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ДавидовичЕЮ\Desktop\"/>
    </mc:Choice>
  </mc:AlternateContent>
  <xr:revisionPtr revIDLastSave="0" documentId="13_ncr:1_{8BCF8C17-F833-4654-B05A-1BA6162965E2}" xr6:coauthVersionLast="47" xr6:coauthVersionMax="47" xr10:uidLastSave="{00000000-0000-0000-0000-000000000000}"/>
  <bookViews>
    <workbookView xWindow="-28920" yWindow="-120" windowWidth="29040" windowHeight="15840" tabRatio="927" firstSheet="7" activeTab="29"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Сглаживание 2024-2026" sheetId="31" r:id="rId31"/>
    <sheet name="ДПР" sheetId="32" r:id="rId32"/>
    <sheet name="ДПР (концессии)" sheetId="33" state="hidden" r:id="rId33"/>
    <sheet name="ГО" sheetId="34" state="hidden" r:id="rId34"/>
    <sheet name="Калькуляция (МСА)" sheetId="35" state="hidden" r:id="rId35"/>
    <sheet name="Комментарии" sheetId="36" r:id="rId36"/>
    <sheet name="REESTR_MO" sheetId="37" state="hidden" r:id="rId37"/>
    <sheet name="REESTR_ORG" sheetId="38" state="hidden" r:id="rId38"/>
    <sheet name="REESTR_OBJECT" sheetId="39" state="hidden" r:id="rId39"/>
    <sheet name="REESTR_ROIV_OMS" sheetId="40" state="hidden" r:id="rId40"/>
    <sheet name="REESTR_TARIFF" sheetId="41" state="hidden" r:id="rId41"/>
    <sheet name="DICTIONARIES" sheetId="42" state="hidden" r:id="rId42"/>
    <sheet name="TEHSHEET" sheetId="43" state="hidden" r:id="rId43"/>
    <sheet name="REESTR_SEP_DIV" sheetId="44" state="hidden" r:id="rId44"/>
    <sheet name="REESTR_DOP" sheetId="45" state="hidden" r:id="rId45"/>
    <sheet name="REESTR_REAG" sheetId="46" state="hidden" r:id="rId46"/>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Административные!$AB$88</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Амортизация!$AB$180</definedName>
    <definedName name="Amortization_vis_flags">Амортизация!$AI$2:$BB$2</definedName>
    <definedName name="AUTHORIZED_PERSON_EMAIL">'Общие сведения'!$AE$227</definedName>
    <definedName name="AUTHORIZED_PERSON_FIO">'Общие сведения'!$AE$224</definedName>
    <definedName name="AUTHORIZED_PERSON_PHONE">'Общие сведения'!$AE$226</definedName>
    <definedName name="AUTHORIZED_PERSON_POSITION">'Общие сведения'!$AE$225</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(МИ)'!$AB$463</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ДПР!$AB$187</definedName>
    <definedName name="DPR_vis_flags">ДПР!$W$28:$W$28</definedName>
    <definedName name="DPR_vis_flags2">ДПР!$AG$2:$AK$2</definedName>
    <definedName name="DPRConcessions_LOAD_1">'ДПР (концессии)'!$AC$26:$AK$26</definedName>
    <definedName name="DPRConcessions_pIns_comm">'ДПР (концессии)'!$AB$191</definedName>
    <definedName name="DPRConcessions_vis_flags">'ДПР (концессии)'!$W$26:$W$26</definedName>
    <definedName name="DPRConcessions_vis_flags2">'ДПР (концессии)'!$AG$2:$AK$2</definedName>
    <definedName name="Electricity_LOAD_1">ЭЭ!$AE$25:$BB$109</definedName>
    <definedName name="Electricity_vis_flags">ЭЭ!$AI$2:$BB$2</definedName>
    <definedName name="entityName">'Общие сведения'!$AI$24</definedName>
    <definedName name="et_AdminExpenses_tariff">Административные!$32:$88</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сведения'!$236:$236</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ГО'!$69:$69</definedName>
    <definedName name="et_SalesExpensesGO_tariff">'Сбытовые расходы ГО'!$32:$67</definedName>
    <definedName name="et_SavingsCorrection_tariff">Экономия_корр!$32:$55</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Административные!$AL$89</definedName>
    <definedName name="flag_end_AmorAnalog">'Амортизация (аналог)'!$AG$53</definedName>
    <definedName name="flag_end_Amortization">Амортизация!$BD$181</definedName>
    <definedName name="flag_end_Balance">Баланс!$BD$305</definedName>
    <definedName name="flag_end_CalcMeor">'Калькуляция (МЭОР)'!$AP$287</definedName>
    <definedName name="flag_end_CalcMiCorr">'Калькуляция (МИ корр)'!$BQ$469</definedName>
    <definedName name="flag_end_Calculation">'Калькуляция (МИ)'!$BQ$464</definedName>
    <definedName name="flag_end_Comments">Комментарии!$AC$34</definedName>
    <definedName name="flag_end_DPR">ДПР!$AL$188</definedName>
    <definedName name="flag_end_DPRConcessions">'ДПР (концессии)'!$AL$192</definedName>
    <definedName name="flag_end_Electricity">ЭЭ!$BD$114</definedName>
    <definedName name="flag_end_Explanations">Пояснения!$AE$27</definedName>
    <definedName name="flag_end_GeneralInfo">'Общие сведения'!$AF$237</definedName>
    <definedName name="flag_end_GO">ГО!$AF$299</definedName>
    <definedName name="flag_end_iika">ИИКА!$BC$42</definedName>
    <definedName name="flag_end_InvestmentSources">'ИП + источники'!$BF$150</definedName>
    <definedName name="flag_end_NegativeImpactFee">'Плата за негативное возд'!$AM$40</definedName>
    <definedName name="flag_end_NVVCorrection">'Корректировка НВВ'!$AI$185</definedName>
    <definedName name="flag_end_ObjectList">'Список объектов'!$AI$48</definedName>
    <definedName name="flag_end_Objects">'Перечень объектов'!$AK$68</definedName>
    <definedName name="flag_end_Purchase">Покупка!$BD$261</definedName>
    <definedName name="flag_end_Reagents">'Сырье и материалы'!$BD$102</definedName>
    <definedName name="flag_end_Rent">Аренда!$BD$78</definedName>
    <definedName name="flag_end_SalesExpensesGO">'Сбытовые расходы ГО'!$AL$68</definedName>
    <definedName name="flag_end_SavingsCorrection">Экономия_корр!$AZ$56</definedName>
    <definedName name="flag_end_Scenarios">Сценарии!$BG$109</definedName>
    <definedName name="flag_end_SheetList">'Список листов'!$AE$54</definedName>
    <definedName name="flag_end_TariffCalcMsa">'Калькуляция (МСА)'!$AG$91</definedName>
    <definedName name="flag_end_Taxes">Налоги!$BD$74</definedName>
    <definedName name="flag_end_TerritoryList">'Список территорий'!$AH$37</definedName>
    <definedName name="flag_end_TM">ТМ!$FX$223</definedName>
    <definedName name="flag_end_uslmetr">'Условные метры'!$AQ$43</definedName>
    <definedName name="flag_end_WageFund">ФОТ!$AL$107</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сведения'!$AE$22:$AE$235</definedName>
    <definedName name="GeneralInfo_LOAD_1">'Общие сведения'!$AE$44:$AE$233</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сведения'!$AD$222</definedName>
    <definedName name="InvestmentSources_is_one_block">'ИП + источники'!$AD$24</definedName>
    <definedName name="InvestmentSources_LOAD_1">'ИП + источники'!$AE$27:$BD$145</definedName>
    <definedName name="InvestmentSources_LOAD_2">'ИП + источники'!$BE$26:$BE$145</definedName>
    <definedName name="InvestmentSources_pIns_comm">'ИП + источники'!$AB$149</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метры'!$AC$24:$AP$38</definedName>
    <definedName name="List04_pIns_comm">'Условные метры'!$AB$42</definedName>
    <definedName name="List05_LOAD_1">'Амортизация (аналог)'!$AE$25:$AF$48</definedName>
    <definedName name="List05_pIns_comm">'Амортизация (аналог)'!$AB$52</definedName>
    <definedName name="List06_LOAD_1">ГО!$AE$25:$AE$115</definedName>
    <definedName name="List06_pIns_comm">ГО!$AB$298</definedName>
    <definedName name="List07_LOAD_1">'Калькуляция (МСА)'!$AE$25:$AF$84</definedName>
    <definedName name="List07_pIns_comm">'Калькуляция (МСА)'!$AB$90</definedName>
    <definedName name="List15_LOAD_1">'Калькуляция (МЭОР)'!$AE$25:$AK$282</definedName>
    <definedName name="List15_LOAD_2">'Калькуляция (МЭОР)'!$AM$24:$AO$282</definedName>
    <definedName name="List15_pIns_comm">'Калькуляция (МЭОР)'!$AB$286</definedName>
    <definedName name="List15_vis_flags">'Калькуляция (МЭОР)'!$AE$17:$AL$17</definedName>
    <definedName name="List15_vis_flags2">'Калькуляция (МЭОР)'!$H$25:$H$282</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возд'!$AB$39</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НВВ'!$AB$184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сведения'!$AE$236</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ЭЭ!$AB$109</definedName>
    <definedName name="pIns_Electricity_voltage">ЭЭ!$AC:$AC</definedName>
    <definedName name="pIns_Iika">ИИКА!$AB$42</definedName>
    <definedName name="pIns_InvestmentSources_tariff">'ИП + источники'!$AB$145</definedName>
    <definedName name="pIns_List04_tariff">'Условные метры'!$AB$38</definedName>
    <definedName name="pIns_List05_tariff">'Амортизация (аналог)'!$AB$48</definedName>
    <definedName name="pIns_List07_tariff">'Калькуляция (МСА)'!$AB$84</definedName>
    <definedName name="pIns_List15_1">'Калькуляция (МЭОР)'!$AC:$AC</definedName>
    <definedName name="pIns_List15_tariff">'Калькуляция (МЭОР)'!$AB$282</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материалы'!$AB$97</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Покупка!$AB$260</definedName>
    <definedName name="Purchase_vis_flags">Покупка!$AI$17:$BB$17</definedName>
    <definedName name="Reagents_LOAD_1">'Сырье и материалы'!$AE$25:$BB$97</definedName>
    <definedName name="Reagents_LOAD_2">'Сырье и материалы'!$BC$24:$BC$97</definedName>
    <definedName name="Reagents_pIns_comm">'Сырье и материалы'!$AB$101</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Аренда!$AB$77</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ГО'!$AB$67</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Экономия_корр!$AB$55</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сведения'!$AF$180:$AF$222</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Налоги!$AB$73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ТМ!$AB$222</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ФОТ!$AB$106</definedName>
    <definedName name="WageFund_vis_flags">ФОТ!$AE$17:$AJ$17</definedName>
    <definedName name="wsAdmins_json_coms">Административные!$AC$86:$AC$88</definedName>
    <definedName name="wsAdmins_preload">Административные!$AE$28:$AH$84</definedName>
    <definedName name="wsAdmins_preload_coms">Административные!$AK$28:$AK$84</definedName>
    <definedName name="wsAdmins_preload_full">Административные!$AE$28:$AJ$84</definedName>
    <definedName name="wsAdmins_preload_json">Административные!$AE$28:$AK$84</definedName>
    <definedName name="wsAmor_json_coms">Амортизация!$AC$176:$AC$180</definedName>
    <definedName name="wsAmor_preload">Амортизация!$AE$28:$AH$174</definedName>
    <definedName name="wsAmor_preload_coms">Амортизация!$BC$28:$BC$174</definedName>
    <definedName name="wsAmor_preload_full">Амортизация!$AE$28:$BB$174</definedName>
    <definedName name="wsAmor_preload_json">Амортизация!$AE$28:$BC$174</definedName>
    <definedName name="wsAmorAnalog_json_coms">'Амортизация (аналог)'!$AC$50:$AC$52</definedName>
    <definedName name="wsAmorAnalog_preload">'Амортизация (аналог)'!$AE$28:$AF$48</definedName>
    <definedName name="wsAmorAnalog_preload_json">'Амортизация (аналог)'!$AE$28:$AF$48</definedName>
    <definedName name="wsBalance_json_coms">Баланс!$AC$302:$AC$304</definedName>
    <definedName name="wsBalance_preload">Баланс!$AE$28:$AH$300</definedName>
    <definedName name="wsBalance_preload_coms">Баланс!$BC$28:$BC$300</definedName>
    <definedName name="wsBalance_preload_full">Баланс!$AE$28:$BB$300</definedName>
    <definedName name="wsBalance_preload_json">Баланс!$AE$28:$BC$300</definedName>
    <definedName name="wsComments_json_coms">Комментарии!$AB$24:$AB$33</definedName>
    <definedName name="wsDPR_json_coms">ДПР!$AC$185:$AC$187</definedName>
    <definedName name="wsDPR_preload">ДПР!$AC$31:$AK$183</definedName>
    <definedName name="wsDPR_preload_json">ДПР!$AC$31:$AK$183</definedName>
    <definedName name="wsDPRconc_json_coms">'ДПР (концессии)'!$AC$189:$AC$191</definedName>
    <definedName name="wsDPRconc_preload">'ДПР (концессии)'!$AC$30:$AK$187</definedName>
    <definedName name="wsDPRconc_preload_json">'ДПР (концессии)'!$AC$30:$AK$187</definedName>
    <definedName name="wsEE_json_coms">ЭЭ!$AC$111:$AC$113</definedName>
    <definedName name="wsEe_preload">ЭЭ!$AE$28:$AH$109</definedName>
    <definedName name="wsEE_preload_coms">ЭЭ!$BC$28:$BC$109</definedName>
    <definedName name="wsEE_preload_full">ЭЭ!$AE$28:$BB$109</definedName>
    <definedName name="wsEE_preload_json">ЭЭ!$AE$28:$BC$109</definedName>
    <definedName name="wsGO_json_coms">ГО!$AC$296:$AC$298</definedName>
    <definedName name="wsGO_preload">ГО!$AE$28:$AE$294</definedName>
    <definedName name="wsGO_preload_json">ГО!$AE$28:$AE$294</definedName>
    <definedName name="wsIika_preload_json">ИИКА!$AE$28:$BB$42</definedName>
    <definedName name="wsIPSources_json_coms">'ИП + источники'!$AC$147:$AC$149</definedName>
    <definedName name="wsIPSources_preload">'ИП + источники'!$AE$59:$AJ$145</definedName>
    <definedName name="wsIPSources_preload_coms">'ИП + источники'!$BE$59:$BE$145</definedName>
    <definedName name="wsIPSources_preload_coms_one_block">'ИП + источники'!$BE$29:$BE$57</definedName>
    <definedName name="wsIPSources_preload_full">'ИП + источники'!$AE$59:$BD$145</definedName>
    <definedName name="wsIPSources_preload_full_one_block">'ИП + источники'!$AE$29:$BD$57</definedName>
    <definedName name="wsIPSources_preload_json">'ИП + источники'!$AE$59:$BE$145</definedName>
    <definedName name="wsIPSources_preload_json_one_block">'ИП + источники'!$AE$29:$BE$57</definedName>
    <definedName name="wsIPSources_preload_one_block">'ИП + источники'!$AE$29:$AJ$57</definedName>
    <definedName name="wsMeorCalc_json_coms">'Калькуляция (МЭОР)'!$AC$284:$AC$286</definedName>
    <definedName name="wsMeorCalc_preload">'Калькуляция (МЭОР)'!$AE$28:$AI$282</definedName>
    <definedName name="wsMeorCalc_preload_coms">'Калькуляция (МЭОР)'!$AM$28:$AO$282</definedName>
    <definedName name="wsMeorCalc_preload_full">'Калькуляция (МЭОР)'!$AE$28:$AL$282</definedName>
    <definedName name="wsMeorCalc_preload_json">'Калькуляция (МЭОР)'!$AE$28:$AO$282</definedName>
    <definedName name="wsMiCalc_json_coms">'Калькуляция (МИ)'!$AC$461:$AC$463</definedName>
    <definedName name="wsMiCalc_preload">'Калькуляция (МИ)'!$AE$28:$AI$459</definedName>
    <definedName name="wsMiCalc_preload_coms">'Калькуляция (МИ)'!$BN$28:$BP$459</definedName>
    <definedName name="wsMiCalc_preload_full">'Калькуляция (МИ)'!$AE$28:$BM$459</definedName>
    <definedName name="wsMiCalc_preload_json">'Калькуляция (МИ)'!$AE$28:$BP$459</definedName>
    <definedName name="wsMiCalcCorr_json_coms">'Калькуляция (МИ корр)'!$AC$461:$AC$468</definedName>
    <definedName name="wsMiCalcCorr_preload">'Калькуляция (МИ корр)'!$AE$28:$AI$459</definedName>
    <definedName name="wsMiCalcCorr_preload_coms">'Калькуляция (МИ корр)'!$BN$28:$BP$459</definedName>
    <definedName name="wsMiCalcCorr_preload_full">'Калькуляция (МИ корр)'!$AE$28:$BM$459</definedName>
    <definedName name="wsMiCalcCorr_preload_json">'Калькуляция (МИ корр)'!$AE$28:$BP$459</definedName>
    <definedName name="wsMsaCalc_json_coms">'Калькуляция (МСА)'!$AC$88:$AC$90</definedName>
    <definedName name="wsMsaCalc_preload">'Калькуляция (МСА)'!$AE$25</definedName>
    <definedName name="wsMsaCalc_preload_full">'Калькуляция (МСА)'!$AE$28:$AF$84</definedName>
    <definedName name="wsMsaCalc_preload_json">'Калькуляция (МСА)'!$AE$28:$AF$84</definedName>
    <definedName name="wsNegativePays_json_coms">'Плата за негативное возд'!$AC$37:$AC$39</definedName>
    <definedName name="wsNegativePays_preload">'Плата за негативное возд'!$AE$27:$AL$35</definedName>
    <definedName name="wsNegativePays_preload_json">'Плата за негативное возд'!$AE$27:$AL$35</definedName>
    <definedName name="wsNvvCorr_json_coms">'Корректировка НВВ'!$AC$182:$AC$184</definedName>
    <definedName name="wsNvvCorr_preload">'Корректировка НВВ'!$AF$28:$AG$180</definedName>
    <definedName name="wsNvvCorr_preload_coms">'Корректировка НВВ'!$AH$28:$AH$180</definedName>
    <definedName name="wsNvvCorr_preload_json">'Корректировка НВВ'!$AF$28:$AH$180</definedName>
    <definedName name="wsObjectList_preload_json">'Список объектов'!$AH$28:$AH$48</definedName>
    <definedName name="wsObjects_json_coms">'Перечень объектов'!$AC$65:$AC$67</definedName>
    <definedName name="wsObjects_preload">'Перечень объектов'!$AF$28:$AG$63</definedName>
    <definedName name="wsObjects_preload_full">'Перечень объектов'!$AF$28:$AJ$63</definedName>
    <definedName name="wsObjects_preload_json">'Перечень объектов'!$AF$28:$AJ$63</definedName>
    <definedName name="wsPurchase_json_coms">Покупка!$AC$256:$AC$260</definedName>
    <definedName name="wsPurchase_preload">Покупка!$AE$28:$AH$254</definedName>
    <definedName name="wsPurchase_preload_coms">Покупка!$BC$28:$BC$254</definedName>
    <definedName name="wsPurchase_preload_full">Покупка!$AE$28:$BB$254</definedName>
    <definedName name="wsPurchase_preload_json">Покупка!$AE$28:$BC$254</definedName>
    <definedName name="wsReagents_json_coms">'Сырье и материалы'!$AC$99:$AC$101</definedName>
    <definedName name="wsReagents_preload">'Сырье и материалы'!$AE$28:$AH$96</definedName>
    <definedName name="wsReagents_preload_coms">'Сырье и материалы'!$BC$28:$BC$96</definedName>
    <definedName name="wsReagents_preload_full">'Сырье и материалы'!$AE$28:$BB$96</definedName>
    <definedName name="wsReagents_preload_json">'Сырье и материалы'!$AE$28:$BC$96</definedName>
    <definedName name="wsRent_json_coms">Аренда!$AC$59:$AC$77</definedName>
    <definedName name="wsRent_preload">Аренда!$AE$28:$AH$57</definedName>
    <definedName name="wsRent_preload_coms">Аренда!$BC$28:$BC$57</definedName>
    <definedName name="wsRent_preload_full">Аренда!$AE$28:$BB$57</definedName>
    <definedName name="wsRent_preload_json">Аренда!$AE$28:$BC$57</definedName>
    <definedName name="wsSavingsCorr_json_coms">Экономия_корр!$AC$53:$AC$55</definedName>
    <definedName name="wsSavingsCorr_preload">Экономия_корр!$AE$25</definedName>
    <definedName name="wsSavingsCorr_preload_coms">Экономия_корр!$AY$28:$AY$51</definedName>
    <definedName name="wsSavingsCorr_preload_full">Экономия_корр!$AE$28:$AX$51</definedName>
    <definedName name="wsSavingsCorr_preload_json">Экономия_корр!$AE$28:$AY$51</definedName>
    <definedName name="wsScenarios_preload">Сценарии!$AE$29:$AI$109</definedName>
    <definedName name="wsScenarios_preload_coms">Сценарии!$AH$29:$AN$109</definedName>
    <definedName name="wsScenarios_preload_full">Сценарии!$AE$29:$BF$109</definedName>
    <definedName name="wsScenarios_preload_json">Сценарии!$AE$29:$BF$109</definedName>
    <definedName name="wsSellingCosts_json_coms">'Сбытовые расходы ГО'!$AC$65:$AC$67</definedName>
    <definedName name="wsSellingCosts_preload">'Сбытовые расходы ГО'!$AE$28:$AH$63</definedName>
    <definedName name="wsSellingCosts_preload_coms">'Сбытовые расходы ГО'!$AK$28:$AK$63</definedName>
    <definedName name="wsSellingCosts_preload_full">'Сбытовые расходы ГО'!$AE$28:$AJ$63</definedName>
    <definedName name="wsSellingCosts_preload_json">'Сбытовые расходы ГО'!$AE$28:$AK$63</definedName>
    <definedName name="wsTaxes_json_coms">Налоги!$AC$71:$AC$73</definedName>
    <definedName name="wsTaxes_preload">Налоги!$AE$28:$AH$69</definedName>
    <definedName name="wsTaxes_preload_coms">Налоги!$BC$28:$BC$69</definedName>
    <definedName name="wsTaxes_preload_full">Налоги!$AE$28:$BB$69</definedName>
    <definedName name="wsTaxes_preload_json">Налоги!$AE$28:$BC$69</definedName>
    <definedName name="wsTerritoryList_preload">'Список территорий'!$AC$27:$AG$37</definedName>
    <definedName name="wsTerritoryList_preload_json">'Список территорий'!$AF$27:$AG$37</definedName>
    <definedName name="wsTM_json_coms">ТМ!$AC$220:$AC$222</definedName>
    <definedName name="wsTM_preload">ТМ!$AD$26:$AD$26</definedName>
    <definedName name="wsTM_preload_full">ТМ!$AD$34:$FW$218</definedName>
    <definedName name="wsTM_preload_json">ТМ!$AD$34:$FW$218</definedName>
    <definedName name="wsUslMetr_json_coms">'Условные метры'!$AC$40:$AC$42</definedName>
    <definedName name="wsUslMetr_preload">'Условные метры'!$AC$30:$AP$38</definedName>
    <definedName name="wsUslMetr_preload_json">'Условные метры'!$AD$30:$AP$38</definedName>
    <definedName name="wsWageFund_json_coms">ФОТ!$AC$104:$AC$106</definedName>
    <definedName name="wsWageFund_preload">ФОТ!$AE$28:$AH$102</definedName>
    <definedName name="wsWageFund_preload_coms">ФОТ!$AK$28:$AK$102</definedName>
    <definedName name="wsWageFund_preload_full">ФОТ!$AE$28:$AJ$102</definedName>
    <definedName name="wsWageFund_preload_json">ФОТ!$AE$28:$AK$102</definedName>
    <definedName name="XML_MR_MO_OKTMO_LIST_TAG_NAMES">TEHSHEET!$K$5:$K$11</definedName>
    <definedName name="YEAR_LIST">TEHSHEET!$Q$2:$Q$20</definedName>
    <definedName name="year_list2">TEHSHEET!$Q$11:$Q$20</definedName>
    <definedName name="YES_NO">TEHSHEET!$G$2:$G$3</definedName>
  </definedNames>
  <calcPr calcId="191029" iterateDelta="1E-4"/>
</workbook>
</file>

<file path=xl/calcChain.xml><?xml version="1.0" encoding="utf-8"?>
<calcChain xmlns="http://schemas.openxmlformats.org/spreadsheetml/2006/main">
  <c r="M8" i="43" l="1" a="1"/>
  <c r="M8" i="43" s="1"/>
  <c r="W32" i="36"/>
  <c r="T89" i="35"/>
  <c r="AF83" i="35"/>
  <c r="AE83" i="35"/>
  <c r="T78" i="35"/>
  <c r="T79" i="35" s="1" a="1"/>
  <c r="T79" i="35" s="1"/>
  <c r="T80" i="35" s="1" a="1"/>
  <c r="T80" i="35" s="1"/>
  <c r="T81" i="35" s="1" a="1"/>
  <c r="T81" i="35" s="1"/>
  <c r="T82" i="35" s="1" a="1"/>
  <c r="T82" i="35" s="1"/>
  <c r="T83" i="35" s="1" a="1"/>
  <c r="T83" i="35" s="1"/>
  <c r="AE76" i="35"/>
  <c r="AC71" i="35"/>
  <c r="AC70" i="35"/>
  <c r="AF67" i="35"/>
  <c r="AF76" i="35" s="1"/>
  <c r="AE67" i="35"/>
  <c r="L67" i="35" s="1" a="1"/>
  <c r="L67" i="35" s="1"/>
  <c r="M67" i="35" a="1"/>
  <c r="M67" i="35"/>
  <c r="T66" i="35" a="1"/>
  <c r="T66" i="35"/>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T76" i="35" s="1" a="1"/>
  <c r="T76" i="35" s="1"/>
  <c r="T77" i="35" s="1" a="1"/>
  <c r="T77" i="35" s="1"/>
  <c r="T78" i="35" s="1" a="1"/>
  <c r="T65" i="35"/>
  <c r="F65" i="35" a="1"/>
  <c r="F65" i="35"/>
  <c r="F66" i="35" s="1" a="1"/>
  <c r="F66" i="35" s="1"/>
  <c r="F67" i="35" s="1" a="1"/>
  <c r="F67" i="35" s="1"/>
  <c r="AF64" i="35"/>
  <c r="AE64" i="35"/>
  <c r="AC52" i="35"/>
  <c r="AC51" i="35"/>
  <c r="AF48" i="35"/>
  <c r="AF57" i="35" s="1"/>
  <c r="AE48" i="35"/>
  <c r="L48" i="35" s="1" a="1"/>
  <c r="M48" i="35" a="1"/>
  <c r="M48" i="35" s="1"/>
  <c r="L48" i="35"/>
  <c r="T47" i="35"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F47" i="35" a="1"/>
  <c r="F47" i="35" s="1"/>
  <c r="F48" i="35" s="1" a="1"/>
  <c r="F48" i="35" s="1"/>
  <c r="T46" i="35"/>
  <c r="F46" i="35" a="1"/>
  <c r="F46" i="35"/>
  <c r="AF45" i="35"/>
  <c r="AE45" i="35"/>
  <c r="AC33" i="35"/>
  <c r="AC32" i="35"/>
  <c r="AF29" i="35"/>
  <c r="AF38" i="35" s="1"/>
  <c r="AE29" i="35"/>
  <c r="M29" i="35" a="1"/>
  <c r="M29" i="35"/>
  <c r="L29" i="35" a="1"/>
  <c r="L29" i="35" s="1"/>
  <c r="T28" i="35" a="1"/>
  <c r="T28" i="35" s="1"/>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27" i="35"/>
  <c r="F27" i="35" a="1"/>
  <c r="F27" i="35"/>
  <c r="F28" i="35" s="1" a="1"/>
  <c r="F28" i="35" s="1"/>
  <c r="F29" i="35" s="1" a="1"/>
  <c r="F29" i="35" s="1"/>
  <c r="K29" i="35" s="1"/>
  <c r="AE24" i="35"/>
  <c r="AF9" i="35" a="1"/>
  <c r="AF9" i="35" s="1"/>
  <c r="AE9" i="35" a="1"/>
  <c r="AE9" i="35"/>
  <c r="AF7" i="35" a="1"/>
  <c r="AF7" i="35" s="1"/>
  <c r="AE7" i="35" a="1"/>
  <c r="AE7" i="35"/>
  <c r="AF6" i="35" a="1"/>
  <c r="AF6" i="35" s="1"/>
  <c r="AE6" i="35" a="1"/>
  <c r="AE6" i="35"/>
  <c r="T297" i="34"/>
  <c r="I292" i="34"/>
  <c r="AJ291" i="34" a="1"/>
  <c r="AJ291" i="34" s="1"/>
  <c r="AB291" i="34"/>
  <c r="I291" i="34" a="1"/>
  <c r="I291" i="34" s="1"/>
  <c r="AE290" i="34"/>
  <c r="AE282" i="34"/>
  <c r="AE270" i="34"/>
  <c r="AE257" i="34"/>
  <c r="AE256" i="34"/>
  <c r="I255" i="34"/>
  <c r="AJ254" i="34" a="1"/>
  <c r="AJ254" i="34" s="1"/>
  <c r="AB254" i="34"/>
  <c r="I254" i="34" a="1"/>
  <c r="I254" i="34" s="1"/>
  <c r="AE253" i="34"/>
  <c r="AE249" i="34"/>
  <c r="AE240" i="34"/>
  <c r="AE234" i="34"/>
  <c r="AE233" i="34" s="1"/>
  <c r="AE228" i="34"/>
  <c r="AE225" i="34"/>
  <c r="AE217" i="34"/>
  <c r="AE210" i="34"/>
  <c r="T207" i="34"/>
  <c r="T208" i="34" s="1" a="1"/>
  <c r="T208" i="34" s="1"/>
  <c r="T209" i="34" s="1" a="1"/>
  <c r="T209" i="34" s="1"/>
  <c r="T210" i="34" s="1" a="1"/>
  <c r="T210" i="34" s="1"/>
  <c r="T211" i="34" s="1" a="1"/>
  <c r="T211" i="34" s="1"/>
  <c r="T212" i="34" s="1" a="1"/>
  <c r="T212" i="34" s="1"/>
  <c r="T213" i="34" s="1" a="1"/>
  <c r="T213" i="34" s="1"/>
  <c r="T214" i="34" s="1" a="1"/>
  <c r="T214" i="34" s="1"/>
  <c r="T215" i="34" s="1" a="1"/>
  <c r="T215" i="34" s="1"/>
  <c r="T216" i="34" s="1" a="1"/>
  <c r="T216" i="34" s="1"/>
  <c r="T217" i="34" s="1" a="1"/>
  <c r="T217" i="34" s="1"/>
  <c r="T218" i="34" s="1" a="1"/>
  <c r="T218" i="34" s="1"/>
  <c r="T219" i="34" s="1" a="1"/>
  <c r="T219" i="34" s="1"/>
  <c r="T220" i="34" s="1" a="1"/>
  <c r="T220" i="34" s="1"/>
  <c r="T221" i="34" s="1" a="1"/>
  <c r="T221" i="34" s="1"/>
  <c r="T222" i="34" s="1" a="1"/>
  <c r="T222" i="34" s="1"/>
  <c r="T223" i="34" s="1" a="1"/>
  <c r="T223" i="34" s="1"/>
  <c r="T224" i="34" s="1" a="1"/>
  <c r="T224" i="34" s="1"/>
  <c r="T225" i="34" s="1" a="1"/>
  <c r="T225" i="34" s="1"/>
  <c r="T226" i="34" s="1" a="1"/>
  <c r="T226" i="34" s="1"/>
  <c r="T227" i="34" s="1" a="1"/>
  <c r="T227" i="34" s="1"/>
  <c r="T228" i="34" s="1" a="1"/>
  <c r="T228" i="34" s="1"/>
  <c r="T229" i="34" s="1" a="1"/>
  <c r="T229" i="34" s="1"/>
  <c r="T230" i="34" s="1" a="1"/>
  <c r="T230" i="34" s="1"/>
  <c r="T231" i="34" s="1" a="1"/>
  <c r="T231" i="34" s="1"/>
  <c r="T232" i="34" s="1" a="1"/>
  <c r="T232" i="34" s="1"/>
  <c r="T233" i="34" s="1" a="1"/>
  <c r="T233" i="34" s="1"/>
  <c r="T234" i="34" s="1" a="1"/>
  <c r="T234" i="34" s="1"/>
  <c r="T235" i="34" s="1" a="1"/>
  <c r="T235" i="34" s="1"/>
  <c r="T236" i="34" s="1" a="1"/>
  <c r="T236" i="34" s="1"/>
  <c r="T237" i="34" s="1" a="1"/>
  <c r="T237" i="34" s="1"/>
  <c r="T238" i="34" s="1" a="1"/>
  <c r="T238" i="34" s="1"/>
  <c r="T239" i="34" s="1" a="1"/>
  <c r="T239" i="34" s="1"/>
  <c r="T240" i="34" s="1" a="1"/>
  <c r="T240" i="34" s="1"/>
  <c r="T241" i="34" s="1" a="1"/>
  <c r="T241" i="34" s="1"/>
  <c r="T242" i="34" s="1" a="1"/>
  <c r="T242" i="34" s="1"/>
  <c r="T243" i="34" s="1" a="1"/>
  <c r="T243" i="34" s="1"/>
  <c r="T244" i="34" s="1" a="1"/>
  <c r="T244" i="34" s="1"/>
  <c r="T245" i="34" s="1" a="1"/>
  <c r="T245" i="34" s="1"/>
  <c r="T246" i="34" s="1" a="1"/>
  <c r="T246" i="34" s="1"/>
  <c r="T247" i="34" s="1" a="1"/>
  <c r="T247" i="34" s="1"/>
  <c r="T248" i="34" s="1" a="1"/>
  <c r="T248" i="34" s="1"/>
  <c r="T249" i="34" s="1" a="1"/>
  <c r="T249" i="34" s="1"/>
  <c r="T250" i="34" s="1" a="1"/>
  <c r="T250" i="34" s="1"/>
  <c r="T251" i="34" s="1" a="1"/>
  <c r="T251" i="34" s="1"/>
  <c r="T252" i="34" s="1" a="1"/>
  <c r="T252" i="34" s="1"/>
  <c r="T253" i="34" s="1" a="1"/>
  <c r="T253" i="34" s="1"/>
  <c r="T205" i="34"/>
  <c r="T206" i="34" s="1" a="1"/>
  <c r="T206" i="34" s="1"/>
  <c r="T207" i="34" s="1" a="1"/>
  <c r="F205" i="34" a="1"/>
  <c r="F205" i="34"/>
  <c r="F206" i="34" s="1" a="1"/>
  <c r="F206" i="34" s="1"/>
  <c r="F207" i="34" s="1" a="1"/>
  <c r="F207" i="34" s="1"/>
  <c r="F208" i="34" s="1" a="1"/>
  <c r="F208" i="34" s="1"/>
  <c r="F209" i="34" s="1" a="1"/>
  <c r="F209" i="34" s="1"/>
  <c r="F210" i="34" s="1" a="1"/>
  <c r="F210" i="34" s="1"/>
  <c r="F211" i="34" s="1" a="1"/>
  <c r="F211" i="34" s="1"/>
  <c r="F212" i="34" s="1" a="1"/>
  <c r="F212" i="34" s="1"/>
  <c r="F213" i="34" s="1" a="1"/>
  <c r="F213" i="34" s="1"/>
  <c r="F214" i="34" s="1" a="1"/>
  <c r="F214" i="34" s="1"/>
  <c r="F215" i="34" s="1" a="1"/>
  <c r="F215" i="34" s="1"/>
  <c r="F216" i="34" s="1" a="1"/>
  <c r="F216" i="34" s="1"/>
  <c r="F217" i="34" s="1" a="1"/>
  <c r="F217" i="34" s="1"/>
  <c r="F218" i="34" s="1" a="1"/>
  <c r="F218" i="34" s="1"/>
  <c r="F219" i="34" s="1" a="1"/>
  <c r="F219" i="34" s="1"/>
  <c r="F220" i="34" s="1" a="1"/>
  <c r="F220" i="34" s="1"/>
  <c r="F221" i="34" s="1" a="1"/>
  <c r="F221" i="34" s="1"/>
  <c r="F222" i="34" s="1" a="1"/>
  <c r="F222" i="34" s="1"/>
  <c r="F223" i="34" s="1" a="1"/>
  <c r="F223" i="34" s="1"/>
  <c r="F224" i="34" s="1" a="1"/>
  <c r="F224" i="34" s="1"/>
  <c r="F225" i="34" s="1" a="1"/>
  <c r="F225" i="34" s="1"/>
  <c r="F226" i="34" s="1" a="1"/>
  <c r="F226" i="34" s="1"/>
  <c r="F227" i="34" s="1" a="1"/>
  <c r="F227" i="34" s="1"/>
  <c r="F228" i="34" s="1" a="1"/>
  <c r="F228" i="34" s="1"/>
  <c r="F229" i="34" s="1" a="1"/>
  <c r="F229" i="34" s="1"/>
  <c r="F230" i="34" s="1" a="1"/>
  <c r="F230" i="34" s="1"/>
  <c r="F231" i="34" s="1" a="1"/>
  <c r="F231" i="34" s="1"/>
  <c r="F232" i="34" s="1" a="1"/>
  <c r="F232" i="34" s="1"/>
  <c r="F233" i="34" s="1" a="1"/>
  <c r="F233" i="34" s="1"/>
  <c r="F234" i="34" s="1" a="1"/>
  <c r="F234" i="34" s="1"/>
  <c r="F235" i="34" s="1" a="1"/>
  <c r="F235" i="34" s="1"/>
  <c r="F236" i="34" s="1" a="1"/>
  <c r="F236" i="34" s="1"/>
  <c r="F237" i="34" s="1" a="1"/>
  <c r="F237" i="34" s="1"/>
  <c r="F238" i="34" s="1" a="1"/>
  <c r="F238" i="34" s="1"/>
  <c r="F239" i="34" s="1" a="1"/>
  <c r="F239" i="34" s="1"/>
  <c r="F240" i="34" s="1" a="1"/>
  <c r="F240" i="34" s="1"/>
  <c r="F241" i="34" s="1" a="1"/>
  <c r="F241" i="34" s="1"/>
  <c r="F242" i="34" s="1" a="1"/>
  <c r="F242" i="34" s="1"/>
  <c r="F243" i="34" s="1" a="1"/>
  <c r="F243" i="34" s="1"/>
  <c r="F244" i="34" s="1" a="1"/>
  <c r="F244" i="34" s="1"/>
  <c r="F245" i="34" s="1" a="1"/>
  <c r="F245" i="34" s="1"/>
  <c r="F246" i="34" s="1" a="1"/>
  <c r="F246" i="34" s="1"/>
  <c r="F247" i="34" s="1" a="1"/>
  <c r="F247" i="34" s="1"/>
  <c r="F248" i="34" s="1" a="1"/>
  <c r="F248" i="34" s="1"/>
  <c r="F249" i="34" s="1" a="1"/>
  <c r="F249" i="34" s="1"/>
  <c r="F250" i="34" s="1" a="1"/>
  <c r="F250" i="34" s="1"/>
  <c r="F251" i="34" s="1" a="1"/>
  <c r="F251" i="34" s="1"/>
  <c r="F252" i="34" s="1" a="1"/>
  <c r="F252" i="34" s="1"/>
  <c r="F253" i="34" s="1" a="1"/>
  <c r="F253" i="34" s="1"/>
  <c r="F254" i="34" s="1" a="1"/>
  <c r="F254" i="34" s="1"/>
  <c r="I203" i="34"/>
  <c r="AJ202" i="34" a="1"/>
  <c r="AJ202" i="34"/>
  <c r="AB202" i="34"/>
  <c r="I202" i="34" a="1"/>
  <c r="I202" i="34"/>
  <c r="AE201" i="34"/>
  <c r="AE193" i="34"/>
  <c r="AE167" i="34" s="1"/>
  <c r="AE181" i="34"/>
  <c r="AE168" i="34"/>
  <c r="I166" i="34"/>
  <c r="AJ165" i="34" a="1"/>
  <c r="AJ165" i="34" s="1"/>
  <c r="AB165" i="34"/>
  <c r="I165" i="34" a="1"/>
  <c r="I165" i="34" s="1"/>
  <c r="AE164" i="34"/>
  <c r="AE160" i="34"/>
  <c r="AE151" i="34"/>
  <c r="AE144" i="34" s="1"/>
  <c r="AE145" i="34"/>
  <c r="AE139" i="34"/>
  <c r="AE136" i="34"/>
  <c r="AE128" i="34"/>
  <c r="AE121" i="34"/>
  <c r="AE118" i="34" s="1"/>
  <c r="T119" i="34" a="1"/>
  <c r="T119" i="34"/>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T133" i="34" s="1" a="1"/>
  <c r="T133" i="34" s="1"/>
  <c r="T134" i="34" s="1" a="1"/>
  <c r="T134" i="34" s="1"/>
  <c r="T135" i="34" s="1" a="1"/>
  <c r="T135" i="34" s="1"/>
  <c r="T136" i="34" s="1" a="1"/>
  <c r="T136" i="34" s="1"/>
  <c r="T137" i="34" s="1" a="1"/>
  <c r="T137" i="34" s="1"/>
  <c r="T138" i="34" s="1" a="1"/>
  <c r="T138" i="34" s="1"/>
  <c r="T139" i="34" s="1" a="1"/>
  <c r="T139" i="34" s="1"/>
  <c r="T140" i="34" s="1" a="1"/>
  <c r="T140" i="34" s="1"/>
  <c r="T141" i="34" s="1" a="1"/>
  <c r="T141" i="34" s="1"/>
  <c r="T142" i="34" s="1" a="1"/>
  <c r="T142" i="34" s="1"/>
  <c r="T143" i="34" s="1" a="1"/>
  <c r="T143" i="34" s="1"/>
  <c r="T144" i="34" s="1" a="1"/>
  <c r="T144" i="34" s="1"/>
  <c r="T145" i="34" s="1" a="1"/>
  <c r="T145" i="34" s="1"/>
  <c r="T146" i="34" s="1" a="1"/>
  <c r="T146" i="34" s="1"/>
  <c r="T147" i="34" s="1" a="1"/>
  <c r="T147" i="34" s="1"/>
  <c r="T148" i="34" s="1" a="1"/>
  <c r="T148" i="34" s="1"/>
  <c r="T149" i="34" s="1" a="1"/>
  <c r="T149" i="34" s="1"/>
  <c r="T150" i="34" s="1" a="1"/>
  <c r="T150" i="34" s="1"/>
  <c r="T151" i="34" s="1" a="1"/>
  <c r="T151" i="34" s="1"/>
  <c r="T152" i="34" s="1" a="1"/>
  <c r="T152" i="34" s="1"/>
  <c r="T153" i="34" s="1" a="1"/>
  <c r="T153" i="34" s="1"/>
  <c r="T154" i="34" s="1" a="1"/>
  <c r="T154" i="34" s="1"/>
  <c r="T155" i="34" s="1" a="1"/>
  <c r="T155" i="34" s="1"/>
  <c r="T156" i="34" s="1" a="1"/>
  <c r="T156" i="34" s="1"/>
  <c r="T157" i="34" s="1" a="1"/>
  <c r="T157" i="34" s="1"/>
  <c r="T158" i="34" s="1" a="1"/>
  <c r="T158" i="34" s="1"/>
  <c r="T159" i="34" s="1" a="1"/>
  <c r="T159" i="34" s="1"/>
  <c r="T160" i="34" s="1" a="1"/>
  <c r="T160" i="34" s="1"/>
  <c r="T161" i="34" s="1" a="1"/>
  <c r="T161" i="34" s="1"/>
  <c r="T162" i="34" s="1" a="1"/>
  <c r="T162" i="34" s="1"/>
  <c r="T163" i="34" s="1" a="1"/>
  <c r="T163" i="34" s="1"/>
  <c r="T164" i="34" s="1" a="1"/>
  <c r="T164" i="34" s="1"/>
  <c r="T118" i="34" a="1"/>
  <c r="T118" i="34" s="1"/>
  <c r="AE117" i="34"/>
  <c r="T116" i="34"/>
  <c r="T117" i="34" s="1" a="1"/>
  <c r="T117" i="34" s="1"/>
  <c r="F116" i="34"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F134" i="34" s="1" a="1"/>
  <c r="F134" i="34" s="1"/>
  <c r="F135" i="34" s="1" a="1"/>
  <c r="F135" i="34" s="1"/>
  <c r="F136" i="34" s="1" a="1"/>
  <c r="F136" i="34" s="1"/>
  <c r="F137" i="34" s="1" a="1"/>
  <c r="F137" i="34" s="1"/>
  <c r="F138" i="34" s="1" a="1"/>
  <c r="F138" i="34" s="1"/>
  <c r="F139" i="34" s="1" a="1"/>
  <c r="F139" i="34" s="1"/>
  <c r="F140" i="34" s="1" a="1"/>
  <c r="F140" i="34" s="1"/>
  <c r="F141" i="34" s="1" a="1"/>
  <c r="F141" i="34" s="1"/>
  <c r="F142" i="34" s="1" a="1"/>
  <c r="F142" i="34" s="1"/>
  <c r="F143" i="34" s="1" a="1"/>
  <c r="F143" i="34" s="1"/>
  <c r="F144" i="34" s="1" a="1"/>
  <c r="F144" i="34" s="1"/>
  <c r="F145" i="34" s="1" a="1"/>
  <c r="F145" i="34" s="1"/>
  <c r="F146" i="34" s="1" a="1"/>
  <c r="F146" i="34" s="1"/>
  <c r="F147" i="34" s="1" a="1"/>
  <c r="F147" i="34" s="1"/>
  <c r="F148" i="34" s="1" a="1"/>
  <c r="F148" i="34" s="1"/>
  <c r="F149" i="34" s="1" a="1"/>
  <c r="F149" i="34" s="1"/>
  <c r="F150" i="34" s="1" a="1"/>
  <c r="F150" i="34" s="1"/>
  <c r="F151" i="34" s="1" a="1"/>
  <c r="F151" i="34" s="1"/>
  <c r="F152" i="34" s="1" a="1"/>
  <c r="F152" i="34" s="1"/>
  <c r="F153" i="34" s="1" a="1"/>
  <c r="F153" i="34" s="1"/>
  <c r="F154" i="34" s="1" a="1"/>
  <c r="F154" i="34" s="1"/>
  <c r="F155" i="34" s="1" a="1"/>
  <c r="F155" i="34" s="1"/>
  <c r="F156" i="34" s="1" a="1"/>
  <c r="F156" i="34" s="1"/>
  <c r="F157" i="34" s="1" a="1"/>
  <c r="F157" i="34" s="1"/>
  <c r="F158" i="34" s="1" a="1"/>
  <c r="F158" i="34" s="1"/>
  <c r="F159" i="34" s="1" a="1"/>
  <c r="F159" i="34" s="1"/>
  <c r="F160" i="34" s="1" a="1"/>
  <c r="F160" i="34" s="1"/>
  <c r="F161" i="34" s="1" a="1"/>
  <c r="F161" i="34" s="1"/>
  <c r="F162" i="34" s="1" a="1"/>
  <c r="F162" i="34" s="1"/>
  <c r="F163" i="34" s="1" a="1"/>
  <c r="F163" i="34" s="1"/>
  <c r="F164" i="34" s="1" a="1"/>
  <c r="F164" i="34" s="1"/>
  <c r="F165" i="34" s="1" a="1"/>
  <c r="F165" i="34" s="1"/>
  <c r="I114" i="34"/>
  <c r="AJ113" i="34" a="1"/>
  <c r="AJ113" i="34"/>
  <c r="AB113" i="34"/>
  <c r="I113" i="34" a="1"/>
  <c r="I113" i="34"/>
  <c r="AE112" i="34"/>
  <c r="AE104" i="34"/>
  <c r="AE92" i="34"/>
  <c r="AE79" i="34"/>
  <c r="AE78" i="34" s="1"/>
  <c r="I77" i="34"/>
  <c r="AJ76" i="34" a="1"/>
  <c r="AJ76" i="34"/>
  <c r="AB76" i="34"/>
  <c r="I76" i="34" a="1"/>
  <c r="I76" i="34" s="1"/>
  <c r="AE75" i="34"/>
  <c r="AE71" i="34"/>
  <c r="AE62" i="34"/>
  <c r="AE56" i="34"/>
  <c r="AE55" i="34"/>
  <c r="AE50" i="34"/>
  <c r="AE47" i="34" s="1"/>
  <c r="AE39" i="34"/>
  <c r="AE32" i="34"/>
  <c r="AE29" i="34" s="1"/>
  <c r="F31" i="34"/>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28" i="34" a="1"/>
  <c r="F28" i="34" s="1"/>
  <c r="F29" i="34" s="1" a="1"/>
  <c r="F29" i="34" s="1"/>
  <c r="F30" i="34" s="1" a="1"/>
  <c r="F30" i="34" s="1"/>
  <c r="F31" i="34" s="1" a="1"/>
  <c r="T27" i="34"/>
  <c r="T28" i="34" s="1"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F27" i="34" a="1"/>
  <c r="F27" i="34"/>
  <c r="AE24" i="34"/>
  <c r="AE22" i="34"/>
  <c r="AD22" i="34"/>
  <c r="AC22" i="34"/>
  <c r="AB22" i="34"/>
  <c r="AE9" i="34" a="1"/>
  <c r="AE9" i="34"/>
  <c r="AE6" i="34"/>
  <c r="T190" i="33"/>
  <c r="G186" i="33"/>
  <c r="AN185" i="33" a="1"/>
  <c r="AN185" i="33" s="1"/>
  <c r="AB185" i="33"/>
  <c r="K185" i="33"/>
  <c r="B185" i="33"/>
  <c r="AB184" i="33"/>
  <c r="K184" i="33"/>
  <c r="AN184" i="33" s="1" a="1"/>
  <c r="AN184" i="33" s="1"/>
  <c r="B184" i="33"/>
  <c r="AB183" i="33"/>
  <c r="K183" i="33"/>
  <c r="AN183" i="33" s="1" a="1"/>
  <c r="AN183" i="33" s="1"/>
  <c r="B183" i="33"/>
  <c r="K182" i="33"/>
  <c r="AN182" i="33" s="1" a="1"/>
  <c r="AN182" i="33" s="1"/>
  <c r="AN181" i="33" a="1"/>
  <c r="AN181" i="33" s="1"/>
  <c r="AB181" i="33"/>
  <c r="K181" i="33"/>
  <c r="B181" i="33"/>
  <c r="K180" i="33"/>
  <c r="AN179" i="33" a="1"/>
  <c r="AN179" i="33" s="1"/>
  <c r="AB179" i="33"/>
  <c r="K179" i="33"/>
  <c r="B179" i="33"/>
  <c r="AN178" i="33" a="1"/>
  <c r="AN178" i="33" s="1"/>
  <c r="K178" i="33"/>
  <c r="AN177" i="33" a="1"/>
  <c r="AN177" i="33" s="1"/>
  <c r="AB177" i="33"/>
  <c r="K177" i="33"/>
  <c r="B177" i="33"/>
  <c r="AB176" i="33"/>
  <c r="K176" i="33"/>
  <c r="AN176" i="33" s="1" a="1"/>
  <c r="AN176" i="33" s="1"/>
  <c r="AN175" i="33" a="1"/>
  <c r="AN175" i="33" s="1"/>
  <c r="AB175" i="33"/>
  <c r="K175" i="33"/>
  <c r="B175" i="33"/>
  <c r="AN174" i="33" a="1"/>
  <c r="AN174" i="33" s="1"/>
  <c r="K174" i="33"/>
  <c r="AN173" i="33" a="1"/>
  <c r="AN173" i="33" s="1"/>
  <c r="AB173" i="33"/>
  <c r="K173" i="33"/>
  <c r="B173" i="33"/>
  <c r="K172" i="33"/>
  <c r="AN171" i="33" a="1"/>
  <c r="AN171" i="33" s="1"/>
  <c r="AB171" i="33"/>
  <c r="K171" i="33"/>
  <c r="B171" i="33"/>
  <c r="AN170" i="33" a="1"/>
  <c r="AN170" i="33" s="1"/>
  <c r="K170" i="33"/>
  <c r="AN169" i="33" a="1"/>
  <c r="AN169" i="33" s="1"/>
  <c r="AB169" i="33"/>
  <c r="K169" i="33"/>
  <c r="B169" i="33"/>
  <c r="AB168" i="33"/>
  <c r="K168" i="33"/>
  <c r="AN168" i="33" s="1" a="1"/>
  <c r="AN168" i="33" s="1"/>
  <c r="AN167" i="33" a="1"/>
  <c r="AN167" i="33" s="1"/>
  <c r="AB167" i="33"/>
  <c r="K167" i="33"/>
  <c r="B167" i="33"/>
  <c r="AN166" i="33" a="1"/>
  <c r="AN166" i="33" s="1"/>
  <c r="K166" i="33"/>
  <c r="AN165" i="33" a="1"/>
  <c r="AN165" i="33" s="1"/>
  <c r="AB165" i="33"/>
  <c r="K165" i="33"/>
  <c r="B165" i="33"/>
  <c r="K164" i="33"/>
  <c r="AN163" i="33" a="1"/>
  <c r="AN163" i="33" s="1"/>
  <c r="AB163" i="33"/>
  <c r="K163" i="33"/>
  <c r="B163" i="33"/>
  <c r="K162" i="33"/>
  <c r="B162" i="33"/>
  <c r="AB161" i="33"/>
  <c r="K161" i="33"/>
  <c r="AN161" i="33" s="1" a="1"/>
  <c r="AN161" i="33" s="1"/>
  <c r="B161" i="33"/>
  <c r="K160" i="33"/>
  <c r="AN159" i="33" a="1"/>
  <c r="AN159" i="33" s="1"/>
  <c r="AB159" i="33"/>
  <c r="K159" i="33"/>
  <c r="B159" i="33"/>
  <c r="K158" i="33"/>
  <c r="B158" i="33"/>
  <c r="AB157" i="33"/>
  <c r="K157" i="33"/>
  <c r="AN157" i="33" s="1" a="1"/>
  <c r="AN157" i="33" s="1"/>
  <c r="B157" i="33"/>
  <c r="K156" i="33"/>
  <c r="AN155" i="33" a="1"/>
  <c r="AN155" i="33" s="1"/>
  <c r="AB155" i="33"/>
  <c r="K155" i="33"/>
  <c r="B155" i="33"/>
  <c r="K154" i="33"/>
  <c r="B154" i="33"/>
  <c r="AB153" i="33"/>
  <c r="K153" i="33"/>
  <c r="AN153" i="33" s="1" a="1"/>
  <c r="AN153" i="33" s="1"/>
  <c r="B153" i="33"/>
  <c r="K152" i="33"/>
  <c r="AN151" i="33" a="1"/>
  <c r="AN151" i="33" s="1"/>
  <c r="AB151" i="33"/>
  <c r="K151" i="33"/>
  <c r="B151" i="33"/>
  <c r="K150" i="33"/>
  <c r="B150" i="33"/>
  <c r="K149" i="33"/>
  <c r="AN148" i="33" a="1"/>
  <c r="AN148" i="33" s="1"/>
  <c r="AB148" i="33"/>
  <c r="K148" i="33"/>
  <c r="B148" i="33"/>
  <c r="K147" i="33"/>
  <c r="AN147" i="33" s="1" a="1"/>
  <c r="AN147" i="33" s="1"/>
  <c r="AN146" i="33" a="1"/>
  <c r="AN146" i="33" s="1"/>
  <c r="AB146" i="33"/>
  <c r="K146" i="33"/>
  <c r="B146" i="33"/>
  <c r="K145" i="33"/>
  <c r="AN144" i="33" a="1"/>
  <c r="AN144" i="33" s="1"/>
  <c r="AB144" i="33"/>
  <c r="K144" i="33"/>
  <c r="B144" i="33"/>
  <c r="K143" i="33"/>
  <c r="AN143" i="33" s="1" a="1"/>
  <c r="AN143" i="33" s="1"/>
  <c r="AN142" i="33" a="1"/>
  <c r="AN142" i="33" s="1"/>
  <c r="AB142" i="33"/>
  <c r="K142" i="33"/>
  <c r="B142" i="33"/>
  <c r="K141" i="33"/>
  <c r="AN140" i="33" a="1"/>
  <c r="AN140" i="33" s="1"/>
  <c r="AB140" i="33"/>
  <c r="K140" i="33"/>
  <c r="B140" i="33"/>
  <c r="K139" i="33"/>
  <c r="AN139" i="33" s="1" a="1"/>
  <c r="AN139" i="33" s="1"/>
  <c r="AN138" i="33" a="1"/>
  <c r="AN138" i="33" s="1"/>
  <c r="AB138" i="33"/>
  <c r="K138" i="33"/>
  <c r="B138" i="33"/>
  <c r="K137" i="33"/>
  <c r="AN136" i="33" a="1"/>
  <c r="AN136" i="33" s="1"/>
  <c r="K136" i="33" a="1"/>
  <c r="K136" i="33"/>
  <c r="AB136" i="33" s="1"/>
  <c r="G136" i="33"/>
  <c r="G137" i="33" s="1" a="1"/>
  <c r="G137" i="33" s="1"/>
  <c r="G138" i="33" s="1" a="1"/>
  <c r="G138" i="33" s="1"/>
  <c r="G139" i="33" s="1" a="1"/>
  <c r="G139" i="33" s="1"/>
  <c r="G140" i="33" s="1" a="1"/>
  <c r="G140" i="33" s="1"/>
  <c r="G141" i="33" s="1" a="1"/>
  <c r="G141" i="33" s="1"/>
  <c r="G142" i="33" s="1" a="1"/>
  <c r="G142" i="33" s="1"/>
  <c r="G143" i="33" s="1" a="1"/>
  <c r="G143" i="33" s="1"/>
  <c r="G144" i="33" s="1" a="1"/>
  <c r="G144" i="33" s="1"/>
  <c r="G145" i="33" s="1" a="1"/>
  <c r="G145" i="33" s="1"/>
  <c r="G146" i="33" s="1" a="1"/>
  <c r="G146" i="33" s="1"/>
  <c r="G147" i="33" s="1" a="1"/>
  <c r="G147" i="33" s="1"/>
  <c r="G148" i="33" s="1" a="1"/>
  <c r="G148" i="33" s="1"/>
  <c r="G149" i="33" s="1" a="1"/>
  <c r="G149" i="33" s="1"/>
  <c r="G150" i="33" s="1" a="1"/>
  <c r="G150" i="33" s="1"/>
  <c r="G151" i="33" s="1" a="1"/>
  <c r="G151" i="33" s="1"/>
  <c r="G152" i="33" s="1" a="1"/>
  <c r="G152" i="33" s="1"/>
  <c r="G153" i="33" s="1" a="1"/>
  <c r="G153" i="33" s="1"/>
  <c r="G154" i="33" s="1" a="1"/>
  <c r="G154" i="33" s="1"/>
  <c r="G155" i="33" s="1" a="1"/>
  <c r="G155" i="33" s="1"/>
  <c r="G156" i="33" s="1" a="1"/>
  <c r="G156" i="33" s="1"/>
  <c r="G157" i="33" s="1" a="1"/>
  <c r="G157" i="33" s="1"/>
  <c r="G158" i="33" s="1" a="1"/>
  <c r="G158" i="33" s="1"/>
  <c r="G159" i="33" s="1" a="1"/>
  <c r="G159" i="33" s="1"/>
  <c r="G160" i="33" s="1" a="1"/>
  <c r="G160" i="33" s="1"/>
  <c r="G161" i="33" s="1" a="1"/>
  <c r="G161" i="33" s="1"/>
  <c r="G162" i="33" s="1" a="1"/>
  <c r="G162" i="33" s="1"/>
  <c r="G163" i="33" s="1" a="1"/>
  <c r="G163" i="33" s="1"/>
  <c r="G164" i="33" s="1" a="1"/>
  <c r="G164" i="33" s="1"/>
  <c r="G165" i="33" s="1" a="1"/>
  <c r="G165" i="33" s="1"/>
  <c r="G166" i="33" s="1" a="1"/>
  <c r="G166" i="33" s="1"/>
  <c r="G167" i="33" s="1" a="1"/>
  <c r="G167" i="33" s="1"/>
  <c r="G168" i="33" s="1" a="1"/>
  <c r="G168" i="33" s="1"/>
  <c r="G169" i="33" s="1" a="1"/>
  <c r="G169" i="33" s="1"/>
  <c r="G170" i="33" s="1" a="1"/>
  <c r="G170" i="33" s="1"/>
  <c r="G171" i="33" s="1" a="1"/>
  <c r="G171" i="33" s="1"/>
  <c r="G172" i="33" s="1" a="1"/>
  <c r="G172" i="33" s="1"/>
  <c r="G173" i="33" s="1" a="1"/>
  <c r="G173" i="33" s="1"/>
  <c r="G174" i="33" s="1" a="1"/>
  <c r="G174" i="33" s="1"/>
  <c r="G175" i="33" s="1" a="1"/>
  <c r="G175" i="33" s="1"/>
  <c r="G176" i="33" s="1" a="1"/>
  <c r="G176" i="33" s="1"/>
  <c r="G177" i="33" s="1" a="1"/>
  <c r="G177" i="33" s="1"/>
  <c r="G178" i="33" s="1" a="1"/>
  <c r="G178" i="33" s="1"/>
  <c r="G179" i="33" s="1" a="1"/>
  <c r="G179" i="33" s="1"/>
  <c r="G180" i="33" s="1" a="1"/>
  <c r="G180" i="33" s="1"/>
  <c r="G181" i="33" s="1" a="1"/>
  <c r="G181" i="33" s="1"/>
  <c r="G182" i="33" s="1" a="1"/>
  <c r="G182" i="33" s="1"/>
  <c r="G183" i="33" s="1" a="1"/>
  <c r="G183" i="33" s="1"/>
  <c r="G184" i="33" s="1" a="1"/>
  <c r="G184" i="33" s="1"/>
  <c r="G185" i="33" s="1" a="1"/>
  <c r="G185" i="33" s="1"/>
  <c r="AP135" i="33" a="1"/>
  <c r="AP135" i="33" s="1"/>
  <c r="AP136" i="33" s="1" a="1"/>
  <c r="AP136" i="33" s="1"/>
  <c r="AP137" i="33" s="1" a="1"/>
  <c r="AP137" i="33" s="1"/>
  <c r="AP138" i="33" s="1" a="1"/>
  <c r="AP138" i="33" s="1"/>
  <c r="AP139" i="33" s="1" a="1"/>
  <c r="AP139" i="33" s="1"/>
  <c r="AP140" i="33" s="1" a="1"/>
  <c r="AP140" i="33" s="1"/>
  <c r="AP141" i="33" s="1" a="1"/>
  <c r="AP141" i="33" s="1"/>
  <c r="AP142" i="33" s="1" a="1"/>
  <c r="AP142" i="33" s="1"/>
  <c r="AP143" i="33" s="1" a="1"/>
  <c r="AP143" i="33" s="1"/>
  <c r="AP144" i="33" s="1" a="1"/>
  <c r="AP144" i="33" s="1"/>
  <c r="AP145" i="33" s="1" a="1"/>
  <c r="AP145" i="33" s="1"/>
  <c r="AP146" i="33" s="1" a="1"/>
  <c r="AP146" i="33" s="1"/>
  <c r="AP147" i="33" s="1" a="1"/>
  <c r="AP147" i="33" s="1"/>
  <c r="AP148" i="33" s="1" a="1"/>
  <c r="AP148" i="33" s="1"/>
  <c r="AP149" i="33" s="1" a="1"/>
  <c r="AP149" i="33" s="1"/>
  <c r="AP150" i="33" s="1" a="1"/>
  <c r="AP150" i="33" s="1"/>
  <c r="AP151" i="33" s="1" a="1"/>
  <c r="AP151" i="33" s="1"/>
  <c r="AP152" i="33" s="1" a="1"/>
  <c r="AP152" i="33" s="1"/>
  <c r="AP153" i="33" s="1" a="1"/>
  <c r="AP153" i="33" s="1"/>
  <c r="AP154" i="33" s="1" a="1"/>
  <c r="AP154" i="33" s="1"/>
  <c r="AP155" i="33" s="1" a="1"/>
  <c r="AP155" i="33" s="1"/>
  <c r="AP156" i="33" s="1" a="1"/>
  <c r="AP156" i="33" s="1"/>
  <c r="AP157" i="33" s="1" a="1"/>
  <c r="AP157" i="33" s="1"/>
  <c r="AP158" i="33" s="1" a="1"/>
  <c r="AP158" i="33" s="1"/>
  <c r="AP159" i="33" s="1" a="1"/>
  <c r="AP159" i="33" s="1"/>
  <c r="AP160" i="33" s="1" a="1"/>
  <c r="AP160" i="33" s="1"/>
  <c r="AP161" i="33" s="1" a="1"/>
  <c r="AP161" i="33" s="1"/>
  <c r="AP162" i="33" s="1" a="1"/>
  <c r="AP162" i="33" s="1"/>
  <c r="AP163" i="33" s="1" a="1"/>
  <c r="AP163" i="33" s="1"/>
  <c r="AP164" i="33" s="1" a="1"/>
  <c r="AP164" i="33" s="1"/>
  <c r="AP165" i="33" s="1" a="1"/>
  <c r="AP165" i="33" s="1"/>
  <c r="AP166" i="33" s="1" a="1"/>
  <c r="AP166" i="33" s="1"/>
  <c r="AP167" i="33" s="1" a="1"/>
  <c r="AP167" i="33" s="1"/>
  <c r="AP168" i="33" s="1" a="1"/>
  <c r="AP168" i="33" s="1"/>
  <c r="AP169" i="33" s="1" a="1"/>
  <c r="AP169" i="33" s="1"/>
  <c r="AP170" i="33" s="1" a="1"/>
  <c r="AP170" i="33" s="1"/>
  <c r="AP171" i="33" s="1" a="1"/>
  <c r="AP171" i="33" s="1"/>
  <c r="AP172" i="33" s="1" a="1"/>
  <c r="AP172" i="33" s="1"/>
  <c r="AP173" i="33" s="1" a="1"/>
  <c r="AP173" i="33" s="1"/>
  <c r="AP174" i="33" s="1" a="1"/>
  <c r="AP174" i="33" s="1"/>
  <c r="AP175" i="33" s="1" a="1"/>
  <c r="AP175" i="33" s="1"/>
  <c r="AP176" i="33" s="1" a="1"/>
  <c r="AP176" i="33" s="1"/>
  <c r="AP177" i="33" s="1" a="1"/>
  <c r="AP177" i="33" s="1"/>
  <c r="AP178" i="33" s="1" a="1"/>
  <c r="AP178" i="33" s="1"/>
  <c r="AP179" i="33" s="1" a="1"/>
  <c r="AP179" i="33" s="1"/>
  <c r="AP180" i="33" s="1" a="1"/>
  <c r="AP180" i="33" s="1"/>
  <c r="AP181" i="33" s="1" a="1"/>
  <c r="AP181" i="33" s="1"/>
  <c r="AP182" i="33" s="1" a="1"/>
  <c r="AP182" i="33" s="1"/>
  <c r="AP183" i="33" s="1" a="1"/>
  <c r="AP183" i="33" s="1"/>
  <c r="AP184" i="33" s="1" a="1"/>
  <c r="AP184" i="33" s="1"/>
  <c r="AP185" i="33" s="1" a="1"/>
  <c r="AP185" i="33" s="1"/>
  <c r="G135" i="33" a="1"/>
  <c r="G135" i="33"/>
  <c r="G136" i="33" s="1" a="1"/>
  <c r="T134" i="33"/>
  <c r="F134" i="33" a="1"/>
  <c r="F134" i="33" s="1"/>
  <c r="F135" i="33" s="1" a="1"/>
  <c r="F135" i="33" s="1"/>
  <c r="G133" i="33"/>
  <c r="AN132" i="33" a="1"/>
  <c r="AN132" i="33" s="1"/>
  <c r="AB132" i="33"/>
  <c r="K132" i="33"/>
  <c r="B132" i="33"/>
  <c r="K131" i="33"/>
  <c r="AN131" i="33" s="1" a="1"/>
  <c r="AN131" i="33" s="1"/>
  <c r="AN130" i="33" a="1"/>
  <c r="AN130" i="33" s="1"/>
  <c r="AB130" i="33"/>
  <c r="K130" i="33"/>
  <c r="B130" i="33"/>
  <c r="K129" i="33"/>
  <c r="AN128" i="33" a="1"/>
  <c r="AN128" i="33" s="1"/>
  <c r="AB128" i="33"/>
  <c r="K128" i="33"/>
  <c r="B128" i="33"/>
  <c r="AB127" i="33"/>
  <c r="K127" i="33"/>
  <c r="AN127" i="33" s="1" a="1"/>
  <c r="AN127" i="33" s="1"/>
  <c r="B127" i="33"/>
  <c r="K126" i="33"/>
  <c r="AN126" i="33" s="1" a="1"/>
  <c r="AN126" i="33" s="1"/>
  <c r="AN125" i="33" a="1"/>
  <c r="AN125" i="33"/>
  <c r="K125" i="33"/>
  <c r="AN124" i="33" a="1"/>
  <c r="AN124" i="33" s="1"/>
  <c r="AB124" i="33"/>
  <c r="K124" i="33"/>
  <c r="B124" i="33"/>
  <c r="AB123" i="33"/>
  <c r="K123" i="33"/>
  <c r="AN123" i="33" s="1" a="1"/>
  <c r="AN123" i="33" s="1"/>
  <c r="B123" i="33"/>
  <c r="AN122" i="33"/>
  <c r="AB122" i="33"/>
  <c r="K122" i="33"/>
  <c r="AN122" i="33" s="1" a="1"/>
  <c r="B122" i="33"/>
  <c r="K121" i="33"/>
  <c r="AN120" i="33" a="1"/>
  <c r="AN120" i="33" s="1"/>
  <c r="AB120" i="33"/>
  <c r="K120" i="33"/>
  <c r="B120" i="33"/>
  <c r="AB119" i="33"/>
  <c r="K119" i="33"/>
  <c r="AN119" i="33" s="1" a="1"/>
  <c r="AN119" i="33" s="1"/>
  <c r="B119" i="33"/>
  <c r="K118" i="33"/>
  <c r="AN118" i="33" s="1" a="1"/>
  <c r="AN118" i="33" s="1"/>
  <c r="AN117" i="33" a="1"/>
  <c r="AN117" i="33"/>
  <c r="K117" i="33"/>
  <c r="AN116" i="33" a="1"/>
  <c r="AN116" i="33" s="1"/>
  <c r="AB116" i="33"/>
  <c r="K116" i="33"/>
  <c r="B116" i="33"/>
  <c r="AB115" i="33"/>
  <c r="K115" i="33"/>
  <c r="AN115" i="33" s="1" a="1"/>
  <c r="AN115" i="33" s="1"/>
  <c r="B115" i="33"/>
  <c r="AN114" i="33"/>
  <c r="AB114" i="33"/>
  <c r="K114" i="33"/>
  <c r="AN114" i="33" s="1" a="1"/>
  <c r="B114" i="33"/>
  <c r="K113" i="33"/>
  <c r="AN112" i="33" a="1"/>
  <c r="AN112" i="33" s="1"/>
  <c r="AB112" i="33"/>
  <c r="K112" i="33"/>
  <c r="B112" i="33"/>
  <c r="AB111" i="33"/>
  <c r="K111" i="33"/>
  <c r="AN111" i="33" s="1" a="1"/>
  <c r="AN111" i="33" s="1"/>
  <c r="B111" i="33"/>
  <c r="K110" i="33"/>
  <c r="AN110" i="33" s="1" a="1"/>
  <c r="AN110" i="33" s="1"/>
  <c r="AN109" i="33" a="1"/>
  <c r="AN109" i="33"/>
  <c r="K109" i="33"/>
  <c r="AN108" i="33" a="1"/>
  <c r="AN108" i="33" s="1"/>
  <c r="AB108" i="33"/>
  <c r="K108" i="33"/>
  <c r="B108" i="33"/>
  <c r="AB107" i="33"/>
  <c r="K107" i="33"/>
  <c r="AN107" i="33" s="1" a="1"/>
  <c r="AN107" i="33" s="1"/>
  <c r="B107" i="33"/>
  <c r="AN106" i="33"/>
  <c r="AB106" i="33"/>
  <c r="K106" i="33"/>
  <c r="AN106" i="33" s="1" a="1"/>
  <c r="B106" i="33"/>
  <c r="K105" i="33"/>
  <c r="AN104" i="33" a="1"/>
  <c r="AN104" i="33" s="1"/>
  <c r="AB104" i="33"/>
  <c r="K104" i="33"/>
  <c r="B104" i="33"/>
  <c r="AB103" i="33"/>
  <c r="K103" i="33"/>
  <c r="AN103" i="33" s="1" a="1"/>
  <c r="AN103" i="33" s="1"/>
  <c r="B103" i="33"/>
  <c r="K102" i="33"/>
  <c r="AN102" i="33" s="1" a="1"/>
  <c r="AN102" i="33" s="1"/>
  <c r="AN101" i="33" a="1"/>
  <c r="AN101" i="33"/>
  <c r="K101" i="33"/>
  <c r="AN100" i="33" a="1"/>
  <c r="AN100" i="33" s="1"/>
  <c r="K100" i="33"/>
  <c r="AB100" i="33" s="1"/>
  <c r="B100" i="33"/>
  <c r="AB99" i="33"/>
  <c r="K99" i="33"/>
  <c r="AN99" i="33" s="1" a="1"/>
  <c r="AN99" i="33" s="1"/>
  <c r="B99" i="33"/>
  <c r="K98" i="33"/>
  <c r="AN98" i="33" s="1" a="1"/>
  <c r="AN98" i="33" s="1"/>
  <c r="AN97" i="33" a="1"/>
  <c r="AN97" i="33" s="1"/>
  <c r="K97" i="33"/>
  <c r="AN96" i="33" a="1"/>
  <c r="AN96" i="33" s="1"/>
  <c r="K96" i="33"/>
  <c r="AB96" i="33" s="1"/>
  <c r="AN95" i="33" a="1"/>
  <c r="AN95" i="33" s="1"/>
  <c r="AB95" i="33"/>
  <c r="K95" i="33"/>
  <c r="B95" i="33"/>
  <c r="AN94" i="33"/>
  <c r="AB94" i="33"/>
  <c r="K94" i="33"/>
  <c r="AN94" i="33" s="1" a="1"/>
  <c r="B94" i="33"/>
  <c r="K93" i="33"/>
  <c r="AN92" i="33" a="1"/>
  <c r="AN92" i="33" s="1"/>
  <c r="K92" i="33"/>
  <c r="AB92" i="33" s="1"/>
  <c r="AN91" i="33" a="1"/>
  <c r="AN91" i="33" s="1"/>
  <c r="AB91" i="33"/>
  <c r="K91" i="33"/>
  <c r="B91" i="33"/>
  <c r="AN90" i="33"/>
  <c r="AB90" i="33"/>
  <c r="K90" i="33"/>
  <c r="AN90" i="33" s="1" a="1"/>
  <c r="B90" i="33"/>
  <c r="K89" i="33"/>
  <c r="AN89" i="33" s="1" a="1"/>
  <c r="AN89" i="33" s="1"/>
  <c r="AN88" i="33" a="1"/>
  <c r="AN88" i="33" s="1"/>
  <c r="K88" i="33"/>
  <c r="AB88" i="33" s="1"/>
  <c r="AN87" i="33" a="1"/>
  <c r="AN87" i="33" s="1"/>
  <c r="AB87" i="33"/>
  <c r="K87" i="33"/>
  <c r="B87" i="33"/>
  <c r="K86" i="33"/>
  <c r="AN86" i="33" s="1" a="1"/>
  <c r="AN86" i="33" s="1"/>
  <c r="AN85" i="33" a="1"/>
  <c r="AN85" i="33"/>
  <c r="K85" i="33"/>
  <c r="AN84" i="33" a="1"/>
  <c r="AN84" i="33" s="1"/>
  <c r="K84" i="33"/>
  <c r="AB84" i="33" s="1"/>
  <c r="AP83" i="33" a="1"/>
  <c r="AP83" i="33" s="1"/>
  <c r="AP84" i="33" s="1" a="1"/>
  <c r="AP84" i="33" s="1"/>
  <c r="AP85" i="33" s="1" a="1"/>
  <c r="AP85" i="33" s="1"/>
  <c r="AP86" i="33" s="1" a="1"/>
  <c r="AP86" i="33" s="1"/>
  <c r="AP87" i="33" s="1" a="1"/>
  <c r="AP87" i="33" s="1"/>
  <c r="AP88" i="33" s="1" a="1"/>
  <c r="AP88" i="33" s="1"/>
  <c r="AP89" i="33" s="1" a="1"/>
  <c r="AP89" i="33" s="1"/>
  <c r="AP90" i="33" s="1" a="1"/>
  <c r="AP90" i="33" s="1"/>
  <c r="AP91" i="33" s="1" a="1"/>
  <c r="AP91" i="33" s="1"/>
  <c r="AP92" i="33" s="1" a="1"/>
  <c r="AP92" i="33" s="1"/>
  <c r="AP93" i="33" s="1" a="1"/>
  <c r="AP93" i="33" s="1"/>
  <c r="AP94" i="33" s="1" a="1"/>
  <c r="AP94" i="33" s="1"/>
  <c r="AP95" i="33" s="1" a="1"/>
  <c r="AP95" i="33" s="1"/>
  <c r="AP96" i="33" s="1" a="1"/>
  <c r="AP96" i="33" s="1"/>
  <c r="AP97" i="33" s="1" a="1"/>
  <c r="AP97" i="33" s="1"/>
  <c r="AP98" i="33" s="1" a="1"/>
  <c r="AP98" i="33" s="1"/>
  <c r="AP99" i="33" s="1" a="1"/>
  <c r="AP99" i="33" s="1"/>
  <c r="AP100" i="33" s="1" a="1"/>
  <c r="AP100" i="33" s="1"/>
  <c r="AP101" i="33" s="1" a="1"/>
  <c r="AP101" i="33" s="1"/>
  <c r="AP102" i="33" s="1" a="1"/>
  <c r="AP102" i="33" s="1"/>
  <c r="AP103" i="33" s="1" a="1"/>
  <c r="AP103" i="33" s="1"/>
  <c r="AP104" i="33" s="1" a="1"/>
  <c r="AP104" i="33" s="1"/>
  <c r="AP105" i="33" s="1" a="1"/>
  <c r="AP105" i="33" s="1"/>
  <c r="AP106" i="33" s="1" a="1"/>
  <c r="AP106" i="33" s="1"/>
  <c r="AP107" i="33" s="1" a="1"/>
  <c r="AP107" i="33" s="1"/>
  <c r="AP108" i="33" s="1" a="1"/>
  <c r="AP108" i="33" s="1"/>
  <c r="AP109" i="33" s="1" a="1"/>
  <c r="AP109" i="33" s="1"/>
  <c r="AP110" i="33" s="1" a="1"/>
  <c r="AP110" i="33" s="1"/>
  <c r="AP111" i="33" s="1" a="1"/>
  <c r="AP111" i="33" s="1"/>
  <c r="AP112" i="33" s="1" a="1"/>
  <c r="AP112" i="33" s="1"/>
  <c r="AP113" i="33" s="1" a="1"/>
  <c r="AP113" i="33" s="1"/>
  <c r="AP114" i="33" s="1" a="1"/>
  <c r="AP114" i="33" s="1"/>
  <c r="AP115" i="33" s="1" a="1"/>
  <c r="AP115" i="33" s="1"/>
  <c r="AP116" i="33" s="1" a="1"/>
  <c r="AP116" i="33" s="1"/>
  <c r="AP117" i="33" s="1" a="1"/>
  <c r="AP117" i="33" s="1"/>
  <c r="AP118" i="33" s="1" a="1"/>
  <c r="AP118" i="33" s="1"/>
  <c r="AP119" i="33" s="1" a="1"/>
  <c r="AP119" i="33" s="1"/>
  <c r="AP120" i="33" s="1" a="1"/>
  <c r="AP120" i="33" s="1"/>
  <c r="AP121" i="33" s="1" a="1"/>
  <c r="AP121" i="33" s="1"/>
  <c r="AP122" i="33" s="1" a="1"/>
  <c r="AP122" i="33" s="1"/>
  <c r="AP123" i="33" s="1" a="1"/>
  <c r="AP123" i="33" s="1"/>
  <c r="AP124" i="33" s="1" a="1"/>
  <c r="AP124" i="33" s="1"/>
  <c r="AP125" i="33" s="1" a="1"/>
  <c r="AP125" i="33" s="1"/>
  <c r="AP126" i="33" s="1" a="1"/>
  <c r="AP126" i="33" s="1"/>
  <c r="AP127" i="33" s="1" a="1"/>
  <c r="AP127" i="33" s="1"/>
  <c r="AP128" i="33" s="1" a="1"/>
  <c r="AP128" i="33" s="1"/>
  <c r="AP129" i="33" s="1" a="1"/>
  <c r="AP129" i="33" s="1"/>
  <c r="AP130" i="33" s="1" a="1"/>
  <c r="AP130" i="33" s="1"/>
  <c r="AP131" i="33" s="1" a="1"/>
  <c r="AP131" i="33" s="1"/>
  <c r="AP132" i="33" s="1" a="1"/>
  <c r="AP132" i="33" s="1"/>
  <c r="K83" i="33" a="1"/>
  <c r="K83" i="33"/>
  <c r="AN83" i="33" s="1" a="1"/>
  <c r="AN83" i="33" s="1"/>
  <c r="B83" i="33"/>
  <c r="AP82" i="33" a="1"/>
  <c r="AP82" i="33" s="1"/>
  <c r="G82" i="33" a="1"/>
  <c r="G82" i="33" s="1"/>
  <c r="G83" i="33" s="1" a="1"/>
  <c r="G83" i="33" s="1"/>
  <c r="G84" i="33" s="1" a="1"/>
  <c r="G84" i="33" s="1"/>
  <c r="G85" i="33" s="1" a="1"/>
  <c r="G85" i="33" s="1"/>
  <c r="G86" i="33" s="1" a="1"/>
  <c r="G86" i="33" s="1"/>
  <c r="G87" i="33" s="1" a="1"/>
  <c r="G87" i="33" s="1"/>
  <c r="G88" i="33" s="1" a="1"/>
  <c r="G88" i="33" s="1"/>
  <c r="G89" i="33" s="1" a="1"/>
  <c r="G89" i="33" s="1"/>
  <c r="G90" i="33" s="1" a="1"/>
  <c r="G90" i="33" s="1"/>
  <c r="G91" i="33" s="1" a="1"/>
  <c r="G91" i="33" s="1"/>
  <c r="G92" i="33" s="1" a="1"/>
  <c r="G92" i="33" s="1"/>
  <c r="G93" i="33" s="1" a="1"/>
  <c r="G93" i="33" s="1"/>
  <c r="G94" i="33" s="1" a="1"/>
  <c r="G94" i="33" s="1"/>
  <c r="G95" i="33" s="1" a="1"/>
  <c r="G95" i="33" s="1"/>
  <c r="G96" i="33" s="1" a="1"/>
  <c r="G96" i="33" s="1"/>
  <c r="G97" i="33" s="1" a="1"/>
  <c r="G97" i="33" s="1"/>
  <c r="G98" i="33" s="1" a="1"/>
  <c r="G98" i="33" s="1"/>
  <c r="G99" i="33" s="1" a="1"/>
  <c r="G99" i="33" s="1"/>
  <c r="G100" i="33" s="1" a="1"/>
  <c r="G100" i="33" s="1"/>
  <c r="G101" i="33" s="1" a="1"/>
  <c r="G101" i="33" s="1"/>
  <c r="G102" i="33" s="1" a="1"/>
  <c r="G102" i="33" s="1"/>
  <c r="G103" i="33" s="1" a="1"/>
  <c r="G103" i="33" s="1"/>
  <c r="G104" i="33" s="1" a="1"/>
  <c r="G104" i="33" s="1"/>
  <c r="G105" i="33" s="1" a="1"/>
  <c r="G105" i="33" s="1"/>
  <c r="G106" i="33" s="1" a="1"/>
  <c r="G106" i="33" s="1"/>
  <c r="G107" i="33" s="1" a="1"/>
  <c r="G107" i="33" s="1"/>
  <c r="G108" i="33" s="1" a="1"/>
  <c r="G108" i="33" s="1"/>
  <c r="G109" i="33" s="1" a="1"/>
  <c r="G109" i="33" s="1"/>
  <c r="G110" i="33" s="1" a="1"/>
  <c r="G110" i="33" s="1"/>
  <c r="G111" i="33" s="1" a="1"/>
  <c r="G111" i="33" s="1"/>
  <c r="G112" i="33" s="1" a="1"/>
  <c r="G112" i="33" s="1"/>
  <c r="G113" i="33" s="1" a="1"/>
  <c r="G113" i="33" s="1"/>
  <c r="G114" i="33" s="1" a="1"/>
  <c r="G114" i="33" s="1"/>
  <c r="G115" i="33" s="1" a="1"/>
  <c r="G115" i="33" s="1"/>
  <c r="G116" i="33" s="1" a="1"/>
  <c r="G116" i="33" s="1"/>
  <c r="G117" i="33" s="1" a="1"/>
  <c r="G117" i="33" s="1"/>
  <c r="G118" i="33" s="1" a="1"/>
  <c r="G118" i="33" s="1"/>
  <c r="G119" i="33" s="1" a="1"/>
  <c r="G119" i="33" s="1"/>
  <c r="G120" i="33" s="1" a="1"/>
  <c r="G120" i="33" s="1"/>
  <c r="G121" i="33" s="1" a="1"/>
  <c r="G121" i="33" s="1"/>
  <c r="G122" i="33" s="1" a="1"/>
  <c r="G122" i="33" s="1"/>
  <c r="G123" i="33" s="1" a="1"/>
  <c r="G123" i="33" s="1"/>
  <c r="G124" i="33" s="1" a="1"/>
  <c r="G124" i="33" s="1"/>
  <c r="G125" i="33" s="1" a="1"/>
  <c r="G125" i="33" s="1"/>
  <c r="G126" i="33" s="1" a="1"/>
  <c r="G126" i="33" s="1"/>
  <c r="G127" i="33" s="1" a="1"/>
  <c r="G127" i="33" s="1"/>
  <c r="G128" i="33" s="1" a="1"/>
  <c r="G128" i="33" s="1"/>
  <c r="G129" i="33" s="1" a="1"/>
  <c r="G129" i="33" s="1"/>
  <c r="G130" i="33" s="1" a="1"/>
  <c r="G130" i="33" s="1"/>
  <c r="G131" i="33" s="1" a="1"/>
  <c r="G131" i="33" s="1"/>
  <c r="G132" i="33" s="1" a="1"/>
  <c r="G132" i="33" s="1"/>
  <c r="T81" i="33"/>
  <c r="F81" i="33" a="1"/>
  <c r="F81" i="33" s="1"/>
  <c r="F82" i="33" s="1" a="1"/>
  <c r="F82" i="33" s="1"/>
  <c r="G80" i="33"/>
  <c r="AN79" i="33" a="1"/>
  <c r="AN79" i="33" s="1"/>
  <c r="AB79" i="33"/>
  <c r="K79" i="33"/>
  <c r="B79" i="33"/>
  <c r="K78" i="33"/>
  <c r="AN78" i="33" s="1" a="1"/>
  <c r="AN78" i="33" s="1"/>
  <c r="AN77" i="33" a="1"/>
  <c r="AN77" i="33"/>
  <c r="K77" i="33"/>
  <c r="AN76" i="33" a="1"/>
  <c r="AN76" i="33" s="1"/>
  <c r="K76" i="33"/>
  <c r="AB76" i="33" s="1"/>
  <c r="AN75" i="33" a="1"/>
  <c r="AN75" i="33" s="1"/>
  <c r="AB75" i="33"/>
  <c r="K75" i="33"/>
  <c r="B75" i="33"/>
  <c r="K74" i="33"/>
  <c r="AN73" i="33" a="1"/>
  <c r="AN73" i="33" s="1"/>
  <c r="K73" i="33"/>
  <c r="AN72" i="33" a="1"/>
  <c r="AN72" i="33" s="1"/>
  <c r="K72" i="33"/>
  <c r="AB72" i="33" s="1"/>
  <c r="AN71" i="33" a="1"/>
  <c r="AN71" i="33" s="1"/>
  <c r="AB71" i="33"/>
  <c r="K71" i="33"/>
  <c r="B71" i="33"/>
  <c r="AN70" i="33"/>
  <c r="AB70" i="33"/>
  <c r="K70" i="33"/>
  <c r="AN70" i="33" s="1" a="1"/>
  <c r="B70" i="33"/>
  <c r="K69" i="33"/>
  <c r="AN68" i="33" a="1"/>
  <c r="AN68" i="33" s="1"/>
  <c r="K68" i="33"/>
  <c r="AB68" i="33" s="1"/>
  <c r="AN67" i="33" a="1"/>
  <c r="AN67" i="33" s="1"/>
  <c r="AB67" i="33"/>
  <c r="K67" i="33"/>
  <c r="B67" i="33"/>
  <c r="K66" i="33"/>
  <c r="B66" i="33"/>
  <c r="AB65" i="33"/>
  <c r="K65" i="33"/>
  <c r="AN65" i="33" s="1" a="1"/>
  <c r="AN65" i="33" s="1"/>
  <c r="B65" i="33"/>
  <c r="AN64" i="33" a="1"/>
  <c r="AN64" i="33" s="1"/>
  <c r="K64" i="33"/>
  <c r="AN63" i="33" a="1"/>
  <c r="AN63" i="33" s="1"/>
  <c r="AB63" i="33"/>
  <c r="K63" i="33"/>
  <c r="B63" i="33"/>
  <c r="K62" i="33"/>
  <c r="B62" i="33"/>
  <c r="AB61" i="33"/>
  <c r="K61" i="33"/>
  <c r="AN61" i="33" s="1" a="1"/>
  <c r="AN61" i="33" s="1"/>
  <c r="B61" i="33"/>
  <c r="AN60" i="33" a="1"/>
  <c r="AN60" i="33" s="1"/>
  <c r="K60" i="33"/>
  <c r="AN59" i="33" a="1"/>
  <c r="AN59" i="33" s="1"/>
  <c r="AB59" i="33"/>
  <c r="K59" i="33"/>
  <c r="B59" i="33"/>
  <c r="AB58" i="33"/>
  <c r="K58" i="33"/>
  <c r="AN58" i="33" s="1" a="1"/>
  <c r="AN58" i="33" s="1"/>
  <c r="B58" i="33"/>
  <c r="K57" i="33"/>
  <c r="AN56" i="33" a="1"/>
  <c r="AN56" i="33" s="1"/>
  <c r="K56" i="33"/>
  <c r="AB56" i="33" s="1"/>
  <c r="AB55" i="33"/>
  <c r="K55" i="33"/>
  <c r="AN55" i="33" s="1" a="1"/>
  <c r="AN55" i="33" s="1"/>
  <c r="B55" i="33"/>
  <c r="AB54" i="33"/>
  <c r="K54" i="33"/>
  <c r="AN54" i="33" s="1" a="1"/>
  <c r="AN54" i="33" s="1"/>
  <c r="B54" i="33"/>
  <c r="K53" i="33"/>
  <c r="AN52" i="33" a="1"/>
  <c r="AN52" i="33" s="1"/>
  <c r="K52" i="33"/>
  <c r="AB52" i="33" s="1"/>
  <c r="AB51" i="33"/>
  <c r="K51" i="33"/>
  <c r="AN51" i="33" s="1" a="1"/>
  <c r="AN51" i="33" s="1"/>
  <c r="B51" i="33"/>
  <c r="AB50" i="33"/>
  <c r="K50" i="33"/>
  <c r="AN50" i="33" s="1" a="1"/>
  <c r="AN50" i="33" s="1"/>
  <c r="B50" i="33"/>
  <c r="K49" i="33"/>
  <c r="AN48" i="33" a="1"/>
  <c r="AN48" i="33" s="1"/>
  <c r="K48" i="33"/>
  <c r="AB48" i="33" s="1"/>
  <c r="AN47" i="33" a="1"/>
  <c r="AN47" i="33" s="1"/>
  <c r="AB47" i="33"/>
  <c r="K47" i="33"/>
  <c r="B47" i="33"/>
  <c r="AB46" i="33"/>
  <c r="K46" i="33"/>
  <c r="AN46" i="33" s="1" a="1"/>
  <c r="AN46" i="33" s="1"/>
  <c r="B46" i="33"/>
  <c r="K45" i="33"/>
  <c r="AN44" i="33" a="1"/>
  <c r="AN44" i="33" s="1"/>
  <c r="K44" i="33"/>
  <c r="AB44" i="33" s="1"/>
  <c r="AN43" i="33" a="1"/>
  <c r="AN43" i="33" s="1"/>
  <c r="AB43" i="33"/>
  <c r="K43" i="33"/>
  <c r="B43" i="33"/>
  <c r="AB42" i="33"/>
  <c r="K42" i="33"/>
  <c r="AN42" i="33" s="1" a="1"/>
  <c r="AN42" i="33" s="1"/>
  <c r="B42" i="33"/>
  <c r="K41" i="33"/>
  <c r="AN40" i="33" a="1"/>
  <c r="AN40" i="33" s="1"/>
  <c r="K40" i="33"/>
  <c r="AB40" i="33" s="1"/>
  <c r="AN39" i="33" a="1"/>
  <c r="AN39" i="33" s="1"/>
  <c r="AB39" i="33"/>
  <c r="K39" i="33"/>
  <c r="B39" i="33"/>
  <c r="AB38" i="33"/>
  <c r="K38" i="33"/>
  <c r="AN38" i="33" s="1" a="1"/>
  <c r="AN38" i="33" s="1"/>
  <c r="B38" i="33"/>
  <c r="K37" i="33"/>
  <c r="AN36" i="33" a="1"/>
  <c r="AN36" i="33" s="1"/>
  <c r="K36" i="33"/>
  <c r="AB36" i="33" s="1"/>
  <c r="AN35" i="33" a="1"/>
  <c r="AN35" i="33" s="1"/>
  <c r="AB35" i="33"/>
  <c r="K35" i="33"/>
  <c r="B35" i="33"/>
  <c r="AB34" i="33"/>
  <c r="K34" i="33"/>
  <c r="AN34" i="33" s="1" a="1"/>
  <c r="AN34" i="33" s="1"/>
  <c r="B34" i="33"/>
  <c r="K33" i="33"/>
  <c r="AN32" i="33" a="1"/>
  <c r="AN32" i="33" s="1"/>
  <c r="K32" i="33"/>
  <c r="AB32" i="33" s="1"/>
  <c r="AN31" i="33" a="1"/>
  <c r="AN31" i="33" s="1"/>
  <c r="AB31" i="33"/>
  <c r="K31" i="33"/>
  <c r="B31" i="33"/>
  <c r="AP30" i="33" a="1"/>
  <c r="AP30" i="33" s="1"/>
  <c r="AP31" i="33" s="1" a="1"/>
  <c r="AP31" i="33" s="1"/>
  <c r="AP32" i="33" s="1" a="1"/>
  <c r="AP32" i="33" s="1"/>
  <c r="AP33" i="33" s="1" a="1"/>
  <c r="AP33" i="33" s="1"/>
  <c r="AP34" i="33" s="1" a="1"/>
  <c r="AP34" i="33" s="1"/>
  <c r="AP35" i="33" s="1" a="1"/>
  <c r="AP35" i="33" s="1"/>
  <c r="AP36" i="33" s="1" a="1"/>
  <c r="AP36" i="33" s="1"/>
  <c r="AP37" i="33" s="1" a="1"/>
  <c r="AP37" i="33" s="1"/>
  <c r="AP38" i="33" s="1" a="1"/>
  <c r="AP38" i="33" s="1"/>
  <c r="AP39" i="33" s="1" a="1"/>
  <c r="AP39" i="33" s="1"/>
  <c r="AP40" i="33" s="1" a="1"/>
  <c r="AP40" i="33" s="1"/>
  <c r="AP41" i="33" s="1" a="1"/>
  <c r="AP41" i="33" s="1"/>
  <c r="AP42" i="33" s="1" a="1"/>
  <c r="AP42" i="33" s="1"/>
  <c r="AP43" i="33" s="1" a="1"/>
  <c r="AP43" i="33" s="1"/>
  <c r="AP44" i="33" s="1" a="1"/>
  <c r="AP44" i="33" s="1"/>
  <c r="AP45" i="33" s="1" a="1"/>
  <c r="AP45" i="33" s="1"/>
  <c r="AP46" i="33" s="1" a="1"/>
  <c r="AP46" i="33" s="1"/>
  <c r="AP47" i="33" s="1" a="1"/>
  <c r="AP47" i="33" s="1"/>
  <c r="AP48" i="33" s="1" a="1"/>
  <c r="AP48" i="33" s="1"/>
  <c r="AP49" i="33" s="1" a="1"/>
  <c r="AP49" i="33" s="1"/>
  <c r="AP50" i="33" s="1" a="1"/>
  <c r="AP50" i="33" s="1"/>
  <c r="AP51" i="33" s="1" a="1"/>
  <c r="AP51" i="33" s="1"/>
  <c r="AP52" i="33" s="1" a="1"/>
  <c r="AP52" i="33" s="1"/>
  <c r="AP53" i="33" s="1" a="1"/>
  <c r="AP53" i="33" s="1"/>
  <c r="AP54" i="33" s="1" a="1"/>
  <c r="AP54" i="33" s="1"/>
  <c r="AP55" i="33" s="1" a="1"/>
  <c r="AP55" i="33" s="1"/>
  <c r="AP56" i="33" s="1" a="1"/>
  <c r="AP56" i="33" s="1"/>
  <c r="AP57" i="33" s="1" a="1"/>
  <c r="AP57" i="33" s="1"/>
  <c r="AP58" i="33" s="1" a="1"/>
  <c r="AP58" i="33" s="1"/>
  <c r="AP59" i="33" s="1" a="1"/>
  <c r="AP59" i="33" s="1"/>
  <c r="AP60" i="33" s="1" a="1"/>
  <c r="AP60" i="33" s="1"/>
  <c r="AP61" i="33" s="1" a="1"/>
  <c r="AP61" i="33" s="1"/>
  <c r="AP62" i="33" s="1" a="1"/>
  <c r="AP62" i="33" s="1"/>
  <c r="AP63" i="33" s="1" a="1"/>
  <c r="AP63" i="33" s="1"/>
  <c r="AP64" i="33" s="1" a="1"/>
  <c r="AP64" i="33" s="1"/>
  <c r="AP65" i="33" s="1" a="1"/>
  <c r="AP65" i="33" s="1"/>
  <c r="AP66" i="33" s="1" a="1"/>
  <c r="AP66" i="33" s="1"/>
  <c r="AP67" i="33" s="1" a="1"/>
  <c r="AP67" i="33" s="1"/>
  <c r="AP68" i="33" s="1" a="1"/>
  <c r="AP68" i="33" s="1"/>
  <c r="AP69" i="33" s="1" a="1"/>
  <c r="AP69" i="33" s="1"/>
  <c r="AP70" i="33" s="1" a="1"/>
  <c r="AP70" i="33" s="1"/>
  <c r="AP71" i="33" s="1" a="1"/>
  <c r="AP71" i="33" s="1"/>
  <c r="AP72" i="33" s="1" a="1"/>
  <c r="AP72" i="33" s="1"/>
  <c r="AP73" i="33" s="1" a="1"/>
  <c r="AP73" i="33" s="1"/>
  <c r="AP74" i="33" s="1" a="1"/>
  <c r="AP74" i="33" s="1"/>
  <c r="AP75" i="33" s="1" a="1"/>
  <c r="AP75" i="33" s="1"/>
  <c r="AP76" i="33" s="1" a="1"/>
  <c r="AP76" i="33" s="1"/>
  <c r="AP77" i="33" s="1" a="1"/>
  <c r="AP77" i="33" s="1"/>
  <c r="AP78" i="33" s="1" a="1"/>
  <c r="AP78" i="33" s="1"/>
  <c r="AP79" i="33" s="1" a="1"/>
  <c r="AP79" i="33" s="1"/>
  <c r="AB30" i="33"/>
  <c r="K30" i="33" a="1"/>
  <c r="K30" i="33"/>
  <c r="AP29" i="33" a="1"/>
  <c r="AP29" i="33"/>
  <c r="G29" i="33" a="1"/>
  <c r="G29" i="33" s="1"/>
  <c r="G30" i="33" s="1" a="1"/>
  <c r="G30" i="33" s="1"/>
  <c r="G31" i="33" s="1" a="1"/>
  <c r="G31" i="33" s="1"/>
  <c r="G32" i="33" s="1" a="1"/>
  <c r="G32" i="33" s="1"/>
  <c r="G33" i="33" s="1" a="1"/>
  <c r="G33" i="33" s="1"/>
  <c r="G34" i="33" s="1" a="1"/>
  <c r="G34" i="33" s="1"/>
  <c r="G35" i="33" s="1" a="1"/>
  <c r="G35" i="33" s="1"/>
  <c r="G36" i="33" s="1" a="1"/>
  <c r="G36" i="33" s="1"/>
  <c r="G37" i="33" s="1" a="1"/>
  <c r="G37" i="33" s="1"/>
  <c r="G38" i="33" s="1" a="1"/>
  <c r="G38" i="33" s="1"/>
  <c r="G39" i="33" s="1" a="1"/>
  <c r="G39" i="33" s="1"/>
  <c r="G40" i="33" s="1" a="1"/>
  <c r="G40" i="33" s="1"/>
  <c r="G41" i="33" s="1" a="1"/>
  <c r="G41" i="33" s="1"/>
  <c r="G42" i="33" s="1" a="1"/>
  <c r="G42" i="33" s="1"/>
  <c r="G43" i="33" s="1" a="1"/>
  <c r="G43" i="33" s="1"/>
  <c r="G44" i="33" s="1" a="1"/>
  <c r="G44" i="33" s="1"/>
  <c r="G45" i="33" s="1" a="1"/>
  <c r="G45" i="33" s="1"/>
  <c r="G46" i="33" s="1" a="1"/>
  <c r="G46" i="33" s="1"/>
  <c r="G47" i="33" s="1" a="1"/>
  <c r="G47" i="33" s="1"/>
  <c r="G48" i="33" s="1" a="1"/>
  <c r="G48" i="33" s="1"/>
  <c r="G49" i="33" s="1" a="1"/>
  <c r="G49" i="33" s="1"/>
  <c r="G50" i="33" s="1" a="1"/>
  <c r="G50" i="33" s="1"/>
  <c r="G51" i="33" s="1" a="1"/>
  <c r="G51" i="33" s="1"/>
  <c r="G52" i="33" s="1" a="1"/>
  <c r="G52" i="33" s="1"/>
  <c r="G53" i="33" s="1" a="1"/>
  <c r="G53" i="33" s="1"/>
  <c r="G54" i="33" s="1" a="1"/>
  <c r="G54" i="33" s="1"/>
  <c r="G55" i="33" s="1" a="1"/>
  <c r="G55" i="33" s="1"/>
  <c r="G56" i="33" s="1" a="1"/>
  <c r="G56" i="33" s="1"/>
  <c r="G57" i="33" s="1" a="1"/>
  <c r="G57" i="33" s="1"/>
  <c r="G58" i="33" s="1" a="1"/>
  <c r="G58" i="33" s="1"/>
  <c r="G59" i="33" s="1" a="1"/>
  <c r="G59" i="33" s="1"/>
  <c r="G60" i="33" s="1" a="1"/>
  <c r="G60" i="33" s="1"/>
  <c r="G61" i="33" s="1" a="1"/>
  <c r="G61" i="33" s="1"/>
  <c r="G62" i="33" s="1" a="1"/>
  <c r="G62" i="33" s="1"/>
  <c r="G63" i="33" s="1" a="1"/>
  <c r="G63" i="33" s="1"/>
  <c r="G64" i="33" s="1" a="1"/>
  <c r="G64" i="33" s="1"/>
  <c r="G65" i="33" s="1" a="1"/>
  <c r="G65" i="33" s="1"/>
  <c r="G66" i="33" s="1" a="1"/>
  <c r="G66" i="33" s="1"/>
  <c r="G67" i="33" s="1" a="1"/>
  <c r="G67" i="33" s="1"/>
  <c r="G68" i="33" s="1" a="1"/>
  <c r="G68" i="33" s="1"/>
  <c r="G69" i="33" s="1" a="1"/>
  <c r="G69" i="33" s="1"/>
  <c r="G70" i="33" s="1" a="1"/>
  <c r="G70" i="33" s="1"/>
  <c r="G71" i="33" s="1" a="1"/>
  <c r="G71" i="33" s="1"/>
  <c r="G72" i="33" s="1" a="1"/>
  <c r="G72" i="33" s="1"/>
  <c r="G73" i="33" s="1" a="1"/>
  <c r="G73" i="33" s="1"/>
  <c r="G74" i="33" s="1" a="1"/>
  <c r="G74" i="33" s="1"/>
  <c r="G75" i="33" s="1" a="1"/>
  <c r="G75" i="33" s="1"/>
  <c r="G76" i="33" s="1" a="1"/>
  <c r="G76" i="33" s="1"/>
  <c r="G77" i="33" s="1" a="1"/>
  <c r="G77" i="33" s="1"/>
  <c r="G78" i="33" s="1" a="1"/>
  <c r="G78" i="33" s="1"/>
  <c r="G79" i="33" s="1" a="1"/>
  <c r="G79" i="33" s="1"/>
  <c r="T28" i="33"/>
  <c r="F28" i="33"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T80" i="33" s="1"/>
  <c r="AK2" i="33"/>
  <c r="AJ2" i="33"/>
  <c r="AI2" i="33"/>
  <c r="AH2" i="33"/>
  <c r="AG2" i="33"/>
  <c r="T186" i="32"/>
  <c r="AB182" i="32"/>
  <c r="K182" i="32"/>
  <c r="AO182" i="32" s="1" a="1"/>
  <c r="AO182" i="32" s="1"/>
  <c r="K181" i="32"/>
  <c r="AO180" i="32" a="1"/>
  <c r="AO180" i="32" s="1"/>
  <c r="K180" i="32"/>
  <c r="AB180" i="32" s="1"/>
  <c r="B180" i="32"/>
  <c r="AO179" i="32" a="1"/>
  <c r="AO179" i="32" s="1"/>
  <c r="AB179" i="32"/>
  <c r="K179" i="32"/>
  <c r="B179" i="32"/>
  <c r="AB178" i="32"/>
  <c r="K178" i="32"/>
  <c r="AO178" i="32" s="1" a="1"/>
  <c r="AO178" i="32" s="1"/>
  <c r="K177" i="32"/>
  <c r="AO176" i="32" a="1"/>
  <c r="AO176" i="32" s="1"/>
  <c r="K176" i="32"/>
  <c r="AB176" i="32" s="1"/>
  <c r="B176" i="32"/>
  <c r="AO175" i="32" a="1"/>
  <c r="AO175" i="32" s="1"/>
  <c r="AB175" i="32"/>
  <c r="K175" i="32"/>
  <c r="B175" i="32"/>
  <c r="AB174" i="32"/>
  <c r="K174" i="32"/>
  <c r="AO174" i="32" s="1" a="1"/>
  <c r="AO174" i="32" s="1"/>
  <c r="K173" i="32"/>
  <c r="AO172" i="32" a="1"/>
  <c r="AO172" i="32" s="1"/>
  <c r="K172" i="32"/>
  <c r="AB172" i="32" s="1"/>
  <c r="B172" i="32"/>
  <c r="AO171" i="32" a="1"/>
  <c r="AO171" i="32" s="1"/>
  <c r="AB171" i="32"/>
  <c r="K171" i="32"/>
  <c r="B171" i="32"/>
  <c r="AB170" i="32"/>
  <c r="K170" i="32"/>
  <c r="AO170" i="32" s="1" a="1"/>
  <c r="AO170" i="32" s="1"/>
  <c r="K169" i="32"/>
  <c r="AO168" i="32" a="1"/>
  <c r="AO168" i="32" s="1"/>
  <c r="K168" i="32"/>
  <c r="AB168" i="32" s="1"/>
  <c r="B168" i="32"/>
  <c r="AO167" i="32" a="1"/>
  <c r="AO167" i="32" s="1"/>
  <c r="AB167" i="32"/>
  <c r="K167" i="32"/>
  <c r="B167" i="32"/>
  <c r="AB166" i="32"/>
  <c r="K166" i="32"/>
  <c r="AO166" i="32" s="1" a="1"/>
  <c r="AO166" i="32" s="1"/>
  <c r="AB165" i="32"/>
  <c r="K165" i="32"/>
  <c r="AO164" i="32" a="1"/>
  <c r="AO164" i="32"/>
  <c r="K164" i="32"/>
  <c r="AB164" i="32" s="1"/>
  <c r="B164" i="32"/>
  <c r="AO163" i="32" a="1"/>
  <c r="AO163" i="32" s="1"/>
  <c r="AB163" i="32"/>
  <c r="K163" i="32"/>
  <c r="B163" i="32"/>
  <c r="AB162" i="32"/>
  <c r="K162" i="32"/>
  <c r="AB161" i="32"/>
  <c r="K161" i="32"/>
  <c r="AO161" i="32" s="1" a="1"/>
  <c r="AO161" i="32" s="1"/>
  <c r="B161" i="32"/>
  <c r="K160" i="32"/>
  <c r="AO159" i="32" a="1"/>
  <c r="AO159" i="32" s="1"/>
  <c r="AB159" i="32"/>
  <c r="K159" i="32"/>
  <c r="B159" i="32"/>
  <c r="K158" i="32"/>
  <c r="K157" i="32"/>
  <c r="AB157" i="32" s="1"/>
  <c r="AO156" i="32" a="1"/>
  <c r="AO156" i="32" s="1"/>
  <c r="AB156" i="32"/>
  <c r="K156" i="32"/>
  <c r="B156" i="32"/>
  <c r="AB155" i="32"/>
  <c r="K155" i="32"/>
  <c r="AO155" i="32" s="1" a="1"/>
  <c r="AO155" i="32" s="1"/>
  <c r="AB154" i="32"/>
  <c r="K154" i="32"/>
  <c r="K153" i="32"/>
  <c r="AB153" i="32" s="1"/>
  <c r="AO152" i="32" a="1"/>
  <c r="AO152" i="32" s="1"/>
  <c r="AB152" i="32"/>
  <c r="K152" i="32"/>
  <c r="B152" i="32"/>
  <c r="AB151" i="32"/>
  <c r="K151" i="32"/>
  <c r="AO151" i="32" s="1" a="1"/>
  <c r="AO151" i="32" s="1"/>
  <c r="AB150" i="32"/>
  <c r="K150" i="32"/>
  <c r="AO149" i="32" a="1"/>
  <c r="AO149" i="32" s="1"/>
  <c r="K149" i="32"/>
  <c r="AB149" i="32" s="1"/>
  <c r="B149" i="32"/>
  <c r="AO148" i="32" a="1"/>
  <c r="AO148" i="32" s="1"/>
  <c r="AB148" i="32"/>
  <c r="K148" i="32"/>
  <c r="B148" i="32"/>
  <c r="AB147" i="32"/>
  <c r="K147" i="32"/>
  <c r="AO147" i="32" s="1" a="1"/>
  <c r="AO147" i="32" s="1"/>
  <c r="K146" i="32"/>
  <c r="K145" i="32"/>
  <c r="AB145" i="32" s="1"/>
  <c r="AO144" i="32" a="1"/>
  <c r="AO144" i="32" s="1"/>
  <c r="AB144" i="32"/>
  <c r="K144" i="32"/>
  <c r="B144" i="32"/>
  <c r="AB143" i="32"/>
  <c r="K143" i="32"/>
  <c r="AO143" i="32" s="1" a="1"/>
  <c r="AO143" i="32" s="1"/>
  <c r="K142" i="32"/>
  <c r="B142" i="32"/>
  <c r="AO141" i="32" a="1"/>
  <c r="AO141" i="32" s="1"/>
  <c r="AB141" i="32"/>
  <c r="K141" i="32"/>
  <c r="K140" i="32"/>
  <c r="B140" i="32"/>
  <c r="AO139" i="32" a="1"/>
  <c r="AO139" i="32" s="1"/>
  <c r="AB139" i="32"/>
  <c r="K139" i="32"/>
  <c r="K138" i="32"/>
  <c r="K137" i="32"/>
  <c r="B137" i="32"/>
  <c r="K136" i="32"/>
  <c r="K135" i="32"/>
  <c r="B135" i="32"/>
  <c r="AO134" i="32" a="1"/>
  <c r="AO134" i="32" s="1"/>
  <c r="AB134" i="32"/>
  <c r="K134" i="32"/>
  <c r="B134" i="32"/>
  <c r="AB133" i="32"/>
  <c r="T133" i="32"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T171" i="32" s="1" a="1"/>
  <c r="T171" i="32" s="1"/>
  <c r="T172" i="32" s="1" a="1"/>
  <c r="T172" i="32" s="1"/>
  <c r="T173" i="32" s="1" a="1"/>
  <c r="T173" i="32" s="1"/>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K133" i="32" a="1"/>
  <c r="K133" i="32"/>
  <c r="T132" i="32"/>
  <c r="F132" i="32" a="1"/>
  <c r="F132" i="32" s="1"/>
  <c r="F133" i="32" s="1" a="1"/>
  <c r="F133" i="32" s="1"/>
  <c r="F134" i="32" s="1" a="1"/>
  <c r="F134" i="32" s="1"/>
  <c r="K131" i="32"/>
  <c r="K130" i="32"/>
  <c r="AB130" i="32" s="1"/>
  <c r="AO129" i="32" a="1"/>
  <c r="AO129" i="32" s="1"/>
  <c r="AB129" i="32"/>
  <c r="K129" i="32"/>
  <c r="B129" i="32"/>
  <c r="AB128" i="32"/>
  <c r="K128" i="32"/>
  <c r="AO128" i="32" s="1" a="1"/>
  <c r="AO128" i="32" s="1"/>
  <c r="K127" i="32"/>
  <c r="K126" i="32"/>
  <c r="AB126" i="32" s="1"/>
  <c r="AO125" i="32" a="1"/>
  <c r="AO125" i="32" s="1"/>
  <c r="AB125" i="32"/>
  <c r="K125" i="32"/>
  <c r="B125" i="32"/>
  <c r="AB124" i="32"/>
  <c r="K124" i="32"/>
  <c r="AO124" i="32" s="1" a="1"/>
  <c r="AO124" i="32" s="1"/>
  <c r="AB123" i="32"/>
  <c r="K123" i="32"/>
  <c r="K122" i="32"/>
  <c r="AO121" i="32" a="1"/>
  <c r="AO121" i="32" s="1"/>
  <c r="AB121" i="32"/>
  <c r="K121" i="32"/>
  <c r="B121" i="32"/>
  <c r="AB120" i="32"/>
  <c r="K120" i="32"/>
  <c r="AO120" i="32" s="1" a="1"/>
  <c r="AO120" i="32" s="1"/>
  <c r="K119" i="32"/>
  <c r="AO118" i="32" a="1"/>
  <c r="AO118" i="32" s="1"/>
  <c r="K118" i="32"/>
  <c r="AB118" i="32" s="1"/>
  <c r="B118" i="32"/>
  <c r="AO117" i="32" a="1"/>
  <c r="AO117" i="32" s="1"/>
  <c r="AB117" i="32"/>
  <c r="K117" i="32"/>
  <c r="B117" i="32"/>
  <c r="AB116" i="32"/>
  <c r="K116" i="32"/>
  <c r="AO116" i="32" s="1" a="1"/>
  <c r="AO116" i="32" s="1"/>
  <c r="AB115" i="32"/>
  <c r="K115" i="32"/>
  <c r="K114" i="32"/>
  <c r="AB114" i="32" s="1"/>
  <c r="AO113" i="32" a="1"/>
  <c r="AO113" i="32" s="1"/>
  <c r="AB113" i="32"/>
  <c r="K113" i="32"/>
  <c r="B113" i="32"/>
  <c r="AB112" i="32"/>
  <c r="K112" i="32"/>
  <c r="AO112" i="32" s="1" a="1"/>
  <c r="AO112" i="32" s="1"/>
  <c r="K111" i="32"/>
  <c r="AO110" i="32" a="1"/>
  <c r="AO110" i="32" s="1"/>
  <c r="K110" i="32"/>
  <c r="AB110" i="32" s="1"/>
  <c r="B110" i="32"/>
  <c r="AO109" i="32" a="1"/>
  <c r="AO109" i="32" s="1"/>
  <c r="AB109" i="32"/>
  <c r="K109" i="32"/>
  <c r="B109" i="32"/>
  <c r="AB108" i="32"/>
  <c r="K108" i="32"/>
  <c r="AO108" i="32" s="1" a="1"/>
  <c r="AO108" i="32" s="1"/>
  <c r="AB107" i="32"/>
  <c r="K107" i="32"/>
  <c r="K106" i="32"/>
  <c r="AO105" i="32" a="1"/>
  <c r="AO105" i="32" s="1"/>
  <c r="AB105" i="32"/>
  <c r="K105" i="32"/>
  <c r="B105" i="32"/>
  <c r="AB104" i="32"/>
  <c r="K104" i="32"/>
  <c r="AO104" i="32" s="1" a="1"/>
  <c r="AO104" i="32" s="1"/>
  <c r="K103" i="32"/>
  <c r="AO102" i="32" a="1"/>
  <c r="AO102" i="32" s="1"/>
  <c r="K102" i="32"/>
  <c r="AB102" i="32" s="1"/>
  <c r="B102" i="32"/>
  <c r="AO101" i="32" a="1"/>
  <c r="AO101" i="32" s="1"/>
  <c r="AB101" i="32"/>
  <c r="K101" i="32"/>
  <c r="B101" i="32"/>
  <c r="AB100" i="32"/>
  <c r="K100" i="32"/>
  <c r="AO100" i="32" s="1" a="1"/>
  <c r="AO100" i="32" s="1"/>
  <c r="AB99" i="32"/>
  <c r="K99" i="32"/>
  <c r="K98" i="32"/>
  <c r="AB98" i="32" s="1"/>
  <c r="AO97" i="32" a="1"/>
  <c r="AO97" i="32" s="1"/>
  <c r="AB97" i="32"/>
  <c r="K97" i="32"/>
  <c r="B97" i="32"/>
  <c r="AB96" i="32"/>
  <c r="K96" i="32"/>
  <c r="AO96" i="32" s="1" a="1"/>
  <c r="AO96" i="32" s="1"/>
  <c r="K95" i="32"/>
  <c r="AO94" i="32" a="1"/>
  <c r="AO94" i="32" s="1"/>
  <c r="K94" i="32"/>
  <c r="AB94" i="32" s="1"/>
  <c r="B94" i="32"/>
  <c r="AO93" i="32" a="1"/>
  <c r="AO93" i="32" s="1"/>
  <c r="AB93" i="32"/>
  <c r="K93" i="32"/>
  <c r="B93" i="32"/>
  <c r="AB92" i="32"/>
  <c r="K92" i="32"/>
  <c r="AO92" i="32" s="1" a="1"/>
  <c r="AO92" i="32" s="1"/>
  <c r="K91" i="32"/>
  <c r="AO90" i="32" a="1"/>
  <c r="AO90" i="32" s="1"/>
  <c r="AB90" i="32"/>
  <c r="K90" i="32"/>
  <c r="K89" i="32"/>
  <c r="B89" i="32"/>
  <c r="AO88" i="32" a="1"/>
  <c r="AO88" i="32" s="1"/>
  <c r="AB88" i="32"/>
  <c r="K88" i="32"/>
  <c r="K87" i="32"/>
  <c r="AO86" i="32" a="1"/>
  <c r="AO86" i="32" s="1"/>
  <c r="AB86" i="32"/>
  <c r="K86" i="32"/>
  <c r="AO85" i="32" a="1"/>
  <c r="AO85" i="32"/>
  <c r="AB85" i="32"/>
  <c r="K85" i="32"/>
  <c r="AO84" i="32" a="1"/>
  <c r="AO84" i="32"/>
  <c r="AB84" i="32"/>
  <c r="K84" i="32"/>
  <c r="B84" i="32"/>
  <c r="AB83" i="32"/>
  <c r="K83" i="32"/>
  <c r="AO83" i="32" s="1" a="1"/>
  <c r="AO83" i="32" s="1"/>
  <c r="B83" i="32"/>
  <c r="K82" i="32" a="1"/>
  <c r="K82" i="32"/>
  <c r="T81" i="32"/>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F81" i="32" a="1"/>
  <c r="F81" i="32"/>
  <c r="F82" i="32" s="1" a="1"/>
  <c r="F82" i="32" s="1"/>
  <c r="F83" i="32" s="1" a="1"/>
  <c r="F83" i="32" s="1"/>
  <c r="AB80" i="32"/>
  <c r="K80" i="32"/>
  <c r="AB79" i="32"/>
  <c r="K79" i="32"/>
  <c r="AO79" i="32" s="1" a="1"/>
  <c r="AO79" i="32" s="1"/>
  <c r="B79" i="32"/>
  <c r="K78" i="32"/>
  <c r="AO78" i="32" s="1" a="1"/>
  <c r="AO78" i="32" s="1"/>
  <c r="AO77" i="32" a="1"/>
  <c r="AO77" i="32" s="1"/>
  <c r="AB77" i="32"/>
  <c r="K77" i="32"/>
  <c r="B77" i="32"/>
  <c r="AB76" i="32"/>
  <c r="K76" i="32"/>
  <c r="AB75" i="32"/>
  <c r="K75" i="32"/>
  <c r="AO75" i="32" s="1" a="1"/>
  <c r="AO75" i="32" s="1"/>
  <c r="B75" i="32"/>
  <c r="K74" i="32"/>
  <c r="AO73" i="32" a="1"/>
  <c r="AO73" i="32" s="1"/>
  <c r="AB73" i="32"/>
  <c r="K73" i="32"/>
  <c r="B73" i="32"/>
  <c r="AB72" i="32"/>
  <c r="K72" i="32"/>
  <c r="AB71" i="32"/>
  <c r="K71" i="32"/>
  <c r="AO71" i="32" s="1" a="1"/>
  <c r="AO71" i="32" s="1"/>
  <c r="B71" i="32"/>
  <c r="K70" i="32"/>
  <c r="AO70" i="32" s="1" a="1"/>
  <c r="AO70" i="32" s="1"/>
  <c r="AO69" i="32" a="1"/>
  <c r="AO69" i="32" s="1"/>
  <c r="AB69" i="32"/>
  <c r="K69" i="32"/>
  <c r="B69" i="32"/>
  <c r="AB68" i="32"/>
  <c r="K68" i="32"/>
  <c r="AB67" i="32"/>
  <c r="K67" i="32"/>
  <c r="AO67" i="32" s="1" a="1"/>
  <c r="AO67" i="32" s="1"/>
  <c r="B67" i="32"/>
  <c r="K66" i="32"/>
  <c r="AO65" i="32" a="1"/>
  <c r="AO65" i="32" s="1"/>
  <c r="AB65" i="32"/>
  <c r="K65" i="32"/>
  <c r="B65" i="32"/>
  <c r="AB64" i="32"/>
  <c r="K64" i="32"/>
  <c r="AB63" i="32"/>
  <c r="K63" i="32"/>
  <c r="AO63" i="32" s="1" a="1"/>
  <c r="AO63" i="32" s="1"/>
  <c r="B63" i="32"/>
  <c r="K62" i="32"/>
  <c r="AO62" i="32" s="1" a="1"/>
  <c r="AO62" i="32" s="1"/>
  <c r="AO61" i="32" a="1"/>
  <c r="AO61" i="32" s="1"/>
  <c r="AB61" i="32"/>
  <c r="K61" i="32"/>
  <c r="B61" i="32"/>
  <c r="AB60" i="32"/>
  <c r="K60" i="32"/>
  <c r="AB59" i="32"/>
  <c r="K59" i="32"/>
  <c r="AO59" i="32" s="1" a="1"/>
  <c r="AO59" i="32" s="1"/>
  <c r="B59" i="32"/>
  <c r="K58" i="32"/>
  <c r="AO57" i="32" a="1"/>
  <c r="AO57" i="32" s="1"/>
  <c r="AB57" i="32"/>
  <c r="K57" i="32"/>
  <c r="B57" i="32"/>
  <c r="AB56" i="32"/>
  <c r="K56" i="32"/>
  <c r="AB55" i="32"/>
  <c r="K55" i="32"/>
  <c r="AO55" i="32" s="1" a="1"/>
  <c r="AO55" i="32" s="1"/>
  <c r="B55" i="32"/>
  <c r="K54" i="32"/>
  <c r="AO54" i="32" s="1" a="1"/>
  <c r="AO54" i="32" s="1"/>
  <c r="AO53" i="32" a="1"/>
  <c r="AO53" i="32" s="1"/>
  <c r="AB53" i="32"/>
  <c r="K53" i="32"/>
  <c r="B53" i="32"/>
  <c r="AB52" i="32"/>
  <c r="K52" i="32"/>
  <c r="AB51" i="32"/>
  <c r="K51" i="32"/>
  <c r="AO51" i="32" s="1" a="1"/>
  <c r="AO51" i="32" s="1"/>
  <c r="B51" i="32"/>
  <c r="K50" i="32"/>
  <c r="AO49" i="32" a="1"/>
  <c r="AO49" i="32" s="1"/>
  <c r="AB49" i="32"/>
  <c r="K49" i="32"/>
  <c r="B49" i="32"/>
  <c r="AB48" i="32"/>
  <c r="K48" i="32"/>
  <c r="AB47" i="32"/>
  <c r="K47" i="32"/>
  <c r="AO47" i="32" s="1" a="1"/>
  <c r="AO47" i="32" s="1"/>
  <c r="B47" i="32"/>
  <c r="K46" i="32"/>
  <c r="AO46" i="32" s="1" a="1"/>
  <c r="AO46" i="32" s="1"/>
  <c r="AO45" i="32" a="1"/>
  <c r="AO45" i="32" s="1"/>
  <c r="AB45" i="32"/>
  <c r="K45" i="32"/>
  <c r="B45" i="32"/>
  <c r="AB44" i="32"/>
  <c r="K44" i="32"/>
  <c r="AB43" i="32"/>
  <c r="K43" i="32"/>
  <c r="AO43" i="32" s="1" a="1"/>
  <c r="AO43" i="32" s="1"/>
  <c r="B43" i="32"/>
  <c r="K42" i="32"/>
  <c r="AO41" i="32" a="1"/>
  <c r="AO41" i="32" s="1"/>
  <c r="AB41" i="32"/>
  <c r="K41" i="32"/>
  <c r="B41" i="32"/>
  <c r="AB40" i="32"/>
  <c r="K40" i="32"/>
  <c r="AO40" i="32" s="1" a="1"/>
  <c r="AO40" i="32" s="1"/>
  <c r="B40" i="32"/>
  <c r="AO39" i="32"/>
  <c r="AB39" i="32"/>
  <c r="K39" i="32"/>
  <c r="AO39" i="32" s="1" a="1"/>
  <c r="B39" i="32"/>
  <c r="AB38" i="32"/>
  <c r="K38" i="32"/>
  <c r="AO38" i="32" s="1" a="1"/>
  <c r="AO38" i="32" s="1"/>
  <c r="B38" i="32"/>
  <c r="AO37" i="32"/>
  <c r="AB37" i="32"/>
  <c r="K37" i="32"/>
  <c r="AO37" i="32" s="1" a="1"/>
  <c r="B37" i="32"/>
  <c r="AB36" i="32"/>
  <c r="K36" i="32"/>
  <c r="AO36" i="32" s="1" a="1"/>
  <c r="AO36" i="32" s="1"/>
  <c r="B36" i="32"/>
  <c r="AO35" i="32"/>
  <c r="AB35" i="32"/>
  <c r="K35" i="32"/>
  <c r="AO35" i="32" s="1" a="1"/>
  <c r="B35" i="32"/>
  <c r="AB34" i="32"/>
  <c r="T34" i="32"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T80" i="32" s="1" a="1"/>
  <c r="T80" i="32" s="1"/>
  <c r="K34" i="32"/>
  <c r="AO34" i="32" s="1" a="1"/>
  <c r="AO34" i="32" s="1"/>
  <c r="B34" i="32"/>
  <c r="AO33" i="32"/>
  <c r="AB33" i="32"/>
  <c r="K33" i="32"/>
  <c r="AO33" i="32" s="1" a="1"/>
  <c r="B33" i="32"/>
  <c r="AB32" i="32"/>
  <c r="K32" i="32"/>
  <c r="AO32" i="32" s="1" a="1"/>
  <c r="AO32" i="32" s="1"/>
  <c r="B32" i="32"/>
  <c r="T31" i="32" a="1"/>
  <c r="T31" i="32" s="1"/>
  <c r="T32" i="32" s="1" a="1"/>
  <c r="T32" i="32" s="1"/>
  <c r="T33" i="32" s="1" a="1"/>
  <c r="T33" i="32" s="1"/>
  <c r="K31" i="32" a="1"/>
  <c r="K31" i="32"/>
  <c r="B31" i="32"/>
  <c r="T30" i="32"/>
  <c r="F30" i="32" a="1"/>
  <c r="F30" i="32" s="1"/>
  <c r="F31" i="32" s="1" a="1"/>
  <c r="F31" i="32" s="1"/>
  <c r="F32" i="32" s="1" a="1"/>
  <c r="F32" i="32" s="1"/>
  <c r="F33" i="32" s="1" a="1"/>
  <c r="F33" i="32" s="1"/>
  <c r="AK2" i="32"/>
  <c r="AJ2" i="32"/>
  <c r="AI2" i="32"/>
  <c r="AH2" i="32"/>
  <c r="AG2" i="32"/>
  <c r="T467" i="30"/>
  <c r="T466" i="30"/>
  <c r="T465" i="30"/>
  <c r="T464" i="30"/>
  <c r="T463" i="30"/>
  <c r="T462" i="30"/>
  <c r="AH458" i="30"/>
  <c r="AH457" i="30"/>
  <c r="AH456" i="30"/>
  <c r="AS447" i="30"/>
  <c r="AR447" i="30"/>
  <c r="AQ447" i="30"/>
  <c r="AP447" i="30"/>
  <c r="AO447" i="30"/>
  <c r="AN447" i="30"/>
  <c r="AM447" i="30"/>
  <c r="AL447" i="30"/>
  <c r="AK447" i="30"/>
  <c r="AI447" i="30"/>
  <c r="AE447" i="30"/>
  <c r="AT444" i="30" a="1"/>
  <c r="AT444" i="30"/>
  <c r="AT452" i="30" s="1"/>
  <c r="AH444" i="30"/>
  <c r="AH441" i="30"/>
  <c r="B441" i="30"/>
  <c r="AH440" i="30"/>
  <c r="B440" i="30"/>
  <c r="AH436" i="30"/>
  <c r="AH435" i="30"/>
  <c r="AH434" i="30"/>
  <c r="AH433" i="30"/>
  <c r="AH432" i="30"/>
  <c r="BL431" i="30"/>
  <c r="BK431" i="30"/>
  <c r="BJ431" i="30"/>
  <c r="BH431" i="30"/>
  <c r="BG431" i="30"/>
  <c r="BF431" i="30"/>
  <c r="BC431" i="30"/>
  <c r="BB431" i="30"/>
  <c r="BM431" i="30" s="1"/>
  <c r="BA431" i="30"/>
  <c r="AZ431" i="30"/>
  <c r="AY431" i="30"/>
  <c r="AX431" i="30"/>
  <c r="BI431" i="30" s="1"/>
  <c r="AW431" i="30"/>
  <c r="AV431" i="30"/>
  <c r="AU431" i="30"/>
  <c r="AT431" i="30" a="1"/>
  <c r="AT431" i="30" s="1"/>
  <c r="AS431" i="30"/>
  <c r="AR431" i="30"/>
  <c r="AQ431" i="30"/>
  <c r="AP431" i="30"/>
  <c r="AO431" i="30"/>
  <c r="AN431" i="30"/>
  <c r="AM431" i="30"/>
  <c r="AL431" i="30"/>
  <c r="AK431" i="30"/>
  <c r="AJ431" i="30" a="1"/>
  <c r="AJ431" i="30"/>
  <c r="AG431" i="30"/>
  <c r="AH431" i="30" s="1"/>
  <c r="AF431" i="30"/>
  <c r="AT430" i="30"/>
  <c r="AJ430" i="30"/>
  <c r="AH430" i="30"/>
  <c r="AH429" i="30"/>
  <c r="AH428" i="30"/>
  <c r="AH427" i="30"/>
  <c r="AH426" i="30"/>
  <c r="AH425" i="30"/>
  <c r="BM423" i="30"/>
  <c r="BL423" i="30"/>
  <c r="BK423" i="30"/>
  <c r="BJ423" i="30"/>
  <c r="BI423" i="30"/>
  <c r="BH423" i="30"/>
  <c r="BG423" i="30"/>
  <c r="BF423" i="30"/>
  <c r="AI423" i="30"/>
  <c r="AG423" i="30"/>
  <c r="AH423" i="30" s="1"/>
  <c r="AF423" i="30"/>
  <c r="AE423" i="30"/>
  <c r="BM414" i="30"/>
  <c r="BL414" i="30"/>
  <c r="BK414" i="30"/>
  <c r="BJ414" i="30"/>
  <c r="BI414" i="30"/>
  <c r="BH414" i="30"/>
  <c r="BG414" i="30"/>
  <c r="BF414" i="30"/>
  <c r="BE414" i="30"/>
  <c r="BD414" i="30"/>
  <c r="AH414" i="30"/>
  <c r="B412" i="30" a="1"/>
  <c r="B412" i="30" s="1"/>
  <c r="B413" i="30" s="1" a="1"/>
  <c r="B413" i="30" s="1"/>
  <c r="B414" i="30" s="1" a="1"/>
  <c r="B414" i="30" s="1"/>
  <c r="B415" i="30" s="1" a="1"/>
  <c r="B415" i="30" s="1"/>
  <c r="B416" i="30" s="1" a="1"/>
  <c r="B416" i="30" s="1"/>
  <c r="B417" i="30" s="1" a="1"/>
  <c r="B417" i="30" s="1"/>
  <c r="B418" i="30" s="1" a="1"/>
  <c r="B418" i="30" s="1"/>
  <c r="B419" i="30" s="1" a="1"/>
  <c r="B419" i="30" s="1"/>
  <c r="B420" i="30" s="1" a="1"/>
  <c r="B420" i="30" s="1"/>
  <c r="B421" i="30" s="1" a="1"/>
  <c r="B421" i="30" s="1"/>
  <c r="B422" i="30" s="1" a="1"/>
  <c r="B422" i="30" s="1"/>
  <c r="D423" i="30" s="1"/>
  <c r="BM411" i="30"/>
  <c r="BL411" i="30"/>
  <c r="BK411" i="30"/>
  <c r="BJ411" i="30"/>
  <c r="BI411" i="30"/>
  <c r="BH411" i="30"/>
  <c r="BG411" i="30"/>
  <c r="BF411" i="30"/>
  <c r="BE411" i="30"/>
  <c r="BD411" i="30"/>
  <c r="AH411" i="30"/>
  <c r="B411" i="30"/>
  <c r="BM410" i="30"/>
  <c r="BL410" i="30"/>
  <c r="BK410" i="30"/>
  <c r="BJ410" i="30"/>
  <c r="BI410" i="30"/>
  <c r="BH410" i="30"/>
  <c r="BG410" i="30"/>
  <c r="BF410" i="30"/>
  <c r="BE410" i="30"/>
  <c r="BD410" i="30"/>
  <c r="AH410" i="30"/>
  <c r="AG410" i="30" a="1"/>
  <c r="AG410" i="30"/>
  <c r="B410" i="30"/>
  <c r="BM409" i="30"/>
  <c r="BL409" i="30"/>
  <c r="BK409" i="30"/>
  <c r="BJ409" i="30"/>
  <c r="BI409" i="30"/>
  <c r="BH409" i="30"/>
  <c r="BG409" i="30"/>
  <c r="BF409" i="30"/>
  <c r="BE409" i="30"/>
  <c r="BD409" i="30"/>
  <c r="AH409" i="30"/>
  <c r="B403" i="30"/>
  <c r="B404" i="30" s="1" a="1"/>
  <c r="B404" i="30" s="1"/>
  <c r="B405" i="30" s="1" a="1"/>
  <c r="B405" i="30" s="1"/>
  <c r="B406" i="30" s="1" a="1"/>
  <c r="B406" i="30" s="1"/>
  <c r="B407" i="30" s="1" a="1"/>
  <c r="B407" i="30" s="1"/>
  <c r="B408" i="30" s="1" a="1"/>
  <c r="B408" i="30" s="1"/>
  <c r="B409" i="30" s="1" a="1"/>
  <c r="B409" i="30" s="1"/>
  <c r="BM401" i="30"/>
  <c r="BL401" i="30"/>
  <c r="BK401" i="30"/>
  <c r="BJ401" i="30"/>
  <c r="BI401" i="30"/>
  <c r="BH401" i="30"/>
  <c r="BG401" i="30"/>
  <c r="BF401" i="30"/>
  <c r="BE401" i="30"/>
  <c r="BD401" i="30"/>
  <c r="AH401" i="30"/>
  <c r="BM400" i="30"/>
  <c r="BL400" i="30"/>
  <c r="BK400" i="30"/>
  <c r="BJ400" i="30"/>
  <c r="BI400" i="30"/>
  <c r="BH400" i="30"/>
  <c r="BG400" i="30"/>
  <c r="BF400" i="30"/>
  <c r="BE400" i="30"/>
  <c r="BD400" i="30"/>
  <c r="AH400" i="30"/>
  <c r="BM399" i="30"/>
  <c r="BL399" i="30"/>
  <c r="BK399" i="30"/>
  <c r="BJ399" i="30"/>
  <c r="BI399" i="30"/>
  <c r="BH399" i="30"/>
  <c r="BG399" i="30"/>
  <c r="BF399" i="30"/>
  <c r="BE399" i="30"/>
  <c r="BD399" i="30"/>
  <c r="AH399" i="30"/>
  <c r="BL398" i="30"/>
  <c r="BH398" i="30"/>
  <c r="BD398" i="30"/>
  <c r="BC398" i="30"/>
  <c r="BB398" i="30"/>
  <c r="BM398" i="30" s="1"/>
  <c r="BA398" i="30"/>
  <c r="AZ398" i="30"/>
  <c r="BK398" i="30" s="1"/>
  <c r="AY398" i="30"/>
  <c r="BJ398" i="30" s="1"/>
  <c r="AX398" i="30"/>
  <c r="BI398" i="30" s="1"/>
  <c r="AW398" i="30"/>
  <c r="AV398" i="30"/>
  <c r="BG398" i="30" s="1"/>
  <c r="AU398" i="30"/>
  <c r="BF398" i="30" s="1"/>
  <c r="AT398" i="30"/>
  <c r="BE398" i="30" s="1"/>
  <c r="AS398" i="30"/>
  <c r="AR398" i="30"/>
  <c r="AQ398" i="30"/>
  <c r="AP398" i="30"/>
  <c r="AO398" i="30"/>
  <c r="AN398" i="30"/>
  <c r="AM398" i="30"/>
  <c r="AL398" i="30"/>
  <c r="AK398" i="30"/>
  <c r="AJ398" i="30"/>
  <c r="AI398" i="30"/>
  <c r="AG398" i="30"/>
  <c r="AF398" i="30"/>
  <c r="AH398" i="30" s="1"/>
  <c r="AE398" i="30"/>
  <c r="BM397" i="30"/>
  <c r="BL397" i="30"/>
  <c r="BK397" i="30"/>
  <c r="BJ397" i="30"/>
  <c r="BI397" i="30"/>
  <c r="BH397" i="30"/>
  <c r="BG397" i="30"/>
  <c r="BF397" i="30"/>
  <c r="BE397" i="30"/>
  <c r="BD397" i="30"/>
  <c r="AH397" i="30"/>
  <c r="BM396" i="30"/>
  <c r="BL396" i="30"/>
  <c r="BK396" i="30"/>
  <c r="BJ396" i="30"/>
  <c r="BI396" i="30"/>
  <c r="BH396" i="30"/>
  <c r="BG396" i="30"/>
  <c r="BF396" i="30"/>
  <c r="BE396" i="30"/>
  <c r="BD396" i="30"/>
  <c r="AH396" i="30"/>
  <c r="BD395" i="30"/>
  <c r="AH395" i="30"/>
  <c r="BM394" i="30"/>
  <c r="BL394" i="30"/>
  <c r="BK394" i="30"/>
  <c r="BJ394" i="30"/>
  <c r="BI394" i="30"/>
  <c r="BH394" i="30"/>
  <c r="BG394" i="30"/>
  <c r="BF394" i="30"/>
  <c r="BE394" i="30"/>
  <c r="BD394" i="30"/>
  <c r="AH394" i="30"/>
  <c r="B394" i="30"/>
  <c r="BM393" i="30"/>
  <c r="BL393" i="30"/>
  <c r="BK393" i="30"/>
  <c r="BJ393" i="30"/>
  <c r="BI393" i="30"/>
  <c r="BH393" i="30"/>
  <c r="BG393" i="30"/>
  <c r="BF393" i="30"/>
  <c r="BE393" i="30"/>
  <c r="BD393" i="30"/>
  <c r="AH393" i="30"/>
  <c r="B393" i="30"/>
  <c r="BM391" i="30"/>
  <c r="BL391" i="30"/>
  <c r="BK391" i="30"/>
  <c r="BJ391" i="30"/>
  <c r="BI391" i="30"/>
  <c r="BH391" i="30"/>
  <c r="BG391" i="30"/>
  <c r="BF391" i="30"/>
  <c r="BE391" i="30"/>
  <c r="BD391" i="30"/>
  <c r="AH391" i="30"/>
  <c r="BM374" i="30"/>
  <c r="BL374" i="30"/>
  <c r="BK374" i="30"/>
  <c r="BJ374" i="30"/>
  <c r="BI374" i="30"/>
  <c r="BH374" i="30"/>
  <c r="BG374" i="30"/>
  <c r="BF374" i="30"/>
  <c r="BE374" i="30"/>
  <c r="BD374" i="30"/>
  <c r="AH374" i="30"/>
  <c r="BM373" i="30"/>
  <c r="BL373" i="30"/>
  <c r="BK373" i="30"/>
  <c r="BJ373" i="30"/>
  <c r="BI373" i="30"/>
  <c r="BH373" i="30"/>
  <c r="BG373" i="30"/>
  <c r="BF373" i="30"/>
  <c r="BE373" i="30"/>
  <c r="BD373" i="30"/>
  <c r="AH373" i="30"/>
  <c r="BU364" i="30" a="1"/>
  <c r="BU364" i="30"/>
  <c r="AH364" i="30"/>
  <c r="AB364" i="30"/>
  <c r="J364" i="30" a="1"/>
  <c r="J364" i="30" s="1"/>
  <c r="AI363" i="30"/>
  <c r="AG363" i="30"/>
  <c r="AF363" i="30"/>
  <c r="AH363" i="30" s="1"/>
  <c r="AE363" i="30"/>
  <c r="AH362" i="30"/>
  <c r="AH361" i="30"/>
  <c r="B361" i="30"/>
  <c r="AH360" i="30"/>
  <c r="AH359" i="30"/>
  <c r="AH358" i="30"/>
  <c r="AI357" i="30"/>
  <c r="AH357" i="30"/>
  <c r="AG357" i="30"/>
  <c r="AF357" i="30"/>
  <c r="AE357" i="30"/>
  <c r="AH356" i="30"/>
  <c r="AH355" i="30"/>
  <c r="AG355" i="30" a="1"/>
  <c r="AG355" i="30" s="1"/>
  <c r="AH354" i="30"/>
  <c r="AH353" i="30"/>
  <c r="AG351" i="30" a="1"/>
  <c r="AG351" i="30" s="1"/>
  <c r="AJ350" i="30"/>
  <c r="AF350" i="30"/>
  <c r="AE350" i="30"/>
  <c r="AE341" i="30" s="1"/>
  <c r="AJ349" i="30"/>
  <c r="AG349" i="30" a="1"/>
  <c r="AG349" i="30" s="1"/>
  <c r="AF349" i="30"/>
  <c r="AH348" i="30"/>
  <c r="AH347" i="30"/>
  <c r="AH346" i="30"/>
  <c r="AG346" i="30" a="1"/>
  <c r="AG346" i="30" s="1"/>
  <c r="AH345" i="30"/>
  <c r="AG344" i="30" a="1"/>
  <c r="AG344" i="30"/>
  <c r="AH344" i="30" s="1"/>
  <c r="AG343" i="30" a="1"/>
  <c r="AG343" i="30"/>
  <c r="AH343" i="30" s="1"/>
  <c r="AJ342" i="30"/>
  <c r="AI342" i="30"/>
  <c r="AF342" i="30"/>
  <c r="AE342" i="30"/>
  <c r="AJ341" i="30"/>
  <c r="AF341" i="30"/>
  <c r="AH339" i="30"/>
  <c r="AG337" i="30" a="1"/>
  <c r="AG337" i="30"/>
  <c r="AH337" i="30" s="1"/>
  <c r="AH336" i="30"/>
  <c r="AG336" i="30" a="1"/>
  <c r="AG336" i="30" s="1"/>
  <c r="AJ335" i="30"/>
  <c r="AJ316" i="30" s="1"/>
  <c r="AI335" i="30"/>
  <c r="AG334" i="30" a="1"/>
  <c r="AG334" i="30"/>
  <c r="AH334" i="30" s="1"/>
  <c r="AH333" i="30"/>
  <c r="AG332" i="30" a="1"/>
  <c r="AG332" i="30"/>
  <c r="AH332" i="30" s="1"/>
  <c r="AH331" i="30"/>
  <c r="AG331" i="30" a="1"/>
  <c r="AG331" i="30" s="1"/>
  <c r="AH330" i="30"/>
  <c r="AH329" i="30"/>
  <c r="AH328" i="30"/>
  <c r="AJ327" i="30"/>
  <c r="AI327" i="30"/>
  <c r="AF327" i="30"/>
  <c r="AE327" i="30"/>
  <c r="AH326" i="30"/>
  <c r="AH324" i="30"/>
  <c r="AG324" i="30" a="1"/>
  <c r="AG324" i="30" s="1"/>
  <c r="AJ323" i="30"/>
  <c r="AE323" i="30"/>
  <c r="AH322" i="30"/>
  <c r="AI319" i="30"/>
  <c r="AJ318" i="30"/>
  <c r="AH317" i="30"/>
  <c r="T315" i="30"/>
  <c r="T316" i="30" s="1" a="1"/>
  <c r="T316" i="30" s="1"/>
  <c r="T317" i="30" s="1" a="1"/>
  <c r="T317" i="30" s="1"/>
  <c r="T318" i="30" s="1" a="1"/>
  <c r="T318" i="30" s="1"/>
  <c r="T319" i="30" s="1" a="1"/>
  <c r="T319" i="30" s="1"/>
  <c r="T320" i="30" s="1" a="1"/>
  <c r="T320" i="30" s="1"/>
  <c r="T321" i="30" s="1" a="1"/>
  <c r="T321" i="30" s="1"/>
  <c r="T322" i="30" s="1" a="1"/>
  <c r="T322" i="30" s="1"/>
  <c r="T323" i="30" s="1"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S315" i="30" a="1"/>
  <c r="S315" i="30" s="1"/>
  <c r="B428" i="30" s="1"/>
  <c r="B429" i="30" s="1" a="1"/>
  <c r="B429" i="30" s="1"/>
  <c r="F315" i="30" a="1"/>
  <c r="F315" i="30" s="1"/>
  <c r="F316" i="30" s="1" a="1"/>
  <c r="F316" i="30" s="1"/>
  <c r="F317" i="30" s="1" a="1"/>
  <c r="F317" i="30" s="1"/>
  <c r="F318" i="30" s="1" a="1"/>
  <c r="F318" i="30" s="1"/>
  <c r="F319" i="30" s="1" a="1"/>
  <c r="F319" i="30" s="1"/>
  <c r="F320" i="30" s="1" a="1"/>
  <c r="F320" i="30" s="1"/>
  <c r="AH314" i="30"/>
  <c r="AH313" i="30"/>
  <c r="AH312" i="30"/>
  <c r="AS303" i="30"/>
  <c r="AR303" i="30"/>
  <c r="AQ303" i="30"/>
  <c r="AP303" i="30"/>
  <c r="AO303" i="30"/>
  <c r="AN303" i="30"/>
  <c r="AM303" i="30"/>
  <c r="AL303" i="30"/>
  <c r="AK303" i="30"/>
  <c r="AI303" i="30"/>
  <c r="AE303" i="30"/>
  <c r="AT300" i="30" a="1"/>
  <c r="AT300" i="30" s="1"/>
  <c r="AH300" i="30"/>
  <c r="AH297" i="30"/>
  <c r="B297" i="30"/>
  <c r="AH296" i="30"/>
  <c r="B296" i="30"/>
  <c r="AG292" i="30" a="1"/>
  <c r="AG292" i="30"/>
  <c r="AH292" i="30" s="1"/>
  <c r="AH291" i="30"/>
  <c r="AH290" i="30"/>
  <c r="AH289" i="30"/>
  <c r="AG288" i="30" a="1"/>
  <c r="AG288" i="30"/>
  <c r="AH288" i="30" s="1"/>
  <c r="BM287" i="30"/>
  <c r="BJ287" i="30"/>
  <c r="BI287" i="30"/>
  <c r="BF287" i="30"/>
  <c r="BC287" i="30"/>
  <c r="BB287" i="30"/>
  <c r="BA287" i="30"/>
  <c r="BL287" i="30" s="1"/>
  <c r="AZ287" i="30"/>
  <c r="BK287" i="30" s="1"/>
  <c r="AY287" i="30"/>
  <c r="AX287" i="30"/>
  <c r="AW287" i="30"/>
  <c r="BH287" i="30" s="1"/>
  <c r="AV287" i="30"/>
  <c r="BG287" i="30" s="1"/>
  <c r="AU287" i="30"/>
  <c r="AT287" i="30" a="1"/>
  <c r="AT287" i="30"/>
  <c r="BD287" i="30" s="1"/>
  <c r="AS287" i="30"/>
  <c r="AR287" i="30"/>
  <c r="AQ287" i="30"/>
  <c r="AP287" i="30"/>
  <c r="AO287" i="30"/>
  <c r="AN287" i="30"/>
  <c r="AM287" i="30"/>
  <c r="AL287" i="30"/>
  <c r="AK287" i="30"/>
  <c r="AJ287" i="30" a="1"/>
  <c r="AJ287" i="30"/>
  <c r="AF287" i="30"/>
  <c r="AJ286" i="30"/>
  <c r="AH286" i="30"/>
  <c r="AH285" i="30"/>
  <c r="AH284" i="30"/>
  <c r="AH283" i="30"/>
  <c r="AH282" i="30"/>
  <c r="AH281" i="30"/>
  <c r="BM279" i="30"/>
  <c r="BL279" i="30"/>
  <c r="BK279" i="30"/>
  <c r="BJ279" i="30"/>
  <c r="BI279" i="30"/>
  <c r="BH279" i="30"/>
  <c r="BG279" i="30"/>
  <c r="BF279" i="30"/>
  <c r="AI279" i="30"/>
  <c r="AF279" i="30"/>
  <c r="AE279" i="30"/>
  <c r="BM270" i="30"/>
  <c r="BL270" i="30"/>
  <c r="BK270" i="30"/>
  <c r="BJ270" i="30"/>
  <c r="BI270" i="30"/>
  <c r="BH270" i="30"/>
  <c r="BG270" i="30"/>
  <c r="BF270" i="30"/>
  <c r="BE270" i="30"/>
  <c r="BD270" i="30"/>
  <c r="AH270" i="30"/>
  <c r="B270" i="30" a="1"/>
  <c r="B270" i="30" s="1"/>
  <c r="B271" i="30" s="1" a="1"/>
  <c r="B271" i="30" s="1"/>
  <c r="B272" i="30" s="1" a="1"/>
  <c r="B272" i="30" s="1"/>
  <c r="B273" i="30" s="1" a="1"/>
  <c r="B273" i="30" s="1"/>
  <c r="B274" i="30" s="1" a="1"/>
  <c r="B274" i="30" s="1"/>
  <c r="B275" i="30" s="1" a="1"/>
  <c r="B275" i="30" s="1"/>
  <c r="B276" i="30" s="1" a="1"/>
  <c r="B276" i="30" s="1"/>
  <c r="B277" i="30" s="1" a="1"/>
  <c r="B277" i="30" s="1"/>
  <c r="B278" i="30" s="1" a="1"/>
  <c r="B278" i="30" s="1"/>
  <c r="D279" i="30" s="1"/>
  <c r="B268" i="30" a="1"/>
  <c r="B268" i="30" s="1"/>
  <c r="B269" i="30" s="1" a="1"/>
  <c r="B269" i="30" s="1"/>
  <c r="BM267" i="30"/>
  <c r="BL267" i="30"/>
  <c r="BK267" i="30"/>
  <c r="BJ267" i="30"/>
  <c r="BI267" i="30"/>
  <c r="BH267" i="30"/>
  <c r="BG267" i="30"/>
  <c r="BF267" i="30"/>
  <c r="BE267" i="30"/>
  <c r="BD267" i="30"/>
  <c r="AH267" i="30"/>
  <c r="B267" i="30"/>
  <c r="BM266" i="30"/>
  <c r="BL266" i="30"/>
  <c r="BK266" i="30"/>
  <c r="BJ266" i="30"/>
  <c r="BI266" i="30"/>
  <c r="BH266" i="30"/>
  <c r="BG266" i="30"/>
  <c r="BF266" i="30"/>
  <c r="BE266" i="30"/>
  <c r="BD266" i="30"/>
  <c r="AG266" i="30" a="1"/>
  <c r="AG266" i="30" s="1"/>
  <c r="AH266" i="30" s="1"/>
  <c r="B266" i="30"/>
  <c r="BM265" i="30"/>
  <c r="BL265" i="30"/>
  <c r="BK265" i="30"/>
  <c r="BJ265" i="30"/>
  <c r="BI265" i="30"/>
  <c r="BH265" i="30"/>
  <c r="BG265" i="30"/>
  <c r="BF265" i="30"/>
  <c r="BE265" i="30"/>
  <c r="BD265" i="30"/>
  <c r="AH265" i="30"/>
  <c r="B259" i="30"/>
  <c r="B260" i="30" s="1" a="1"/>
  <c r="B260" i="30" s="1"/>
  <c r="B261" i="30" s="1" a="1"/>
  <c r="B261" i="30" s="1"/>
  <c r="B262" i="30" s="1" a="1"/>
  <c r="B262" i="30" s="1"/>
  <c r="B263" i="30" s="1" a="1"/>
  <c r="B263" i="30" s="1"/>
  <c r="B264" i="30" s="1" a="1"/>
  <c r="B264" i="30" s="1"/>
  <c r="B265" i="30" s="1" a="1"/>
  <c r="B265" i="30" s="1"/>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K254" i="30"/>
  <c r="BJ254" i="30"/>
  <c r="BG254" i="30"/>
  <c r="BF254" i="30"/>
  <c r="BC254" i="30"/>
  <c r="BB254" i="30"/>
  <c r="BM254" i="30" s="1"/>
  <c r="BA254" i="30"/>
  <c r="BL254" i="30" s="1"/>
  <c r="AZ254" i="30"/>
  <c r="AY254" i="30"/>
  <c r="AX254" i="30"/>
  <c r="BI254" i="30" s="1"/>
  <c r="AW254" i="30"/>
  <c r="BH254" i="30" s="1"/>
  <c r="AV254" i="30"/>
  <c r="AU254" i="30"/>
  <c r="AT254" i="30"/>
  <c r="BE254" i="30" s="1"/>
  <c r="AS254" i="30"/>
  <c r="AR254" i="30"/>
  <c r="AQ254" i="30"/>
  <c r="AP254" i="30"/>
  <c r="AO254" i="30"/>
  <c r="AN254" i="30"/>
  <c r="AM254" i="30"/>
  <c r="AL254" i="30"/>
  <c r="AK254" i="30"/>
  <c r="AJ254" i="30"/>
  <c r="AI254" i="30"/>
  <c r="BD254" i="30" s="1"/>
  <c r="AH254" i="30"/>
  <c r="AG254" i="30"/>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s="1"/>
  <c r="AH220" i="30"/>
  <c r="AB220" i="30"/>
  <c r="J220" i="30" a="1"/>
  <c r="J220" i="30"/>
  <c r="AI219" i="30"/>
  <c r="AG219" i="30"/>
  <c r="AH219" i="30" s="1"/>
  <c r="AF219" i="30"/>
  <c r="AE219" i="30"/>
  <c r="AH218" i="30"/>
  <c r="AH217" i="30"/>
  <c r="B217" i="30"/>
  <c r="AH216" i="30"/>
  <c r="AH215" i="30"/>
  <c r="AH214" i="30"/>
  <c r="AI213" i="30"/>
  <c r="AG213" i="30"/>
  <c r="AF213" i="30"/>
  <c r="AE213" i="30"/>
  <c r="AH212" i="30"/>
  <c r="AG211" i="30" a="1"/>
  <c r="AG211" i="30"/>
  <c r="AH211" i="30" s="1"/>
  <c r="AH210" i="30"/>
  <c r="AH209" i="30"/>
  <c r="AG208" i="30" a="1"/>
  <c r="AG208" i="30"/>
  <c r="AH208" i="30" s="1"/>
  <c r="AG207" i="30" a="1"/>
  <c r="AG207" i="30"/>
  <c r="AH207" i="30" s="1"/>
  <c r="AJ206" i="30"/>
  <c r="AF206" i="30"/>
  <c r="AE206" i="30"/>
  <c r="AJ205" i="30"/>
  <c r="AG205" i="30" a="1"/>
  <c r="AG205" i="30"/>
  <c r="AH205" i="30" s="1"/>
  <c r="AF205" i="30"/>
  <c r="AH204" i="30"/>
  <c r="AH203" i="30"/>
  <c r="AG202" i="30" a="1"/>
  <c r="AG202" i="30"/>
  <c r="AH202" i="30" s="1"/>
  <c r="AH201" i="30"/>
  <c r="AH200" i="30"/>
  <c r="AG200" i="30" a="1"/>
  <c r="AG200" i="30" s="1"/>
  <c r="AG199" i="30" a="1"/>
  <c r="AG199" i="30" s="1"/>
  <c r="AG198" i="30" s="1"/>
  <c r="AJ198" i="30"/>
  <c r="AJ197" i="30" s="1"/>
  <c r="AI198" i="30"/>
  <c r="AF198" i="30"/>
  <c r="AF197" i="30" s="1"/>
  <c r="AE198" i="30"/>
  <c r="AE197" i="30"/>
  <c r="AH195" i="30"/>
  <c r="AG193" i="30" a="1"/>
  <c r="AG193" i="30" s="1"/>
  <c r="AH193" i="30" s="1"/>
  <c r="AG192" i="30" a="1"/>
  <c r="AG192" i="30" s="1"/>
  <c r="AJ191" i="30"/>
  <c r="AI191" i="30"/>
  <c r="AG190" i="30" a="1"/>
  <c r="AG190" i="30" s="1"/>
  <c r="AH190" i="30" s="1"/>
  <c r="AH189" i="30"/>
  <c r="AG188" i="30" a="1"/>
  <c r="AG188" i="30" s="1"/>
  <c r="AH188" i="30" s="1"/>
  <c r="AG187" i="30" a="1"/>
  <c r="AG187" i="30" s="1"/>
  <c r="AH187" i="30" s="1"/>
  <c r="AH186" i="30"/>
  <c r="AH185" i="30"/>
  <c r="AH184" i="30"/>
  <c r="AJ183" i="30"/>
  <c r="AJ174" i="30" s="1"/>
  <c r="AJ172" i="30" s="1"/>
  <c r="AI183" i="30"/>
  <c r="AF183" i="30"/>
  <c r="AE183" i="30"/>
  <c r="AH182" i="30"/>
  <c r="AG181" i="30" a="1"/>
  <c r="AG181" i="30" s="1"/>
  <c r="AG180" i="30" a="1"/>
  <c r="AG180" i="30" s="1"/>
  <c r="AH180" i="30" s="1"/>
  <c r="AJ179" i="30"/>
  <c r="AE179" i="30"/>
  <c r="AH178" i="30"/>
  <c r="AI175" i="30"/>
  <c r="AH173"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c r="B284" i="30" s="1"/>
  <c r="B285" i="30" s="1" a="1"/>
  <c r="B285" i="30" s="1"/>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M143" i="30"/>
  <c r="BI143" i="30"/>
  <c r="BD143" i="30"/>
  <c r="BC143" i="30"/>
  <c r="BB143" i="30"/>
  <c r="BA143" i="30"/>
  <c r="BL143" i="30" s="1"/>
  <c r="AZ143" i="30"/>
  <c r="BK143" i="30" s="1"/>
  <c r="AY143" i="30"/>
  <c r="BJ143" i="30" s="1"/>
  <c r="AX143" i="30"/>
  <c r="AW143" i="30"/>
  <c r="BH143" i="30" s="1"/>
  <c r="AV143" i="30"/>
  <c r="BG143" i="30" s="1"/>
  <c r="AU143" i="30"/>
  <c r="BF143" i="30" s="1"/>
  <c r="AS143" i="30"/>
  <c r="AR143" i="30"/>
  <c r="AQ143" i="30"/>
  <c r="AP143" i="30"/>
  <c r="AO143" i="30"/>
  <c r="AN143" i="30"/>
  <c r="AM143" i="30"/>
  <c r="AL143" i="30"/>
  <c r="AK143" i="30"/>
  <c r="AI143" i="30"/>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125" i="30"/>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3" i="30"/>
  <c r="BL123" i="30"/>
  <c r="BK123" i="30"/>
  <c r="BJ123" i="30"/>
  <c r="BI123" i="30"/>
  <c r="BH123" i="30"/>
  <c r="BG123" i="30"/>
  <c r="BF123" i="30"/>
  <c r="BE123" i="30"/>
  <c r="BD123" i="30"/>
  <c r="AH123" i="30"/>
  <c r="B123" i="30"/>
  <c r="B124" i="30" s="1" a="1"/>
  <c r="B124" i="30" s="1"/>
  <c r="B125" i="30" s="1" a="1"/>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8" i="30" a="1"/>
  <c r="B118" i="30" s="1"/>
  <c r="B119" i="30" s="1" a="1"/>
  <c r="B119" i="30" s="1"/>
  <c r="B120" i="30" s="1" a="1"/>
  <c r="B120" i="30" s="1"/>
  <c r="B121" i="30" s="1" a="1"/>
  <c r="B121" i="30" s="1"/>
  <c r="B115" i="30"/>
  <c r="B116" i="30" s="1" a="1"/>
  <c r="B116" i="30" s="1"/>
  <c r="B117" i="30" s="1" a="1"/>
  <c r="B117"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L110" i="30"/>
  <c r="BK110" i="30"/>
  <c r="BH110" i="30"/>
  <c r="BG110" i="30"/>
  <c r="BC110" i="30"/>
  <c r="BB110" i="30"/>
  <c r="BM110" i="30" s="1"/>
  <c r="BA110" i="30"/>
  <c r="AZ110" i="30"/>
  <c r="AY110" i="30"/>
  <c r="BJ110" i="30" s="1"/>
  <c r="AX110" i="30"/>
  <c r="BI110" i="30" s="1"/>
  <c r="AW110" i="30"/>
  <c r="AV110" i="30"/>
  <c r="AU110" i="30"/>
  <c r="BF110" i="30" s="1"/>
  <c r="AT110" i="30"/>
  <c r="BE110" i="30" s="1"/>
  <c r="AS110" i="30"/>
  <c r="AR110" i="30"/>
  <c r="AQ110" i="30"/>
  <c r="AP110" i="30"/>
  <c r="AO110" i="30"/>
  <c r="AN110" i="30"/>
  <c r="AM110" i="30"/>
  <c r="AL110" i="30"/>
  <c r="AK110" i="30"/>
  <c r="AJ110" i="30"/>
  <c r="AI110" i="30"/>
  <c r="BD110" i="30" s="1"/>
  <c r="AG110" i="30"/>
  <c r="AH110" i="30" s="1"/>
  <c r="AF110" i="30"/>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s="1"/>
  <c r="AH76" i="30"/>
  <c r="AB76" i="30"/>
  <c r="J76" i="30" a="1"/>
  <c r="J76" i="30" s="1"/>
  <c r="AI75" i="30"/>
  <c r="AG75" i="30"/>
  <c r="AH75" i="30" s="1"/>
  <c r="AF75" i="30"/>
  <c r="AE75" i="30"/>
  <c r="AH74" i="30"/>
  <c r="AH73" i="30"/>
  <c r="B73" i="30"/>
  <c r="AH72" i="30"/>
  <c r="AH71" i="30"/>
  <c r="AH70" i="30"/>
  <c r="AI69" i="30"/>
  <c r="AG69" i="30"/>
  <c r="AF69" i="30"/>
  <c r="AH69" i="30" s="1"/>
  <c r="AE69" i="30"/>
  <c r="AH68" i="30"/>
  <c r="AH67" i="30"/>
  <c r="AH66" i="30"/>
  <c r="AH65" i="30"/>
  <c r="AH63" i="30"/>
  <c r="AH61" i="30"/>
  <c r="AH60" i="30"/>
  <c r="AH59" i="30"/>
  <c r="AH58" i="30"/>
  <c r="AH57" i="30"/>
  <c r="AH56" i="30"/>
  <c r="AH55" i="30"/>
  <c r="AI54" i="30"/>
  <c r="AG54" i="30"/>
  <c r="AH54" i="30" s="1"/>
  <c r="AF54" i="30"/>
  <c r="AE54" i="30"/>
  <c r="AH51" i="30"/>
  <c r="AH49" i="30"/>
  <c r="AH48" i="30"/>
  <c r="AI47" i="30"/>
  <c r="AH46" i="30"/>
  <c r="AH45" i="30"/>
  <c r="AH44" i="30"/>
  <c r="AH43" i="30"/>
  <c r="AH42" i="30"/>
  <c r="AH41" i="30"/>
  <c r="AH40" i="30"/>
  <c r="AI39" i="30"/>
  <c r="AG39" i="30"/>
  <c r="AH39" i="30" s="1"/>
  <c r="AF39" i="30"/>
  <c r="AE39" i="30"/>
  <c r="AH38" i="30"/>
  <c r="AH36" i="30"/>
  <c r="AH34" i="30"/>
  <c r="AI31" i="30"/>
  <c r="AH29" i="30"/>
  <c r="T28" i="30"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27" i="30"/>
  <c r="S27" i="30" a="1"/>
  <c r="S27" i="30"/>
  <c r="B140" i="30" s="1"/>
  <c r="B141" i="30" s="1" a="1"/>
  <c r="B141" i="30" s="1"/>
  <c r="F27" i="30" a="1"/>
  <c r="F27" i="30"/>
  <c r="F28" i="30" s="1" a="1"/>
  <c r="F28" i="30" s="1"/>
  <c r="F29" i="30" s="1" a="1"/>
  <c r="F29"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c r="BO13" i="30" a="1"/>
  <c r="BO13" i="30" s="1"/>
  <c r="BN13" i="30" a="1"/>
  <c r="BN13" i="30"/>
  <c r="BP11" i="30" a="1"/>
  <c r="BP11" i="30" s="1"/>
  <c r="BO11" i="30" a="1"/>
  <c r="BO11" i="30"/>
  <c r="BN11" i="30" a="1"/>
  <c r="BN11" i="30" s="1"/>
  <c r="BM10" i="30" a="1"/>
  <c r="BM10" i="30"/>
  <c r="BL10" i="30" a="1"/>
  <c r="BL10" i="30" s="1"/>
  <c r="BK10" i="30" a="1"/>
  <c r="BK10" i="30"/>
  <c r="BJ10" i="30" a="1"/>
  <c r="BJ10" i="30" s="1"/>
  <c r="BI10" i="30" a="1"/>
  <c r="BI10" i="30"/>
  <c r="BH10" i="30" a="1"/>
  <c r="BH10" i="30" s="1"/>
  <c r="BG10" i="30" a="1"/>
  <c r="BG10" i="30"/>
  <c r="BF10" i="30" a="1"/>
  <c r="BF10" i="30" s="1"/>
  <c r="BE10" i="30" a="1"/>
  <c r="BE10" i="30"/>
  <c r="BD10" i="30" a="1"/>
  <c r="BD10" i="30" s="1"/>
  <c r="BC10" i="30" a="1"/>
  <c r="BC10" i="30"/>
  <c r="BB10" i="30" a="1"/>
  <c r="BB10" i="30" s="1"/>
  <c r="BA10" i="30" a="1"/>
  <c r="BA10" i="30"/>
  <c r="AZ10" i="30" a="1"/>
  <c r="AZ10" i="30" s="1"/>
  <c r="AY10" i="30" a="1"/>
  <c r="AY10" i="30"/>
  <c r="AX10" i="30" a="1"/>
  <c r="AX10" i="30" s="1"/>
  <c r="AW10" i="30" a="1"/>
  <c r="AW10" i="30"/>
  <c r="AV10" i="30" a="1"/>
  <c r="AV10" i="30" s="1"/>
  <c r="AU10" i="30" a="1"/>
  <c r="AU10" i="30"/>
  <c r="AT10" i="30" a="1"/>
  <c r="AT10" i="30" s="1"/>
  <c r="AS10" i="30" a="1"/>
  <c r="AS10" i="30"/>
  <c r="AR10" i="30" a="1"/>
  <c r="AR10" i="30" s="1"/>
  <c r="AQ10" i="30" a="1"/>
  <c r="AQ10" i="30"/>
  <c r="AP10" i="30" a="1"/>
  <c r="AP10" i="30" s="1"/>
  <c r="AO10" i="30" a="1"/>
  <c r="AO10" i="30"/>
  <c r="AN10" i="30" a="1"/>
  <c r="AN10" i="30" s="1"/>
  <c r="AM10" i="30" a="1"/>
  <c r="AM10" i="30"/>
  <c r="AL10" i="30" a="1"/>
  <c r="AL10" i="30" s="1"/>
  <c r="AK10" i="30" a="1"/>
  <c r="AK10" i="30"/>
  <c r="AJ10" i="30" a="1"/>
  <c r="AJ10" i="30" s="1"/>
  <c r="AI10" i="30" a="1"/>
  <c r="AI10" i="30"/>
  <c r="AH10" i="30" a="1"/>
  <c r="AH10" i="30" s="1"/>
  <c r="AG10" i="30" a="1"/>
  <c r="AG10" i="30"/>
  <c r="AF10" i="30" a="1"/>
  <c r="AF10" i="30" s="1"/>
  <c r="AE10" i="30" a="1"/>
  <c r="AE10" i="30"/>
  <c r="BM9" i="30" a="1"/>
  <c r="BM9" i="30" s="1"/>
  <c r="BK9" i="30" a="1"/>
  <c r="BK9" i="30" s="1"/>
  <c r="BI9" i="30" a="1"/>
  <c r="BI9" i="30" s="1"/>
  <c r="BG9" i="30" a="1"/>
  <c r="BG9" i="30" s="1"/>
  <c r="BE9" i="30" a="1"/>
  <c r="BE9" i="30" s="1"/>
  <c r="BC9" i="30" a="1"/>
  <c r="BC9" i="30" s="1"/>
  <c r="BA9" i="30" a="1"/>
  <c r="BA9" i="30" s="1"/>
  <c r="AW9" i="30" a="1"/>
  <c r="AW9" i="30" s="1"/>
  <c r="AU9" i="30" a="1"/>
  <c r="AU9" i="30" s="1"/>
  <c r="AS9" i="30" a="1"/>
  <c r="AS9" i="30" s="1"/>
  <c r="AQ9" i="30" a="1"/>
  <c r="AQ9" i="30" s="1"/>
  <c r="AO9" i="30" a="1"/>
  <c r="AO9" i="30" s="1"/>
  <c r="AM9" i="30" a="1"/>
  <c r="AM9" i="30" s="1"/>
  <c r="AK9" i="30" a="1"/>
  <c r="AK9" i="30" s="1"/>
  <c r="AI9" i="30" a="1"/>
  <c r="AI9" i="30" s="1"/>
  <c r="AE9" i="30" a="1"/>
  <c r="AE9" i="30" s="1"/>
  <c r="BB8" i="30"/>
  <c r="AS8" i="30"/>
  <c r="BC7" i="30" a="1"/>
  <c r="BC7" i="30"/>
  <c r="BB7" i="30" a="1"/>
  <c r="BB7" i="30"/>
  <c r="BA7" i="30" a="1"/>
  <c r="BA7" i="30"/>
  <c r="BA8" i="30" s="1"/>
  <c r="AZ7" i="30" a="1"/>
  <c r="AZ7" i="30" s="1"/>
  <c r="AY7" i="30" a="1"/>
  <c r="AY7" i="30"/>
  <c r="AX7" i="30" a="1"/>
  <c r="AX7" i="30" s="1"/>
  <c r="AX8" i="30" s="1"/>
  <c r="AW7" i="30" a="1"/>
  <c r="AW7" i="30"/>
  <c r="AW8" i="30" s="1"/>
  <c r="AV7" i="30" a="1"/>
  <c r="AV7" i="30" s="1"/>
  <c r="AU7" i="30" a="1"/>
  <c r="AU7" i="30"/>
  <c r="AT7" i="30" a="1"/>
  <c r="AT7" i="30" s="1"/>
  <c r="AS7" i="30" a="1"/>
  <c r="AS7" i="30"/>
  <c r="AR7" i="30" a="1"/>
  <c r="AR7" i="30" s="1"/>
  <c r="AQ7" i="30" a="1"/>
  <c r="AQ7" i="30"/>
  <c r="AP7" i="30" a="1"/>
  <c r="AP7" i="30" s="1"/>
  <c r="AP8" i="30" s="1"/>
  <c r="AO7" i="30" a="1"/>
  <c r="AO7" i="30"/>
  <c r="AO8" i="30" s="1"/>
  <c r="AN7" i="30" a="1"/>
  <c r="AN7" i="30" s="1"/>
  <c r="AM7" i="30" a="1"/>
  <c r="AM7" i="30"/>
  <c r="AL7" i="30" a="1"/>
  <c r="AL7" i="30" s="1"/>
  <c r="AL8" i="30" s="1"/>
  <c r="AK7" i="30" a="1"/>
  <c r="AK7" i="30"/>
  <c r="AK8" i="30" s="1"/>
  <c r="AJ7" i="30" a="1"/>
  <c r="AJ7" i="30" s="1"/>
  <c r="AI7" i="30" a="1"/>
  <c r="AI7" i="30"/>
  <c r="AH7" i="30" a="1"/>
  <c r="AH7" i="30" s="1"/>
  <c r="AG7" i="30" a="1"/>
  <c r="AG7" i="30"/>
  <c r="AF7" i="30" a="1"/>
  <c r="AF7" i="30" s="1"/>
  <c r="AE7" i="30" a="1"/>
  <c r="AE7" i="30"/>
  <c r="BM6" i="30"/>
  <c r="BL6" i="30"/>
  <c r="BL9" i="30" s="1" a="1"/>
  <c r="BL9" i="30" s="1"/>
  <c r="BK6" i="30"/>
  <c r="BJ6" i="30"/>
  <c r="BI6" i="30"/>
  <c r="BH6" i="30"/>
  <c r="BH9" i="30" s="1" a="1"/>
  <c r="BH9" i="30" s="1"/>
  <c r="BG6" i="30"/>
  <c r="BF6" i="30"/>
  <c r="BE6" i="30"/>
  <c r="BD6" i="30" a="1"/>
  <c r="BD6" i="30"/>
  <c r="BD9" i="30" s="1" a="1"/>
  <c r="BD9" i="30" s="1"/>
  <c r="BC6" i="30"/>
  <c r="BB6" i="30"/>
  <c r="BB9" i="30" s="1" a="1"/>
  <c r="BB9" i="30" s="1"/>
  <c r="BA6" i="30"/>
  <c r="AZ6" i="30"/>
  <c r="AZ8" i="30" s="1"/>
  <c r="AY6" i="30"/>
  <c r="AX6" i="30"/>
  <c r="AX9" i="30" s="1" a="1"/>
  <c r="AX9" i="30" s="1"/>
  <c r="AW6" i="30"/>
  <c r="AV6" i="30"/>
  <c r="AU6" i="30"/>
  <c r="AT6" i="30" a="1"/>
  <c r="AT6" i="30" s="1"/>
  <c r="AS6" i="30"/>
  <c r="AR6" i="30"/>
  <c r="AQ6" i="30"/>
  <c r="AP6" i="30"/>
  <c r="AP9" i="30" s="1" a="1"/>
  <c r="AP9" i="30" s="1"/>
  <c r="AO6" i="30"/>
  <c r="AN6" i="30"/>
  <c r="AM6" i="30"/>
  <c r="AM8" i="30" s="1"/>
  <c r="AL6" i="30"/>
  <c r="AL9" i="30" s="1" a="1"/>
  <c r="AL9" i="30" s="1"/>
  <c r="AK6" i="30"/>
  <c r="AJ6" i="30" a="1"/>
  <c r="AJ6" i="30" s="1"/>
  <c r="AI6" i="30"/>
  <c r="AH6" i="30"/>
  <c r="AH9" i="30" s="1" a="1"/>
  <c r="AH9" i="30" s="1"/>
  <c r="AG6" i="30"/>
  <c r="AG9" i="30" s="1" a="1"/>
  <c r="AG9" i="30" s="1"/>
  <c r="AF6" i="30"/>
  <c r="AE6" i="30"/>
  <c r="AE8" i="30" s="1"/>
  <c r="T462" i="29"/>
  <c r="AH458" i="29"/>
  <c r="AH457" i="29"/>
  <c r="AH456" i="29"/>
  <c r="AH455" i="29"/>
  <c r="AT447" i="29"/>
  <c r="AS447" i="29"/>
  <c r="AR447" i="29"/>
  <c r="AQ447" i="29"/>
  <c r="AP447" i="29"/>
  <c r="AO447" i="29"/>
  <c r="AN447" i="29"/>
  <c r="AM447" i="29"/>
  <c r="AL447" i="29"/>
  <c r="AK447" i="29"/>
  <c r="AJ447" i="29"/>
  <c r="AI447" i="29"/>
  <c r="AG447" i="29"/>
  <c r="AF447" i="29"/>
  <c r="AE447" i="29"/>
  <c r="AH444" i="29"/>
  <c r="AH441" i="29"/>
  <c r="B441" i="29"/>
  <c r="AH440" i="29"/>
  <c r="B440" i="29"/>
  <c r="AH436" i="29"/>
  <c r="AH435" i="29"/>
  <c r="AH434" i="29"/>
  <c r="AH433" i="29"/>
  <c r="AH432" i="29"/>
  <c r="BK431" i="29"/>
  <c r="BJ431" i="29"/>
  <c r="BG431" i="29"/>
  <c r="BF431" i="29"/>
  <c r="BC431" i="29"/>
  <c r="BB431" i="29"/>
  <c r="BM431" i="29" s="1"/>
  <c r="BA431" i="29"/>
  <c r="BL431" i="29" s="1"/>
  <c r="AZ431" i="29"/>
  <c r="AY431" i="29"/>
  <c r="AX431" i="29"/>
  <c r="BI431" i="29" s="1"/>
  <c r="AW431" i="29"/>
  <c r="BH431" i="29" s="1"/>
  <c r="AV431" i="29"/>
  <c r="AU431" i="29"/>
  <c r="AS431" i="29"/>
  <c r="AR431" i="29"/>
  <c r="AQ431" i="29"/>
  <c r="AP431" i="29"/>
  <c r="AO431" i="29"/>
  <c r="AN431" i="29"/>
  <c r="AM431" i="29"/>
  <c r="AL431" i="29"/>
  <c r="AK431" i="29"/>
  <c r="AG431" i="29"/>
  <c r="AH431" i="29" s="1"/>
  <c r="AF431" i="29"/>
  <c r="AH430" i="29"/>
  <c r="AH429" i="29"/>
  <c r="AH428" i="29"/>
  <c r="AH427" i="29"/>
  <c r="AH426" i="29"/>
  <c r="AH425" i="29"/>
  <c r="BM423" i="29"/>
  <c r="BL423" i="29"/>
  <c r="BK423" i="29"/>
  <c r="BJ423" i="29"/>
  <c r="BI423" i="29"/>
  <c r="BH423" i="29"/>
  <c r="BG423" i="29"/>
  <c r="BF423" i="29"/>
  <c r="AH423" i="29"/>
  <c r="BM414" i="29"/>
  <c r="BL414" i="29"/>
  <c r="BK414" i="29"/>
  <c r="BJ414" i="29"/>
  <c r="BI414" i="29"/>
  <c r="BH414" i="29"/>
  <c r="BG414" i="29"/>
  <c r="BF414" i="29"/>
  <c r="BE414" i="29"/>
  <c r="BD414" i="29"/>
  <c r="AH414" i="29"/>
  <c r="B412" i="29"/>
  <c r="B413" i="29" s="1" a="1"/>
  <c r="B413" i="29" s="1"/>
  <c r="B414" i="29" s="1" a="1"/>
  <c r="B414" i="29" s="1"/>
  <c r="B415" i="29" s="1" a="1"/>
  <c r="B415" i="29" s="1"/>
  <c r="B416" i="29" s="1" a="1"/>
  <c r="B416" i="29" s="1"/>
  <c r="B417" i="29" s="1" a="1"/>
  <c r="B417" i="29" s="1"/>
  <c r="B418" i="29" s="1" a="1"/>
  <c r="B418" i="29" s="1"/>
  <c r="B419" i="29" s="1" a="1"/>
  <c r="B419" i="29" s="1"/>
  <c r="B420" i="29" s="1" a="1"/>
  <c r="B420" i="29" s="1"/>
  <c r="B421" i="29" s="1" a="1"/>
  <c r="B421" i="29" s="1"/>
  <c r="B422" i="29" s="1" a="1"/>
  <c r="B422" i="29" s="1"/>
  <c r="D423" i="29" s="1"/>
  <c r="BM411" i="29"/>
  <c r="BL411" i="29"/>
  <c r="BK411" i="29"/>
  <c r="BJ411" i="29"/>
  <c r="BI411" i="29"/>
  <c r="BH411" i="29"/>
  <c r="BG411" i="29"/>
  <c r="BF411" i="29"/>
  <c r="BE411" i="29"/>
  <c r="BD411" i="29"/>
  <c r="AH411" i="29"/>
  <c r="B411" i="29"/>
  <c r="B412" i="29" s="1" a="1"/>
  <c r="BM410" i="29"/>
  <c r="BL410" i="29"/>
  <c r="BK410" i="29"/>
  <c r="BJ410" i="29"/>
  <c r="BI410" i="29"/>
  <c r="BH410" i="29"/>
  <c r="BG410" i="29"/>
  <c r="BF410" i="29"/>
  <c r="BE410" i="29"/>
  <c r="BD410" i="29"/>
  <c r="AH410" i="29"/>
  <c r="B410" i="29"/>
  <c r="BM409" i="29"/>
  <c r="BL409" i="29"/>
  <c r="BK409" i="29"/>
  <c r="BJ409" i="29"/>
  <c r="BI409" i="29"/>
  <c r="BH409" i="29"/>
  <c r="BG409" i="29"/>
  <c r="BF409" i="29"/>
  <c r="BE409" i="29"/>
  <c r="BD409" i="29"/>
  <c r="AH409" i="29"/>
  <c r="B404" i="29" a="1"/>
  <c r="B404" i="29" s="1"/>
  <c r="B405" i="29" s="1" a="1"/>
  <c r="B405" i="29" s="1"/>
  <c r="B406" i="29" s="1" a="1"/>
  <c r="B406" i="29" s="1"/>
  <c r="B407" i="29" s="1" a="1"/>
  <c r="B407" i="29" s="1"/>
  <c r="B408" i="29" s="1" a="1"/>
  <c r="B408" i="29" s="1"/>
  <c r="B409" i="29" s="1" a="1"/>
  <c r="B409" i="29" s="1"/>
  <c r="B403" i="29"/>
  <c r="BM401" i="29"/>
  <c r="BL401" i="29"/>
  <c r="BK401" i="29"/>
  <c r="BJ401" i="29"/>
  <c r="BI401" i="29"/>
  <c r="BH401" i="29"/>
  <c r="BG401" i="29"/>
  <c r="BF401" i="29"/>
  <c r="BE401" i="29"/>
  <c r="BD401" i="29"/>
  <c r="AH401" i="29"/>
  <c r="BM400" i="29"/>
  <c r="BL400" i="29"/>
  <c r="BK400" i="29"/>
  <c r="BJ400" i="29"/>
  <c r="BI400" i="29"/>
  <c r="BH400" i="29"/>
  <c r="BG400" i="29"/>
  <c r="BF400" i="29"/>
  <c r="BE400" i="29"/>
  <c r="BD400" i="29"/>
  <c r="AH400" i="29"/>
  <c r="BM399" i="29"/>
  <c r="BL399" i="29"/>
  <c r="BK399" i="29"/>
  <c r="BJ399" i="29"/>
  <c r="BI399" i="29"/>
  <c r="BH399" i="29"/>
  <c r="BG399" i="29"/>
  <c r="BF399" i="29"/>
  <c r="BE399" i="29"/>
  <c r="BD399" i="29"/>
  <c r="AH399" i="29"/>
  <c r="BL398" i="29"/>
  <c r="BK398" i="29"/>
  <c r="BH398" i="29"/>
  <c r="BG398" i="29"/>
  <c r="BC398" i="29"/>
  <c r="BB398" i="29"/>
  <c r="BM398" i="29" s="1"/>
  <c r="BA398" i="29"/>
  <c r="AZ398" i="29"/>
  <c r="AY398" i="29"/>
  <c r="BJ398" i="29" s="1"/>
  <c r="AX398" i="29"/>
  <c r="BI398" i="29" s="1"/>
  <c r="AW398" i="29"/>
  <c r="AV398" i="29"/>
  <c r="AU398" i="29"/>
  <c r="BF398" i="29" s="1"/>
  <c r="AT398" i="29"/>
  <c r="BE398" i="29" s="1"/>
  <c r="AS398" i="29"/>
  <c r="AR398" i="29"/>
  <c r="AQ398" i="29"/>
  <c r="AP398" i="29"/>
  <c r="AO398" i="29"/>
  <c r="AN398" i="29"/>
  <c r="AM398" i="29"/>
  <c r="AL398" i="29"/>
  <c r="AK398" i="29"/>
  <c r="AJ398" i="29"/>
  <c r="AI398" i="29"/>
  <c r="BD398" i="29" s="1"/>
  <c r="AG398" i="29"/>
  <c r="AH398" i="29" s="1"/>
  <c r="AF398" i="29"/>
  <c r="AE398" i="29"/>
  <c r="BM397" i="29"/>
  <c r="BL397" i="29"/>
  <c r="BK397" i="29"/>
  <c r="BJ397" i="29"/>
  <c r="BI397" i="29"/>
  <c r="BH397" i="29"/>
  <c r="BG397" i="29"/>
  <c r="BF397" i="29"/>
  <c r="BE397" i="29"/>
  <c r="BD397" i="29"/>
  <c r="AH397" i="29"/>
  <c r="BM396" i="29"/>
  <c r="BL396" i="29"/>
  <c r="BK396" i="29"/>
  <c r="BJ396" i="29"/>
  <c r="BI396" i="29"/>
  <c r="BH396" i="29"/>
  <c r="BG396" i="29"/>
  <c r="BF396" i="29"/>
  <c r="BE396" i="29"/>
  <c r="BD396" i="29"/>
  <c r="AH396" i="29"/>
  <c r="BD395" i="29"/>
  <c r="AH395" i="29"/>
  <c r="BM394" i="29"/>
  <c r="BL394" i="29"/>
  <c r="BK394" i="29"/>
  <c r="BJ394" i="29"/>
  <c r="BI394" i="29"/>
  <c r="BH394" i="29"/>
  <c r="BG394" i="29"/>
  <c r="BF394" i="29"/>
  <c r="B394" i="29"/>
  <c r="BJ393" i="29"/>
  <c r="BC393" i="29" a="1"/>
  <c r="BC393" i="29"/>
  <c r="BB393" i="29" a="1"/>
  <c r="BB393" i="29" s="1"/>
  <c r="BM393" i="29" s="1"/>
  <c r="BA393" i="29" a="1"/>
  <c r="BA393" i="29"/>
  <c r="BL393" i="29" s="1"/>
  <c r="AZ393" i="29" a="1"/>
  <c r="AZ393" i="29" s="1"/>
  <c r="BK393" i="29" s="1"/>
  <c r="AY393" i="29" a="1"/>
  <c r="AY393" i="29"/>
  <c r="AX393" i="29" a="1"/>
  <c r="AX393" i="29" s="1"/>
  <c r="BI393" i="29" s="1"/>
  <c r="AW393" i="29" a="1"/>
  <c r="AW393" i="29" s="1"/>
  <c r="BH393" i="29" s="1"/>
  <c r="AV393" i="29" a="1"/>
  <c r="AV393" i="29" s="1"/>
  <c r="BG393" i="29" s="1"/>
  <c r="AU393" i="29" a="1"/>
  <c r="AU393" i="29"/>
  <c r="BF393" i="29" s="1"/>
  <c r="AS393" i="29" a="1"/>
  <c r="AS393" i="29"/>
  <c r="AR393" i="29" a="1"/>
  <c r="AR393" i="29" s="1"/>
  <c r="AQ393" i="29" a="1"/>
  <c r="AQ393" i="29" s="1"/>
  <c r="AP393" i="29" a="1"/>
  <c r="AP393" i="29" s="1"/>
  <c r="AO393" i="29" a="1"/>
  <c r="AO393" i="29"/>
  <c r="AN393" i="29" a="1"/>
  <c r="AN393" i="29" s="1"/>
  <c r="AM393" i="29" a="1"/>
  <c r="AM393" i="29"/>
  <c r="AL393" i="29" a="1"/>
  <c r="AL393" i="29" s="1"/>
  <c r="AK393" i="29" a="1"/>
  <c r="AK393" i="29"/>
  <c r="B393" i="29"/>
  <c r="BM391" i="29"/>
  <c r="BL391" i="29"/>
  <c r="BK391" i="29"/>
  <c r="BJ391" i="29"/>
  <c r="BI391" i="29"/>
  <c r="BH391" i="29"/>
  <c r="BG391" i="29"/>
  <c r="BF391" i="29"/>
  <c r="BE391" i="29"/>
  <c r="BD391" i="29"/>
  <c r="AH391" i="29"/>
  <c r="BM374" i="29"/>
  <c r="BL374" i="29"/>
  <c r="BK374" i="29"/>
  <c r="BJ374" i="29"/>
  <c r="BI374" i="29"/>
  <c r="BH374" i="29"/>
  <c r="BG374" i="29"/>
  <c r="BF374" i="29"/>
  <c r="BE374" i="29"/>
  <c r="BD374" i="29"/>
  <c r="AH374" i="29"/>
  <c r="BM373" i="29"/>
  <c r="BL373" i="29"/>
  <c r="BK373" i="29"/>
  <c r="BJ373" i="29"/>
  <c r="BI373" i="29"/>
  <c r="BH373" i="29"/>
  <c r="BG373" i="29"/>
  <c r="BF373" i="29"/>
  <c r="BE373" i="29"/>
  <c r="BD373" i="29"/>
  <c r="AH373" i="29"/>
  <c r="BU364" i="29" a="1"/>
  <c r="BU364" i="29" s="1"/>
  <c r="BD364" i="29"/>
  <c r="AH364" i="29"/>
  <c r="AB364" i="29"/>
  <c r="J364" i="29" a="1"/>
  <c r="J364" i="29" s="1"/>
  <c r="B364" i="29"/>
  <c r="B365" i="29" s="1" a="1"/>
  <c r="B365" i="29" s="1"/>
  <c r="AT363" i="29"/>
  <c r="AJ363" i="29"/>
  <c r="AI363" i="29"/>
  <c r="BD363" i="29" s="1"/>
  <c r="AG363" i="29"/>
  <c r="AH363" i="29" s="1"/>
  <c r="AF363" i="29"/>
  <c r="AE363" i="29"/>
  <c r="BD362" i="29"/>
  <c r="AH362" i="29"/>
  <c r="B361" i="29"/>
  <c r="BD337" i="29"/>
  <c r="AH337" i="29"/>
  <c r="BD336" i="29"/>
  <c r="AH336" i="29"/>
  <c r="BD334" i="29"/>
  <c r="AH334" i="29"/>
  <c r="BD333" i="29"/>
  <c r="AH333" i="29"/>
  <c r="BD332" i="29"/>
  <c r="AH332" i="29"/>
  <c r="BD331" i="29"/>
  <c r="AH331" i="29"/>
  <c r="BD330" i="29"/>
  <c r="AH330" i="29"/>
  <c r="BD329" i="29"/>
  <c r="AH329" i="29"/>
  <c r="BD328" i="29"/>
  <c r="AH328" i="29"/>
  <c r="AT327" i="29"/>
  <c r="AJ327" i="29"/>
  <c r="AI327" i="29"/>
  <c r="BD327" i="29" s="1"/>
  <c r="AG327" i="29"/>
  <c r="AH327" i="29" s="1"/>
  <c r="AF327" i="29"/>
  <c r="AE327" i="29"/>
  <c r="BD326" i="29"/>
  <c r="AH326" i="29"/>
  <c r="BD322" i="29"/>
  <c r="AH322" i="29"/>
  <c r="BD317" i="29"/>
  <c r="AH317" i="29"/>
  <c r="T315" i="29"/>
  <c r="T316" i="29" s="1" a="1"/>
  <c r="T316" i="29" s="1"/>
  <c r="T317" i="29" s="1" a="1"/>
  <c r="T317" i="29" s="1"/>
  <c r="T318" i="29" s="1" a="1"/>
  <c r="T318" i="29" s="1"/>
  <c r="T319" i="29" s="1" a="1"/>
  <c r="T319" i="29" s="1"/>
  <c r="T320" i="29" s="1" a="1"/>
  <c r="T320" i="29" s="1"/>
  <c r="T321" i="29" s="1" a="1"/>
  <c r="T321" i="29" s="1"/>
  <c r="T322" i="29" s="1" a="1"/>
  <c r="T322" i="29" s="1"/>
  <c r="T323" i="29" s="1" a="1"/>
  <c r="T323" i="29" s="1"/>
  <c r="T324" i="29" s="1" a="1"/>
  <c r="T324" i="29" s="1"/>
  <c r="T325" i="29" s="1" a="1"/>
  <c r="T325" i="29" s="1"/>
  <c r="T326" i="29" s="1" a="1"/>
  <c r="T326" i="29" s="1"/>
  <c r="T327" i="29" s="1" a="1"/>
  <c r="T327" i="29" s="1"/>
  <c r="T328" i="29" s="1" a="1"/>
  <c r="T328" i="29" s="1"/>
  <c r="T329" i="29" s="1" a="1"/>
  <c r="T329" i="29" s="1"/>
  <c r="T330" i="29" s="1" a="1"/>
  <c r="T330" i="29" s="1"/>
  <c r="T331" i="29" s="1" a="1"/>
  <c r="T331" i="29" s="1"/>
  <c r="T332" i="29" s="1" a="1"/>
  <c r="T332" i="29" s="1"/>
  <c r="T333" i="29" s="1" a="1"/>
  <c r="T333" i="29" s="1"/>
  <c r="T334" i="29" s="1" a="1"/>
  <c r="T334" i="29" s="1"/>
  <c r="T335" i="29" s="1" a="1"/>
  <c r="T335" i="29" s="1"/>
  <c r="T336" i="29" s="1" a="1"/>
  <c r="T336" i="29" s="1"/>
  <c r="T337" i="29" s="1" a="1"/>
  <c r="T337" i="29" s="1"/>
  <c r="T338" i="29" s="1" a="1"/>
  <c r="T338" i="29" s="1"/>
  <c r="T339" i="29" s="1" a="1"/>
  <c r="T339" i="29" s="1"/>
  <c r="T340" i="29" s="1" a="1"/>
  <c r="T340" i="29" s="1"/>
  <c r="T341" i="29" s="1" a="1"/>
  <c r="T341" i="29" s="1"/>
  <c r="T342" i="29" s="1" a="1"/>
  <c r="T342" i="29" s="1"/>
  <c r="T343" i="29" s="1" a="1"/>
  <c r="T343" i="29" s="1"/>
  <c r="T344" i="29" s="1" a="1"/>
  <c r="T344" i="29" s="1"/>
  <c r="T345" i="29" s="1" a="1"/>
  <c r="T345" i="29" s="1"/>
  <c r="T346" i="29" s="1" a="1"/>
  <c r="T346" i="29" s="1"/>
  <c r="T347" i="29" s="1" a="1"/>
  <c r="T347" i="29" s="1"/>
  <c r="T348" i="29" s="1" a="1"/>
  <c r="T348" i="29" s="1"/>
  <c r="T349" i="29" s="1" a="1"/>
  <c r="T349" i="29" s="1"/>
  <c r="T350" i="29" s="1" a="1"/>
  <c r="T350" i="29" s="1"/>
  <c r="T351" i="29" s="1" a="1"/>
  <c r="T351" i="29" s="1"/>
  <c r="T352" i="29" s="1" a="1"/>
  <c r="T352" i="29" s="1"/>
  <c r="T353" i="29" s="1" a="1"/>
  <c r="T353" i="29" s="1"/>
  <c r="T354" i="29" s="1" a="1"/>
  <c r="T354" i="29" s="1"/>
  <c r="T355" i="29" s="1" a="1"/>
  <c r="T355" i="29" s="1"/>
  <c r="T356" i="29" s="1" a="1"/>
  <c r="T356" i="29" s="1"/>
  <c r="T357" i="29" s="1" a="1"/>
  <c r="T357" i="29" s="1"/>
  <c r="T358" i="29" s="1" a="1"/>
  <c r="T358" i="29" s="1"/>
  <c r="T359" i="29" s="1" a="1"/>
  <c r="T359" i="29" s="1"/>
  <c r="T360" i="29" s="1" a="1"/>
  <c r="T360" i="29" s="1"/>
  <c r="T361" i="29" s="1" a="1"/>
  <c r="T361" i="29" s="1"/>
  <c r="T362" i="29" s="1" a="1"/>
  <c r="T362" i="29" s="1"/>
  <c r="S315" i="29" a="1"/>
  <c r="S315" i="29"/>
  <c r="B428" i="29" s="1"/>
  <c r="B429" i="29" s="1" a="1"/>
  <c r="B429" i="29" s="1"/>
  <c r="F315" i="29" a="1"/>
  <c r="F315" i="29"/>
  <c r="F316" i="29" s="1" a="1"/>
  <c r="F316" i="29" s="1"/>
  <c r="F317" i="29" s="1" a="1"/>
  <c r="F317" i="29" s="1"/>
  <c r="F318" i="29" s="1" a="1"/>
  <c r="F318" i="29" s="1"/>
  <c r="F319" i="29" s="1" a="1"/>
  <c r="F319" i="29" s="1"/>
  <c r="F320" i="29" s="1" a="1"/>
  <c r="F320" i="29" s="1"/>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L287" i="29"/>
  <c r="BJ287" i="29"/>
  <c r="BH287" i="29"/>
  <c r="BF287" i="29"/>
  <c r="BC287" i="29"/>
  <c r="BB287" i="29"/>
  <c r="BM287" i="29" s="1"/>
  <c r="BA287" i="29"/>
  <c r="AZ287" i="29"/>
  <c r="BK287" i="29" s="1"/>
  <c r="AY287" i="29"/>
  <c r="AX287" i="29"/>
  <c r="BI287" i="29" s="1"/>
  <c r="AW287" i="29"/>
  <c r="AV287" i="29"/>
  <c r="BG287" i="29" s="1"/>
  <c r="AU287" i="29"/>
  <c r="AS287" i="29"/>
  <c r="AR287" i="29"/>
  <c r="AQ287" i="29"/>
  <c r="AP287" i="29"/>
  <c r="AO287" i="29"/>
  <c r="AN287" i="29"/>
  <c r="AM287" i="29"/>
  <c r="AL287" i="29"/>
  <c r="AK287" i="29"/>
  <c r="AG287" i="29"/>
  <c r="AH287" i="29" s="1"/>
  <c r="AF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M267" i="29"/>
  <c r="BL267" i="29"/>
  <c r="BK267" i="29"/>
  <c r="BJ267" i="29"/>
  <c r="BI267" i="29"/>
  <c r="BH267" i="29"/>
  <c r="BG267" i="29"/>
  <c r="BF267" i="29"/>
  <c r="BE267" i="29"/>
  <c r="BD267" i="29"/>
  <c r="AH267" i="29"/>
  <c r="B267" i="29"/>
  <c r="B268" i="29" s="1"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60" i="29" a="1"/>
  <c r="B260" i="29" s="1"/>
  <c r="B261" i="29" s="1" a="1"/>
  <c r="B261" i="29" s="1"/>
  <c r="B262" i="29" s="1" a="1"/>
  <c r="B262" i="29" s="1"/>
  <c r="B263" i="29" s="1" a="1"/>
  <c r="B263" i="29" s="1"/>
  <c r="B264" i="29" s="1" a="1"/>
  <c r="B264" i="29" s="1"/>
  <c r="B265" i="29" s="1" a="1"/>
  <c r="B265" i="29" s="1"/>
  <c r="B259" i="29"/>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M254" i="29"/>
  <c r="BK254" i="29"/>
  <c r="BI254" i="29"/>
  <c r="BG254" i="29"/>
  <c r="BE254" i="29"/>
  <c r="BC254" i="29"/>
  <c r="BB254" i="29"/>
  <c r="BA254" i="29"/>
  <c r="BL254" i="29" s="1"/>
  <c r="AZ254" i="29"/>
  <c r="AY254" i="29"/>
  <c r="BJ254" i="29" s="1"/>
  <c r="AX254" i="29"/>
  <c r="AW254" i="29"/>
  <c r="BH254" i="29" s="1"/>
  <c r="AV254" i="29"/>
  <c r="AU254" i="29"/>
  <c r="BF254" i="29" s="1"/>
  <c r="AT254" i="29"/>
  <c r="AS254" i="29"/>
  <c r="AR254" i="29"/>
  <c r="AQ254" i="29"/>
  <c r="AP254" i="29"/>
  <c r="AO254" i="29"/>
  <c r="AN254" i="29"/>
  <c r="AM254" i="29"/>
  <c r="AL254" i="29"/>
  <c r="AK254" i="29"/>
  <c r="AJ254" i="29"/>
  <c r="AI254" i="29"/>
  <c r="BD254" i="29" s="1"/>
  <c r="AG254" i="29"/>
  <c r="AH254" i="29" s="1"/>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L249" i="29"/>
  <c r="BH249" i="29"/>
  <c r="BC249" i="29" a="1"/>
  <c r="BC249" i="29"/>
  <c r="BB249" i="29" a="1"/>
  <c r="BB249" i="29"/>
  <c r="BM249" i="29" s="1"/>
  <c r="BA249" i="29" a="1"/>
  <c r="BA249" i="29"/>
  <c r="AZ249" i="29" a="1"/>
  <c r="AZ249" i="29"/>
  <c r="BK249" i="29" s="1"/>
  <c r="AY249" i="29" a="1"/>
  <c r="AY249" i="29"/>
  <c r="BJ249" i="29" s="1"/>
  <c r="AX249" i="29" a="1"/>
  <c r="AX249" i="29"/>
  <c r="BI249" i="29" s="1"/>
  <c r="AW249" i="29" a="1"/>
  <c r="AW249" i="29"/>
  <c r="AV249" i="29" a="1"/>
  <c r="AV249" i="29"/>
  <c r="BG249" i="29" s="1"/>
  <c r="AU249" i="29" a="1"/>
  <c r="AU249" i="29"/>
  <c r="BF249" i="29" s="1"/>
  <c r="AS249" i="29" a="1"/>
  <c r="AS249" i="29"/>
  <c r="AR249" i="29" a="1"/>
  <c r="AR249" i="29"/>
  <c r="AQ249" i="29" a="1"/>
  <c r="AQ249" i="29"/>
  <c r="AP249" i="29" a="1"/>
  <c r="AP249" i="29"/>
  <c r="AO249" i="29" a="1"/>
  <c r="AO249" i="29"/>
  <c r="AN249" i="29" a="1"/>
  <c r="AN249" i="29"/>
  <c r="AM249" i="29" a="1"/>
  <c r="AM249" i="29"/>
  <c r="AL249" i="29" a="1"/>
  <c r="AL249" i="29"/>
  <c r="AK249" i="29" a="1"/>
  <c r="AK249" i="29"/>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221" i="29" a="1"/>
  <c r="B221" i="29" s="1"/>
  <c r="BU220" i="29" a="1"/>
  <c r="BU220" i="29" s="1"/>
  <c r="BD220" i="29"/>
  <c r="AH220" i="29"/>
  <c r="AB220" i="29"/>
  <c r="J220" i="29" a="1"/>
  <c r="J220" i="29" s="1"/>
  <c r="B220" i="29"/>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H183" i="29" s="1"/>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c r="B284" i="29" s="1"/>
  <c r="B285" i="29" s="1" a="1"/>
  <c r="B285" i="29" s="1"/>
  <c r="F171" i="29" a="1"/>
  <c r="F171" i="29"/>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L143" i="29"/>
  <c r="BJ143" i="29"/>
  <c r="BH143" i="29"/>
  <c r="BF143" i="29"/>
  <c r="BD143" i="29"/>
  <c r="BC143" i="29"/>
  <c r="BB143" i="29"/>
  <c r="BM143" i="29" s="1"/>
  <c r="BA143" i="29"/>
  <c r="AZ143" i="29"/>
  <c r="BK143" i="29" s="1"/>
  <c r="AY143" i="29"/>
  <c r="AX143" i="29"/>
  <c r="BI143" i="29" s="1"/>
  <c r="AW143" i="29"/>
  <c r="AV143" i="29"/>
  <c r="BG143" i="29" s="1"/>
  <c r="AU143" i="29"/>
  <c r="AS143" i="29"/>
  <c r="AR143" i="29"/>
  <c r="AQ143" i="29"/>
  <c r="AP143" i="29"/>
  <c r="AO143" i="29"/>
  <c r="AN143" i="29"/>
  <c r="AM143" i="29"/>
  <c r="AL143" i="29"/>
  <c r="AK143" i="29"/>
  <c r="AI143" i="29"/>
  <c r="AG143" i="29"/>
  <c r="AF143" i="29"/>
  <c r="AH143" i="29" s="1"/>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M123" i="29"/>
  <c r="BL123" i="29"/>
  <c r="BK123" i="29"/>
  <c r="BJ123" i="29"/>
  <c r="BI123" i="29"/>
  <c r="BH123" i="29"/>
  <c r="BG123" i="29"/>
  <c r="BF123" i="29"/>
  <c r="BE123" i="29"/>
  <c r="BD123" i="29"/>
  <c r="AH123" i="29"/>
  <c r="B123" i="29"/>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M110" i="29"/>
  <c r="BL110" i="29"/>
  <c r="BI110" i="29"/>
  <c r="BG110" i="29"/>
  <c r="BE110" i="29"/>
  <c r="BD110" i="29"/>
  <c r="BC110" i="29"/>
  <c r="BB110" i="29"/>
  <c r="BA110" i="29"/>
  <c r="AZ110" i="29"/>
  <c r="BK110" i="29" s="1"/>
  <c r="AY110" i="29"/>
  <c r="BJ110" i="29" s="1"/>
  <c r="AX110" i="29"/>
  <c r="AW110" i="29"/>
  <c r="BH110" i="29" s="1"/>
  <c r="AV110" i="29"/>
  <c r="AU110" i="29"/>
  <c r="BF110" i="29" s="1"/>
  <c r="AT110" i="29"/>
  <c r="AS110" i="29"/>
  <c r="AR110" i="29"/>
  <c r="AQ110" i="29"/>
  <c r="AP110" i="29"/>
  <c r="AO110" i="29"/>
  <c r="AN110" i="29"/>
  <c r="AM110" i="29"/>
  <c r="AL110" i="29"/>
  <c r="AK110" i="29"/>
  <c r="AJ110" i="29"/>
  <c r="AI110" i="29"/>
  <c r="AG110" i="29"/>
  <c r="AH110" i="29" s="1"/>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C105" i="29" a="1"/>
  <c r="BC105" i="29" s="1"/>
  <c r="BB105" i="29" a="1"/>
  <c r="BB105" i="29" s="1"/>
  <c r="BM105" i="29" s="1"/>
  <c r="BA105" i="29" a="1"/>
  <c r="BA105" i="29" s="1"/>
  <c r="BL105" i="29" s="1"/>
  <c r="AZ105" i="29" a="1"/>
  <c r="AZ105" i="29" s="1"/>
  <c r="BK105" i="29" s="1"/>
  <c r="AY105" i="29" a="1"/>
  <c r="AY105" i="29" s="1"/>
  <c r="BJ105" i="29" s="1"/>
  <c r="AX105" i="29" a="1"/>
  <c r="AX105" i="29" s="1"/>
  <c r="BI105" i="29" s="1"/>
  <c r="AW105" i="29" a="1"/>
  <c r="AW105" i="29" s="1"/>
  <c r="BH105" i="29" s="1"/>
  <c r="AV105" i="29" a="1"/>
  <c r="AV105" i="29" s="1"/>
  <c r="BG105" i="29" s="1"/>
  <c r="AU105" i="29" a="1"/>
  <c r="AU105" i="29" s="1"/>
  <c r="BF105" i="29" s="1"/>
  <c r="AS105" i="29" a="1"/>
  <c r="AS105" i="29" s="1"/>
  <c r="AR105" i="29" a="1"/>
  <c r="AR105" i="29" s="1"/>
  <c r="AQ105" i="29" a="1"/>
  <c r="AQ105" i="29" s="1"/>
  <c r="AP105" i="29" a="1"/>
  <c r="AP105" i="29" s="1"/>
  <c r="AO105" i="29" a="1"/>
  <c r="AO105" i="29" s="1"/>
  <c r="AN105" i="29" a="1"/>
  <c r="AN105" i="29" s="1"/>
  <c r="AM105" i="29" a="1"/>
  <c r="AM105" i="29" s="1"/>
  <c r="AL105" i="29" a="1"/>
  <c r="AL105" i="29" s="1"/>
  <c r="AK105" i="29" a="1"/>
  <c r="AK105" i="29" s="1"/>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c r="BD76" i="29"/>
  <c r="AH76" i="29"/>
  <c r="AB76" i="29"/>
  <c r="J76" i="29" a="1"/>
  <c r="J76" i="29"/>
  <c r="B76" i="29"/>
  <c r="B77" i="29" s="1" a="1"/>
  <c r="B77" i="29" s="1"/>
  <c r="BD75" i="29"/>
  <c r="AT75" i="29"/>
  <c r="AJ75" i="29"/>
  <c r="AI75" i="29"/>
  <c r="AH75" i="29"/>
  <c r="AG75" i="29"/>
  <c r="AF75" i="29"/>
  <c r="AE75" i="29"/>
  <c r="BD74" i="29"/>
  <c r="AH74" i="29"/>
  <c r="B73" i="29"/>
  <c r="BD49" i="29"/>
  <c r="AH49" i="29"/>
  <c r="BD48" i="29"/>
  <c r="AH48" i="29"/>
  <c r="BD46" i="29"/>
  <c r="AH46" i="29"/>
  <c r="BD45" i="29"/>
  <c r="AH45" i="29"/>
  <c r="BD44" i="29"/>
  <c r="AH44" i="29"/>
  <c r="BD43" i="29"/>
  <c r="AH43" i="29"/>
  <c r="BD42" i="29"/>
  <c r="AH42" i="29"/>
  <c r="BD41" i="29"/>
  <c r="AH41" i="29"/>
  <c r="BD40" i="29"/>
  <c r="AH40" i="29"/>
  <c r="BD39" i="29"/>
  <c r="AT39" i="29"/>
  <c r="AJ39" i="29"/>
  <c r="AI39" i="29"/>
  <c r="AH39" i="29"/>
  <c r="AG39" i="29"/>
  <c r="AF39" i="29"/>
  <c r="AE39" i="29"/>
  <c r="BD38" i="29"/>
  <c r="AH38" i="29"/>
  <c r="BD34" i="29"/>
  <c r="AH34" i="29"/>
  <c r="BD29" i="29"/>
  <c r="AH29"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S27" i="29" a="1"/>
  <c r="S27" i="29" s="1"/>
  <c r="B140" i="29" s="1"/>
  <c r="B141" i="29" s="1" a="1"/>
  <c r="B141" i="29" s="1"/>
  <c r="F27" i="29" a="1"/>
  <c r="F27" i="29" s="1"/>
  <c r="F28" i="29" s="1" a="1"/>
  <c r="F28" i="29" s="1"/>
  <c r="F29" i="29" s="1" a="1"/>
  <c r="F29" i="29" s="1"/>
  <c r="F30" i="29" s="1" a="1"/>
  <c r="F30" i="29" s="1"/>
  <c r="F31" i="29" s="1" a="1"/>
  <c r="F31" i="29" s="1"/>
  <c r="F32" i="29" s="1" a="1"/>
  <c r="F32" i="29" s="1"/>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c r="BO13" i="29" a="1"/>
  <c r="BO13" i="29"/>
  <c r="BN13" i="29" a="1"/>
  <c r="BN13" i="29"/>
  <c r="BP11" i="29" a="1"/>
  <c r="BP11" i="29"/>
  <c r="BO11" i="29" a="1"/>
  <c r="BO11" i="29"/>
  <c r="BN11" i="29" a="1"/>
  <c r="BN11" i="29"/>
  <c r="BM10" i="29" a="1"/>
  <c r="BM10" i="29"/>
  <c r="BL10" i="29" a="1"/>
  <c r="BL10" i="29"/>
  <c r="BK10" i="29" a="1"/>
  <c r="BK10" i="29"/>
  <c r="BJ10" i="29" a="1"/>
  <c r="BJ10" i="29"/>
  <c r="BI10" i="29" a="1"/>
  <c r="BI10" i="29"/>
  <c r="BH10" i="29" a="1"/>
  <c r="BH10" i="29"/>
  <c r="BG10" i="29" a="1"/>
  <c r="BG10" i="29"/>
  <c r="BF10" i="29" a="1"/>
  <c r="BF10" i="29"/>
  <c r="BE10" i="29" a="1"/>
  <c r="BE10" i="29"/>
  <c r="BD10" i="29" a="1"/>
  <c r="BD10" i="29"/>
  <c r="BC10" i="29" a="1"/>
  <c r="BC10" i="29"/>
  <c r="BB10" i="29" a="1"/>
  <c r="BB10" i="29"/>
  <c r="BA10" i="29" a="1"/>
  <c r="BA10" i="29"/>
  <c r="AZ10" i="29" a="1"/>
  <c r="AZ10" i="29"/>
  <c r="AY10" i="29" a="1"/>
  <c r="AY10" i="29"/>
  <c r="AX10" i="29" a="1"/>
  <c r="AX10" i="29"/>
  <c r="AW10" i="29" a="1"/>
  <c r="AW10" i="29"/>
  <c r="AV10" i="29" a="1"/>
  <c r="AV10" i="29"/>
  <c r="AU10" i="29" a="1"/>
  <c r="AU10" i="29"/>
  <c r="AT10" i="29" a="1"/>
  <c r="AT10" i="29"/>
  <c r="AS10" i="29" a="1"/>
  <c r="AS10" i="29"/>
  <c r="AR10" i="29" a="1"/>
  <c r="AR10" i="29"/>
  <c r="AQ10" i="29" a="1"/>
  <c r="AQ10" i="29"/>
  <c r="AP10" i="29" a="1"/>
  <c r="AP10" i="29"/>
  <c r="AO10" i="29" a="1"/>
  <c r="AO10" i="29"/>
  <c r="AN10" i="29" a="1"/>
  <c r="AN10" i="29"/>
  <c r="AM10" i="29" a="1"/>
  <c r="AM10" i="29"/>
  <c r="AL10" i="29" a="1"/>
  <c r="AL10" i="29"/>
  <c r="AK10" i="29" a="1"/>
  <c r="AK10" i="29"/>
  <c r="AJ10" i="29" a="1"/>
  <c r="AJ10" i="29"/>
  <c r="AI10" i="29" a="1"/>
  <c r="AI10" i="29"/>
  <c r="AH10" i="29" a="1"/>
  <c r="AH10" i="29"/>
  <c r="AG10" i="29" a="1"/>
  <c r="AG10" i="29"/>
  <c r="AF10" i="29" a="1"/>
  <c r="AF10" i="29"/>
  <c r="AE10" i="29" a="1"/>
  <c r="AE10" i="29"/>
  <c r="BA9" i="29"/>
  <c r="AW9" i="29"/>
  <c r="AG9" i="29"/>
  <c r="AZ8" i="29"/>
  <c r="AR8" i="29"/>
  <c r="AJ8" i="29"/>
  <c r="BC7" i="29" a="1"/>
  <c r="BC7" i="29" s="1"/>
  <c r="BB7" i="29" a="1"/>
  <c r="BB7" i="29" s="1"/>
  <c r="BA7" i="29" a="1"/>
  <c r="BA7" i="29" s="1"/>
  <c r="AZ7" i="29" a="1"/>
  <c r="AZ7" i="29" s="1"/>
  <c r="AY7" i="29" a="1"/>
  <c r="AY7" i="29" s="1"/>
  <c r="AX7" i="29" a="1"/>
  <c r="AX7" i="29" s="1"/>
  <c r="AW7" i="29" a="1"/>
  <c r="AW7" i="29" s="1"/>
  <c r="AV7" i="29" a="1"/>
  <c r="AV7" i="29" s="1"/>
  <c r="AU7" i="29" a="1"/>
  <c r="AU7" i="29" s="1"/>
  <c r="AT7" i="29" a="1"/>
  <c r="AT7" i="29" s="1"/>
  <c r="AS7" i="29" a="1"/>
  <c r="AS7" i="29" s="1"/>
  <c r="AR7" i="29" a="1"/>
  <c r="AR7" i="29" s="1"/>
  <c r="AQ7" i="29" a="1"/>
  <c r="AQ7" i="29" s="1"/>
  <c r="AP7" i="29" a="1"/>
  <c r="AP7" i="29" s="1"/>
  <c r="AP8" i="29" s="1"/>
  <c r="AO7" i="29" a="1"/>
  <c r="AO7" i="29" s="1"/>
  <c r="AN7" i="29" a="1"/>
  <c r="AN7" i="29" s="1"/>
  <c r="AN8" i="29" s="1"/>
  <c r="AM7" i="29" a="1"/>
  <c r="AM7" i="29" s="1"/>
  <c r="AL7" i="29" a="1"/>
  <c r="AL7" i="29" s="1"/>
  <c r="AL8" i="29" s="1"/>
  <c r="AK7" i="29" a="1"/>
  <c r="AK7" i="29" s="1"/>
  <c r="AJ7" i="29" a="1"/>
  <c r="AJ7" i="29" s="1"/>
  <c r="AI7" i="29" a="1"/>
  <c r="AI7" i="29" s="1"/>
  <c r="AH7" i="29" a="1"/>
  <c r="AH7" i="29" s="1"/>
  <c r="AG7" i="29" a="1"/>
  <c r="AG7" i="29" s="1"/>
  <c r="AF7" i="29" a="1"/>
  <c r="AF7" i="29" s="1"/>
  <c r="AE7" i="29" a="1"/>
  <c r="AE7" i="29" s="1"/>
  <c r="BM6" i="29"/>
  <c r="BM9" i="29" s="1" a="1"/>
  <c r="BM9" i="29" s="1"/>
  <c r="BL6" i="29"/>
  <c r="BL9" i="29" s="1" a="1"/>
  <c r="BL9" i="29" s="1"/>
  <c r="BK6" i="29"/>
  <c r="BK9" i="29" s="1" a="1"/>
  <c r="BK9" i="29" s="1"/>
  <c r="BJ6" i="29"/>
  <c r="BJ9" i="29" s="1" a="1"/>
  <c r="BJ9" i="29" s="1"/>
  <c r="BI6" i="29"/>
  <c r="BI9" i="29" s="1" a="1"/>
  <c r="BI9" i="29" s="1"/>
  <c r="BH6" i="29"/>
  <c r="BH9" i="29" s="1" a="1"/>
  <c r="BH9" i="29" s="1"/>
  <c r="BG6" i="29"/>
  <c r="BG9" i="29" s="1" a="1"/>
  <c r="BG9" i="29" s="1"/>
  <c r="BF6" i="29"/>
  <c r="BF9" i="29" s="1" a="1"/>
  <c r="BF9" i="29" s="1"/>
  <c r="BE6" i="29"/>
  <c r="BE9" i="29" s="1" a="1"/>
  <c r="BE9" i="29" s="1"/>
  <c r="BD6" i="29" a="1"/>
  <c r="BD6" i="29"/>
  <c r="BC6" i="29"/>
  <c r="BC9" i="29" s="1" a="1"/>
  <c r="BC9" i="29" s="1"/>
  <c r="BB6" i="29"/>
  <c r="BA6" i="29"/>
  <c r="BA9" i="29" s="1" a="1"/>
  <c r="AZ6" i="29"/>
  <c r="AY6" i="29"/>
  <c r="AY9" i="29" s="1" a="1"/>
  <c r="AY9" i="29" s="1"/>
  <c r="AX6" i="29"/>
  <c r="AX8" i="29" s="1"/>
  <c r="AW6" i="29"/>
  <c r="AW9" i="29" s="1" a="1"/>
  <c r="AV6" i="29"/>
  <c r="AU6" i="29"/>
  <c r="AU9" i="29" s="1" a="1"/>
  <c r="AU9" i="29" s="1"/>
  <c r="AT6" i="29" a="1"/>
  <c r="AT6" i="29" s="1"/>
  <c r="AS6" i="29"/>
  <c r="AR6" i="29"/>
  <c r="AR9" i="29" s="1" a="1"/>
  <c r="AR9" i="29" s="1"/>
  <c r="AQ6" i="29"/>
  <c r="AP6" i="29"/>
  <c r="AP9" i="29" s="1" a="1"/>
  <c r="AP9" i="29" s="1"/>
  <c r="AO6" i="29"/>
  <c r="AN6" i="29"/>
  <c r="AN9" i="29" s="1" a="1"/>
  <c r="AN9" i="29" s="1"/>
  <c r="AM6" i="29"/>
  <c r="AL6" i="29"/>
  <c r="AL9" i="29" s="1" a="1"/>
  <c r="AL9" i="29" s="1"/>
  <c r="AK6" i="29"/>
  <c r="AJ6" i="29" a="1"/>
  <c r="AJ6" i="29"/>
  <c r="AI6" i="29"/>
  <c r="AI9" i="29" s="1" a="1"/>
  <c r="AI9" i="29" s="1"/>
  <c r="AH6" i="29"/>
  <c r="AH9" i="29" s="1" a="1"/>
  <c r="AH9" i="29" s="1"/>
  <c r="AG6" i="29"/>
  <c r="AG9" i="29" s="1" a="1"/>
  <c r="AF6" i="29"/>
  <c r="AF9" i="29" s="1" a="1"/>
  <c r="AF9" i="29" s="1"/>
  <c r="AE6" i="29"/>
  <c r="AE9" i="29" s="1" a="1"/>
  <c r="AE9" i="29" s="1"/>
  <c r="T285" i="28"/>
  <c r="AH281" i="28"/>
  <c r="AH280" i="28"/>
  <c r="AH279" i="28"/>
  <c r="AK271" i="28"/>
  <c r="AJ271" i="28"/>
  <c r="AI271" i="28"/>
  <c r="AG271" i="28"/>
  <c r="AF271" i="28"/>
  <c r="AE271" i="28"/>
  <c r="AH268" i="28"/>
  <c r="AL265" i="28"/>
  <c r="AH265" i="28"/>
  <c r="AL264" i="28"/>
  <c r="AH264" i="28"/>
  <c r="AL262" i="28"/>
  <c r="AH262" i="28"/>
  <c r="AL261" i="28"/>
  <c r="AH261" i="28"/>
  <c r="AL260" i="28"/>
  <c r="AH260" i="28"/>
  <c r="AL259" i="28"/>
  <c r="AH259" i="28"/>
  <c r="AK258" i="28"/>
  <c r="AJ258" i="28"/>
  <c r="AI258" i="28"/>
  <c r="AL258" i="28" s="1"/>
  <c r="AG258" i="28"/>
  <c r="AH258" i="28" s="1"/>
  <c r="AF258" i="28"/>
  <c r="AE258" i="28"/>
  <c r="AL257" i="28"/>
  <c r="AH257" i="28"/>
  <c r="AL256" i="28"/>
  <c r="AH256" i="28"/>
  <c r="AL255" i="28"/>
  <c r="AH255" i="28"/>
  <c r="AL254" i="28"/>
  <c r="AL253" i="28"/>
  <c r="AH253" i="28"/>
  <c r="B253" i="28"/>
  <c r="AL252" i="28"/>
  <c r="B244" i="28"/>
  <c r="AL227" i="28"/>
  <c r="AH227" i="28"/>
  <c r="AT224" i="28" a="1"/>
  <c r="AT224" i="28" s="1"/>
  <c r="AL224" i="28"/>
  <c r="AH224" i="28"/>
  <c r="AB224" i="28"/>
  <c r="J224" i="28" a="1"/>
  <c r="J224" i="28" s="1"/>
  <c r="AL223" i="28"/>
  <c r="AH223" i="28"/>
  <c r="AL222" i="28"/>
  <c r="AH222" i="28"/>
  <c r="AL221" i="28"/>
  <c r="AH221" i="28"/>
  <c r="AL220" i="28"/>
  <c r="AH220" i="28"/>
  <c r="AL219" i="28"/>
  <c r="AK219" i="28"/>
  <c r="AJ219" i="28"/>
  <c r="AI219" i="28"/>
  <c r="AG219" i="28"/>
  <c r="AF219" i="28"/>
  <c r="AH219" i="28" s="1"/>
  <c r="AE219" i="28"/>
  <c r="AL218" i="28"/>
  <c r="AH218" i="28"/>
  <c r="AL217" i="28"/>
  <c r="AH217" i="28"/>
  <c r="AL213" i="28"/>
  <c r="AH213" i="28"/>
  <c r="T197" i="28"/>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F197" i="28" a="1"/>
  <c r="F197" i="28"/>
  <c r="F198" i="28" s="1" a="1"/>
  <c r="F198" i="28" s="1"/>
  <c r="F199" i="28" s="1" a="1"/>
  <c r="F199" i="28" s="1"/>
  <c r="F200" i="28" s="1" a="1"/>
  <c r="F200" i="28" s="1"/>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L173" i="28"/>
  <c r="AK173" i="28"/>
  <c r="AJ173" i="28"/>
  <c r="AI173" i="28"/>
  <c r="AH173" i="28"/>
  <c r="AG173" i="28"/>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K134" i="28"/>
  <c r="AJ134" i="28"/>
  <c r="AI134" i="28"/>
  <c r="AL134" i="28" s="1"/>
  <c r="AG134" i="28"/>
  <c r="AH134" i="28" s="1"/>
  <c r="AF134" i="28"/>
  <c r="AE134" i="28"/>
  <c r="AL133" i="28"/>
  <c r="AH133" i="28"/>
  <c r="AL132" i="28"/>
  <c r="AH132" i="28"/>
  <c r="AL128" i="28"/>
  <c r="AH128" i="28"/>
  <c r="T112" i="28"/>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F112" i="28" a="1"/>
  <c r="F112" i="28" s="1"/>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L88" i="28"/>
  <c r="AK88" i="28"/>
  <c r="AJ88" i="28"/>
  <c r="AI88" i="28"/>
  <c r="AG88" i="28"/>
  <c r="AF88" i="28"/>
  <c r="AH88" i="28" s="1"/>
  <c r="AE88" i="28"/>
  <c r="AL87" i="28"/>
  <c r="AH87" i="28"/>
  <c r="AL86" i="28"/>
  <c r="AH86" i="28"/>
  <c r="AL85" i="28"/>
  <c r="AH85" i="28"/>
  <c r="AL84" i="28"/>
  <c r="AL83" i="28"/>
  <c r="AH83" i="28"/>
  <c r="B83" i="28"/>
  <c r="AL82" i="28"/>
  <c r="B74" i="28"/>
  <c r="AL57" i="28"/>
  <c r="AH57" i="28"/>
  <c r="AT54" i="28" a="1"/>
  <c r="AT54" i="28"/>
  <c r="AL54" i="28"/>
  <c r="AH54" i="28"/>
  <c r="AB54" i="28"/>
  <c r="J54" i="28" a="1"/>
  <c r="J54" i="28"/>
  <c r="AL53" i="28"/>
  <c r="AH53" i="28"/>
  <c r="AL52" i="28"/>
  <c r="AH52" i="28"/>
  <c r="AL51" i="28"/>
  <c r="AH51" i="28"/>
  <c r="AL50" i="28"/>
  <c r="AH50" i="28"/>
  <c r="AK49" i="28"/>
  <c r="AJ49" i="28"/>
  <c r="AI49" i="28"/>
  <c r="AL49" i="28" s="1"/>
  <c r="AG49" i="28"/>
  <c r="AH49" i="28" s="1"/>
  <c r="AF49" i="28"/>
  <c r="AE49" i="28"/>
  <c r="AL48" i="28"/>
  <c r="AH48" i="28"/>
  <c r="AL47" i="28"/>
  <c r="AH47" i="28"/>
  <c r="AL43" i="28"/>
  <c r="AH43"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F27" i="28" a="1"/>
  <c r="F27" i="28" s="1"/>
  <c r="F28" i="28" s="1" a="1"/>
  <c r="F28" i="28" s="1"/>
  <c r="F29" i="28" s="1" a="1"/>
  <c r="F29" i="28" s="1"/>
  <c r="F30" i="28" s="1" a="1"/>
  <c r="F30" i="28" s="1"/>
  <c r="AK24" i="28"/>
  <c r="AJ24" i="28"/>
  <c r="AI24" i="28"/>
  <c r="AH24" i="28"/>
  <c r="AG24" i="28"/>
  <c r="AF24" i="28"/>
  <c r="AE24" i="28"/>
  <c r="AO12" i="28" a="1"/>
  <c r="AO12" i="28"/>
  <c r="AN12" i="28" a="1"/>
  <c r="AN12" i="28"/>
  <c r="AM12" i="28" a="1"/>
  <c r="AM12" i="28"/>
  <c r="AL11" i="28" a="1"/>
  <c r="AL11" i="28"/>
  <c r="AK11" i="28" a="1"/>
  <c r="AK11" i="28"/>
  <c r="AJ11" i="28" a="1"/>
  <c r="AJ11" i="28"/>
  <c r="AI11" i="28" a="1"/>
  <c r="AI11" i="28"/>
  <c r="AH11" i="28" a="1"/>
  <c r="AH11" i="28"/>
  <c r="AG11" i="28" a="1"/>
  <c r="AG11" i="28"/>
  <c r="AF11" i="28" a="1"/>
  <c r="AF11" i="28"/>
  <c r="AE11" i="28" a="1"/>
  <c r="AE11" i="28"/>
  <c r="AK8" i="28" a="1"/>
  <c r="AK8" i="28" s="1"/>
  <c r="AJ8" i="28" a="1"/>
  <c r="AJ8" i="28" s="1"/>
  <c r="AI8" i="28" a="1"/>
  <c r="AI8" i="28" s="1"/>
  <c r="AH8" i="28" a="1"/>
  <c r="AH8" i="28" s="1"/>
  <c r="AH9" i="28" s="1"/>
  <c r="AG8" i="28" a="1"/>
  <c r="AG8" i="28" s="1"/>
  <c r="AF8" i="28" a="1"/>
  <c r="AF8" i="28" s="1"/>
  <c r="AF9" i="28" s="1"/>
  <c r="AE8" i="28" a="1"/>
  <c r="AE8" i="28" s="1"/>
  <c r="AK7" i="28" a="1"/>
  <c r="AK7" i="28" s="1"/>
  <c r="AJ7" i="28" a="1"/>
  <c r="AJ7" i="28" s="1"/>
  <c r="AI7" i="28"/>
  <c r="AI10" i="28" s="1" a="1"/>
  <c r="AI10" i="28" s="1"/>
  <c r="AH7" i="28"/>
  <c r="AH10" i="28" s="1" a="1"/>
  <c r="AH10" i="28" s="1"/>
  <c r="AG7" i="28"/>
  <c r="AG10" i="28" s="1" a="1"/>
  <c r="AG10" i="28" s="1"/>
  <c r="AF7" i="28"/>
  <c r="AF10" i="28" s="1" a="1"/>
  <c r="AF10" i="28" s="1"/>
  <c r="AE7" i="28"/>
  <c r="AE10" i="28" s="1" a="1"/>
  <c r="AE10" i="28" s="1"/>
  <c r="AO6" i="28" a="1"/>
  <c r="AO6" i="28"/>
  <c r="AN6" i="28" a="1"/>
  <c r="AN6" i="28"/>
  <c r="AM6" i="28" a="1"/>
  <c r="AM6" i="28"/>
  <c r="AI2" i="28"/>
  <c r="AG2" i="28"/>
  <c r="AE2" i="28"/>
  <c r="T221" i="27"/>
  <c r="GB215" i="27" a="1"/>
  <c r="GB215" i="27" s="1"/>
  <c r="FW215" i="27"/>
  <c r="FT215" i="27"/>
  <c r="FQ215" i="27"/>
  <c r="FN215" i="27"/>
  <c r="FK215" i="27"/>
  <c r="FH215" i="27"/>
  <c r="FE215" i="27"/>
  <c r="FB215" i="27"/>
  <c r="EY215" i="27"/>
  <c r="EV215" i="27"/>
  <c r="ES215" i="27"/>
  <c r="EP215" i="27"/>
  <c r="EM215" i="27"/>
  <c r="EJ215" i="27"/>
  <c r="EG215" i="27"/>
  <c r="ED215" i="27"/>
  <c r="EA215" i="27"/>
  <c r="DX215" i="27"/>
  <c r="DU215" i="27"/>
  <c r="DR215" i="27"/>
  <c r="DO215" i="27"/>
  <c r="DL215" i="27"/>
  <c r="DI215" i="27"/>
  <c r="DF215" i="27"/>
  <c r="DC215" i="27"/>
  <c r="CZ215" i="27"/>
  <c r="CW215" i="27"/>
  <c r="CT215" i="27"/>
  <c r="CQ215" i="27"/>
  <c r="CN215" i="27"/>
  <c r="CK215" i="27"/>
  <c r="CH215" i="27"/>
  <c r="CE215" i="27"/>
  <c r="CB215" i="27"/>
  <c r="BY215" i="27"/>
  <c r="BV215" i="27"/>
  <c r="BS215" i="27"/>
  <c r="BP215" i="27"/>
  <c r="BM215" i="27"/>
  <c r="BJ215" i="27"/>
  <c r="BG215" i="27"/>
  <c r="BD215" i="27"/>
  <c r="BA215" i="27"/>
  <c r="AX215" i="27"/>
  <c r="AU215" i="27"/>
  <c r="AR215" i="27"/>
  <c r="AO215" i="27"/>
  <c r="AL215" i="27"/>
  <c r="AI215" i="27"/>
  <c r="AF215" i="27"/>
  <c r="I215" i="27" a="1"/>
  <c r="I215" i="27"/>
  <c r="FW214" i="27"/>
  <c r="FT214" i="27"/>
  <c r="FQ214" i="27"/>
  <c r="FN214" i="27"/>
  <c r="FK214" i="27"/>
  <c r="FH214" i="27"/>
  <c r="FE214" i="27"/>
  <c r="FB214" i="27"/>
  <c r="EY214" i="27"/>
  <c r="EV214" i="27"/>
  <c r="ES214" i="27"/>
  <c r="EP214" i="27"/>
  <c r="EM214" i="27"/>
  <c r="EJ214" i="27"/>
  <c r="EG214" i="27"/>
  <c r="ED214" i="27"/>
  <c r="EA214" i="27"/>
  <c r="DX214" i="27"/>
  <c r="DU214" i="27"/>
  <c r="DR214" i="27"/>
  <c r="DO214" i="27"/>
  <c r="DL214" i="27"/>
  <c r="DI214" i="27"/>
  <c r="DF214" i="27"/>
  <c r="DC214" i="27"/>
  <c r="CZ214" i="27"/>
  <c r="CW214" i="27"/>
  <c r="CT214" i="27"/>
  <c r="CQ214" i="27"/>
  <c r="CN214" i="27"/>
  <c r="CK214" i="27"/>
  <c r="CH214" i="27"/>
  <c r="CE214" i="27"/>
  <c r="CB214" i="27"/>
  <c r="BY214" i="27"/>
  <c r="BV214" i="27"/>
  <c r="BS214" i="27"/>
  <c r="BP214" i="27"/>
  <c r="BM214" i="27"/>
  <c r="BJ214" i="27"/>
  <c r="FV213" i="27"/>
  <c r="FU213" i="27"/>
  <c r="FS213" i="27"/>
  <c r="FR213" i="27"/>
  <c r="FP213" i="27"/>
  <c r="FO213" i="27"/>
  <c r="FM213" i="27"/>
  <c r="FL213" i="27"/>
  <c r="FJ213" i="27"/>
  <c r="FI213" i="27"/>
  <c r="FG213" i="27"/>
  <c r="FF213" i="27"/>
  <c r="FD213" i="27"/>
  <c r="FC213" i="27"/>
  <c r="FA213" i="27"/>
  <c r="EZ213" i="27"/>
  <c r="EX213" i="27"/>
  <c r="EW213" i="27"/>
  <c r="EU213" i="27"/>
  <c r="ET213" i="27"/>
  <c r="ER213" i="27"/>
  <c r="EQ213" i="27"/>
  <c r="EO213" i="27"/>
  <c r="EN213" i="27"/>
  <c r="EL213" i="27"/>
  <c r="EK213" i="27"/>
  <c r="EI213" i="27"/>
  <c r="EH213" i="27"/>
  <c r="EF213" i="27"/>
  <c r="EE213" i="27"/>
  <c r="EC213" i="27"/>
  <c r="EB213" i="27"/>
  <c r="DZ213" i="27"/>
  <c r="DY213" i="27"/>
  <c r="DW213" i="27"/>
  <c r="DV213" i="27"/>
  <c r="DT213" i="27"/>
  <c r="DS213" i="27"/>
  <c r="DQ213" i="27"/>
  <c r="DP213" i="27"/>
  <c r="DN213" i="27"/>
  <c r="DM213" i="27"/>
  <c r="DK213" i="27"/>
  <c r="DJ213" i="27"/>
  <c r="DH213" i="27"/>
  <c r="DG213" i="27"/>
  <c r="DE213" i="27"/>
  <c r="DD213" i="27"/>
  <c r="DB213" i="27"/>
  <c r="DA213" i="27"/>
  <c r="CY213" i="27"/>
  <c r="CX213" i="27"/>
  <c r="CV213" i="27"/>
  <c r="CU213" i="27"/>
  <c r="CS213" i="27"/>
  <c r="CR213" i="27"/>
  <c r="CP213" i="27"/>
  <c r="CO213" i="27"/>
  <c r="CM213" i="27"/>
  <c r="CL213" i="27"/>
  <c r="CJ213" i="27"/>
  <c r="CI213" i="27"/>
  <c r="CG213" i="27"/>
  <c r="CF213" i="27"/>
  <c r="CD213" i="27"/>
  <c r="CC213" i="27"/>
  <c r="CA213" i="27"/>
  <c r="BZ213" i="27"/>
  <c r="BX213" i="27"/>
  <c r="BW213" i="27"/>
  <c r="BU213" i="27"/>
  <c r="BT213" i="27"/>
  <c r="BR213" i="27"/>
  <c r="BQ213" i="27"/>
  <c r="BO213" i="27"/>
  <c r="BN213" i="27"/>
  <c r="BL213" i="27"/>
  <c r="BK213" i="27"/>
  <c r="BI213" i="27"/>
  <c r="BH213" i="27"/>
  <c r="FW212" i="27"/>
  <c r="FT212" i="27"/>
  <c r="FQ212" i="27"/>
  <c r="FN212" i="27"/>
  <c r="FK212" i="27"/>
  <c r="FH212" i="27"/>
  <c r="FE212" i="27"/>
  <c r="FB212" i="27"/>
  <c r="EY212" i="27"/>
  <c r="EV212" i="27"/>
  <c r="ES212" i="27"/>
  <c r="EP212" i="27"/>
  <c r="EM212" i="27"/>
  <c r="EJ212" i="27"/>
  <c r="EG212" i="27"/>
  <c r="ED212" i="27"/>
  <c r="EA212" i="27"/>
  <c r="DX212" i="27"/>
  <c r="DU212" i="27"/>
  <c r="DR212" i="27"/>
  <c r="DO212" i="27"/>
  <c r="DL212" i="27"/>
  <c r="DI212" i="27"/>
  <c r="DF212" i="27"/>
  <c r="DC212" i="27"/>
  <c r="CZ212" i="27"/>
  <c r="CW212" i="27"/>
  <c r="CT212" i="27"/>
  <c r="CQ212" i="27"/>
  <c r="CN212" i="27"/>
  <c r="CK212" i="27"/>
  <c r="CH212" i="27"/>
  <c r="CE212" i="27"/>
  <c r="CB212" i="27"/>
  <c r="BY212" i="27"/>
  <c r="BV212" i="27"/>
  <c r="BS212" i="27"/>
  <c r="BP212" i="27"/>
  <c r="BM212" i="27"/>
  <c r="BJ212" i="27"/>
  <c r="FW211" i="27"/>
  <c r="FT211" i="27"/>
  <c r="FQ211" i="27"/>
  <c r="FN211" i="27"/>
  <c r="FK211" i="27"/>
  <c r="FH211" i="27"/>
  <c r="FE211" i="27"/>
  <c r="FB211" i="27"/>
  <c r="EY211" i="27"/>
  <c r="EV211" i="27"/>
  <c r="ES211" i="27"/>
  <c r="EP211" i="27"/>
  <c r="EM211" i="27"/>
  <c r="EJ211" i="27"/>
  <c r="EG211" i="27"/>
  <c r="ED211" i="27"/>
  <c r="EA211" i="27"/>
  <c r="DX211" i="27"/>
  <c r="DU211" i="27"/>
  <c r="DR211" i="27"/>
  <c r="DO211" i="27"/>
  <c r="DL211" i="27"/>
  <c r="DI211" i="27"/>
  <c r="DF211" i="27"/>
  <c r="DC211" i="27"/>
  <c r="CZ211" i="27"/>
  <c r="CW211" i="27"/>
  <c r="CT211" i="27"/>
  <c r="CQ211" i="27"/>
  <c r="CN211" i="27"/>
  <c r="CK211" i="27"/>
  <c r="CH211" i="27"/>
  <c r="CE211" i="27"/>
  <c r="CB211" i="27"/>
  <c r="BY211" i="27"/>
  <c r="BV211" i="27"/>
  <c r="BS211" i="27"/>
  <c r="BP211" i="27"/>
  <c r="BM211" i="27"/>
  <c r="BJ211" i="27"/>
  <c r="FW208" i="27"/>
  <c r="FT208" i="27"/>
  <c r="FQ208" i="27"/>
  <c r="FN208" i="27"/>
  <c r="FK208" i="27"/>
  <c r="FH208" i="27"/>
  <c r="FE208" i="27"/>
  <c r="FB208" i="27"/>
  <c r="EY208" i="27"/>
  <c r="EV208" i="27"/>
  <c r="ES208" i="27"/>
  <c r="EP208" i="27"/>
  <c r="EM208" i="27"/>
  <c r="EJ208" i="27"/>
  <c r="EG208" i="27"/>
  <c r="ED208" i="27"/>
  <c r="EA208" i="27"/>
  <c r="DX208" i="27"/>
  <c r="DU208" i="27"/>
  <c r="DR208" i="27"/>
  <c r="DO208" i="27"/>
  <c r="DL208" i="27"/>
  <c r="DI208" i="27"/>
  <c r="DF208" i="27"/>
  <c r="DC208" i="27"/>
  <c r="CZ208" i="27"/>
  <c r="CW208" i="27"/>
  <c r="CT208" i="27"/>
  <c r="CQ208" i="27"/>
  <c r="CN208" i="27"/>
  <c r="CK208" i="27"/>
  <c r="CH208" i="27"/>
  <c r="CE208" i="27"/>
  <c r="CB208" i="27"/>
  <c r="BY208" i="27"/>
  <c r="BV208" i="27"/>
  <c r="BS208" i="27"/>
  <c r="BP208" i="27"/>
  <c r="BM208" i="27"/>
  <c r="BJ208" i="27"/>
  <c r="BG208" i="27"/>
  <c r="BD208" i="27"/>
  <c r="BA208" i="27"/>
  <c r="AX208" i="27"/>
  <c r="AU208" i="27"/>
  <c r="AR208" i="27"/>
  <c r="AO208" i="27"/>
  <c r="AL208" i="27"/>
  <c r="AI208" i="27"/>
  <c r="AF208" i="27"/>
  <c r="FW207" i="27"/>
  <c r="FT207" i="27"/>
  <c r="FQ207" i="27"/>
  <c r="FN207" i="27"/>
  <c r="FK207" i="27"/>
  <c r="FH207" i="27"/>
  <c r="FE207" i="27"/>
  <c r="FB207" i="27"/>
  <c r="EY207" i="27"/>
  <c r="EV207" i="27"/>
  <c r="ES207" i="27"/>
  <c r="EP207" i="27"/>
  <c r="EM207" i="27"/>
  <c r="EJ207" i="27"/>
  <c r="EG207" i="27"/>
  <c r="ED207" i="27"/>
  <c r="EA207" i="27"/>
  <c r="DX207" i="27"/>
  <c r="DU207" i="27"/>
  <c r="DR207" i="27"/>
  <c r="DO207" i="27"/>
  <c r="DL207" i="27"/>
  <c r="DI207" i="27"/>
  <c r="DF207" i="27"/>
  <c r="DC207" i="27"/>
  <c r="CZ207" i="27"/>
  <c r="CW207" i="27"/>
  <c r="CT207" i="27"/>
  <c r="CQ207" i="27"/>
  <c r="CN207" i="27"/>
  <c r="CK207" i="27"/>
  <c r="CH207" i="27"/>
  <c r="CE207" i="27"/>
  <c r="CB207" i="27"/>
  <c r="BY207" i="27"/>
  <c r="BV207" i="27"/>
  <c r="BS207" i="27"/>
  <c r="BP207" i="27"/>
  <c r="BM207" i="27"/>
  <c r="BJ207" i="27"/>
  <c r="BG207" i="27"/>
  <c r="BD207" i="27"/>
  <c r="BA207" i="27"/>
  <c r="AX207" i="27"/>
  <c r="AU207" i="27"/>
  <c r="AR207" i="27"/>
  <c r="AO207" i="27"/>
  <c r="AL207" i="27"/>
  <c r="AI207" i="27"/>
  <c r="AF207" i="27"/>
  <c r="AB207" i="27"/>
  <c r="FW206" i="27"/>
  <c r="FT206" i="27"/>
  <c r="FQ206" i="27"/>
  <c r="FN206" i="27"/>
  <c r="FK206" i="27"/>
  <c r="FH206" i="27"/>
  <c r="FE206" i="27"/>
  <c r="FB206" i="27"/>
  <c r="EY206" i="27"/>
  <c r="EV206" i="27"/>
  <c r="ES206" i="27"/>
  <c r="EP206" i="27"/>
  <c r="EM206" i="27"/>
  <c r="EJ206" i="27"/>
  <c r="EG206" i="27"/>
  <c r="ED206" i="27"/>
  <c r="EA206" i="27"/>
  <c r="DX206" i="27"/>
  <c r="DU206" i="27"/>
  <c r="DR206" i="27"/>
  <c r="DO206" i="27"/>
  <c r="DL206" i="27"/>
  <c r="DI206" i="27"/>
  <c r="DF206" i="27"/>
  <c r="DC206" i="27"/>
  <c r="CZ206" i="27"/>
  <c r="CW206" i="27"/>
  <c r="CT206" i="27"/>
  <c r="CQ206" i="27"/>
  <c r="CN206" i="27"/>
  <c r="CK206" i="27"/>
  <c r="CH206" i="27"/>
  <c r="CE206" i="27"/>
  <c r="CB206" i="27"/>
  <c r="BY206" i="27"/>
  <c r="BV206" i="27"/>
  <c r="BS206" i="27"/>
  <c r="BP206" i="27"/>
  <c r="BM206" i="27"/>
  <c r="BJ206" i="27"/>
  <c r="BG206" i="27"/>
  <c r="BD206" i="27"/>
  <c r="BA206" i="27"/>
  <c r="AX206" i="27"/>
  <c r="AU206" i="27"/>
  <c r="AR206" i="27"/>
  <c r="AO206" i="27"/>
  <c r="AL206" i="27"/>
  <c r="AI206" i="27"/>
  <c r="AF206" i="27"/>
  <c r="AB206" i="27"/>
  <c r="FW205" i="27"/>
  <c r="FT205" i="27"/>
  <c r="FQ205" i="27"/>
  <c r="FN205" i="27"/>
  <c r="FK205" i="27"/>
  <c r="FH205" i="27"/>
  <c r="FE205" i="27"/>
  <c r="FB205" i="27"/>
  <c r="EY205" i="27"/>
  <c r="EV205" i="27"/>
  <c r="ES205" i="27"/>
  <c r="EP205" i="27"/>
  <c r="EM205" i="27"/>
  <c r="EJ205" i="27"/>
  <c r="EG205" i="27"/>
  <c r="ED205" i="27"/>
  <c r="EA205" i="27"/>
  <c r="DX205" i="27"/>
  <c r="DU205" i="27"/>
  <c r="DR205" i="27"/>
  <c r="DO205" i="27"/>
  <c r="DL205" i="27"/>
  <c r="DI205" i="27"/>
  <c r="DF205" i="27"/>
  <c r="DC205" i="27"/>
  <c r="CZ205" i="27"/>
  <c r="CW205" i="27"/>
  <c r="CT205" i="27"/>
  <c r="CQ205" i="27"/>
  <c r="CN205" i="27"/>
  <c r="CK205" i="27"/>
  <c r="CH205" i="27"/>
  <c r="CE205" i="27"/>
  <c r="CB205" i="27"/>
  <c r="BY205" i="27"/>
  <c r="BV205" i="27"/>
  <c r="BS205" i="27"/>
  <c r="BP205" i="27"/>
  <c r="BM205" i="27"/>
  <c r="BJ205" i="27"/>
  <c r="BG205" i="27"/>
  <c r="BD205" i="27"/>
  <c r="BA205" i="27"/>
  <c r="AX205" i="27"/>
  <c r="AU205" i="27"/>
  <c r="AR205" i="27"/>
  <c r="AO205" i="27"/>
  <c r="AL205" i="27"/>
  <c r="AI205" i="27"/>
  <c r="AF205" i="27"/>
  <c r="AB205" i="27"/>
  <c r="FW204" i="27"/>
  <c r="FT204" i="27"/>
  <c r="FQ204" i="27"/>
  <c r="FN204" i="27"/>
  <c r="FK204" i="27"/>
  <c r="FH204" i="27"/>
  <c r="FE204" i="27"/>
  <c r="FB204" i="27"/>
  <c r="EY204" i="27"/>
  <c r="EV204" i="27"/>
  <c r="ES204" i="27"/>
  <c r="EP204" i="27"/>
  <c r="EM204" i="27"/>
  <c r="EJ204" i="27"/>
  <c r="EG204" i="27"/>
  <c r="ED204" i="27"/>
  <c r="EA204" i="27"/>
  <c r="DX204" i="27"/>
  <c r="DU204" i="27"/>
  <c r="DR204" i="27"/>
  <c r="DO204" i="27"/>
  <c r="DL204" i="27"/>
  <c r="DI204" i="27"/>
  <c r="DF204" i="27"/>
  <c r="DC204" i="27"/>
  <c r="CZ204" i="27"/>
  <c r="CW204" i="27"/>
  <c r="CT204" i="27"/>
  <c r="CQ204" i="27"/>
  <c r="CN204" i="27"/>
  <c r="CK204" i="27"/>
  <c r="CH204" i="27"/>
  <c r="CE204" i="27"/>
  <c r="CB204" i="27"/>
  <c r="BY204" i="27"/>
  <c r="BV204" i="27"/>
  <c r="BS204" i="27"/>
  <c r="BP204" i="27"/>
  <c r="BM204" i="27"/>
  <c r="BJ204" i="27"/>
  <c r="BG204" i="27"/>
  <c r="BD204" i="27"/>
  <c r="BA204" i="27"/>
  <c r="AX204" i="27"/>
  <c r="AU204" i="27"/>
  <c r="AR204" i="27"/>
  <c r="AO204" i="27"/>
  <c r="AL204" i="27"/>
  <c r="AI204" i="27"/>
  <c r="AF204" i="27"/>
  <c r="FW202" i="27"/>
  <c r="FT202" i="27"/>
  <c r="FQ202" i="27"/>
  <c r="FN202" i="27"/>
  <c r="FK202" i="27"/>
  <c r="FH202" i="27"/>
  <c r="FE202" i="27"/>
  <c r="FB202" i="27"/>
  <c r="EY202" i="27"/>
  <c r="EV202" i="27"/>
  <c r="ES202" i="27"/>
  <c r="EP202" i="27"/>
  <c r="EM202" i="27"/>
  <c r="EJ202" i="27"/>
  <c r="EG202" i="27"/>
  <c r="ED202" i="27"/>
  <c r="EA202" i="27"/>
  <c r="DX202" i="27"/>
  <c r="DU202" i="27"/>
  <c r="DR202" i="27"/>
  <c r="DO202" i="27"/>
  <c r="DL202" i="27"/>
  <c r="DI202" i="27"/>
  <c r="DF202" i="27"/>
  <c r="DC202" i="27"/>
  <c r="CZ202" i="27"/>
  <c r="CW202" i="27"/>
  <c r="CT202" i="27"/>
  <c r="CQ202" i="27"/>
  <c r="CN202" i="27"/>
  <c r="CK202" i="27"/>
  <c r="CH202" i="27"/>
  <c r="CE202" i="27"/>
  <c r="CB202" i="27"/>
  <c r="BY202" i="27"/>
  <c r="BV202" i="27"/>
  <c r="BS202" i="27"/>
  <c r="BP202" i="27"/>
  <c r="BM202" i="27"/>
  <c r="BJ202" i="27"/>
  <c r="BG202" i="27"/>
  <c r="BD202" i="27"/>
  <c r="BA202" i="27"/>
  <c r="AX202" i="27"/>
  <c r="AU202" i="27"/>
  <c r="AR202" i="27"/>
  <c r="AO202" i="27"/>
  <c r="AL202" i="27"/>
  <c r="AI202" i="27"/>
  <c r="AF202" i="27"/>
  <c r="FW201" i="27"/>
  <c r="FT201" i="27"/>
  <c r="FQ201" i="27"/>
  <c r="FN201" i="27"/>
  <c r="FK201" i="27"/>
  <c r="FH201" i="27"/>
  <c r="FE201" i="27"/>
  <c r="FB201" i="27"/>
  <c r="EY201" i="27"/>
  <c r="EV201" i="27"/>
  <c r="ES201" i="27"/>
  <c r="EP201" i="27"/>
  <c r="EM201" i="27"/>
  <c r="EJ201" i="27"/>
  <c r="EG201" i="27"/>
  <c r="ED201" i="27"/>
  <c r="EA201" i="27"/>
  <c r="DX201" i="27"/>
  <c r="DU201" i="27"/>
  <c r="DR201" i="27"/>
  <c r="DO201" i="27"/>
  <c r="DL201" i="27"/>
  <c r="DI201" i="27"/>
  <c r="DF201" i="27"/>
  <c r="DC201" i="27"/>
  <c r="CZ201" i="27"/>
  <c r="CW201" i="27"/>
  <c r="CT201" i="27"/>
  <c r="CQ201" i="27"/>
  <c r="CN201" i="27"/>
  <c r="CK201" i="27"/>
  <c r="CH201" i="27"/>
  <c r="CE201" i="27"/>
  <c r="CB201" i="27"/>
  <c r="BY201" i="27"/>
  <c r="BV201" i="27"/>
  <c r="BS201" i="27"/>
  <c r="BP201" i="27"/>
  <c r="BM201" i="27"/>
  <c r="BJ201" i="27"/>
  <c r="BG201" i="27"/>
  <c r="BD201" i="27"/>
  <c r="BA201" i="27"/>
  <c r="AX201" i="27"/>
  <c r="AU201" i="27"/>
  <c r="AR201" i="27"/>
  <c r="AO201" i="27"/>
  <c r="AL201" i="27"/>
  <c r="AI201" i="27"/>
  <c r="AF201" i="27"/>
  <c r="FW200" i="27"/>
  <c r="FT200" i="27"/>
  <c r="FQ200" i="27"/>
  <c r="FN200" i="27"/>
  <c r="FK200" i="27"/>
  <c r="FH200" i="27"/>
  <c r="FE200" i="27"/>
  <c r="FB200" i="27"/>
  <c r="EY200" i="27"/>
  <c r="EV200" i="27"/>
  <c r="ES200" i="27"/>
  <c r="EP200" i="27"/>
  <c r="EM200" i="27"/>
  <c r="EJ200" i="27"/>
  <c r="EG200" i="27"/>
  <c r="ED200" i="27"/>
  <c r="EA200" i="27"/>
  <c r="DX200" i="27"/>
  <c r="DU200" i="27"/>
  <c r="DR200" i="27"/>
  <c r="DO200" i="27"/>
  <c r="DL200" i="27"/>
  <c r="DI200" i="27"/>
  <c r="DF200" i="27"/>
  <c r="DC200" i="27"/>
  <c r="CZ200" i="27"/>
  <c r="CW200" i="27"/>
  <c r="CT200" i="27"/>
  <c r="CQ200" i="27"/>
  <c r="CN200" i="27"/>
  <c r="CK200" i="27"/>
  <c r="CH200" i="27"/>
  <c r="CE200" i="27"/>
  <c r="CB200" i="27"/>
  <c r="BY200" i="27"/>
  <c r="BV200" i="27"/>
  <c r="BS200" i="27"/>
  <c r="BP200" i="27"/>
  <c r="BM200" i="27"/>
  <c r="BJ200" i="27"/>
  <c r="BG200" i="27"/>
  <c r="BD200" i="27"/>
  <c r="BA200" i="27"/>
  <c r="AX200" i="27"/>
  <c r="AU200" i="27"/>
  <c r="AR200" i="27"/>
  <c r="AO200" i="27"/>
  <c r="AL200" i="27"/>
  <c r="AI200" i="27"/>
  <c r="AF200" i="27"/>
  <c r="FW199" i="27"/>
  <c r="FT199" i="27"/>
  <c r="FQ199" i="27"/>
  <c r="FN199" i="27"/>
  <c r="FK199" i="27"/>
  <c r="FH199" i="27"/>
  <c r="FE199" i="27"/>
  <c r="FB199" i="27"/>
  <c r="EY199" i="27"/>
  <c r="EV199" i="27"/>
  <c r="ES199" i="27"/>
  <c r="EP199" i="27"/>
  <c r="EM199" i="27"/>
  <c r="EJ199" i="27"/>
  <c r="EG199" i="27"/>
  <c r="ED199" i="27"/>
  <c r="EA199" i="27"/>
  <c r="DX199" i="27"/>
  <c r="DU199" i="27"/>
  <c r="DR199" i="27"/>
  <c r="DO199" i="27"/>
  <c r="DL199" i="27"/>
  <c r="DI199" i="27"/>
  <c r="DF199" i="27"/>
  <c r="DC199" i="27"/>
  <c r="CZ199" i="27"/>
  <c r="CW199" i="27"/>
  <c r="CT199" i="27"/>
  <c r="CQ199" i="27"/>
  <c r="CN199" i="27"/>
  <c r="CK199" i="27"/>
  <c r="CH199" i="27"/>
  <c r="CE199" i="27"/>
  <c r="CB199" i="27"/>
  <c r="BY199" i="27"/>
  <c r="BV199" i="27"/>
  <c r="BS199" i="27"/>
  <c r="BP199" i="27"/>
  <c r="BM199" i="27"/>
  <c r="BJ199" i="27"/>
  <c r="BG199" i="27"/>
  <c r="BD199" i="27"/>
  <c r="BA199" i="27"/>
  <c r="AX199" i="27"/>
  <c r="AU199" i="27"/>
  <c r="AR199" i="27"/>
  <c r="AO199" i="27"/>
  <c r="AL199" i="27"/>
  <c r="AI199" i="27"/>
  <c r="AF199" i="27"/>
  <c r="GB198" i="27" a="1"/>
  <c r="GB198" i="27" s="1"/>
  <c r="GB199" i="27" s="1" a="1"/>
  <c r="GB199" i="27" s="1"/>
  <c r="GB200" i="27" s="1" a="1"/>
  <c r="GB200" i="27" s="1"/>
  <c r="GB201" i="27" s="1" a="1"/>
  <c r="GB201" i="27" s="1"/>
  <c r="GB202" i="27" s="1" a="1"/>
  <c r="GB202" i="27" s="1"/>
  <c r="GB203" i="27" s="1" a="1"/>
  <c r="GB203" i="27" s="1"/>
  <c r="GB204" i="27" s="1" a="1"/>
  <c r="GB204" i="27" s="1"/>
  <c r="GB205" i="27" s="1" a="1"/>
  <c r="GB205" i="27" s="1"/>
  <c r="GB206" i="27" s="1" a="1"/>
  <c r="GB206" i="27" s="1"/>
  <c r="GB207" i="27" s="1" a="1"/>
  <c r="GB207" i="27" s="1"/>
  <c r="GB208" i="27" s="1" a="1"/>
  <c r="GB208" i="27" s="1"/>
  <c r="FW198" i="27"/>
  <c r="FV198" i="27"/>
  <c r="FU198" i="27"/>
  <c r="FS198" i="27"/>
  <c r="FR198" i="27"/>
  <c r="FT198" i="27" s="1"/>
  <c r="FP198" i="27"/>
  <c r="FO198" i="27"/>
  <c r="FQ198" i="27" s="1"/>
  <c r="FN198" i="27"/>
  <c r="FM198" i="27"/>
  <c r="FL198" i="27"/>
  <c r="FK198" i="27"/>
  <c r="FJ198" i="27"/>
  <c r="FI198" i="27"/>
  <c r="FG198" i="27"/>
  <c r="FF198" i="27"/>
  <c r="FH198" i="27" s="1"/>
  <c r="FD198" i="27"/>
  <c r="FC198" i="27"/>
  <c r="FE198" i="27" s="1"/>
  <c r="FB198" i="27"/>
  <c r="FA198" i="27"/>
  <c r="EZ198" i="27"/>
  <c r="EY198" i="27"/>
  <c r="EX198" i="27"/>
  <c r="EW198" i="27"/>
  <c r="EU198" i="27"/>
  <c r="ET198" i="27"/>
  <c r="EV198" i="27" s="1"/>
  <c r="ER198" i="27"/>
  <c r="EQ198" i="27"/>
  <c r="ES198" i="27" s="1"/>
  <c r="EP198" i="27"/>
  <c r="EO198" i="27"/>
  <c r="EN198" i="27"/>
  <c r="EM198" i="27"/>
  <c r="EL198" i="27"/>
  <c r="EK198" i="27"/>
  <c r="EI198" i="27"/>
  <c r="EH198" i="27"/>
  <c r="EJ198" i="27" s="1"/>
  <c r="EF198" i="27"/>
  <c r="EE198" i="27"/>
  <c r="EG198" i="27" s="1"/>
  <c r="ED198" i="27"/>
  <c r="EC198" i="27"/>
  <c r="EB198" i="27"/>
  <c r="EA198" i="27"/>
  <c r="DZ198" i="27"/>
  <c r="DY198" i="27"/>
  <c r="DW198" i="27"/>
  <c r="DV198" i="27"/>
  <c r="DX198" i="27" s="1"/>
  <c r="DT198" i="27"/>
  <c r="DS198" i="27"/>
  <c r="DU198" i="27" s="1"/>
  <c r="DR198" i="27"/>
  <c r="DQ198" i="27"/>
  <c r="DP198" i="27"/>
  <c r="DO198" i="27"/>
  <c r="DN198" i="27"/>
  <c r="DM198" i="27"/>
  <c r="DK198" i="27"/>
  <c r="DJ198" i="27"/>
  <c r="DL198" i="27" s="1"/>
  <c r="DH198" i="27"/>
  <c r="DG198" i="27"/>
  <c r="DI198" i="27" s="1"/>
  <c r="DF198" i="27"/>
  <c r="DE198" i="27"/>
  <c r="DD198" i="27"/>
  <c r="DC198" i="27"/>
  <c r="DB198" i="27"/>
  <c r="DA198" i="27"/>
  <c r="CY198" i="27"/>
  <c r="CX198" i="27"/>
  <c r="CZ198" i="27" s="1"/>
  <c r="CV198" i="27"/>
  <c r="CU198" i="27"/>
  <c r="CW198" i="27" s="1"/>
  <c r="CT198" i="27"/>
  <c r="CS198" i="27"/>
  <c r="CR198" i="27"/>
  <c r="CQ198" i="27"/>
  <c r="CP198" i="27"/>
  <c r="CO198" i="27"/>
  <c r="CM198" i="27"/>
  <c r="CL198" i="27"/>
  <c r="CN198" i="27" s="1"/>
  <c r="CJ198" i="27"/>
  <c r="CI198" i="27"/>
  <c r="CK198" i="27" s="1"/>
  <c r="CH198" i="27"/>
  <c r="CG198" i="27"/>
  <c r="CF198" i="27"/>
  <c r="CE198" i="27"/>
  <c r="CD198" i="27"/>
  <c r="CC198" i="27"/>
  <c r="CA198" i="27"/>
  <c r="BZ198" i="27"/>
  <c r="CB198" i="27" s="1"/>
  <c r="BX198" i="27"/>
  <c r="BW198" i="27"/>
  <c r="BY198" i="27" s="1"/>
  <c r="BV198" i="27"/>
  <c r="BU198" i="27"/>
  <c r="BT198" i="27"/>
  <c r="BS198" i="27"/>
  <c r="BR198" i="27"/>
  <c r="BQ198" i="27"/>
  <c r="BO198" i="27"/>
  <c r="BN198" i="27"/>
  <c r="BP198" i="27" s="1"/>
  <c r="BL198" i="27"/>
  <c r="BK198" i="27"/>
  <c r="BM198" i="27" s="1"/>
  <c r="BJ198" i="27"/>
  <c r="BI198" i="27"/>
  <c r="BH198" i="27"/>
  <c r="BG198" i="27"/>
  <c r="BF198" i="27"/>
  <c r="BE198" i="27"/>
  <c r="BC198" i="27"/>
  <c r="BB198" i="27"/>
  <c r="BD198" i="27" s="1"/>
  <c r="AZ198" i="27"/>
  <c r="AY198" i="27"/>
  <c r="BA198" i="27" s="1"/>
  <c r="AX198" i="27"/>
  <c r="AW198" i="27"/>
  <c r="AV198" i="27"/>
  <c r="AU198" i="27"/>
  <c r="AT198" i="27"/>
  <c r="AS198" i="27"/>
  <c r="AQ198" i="27"/>
  <c r="AP198" i="27"/>
  <c r="AR198" i="27" s="1"/>
  <c r="AN198" i="27"/>
  <c r="AM198" i="27"/>
  <c r="AO198" i="27" s="1"/>
  <c r="AL198" i="27"/>
  <c r="AK198" i="27"/>
  <c r="AJ198" i="27"/>
  <c r="AI198" i="27"/>
  <c r="AH198" i="27"/>
  <c r="AG198" i="27"/>
  <c r="AE198" i="27"/>
  <c r="AD198" i="27"/>
  <c r="AF198" i="27" s="1"/>
  <c r="I198" i="27" a="1"/>
  <c r="I198" i="27" s="1"/>
  <c r="I199" i="27" s="1" a="1"/>
  <c r="I199" i="27" s="1"/>
  <c r="I200" i="27" s="1" a="1"/>
  <c r="I200" i="27" s="1"/>
  <c r="I201" i="27" s="1" a="1"/>
  <c r="I201" i="27" s="1"/>
  <c r="I202" i="27" s="1" a="1"/>
  <c r="I202" i="27" s="1"/>
  <c r="FW196" i="27"/>
  <c r="FT196" i="27"/>
  <c r="FQ196" i="27"/>
  <c r="FN196" i="27"/>
  <c r="FK196" i="27"/>
  <c r="FH196" i="27"/>
  <c r="FE196" i="27"/>
  <c r="FB196" i="27"/>
  <c r="EY196" i="27"/>
  <c r="EV196" i="27"/>
  <c r="ES196" i="27"/>
  <c r="EP196" i="27"/>
  <c r="EM196" i="27"/>
  <c r="EJ196" i="27"/>
  <c r="EG196" i="27"/>
  <c r="ED196" i="27"/>
  <c r="EA196" i="27"/>
  <c r="DX196" i="27"/>
  <c r="DU196" i="27"/>
  <c r="DR196" i="27"/>
  <c r="DO196" i="27"/>
  <c r="DL196" i="27"/>
  <c r="DI196" i="27"/>
  <c r="DF196" i="27"/>
  <c r="DC196" i="27"/>
  <c r="CZ196" i="27"/>
  <c r="CW196" i="27"/>
  <c r="CT196" i="27"/>
  <c r="CQ196" i="27"/>
  <c r="CN196" i="27"/>
  <c r="CK196" i="27"/>
  <c r="CH196" i="27"/>
  <c r="CE196" i="27"/>
  <c r="CB196" i="27"/>
  <c r="BY196" i="27"/>
  <c r="BV196" i="27"/>
  <c r="BS196" i="27"/>
  <c r="BP196" i="27"/>
  <c r="BM196" i="27"/>
  <c r="BJ196" i="27"/>
  <c r="BG196" i="27"/>
  <c r="BD196" i="27"/>
  <c r="BA196" i="27"/>
  <c r="AX196" i="27"/>
  <c r="AU196" i="27"/>
  <c r="AR196" i="27"/>
  <c r="AO196" i="27"/>
  <c r="AL196" i="27"/>
  <c r="AI196" i="27"/>
  <c r="AF196" i="27"/>
  <c r="FW195" i="27"/>
  <c r="FT195" i="27"/>
  <c r="FQ195" i="27"/>
  <c r="FN195" i="27"/>
  <c r="FK195" i="27"/>
  <c r="FH195" i="27"/>
  <c r="FE195" i="27"/>
  <c r="FB195" i="27"/>
  <c r="EY195" i="27"/>
  <c r="EV195" i="27"/>
  <c r="ES195" i="27"/>
  <c r="EP195" i="27"/>
  <c r="EM195" i="27"/>
  <c r="EJ195" i="27"/>
  <c r="EG195" i="27"/>
  <c r="ED195" i="27"/>
  <c r="EA195" i="27"/>
  <c r="DX195" i="27"/>
  <c r="DU195" i="27"/>
  <c r="DR195" i="27"/>
  <c r="DO195" i="27"/>
  <c r="DL195" i="27"/>
  <c r="DI195" i="27"/>
  <c r="DF195" i="27"/>
  <c r="DC195" i="27"/>
  <c r="CZ195" i="27"/>
  <c r="CW195" i="27"/>
  <c r="CT195" i="27"/>
  <c r="CQ195" i="27"/>
  <c r="CN195" i="27"/>
  <c r="CK195" i="27"/>
  <c r="CH195" i="27"/>
  <c r="CE195" i="27"/>
  <c r="CB195" i="27"/>
  <c r="BY195" i="27"/>
  <c r="BV195" i="27"/>
  <c r="BS195" i="27"/>
  <c r="BP195" i="27"/>
  <c r="BM195" i="27"/>
  <c r="BJ195" i="27"/>
  <c r="BG195" i="27"/>
  <c r="BD195" i="27"/>
  <c r="BA195" i="27"/>
  <c r="AX195" i="27"/>
  <c r="AU195" i="27"/>
  <c r="AR195" i="27"/>
  <c r="AO195" i="27"/>
  <c r="AL195" i="27"/>
  <c r="AI195" i="27"/>
  <c r="AF195" i="27"/>
  <c r="FW194" i="27"/>
  <c r="FT194" i="27"/>
  <c r="FQ194" i="27"/>
  <c r="FN194" i="27"/>
  <c r="FK194" i="27"/>
  <c r="FH194" i="27"/>
  <c r="FE194" i="27"/>
  <c r="FB194" i="27"/>
  <c r="EY194" i="27"/>
  <c r="EV194" i="27"/>
  <c r="ES194" i="27"/>
  <c r="EP194" i="27"/>
  <c r="EM194" i="27"/>
  <c r="EJ194" i="27"/>
  <c r="EG194" i="27"/>
  <c r="ED194" i="27"/>
  <c r="EA194" i="27"/>
  <c r="DX194" i="27"/>
  <c r="DU194" i="27"/>
  <c r="DR194" i="27"/>
  <c r="DO194" i="27"/>
  <c r="DL194" i="27"/>
  <c r="DI194" i="27"/>
  <c r="DF194" i="27"/>
  <c r="DC194" i="27"/>
  <c r="CZ194" i="27"/>
  <c r="CW194" i="27"/>
  <c r="CT194" i="27"/>
  <c r="CQ194" i="27"/>
  <c r="CN194" i="27"/>
  <c r="CK194" i="27"/>
  <c r="CH194" i="27"/>
  <c r="CE194" i="27"/>
  <c r="CB194" i="27"/>
  <c r="BY194" i="27"/>
  <c r="BV194" i="27"/>
  <c r="BS194" i="27"/>
  <c r="BP194" i="27"/>
  <c r="BM194" i="27"/>
  <c r="BJ194" i="27"/>
  <c r="FW193" i="27"/>
  <c r="FT193" i="27"/>
  <c r="FQ193" i="27"/>
  <c r="FN193" i="27"/>
  <c r="FK193" i="27"/>
  <c r="FH193" i="27"/>
  <c r="FE193" i="27"/>
  <c r="FB193" i="27"/>
  <c r="EY193" i="27"/>
  <c r="EV193" i="27"/>
  <c r="ES193" i="27"/>
  <c r="EP193" i="27"/>
  <c r="EM193" i="27"/>
  <c r="EJ193" i="27"/>
  <c r="EG193" i="27"/>
  <c r="ED193" i="27"/>
  <c r="EA193" i="27"/>
  <c r="DX193" i="27"/>
  <c r="DU193" i="27"/>
  <c r="DR193" i="27"/>
  <c r="DO193" i="27"/>
  <c r="DL193" i="27"/>
  <c r="DI193" i="27"/>
  <c r="DF193" i="27"/>
  <c r="DC193" i="27"/>
  <c r="CZ193" i="27"/>
  <c r="CW193" i="27"/>
  <c r="CT193" i="27"/>
  <c r="CQ193" i="27"/>
  <c r="CN193" i="27"/>
  <c r="CK193" i="27"/>
  <c r="CH193" i="27"/>
  <c r="CE193" i="27"/>
  <c r="CB193" i="27"/>
  <c r="BY193" i="27"/>
  <c r="BV193" i="27"/>
  <c r="BS193" i="27"/>
  <c r="BP193" i="27"/>
  <c r="BM193" i="27"/>
  <c r="BJ193" i="27"/>
  <c r="BG193" i="27"/>
  <c r="BD193" i="27"/>
  <c r="BA193" i="27"/>
  <c r="AX193" i="27"/>
  <c r="AU193" i="27"/>
  <c r="AR193" i="27"/>
  <c r="AO193" i="27"/>
  <c r="AL193" i="27"/>
  <c r="AI193" i="27"/>
  <c r="AF193" i="27"/>
  <c r="FV192" i="27"/>
  <c r="FU192" i="27"/>
  <c r="FW192" i="27" s="1"/>
  <c r="FT192" i="27"/>
  <c r="FS192" i="27"/>
  <c r="FR192" i="27"/>
  <c r="FQ192" i="27"/>
  <c r="FP192" i="27"/>
  <c r="FO192" i="27"/>
  <c r="FM192" i="27"/>
  <c r="FL192" i="27"/>
  <c r="FN192" i="27" s="1"/>
  <c r="FJ192" i="27"/>
  <c r="FI192" i="27"/>
  <c r="FK192" i="27" s="1"/>
  <c r="FH192" i="27"/>
  <c r="FG192" i="27"/>
  <c r="FF192" i="27"/>
  <c r="FE192" i="27"/>
  <c r="FD192" i="27"/>
  <c r="FC192" i="27"/>
  <c r="FA192" i="27"/>
  <c r="EZ192" i="27"/>
  <c r="FB192" i="27" s="1"/>
  <c r="EX192" i="27"/>
  <c r="EW192" i="27"/>
  <c r="EY192" i="27" s="1"/>
  <c r="EV192" i="27"/>
  <c r="EU192" i="27"/>
  <c r="ET192" i="27"/>
  <c r="ES192" i="27"/>
  <c r="ER192" i="27"/>
  <c r="EQ192" i="27"/>
  <c r="EO192" i="27"/>
  <c r="EN192" i="27"/>
  <c r="EP192" i="27" s="1"/>
  <c r="EL192" i="27"/>
  <c r="EK192" i="27"/>
  <c r="EM192" i="27" s="1"/>
  <c r="EJ192" i="27"/>
  <c r="EI192" i="27"/>
  <c r="EH192" i="27"/>
  <c r="EG192" i="27"/>
  <c r="EF192" i="27"/>
  <c r="EE192" i="27"/>
  <c r="EC192" i="27"/>
  <c r="EB192" i="27"/>
  <c r="ED192" i="27" s="1"/>
  <c r="DZ192" i="27"/>
  <c r="DY192" i="27"/>
  <c r="EA192" i="27" s="1"/>
  <c r="DX192" i="27"/>
  <c r="DW192" i="27"/>
  <c r="DV192" i="27"/>
  <c r="DU192" i="27"/>
  <c r="DT192" i="27"/>
  <c r="DS192" i="27"/>
  <c r="DQ192" i="27"/>
  <c r="DP192" i="27"/>
  <c r="DR192" i="27" s="1"/>
  <c r="DN192" i="27"/>
  <c r="DM192" i="27"/>
  <c r="DO192" i="27" s="1"/>
  <c r="DL192" i="27"/>
  <c r="DK192" i="27"/>
  <c r="DJ192" i="27"/>
  <c r="DI192" i="27"/>
  <c r="DH192" i="27"/>
  <c r="DG192" i="27"/>
  <c r="DE192" i="27"/>
  <c r="DD192" i="27"/>
  <c r="DF192" i="27" s="1"/>
  <c r="DB192" i="27"/>
  <c r="DA192" i="27"/>
  <c r="DC192" i="27" s="1"/>
  <c r="CZ192" i="27"/>
  <c r="CY192" i="27"/>
  <c r="CX192" i="27"/>
  <c r="CW192" i="27"/>
  <c r="CV192" i="27"/>
  <c r="CU192" i="27"/>
  <c r="CS192" i="27"/>
  <c r="CR192" i="27"/>
  <c r="CT192" i="27" s="1"/>
  <c r="CP192" i="27"/>
  <c r="CO192" i="27"/>
  <c r="CQ192" i="27" s="1"/>
  <c r="CN192" i="27"/>
  <c r="CM192" i="27"/>
  <c r="CL192" i="27"/>
  <c r="CK192" i="27"/>
  <c r="CJ192" i="27"/>
  <c r="CI192" i="27"/>
  <c r="CG192" i="27"/>
  <c r="CF192" i="27"/>
  <c r="CH192" i="27" s="1"/>
  <c r="CD192" i="27"/>
  <c r="CC192" i="27"/>
  <c r="CE192" i="27" s="1"/>
  <c r="CB192" i="27"/>
  <c r="CA192" i="27"/>
  <c r="BZ192" i="27"/>
  <c r="BY192" i="27"/>
  <c r="BX192" i="27"/>
  <c r="BW192" i="27"/>
  <c r="BU192" i="27"/>
  <c r="BT192" i="27"/>
  <c r="BV192" i="27" s="1"/>
  <c r="BR192" i="27"/>
  <c r="BQ192" i="27"/>
  <c r="BS192" i="27" s="1"/>
  <c r="BP192" i="27"/>
  <c r="BO192" i="27"/>
  <c r="BN192" i="27"/>
  <c r="BM192" i="27"/>
  <c r="BL192" i="27"/>
  <c r="BK192" i="27"/>
  <c r="BI192" i="27"/>
  <c r="BH192" i="27"/>
  <c r="BJ192" i="27" s="1"/>
  <c r="FW190" i="27"/>
  <c r="FT190" i="27"/>
  <c r="FQ190" i="27"/>
  <c r="FN190" i="27"/>
  <c r="FK190" i="27"/>
  <c r="FH190" i="27"/>
  <c r="FE190" i="27"/>
  <c r="FB190" i="27"/>
  <c r="EY190" i="27"/>
  <c r="EV190" i="27"/>
  <c r="ES190" i="27"/>
  <c r="EP190" i="27"/>
  <c r="EM190" i="27"/>
  <c r="EJ190" i="27"/>
  <c r="EG190" i="27"/>
  <c r="ED190" i="27"/>
  <c r="EA190" i="27"/>
  <c r="DX190" i="27"/>
  <c r="DU190" i="27"/>
  <c r="DR190" i="27"/>
  <c r="DO190" i="27"/>
  <c r="DL190" i="27"/>
  <c r="DI190" i="27"/>
  <c r="DF190" i="27"/>
  <c r="DC190" i="27"/>
  <c r="CZ190" i="27"/>
  <c r="CW190" i="27"/>
  <c r="CT190" i="27"/>
  <c r="CQ190" i="27"/>
  <c r="CN190" i="27"/>
  <c r="CK190" i="27"/>
  <c r="CH190" i="27"/>
  <c r="CE190" i="27"/>
  <c r="CB190" i="27"/>
  <c r="BY190" i="27"/>
  <c r="BV190" i="27"/>
  <c r="BS190" i="27"/>
  <c r="BP190" i="27"/>
  <c r="BM190" i="27"/>
  <c r="BJ190" i="27"/>
  <c r="BG190" i="27"/>
  <c r="BD190" i="27"/>
  <c r="BA190" i="27"/>
  <c r="AX190" i="27"/>
  <c r="AU190" i="27"/>
  <c r="AR190" i="27"/>
  <c r="AO190" i="27"/>
  <c r="AL190" i="27"/>
  <c r="AI190" i="27"/>
  <c r="AF190" i="27"/>
  <c r="FW189" i="27"/>
  <c r="FT189" i="27"/>
  <c r="FQ189" i="27"/>
  <c r="FN189" i="27"/>
  <c r="FK189" i="27"/>
  <c r="FH189" i="27"/>
  <c r="FE189" i="27"/>
  <c r="FB189" i="27"/>
  <c r="EY189" i="27"/>
  <c r="EV189" i="27"/>
  <c r="ES189" i="27"/>
  <c r="EP189" i="27"/>
  <c r="EM189" i="27"/>
  <c r="EJ189" i="27"/>
  <c r="EG189" i="27"/>
  <c r="ED189" i="27"/>
  <c r="EA189" i="27"/>
  <c r="DX189" i="27"/>
  <c r="DU189" i="27"/>
  <c r="DR189" i="27"/>
  <c r="DO189" i="27"/>
  <c r="DL189" i="27"/>
  <c r="DI189" i="27"/>
  <c r="DF189" i="27"/>
  <c r="DC189" i="27"/>
  <c r="CZ189" i="27"/>
  <c r="CW189" i="27"/>
  <c r="CT189" i="27"/>
  <c r="CQ189" i="27"/>
  <c r="CN189" i="27"/>
  <c r="CK189" i="27"/>
  <c r="CH189" i="27"/>
  <c r="CE189" i="27"/>
  <c r="CB189" i="27"/>
  <c r="BY189" i="27"/>
  <c r="BV189" i="27"/>
  <c r="BS189" i="27"/>
  <c r="BP189" i="27"/>
  <c r="BM189" i="27"/>
  <c r="BJ189" i="27"/>
  <c r="BG189" i="27"/>
  <c r="BD189" i="27"/>
  <c r="BA189" i="27"/>
  <c r="AX189" i="27"/>
  <c r="AU189" i="27"/>
  <c r="AR189" i="27"/>
  <c r="AO189" i="27"/>
  <c r="AL189" i="27"/>
  <c r="AI189" i="27"/>
  <c r="AF189" i="27"/>
  <c r="FW188" i="27"/>
  <c r="FT188" i="27"/>
  <c r="FQ188" i="27"/>
  <c r="FN188" i="27"/>
  <c r="FK188" i="27"/>
  <c r="FH188" i="27"/>
  <c r="FE188" i="27"/>
  <c r="FB188" i="27"/>
  <c r="EY188" i="27"/>
  <c r="EV188" i="27"/>
  <c r="ES188" i="27"/>
  <c r="EP188" i="27"/>
  <c r="EM188" i="27"/>
  <c r="EJ188" i="27"/>
  <c r="EG188" i="27"/>
  <c r="ED188" i="27"/>
  <c r="EA188" i="27"/>
  <c r="DX188" i="27"/>
  <c r="DU188" i="27"/>
  <c r="DR188" i="27"/>
  <c r="DO188" i="27"/>
  <c r="DL188" i="27"/>
  <c r="DI188" i="27"/>
  <c r="DF188" i="27"/>
  <c r="DC188" i="27"/>
  <c r="CZ188" i="27"/>
  <c r="CW188" i="27"/>
  <c r="CT188" i="27"/>
  <c r="CQ188" i="27"/>
  <c r="CN188" i="27"/>
  <c r="CK188" i="27"/>
  <c r="CH188" i="27"/>
  <c r="CE188" i="27"/>
  <c r="CB188" i="27"/>
  <c r="BY188" i="27"/>
  <c r="BV188" i="27"/>
  <c r="BS188" i="27"/>
  <c r="BP188" i="27"/>
  <c r="BM188" i="27"/>
  <c r="BJ188" i="27"/>
  <c r="FW187" i="27"/>
  <c r="FT187" i="27"/>
  <c r="FQ187" i="27"/>
  <c r="FN187" i="27"/>
  <c r="FK187" i="27"/>
  <c r="FH187" i="27"/>
  <c r="FE187" i="27"/>
  <c r="FB187" i="27"/>
  <c r="EY187" i="27"/>
  <c r="EV187" i="27"/>
  <c r="ES187" i="27"/>
  <c r="EP187" i="27"/>
  <c r="EM187" i="27"/>
  <c r="EJ187" i="27"/>
  <c r="EG187" i="27"/>
  <c r="ED187" i="27"/>
  <c r="EA187" i="27"/>
  <c r="DX187" i="27"/>
  <c r="DU187" i="27"/>
  <c r="DR187" i="27"/>
  <c r="DO187" i="27"/>
  <c r="DL187" i="27"/>
  <c r="DI187" i="27"/>
  <c r="DF187" i="27"/>
  <c r="DC187" i="27"/>
  <c r="CZ187" i="27"/>
  <c r="CW187" i="27"/>
  <c r="CT187" i="27"/>
  <c r="CQ187" i="27"/>
  <c r="CN187" i="27"/>
  <c r="CK187" i="27"/>
  <c r="CH187" i="27"/>
  <c r="CE187" i="27"/>
  <c r="CB187" i="27"/>
  <c r="BY187" i="27"/>
  <c r="BV187" i="27"/>
  <c r="BS187" i="27"/>
  <c r="BP187" i="27"/>
  <c r="BM187" i="27"/>
  <c r="BJ187" i="27"/>
  <c r="BG187" i="27"/>
  <c r="BD187" i="27"/>
  <c r="BA187" i="27"/>
  <c r="AX187" i="27"/>
  <c r="AU187" i="27"/>
  <c r="AR187" i="27"/>
  <c r="AO187" i="27"/>
  <c r="AL187" i="27"/>
  <c r="AI187" i="27"/>
  <c r="AF187" i="27"/>
  <c r="FV186" i="27"/>
  <c r="FU186" i="27"/>
  <c r="FW186" i="27" s="1"/>
  <c r="FS186" i="27"/>
  <c r="FR186" i="27"/>
  <c r="FT186" i="27" s="1"/>
  <c r="FP186" i="27"/>
  <c r="FO186" i="27"/>
  <c r="FQ186" i="27" s="1"/>
  <c r="FN186" i="27"/>
  <c r="FM186" i="27"/>
  <c r="FL186" i="27"/>
  <c r="FJ186" i="27"/>
  <c r="FI186" i="27"/>
  <c r="FK186" i="27" s="1"/>
  <c r="FG186" i="27"/>
  <c r="FF186" i="27"/>
  <c r="FH186" i="27" s="1"/>
  <c r="FD186" i="27"/>
  <c r="FC186" i="27"/>
  <c r="FE186" i="27" s="1"/>
  <c r="FB186" i="27"/>
  <c r="FA186" i="27"/>
  <c r="EZ186" i="27"/>
  <c r="EX186" i="27"/>
  <c r="EW186" i="27"/>
  <c r="EY186" i="27" s="1"/>
  <c r="EU186" i="27"/>
  <c r="ET186" i="27"/>
  <c r="EV186" i="27" s="1"/>
  <c r="ER186" i="27"/>
  <c r="EQ186" i="27"/>
  <c r="ES186" i="27" s="1"/>
  <c r="EP186" i="27"/>
  <c r="EO186" i="27"/>
  <c r="EN186" i="27"/>
  <c r="EL186" i="27"/>
  <c r="EK186" i="27"/>
  <c r="EM186" i="27" s="1"/>
  <c r="EI186" i="27"/>
  <c r="EH186" i="27"/>
  <c r="EJ186" i="27" s="1"/>
  <c r="EF186" i="27"/>
  <c r="EE186" i="27"/>
  <c r="EG186" i="27" s="1"/>
  <c r="ED186" i="27"/>
  <c r="EC186" i="27"/>
  <c r="EB186" i="27"/>
  <c r="DZ186" i="27"/>
  <c r="DY186" i="27"/>
  <c r="EA186" i="27" s="1"/>
  <c r="DW186" i="27"/>
  <c r="DV186" i="27"/>
  <c r="DX186" i="27" s="1"/>
  <c r="DT186" i="27"/>
  <c r="DS186" i="27"/>
  <c r="DU186" i="27" s="1"/>
  <c r="DR186" i="27"/>
  <c r="DQ186" i="27"/>
  <c r="DP186" i="27"/>
  <c r="DN186" i="27"/>
  <c r="DM186" i="27"/>
  <c r="DO186" i="27" s="1"/>
  <c r="DK186" i="27"/>
  <c r="DJ186" i="27"/>
  <c r="DL186" i="27" s="1"/>
  <c r="DH186" i="27"/>
  <c r="DG186" i="27"/>
  <c r="DI186" i="27" s="1"/>
  <c r="DF186" i="27"/>
  <c r="DE186" i="27"/>
  <c r="DD186" i="27"/>
  <c r="DB186" i="27"/>
  <c r="DA186" i="27"/>
  <c r="DC186" i="27" s="1"/>
  <c r="CY186" i="27"/>
  <c r="CX186" i="27"/>
  <c r="CZ186" i="27" s="1"/>
  <c r="CV186" i="27"/>
  <c r="CU186" i="27"/>
  <c r="CW186" i="27" s="1"/>
  <c r="CT186" i="27"/>
  <c r="CS186" i="27"/>
  <c r="CR186" i="27"/>
  <c r="CQ186" i="27"/>
  <c r="CP186" i="27"/>
  <c r="CO186" i="27"/>
  <c r="CM186" i="27"/>
  <c r="CL186" i="27"/>
  <c r="CN186" i="27" s="1"/>
  <c r="CJ186" i="27"/>
  <c r="CI186" i="27"/>
  <c r="CK186" i="27" s="1"/>
  <c r="CH186" i="27"/>
  <c r="CG186" i="27"/>
  <c r="CF186" i="27"/>
  <c r="CE186" i="27"/>
  <c r="CD186" i="27"/>
  <c r="CC186" i="27"/>
  <c r="CA186" i="27"/>
  <c r="BZ186" i="27"/>
  <c r="CB186" i="27" s="1"/>
  <c r="BX186" i="27"/>
  <c r="BW186" i="27"/>
  <c r="BY186" i="27" s="1"/>
  <c r="BV186" i="27"/>
  <c r="BU186" i="27"/>
  <c r="BT186" i="27"/>
  <c r="BS186" i="27"/>
  <c r="BR186" i="27"/>
  <c r="BQ186" i="27"/>
  <c r="BO186" i="27"/>
  <c r="BN186" i="27"/>
  <c r="BP186" i="27" s="1"/>
  <c r="BL186" i="27"/>
  <c r="BK186" i="27"/>
  <c r="BM186" i="27" s="1"/>
  <c r="BJ186" i="27"/>
  <c r="BI186" i="27"/>
  <c r="BH186" i="27"/>
  <c r="FW184" i="27"/>
  <c r="FT184" i="27"/>
  <c r="FQ184" i="27"/>
  <c r="FN184" i="27"/>
  <c r="FK184" i="27"/>
  <c r="FH184" i="27"/>
  <c r="FE184" i="27"/>
  <c r="FB184" i="27"/>
  <c r="EY184" i="27"/>
  <c r="EV184" i="27"/>
  <c r="ES184" i="27"/>
  <c r="EP184" i="27"/>
  <c r="EM184" i="27"/>
  <c r="EJ184" i="27"/>
  <c r="EG184" i="27"/>
  <c r="ED184" i="27"/>
  <c r="EA184" i="27"/>
  <c r="DX184" i="27"/>
  <c r="DU184" i="27"/>
  <c r="DR184" i="27"/>
  <c r="DO184" i="27"/>
  <c r="DL184" i="27"/>
  <c r="DI184" i="27"/>
  <c r="DF184" i="27"/>
  <c r="DC184" i="27"/>
  <c r="CZ184" i="27"/>
  <c r="CW184" i="27"/>
  <c r="CT184" i="27"/>
  <c r="CQ184" i="27"/>
  <c r="CN184" i="27"/>
  <c r="CK184" i="27"/>
  <c r="CH184" i="27"/>
  <c r="CE184" i="27"/>
  <c r="CB184" i="27"/>
  <c r="BY184" i="27"/>
  <c r="BV184" i="27"/>
  <c r="BS184" i="27"/>
  <c r="BP184" i="27"/>
  <c r="BM184" i="27"/>
  <c r="BJ184" i="27"/>
  <c r="BG184" i="27"/>
  <c r="BD184" i="27"/>
  <c r="BA184" i="27"/>
  <c r="AX184" i="27"/>
  <c r="AU184" i="27"/>
  <c r="AR184" i="27"/>
  <c r="AO184" i="27"/>
  <c r="AL184" i="27"/>
  <c r="AI184" i="27"/>
  <c r="AF184" i="27"/>
  <c r="FW183" i="27"/>
  <c r="FT183" i="27"/>
  <c r="FQ183" i="27"/>
  <c r="FN183" i="27"/>
  <c r="FK183" i="27"/>
  <c r="FH183" i="27"/>
  <c r="FE183" i="27"/>
  <c r="FB183" i="27"/>
  <c r="EY183" i="27"/>
  <c r="EV183" i="27"/>
  <c r="ES183" i="27"/>
  <c r="EP183" i="27"/>
  <c r="EM183" i="27"/>
  <c r="EJ183" i="27"/>
  <c r="EG183" i="27"/>
  <c r="ED183" i="27"/>
  <c r="EA183" i="27"/>
  <c r="DX183" i="27"/>
  <c r="DU183" i="27"/>
  <c r="DR183" i="27"/>
  <c r="DO183" i="27"/>
  <c r="DL183" i="27"/>
  <c r="DI183" i="27"/>
  <c r="DF183" i="27"/>
  <c r="DC183" i="27"/>
  <c r="CZ183" i="27"/>
  <c r="CW183" i="27"/>
  <c r="CT183" i="27"/>
  <c r="CQ183" i="27"/>
  <c r="CN183" i="27"/>
  <c r="CK183" i="27"/>
  <c r="CH183" i="27"/>
  <c r="CE183" i="27"/>
  <c r="CB183" i="27"/>
  <c r="BY183" i="27"/>
  <c r="BV183" i="27"/>
  <c r="BS183" i="27"/>
  <c r="BP183" i="27"/>
  <c r="BM183" i="27"/>
  <c r="BJ183" i="27"/>
  <c r="BG183" i="27"/>
  <c r="BD183" i="27"/>
  <c r="BA183" i="27"/>
  <c r="AX183" i="27"/>
  <c r="AU183" i="27"/>
  <c r="AR183" i="27"/>
  <c r="AO183" i="27"/>
  <c r="AL183" i="27"/>
  <c r="AI183" i="27"/>
  <c r="AF183" i="27"/>
  <c r="FW182" i="27"/>
  <c r="FT182" i="27"/>
  <c r="FQ182" i="27"/>
  <c r="FN182" i="27"/>
  <c r="FK182" i="27"/>
  <c r="FH182" i="27"/>
  <c r="FE182" i="27"/>
  <c r="FB182" i="27"/>
  <c r="EY182" i="27"/>
  <c r="EV182" i="27"/>
  <c r="ES182" i="27"/>
  <c r="EP182" i="27"/>
  <c r="EM182" i="27"/>
  <c r="EJ182" i="27"/>
  <c r="EG182" i="27"/>
  <c r="ED182" i="27"/>
  <c r="EA182" i="27"/>
  <c r="DX182" i="27"/>
  <c r="DU182" i="27"/>
  <c r="DR182" i="27"/>
  <c r="DO182" i="27"/>
  <c r="DL182" i="27"/>
  <c r="DI182" i="27"/>
  <c r="DF182" i="27"/>
  <c r="DC182" i="27"/>
  <c r="CZ182" i="27"/>
  <c r="CW182" i="27"/>
  <c r="CT182" i="27"/>
  <c r="CQ182" i="27"/>
  <c r="CN182" i="27"/>
  <c r="CK182" i="27"/>
  <c r="CH182" i="27"/>
  <c r="CE182" i="27"/>
  <c r="CB182" i="27"/>
  <c r="BY182" i="27"/>
  <c r="BV182" i="27"/>
  <c r="BS182" i="27"/>
  <c r="BP182" i="27"/>
  <c r="BM182" i="27"/>
  <c r="BJ182" i="27"/>
  <c r="FW181" i="27"/>
  <c r="FT181" i="27"/>
  <c r="FQ181" i="27"/>
  <c r="FN181" i="27"/>
  <c r="FK181" i="27"/>
  <c r="FH181" i="27"/>
  <c r="FE181" i="27"/>
  <c r="FB181" i="27"/>
  <c r="EY181" i="27"/>
  <c r="EV181" i="27"/>
  <c r="ES181" i="27"/>
  <c r="EP181" i="27"/>
  <c r="EM181" i="27"/>
  <c r="EJ181" i="27"/>
  <c r="EG181" i="27"/>
  <c r="ED181" i="27"/>
  <c r="EA181" i="27"/>
  <c r="DX181" i="27"/>
  <c r="DU181" i="27"/>
  <c r="DR181" i="27"/>
  <c r="DO181" i="27"/>
  <c r="DL181" i="27"/>
  <c r="DI181" i="27"/>
  <c r="DF181" i="27"/>
  <c r="DC181" i="27"/>
  <c r="CZ181" i="27"/>
  <c r="CW181" i="27"/>
  <c r="CT181" i="27"/>
  <c r="CQ181" i="27"/>
  <c r="CN181" i="27"/>
  <c r="CK181" i="27"/>
  <c r="CH181" i="27"/>
  <c r="CE181" i="27"/>
  <c r="CB181" i="27"/>
  <c r="BY181" i="27"/>
  <c r="BV181" i="27"/>
  <c r="BS181" i="27"/>
  <c r="BP181" i="27"/>
  <c r="BM181" i="27"/>
  <c r="BJ181" i="27"/>
  <c r="BG181" i="27"/>
  <c r="BD181" i="27"/>
  <c r="BA181" i="27"/>
  <c r="AX181" i="27"/>
  <c r="AU181" i="27"/>
  <c r="AR181" i="27"/>
  <c r="AO181" i="27"/>
  <c r="AL181" i="27"/>
  <c r="AI181" i="27"/>
  <c r="AF181" i="27"/>
  <c r="FW180" i="27"/>
  <c r="FV180" i="27"/>
  <c r="FU180" i="27"/>
  <c r="FT180" i="27"/>
  <c r="FS180" i="27"/>
  <c r="FR180" i="27"/>
  <c r="FP180" i="27"/>
  <c r="FO180" i="27"/>
  <c r="FQ180" i="27" s="1"/>
  <c r="FM180" i="27"/>
  <c r="FL180" i="27"/>
  <c r="FN180" i="27" s="1"/>
  <c r="FK180" i="27"/>
  <c r="FJ180" i="27"/>
  <c r="FI180" i="27"/>
  <c r="FH180" i="27"/>
  <c r="FG180" i="27"/>
  <c r="FF180" i="27"/>
  <c r="FD180" i="27"/>
  <c r="FC180" i="27"/>
  <c r="FE180" i="27" s="1"/>
  <c r="FA180" i="27"/>
  <c r="EZ180" i="27"/>
  <c r="FB180" i="27" s="1"/>
  <c r="EY180" i="27"/>
  <c r="EX180" i="27"/>
  <c r="EW180" i="27"/>
  <c r="EV180" i="27"/>
  <c r="EU180" i="27"/>
  <c r="ET180" i="27"/>
  <c r="ER180" i="27"/>
  <c r="EQ180" i="27"/>
  <c r="ES180" i="27" s="1"/>
  <c r="EO180" i="27"/>
  <c r="EN180" i="27"/>
  <c r="EP180" i="27" s="1"/>
  <c r="EM180" i="27"/>
  <c r="EL180" i="27"/>
  <c r="EK180" i="27"/>
  <c r="EJ180" i="27"/>
  <c r="EI180" i="27"/>
  <c r="EH180" i="27"/>
  <c r="EF180" i="27"/>
  <c r="EE180" i="27"/>
  <c r="EG180" i="27" s="1"/>
  <c r="EC180" i="27"/>
  <c r="EB180" i="27"/>
  <c r="ED180" i="27" s="1"/>
  <c r="EA180" i="27"/>
  <c r="DZ180" i="27"/>
  <c r="DY180" i="27"/>
  <c r="DX180" i="27"/>
  <c r="DW180" i="27"/>
  <c r="DV180" i="27"/>
  <c r="DT180" i="27"/>
  <c r="DS180" i="27"/>
  <c r="DU180" i="27" s="1"/>
  <c r="DQ180" i="27"/>
  <c r="DP180" i="27"/>
  <c r="DR180" i="27" s="1"/>
  <c r="DO180" i="27"/>
  <c r="DN180" i="27"/>
  <c r="DM180" i="27"/>
  <c r="DL180" i="27"/>
  <c r="DK180" i="27"/>
  <c r="DJ180" i="27"/>
  <c r="DH180" i="27"/>
  <c r="DG180" i="27"/>
  <c r="DI180" i="27" s="1"/>
  <c r="DE180" i="27"/>
  <c r="DD180" i="27"/>
  <c r="DF180" i="27" s="1"/>
  <c r="DC180" i="27"/>
  <c r="DB180" i="27"/>
  <c r="DA180" i="27"/>
  <c r="CZ180" i="27"/>
  <c r="CY180" i="27"/>
  <c r="CX180" i="27"/>
  <c r="CV180" i="27"/>
  <c r="CU180" i="27"/>
  <c r="CW180" i="27" s="1"/>
  <c r="CS180" i="27"/>
  <c r="CR180" i="27"/>
  <c r="CT180" i="27" s="1"/>
  <c r="CQ180" i="27"/>
  <c r="CP180" i="27"/>
  <c r="CO180" i="27"/>
  <c r="CN180" i="27"/>
  <c r="CM180" i="27"/>
  <c r="CL180" i="27"/>
  <c r="CJ180" i="27"/>
  <c r="CI180" i="27"/>
  <c r="CK180" i="27" s="1"/>
  <c r="CG180" i="27"/>
  <c r="CF180" i="27"/>
  <c r="CH180" i="27" s="1"/>
  <c r="CE180" i="27"/>
  <c r="CD180" i="27"/>
  <c r="CC180" i="27"/>
  <c r="CB180" i="27"/>
  <c r="CA180" i="27"/>
  <c r="BZ180" i="27"/>
  <c r="BX180" i="27"/>
  <c r="BW180" i="27"/>
  <c r="BY180" i="27" s="1"/>
  <c r="BU180" i="27"/>
  <c r="BT180" i="27"/>
  <c r="BV180" i="27" s="1"/>
  <c r="BS180" i="27"/>
  <c r="BR180" i="27"/>
  <c r="BQ180" i="27"/>
  <c r="BP180" i="27"/>
  <c r="BO180" i="27"/>
  <c r="BN180" i="27"/>
  <c r="BL180" i="27"/>
  <c r="BK180" i="27"/>
  <c r="BM180" i="27" s="1"/>
  <c r="BI180" i="27"/>
  <c r="BH180" i="27"/>
  <c r="BJ180" i="27" s="1"/>
  <c r="FW178" i="27"/>
  <c r="FT178" i="27"/>
  <c r="FQ178" i="27"/>
  <c r="FN178" i="27"/>
  <c r="FK178" i="27"/>
  <c r="FH178" i="27"/>
  <c r="FE178" i="27"/>
  <c r="FB178" i="27"/>
  <c r="EY178" i="27"/>
  <c r="EV178" i="27"/>
  <c r="ES178" i="27"/>
  <c r="EP178" i="27"/>
  <c r="EM178" i="27"/>
  <c r="EJ178" i="27"/>
  <c r="EG178" i="27"/>
  <c r="ED178" i="27"/>
  <c r="EA178" i="27"/>
  <c r="DX178" i="27"/>
  <c r="DU178" i="27"/>
  <c r="DR178" i="27"/>
  <c r="DO178" i="27"/>
  <c r="DL178" i="27"/>
  <c r="DI178" i="27"/>
  <c r="DF178" i="27"/>
  <c r="DC178" i="27"/>
  <c r="CZ178" i="27"/>
  <c r="CW178" i="27"/>
  <c r="CT178" i="27"/>
  <c r="CQ178" i="27"/>
  <c r="CN178" i="27"/>
  <c r="CK178" i="27"/>
  <c r="CH178" i="27"/>
  <c r="CE178" i="27"/>
  <c r="CB178" i="27"/>
  <c r="BY178" i="27"/>
  <c r="BV178" i="27"/>
  <c r="BS178" i="27"/>
  <c r="BP178" i="27"/>
  <c r="BM178" i="27"/>
  <c r="BJ178" i="27"/>
  <c r="BG178" i="27"/>
  <c r="BD178" i="27"/>
  <c r="BA178" i="27"/>
  <c r="AX178" i="27"/>
  <c r="AU178" i="27"/>
  <c r="AR178" i="27"/>
  <c r="AO178" i="27"/>
  <c r="AL178" i="27"/>
  <c r="AI178" i="27"/>
  <c r="AF178" i="27"/>
  <c r="FW177" i="27"/>
  <c r="FT177" i="27"/>
  <c r="FQ177" i="27"/>
  <c r="FN177" i="27"/>
  <c r="FK177" i="27"/>
  <c r="FH177" i="27"/>
  <c r="FE177" i="27"/>
  <c r="FB177" i="27"/>
  <c r="EY177" i="27"/>
  <c r="EV177" i="27"/>
  <c r="ES177" i="27"/>
  <c r="EP177" i="27"/>
  <c r="EM177" i="27"/>
  <c r="EJ177" i="27"/>
  <c r="EG177" i="27"/>
  <c r="ED177" i="27"/>
  <c r="EA177" i="27"/>
  <c r="DX177" i="27"/>
  <c r="DU177" i="27"/>
  <c r="DR177" i="27"/>
  <c r="DO177" i="27"/>
  <c r="DL177" i="27"/>
  <c r="DI177" i="27"/>
  <c r="DF177" i="27"/>
  <c r="DC177" i="27"/>
  <c r="CZ177" i="27"/>
  <c r="CW177" i="27"/>
  <c r="CT177" i="27"/>
  <c r="CQ177" i="27"/>
  <c r="CN177" i="27"/>
  <c r="CK177" i="27"/>
  <c r="CH177" i="27"/>
  <c r="CE177" i="27"/>
  <c r="CB177" i="27"/>
  <c r="BY177" i="27"/>
  <c r="BV177" i="27"/>
  <c r="BS177" i="27"/>
  <c r="BP177" i="27"/>
  <c r="BM177" i="27"/>
  <c r="BJ177" i="27"/>
  <c r="BG177" i="27"/>
  <c r="BD177" i="27"/>
  <c r="BA177" i="27"/>
  <c r="AX177" i="27"/>
  <c r="AU177" i="27"/>
  <c r="AR177" i="27"/>
  <c r="AO177" i="27"/>
  <c r="AL177" i="27"/>
  <c r="AI177" i="27"/>
  <c r="AF177" i="27"/>
  <c r="AB177" i="27"/>
  <c r="FW176" i="27"/>
  <c r="FT176" i="27"/>
  <c r="FQ176" i="27"/>
  <c r="FN176" i="27"/>
  <c r="FK176" i="27"/>
  <c r="FH176" i="27"/>
  <c r="FE176" i="27"/>
  <c r="FB176" i="27"/>
  <c r="EY176" i="27"/>
  <c r="EV176" i="27"/>
  <c r="ES176" i="27"/>
  <c r="EP176" i="27"/>
  <c r="EM176" i="27"/>
  <c r="EJ176" i="27"/>
  <c r="EG176" i="27"/>
  <c r="ED176" i="27"/>
  <c r="EA176" i="27"/>
  <c r="DX176" i="27"/>
  <c r="DU176" i="27"/>
  <c r="DR176" i="27"/>
  <c r="DO176" i="27"/>
  <c r="DL176" i="27"/>
  <c r="DI176" i="27"/>
  <c r="DF176" i="27"/>
  <c r="DC176" i="27"/>
  <c r="CZ176" i="27"/>
  <c r="CW176" i="27"/>
  <c r="CT176" i="27"/>
  <c r="CQ176" i="27"/>
  <c r="CN176" i="27"/>
  <c r="CK176" i="27"/>
  <c r="CH176" i="27"/>
  <c r="CE176" i="27"/>
  <c r="CB176" i="27"/>
  <c r="BY176" i="27"/>
  <c r="BV176" i="27"/>
  <c r="BS176" i="27"/>
  <c r="BP176" i="27"/>
  <c r="BM176" i="27"/>
  <c r="BJ176" i="27"/>
  <c r="FW175" i="27"/>
  <c r="FT175" i="27"/>
  <c r="FQ175" i="27"/>
  <c r="FN175" i="27"/>
  <c r="FK175" i="27"/>
  <c r="FH175" i="27"/>
  <c r="FE175" i="27"/>
  <c r="FB175" i="27"/>
  <c r="EY175" i="27"/>
  <c r="EV175" i="27"/>
  <c r="ES175" i="27"/>
  <c r="EP175" i="27"/>
  <c r="EM175" i="27"/>
  <c r="EJ175" i="27"/>
  <c r="EG175" i="27"/>
  <c r="ED175" i="27"/>
  <c r="EA175" i="27"/>
  <c r="DX175" i="27"/>
  <c r="DU175" i="27"/>
  <c r="DR175" i="27"/>
  <c r="DO175" i="27"/>
  <c r="DL175" i="27"/>
  <c r="DI175" i="27"/>
  <c r="DF175" i="27"/>
  <c r="DC175" i="27"/>
  <c r="CZ175" i="27"/>
  <c r="CW175" i="27"/>
  <c r="CT175" i="27"/>
  <c r="CQ175" i="27"/>
  <c r="CN175" i="27"/>
  <c r="CK175" i="27"/>
  <c r="CH175" i="27"/>
  <c r="CE175" i="27"/>
  <c r="CB175" i="27"/>
  <c r="BY175" i="27"/>
  <c r="BV175" i="27"/>
  <c r="BS175" i="27"/>
  <c r="BP175" i="27"/>
  <c r="BM175" i="27"/>
  <c r="BJ175" i="27"/>
  <c r="BG175" i="27"/>
  <c r="BD175" i="27"/>
  <c r="BA175" i="27"/>
  <c r="AX175" i="27"/>
  <c r="AU175" i="27"/>
  <c r="AR175" i="27"/>
  <c r="AO175" i="27"/>
  <c r="AL175" i="27"/>
  <c r="AI175" i="27"/>
  <c r="AF175" i="27"/>
  <c r="FV174" i="27"/>
  <c r="FU174" i="27"/>
  <c r="FW174" i="27" s="1"/>
  <c r="FT174" i="27"/>
  <c r="FS174" i="27"/>
  <c r="FR174" i="27"/>
  <c r="FP174" i="27"/>
  <c r="FO174" i="27"/>
  <c r="FQ174" i="27" s="1"/>
  <c r="FM174" i="27"/>
  <c r="FL174" i="27"/>
  <c r="FN174" i="27" s="1"/>
  <c r="FJ174" i="27"/>
  <c r="FI174" i="27"/>
  <c r="FK174" i="27" s="1"/>
  <c r="FH174" i="27"/>
  <c r="FG174" i="27"/>
  <c r="FF174" i="27"/>
  <c r="FD174" i="27"/>
  <c r="FC174" i="27"/>
  <c r="FE174" i="27" s="1"/>
  <c r="FA174" i="27"/>
  <c r="EZ174" i="27"/>
  <c r="FB174" i="27" s="1"/>
  <c r="EX174" i="27"/>
  <c r="EW174" i="27"/>
  <c r="EY174" i="27" s="1"/>
  <c r="EV174" i="27"/>
  <c r="EU174" i="27"/>
  <c r="ET174" i="27"/>
  <c r="ER174" i="27"/>
  <c r="EQ174" i="27"/>
  <c r="ES174" i="27" s="1"/>
  <c r="EO174" i="27"/>
  <c r="EN174" i="27"/>
  <c r="EP174" i="27" s="1"/>
  <c r="EL174" i="27"/>
  <c r="EK174" i="27"/>
  <c r="EM174" i="27" s="1"/>
  <c r="EJ174" i="27"/>
  <c r="EI174" i="27"/>
  <c r="EH174" i="27"/>
  <c r="EF174" i="27"/>
  <c r="EE174" i="27"/>
  <c r="EG174" i="27" s="1"/>
  <c r="EC174" i="27"/>
  <c r="EB174" i="27"/>
  <c r="ED174" i="27" s="1"/>
  <c r="DZ174" i="27"/>
  <c r="DY174" i="27"/>
  <c r="EA174" i="27" s="1"/>
  <c r="DX174" i="27"/>
  <c r="DW174" i="27"/>
  <c r="DV174" i="27"/>
  <c r="DT174" i="27"/>
  <c r="DS174" i="27"/>
  <c r="DU174" i="27" s="1"/>
  <c r="DQ174" i="27"/>
  <c r="DP174" i="27"/>
  <c r="DR174" i="27" s="1"/>
  <c r="DN174" i="27"/>
  <c r="DM174" i="27"/>
  <c r="DO174" i="27" s="1"/>
  <c r="DL174" i="27"/>
  <c r="DK174" i="27"/>
  <c r="DJ174" i="27"/>
  <c r="DH174" i="27"/>
  <c r="DG174" i="27"/>
  <c r="DI174" i="27" s="1"/>
  <c r="DE174" i="27"/>
  <c r="DD174" i="27"/>
  <c r="DF174" i="27" s="1"/>
  <c r="DB174" i="27"/>
  <c r="DA174" i="27"/>
  <c r="DC174" i="27" s="1"/>
  <c r="CZ174" i="27"/>
  <c r="CY174" i="27"/>
  <c r="CX174" i="27"/>
  <c r="CV174" i="27"/>
  <c r="CU174" i="27"/>
  <c r="CW174" i="27" s="1"/>
  <c r="CS174" i="27"/>
  <c r="CR174" i="27"/>
  <c r="CT174" i="27" s="1"/>
  <c r="CQ174" i="27"/>
  <c r="CP174" i="27"/>
  <c r="CO174" i="27"/>
  <c r="CN174" i="27"/>
  <c r="CM174" i="27"/>
  <c r="CL174" i="27"/>
  <c r="CJ174" i="27"/>
  <c r="CI174" i="27"/>
  <c r="CK174" i="27" s="1"/>
  <c r="CG174" i="27"/>
  <c r="CF174" i="27"/>
  <c r="CH174" i="27" s="1"/>
  <c r="CE174" i="27"/>
  <c r="CD174" i="27"/>
  <c r="CC174" i="27"/>
  <c r="CB174" i="27"/>
  <c r="CA174" i="27"/>
  <c r="BZ174" i="27"/>
  <c r="BX174" i="27"/>
  <c r="BW174" i="27"/>
  <c r="BY174" i="27" s="1"/>
  <c r="BU174" i="27"/>
  <c r="BT174" i="27"/>
  <c r="BV174" i="27" s="1"/>
  <c r="BS174" i="27"/>
  <c r="BR174" i="27"/>
  <c r="BQ174" i="27"/>
  <c r="BP174" i="27"/>
  <c r="BO174" i="27"/>
  <c r="BN174" i="27"/>
  <c r="BL174" i="27"/>
  <c r="BK174" i="27"/>
  <c r="BM174" i="27" s="1"/>
  <c r="BI174" i="27"/>
  <c r="BH174" i="27"/>
  <c r="BJ174" i="27" s="1"/>
  <c r="FW170" i="27"/>
  <c r="FT170" i="27"/>
  <c r="FQ170" i="27"/>
  <c r="FN170" i="27"/>
  <c r="FK170" i="27"/>
  <c r="FH170" i="27"/>
  <c r="FE170" i="27"/>
  <c r="FB170" i="27"/>
  <c r="EY170" i="27"/>
  <c r="EV170" i="27"/>
  <c r="ES170" i="27"/>
  <c r="EP170" i="27"/>
  <c r="EM170" i="27"/>
  <c r="EJ170" i="27"/>
  <c r="EG170" i="27"/>
  <c r="ED170" i="27"/>
  <c r="EA170" i="27"/>
  <c r="DX170" i="27"/>
  <c r="DU170" i="27"/>
  <c r="DR170" i="27"/>
  <c r="DO170" i="27"/>
  <c r="DL170" i="27"/>
  <c r="DI170" i="27"/>
  <c r="DF170" i="27"/>
  <c r="DC170" i="27"/>
  <c r="CZ170" i="27"/>
  <c r="CW170" i="27"/>
  <c r="CT170" i="27"/>
  <c r="CQ170" i="27"/>
  <c r="CN170" i="27"/>
  <c r="CK170" i="27"/>
  <c r="CH170" i="27"/>
  <c r="CE170" i="27"/>
  <c r="CB170" i="27"/>
  <c r="BY170" i="27"/>
  <c r="BV170" i="27"/>
  <c r="BS170" i="27"/>
  <c r="BP170" i="27"/>
  <c r="BM170" i="27"/>
  <c r="BJ170" i="27"/>
  <c r="BG170" i="27"/>
  <c r="BD170" i="27"/>
  <c r="BA170" i="27"/>
  <c r="AX170" i="27"/>
  <c r="AU170" i="27"/>
  <c r="AR170" i="27"/>
  <c r="AO170" i="27"/>
  <c r="AL170" i="27"/>
  <c r="AI170" i="27"/>
  <c r="AF170" i="27"/>
  <c r="FW169" i="27"/>
  <c r="FT169" i="27"/>
  <c r="FQ169" i="27"/>
  <c r="FN169" i="27"/>
  <c r="FK169" i="27"/>
  <c r="FH169" i="27"/>
  <c r="FE169" i="27"/>
  <c r="FB169" i="27"/>
  <c r="EY169" i="27"/>
  <c r="EV169" i="27"/>
  <c r="ES169" i="27"/>
  <c r="EP169" i="27"/>
  <c r="EM169" i="27"/>
  <c r="EJ169" i="27"/>
  <c r="EG169" i="27"/>
  <c r="ED169" i="27"/>
  <c r="EA169" i="27"/>
  <c r="DX169" i="27"/>
  <c r="DU169" i="27"/>
  <c r="DR169" i="27"/>
  <c r="DO169" i="27"/>
  <c r="DL169" i="27"/>
  <c r="DI169" i="27"/>
  <c r="DF169" i="27"/>
  <c r="DC169" i="27"/>
  <c r="CZ169" i="27"/>
  <c r="CW169" i="27"/>
  <c r="CT169" i="27"/>
  <c r="CQ169" i="27"/>
  <c r="CN169" i="27"/>
  <c r="CK169" i="27"/>
  <c r="CH169" i="27"/>
  <c r="CE169" i="27"/>
  <c r="CB169" i="27"/>
  <c r="BY169" i="27"/>
  <c r="BV169" i="27"/>
  <c r="BS169" i="27"/>
  <c r="BP169" i="27"/>
  <c r="BM169" i="27"/>
  <c r="BJ169" i="27"/>
  <c r="BG169" i="27"/>
  <c r="BD169" i="27"/>
  <c r="BA169" i="27"/>
  <c r="AX169" i="27"/>
  <c r="AU169" i="27"/>
  <c r="AR169" i="27"/>
  <c r="AO169" i="27"/>
  <c r="AL169" i="27"/>
  <c r="AI169" i="27"/>
  <c r="AF169" i="27"/>
  <c r="GB168" i="27" a="1"/>
  <c r="GB168" i="27"/>
  <c r="FW168" i="27"/>
  <c r="FT168" i="27"/>
  <c r="FQ168" i="27"/>
  <c r="FN168" i="27"/>
  <c r="FK168" i="27"/>
  <c r="FH168" i="27"/>
  <c r="FE168" i="27"/>
  <c r="FB168" i="27"/>
  <c r="EY168" i="27"/>
  <c r="EV168" i="27"/>
  <c r="ES168" i="27"/>
  <c r="EP168" i="27"/>
  <c r="EM168" i="27"/>
  <c r="EJ168" i="27"/>
  <c r="EG168" i="27"/>
  <c r="ED168" i="27"/>
  <c r="EA168" i="27"/>
  <c r="DX168" i="27"/>
  <c r="DU168" i="27"/>
  <c r="DR168" i="27"/>
  <c r="DO168" i="27"/>
  <c r="DL168" i="27"/>
  <c r="DI168" i="27"/>
  <c r="DF168" i="27"/>
  <c r="DC168" i="27"/>
  <c r="CZ168" i="27"/>
  <c r="CW168" i="27"/>
  <c r="CT168" i="27"/>
  <c r="CQ168" i="27"/>
  <c r="CN168" i="27"/>
  <c r="CK168" i="27"/>
  <c r="CH168" i="27"/>
  <c r="CE168" i="27"/>
  <c r="CB168" i="27"/>
  <c r="BY168" i="27"/>
  <c r="BV168" i="27"/>
  <c r="BS168" i="27"/>
  <c r="BP168" i="27"/>
  <c r="BM168" i="27"/>
  <c r="BJ168" i="27"/>
  <c r="BG168" i="27"/>
  <c r="BD168" i="27"/>
  <c r="BA168" i="27"/>
  <c r="AX168" i="27"/>
  <c r="AU168" i="27"/>
  <c r="AR168" i="27"/>
  <c r="AO168" i="27"/>
  <c r="AL168" i="27"/>
  <c r="AI168" i="27"/>
  <c r="AF168" i="27"/>
  <c r="I168" i="27" a="1"/>
  <c r="I168" i="27" s="1"/>
  <c r="I170" i="27" s="1" a="1"/>
  <c r="I170" i="27" s="1"/>
  <c r="FW167" i="27"/>
  <c r="FT167" i="27"/>
  <c r="FQ167" i="27"/>
  <c r="FN167" i="27"/>
  <c r="FK167" i="27"/>
  <c r="FH167" i="27"/>
  <c r="FE167" i="27"/>
  <c r="FB167" i="27"/>
  <c r="EY167" i="27"/>
  <c r="EV167" i="27"/>
  <c r="ES167" i="27"/>
  <c r="EP167" i="27"/>
  <c r="EM167" i="27"/>
  <c r="EJ167" i="27"/>
  <c r="EG167" i="27"/>
  <c r="ED167" i="27"/>
  <c r="EA167" i="27"/>
  <c r="DX167" i="27"/>
  <c r="DU167" i="27"/>
  <c r="DR167" i="27"/>
  <c r="DO167" i="27"/>
  <c r="DL167" i="27"/>
  <c r="DI167" i="27"/>
  <c r="DF167" i="27"/>
  <c r="DC167" i="27"/>
  <c r="CZ167" i="27"/>
  <c r="CW167" i="27"/>
  <c r="CT167" i="27"/>
  <c r="CQ167" i="27"/>
  <c r="CN167" i="27"/>
  <c r="CK167" i="27"/>
  <c r="CH167" i="27"/>
  <c r="CE167" i="27"/>
  <c r="CB167" i="27"/>
  <c r="BY167" i="27"/>
  <c r="BV167" i="27"/>
  <c r="BS167" i="27"/>
  <c r="BP167" i="27"/>
  <c r="BM167" i="27"/>
  <c r="BJ167" i="27"/>
  <c r="FV166" i="27"/>
  <c r="FU166" i="27"/>
  <c r="FS166" i="27"/>
  <c r="FR166" i="27"/>
  <c r="FP166" i="27"/>
  <c r="FO166" i="27"/>
  <c r="FM166" i="27"/>
  <c r="FL166" i="27"/>
  <c r="FJ166" i="27"/>
  <c r="FI166" i="27"/>
  <c r="FG166" i="27"/>
  <c r="FF166" i="27"/>
  <c r="FD166" i="27"/>
  <c r="FC166" i="27"/>
  <c r="FA166" i="27"/>
  <c r="EZ166" i="27"/>
  <c r="EX166" i="27"/>
  <c r="EW166" i="27"/>
  <c r="EU166" i="27"/>
  <c r="ET166" i="27"/>
  <c r="ER166" i="27"/>
  <c r="EQ166" i="27"/>
  <c r="EO166" i="27"/>
  <c r="EN166" i="27"/>
  <c r="EL166" i="27"/>
  <c r="EK166" i="27"/>
  <c r="EI166" i="27"/>
  <c r="EH166" i="27"/>
  <c r="EF166" i="27"/>
  <c r="EE166" i="27"/>
  <c r="EC166" i="27"/>
  <c r="EB166" i="27"/>
  <c r="DZ166" i="27"/>
  <c r="DY166" i="27"/>
  <c r="DW166" i="27"/>
  <c r="DV166" i="27"/>
  <c r="DT166" i="27"/>
  <c r="DS166" i="27"/>
  <c r="DQ166" i="27"/>
  <c r="DP166" i="27"/>
  <c r="DN166" i="27"/>
  <c r="DM166" i="27"/>
  <c r="DK166" i="27"/>
  <c r="DJ166" i="27"/>
  <c r="DH166" i="27"/>
  <c r="DG166" i="27"/>
  <c r="DE166" i="27"/>
  <c r="DD166" i="27"/>
  <c r="DB166" i="27"/>
  <c r="DA166" i="27"/>
  <c r="CY166" i="27"/>
  <c r="CX166" i="27"/>
  <c r="CV166" i="27"/>
  <c r="CU166" i="27"/>
  <c r="CS166" i="27"/>
  <c r="CR166" i="27"/>
  <c r="CP166" i="27"/>
  <c r="CO166" i="27"/>
  <c r="CM166" i="27"/>
  <c r="CL166" i="27"/>
  <c r="CJ166" i="27"/>
  <c r="CI166" i="27"/>
  <c r="CG166" i="27"/>
  <c r="CF166" i="27"/>
  <c r="CD166" i="27"/>
  <c r="CC166" i="27"/>
  <c r="CA166" i="27"/>
  <c r="BZ166" i="27"/>
  <c r="BX166" i="27"/>
  <c r="BW166" i="27"/>
  <c r="BU166" i="27"/>
  <c r="BT166" i="27"/>
  <c r="BR166" i="27"/>
  <c r="BQ166" i="27"/>
  <c r="BO166" i="27"/>
  <c r="BN166" i="27"/>
  <c r="BL166" i="27"/>
  <c r="BK166" i="27"/>
  <c r="BI166" i="27"/>
  <c r="BH166" i="27"/>
  <c r="FW165" i="27"/>
  <c r="FT165" i="27"/>
  <c r="FQ165" i="27"/>
  <c r="FN165" i="27"/>
  <c r="FK165" i="27"/>
  <c r="FH165" i="27"/>
  <c r="FE165" i="27"/>
  <c r="FB165" i="27"/>
  <c r="EY165" i="27"/>
  <c r="EV165" i="27"/>
  <c r="ES165" i="27"/>
  <c r="EP165" i="27"/>
  <c r="EM165" i="27"/>
  <c r="EJ165" i="27"/>
  <c r="EG165" i="27"/>
  <c r="ED165" i="27"/>
  <c r="EA165" i="27"/>
  <c r="DX165" i="27"/>
  <c r="DU165" i="27"/>
  <c r="DR165" i="27"/>
  <c r="DO165" i="27"/>
  <c r="DL165" i="27"/>
  <c r="DI165" i="27"/>
  <c r="DF165" i="27"/>
  <c r="DC165" i="27"/>
  <c r="CZ165" i="27"/>
  <c r="CW165" i="27"/>
  <c r="CT165" i="27"/>
  <c r="CQ165" i="27"/>
  <c r="CN165" i="27"/>
  <c r="CK165" i="27"/>
  <c r="CH165" i="27"/>
  <c r="CE165" i="27"/>
  <c r="CB165" i="27"/>
  <c r="BY165" i="27"/>
  <c r="BV165" i="27"/>
  <c r="BS165" i="27"/>
  <c r="BP165" i="27"/>
  <c r="BM165" i="27"/>
  <c r="BJ165" i="27"/>
  <c r="FW164" i="27"/>
  <c r="FT164" i="27"/>
  <c r="FQ164" i="27"/>
  <c r="FN164" i="27"/>
  <c r="FK164" i="27"/>
  <c r="FH164" i="27"/>
  <c r="FE164" i="27"/>
  <c r="FB164" i="27"/>
  <c r="EY164" i="27"/>
  <c r="EV164" i="27"/>
  <c r="ES164" i="27"/>
  <c r="EP164" i="27"/>
  <c r="EM164" i="27"/>
  <c r="EJ164" i="27"/>
  <c r="EG164" i="27"/>
  <c r="ED164" i="27"/>
  <c r="EA164" i="27"/>
  <c r="DX164" i="27"/>
  <c r="DU164" i="27"/>
  <c r="DR164" i="27"/>
  <c r="DO164" i="27"/>
  <c r="DL164" i="27"/>
  <c r="DI164" i="27"/>
  <c r="DF164" i="27"/>
  <c r="DC164" i="27"/>
  <c r="CZ164" i="27"/>
  <c r="CW164" i="27"/>
  <c r="CT164" i="27"/>
  <c r="CQ164" i="27"/>
  <c r="CN164" i="27"/>
  <c r="CK164" i="27"/>
  <c r="CH164" i="27"/>
  <c r="CE164" i="27"/>
  <c r="CB164" i="27"/>
  <c r="BY164" i="27"/>
  <c r="BV164" i="27"/>
  <c r="BS164" i="27"/>
  <c r="BP164" i="27"/>
  <c r="BM164" i="27"/>
  <c r="BJ164" i="27"/>
  <c r="FW163" i="27"/>
  <c r="FT163" i="27"/>
  <c r="FQ163" i="27"/>
  <c r="FN163" i="27"/>
  <c r="FK163" i="27"/>
  <c r="FH163" i="27"/>
  <c r="FE163" i="27"/>
  <c r="FB163" i="27"/>
  <c r="EY163" i="27"/>
  <c r="EV163" i="27"/>
  <c r="ES163" i="27"/>
  <c r="EP163" i="27"/>
  <c r="EM163" i="27"/>
  <c r="EJ163" i="27"/>
  <c r="EG163" i="27"/>
  <c r="ED163" i="27"/>
  <c r="EA163" i="27"/>
  <c r="DX163" i="27"/>
  <c r="DU163" i="27"/>
  <c r="DR163" i="27"/>
  <c r="DO163" i="27"/>
  <c r="DL163" i="27"/>
  <c r="DI163" i="27"/>
  <c r="DF163" i="27"/>
  <c r="DC163" i="27"/>
  <c r="CZ163" i="27"/>
  <c r="CW163" i="27"/>
  <c r="CT163" i="27"/>
  <c r="CQ163" i="27"/>
  <c r="CN163" i="27"/>
  <c r="CK163" i="27"/>
  <c r="CH163" i="27"/>
  <c r="CE163" i="27"/>
  <c r="CB163" i="27"/>
  <c r="BY163" i="27"/>
  <c r="BV163" i="27"/>
  <c r="BS163" i="27"/>
  <c r="BP163" i="27"/>
  <c r="BM163" i="27"/>
  <c r="BJ163" i="27"/>
  <c r="FV162" i="27"/>
  <c r="FU162" i="27"/>
  <c r="FS162" i="27"/>
  <c r="FR162" i="27"/>
  <c r="FP162" i="27"/>
  <c r="FO162" i="27"/>
  <c r="FM162" i="27"/>
  <c r="FL162" i="27"/>
  <c r="FJ162" i="27"/>
  <c r="FI162" i="27"/>
  <c r="FG162" i="27"/>
  <c r="FF162" i="27"/>
  <c r="FD162" i="27"/>
  <c r="FC162" i="27"/>
  <c r="FA162" i="27"/>
  <c r="EZ162" i="27"/>
  <c r="EX162" i="27"/>
  <c r="EW162" i="27"/>
  <c r="EU162" i="27"/>
  <c r="ET162" i="27"/>
  <c r="ER162" i="27"/>
  <c r="EQ162" i="27"/>
  <c r="EO162" i="27"/>
  <c r="EN162" i="27"/>
  <c r="EL162" i="27"/>
  <c r="EK162" i="27"/>
  <c r="EI162" i="27"/>
  <c r="EH162" i="27"/>
  <c r="EF162" i="27"/>
  <c r="EE162" i="27"/>
  <c r="EC162" i="27"/>
  <c r="EB162" i="27"/>
  <c r="DZ162" i="27"/>
  <c r="DY162" i="27"/>
  <c r="DW162" i="27"/>
  <c r="DV162" i="27"/>
  <c r="DT162" i="27"/>
  <c r="DS162" i="27"/>
  <c r="DQ162" i="27"/>
  <c r="DP162" i="27"/>
  <c r="DN162" i="27"/>
  <c r="DM162" i="27"/>
  <c r="DK162" i="27"/>
  <c r="DJ162" i="27"/>
  <c r="DH162" i="27"/>
  <c r="DG162" i="27"/>
  <c r="DE162" i="27"/>
  <c r="DD162" i="27"/>
  <c r="DB162" i="27"/>
  <c r="DA162" i="27"/>
  <c r="CY162" i="27"/>
  <c r="CX162" i="27"/>
  <c r="CV162" i="27"/>
  <c r="CU162" i="27"/>
  <c r="CS162" i="27"/>
  <c r="CR162" i="27"/>
  <c r="CP162" i="27"/>
  <c r="CO162" i="27"/>
  <c r="CM162" i="27"/>
  <c r="CL162" i="27"/>
  <c r="CJ162" i="27"/>
  <c r="CI162" i="27"/>
  <c r="CG162" i="27"/>
  <c r="CF162" i="27"/>
  <c r="CD162" i="27"/>
  <c r="CC162" i="27"/>
  <c r="CA162" i="27"/>
  <c r="BZ162" i="27"/>
  <c r="BX162" i="27"/>
  <c r="BW162" i="27"/>
  <c r="BU162" i="27"/>
  <c r="BT162" i="27"/>
  <c r="BR162" i="27"/>
  <c r="BQ162" i="27"/>
  <c r="BO162" i="27"/>
  <c r="BN162" i="27"/>
  <c r="BL162" i="27"/>
  <c r="BK162" i="27"/>
  <c r="BI162" i="27"/>
  <c r="BH162" i="27"/>
  <c r="FW161" i="27"/>
  <c r="FT161" i="27"/>
  <c r="FQ161" i="27"/>
  <c r="FN161" i="27"/>
  <c r="FK161" i="27"/>
  <c r="FH161" i="27"/>
  <c r="FE161" i="27"/>
  <c r="FB161" i="27"/>
  <c r="EY161" i="27"/>
  <c r="EV161" i="27"/>
  <c r="ES161" i="27"/>
  <c r="EP161" i="27"/>
  <c r="EM161" i="27"/>
  <c r="EJ161" i="27"/>
  <c r="EG161" i="27"/>
  <c r="ED161" i="27"/>
  <c r="EA161" i="27"/>
  <c r="DX161" i="27"/>
  <c r="DU161" i="27"/>
  <c r="DR161" i="27"/>
  <c r="DO161" i="27"/>
  <c r="DL161" i="27"/>
  <c r="DI161" i="27"/>
  <c r="DF161" i="27"/>
  <c r="DC161" i="27"/>
  <c r="CZ161" i="27"/>
  <c r="CW161" i="27"/>
  <c r="CT161" i="27"/>
  <c r="CQ161" i="27"/>
  <c r="CN161" i="27"/>
  <c r="CK161" i="27"/>
  <c r="CH161" i="27"/>
  <c r="CE161" i="27"/>
  <c r="CB161" i="27"/>
  <c r="BY161" i="27"/>
  <c r="BV161" i="27"/>
  <c r="BS161" i="27"/>
  <c r="BP161" i="27"/>
  <c r="BM161" i="27"/>
  <c r="BJ161" i="27"/>
  <c r="FW160" i="27"/>
  <c r="FT160" i="27"/>
  <c r="FQ160" i="27"/>
  <c r="FN160" i="27"/>
  <c r="FK160" i="27"/>
  <c r="FH160" i="27"/>
  <c r="FE160" i="27"/>
  <c r="FB160" i="27"/>
  <c r="EY160" i="27"/>
  <c r="EV160" i="27"/>
  <c r="ES160" i="27"/>
  <c r="EP160" i="27"/>
  <c r="EM160" i="27"/>
  <c r="EJ160" i="27"/>
  <c r="EG160" i="27"/>
  <c r="ED160" i="27"/>
  <c r="EA160" i="27"/>
  <c r="DX160" i="27"/>
  <c r="DU160" i="27"/>
  <c r="DR160" i="27"/>
  <c r="DO160" i="27"/>
  <c r="DL160" i="27"/>
  <c r="DI160" i="27"/>
  <c r="DF160" i="27"/>
  <c r="DC160" i="27"/>
  <c r="CZ160" i="27"/>
  <c r="CW160" i="27"/>
  <c r="CT160" i="27"/>
  <c r="CQ160" i="27"/>
  <c r="CN160" i="27"/>
  <c r="CK160" i="27"/>
  <c r="CH160" i="27"/>
  <c r="CE160" i="27"/>
  <c r="CB160" i="27"/>
  <c r="BY160" i="27"/>
  <c r="BV160" i="27"/>
  <c r="BS160" i="27"/>
  <c r="BP160" i="27"/>
  <c r="BM160" i="27"/>
  <c r="BJ160" i="27"/>
  <c r="T155" i="27"/>
  <c r="T156" i="27" s="1" a="1"/>
  <c r="T156" i="27" s="1"/>
  <c r="T157" i="27" s="1" a="1"/>
  <c r="T157" i="27" s="1"/>
  <c r="T158" i="27" s="1" a="1"/>
  <c r="T158" i="27" s="1"/>
  <c r="T159" i="27" s="1" a="1"/>
  <c r="T159" i="27" s="1"/>
  <c r="T160" i="27" s="1" a="1"/>
  <c r="T160" i="27" s="1"/>
  <c r="T161" i="27" s="1" a="1"/>
  <c r="T161" i="27" s="1"/>
  <c r="T162" i="27" s="1" a="1"/>
  <c r="T162" i="27" s="1"/>
  <c r="T163" i="27" s="1" a="1"/>
  <c r="T163" i="27" s="1"/>
  <c r="T164" i="27" s="1" a="1"/>
  <c r="T164" i="27" s="1"/>
  <c r="T165" i="27" s="1" a="1"/>
  <c r="T165" i="27" s="1"/>
  <c r="T166" i="27" s="1" a="1"/>
  <c r="T166" i="27" s="1"/>
  <c r="T167" i="27" s="1" a="1"/>
  <c r="T167" i="27" s="1"/>
  <c r="Q155" i="27" a="1"/>
  <c r="Q155" i="27"/>
  <c r="AB187" i="27" s="1"/>
  <c r="F155" i="27" a="1"/>
  <c r="F155" i="27"/>
  <c r="F156" i="27" s="1" a="1"/>
  <c r="F156" i="27" s="1"/>
  <c r="F157" i="27" s="1" a="1"/>
  <c r="F157" i="27" s="1"/>
  <c r="F158" i="27" s="1" a="1"/>
  <c r="F158" i="27" s="1"/>
  <c r="F159" i="27" s="1" a="1"/>
  <c r="F159" i="27" s="1"/>
  <c r="F160" i="27" s="1" a="1"/>
  <c r="F160" i="27" s="1"/>
  <c r="F161" i="27" s="1" a="1"/>
  <c r="F161" i="27" s="1"/>
  <c r="F162" i="27" s="1" a="1"/>
  <c r="F162" i="27" s="1"/>
  <c r="F163" i="27" s="1" a="1"/>
  <c r="F163" i="27" s="1"/>
  <c r="F164" i="27" s="1" a="1"/>
  <c r="F164" i="27" s="1"/>
  <c r="F165" i="27" s="1" a="1"/>
  <c r="F165" i="27" s="1"/>
  <c r="F166" i="27" s="1" a="1"/>
  <c r="F166" i="27" s="1"/>
  <c r="F167" i="27" s="1" a="1"/>
  <c r="F167" i="27" s="1"/>
  <c r="F168" i="27" s="1" a="1"/>
  <c r="F168" i="27" s="1"/>
  <c r="GB152" i="27" a="1"/>
  <c r="GB152" i="27" s="1"/>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s="1"/>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V135" i="27"/>
  <c r="FU135" i="27"/>
  <c r="FW135" i="27" s="1"/>
  <c r="FS135" i="27"/>
  <c r="FR135" i="27"/>
  <c r="FT135" i="27" s="1"/>
  <c r="FQ135" i="27"/>
  <c r="FP135" i="27"/>
  <c r="FO135" i="27"/>
  <c r="FM135" i="27"/>
  <c r="FL135" i="27"/>
  <c r="FN135" i="27" s="1"/>
  <c r="FJ135" i="27"/>
  <c r="FI135" i="27"/>
  <c r="FK135" i="27" s="1"/>
  <c r="FG135" i="27"/>
  <c r="FF135" i="27"/>
  <c r="FH135" i="27" s="1"/>
  <c r="FE135" i="27"/>
  <c r="FD135" i="27"/>
  <c r="FC135" i="27"/>
  <c r="FB135" i="27"/>
  <c r="FA135" i="27"/>
  <c r="EZ135" i="27"/>
  <c r="EX135" i="27"/>
  <c r="EW135" i="27"/>
  <c r="EY135" i="27" s="1"/>
  <c r="EU135" i="27"/>
  <c r="ET135" i="27"/>
  <c r="EV135" i="27" s="1"/>
  <c r="ES135" i="27"/>
  <c r="ER135" i="27"/>
  <c r="EQ135" i="27"/>
  <c r="EO135" i="27"/>
  <c r="EN135" i="27"/>
  <c r="EP135" i="27" s="1"/>
  <c r="EL135" i="27"/>
  <c r="EK135" i="27"/>
  <c r="EM135" i="27" s="1"/>
  <c r="EI135" i="27"/>
  <c r="EH135" i="27"/>
  <c r="EJ135" i="27" s="1"/>
  <c r="EG135" i="27"/>
  <c r="EF135" i="27"/>
  <c r="EE135" i="27"/>
  <c r="EC135" i="27"/>
  <c r="EB135" i="27"/>
  <c r="ED135" i="27" s="1"/>
  <c r="DZ135" i="27"/>
  <c r="DY135" i="27"/>
  <c r="EA135" i="27" s="1"/>
  <c r="DW135" i="27"/>
  <c r="DV135" i="27"/>
  <c r="DX135" i="27" s="1"/>
  <c r="DU135" i="27"/>
  <c r="DT135" i="27"/>
  <c r="DS135" i="27"/>
  <c r="DR135" i="27"/>
  <c r="DQ135" i="27"/>
  <c r="DP135" i="27"/>
  <c r="DN135" i="27"/>
  <c r="DM135" i="27"/>
  <c r="DO135" i="27" s="1"/>
  <c r="DK135" i="27"/>
  <c r="DJ135" i="27"/>
  <c r="DL135" i="27" s="1"/>
  <c r="DI135" i="27"/>
  <c r="DH135" i="27"/>
  <c r="DG135" i="27"/>
  <c r="DF135" i="27"/>
  <c r="DE135" i="27"/>
  <c r="DD135" i="27"/>
  <c r="DB135" i="27"/>
  <c r="DA135" i="27"/>
  <c r="DC135" i="27" s="1"/>
  <c r="CY135" i="27"/>
  <c r="CX135" i="27"/>
  <c r="CZ135" i="27" s="1"/>
  <c r="CW135" i="27"/>
  <c r="CV135" i="27"/>
  <c r="CU135" i="27"/>
  <c r="CT135" i="27"/>
  <c r="CS135" i="27"/>
  <c r="CR135" i="27"/>
  <c r="CP135" i="27"/>
  <c r="CO135" i="27"/>
  <c r="CQ135" i="27" s="1"/>
  <c r="CM135" i="27"/>
  <c r="CL135" i="27"/>
  <c r="CN135" i="27" s="1"/>
  <c r="CK135" i="27"/>
  <c r="CJ135" i="27"/>
  <c r="CI135" i="27"/>
  <c r="CH135" i="27"/>
  <c r="CG135" i="27"/>
  <c r="CF135" i="27"/>
  <c r="CD135" i="27"/>
  <c r="CC135" i="27"/>
  <c r="CE135" i="27" s="1"/>
  <c r="CA135" i="27"/>
  <c r="BZ135" i="27"/>
  <c r="CB135" i="27" s="1"/>
  <c r="BY135" i="27"/>
  <c r="BX135" i="27"/>
  <c r="BW135" i="27"/>
  <c r="BV135" i="27"/>
  <c r="BU135" i="27"/>
  <c r="BT135" i="27"/>
  <c r="BR135" i="27"/>
  <c r="BQ135" i="27"/>
  <c r="BS135" i="27" s="1"/>
  <c r="BO135" i="27"/>
  <c r="BN135" i="27"/>
  <c r="BP135" i="27" s="1"/>
  <c r="BM135" i="27"/>
  <c r="BL135" i="27"/>
  <c r="BK135" i="27"/>
  <c r="BJ135" i="27"/>
  <c r="BI135" i="27"/>
  <c r="BH135" i="27"/>
  <c r="BF135" i="27"/>
  <c r="BE135" i="27"/>
  <c r="BG135" i="27" s="1"/>
  <c r="BC135" i="27"/>
  <c r="BB135" i="27"/>
  <c r="BD135" i="27" s="1"/>
  <c r="BA135" i="27"/>
  <c r="AZ135" i="27"/>
  <c r="AY135" i="27"/>
  <c r="AW135" i="27"/>
  <c r="AV135" i="27"/>
  <c r="AX135" i="27" s="1"/>
  <c r="AT135" i="27"/>
  <c r="AS135" i="27"/>
  <c r="AU135" i="27" s="1"/>
  <c r="AQ135" i="27"/>
  <c r="AP135" i="27"/>
  <c r="AR135" i="27" s="1"/>
  <c r="AO135" i="27"/>
  <c r="AN135" i="27"/>
  <c r="AM135" i="27"/>
  <c r="AK135" i="27"/>
  <c r="AJ135" i="27"/>
  <c r="AL135" i="27" s="1"/>
  <c r="AH135" i="27"/>
  <c r="AG135" i="27"/>
  <c r="AI135" i="27" s="1"/>
  <c r="AE135" i="27"/>
  <c r="AD135" i="27"/>
  <c r="AF135" i="27" s="1"/>
  <c r="I135" i="27" a="1"/>
  <c r="I135" i="27" s="1"/>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AB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W129" i="27"/>
  <c r="FV129" i="27"/>
  <c r="FU129" i="27"/>
  <c r="FT129" i="27"/>
  <c r="FS129" i="27"/>
  <c r="FR129" i="27"/>
  <c r="FP129" i="27"/>
  <c r="FO129" i="27"/>
  <c r="FQ129" i="27" s="1"/>
  <c r="FM129" i="27"/>
  <c r="FL129" i="27"/>
  <c r="FN129" i="27" s="1"/>
  <c r="FK129" i="27"/>
  <c r="FJ129" i="27"/>
  <c r="FI129" i="27"/>
  <c r="FH129" i="27"/>
  <c r="FG129" i="27"/>
  <c r="FF129" i="27"/>
  <c r="FD129" i="27"/>
  <c r="FC129" i="27"/>
  <c r="FE129" i="27" s="1"/>
  <c r="FA129" i="27"/>
  <c r="EZ129" i="27"/>
  <c r="FB129" i="27" s="1"/>
  <c r="EY129" i="27"/>
  <c r="EX129" i="27"/>
  <c r="EW129" i="27"/>
  <c r="EV129" i="27"/>
  <c r="EU129" i="27"/>
  <c r="ET129" i="27"/>
  <c r="ER129" i="27"/>
  <c r="EQ129" i="27"/>
  <c r="ES129" i="27" s="1"/>
  <c r="EO129" i="27"/>
  <c r="EN129" i="27"/>
  <c r="EP129" i="27" s="1"/>
  <c r="EM129" i="27"/>
  <c r="EL129" i="27"/>
  <c r="EK129" i="27"/>
  <c r="EJ129" i="27"/>
  <c r="EI129" i="27"/>
  <c r="EH129" i="27"/>
  <c r="EF129" i="27"/>
  <c r="EE129" i="27"/>
  <c r="EG129" i="27" s="1"/>
  <c r="EC129" i="27"/>
  <c r="EB129" i="27"/>
  <c r="ED129" i="27" s="1"/>
  <c r="EA129" i="27"/>
  <c r="DZ129" i="27"/>
  <c r="DY129" i="27"/>
  <c r="DX129" i="27"/>
  <c r="DW129" i="27"/>
  <c r="DV129" i="27"/>
  <c r="DT129" i="27"/>
  <c r="DS129" i="27"/>
  <c r="DU129" i="27" s="1"/>
  <c r="DQ129" i="27"/>
  <c r="DP129" i="27"/>
  <c r="DR129" i="27" s="1"/>
  <c r="DO129" i="27"/>
  <c r="DN129" i="27"/>
  <c r="DM129" i="27"/>
  <c r="DL129" i="27"/>
  <c r="DK129" i="27"/>
  <c r="DJ129" i="27"/>
  <c r="DH129" i="27"/>
  <c r="DG129" i="27"/>
  <c r="DI129" i="27" s="1"/>
  <c r="DE129" i="27"/>
  <c r="DD129" i="27"/>
  <c r="DF129" i="27" s="1"/>
  <c r="DC129" i="27"/>
  <c r="DB129" i="27"/>
  <c r="DA129" i="27"/>
  <c r="CZ129" i="27"/>
  <c r="CY129" i="27"/>
  <c r="CX129" i="27"/>
  <c r="CV129" i="27"/>
  <c r="CU129" i="27"/>
  <c r="CW129" i="27" s="1"/>
  <c r="CS129" i="27"/>
  <c r="CR129" i="27"/>
  <c r="CT129" i="27" s="1"/>
  <c r="CQ129" i="27"/>
  <c r="CP129" i="27"/>
  <c r="CO129" i="27"/>
  <c r="CN129" i="27"/>
  <c r="CM129" i="27"/>
  <c r="CL129" i="27"/>
  <c r="CJ129" i="27"/>
  <c r="CI129" i="27"/>
  <c r="CK129" i="27" s="1"/>
  <c r="CG129" i="27"/>
  <c r="CF129" i="27"/>
  <c r="CH129" i="27" s="1"/>
  <c r="CE129" i="27"/>
  <c r="CD129" i="27"/>
  <c r="CC129" i="27"/>
  <c r="CB129" i="27"/>
  <c r="CA129" i="27"/>
  <c r="BZ129" i="27"/>
  <c r="BX129" i="27"/>
  <c r="BW129" i="27"/>
  <c r="BY129" i="27" s="1"/>
  <c r="BU129" i="27"/>
  <c r="BT129" i="27"/>
  <c r="BV129" i="27" s="1"/>
  <c r="BS129" i="27"/>
  <c r="BR129" i="27"/>
  <c r="BQ129" i="27"/>
  <c r="BP129" i="27"/>
  <c r="BO129" i="27"/>
  <c r="BN129" i="27"/>
  <c r="BL129" i="27"/>
  <c r="BK129" i="27"/>
  <c r="BM129" i="27" s="1"/>
  <c r="BI129" i="27"/>
  <c r="BH129" i="27"/>
  <c r="BJ129" i="27" s="1"/>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AB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V123" i="27"/>
  <c r="FU123" i="27"/>
  <c r="FW123" i="27" s="1"/>
  <c r="FT123" i="27"/>
  <c r="FS123" i="27"/>
  <c r="FR123" i="27"/>
  <c r="FP123" i="27"/>
  <c r="FO123" i="27"/>
  <c r="FQ123" i="27" s="1"/>
  <c r="FM123" i="27"/>
  <c r="FL123" i="27"/>
  <c r="FN123" i="27" s="1"/>
  <c r="FJ123" i="27"/>
  <c r="FI123" i="27"/>
  <c r="FK123" i="27" s="1"/>
  <c r="FH123" i="27"/>
  <c r="FG123" i="27"/>
  <c r="FF123" i="27"/>
  <c r="FD123" i="27"/>
  <c r="FC123" i="27"/>
  <c r="FE123" i="27" s="1"/>
  <c r="FA123" i="27"/>
  <c r="EZ123" i="27"/>
  <c r="FB123" i="27" s="1"/>
  <c r="EX123" i="27"/>
  <c r="EW123" i="27"/>
  <c r="EY123" i="27" s="1"/>
  <c r="EV123" i="27"/>
  <c r="EU123" i="27"/>
  <c r="ET123" i="27"/>
  <c r="ER123" i="27"/>
  <c r="EQ123" i="27"/>
  <c r="ES123" i="27" s="1"/>
  <c r="EO123" i="27"/>
  <c r="EN123" i="27"/>
  <c r="EP123" i="27" s="1"/>
  <c r="EL123" i="27"/>
  <c r="EK123" i="27"/>
  <c r="EM123" i="27" s="1"/>
  <c r="EJ123" i="27"/>
  <c r="EI123" i="27"/>
  <c r="EH123" i="27"/>
  <c r="EF123" i="27"/>
  <c r="EE123" i="27"/>
  <c r="EG123" i="27" s="1"/>
  <c r="EC123" i="27"/>
  <c r="EB123" i="27"/>
  <c r="ED123" i="27" s="1"/>
  <c r="DZ123" i="27"/>
  <c r="DY123" i="27"/>
  <c r="EA123" i="27" s="1"/>
  <c r="DX123" i="27"/>
  <c r="DW123" i="27"/>
  <c r="DV123" i="27"/>
  <c r="DT123" i="27"/>
  <c r="DS123" i="27"/>
  <c r="DU123" i="27" s="1"/>
  <c r="DQ123" i="27"/>
  <c r="DP123" i="27"/>
  <c r="DR123" i="27" s="1"/>
  <c r="DN123" i="27"/>
  <c r="DM123" i="27"/>
  <c r="DO123" i="27" s="1"/>
  <c r="DL123" i="27"/>
  <c r="DK123" i="27"/>
  <c r="DJ123" i="27"/>
  <c r="DH123" i="27"/>
  <c r="DG123" i="27"/>
  <c r="DI123" i="27" s="1"/>
  <c r="DE123" i="27"/>
  <c r="DD123" i="27"/>
  <c r="DF123" i="27" s="1"/>
  <c r="DB123" i="27"/>
  <c r="DA123" i="27"/>
  <c r="DC123" i="27" s="1"/>
  <c r="CZ123" i="27"/>
  <c r="CY123" i="27"/>
  <c r="CX123" i="27"/>
  <c r="CV123" i="27"/>
  <c r="CU123" i="27"/>
  <c r="CW123" i="27" s="1"/>
  <c r="CS123" i="27"/>
  <c r="CR123" i="27"/>
  <c r="CT123" i="27" s="1"/>
  <c r="CP123" i="27"/>
  <c r="CO123" i="27"/>
  <c r="CQ123" i="27" s="1"/>
  <c r="CN123" i="27"/>
  <c r="CM123" i="27"/>
  <c r="CL123" i="27"/>
  <c r="CJ123" i="27"/>
  <c r="CI123" i="27"/>
  <c r="CK123" i="27" s="1"/>
  <c r="CG123" i="27"/>
  <c r="CF123" i="27"/>
  <c r="CH123" i="27" s="1"/>
  <c r="CD123" i="27"/>
  <c r="CC123" i="27"/>
  <c r="CE123" i="27" s="1"/>
  <c r="CB123" i="27"/>
  <c r="CA123" i="27"/>
  <c r="BZ123" i="27"/>
  <c r="BX123" i="27"/>
  <c r="BW123" i="27"/>
  <c r="BY123" i="27" s="1"/>
  <c r="BU123" i="27"/>
  <c r="BT123" i="27"/>
  <c r="BV123" i="27" s="1"/>
  <c r="BR123" i="27"/>
  <c r="BQ123" i="27"/>
  <c r="BS123" i="27" s="1"/>
  <c r="BP123" i="27"/>
  <c r="BO123" i="27"/>
  <c r="BN123" i="27"/>
  <c r="BL123" i="27"/>
  <c r="BK123" i="27"/>
  <c r="BM123" i="27" s="1"/>
  <c r="BI123" i="27"/>
  <c r="BH123" i="27"/>
  <c r="BJ123" i="27" s="1"/>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V117" i="27"/>
  <c r="FU117" i="27"/>
  <c r="FW117" i="27" s="1"/>
  <c r="FT117" i="27"/>
  <c r="FS117" i="27"/>
  <c r="FR117" i="27"/>
  <c r="FQ117" i="27"/>
  <c r="FP117" i="27"/>
  <c r="FO117" i="27"/>
  <c r="FM117" i="27"/>
  <c r="FL117" i="27"/>
  <c r="FN117" i="27" s="1"/>
  <c r="FJ117" i="27"/>
  <c r="FI117" i="27"/>
  <c r="FK117" i="27" s="1"/>
  <c r="FH117" i="27"/>
  <c r="FG117" i="27"/>
  <c r="FF117" i="27"/>
  <c r="FE117" i="27"/>
  <c r="FD117" i="27"/>
  <c r="FC117" i="27"/>
  <c r="FA117" i="27"/>
  <c r="EZ117" i="27"/>
  <c r="FB117" i="27" s="1"/>
  <c r="EX117" i="27"/>
  <c r="EW117" i="27"/>
  <c r="EY117" i="27" s="1"/>
  <c r="EV117" i="27"/>
  <c r="EU117" i="27"/>
  <c r="ET117" i="27"/>
  <c r="ES117" i="27"/>
  <c r="ER117" i="27"/>
  <c r="EQ117" i="27"/>
  <c r="EO117" i="27"/>
  <c r="EN117" i="27"/>
  <c r="EP117" i="27" s="1"/>
  <c r="EL117" i="27"/>
  <c r="EK117" i="27"/>
  <c r="EM117" i="27" s="1"/>
  <c r="EJ117" i="27"/>
  <c r="EI117" i="27"/>
  <c r="EH117" i="27"/>
  <c r="EG117" i="27"/>
  <c r="EF117" i="27"/>
  <c r="EE117" i="27"/>
  <c r="EC117" i="27"/>
  <c r="EB117" i="27"/>
  <c r="ED117" i="27" s="1"/>
  <c r="DZ117" i="27"/>
  <c r="DY117" i="27"/>
  <c r="EA117" i="27" s="1"/>
  <c r="DX117" i="27"/>
  <c r="DW117" i="27"/>
  <c r="DV117" i="27"/>
  <c r="DU117" i="27"/>
  <c r="DT117" i="27"/>
  <c r="DS117" i="27"/>
  <c r="DQ117" i="27"/>
  <c r="DP117" i="27"/>
  <c r="DR117" i="27" s="1"/>
  <c r="DN117" i="27"/>
  <c r="DM117" i="27"/>
  <c r="DO117" i="27" s="1"/>
  <c r="DL117" i="27"/>
  <c r="DK117" i="27"/>
  <c r="DJ117" i="27"/>
  <c r="DI117" i="27"/>
  <c r="DH117" i="27"/>
  <c r="DG117" i="27"/>
  <c r="DE117" i="27"/>
  <c r="DD117" i="27"/>
  <c r="DF117" i="27" s="1"/>
  <c r="DB117" i="27"/>
  <c r="DA117" i="27"/>
  <c r="DC117" i="27" s="1"/>
  <c r="CZ117" i="27"/>
  <c r="CY117" i="27"/>
  <c r="CX117" i="27"/>
  <c r="CW117" i="27"/>
  <c r="CV117" i="27"/>
  <c r="CU117" i="27"/>
  <c r="CS117" i="27"/>
  <c r="CR117" i="27"/>
  <c r="CT117" i="27" s="1"/>
  <c r="CP117" i="27"/>
  <c r="CO117" i="27"/>
  <c r="CQ117" i="27" s="1"/>
  <c r="CN117" i="27"/>
  <c r="CM117" i="27"/>
  <c r="CL117" i="27"/>
  <c r="CK117" i="27"/>
  <c r="CJ117" i="27"/>
  <c r="CI117" i="27"/>
  <c r="CG117" i="27"/>
  <c r="CF117" i="27"/>
  <c r="CH117" i="27" s="1"/>
  <c r="CD117" i="27"/>
  <c r="CC117" i="27"/>
  <c r="CE117" i="27" s="1"/>
  <c r="CB117" i="27"/>
  <c r="CA117" i="27"/>
  <c r="BZ117" i="27"/>
  <c r="BY117" i="27"/>
  <c r="BX117" i="27"/>
  <c r="BW117" i="27"/>
  <c r="BU117" i="27"/>
  <c r="BT117" i="27"/>
  <c r="BV117" i="27" s="1"/>
  <c r="BR117" i="27"/>
  <c r="BQ117" i="27"/>
  <c r="BS117" i="27" s="1"/>
  <c r="BP117" i="27"/>
  <c r="BO117" i="27"/>
  <c r="BN117" i="27"/>
  <c r="BM117" i="27"/>
  <c r="BL117" i="27"/>
  <c r="BK117" i="27"/>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AB112" i="27"/>
  <c r="FV111" i="27"/>
  <c r="FU111" i="27"/>
  <c r="FW111" i="27" s="1"/>
  <c r="FS111" i="27"/>
  <c r="FR111" i="27"/>
  <c r="FT111" i="27" s="1"/>
  <c r="FP111" i="27"/>
  <c r="FO111" i="27"/>
  <c r="FQ111" i="27" s="1"/>
  <c r="FN111" i="27"/>
  <c r="FM111" i="27"/>
  <c r="FL111" i="27"/>
  <c r="FJ111" i="27"/>
  <c r="FI111" i="27"/>
  <c r="FK111" i="27" s="1"/>
  <c r="FG111" i="27"/>
  <c r="FF111" i="27"/>
  <c r="FH111" i="27" s="1"/>
  <c r="FD111" i="27"/>
  <c r="FC111" i="27"/>
  <c r="FE111" i="27" s="1"/>
  <c r="FB111" i="27"/>
  <c r="FA111" i="27"/>
  <c r="EZ111" i="27"/>
  <c r="EX111" i="27"/>
  <c r="EW111" i="27"/>
  <c r="EY111" i="27" s="1"/>
  <c r="EU111" i="27"/>
  <c r="ET111" i="27"/>
  <c r="EV111" i="27" s="1"/>
  <c r="ER111" i="27"/>
  <c r="EQ111" i="27"/>
  <c r="ES111" i="27" s="1"/>
  <c r="EP111" i="27"/>
  <c r="EO111" i="27"/>
  <c r="EN111" i="27"/>
  <c r="EL111" i="27"/>
  <c r="EK111" i="27"/>
  <c r="EM111" i="27" s="1"/>
  <c r="EI111" i="27"/>
  <c r="EH111" i="27"/>
  <c r="EJ111" i="27" s="1"/>
  <c r="EF111" i="27"/>
  <c r="EE111" i="27"/>
  <c r="EG111" i="27" s="1"/>
  <c r="ED111" i="27"/>
  <c r="EC111" i="27"/>
  <c r="EB111" i="27"/>
  <c r="DZ111" i="27"/>
  <c r="DY111" i="27"/>
  <c r="EA111" i="27" s="1"/>
  <c r="DW111" i="27"/>
  <c r="DV111" i="27"/>
  <c r="DX111" i="27" s="1"/>
  <c r="DT111" i="27"/>
  <c r="DS111" i="27"/>
  <c r="DU111" i="27" s="1"/>
  <c r="DR111" i="27"/>
  <c r="DQ111" i="27"/>
  <c r="DP111" i="27"/>
  <c r="DN111" i="27"/>
  <c r="DM111" i="27"/>
  <c r="DO111" i="27" s="1"/>
  <c r="DK111" i="27"/>
  <c r="DJ111" i="27"/>
  <c r="DL111" i="27" s="1"/>
  <c r="DH111" i="27"/>
  <c r="DG111" i="27"/>
  <c r="DI111" i="27" s="1"/>
  <c r="DF111" i="27"/>
  <c r="DE111" i="27"/>
  <c r="DD111" i="27"/>
  <c r="DB111" i="27"/>
  <c r="DA111" i="27"/>
  <c r="DC111" i="27" s="1"/>
  <c r="CY111" i="27"/>
  <c r="CX111" i="27"/>
  <c r="CZ111" i="27" s="1"/>
  <c r="CV111" i="27"/>
  <c r="CU111" i="27"/>
  <c r="CW111" i="27" s="1"/>
  <c r="CT111" i="27"/>
  <c r="CS111" i="27"/>
  <c r="CR111" i="27"/>
  <c r="CP111" i="27"/>
  <c r="CO111" i="27"/>
  <c r="CQ111" i="27" s="1"/>
  <c r="CM111" i="27"/>
  <c r="CL111" i="27"/>
  <c r="CN111" i="27" s="1"/>
  <c r="CJ111" i="27"/>
  <c r="CI111" i="27"/>
  <c r="CK111" i="27" s="1"/>
  <c r="CH111" i="27"/>
  <c r="CG111" i="27"/>
  <c r="CF111" i="27"/>
  <c r="CD111" i="27"/>
  <c r="CC111" i="27"/>
  <c r="CE111" i="27" s="1"/>
  <c r="CA111" i="27"/>
  <c r="BZ111" i="27"/>
  <c r="CB111" i="27" s="1"/>
  <c r="BX111" i="27"/>
  <c r="BW111" i="27"/>
  <c r="BY111" i="27" s="1"/>
  <c r="BV111" i="27"/>
  <c r="BU111" i="27"/>
  <c r="BT111" i="27"/>
  <c r="BR111" i="27"/>
  <c r="BQ111" i="27"/>
  <c r="BS111" i="27" s="1"/>
  <c r="BO111" i="27"/>
  <c r="BN111" i="27"/>
  <c r="BP111" i="27" s="1"/>
  <c r="BM111" i="27"/>
  <c r="BL111" i="27"/>
  <c r="BK111" i="27"/>
  <c r="BJ111" i="27"/>
  <c r="BI111" i="27"/>
  <c r="BH111" i="27"/>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c r="GB107" i="27" s="1" a="1"/>
  <c r="GB107"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s="1"/>
  <c r="I107" i="27" s="1" a="1"/>
  <c r="I107"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c r="AB138" i="27" s="1"/>
  <c r="F92" i="27" a="1"/>
  <c r="F92" i="27"/>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GB89" i="27" a="1"/>
  <c r="GB89" i="27" s="1"/>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s="1"/>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V72" i="27"/>
  <c r="FU72" i="27"/>
  <c r="FW72" i="27" s="1"/>
  <c r="FS72" i="27"/>
  <c r="FR72" i="27"/>
  <c r="FT72" i="27" s="1"/>
  <c r="FP72" i="27"/>
  <c r="FO72" i="27"/>
  <c r="FQ72" i="27" s="1"/>
  <c r="FM72" i="27"/>
  <c r="FL72" i="27"/>
  <c r="FN72" i="27" s="1"/>
  <c r="FK72" i="27"/>
  <c r="FJ72" i="27"/>
  <c r="FI72" i="27"/>
  <c r="FG72" i="27"/>
  <c r="FF72" i="27"/>
  <c r="FH72" i="27" s="1"/>
  <c r="FE72" i="27"/>
  <c r="FD72" i="27"/>
  <c r="FC72" i="27"/>
  <c r="FA72" i="27"/>
  <c r="EZ72" i="27"/>
  <c r="FB72" i="27" s="1"/>
  <c r="EX72" i="27"/>
  <c r="EW72" i="27"/>
  <c r="EY72" i="27" s="1"/>
  <c r="EU72" i="27"/>
  <c r="ET72" i="27"/>
  <c r="EV72" i="27" s="1"/>
  <c r="ER72" i="27"/>
  <c r="EQ72" i="27"/>
  <c r="ES72" i="27" s="1"/>
  <c r="EP72" i="27"/>
  <c r="EO72" i="27"/>
  <c r="EN72" i="27"/>
  <c r="EM72" i="27"/>
  <c r="EL72" i="27"/>
  <c r="EK72" i="27"/>
  <c r="EI72" i="27"/>
  <c r="EH72" i="27"/>
  <c r="EJ72" i="27" s="1"/>
  <c r="EF72" i="27"/>
  <c r="EE72" i="27"/>
  <c r="EG72" i="27" s="1"/>
  <c r="ED72" i="27"/>
  <c r="EC72" i="27"/>
  <c r="EB72" i="27"/>
  <c r="EA72" i="27"/>
  <c r="DZ72" i="27"/>
  <c r="DY72" i="27"/>
  <c r="DW72" i="27"/>
  <c r="DV72" i="27"/>
  <c r="DX72" i="27" s="1"/>
  <c r="DU72" i="27"/>
  <c r="DT72" i="27"/>
  <c r="DS72" i="27"/>
  <c r="DR72" i="27"/>
  <c r="DQ72" i="27"/>
  <c r="DP72" i="27"/>
  <c r="DN72" i="27"/>
  <c r="DM72" i="27"/>
  <c r="DO72" i="27" s="1"/>
  <c r="DK72" i="27"/>
  <c r="DJ72" i="27"/>
  <c r="DL72" i="27" s="1"/>
  <c r="DI72" i="27"/>
  <c r="DH72" i="27"/>
  <c r="DG72" i="27"/>
  <c r="DF72" i="27"/>
  <c r="DE72" i="27"/>
  <c r="DD72" i="27"/>
  <c r="DB72" i="27"/>
  <c r="DA72" i="27"/>
  <c r="DC72" i="27" s="1"/>
  <c r="CY72" i="27"/>
  <c r="CX72" i="27"/>
  <c r="CZ72" i="27" s="1"/>
  <c r="CV72" i="27"/>
  <c r="CU72" i="27"/>
  <c r="CW72" i="27" s="1"/>
  <c r="CT72" i="27"/>
  <c r="CS72" i="27"/>
  <c r="CR72" i="27"/>
  <c r="CQ72" i="27"/>
  <c r="CP72" i="27"/>
  <c r="CO72" i="27"/>
  <c r="CM72" i="27"/>
  <c r="CL72" i="27"/>
  <c r="CN72" i="27" s="1"/>
  <c r="CJ72" i="27"/>
  <c r="CI72" i="27"/>
  <c r="CK72" i="27" s="1"/>
  <c r="CH72" i="27"/>
  <c r="CG72" i="27"/>
  <c r="CF72" i="27"/>
  <c r="CE72" i="27"/>
  <c r="CD72" i="27"/>
  <c r="CC72" i="27"/>
  <c r="CA72" i="27"/>
  <c r="BZ72" i="27"/>
  <c r="CB72" i="27" s="1"/>
  <c r="BY72" i="27"/>
  <c r="BX72" i="27"/>
  <c r="BW72" i="27"/>
  <c r="BV72" i="27"/>
  <c r="BU72" i="27"/>
  <c r="BT72" i="27"/>
  <c r="BR72" i="27"/>
  <c r="BQ72" i="27"/>
  <c r="BS72" i="27" s="1"/>
  <c r="BO72" i="27"/>
  <c r="BN72" i="27"/>
  <c r="BP72" i="27" s="1"/>
  <c r="BM72" i="27"/>
  <c r="BL72" i="27"/>
  <c r="BK72" i="27"/>
  <c r="BJ72" i="27"/>
  <c r="BI72" i="27"/>
  <c r="BH72" i="27"/>
  <c r="BF72" i="27"/>
  <c r="BE72" i="27"/>
  <c r="BG72" i="27" s="1"/>
  <c r="BC72" i="27"/>
  <c r="BB72" i="27"/>
  <c r="BD72" i="27" s="1"/>
  <c r="AZ72" i="27"/>
  <c r="AY72" i="27"/>
  <c r="BA72" i="27" s="1"/>
  <c r="AX72" i="27"/>
  <c r="AW72" i="27"/>
  <c r="AV72" i="27"/>
  <c r="AU72" i="27"/>
  <c r="AT72" i="27"/>
  <c r="AS72" i="27"/>
  <c r="AQ72" i="27"/>
  <c r="AP72" i="27"/>
  <c r="AR72" i="27" s="1"/>
  <c r="AN72" i="27"/>
  <c r="AM72" i="27"/>
  <c r="AO72" i="27" s="1"/>
  <c r="AL72" i="27"/>
  <c r="AK72" i="27"/>
  <c r="AJ72" i="27"/>
  <c r="AI72" i="27"/>
  <c r="AH72" i="27"/>
  <c r="AG72" i="27"/>
  <c r="AE72" i="27"/>
  <c r="AD72" i="27"/>
  <c r="AF72" i="27" s="1"/>
  <c r="I72" i="27" a="1"/>
  <c r="I72" i="27" s="1"/>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T66" i="27"/>
  <c r="FS66" i="27"/>
  <c r="FR66" i="27"/>
  <c r="FQ66" i="27"/>
  <c r="FP66" i="27"/>
  <c r="FO66" i="27"/>
  <c r="FM66" i="27"/>
  <c r="FL66" i="27"/>
  <c r="FN66" i="27" s="1"/>
  <c r="FK66" i="27"/>
  <c r="FJ66" i="27"/>
  <c r="FI66" i="27"/>
  <c r="FH66" i="27"/>
  <c r="FG66" i="27"/>
  <c r="FF66" i="27"/>
  <c r="FD66" i="27"/>
  <c r="FC66" i="27"/>
  <c r="FE66" i="27" s="1"/>
  <c r="FA66" i="27"/>
  <c r="EZ66" i="27"/>
  <c r="FB66" i="27" s="1"/>
  <c r="EY66" i="27"/>
  <c r="EX66" i="27"/>
  <c r="EW66" i="27"/>
  <c r="EV66" i="27"/>
  <c r="EU66" i="27"/>
  <c r="ET66" i="27"/>
  <c r="ER66" i="27"/>
  <c r="EQ66" i="27"/>
  <c r="ES66" i="27" s="1"/>
  <c r="EO66" i="27"/>
  <c r="EN66" i="27"/>
  <c r="EP66" i="27" s="1"/>
  <c r="EL66" i="27"/>
  <c r="EK66" i="27"/>
  <c r="EM66" i="27" s="1"/>
  <c r="EJ66" i="27"/>
  <c r="EI66" i="27"/>
  <c r="EH66" i="27"/>
  <c r="EG66" i="27"/>
  <c r="EF66" i="27"/>
  <c r="EE66" i="27"/>
  <c r="EC66" i="27"/>
  <c r="EB66" i="27"/>
  <c r="ED66" i="27" s="1"/>
  <c r="DZ66" i="27"/>
  <c r="DY66" i="27"/>
  <c r="EA66" i="27" s="1"/>
  <c r="DX66" i="27"/>
  <c r="DW66" i="27"/>
  <c r="DV66" i="27"/>
  <c r="DU66" i="27"/>
  <c r="DT66" i="27"/>
  <c r="DS66" i="27"/>
  <c r="DQ66" i="27"/>
  <c r="DP66" i="27"/>
  <c r="DR66" i="27" s="1"/>
  <c r="DO66" i="27"/>
  <c r="DN66" i="27"/>
  <c r="DM66" i="27"/>
  <c r="DL66" i="27"/>
  <c r="DK66" i="27"/>
  <c r="DJ66" i="27"/>
  <c r="DH66" i="27"/>
  <c r="DG66" i="27"/>
  <c r="DI66" i="27" s="1"/>
  <c r="DE66" i="27"/>
  <c r="DD66" i="27"/>
  <c r="DF66" i="27" s="1"/>
  <c r="DC66" i="27"/>
  <c r="DB66" i="27"/>
  <c r="DA66" i="27"/>
  <c r="CZ66" i="27"/>
  <c r="CY66" i="27"/>
  <c r="CX66" i="27"/>
  <c r="CV66" i="27"/>
  <c r="CU66" i="27"/>
  <c r="CW66" i="27" s="1"/>
  <c r="CS66" i="27"/>
  <c r="CR66" i="27"/>
  <c r="CT66" i="27" s="1"/>
  <c r="CP66" i="27"/>
  <c r="CO66" i="27"/>
  <c r="CQ66" i="27" s="1"/>
  <c r="CN66" i="27"/>
  <c r="CM66" i="27"/>
  <c r="CL66" i="27"/>
  <c r="CK66" i="27"/>
  <c r="CJ66" i="27"/>
  <c r="CI66" i="27"/>
  <c r="CG66" i="27"/>
  <c r="CF66" i="27"/>
  <c r="CH66" i="27" s="1"/>
  <c r="CD66" i="27"/>
  <c r="CC66" i="27"/>
  <c r="CE66" i="27" s="1"/>
  <c r="CB66" i="27"/>
  <c r="CA66" i="27"/>
  <c r="BZ66" i="27"/>
  <c r="BY66" i="27"/>
  <c r="BX66" i="27"/>
  <c r="BW66" i="27"/>
  <c r="BU66" i="27"/>
  <c r="BT66" i="27"/>
  <c r="BV66" i="27" s="1"/>
  <c r="BS66" i="27"/>
  <c r="BR66" i="27"/>
  <c r="BQ66" i="27"/>
  <c r="BP66" i="27"/>
  <c r="BO66" i="27"/>
  <c r="BN66" i="27"/>
  <c r="BL66" i="27"/>
  <c r="BK66" i="27"/>
  <c r="BM66" i="27" s="1"/>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Q60" i="27"/>
  <c r="FP60" i="27"/>
  <c r="FO60" i="27"/>
  <c r="FN60" i="27"/>
  <c r="FM60" i="27"/>
  <c r="FL60" i="27"/>
  <c r="FJ60" i="27"/>
  <c r="FI60" i="27"/>
  <c r="FK60" i="27" s="1"/>
  <c r="FH60" i="27"/>
  <c r="FG60" i="27"/>
  <c r="FF60" i="27"/>
  <c r="FE60" i="27"/>
  <c r="FD60" i="27"/>
  <c r="FC60" i="27"/>
  <c r="FA60" i="27"/>
  <c r="EZ60" i="27"/>
  <c r="FB60" i="27" s="1"/>
  <c r="EX60" i="27"/>
  <c r="EW60" i="27"/>
  <c r="EY60" i="27" s="1"/>
  <c r="EV60" i="27"/>
  <c r="EU60" i="27"/>
  <c r="ET60" i="27"/>
  <c r="ES60" i="27"/>
  <c r="ER60" i="27"/>
  <c r="EQ60" i="27"/>
  <c r="EO60" i="27"/>
  <c r="EN60" i="27"/>
  <c r="EP60" i="27" s="1"/>
  <c r="EL60" i="27"/>
  <c r="EK60" i="27"/>
  <c r="EM60" i="27" s="1"/>
  <c r="EI60" i="27"/>
  <c r="EH60" i="27"/>
  <c r="EJ60" i="27" s="1"/>
  <c r="EG60" i="27"/>
  <c r="EF60" i="27"/>
  <c r="EE60" i="27"/>
  <c r="ED60" i="27"/>
  <c r="EC60" i="27"/>
  <c r="EB60" i="27"/>
  <c r="DZ60" i="27"/>
  <c r="DY60" i="27"/>
  <c r="EA60" i="27" s="1"/>
  <c r="DW60" i="27"/>
  <c r="DV60" i="27"/>
  <c r="DX60" i="27" s="1"/>
  <c r="DU60" i="27"/>
  <c r="DT60" i="27"/>
  <c r="DS60" i="27"/>
  <c r="DR60" i="27"/>
  <c r="DQ60" i="27"/>
  <c r="DP60" i="27"/>
  <c r="DN60" i="27"/>
  <c r="DM60" i="27"/>
  <c r="DO60" i="27" s="1"/>
  <c r="DL60" i="27"/>
  <c r="DK60" i="27"/>
  <c r="DJ60" i="27"/>
  <c r="DI60" i="27"/>
  <c r="DH60" i="27"/>
  <c r="DG60" i="27"/>
  <c r="DE60" i="27"/>
  <c r="DD60" i="27"/>
  <c r="DF60" i="27" s="1"/>
  <c r="DB60" i="27"/>
  <c r="DA60" i="27"/>
  <c r="DC60" i="27" s="1"/>
  <c r="CZ60" i="27"/>
  <c r="CY60" i="27"/>
  <c r="CX60" i="27"/>
  <c r="CW60" i="27"/>
  <c r="CV60" i="27"/>
  <c r="CU60" i="27"/>
  <c r="CS60" i="27"/>
  <c r="CR60" i="27"/>
  <c r="CT60" i="27" s="1"/>
  <c r="CP60" i="27"/>
  <c r="CO60" i="27"/>
  <c r="CQ60" i="27" s="1"/>
  <c r="CM60" i="27"/>
  <c r="CL60" i="27"/>
  <c r="CN60" i="27" s="1"/>
  <c r="CK60" i="27"/>
  <c r="CJ60" i="27"/>
  <c r="CI60" i="27"/>
  <c r="CH60" i="27"/>
  <c r="CG60" i="27"/>
  <c r="CF60" i="27"/>
  <c r="CD60" i="27"/>
  <c r="CC60" i="27"/>
  <c r="CE60" i="27" s="1"/>
  <c r="CA60" i="27"/>
  <c r="BZ60" i="27"/>
  <c r="CB60" i="27" s="1"/>
  <c r="BY60" i="27"/>
  <c r="BX60" i="27"/>
  <c r="BW60" i="27"/>
  <c r="BV60" i="27"/>
  <c r="BU60" i="27"/>
  <c r="BT60" i="27"/>
  <c r="BR60" i="27"/>
  <c r="BQ60" i="27"/>
  <c r="BS60" i="27" s="1"/>
  <c r="BP60" i="27"/>
  <c r="BO60" i="27"/>
  <c r="BN60" i="27"/>
  <c r="BM60" i="27"/>
  <c r="BL60" i="27"/>
  <c r="BK60" i="27"/>
  <c r="BI60" i="27"/>
  <c r="BH60" i="27"/>
  <c r="BJ60" i="27" s="1"/>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W54" i="27"/>
  <c r="FV54" i="27"/>
  <c r="FU54" i="27"/>
  <c r="FT54" i="27"/>
  <c r="FS54" i="27"/>
  <c r="FR54" i="27"/>
  <c r="FP54" i="27"/>
  <c r="FO54" i="27"/>
  <c r="FQ54" i="27" s="1"/>
  <c r="FM54" i="27"/>
  <c r="FL54" i="27"/>
  <c r="FN54" i="27" s="1"/>
  <c r="FK54" i="27"/>
  <c r="FJ54" i="27"/>
  <c r="FI54" i="27"/>
  <c r="FH54" i="27"/>
  <c r="FG54" i="27"/>
  <c r="FF54" i="27"/>
  <c r="FD54" i="27"/>
  <c r="FC54" i="27"/>
  <c r="FE54" i="27" s="1"/>
  <c r="FA54" i="27"/>
  <c r="EZ54" i="27"/>
  <c r="FB54" i="27" s="1"/>
  <c r="EX54" i="27"/>
  <c r="EW54" i="27"/>
  <c r="EY54" i="27" s="1"/>
  <c r="EV54" i="27"/>
  <c r="EU54" i="27"/>
  <c r="ET54" i="27"/>
  <c r="ES54" i="27"/>
  <c r="ER54" i="27"/>
  <c r="EQ54" i="27"/>
  <c r="EO54" i="27"/>
  <c r="EN54" i="27"/>
  <c r="EP54" i="27" s="1"/>
  <c r="EL54" i="27"/>
  <c r="EK54" i="27"/>
  <c r="EM54" i="27" s="1"/>
  <c r="EJ54" i="27"/>
  <c r="EI54" i="27"/>
  <c r="EH54" i="27"/>
  <c r="EG54" i="27"/>
  <c r="EF54" i="27"/>
  <c r="EE54" i="27"/>
  <c r="EC54" i="27"/>
  <c r="EB54" i="27"/>
  <c r="ED54" i="27" s="1"/>
  <c r="EA54" i="27"/>
  <c r="DZ54" i="27"/>
  <c r="DY54" i="27"/>
  <c r="DX54" i="27"/>
  <c r="DW54" i="27"/>
  <c r="DV54" i="27"/>
  <c r="DT54" i="27"/>
  <c r="DS54" i="27"/>
  <c r="DU54" i="27" s="1"/>
  <c r="DQ54" i="27"/>
  <c r="DP54" i="27"/>
  <c r="DR54" i="27" s="1"/>
  <c r="DO54" i="27"/>
  <c r="DN54" i="27"/>
  <c r="DM54" i="27"/>
  <c r="DL54" i="27"/>
  <c r="DK54" i="27"/>
  <c r="DJ54" i="27"/>
  <c r="DH54" i="27"/>
  <c r="DG54" i="27"/>
  <c r="DI54" i="27" s="1"/>
  <c r="DE54" i="27"/>
  <c r="DD54" i="27"/>
  <c r="DF54" i="27" s="1"/>
  <c r="DB54" i="27"/>
  <c r="DA54" i="27"/>
  <c r="DC54" i="27" s="1"/>
  <c r="CZ54" i="27"/>
  <c r="CY54" i="27"/>
  <c r="CX54" i="27"/>
  <c r="CW54" i="27"/>
  <c r="CV54" i="27"/>
  <c r="CU54" i="27"/>
  <c r="CS54" i="27"/>
  <c r="CR54" i="27"/>
  <c r="CT54" i="27" s="1"/>
  <c r="CP54" i="27"/>
  <c r="CO54" i="27"/>
  <c r="CQ54" i="27" s="1"/>
  <c r="CN54" i="27"/>
  <c r="CM54" i="27"/>
  <c r="CL54" i="27"/>
  <c r="CK54" i="27"/>
  <c r="CJ54" i="27"/>
  <c r="CI54" i="27"/>
  <c r="CG54" i="27"/>
  <c r="CF54" i="27"/>
  <c r="CH54" i="27" s="1"/>
  <c r="CE54" i="27"/>
  <c r="CD54" i="27"/>
  <c r="CC54" i="27"/>
  <c r="CB54" i="27"/>
  <c r="CA54" i="27"/>
  <c r="BZ54" i="27"/>
  <c r="BX54" i="27"/>
  <c r="BW54" i="27"/>
  <c r="BY54" i="27" s="1"/>
  <c r="BU54" i="27"/>
  <c r="BT54" i="27"/>
  <c r="BV54" i="27" s="1"/>
  <c r="BS54" i="27"/>
  <c r="BR54" i="27"/>
  <c r="BQ54" i="27"/>
  <c r="BP54" i="27"/>
  <c r="BO54" i="27"/>
  <c r="BN54" i="27"/>
  <c r="BL54" i="27"/>
  <c r="BK54" i="27"/>
  <c r="BM54" i="27" s="1"/>
  <c r="BI54" i="27"/>
  <c r="BH54" i="27"/>
  <c r="BJ54" i="27" s="1"/>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V48" i="27"/>
  <c r="FU48" i="27"/>
  <c r="FW48" i="27" s="1"/>
  <c r="FT48" i="27"/>
  <c r="FS48" i="27"/>
  <c r="FR48" i="27"/>
  <c r="FQ48" i="27"/>
  <c r="FP48" i="27"/>
  <c r="FO48" i="27"/>
  <c r="FM48" i="27"/>
  <c r="FL48" i="27"/>
  <c r="FN48" i="27" s="1"/>
  <c r="FJ48" i="27"/>
  <c r="FI48" i="27"/>
  <c r="FK48" i="27" s="1"/>
  <c r="FH48" i="27"/>
  <c r="FG48" i="27"/>
  <c r="FF48" i="27"/>
  <c r="FD48" i="27"/>
  <c r="FC48" i="27"/>
  <c r="FE48" i="27" s="1"/>
  <c r="FB48" i="27"/>
  <c r="FA48" i="27"/>
  <c r="EZ48" i="27"/>
  <c r="EX48" i="27"/>
  <c r="EW48" i="27"/>
  <c r="EY48" i="27" s="1"/>
  <c r="EU48" i="27"/>
  <c r="ET48" i="27"/>
  <c r="EV48" i="27" s="1"/>
  <c r="ER48" i="27"/>
  <c r="EQ48" i="27"/>
  <c r="ES48" i="27" s="1"/>
  <c r="EO48" i="27"/>
  <c r="EN48" i="27"/>
  <c r="EP48" i="27" s="1"/>
  <c r="EL48" i="27"/>
  <c r="EK48" i="27"/>
  <c r="EM48" i="27" s="1"/>
  <c r="EJ48" i="27"/>
  <c r="EI48" i="27"/>
  <c r="EH48" i="27"/>
  <c r="EF48" i="27"/>
  <c r="EE48" i="27"/>
  <c r="EG48" i="27" s="1"/>
  <c r="ED48" i="27"/>
  <c r="EC48" i="27"/>
  <c r="EB48" i="27"/>
  <c r="DZ48" i="27"/>
  <c r="DY48" i="27"/>
  <c r="EA48" i="27" s="1"/>
  <c r="DW48" i="27"/>
  <c r="DV48" i="27"/>
  <c r="DX48" i="27" s="1"/>
  <c r="DT48" i="27"/>
  <c r="DS48" i="27"/>
  <c r="DU48" i="27" s="1"/>
  <c r="DQ48" i="27"/>
  <c r="DP48" i="27"/>
  <c r="DR48" i="27" s="1"/>
  <c r="DN48" i="27"/>
  <c r="DM48" i="27"/>
  <c r="DO48" i="27" s="1"/>
  <c r="DL48" i="27"/>
  <c r="DK48" i="27"/>
  <c r="DJ48" i="27"/>
  <c r="DH48" i="27"/>
  <c r="DG48" i="27"/>
  <c r="DI48" i="27" s="1"/>
  <c r="DF48" i="27"/>
  <c r="DE48" i="27"/>
  <c r="DD48" i="27"/>
  <c r="DB48" i="27"/>
  <c r="DA48" i="27"/>
  <c r="DC48" i="27" s="1"/>
  <c r="CY48" i="27"/>
  <c r="CX48" i="27"/>
  <c r="CZ48" i="27" s="1"/>
  <c r="CV48" i="27"/>
  <c r="CU48" i="27"/>
  <c r="CW48" i="27" s="1"/>
  <c r="CS48" i="27"/>
  <c r="CR48" i="27"/>
  <c r="CT48" i="27" s="1"/>
  <c r="CP48" i="27"/>
  <c r="CO48" i="27"/>
  <c r="CQ48" i="27" s="1"/>
  <c r="CN48" i="27"/>
  <c r="CM48" i="27"/>
  <c r="CL48" i="27"/>
  <c r="CJ48" i="27"/>
  <c r="CI48" i="27"/>
  <c r="CK48" i="27" s="1"/>
  <c r="CH48" i="27"/>
  <c r="CG48" i="27"/>
  <c r="CF48" i="27"/>
  <c r="CD48" i="27"/>
  <c r="CC48" i="27"/>
  <c r="CE48" i="27" s="1"/>
  <c r="CA48" i="27"/>
  <c r="BZ48" i="27"/>
  <c r="CB48" i="27" s="1"/>
  <c r="BX48" i="27"/>
  <c r="BW48" i="27"/>
  <c r="BY48" i="27" s="1"/>
  <c r="BU48" i="27"/>
  <c r="BT48" i="27"/>
  <c r="BV48" i="27" s="1"/>
  <c r="BR48" i="27"/>
  <c r="BQ48" i="27"/>
  <c r="BS48" i="27" s="1"/>
  <c r="BP48" i="27"/>
  <c r="BO48" i="27"/>
  <c r="BN48" i="27"/>
  <c r="BL48" i="27"/>
  <c r="BK48" i="27"/>
  <c r="BM48" i="27" s="1"/>
  <c r="BJ48" i="27"/>
  <c r="BI48" i="27"/>
  <c r="BH48" i="27"/>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GB43" i="27" a="1"/>
  <c r="GB43" i="27" s="1"/>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GB44" i="27" s="1" a="1"/>
  <c r="GB44"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29" i="27"/>
  <c r="T30" i="27" s="1" a="1"/>
  <c r="T30" i="27" s="1"/>
  <c r="T31" i="27" s="1" a="1"/>
  <c r="T31" i="27" s="1"/>
  <c r="T32" i="27" s="1" a="1"/>
  <c r="T32" i="27" s="1"/>
  <c r="T33" i="27" s="1" a="1"/>
  <c r="T33" i="27" s="1"/>
  <c r="T34" i="27" s="1" a="1"/>
  <c r="T34" i="27" s="1"/>
  <c r="T35" i="27" s="1" a="1"/>
  <c r="T35" i="27" s="1"/>
  <c r="T36" i="27" s="1" a="1"/>
  <c r="T36" i="27" s="1"/>
  <c r="T37" i="27" s="1" a="1"/>
  <c r="T37" i="27" s="1"/>
  <c r="T38" i="27" s="1" a="1"/>
  <c r="T38" i="27" s="1"/>
  <c r="T39" i="27" s="1" a="1"/>
  <c r="T39" i="27" s="1"/>
  <c r="T40" i="27" s="1" a="1"/>
  <c r="T40" i="27" s="1"/>
  <c r="T41" i="27" s="1" a="1"/>
  <c r="T41" i="27" s="1"/>
  <c r="Q29" i="27" a="1"/>
  <c r="Q29" i="27" s="1"/>
  <c r="F29" i="27" a="1"/>
  <c r="F29" i="27" s="1"/>
  <c r="F30" i="27" s="1"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FU25" i="27"/>
  <c r="FI25" i="27"/>
  <c r="EW25" i="27"/>
  <c r="EK25" i="27"/>
  <c r="DY25" i="27"/>
  <c r="DM25" i="27"/>
  <c r="DA25" i="27"/>
  <c r="CO25" i="27"/>
  <c r="CC25" i="27"/>
  <c r="BQ25" i="27"/>
  <c r="BE25" i="27"/>
  <c r="AS25" i="27"/>
  <c r="AG25" i="27"/>
  <c r="FW10" i="27" a="1"/>
  <c r="FW10" i="27"/>
  <c r="FV10" i="27" a="1"/>
  <c r="FV10" i="27" s="1"/>
  <c r="FU10" i="27" a="1"/>
  <c r="FU10" i="27"/>
  <c r="FT10" i="27" a="1"/>
  <c r="FT10" i="27" s="1"/>
  <c r="FS10" i="27" a="1"/>
  <c r="FS10" i="27"/>
  <c r="FR10" i="27" a="1"/>
  <c r="FR10" i="27" s="1"/>
  <c r="FQ10" i="27" a="1"/>
  <c r="FQ10" i="27"/>
  <c r="FP10" i="27" a="1"/>
  <c r="FP10" i="27" s="1"/>
  <c r="FO10" i="27" a="1"/>
  <c r="FO10" i="27"/>
  <c r="FN10" i="27" a="1"/>
  <c r="FN10" i="27" s="1"/>
  <c r="FM10" i="27" a="1"/>
  <c r="FM10" i="27"/>
  <c r="FL10" i="27" a="1"/>
  <c r="FL10" i="27" s="1"/>
  <c r="FK10" i="27" a="1"/>
  <c r="FK10" i="27"/>
  <c r="FJ10" i="27" a="1"/>
  <c r="FJ10" i="27" s="1"/>
  <c r="FI10" i="27" a="1"/>
  <c r="FI10" i="27"/>
  <c r="FH10" i="27" a="1"/>
  <c r="FH10" i="27" s="1"/>
  <c r="FG10" i="27" a="1"/>
  <c r="FG10" i="27"/>
  <c r="FF10" i="27" a="1"/>
  <c r="FF10" i="27" s="1"/>
  <c r="FE10" i="27" a="1"/>
  <c r="FE10" i="27"/>
  <c r="FD10" i="27" a="1"/>
  <c r="FD10" i="27" s="1"/>
  <c r="FC10" i="27" a="1"/>
  <c r="FC10" i="27"/>
  <c r="FB10" i="27" a="1"/>
  <c r="FB10" i="27" s="1"/>
  <c r="FA10" i="27" a="1"/>
  <c r="FA10" i="27"/>
  <c r="EZ10" i="27" a="1"/>
  <c r="EZ10" i="27" s="1"/>
  <c r="EY10" i="27" a="1"/>
  <c r="EY10" i="27"/>
  <c r="EX10" i="27" a="1"/>
  <c r="EX10" i="27" s="1"/>
  <c r="EW10" i="27" a="1"/>
  <c r="EW10" i="27"/>
  <c r="EV10" i="27" a="1"/>
  <c r="EV10" i="27" s="1"/>
  <c r="EU10" i="27" a="1"/>
  <c r="EU10" i="27"/>
  <c r="ET10" i="27" a="1"/>
  <c r="ET10" i="27" s="1"/>
  <c r="ES10" i="27" a="1"/>
  <c r="ES10" i="27"/>
  <c r="ER10" i="27" a="1"/>
  <c r="ER10" i="27" s="1"/>
  <c r="EQ10" i="27" a="1"/>
  <c r="EQ10" i="27"/>
  <c r="EP10" i="27" a="1"/>
  <c r="EP10" i="27" s="1"/>
  <c r="EO10" i="27" a="1"/>
  <c r="EO10" i="27"/>
  <c r="EN10" i="27" a="1"/>
  <c r="EN10" i="27" s="1"/>
  <c r="EM10" i="27" a="1"/>
  <c r="EM10" i="27"/>
  <c r="EL10" i="27" a="1"/>
  <c r="EL10" i="27" s="1"/>
  <c r="EK10" i="27" a="1"/>
  <c r="EK10" i="27"/>
  <c r="EJ10" i="27" a="1"/>
  <c r="EJ10" i="27" s="1"/>
  <c r="EI10" i="27" a="1"/>
  <c r="EI10" i="27"/>
  <c r="EH10" i="27" a="1"/>
  <c r="EH10" i="27" s="1"/>
  <c r="EG10" i="27" a="1"/>
  <c r="EG10" i="27"/>
  <c r="EF10" i="27" a="1"/>
  <c r="EF10" i="27" s="1"/>
  <c r="EE10" i="27" a="1"/>
  <c r="EE10" i="27"/>
  <c r="ED10" i="27" a="1"/>
  <c r="ED10" i="27" s="1"/>
  <c r="EC10" i="27" a="1"/>
  <c r="EC10" i="27"/>
  <c r="EB10" i="27" a="1"/>
  <c r="EB10" i="27" s="1"/>
  <c r="EA10" i="27" a="1"/>
  <c r="EA10" i="27"/>
  <c r="DZ10" i="27" a="1"/>
  <c r="DZ10" i="27" s="1"/>
  <c r="DY10" i="27" a="1"/>
  <c r="DY10" i="27"/>
  <c r="DX10" i="27" a="1"/>
  <c r="DX10" i="27" s="1"/>
  <c r="DW10" i="27" a="1"/>
  <c r="DW10" i="27"/>
  <c r="DV10" i="27" a="1"/>
  <c r="DV10" i="27" s="1"/>
  <c r="DU10" i="27" a="1"/>
  <c r="DU10" i="27"/>
  <c r="DT10" i="27" a="1"/>
  <c r="DT10" i="27" s="1"/>
  <c r="DS10" i="27" a="1"/>
  <c r="DS10" i="27"/>
  <c r="DR10" i="27" a="1"/>
  <c r="DR10" i="27" s="1"/>
  <c r="DQ10" i="27" a="1"/>
  <c r="DQ10" i="27"/>
  <c r="DP10" i="27" a="1"/>
  <c r="DP10" i="27" s="1"/>
  <c r="DO10" i="27" a="1"/>
  <c r="DO10" i="27"/>
  <c r="DN10" i="27" a="1"/>
  <c r="DN10" i="27" s="1"/>
  <c r="DM10" i="27" a="1"/>
  <c r="DM10" i="27"/>
  <c r="DL10" i="27" a="1"/>
  <c r="DL10" i="27" s="1"/>
  <c r="DK10" i="27" a="1"/>
  <c r="DK10" i="27"/>
  <c r="DJ10" i="27" a="1"/>
  <c r="DJ10" i="27" s="1"/>
  <c r="DI10" i="27" a="1"/>
  <c r="DI10" i="27"/>
  <c r="DH10" i="27" a="1"/>
  <c r="DH10" i="27" s="1"/>
  <c r="DG10" i="27" a="1"/>
  <c r="DG10" i="27"/>
  <c r="DF10" i="27" a="1"/>
  <c r="DF10" i="27" s="1"/>
  <c r="DE10" i="27" a="1"/>
  <c r="DE10" i="27"/>
  <c r="DD10" i="27" a="1"/>
  <c r="DD10" i="27" s="1"/>
  <c r="DC10" i="27" a="1"/>
  <c r="DC10" i="27"/>
  <c r="DB10" i="27" a="1"/>
  <c r="DB10" i="27" s="1"/>
  <c r="DA10" i="27" a="1"/>
  <c r="DA10" i="27"/>
  <c r="CZ10" i="27" a="1"/>
  <c r="CZ10" i="27" s="1"/>
  <c r="CY10" i="27" a="1"/>
  <c r="CY10" i="27"/>
  <c r="CX10" i="27" a="1"/>
  <c r="CX10" i="27" s="1"/>
  <c r="CW10" i="27" a="1"/>
  <c r="CW10" i="27"/>
  <c r="CV10" i="27" a="1"/>
  <c r="CV10" i="27" s="1"/>
  <c r="CU10" i="27" a="1"/>
  <c r="CU10" i="27"/>
  <c r="CT10" i="27" a="1"/>
  <c r="CT10" i="27" s="1"/>
  <c r="CS10" i="27" a="1"/>
  <c r="CS10" i="27"/>
  <c r="CR10" i="27" a="1"/>
  <c r="CR10" i="27" s="1"/>
  <c r="CQ10" i="27" a="1"/>
  <c r="CQ10" i="27"/>
  <c r="CP10" i="27" a="1"/>
  <c r="CP10" i="27" s="1"/>
  <c r="CO10" i="27" a="1"/>
  <c r="CO10" i="27"/>
  <c r="CN10" i="27" a="1"/>
  <c r="CN10" i="27" s="1"/>
  <c r="CM10" i="27" a="1"/>
  <c r="CM10" i="27"/>
  <c r="CL10" i="27" a="1"/>
  <c r="CL10" i="27" s="1"/>
  <c r="CK10" i="27" a="1"/>
  <c r="CK10" i="27"/>
  <c r="CJ10" i="27" a="1"/>
  <c r="CJ10" i="27" s="1"/>
  <c r="CI10" i="27" a="1"/>
  <c r="CI10" i="27"/>
  <c r="CH10" i="27" a="1"/>
  <c r="CH10" i="27" s="1"/>
  <c r="CG10" i="27" a="1"/>
  <c r="CG10" i="27"/>
  <c r="CF10" i="27" a="1"/>
  <c r="CF10" i="27" s="1"/>
  <c r="CE10" i="27" a="1"/>
  <c r="CE10" i="27"/>
  <c r="CD10" i="27" a="1"/>
  <c r="CD10" i="27" s="1"/>
  <c r="CC10" i="27" a="1"/>
  <c r="CC10" i="27"/>
  <c r="CB10" i="27" a="1"/>
  <c r="CB10" i="27" s="1"/>
  <c r="CA10" i="27" a="1"/>
  <c r="CA10" i="27"/>
  <c r="BZ10" i="27" a="1"/>
  <c r="BZ10" i="27" s="1"/>
  <c r="BY10" i="27" a="1"/>
  <c r="BY10" i="27"/>
  <c r="BX10" i="27" a="1"/>
  <c r="BX10" i="27" s="1"/>
  <c r="BW10" i="27" a="1"/>
  <c r="BW10" i="27"/>
  <c r="BV10" i="27" a="1"/>
  <c r="BV10" i="27" s="1"/>
  <c r="BU10" i="27" a="1"/>
  <c r="BU10" i="27"/>
  <c r="BT10" i="27" a="1"/>
  <c r="BT10" i="27" s="1"/>
  <c r="BS10" i="27" a="1"/>
  <c r="BS10" i="27"/>
  <c r="BR10" i="27" a="1"/>
  <c r="BR10" i="27" s="1"/>
  <c r="BQ10" i="27" a="1"/>
  <c r="BQ10" i="27"/>
  <c r="BP10" i="27" a="1"/>
  <c r="BP10" i="27" s="1"/>
  <c r="BO10" i="27" a="1"/>
  <c r="BO10" i="27"/>
  <c r="BN10" i="27" a="1"/>
  <c r="BN10" i="27" s="1"/>
  <c r="BM10" i="27" a="1"/>
  <c r="BM10" i="27"/>
  <c r="BL10" i="27" a="1"/>
  <c r="BL10" i="27" s="1"/>
  <c r="BK10" i="27" a="1"/>
  <c r="BK10" i="27"/>
  <c r="BJ10" i="27" a="1"/>
  <c r="BJ10" i="27" s="1"/>
  <c r="BI10" i="27" a="1"/>
  <c r="BI10" i="27"/>
  <c r="BH10" i="27" a="1"/>
  <c r="BH10" i="27" s="1"/>
  <c r="BG10" i="27" a="1"/>
  <c r="BG10" i="27"/>
  <c r="BF10" i="27" a="1"/>
  <c r="BF10" i="27" s="1"/>
  <c r="BE10" i="27" a="1"/>
  <c r="BE10" i="27"/>
  <c r="BD10" i="27" a="1"/>
  <c r="BD10" i="27" s="1"/>
  <c r="BC10" i="27" a="1"/>
  <c r="BC10" i="27"/>
  <c r="BB10" i="27" a="1"/>
  <c r="BB10" i="27" s="1"/>
  <c r="BA10" i="27" a="1"/>
  <c r="BA10" i="27"/>
  <c r="AZ10" i="27" a="1"/>
  <c r="AZ10" i="27" s="1"/>
  <c r="AY10" i="27" a="1"/>
  <c r="AY10" i="27"/>
  <c r="AX10" i="27" a="1"/>
  <c r="AX10" i="27" s="1"/>
  <c r="AW10" i="27" a="1"/>
  <c r="AW10" i="27"/>
  <c r="AV10" i="27" a="1"/>
  <c r="AV10" i="27" s="1"/>
  <c r="AU10" i="27" a="1"/>
  <c r="AU10" i="27"/>
  <c r="AT10" i="27" a="1"/>
  <c r="AT10" i="27" s="1"/>
  <c r="AS10" i="27" a="1"/>
  <c r="AS10" i="27"/>
  <c r="AR10" i="27" a="1"/>
  <c r="AR10" i="27" s="1"/>
  <c r="AQ10" i="27" a="1"/>
  <c r="AQ10" i="27"/>
  <c r="AP10" i="27" a="1"/>
  <c r="AP10" i="27" s="1"/>
  <c r="AO10" i="27" a="1"/>
  <c r="AO10" i="27"/>
  <c r="AN10" i="27" a="1"/>
  <c r="AN10" i="27" s="1"/>
  <c r="AM10" i="27" a="1"/>
  <c r="AM10" i="27"/>
  <c r="AL10" i="27" a="1"/>
  <c r="AL10" i="27" s="1"/>
  <c r="AK10" i="27" a="1"/>
  <c r="AK10" i="27"/>
  <c r="AJ10" i="27" a="1"/>
  <c r="AJ10" i="27" s="1"/>
  <c r="AI10" i="27" a="1"/>
  <c r="AI10" i="27"/>
  <c r="AH10" i="27" a="1"/>
  <c r="AH10" i="27" s="1"/>
  <c r="AG10" i="27" a="1"/>
  <c r="AG10" i="27"/>
  <c r="AF10" i="27" a="1"/>
  <c r="AF10" i="27" s="1"/>
  <c r="AE10" i="27" a="1"/>
  <c r="AE10" i="27"/>
  <c r="AD10" i="27" a="1"/>
  <c r="AD10" i="27" s="1"/>
  <c r="FV9" i="27" a="1"/>
  <c r="FV9" i="27" s="1"/>
  <c r="FT9" i="27" a="1"/>
  <c r="FT9" i="27" s="1"/>
  <c r="FR9" i="27" a="1"/>
  <c r="FR9" i="27" s="1"/>
  <c r="FP9" i="27" a="1"/>
  <c r="FP9" i="27" s="1"/>
  <c r="FN9" i="27" a="1"/>
  <c r="FN9" i="27" s="1"/>
  <c r="FL9" i="27" a="1"/>
  <c r="FL9" i="27" s="1"/>
  <c r="FJ9" i="27" a="1"/>
  <c r="FJ9" i="27" s="1"/>
  <c r="FH9" i="27" a="1"/>
  <c r="FH9" i="27" s="1"/>
  <c r="FF9" i="27" a="1"/>
  <c r="FF9" i="27" s="1"/>
  <c r="FD9" i="27" a="1"/>
  <c r="FD9" i="27" s="1"/>
  <c r="FB9" i="27" a="1"/>
  <c r="FB9" i="27" s="1"/>
  <c r="EZ9" i="27" a="1"/>
  <c r="EZ9" i="27" s="1"/>
  <c r="EX9" i="27" a="1"/>
  <c r="EX9" i="27" s="1"/>
  <c r="EV9" i="27" a="1"/>
  <c r="EV9" i="27" s="1"/>
  <c r="ET9" i="27" a="1"/>
  <c r="ET9" i="27" s="1"/>
  <c r="ER9" i="27" a="1"/>
  <c r="ER9" i="27" s="1"/>
  <c r="EP9" i="27" a="1"/>
  <c r="EP9" i="27" s="1"/>
  <c r="EN9" i="27" a="1"/>
  <c r="EN9" i="27" s="1"/>
  <c r="EL9" i="27" a="1"/>
  <c r="EL9" i="27" s="1"/>
  <c r="EJ9" i="27" a="1"/>
  <c r="EJ9" i="27" s="1"/>
  <c r="EH9" i="27" a="1"/>
  <c r="EH9" i="27" s="1"/>
  <c r="EF9" i="27" a="1"/>
  <c r="EF9" i="27" s="1"/>
  <c r="ED9" i="27" a="1"/>
  <c r="ED9" i="27" s="1"/>
  <c r="EB9" i="27" a="1"/>
  <c r="EB9" i="27" s="1"/>
  <c r="DZ9" i="27" a="1"/>
  <c r="DZ9" i="27" s="1"/>
  <c r="DX9" i="27" a="1"/>
  <c r="DX9" i="27" s="1"/>
  <c r="DV9" i="27" a="1"/>
  <c r="DV9" i="27" s="1"/>
  <c r="DT9" i="27" a="1"/>
  <c r="DT9" i="27" s="1"/>
  <c r="DR9" i="27" a="1"/>
  <c r="DR9" i="27" s="1"/>
  <c r="DP9" i="27" a="1"/>
  <c r="DP9" i="27" s="1"/>
  <c r="DN9" i="27" a="1"/>
  <c r="DN9" i="27" s="1"/>
  <c r="DL9" i="27" a="1"/>
  <c r="DL9" i="27" s="1"/>
  <c r="DJ9" i="27" a="1"/>
  <c r="DJ9" i="27" s="1"/>
  <c r="DH9" i="27" a="1"/>
  <c r="DH9" i="27" s="1"/>
  <c r="DF9" i="27" a="1"/>
  <c r="DF9" i="27" s="1"/>
  <c r="DD9" i="27" a="1"/>
  <c r="DD9" i="27" s="1"/>
  <c r="DB9" i="27" a="1"/>
  <c r="DB9" i="27" s="1"/>
  <c r="CZ9" i="27" a="1"/>
  <c r="CZ9" i="27" s="1"/>
  <c r="CX9" i="27" a="1"/>
  <c r="CX9" i="27" s="1"/>
  <c r="CV9" i="27" a="1"/>
  <c r="CV9" i="27" s="1"/>
  <c r="CT9" i="27" a="1"/>
  <c r="CT9" i="27" s="1"/>
  <c r="CR9" i="27" a="1"/>
  <c r="CR9" i="27" s="1"/>
  <c r="CP9" i="27" a="1"/>
  <c r="CP9" i="27" s="1"/>
  <c r="CN9" i="27" a="1"/>
  <c r="CN9" i="27" s="1"/>
  <c r="CL9" i="27" a="1"/>
  <c r="CL9" i="27" s="1"/>
  <c r="CJ9" i="27" a="1"/>
  <c r="CJ9" i="27" s="1"/>
  <c r="CH9" i="27" a="1"/>
  <c r="CH9" i="27" s="1"/>
  <c r="CF9" i="27" a="1"/>
  <c r="CF9" i="27" s="1"/>
  <c r="CD9" i="27" a="1"/>
  <c r="CD9" i="27" s="1"/>
  <c r="CB9" i="27" a="1"/>
  <c r="CB9" i="27" s="1"/>
  <c r="BZ9" i="27" a="1"/>
  <c r="BZ9" i="27" s="1"/>
  <c r="BX9" i="27" a="1"/>
  <c r="BX9" i="27" s="1"/>
  <c r="BV9" i="27" a="1"/>
  <c r="BV9" i="27" s="1"/>
  <c r="BT9" i="27" a="1"/>
  <c r="BT9" i="27" s="1"/>
  <c r="BR9" i="27" a="1"/>
  <c r="BR9" i="27" s="1"/>
  <c r="BP9" i="27" a="1"/>
  <c r="BP9" i="27" s="1"/>
  <c r="BN9" i="27" a="1"/>
  <c r="BN9" i="27" s="1"/>
  <c r="BL9" i="27" a="1"/>
  <c r="BL9" i="27" s="1"/>
  <c r="BJ9" i="27" a="1"/>
  <c r="BJ9" i="27" s="1"/>
  <c r="BH9" i="27" a="1"/>
  <c r="BH9" i="27" s="1"/>
  <c r="BF9" i="27" a="1"/>
  <c r="BF9" i="27" s="1"/>
  <c r="BD9" i="27" a="1"/>
  <c r="BD9" i="27" s="1"/>
  <c r="BB9" i="27" a="1"/>
  <c r="BB9" i="27" s="1"/>
  <c r="AZ9" i="27" a="1"/>
  <c r="AZ9" i="27" s="1"/>
  <c r="AX9" i="27" a="1"/>
  <c r="AX9" i="27" s="1"/>
  <c r="AV9" i="27" a="1"/>
  <c r="AV9" i="27" s="1"/>
  <c r="AT9" i="27" a="1"/>
  <c r="AT9" i="27" s="1"/>
  <c r="AR9" i="27" a="1"/>
  <c r="AR9" i="27" s="1"/>
  <c r="AP9" i="27" a="1"/>
  <c r="AP9" i="27" s="1"/>
  <c r="AN9" i="27" a="1"/>
  <c r="AN9" i="27" s="1"/>
  <c r="AL9" i="27" a="1"/>
  <c r="AL9" i="27" s="1"/>
  <c r="AJ9" i="27" a="1"/>
  <c r="AJ9" i="27" s="1"/>
  <c r="AH9" i="27" a="1"/>
  <c r="AH9" i="27" s="1"/>
  <c r="FW7" i="27" a="1"/>
  <c r="FW7" i="27" s="1"/>
  <c r="FV7" i="27" a="1"/>
  <c r="FV7" i="27"/>
  <c r="FV8" i="27" s="1"/>
  <c r="FU7" i="27" a="1"/>
  <c r="FU7" i="27" s="1"/>
  <c r="FU8" i="27" s="1"/>
  <c r="FT7" i="27" a="1"/>
  <c r="FT7" i="27"/>
  <c r="FS7" i="27" a="1"/>
  <c r="FS7" i="27" s="1"/>
  <c r="FR7" i="27" a="1"/>
  <c r="FR7" i="27"/>
  <c r="FR8" i="27" s="1"/>
  <c r="FQ7" i="27" a="1"/>
  <c r="FQ7" i="27" s="1"/>
  <c r="FQ8" i="27" s="1"/>
  <c r="FP7" i="27" a="1"/>
  <c r="FP7" i="27"/>
  <c r="FO7" i="27" a="1"/>
  <c r="FO7" i="27" s="1"/>
  <c r="FN7" i="27" a="1"/>
  <c r="FN7" i="27"/>
  <c r="FN8" i="27" s="1"/>
  <c r="FM7" i="27" a="1"/>
  <c r="FM7" i="27" s="1"/>
  <c r="FM8" i="27" s="1"/>
  <c r="FL7" i="27" a="1"/>
  <c r="FL7" i="27"/>
  <c r="FK7" i="27" a="1"/>
  <c r="FK7" i="27" s="1"/>
  <c r="FJ7" i="27" a="1"/>
  <c r="FJ7" i="27"/>
  <c r="FJ8" i="27" s="1"/>
  <c r="FI7" i="27" a="1"/>
  <c r="FI7" i="27" s="1"/>
  <c r="FI8" i="27" s="1"/>
  <c r="FH7" i="27" a="1"/>
  <c r="FH7" i="27"/>
  <c r="FG7" i="27" a="1"/>
  <c r="FG7" i="27" s="1"/>
  <c r="FF7" i="27" a="1"/>
  <c r="FF7" i="27"/>
  <c r="FF8" i="27" s="1"/>
  <c r="FE7" i="27" a="1"/>
  <c r="FE7" i="27" s="1"/>
  <c r="FE8" i="27" s="1"/>
  <c r="FD7" i="27" a="1"/>
  <c r="FD7" i="27"/>
  <c r="FC7" i="27" a="1"/>
  <c r="FC7" i="27" s="1"/>
  <c r="FB7" i="27" a="1"/>
  <c r="FB7" i="27"/>
  <c r="FB8" i="27" s="1"/>
  <c r="FA7" i="27" a="1"/>
  <c r="FA7" i="27" s="1"/>
  <c r="FA8" i="27" s="1"/>
  <c r="EZ7" i="27" a="1"/>
  <c r="EZ7" i="27"/>
  <c r="EY7" i="27" a="1"/>
  <c r="EY7" i="27" s="1"/>
  <c r="EX7" i="27" a="1"/>
  <c r="EX7" i="27"/>
  <c r="EX8" i="27" s="1"/>
  <c r="EW7" i="27" a="1"/>
  <c r="EW7" i="27" s="1"/>
  <c r="EW8" i="27" s="1"/>
  <c r="EV7" i="27" a="1"/>
  <c r="EV7" i="27"/>
  <c r="EU7" i="27" a="1"/>
  <c r="EU7" i="27" s="1"/>
  <c r="ET7" i="27" a="1"/>
  <c r="ET7" i="27"/>
  <c r="ET8" i="27" s="1"/>
  <c r="ES7" i="27" a="1"/>
  <c r="ES7" i="27" s="1"/>
  <c r="ES8" i="27" s="1"/>
  <c r="ER7" i="27" a="1"/>
  <c r="ER7" i="27"/>
  <c r="EQ7" i="27" a="1"/>
  <c r="EQ7" i="27" s="1"/>
  <c r="EP7" i="27" a="1"/>
  <c r="EP7" i="27"/>
  <c r="EP8" i="27" s="1"/>
  <c r="EO7" i="27" a="1"/>
  <c r="EO7" i="27" s="1"/>
  <c r="EO8" i="27" s="1"/>
  <c r="EN7" i="27" a="1"/>
  <c r="EN7" i="27"/>
  <c r="EM7" i="27" a="1"/>
  <c r="EM7" i="27" s="1"/>
  <c r="EL7" i="27" a="1"/>
  <c r="EL7" i="27"/>
  <c r="EL8" i="27" s="1"/>
  <c r="EK7" i="27" a="1"/>
  <c r="EK7" i="27" s="1"/>
  <c r="EK8" i="27" s="1"/>
  <c r="EJ7" i="27" a="1"/>
  <c r="EJ7" i="27"/>
  <c r="EI7" i="27" a="1"/>
  <c r="EI7" i="27" s="1"/>
  <c r="EH7" i="27" a="1"/>
  <c r="EH7" i="27"/>
  <c r="EH8" i="27" s="1"/>
  <c r="EG7" i="27" a="1"/>
  <c r="EG7" i="27" s="1"/>
  <c r="EG8" i="27" s="1"/>
  <c r="EF7" i="27" a="1"/>
  <c r="EF7" i="27"/>
  <c r="EE7" i="27" a="1"/>
  <c r="EE7" i="27" s="1"/>
  <c r="ED7" i="27" a="1"/>
  <c r="ED7" i="27"/>
  <c r="ED8" i="27" s="1"/>
  <c r="EC7" i="27" a="1"/>
  <c r="EC7" i="27" s="1"/>
  <c r="EC8" i="27" s="1"/>
  <c r="EB7" i="27" a="1"/>
  <c r="EB7" i="27"/>
  <c r="EA7" i="27" a="1"/>
  <c r="EA7" i="27" s="1"/>
  <c r="DZ7" i="27" a="1"/>
  <c r="DZ7" i="27"/>
  <c r="DZ8" i="27" s="1"/>
  <c r="DY7" i="27" a="1"/>
  <c r="DY7" i="27" s="1"/>
  <c r="DY8" i="27" s="1"/>
  <c r="DX7" i="27" a="1"/>
  <c r="DX7" i="27"/>
  <c r="DW7" i="27" a="1"/>
  <c r="DW7" i="27" s="1"/>
  <c r="DV7" i="27" a="1"/>
  <c r="DV7" i="27"/>
  <c r="DV8" i="27" s="1"/>
  <c r="DU7" i="27" a="1"/>
  <c r="DU7" i="27" s="1"/>
  <c r="DU8" i="27" s="1"/>
  <c r="DT7" i="27" a="1"/>
  <c r="DT7" i="27"/>
  <c r="DS7" i="27" a="1"/>
  <c r="DS7" i="27" s="1"/>
  <c r="DR7" i="27" a="1"/>
  <c r="DR7" i="27"/>
  <c r="DR8" i="27" s="1"/>
  <c r="DQ7" i="27" a="1"/>
  <c r="DQ7" i="27" s="1"/>
  <c r="DQ8" i="27" s="1"/>
  <c r="DP7" i="27" a="1"/>
  <c r="DP7" i="27"/>
  <c r="DO7" i="27" a="1"/>
  <c r="DO7" i="27" s="1"/>
  <c r="DN7" i="27" a="1"/>
  <c r="DN7" i="27"/>
  <c r="DN8" i="27" s="1"/>
  <c r="DM7" i="27" a="1"/>
  <c r="DM7" i="27" s="1"/>
  <c r="DM8" i="27" s="1"/>
  <c r="DL7" i="27" a="1"/>
  <c r="DL7" i="27"/>
  <c r="DK7" i="27" a="1"/>
  <c r="DK7" i="27" s="1"/>
  <c r="DJ7" i="27" a="1"/>
  <c r="DJ7" i="27"/>
  <c r="DJ8" i="27" s="1"/>
  <c r="DI7" i="27" a="1"/>
  <c r="DI7" i="27" s="1"/>
  <c r="DI8" i="27" s="1"/>
  <c r="DH7" i="27" a="1"/>
  <c r="DH7" i="27"/>
  <c r="DG7" i="27" a="1"/>
  <c r="DG7" i="27" s="1"/>
  <c r="DF7" i="27" a="1"/>
  <c r="DF7" i="27"/>
  <c r="DF8" i="27" s="1"/>
  <c r="DE7" i="27" a="1"/>
  <c r="DE7" i="27" s="1"/>
  <c r="DE8" i="27" s="1"/>
  <c r="DD7" i="27" a="1"/>
  <c r="DD7" i="27"/>
  <c r="DC7" i="27" a="1"/>
  <c r="DC7" i="27" s="1"/>
  <c r="DB7" i="27" a="1"/>
  <c r="DB7" i="27"/>
  <c r="DB8" i="27" s="1"/>
  <c r="DA7" i="27" a="1"/>
  <c r="DA7" i="27" s="1"/>
  <c r="DA8" i="27" s="1"/>
  <c r="CZ7" i="27" a="1"/>
  <c r="CZ7" i="27"/>
  <c r="CY7" i="27" a="1"/>
  <c r="CY7" i="27" s="1"/>
  <c r="CX7" i="27" a="1"/>
  <c r="CX7" i="27"/>
  <c r="CX8" i="27" s="1"/>
  <c r="CW7" i="27" a="1"/>
  <c r="CW7" i="27" s="1"/>
  <c r="CW8" i="27" s="1"/>
  <c r="CV7" i="27" a="1"/>
  <c r="CV7" i="27"/>
  <c r="CU7" i="27" a="1"/>
  <c r="CU7" i="27" s="1"/>
  <c r="CT7" i="27" a="1"/>
  <c r="CT7" i="27"/>
  <c r="CT8" i="27" s="1"/>
  <c r="CS7" i="27" a="1"/>
  <c r="CS7" i="27" s="1"/>
  <c r="CS8" i="27" s="1"/>
  <c r="CR7" i="27" a="1"/>
  <c r="CR7" i="27"/>
  <c r="CQ7" i="27" a="1"/>
  <c r="CQ7" i="27" s="1"/>
  <c r="CP7" i="27" a="1"/>
  <c r="CP7" i="27"/>
  <c r="CP8" i="27" s="1"/>
  <c r="CO7" i="27" a="1"/>
  <c r="CO7" i="27" s="1"/>
  <c r="CO8" i="27" s="1"/>
  <c r="CN7" i="27" a="1"/>
  <c r="CN7" i="27"/>
  <c r="CM7" i="27" a="1"/>
  <c r="CM7" i="27" s="1"/>
  <c r="CL7" i="27" a="1"/>
  <c r="CL7" i="27"/>
  <c r="CL8" i="27" s="1"/>
  <c r="CK7" i="27" a="1"/>
  <c r="CK7" i="27" s="1"/>
  <c r="CK8" i="27" s="1"/>
  <c r="CJ7" i="27" a="1"/>
  <c r="CJ7" i="27"/>
  <c r="CI7" i="27" a="1"/>
  <c r="CI7" i="27" s="1"/>
  <c r="CH7" i="27" a="1"/>
  <c r="CH7" i="27"/>
  <c r="CH8" i="27" s="1"/>
  <c r="CG7" i="27" a="1"/>
  <c r="CG7" i="27" s="1"/>
  <c r="CG8" i="27" s="1"/>
  <c r="CF7" i="27" a="1"/>
  <c r="CF7" i="27"/>
  <c r="CE7" i="27" a="1"/>
  <c r="CE7" i="27" s="1"/>
  <c r="CD7" i="27" a="1"/>
  <c r="CD7" i="27"/>
  <c r="CD8" i="27" s="1"/>
  <c r="CC7" i="27" a="1"/>
  <c r="CC7" i="27" s="1"/>
  <c r="CC8" i="27" s="1"/>
  <c r="CB7" i="27" a="1"/>
  <c r="CB7" i="27"/>
  <c r="CA7" i="27" a="1"/>
  <c r="CA7" i="27" s="1"/>
  <c r="BZ7" i="27" a="1"/>
  <c r="BZ7" i="27"/>
  <c r="BZ8" i="27" s="1"/>
  <c r="BY7" i="27" a="1"/>
  <c r="BY7" i="27" s="1"/>
  <c r="BY8" i="27" s="1"/>
  <c r="BX7" i="27" a="1"/>
  <c r="BX7" i="27"/>
  <c r="BW7" i="27" a="1"/>
  <c r="BW7" i="27" s="1"/>
  <c r="BV7" i="27" a="1"/>
  <c r="BV7" i="27"/>
  <c r="BV8" i="27" s="1"/>
  <c r="BU7" i="27" a="1"/>
  <c r="BU7" i="27" s="1"/>
  <c r="BU8" i="27" s="1"/>
  <c r="BT7" i="27" a="1"/>
  <c r="BT7" i="27"/>
  <c r="BS7" i="27" a="1"/>
  <c r="BS7" i="27" s="1"/>
  <c r="BR7" i="27" a="1"/>
  <c r="BR7" i="27"/>
  <c r="BR8" i="27" s="1"/>
  <c r="BQ7" i="27" a="1"/>
  <c r="BQ7" i="27" s="1"/>
  <c r="BQ8" i="27" s="1"/>
  <c r="BP7" i="27" a="1"/>
  <c r="BP7" i="27"/>
  <c r="BO7" i="27" a="1"/>
  <c r="BO7" i="27" s="1"/>
  <c r="BN7" i="27" a="1"/>
  <c r="BN7" i="27"/>
  <c r="BN8" i="27" s="1"/>
  <c r="BM7" i="27" a="1"/>
  <c r="BM7" i="27" s="1"/>
  <c r="BM8" i="27" s="1"/>
  <c r="BL7" i="27" a="1"/>
  <c r="BL7" i="27"/>
  <c r="BK7" i="27" a="1"/>
  <c r="BK7" i="27" s="1"/>
  <c r="BJ7" i="27" a="1"/>
  <c r="BJ7" i="27"/>
  <c r="BJ8" i="27" s="1"/>
  <c r="BI7" i="27" a="1"/>
  <c r="BI7" i="27" s="1"/>
  <c r="BI8" i="27" s="1"/>
  <c r="BH7" i="27" a="1"/>
  <c r="BH7" i="27"/>
  <c r="BG7" i="27" a="1"/>
  <c r="BG7" i="27" s="1"/>
  <c r="BF7" i="27" a="1"/>
  <c r="BF7" i="27"/>
  <c r="BF8" i="27" s="1"/>
  <c r="BE7" i="27" a="1"/>
  <c r="BE7" i="27" s="1"/>
  <c r="BE8" i="27" s="1"/>
  <c r="BD7" i="27" a="1"/>
  <c r="BD7" i="27"/>
  <c r="BC7" i="27" a="1"/>
  <c r="BC7" i="27" s="1"/>
  <c r="BB7" i="27" a="1"/>
  <c r="BB7" i="27"/>
  <c r="BB8" i="27" s="1"/>
  <c r="BA7" i="27" a="1"/>
  <c r="BA7" i="27" s="1"/>
  <c r="BA8" i="27" s="1"/>
  <c r="AZ7" i="27" a="1"/>
  <c r="AZ7" i="27"/>
  <c r="AY7" i="27" a="1"/>
  <c r="AY7" i="27" s="1"/>
  <c r="AX7" i="27" a="1"/>
  <c r="AX7" i="27"/>
  <c r="AX8" i="27" s="1"/>
  <c r="AW7" i="27" a="1"/>
  <c r="AW7" i="27" s="1"/>
  <c r="AW8" i="27" s="1"/>
  <c r="AV7" i="27" a="1"/>
  <c r="AV7" i="27"/>
  <c r="AU7" i="27" a="1"/>
  <c r="AU7" i="27" s="1"/>
  <c r="AT7" i="27" a="1"/>
  <c r="AT7" i="27"/>
  <c r="AT8" i="27" s="1"/>
  <c r="AS7" i="27" a="1"/>
  <c r="AS7" i="27" s="1"/>
  <c r="AS8" i="27" s="1"/>
  <c r="AR7" i="27" a="1"/>
  <c r="AR7" i="27"/>
  <c r="AQ7" i="27" a="1"/>
  <c r="AQ7" i="27" s="1"/>
  <c r="AP7" i="27" a="1"/>
  <c r="AP7" i="27"/>
  <c r="AP8" i="27" s="1"/>
  <c r="AO7" i="27" a="1"/>
  <c r="AO7" i="27" s="1"/>
  <c r="AO8" i="27" s="1"/>
  <c r="AN7" i="27" a="1"/>
  <c r="AN7" i="27"/>
  <c r="AM7" i="27" a="1"/>
  <c r="AM7" i="27" s="1"/>
  <c r="AL7" i="27" a="1"/>
  <c r="AL7" i="27"/>
  <c r="AL8" i="27" s="1"/>
  <c r="AK7" i="27" a="1"/>
  <c r="AK7" i="27" s="1"/>
  <c r="AK8" i="27" s="1"/>
  <c r="AJ7" i="27" a="1"/>
  <c r="AJ7" i="27"/>
  <c r="AI7" i="27" a="1"/>
  <c r="AI7" i="27" s="1"/>
  <c r="AH7" i="27" a="1"/>
  <c r="AH7" i="27"/>
  <c r="AH8" i="27" s="1"/>
  <c r="AG7" i="27" a="1"/>
  <c r="AG7" i="27" s="1"/>
  <c r="AG8" i="27" s="1"/>
  <c r="AF7" i="27" a="1"/>
  <c r="AF7" i="27"/>
  <c r="AE7" i="27" a="1"/>
  <c r="AE7" i="27" s="1"/>
  <c r="AD7" i="27" a="1"/>
  <c r="AD7" i="27"/>
  <c r="FW6" i="27"/>
  <c r="FV6" i="27"/>
  <c r="FU6" i="27"/>
  <c r="FU9" i="27" s="1" a="1"/>
  <c r="FU9" i="27" s="1"/>
  <c r="FT6" i="27"/>
  <c r="FT8" i="27" s="1"/>
  <c r="FS6" i="27"/>
  <c r="FR6" i="27"/>
  <c r="FQ6" i="27"/>
  <c r="FQ9" i="27" s="1" a="1"/>
  <c r="FQ9" i="27" s="1"/>
  <c r="FP6" i="27"/>
  <c r="FP8" i="27" s="1"/>
  <c r="FO6" i="27"/>
  <c r="FN6" i="27"/>
  <c r="FM6" i="27"/>
  <c r="FM9" i="27" s="1" a="1"/>
  <c r="FM9" i="27" s="1"/>
  <c r="FL6" i="27"/>
  <c r="FL25" i="27" s="1"/>
  <c r="FK6" i="27"/>
  <c r="FJ6" i="27"/>
  <c r="FI6" i="27"/>
  <c r="FI9" i="27" s="1" a="1"/>
  <c r="FI9" i="27" s="1"/>
  <c r="FH6" i="27"/>
  <c r="FH8" i="27" s="1"/>
  <c r="FG6" i="27"/>
  <c r="FF6" i="27"/>
  <c r="FE6" i="27"/>
  <c r="FE9" i="27" s="1" a="1"/>
  <c r="FE9" i="27" s="1"/>
  <c r="FD6" i="27"/>
  <c r="FD8" i="27" s="1"/>
  <c r="FC6" i="27"/>
  <c r="FB6" i="27"/>
  <c r="FA6" i="27"/>
  <c r="FA9" i="27" s="1" a="1"/>
  <c r="FA9" i="27" s="1"/>
  <c r="EZ6" i="27"/>
  <c r="EZ25" i="27" s="1"/>
  <c r="EY6" i="27"/>
  <c r="EX6" i="27"/>
  <c r="EW6" i="27"/>
  <c r="EW9" i="27" s="1" a="1"/>
  <c r="EW9" i="27" s="1"/>
  <c r="EV6" i="27"/>
  <c r="EV8" i="27" s="1"/>
  <c r="EU6" i="27"/>
  <c r="ET6" i="27"/>
  <c r="ES6" i="27"/>
  <c r="ES9" i="27" s="1" a="1"/>
  <c r="ES9" i="27" s="1"/>
  <c r="ER6" i="27"/>
  <c r="ER8" i="27" s="1"/>
  <c r="EQ6" i="27"/>
  <c r="EP6" i="27"/>
  <c r="EO6" i="27"/>
  <c r="EO9" i="27" s="1" a="1"/>
  <c r="EO9" i="27" s="1"/>
  <c r="EN6" i="27"/>
  <c r="EN25" i="27" s="1"/>
  <c r="EM6" i="27"/>
  <c r="EL6" i="27"/>
  <c r="EK6" i="27"/>
  <c r="EK9" i="27" s="1" a="1"/>
  <c r="EK9" i="27" s="1"/>
  <c r="EJ6" i="27"/>
  <c r="EJ8" i="27" s="1"/>
  <c r="EI6" i="27"/>
  <c r="EH6" i="27"/>
  <c r="EG6" i="27"/>
  <c r="EG9" i="27" s="1" a="1"/>
  <c r="EG9" i="27" s="1"/>
  <c r="EF6" i="27"/>
  <c r="EF8" i="27" s="1"/>
  <c r="EE6" i="27"/>
  <c r="ED6" i="27"/>
  <c r="EC6" i="27"/>
  <c r="EC9" i="27" s="1" a="1"/>
  <c r="EC9" i="27" s="1"/>
  <c r="EB6" i="27"/>
  <c r="EB25" i="27" s="1"/>
  <c r="EA6" i="27"/>
  <c r="DZ6" i="27"/>
  <c r="DY6" i="27"/>
  <c r="DY9" i="27" s="1" a="1"/>
  <c r="DY9" i="27" s="1"/>
  <c r="DX6" i="27"/>
  <c r="DX8" i="27" s="1"/>
  <c r="DW6" i="27"/>
  <c r="DV6" i="27"/>
  <c r="DU6" i="27"/>
  <c r="DU9" i="27" s="1" a="1"/>
  <c r="DU9" i="27" s="1"/>
  <c r="DT6" i="27"/>
  <c r="DT8" i="27" s="1"/>
  <c r="DS6" i="27"/>
  <c r="DR6" i="27"/>
  <c r="DQ6" i="27"/>
  <c r="DQ9" i="27" s="1" a="1"/>
  <c r="DQ9" i="27" s="1"/>
  <c r="DP6" i="27"/>
  <c r="DP25" i="27" s="1"/>
  <c r="DO6" i="27"/>
  <c r="DN6" i="27"/>
  <c r="DM6" i="27"/>
  <c r="DM9" i="27" s="1" a="1"/>
  <c r="DM9" i="27" s="1"/>
  <c r="DL6" i="27"/>
  <c r="DL8" i="27" s="1"/>
  <c r="DK6" i="27"/>
  <c r="DJ6" i="27"/>
  <c r="DI6" i="27"/>
  <c r="DI9" i="27" s="1" a="1"/>
  <c r="DI9" i="27" s="1"/>
  <c r="DH6" i="27"/>
  <c r="DH8" i="27" s="1"/>
  <c r="DG6" i="27"/>
  <c r="DF6" i="27"/>
  <c r="DE6" i="27"/>
  <c r="DE9" i="27" s="1" a="1"/>
  <c r="DE9" i="27" s="1"/>
  <c r="DD6" i="27"/>
  <c r="DD25" i="27" s="1"/>
  <c r="DC6" i="27"/>
  <c r="DB6" i="27"/>
  <c r="DA6" i="27"/>
  <c r="DA9" i="27" s="1" a="1"/>
  <c r="DA9" i="27" s="1"/>
  <c r="CZ6" i="27"/>
  <c r="CZ8" i="27" s="1"/>
  <c r="CY6" i="27"/>
  <c r="CX6" i="27"/>
  <c r="CW6" i="27"/>
  <c r="CW9" i="27" s="1" a="1"/>
  <c r="CW9" i="27" s="1"/>
  <c r="CV6" i="27"/>
  <c r="CV8" i="27" s="1"/>
  <c r="CU6" i="27"/>
  <c r="CT6" i="27"/>
  <c r="CS6" i="27"/>
  <c r="CS9" i="27" s="1" a="1"/>
  <c r="CS9" i="27" s="1"/>
  <c r="CR6" i="27"/>
  <c r="CR25" i="27" s="1"/>
  <c r="CQ6" i="27"/>
  <c r="CP6" i="27"/>
  <c r="CO6" i="27"/>
  <c r="CO9" i="27" s="1" a="1"/>
  <c r="CO9" i="27" s="1"/>
  <c r="CN6" i="27"/>
  <c r="CN8" i="27" s="1"/>
  <c r="CM6" i="27"/>
  <c r="CL6" i="27"/>
  <c r="CK6" i="27"/>
  <c r="CK9" i="27" s="1" a="1"/>
  <c r="CK9" i="27" s="1"/>
  <c r="CJ6" i="27"/>
  <c r="CJ8" i="27" s="1"/>
  <c r="CI6" i="27"/>
  <c r="CH6" i="27"/>
  <c r="CG6" i="27"/>
  <c r="CG9" i="27" s="1" a="1"/>
  <c r="CG9" i="27" s="1"/>
  <c r="CF6" i="27"/>
  <c r="CF25" i="27" s="1"/>
  <c r="CE6" i="27"/>
  <c r="CD6" i="27"/>
  <c r="CC6" i="27"/>
  <c r="CC9" i="27" s="1" a="1"/>
  <c r="CC9" i="27" s="1"/>
  <c r="CB6" i="27"/>
  <c r="CB8" i="27" s="1"/>
  <c r="CA6" i="27"/>
  <c r="BZ6" i="27"/>
  <c r="BY6" i="27"/>
  <c r="BY9" i="27" s="1" a="1"/>
  <c r="BY9" i="27" s="1"/>
  <c r="BX6" i="27"/>
  <c r="BX8" i="27" s="1"/>
  <c r="BW6" i="27"/>
  <c r="BV6" i="27"/>
  <c r="BU6" i="27"/>
  <c r="BU9" i="27" s="1" a="1"/>
  <c r="BU9" i="27" s="1"/>
  <c r="BT6" i="27"/>
  <c r="BT25" i="27" s="1"/>
  <c r="BS6" i="27"/>
  <c r="BR6" i="27"/>
  <c r="BQ6" i="27"/>
  <c r="BQ9" i="27" s="1" a="1"/>
  <c r="BQ9" i="27" s="1"/>
  <c r="BP6" i="27"/>
  <c r="BP8" i="27" s="1"/>
  <c r="BO6" i="27"/>
  <c r="BN6" i="27"/>
  <c r="BM6" i="27"/>
  <c r="BM9" i="27" s="1" a="1"/>
  <c r="BM9" i="27" s="1"/>
  <c r="BL6" i="27"/>
  <c r="BL8" i="27" s="1"/>
  <c r="BK6" i="27"/>
  <c r="BJ6" i="27"/>
  <c r="BI6" i="27"/>
  <c r="BI9" i="27" s="1" a="1"/>
  <c r="BI9" i="27" s="1"/>
  <c r="BH6" i="27"/>
  <c r="BH25" i="27" s="1"/>
  <c r="BG6" i="27"/>
  <c r="BF6" i="27"/>
  <c r="BE6" i="27"/>
  <c r="BE9" i="27" s="1" a="1"/>
  <c r="BE9" i="27" s="1"/>
  <c r="BD6" i="27"/>
  <c r="BD8" i="27" s="1"/>
  <c r="BC6" i="27"/>
  <c r="BB6" i="27"/>
  <c r="BA6" i="27"/>
  <c r="BA9" i="27" s="1" a="1"/>
  <c r="BA9" i="27" s="1"/>
  <c r="AZ6" i="27"/>
  <c r="AZ8" i="27" s="1"/>
  <c r="AY6" i="27"/>
  <c r="AX6" i="27"/>
  <c r="AW6" i="27"/>
  <c r="AW9" i="27" s="1" a="1"/>
  <c r="AW9" i="27" s="1"/>
  <c r="AV6" i="27"/>
  <c r="AV25" i="27" s="1"/>
  <c r="AU6" i="27"/>
  <c r="AT6" i="27"/>
  <c r="AS6" i="27"/>
  <c r="AS9" i="27" s="1" a="1"/>
  <c r="AS9" i="27" s="1"/>
  <c r="AR6" i="27"/>
  <c r="AR8" i="27" s="1"/>
  <c r="AQ6" i="27"/>
  <c r="AP6" i="27"/>
  <c r="AO6" i="27"/>
  <c r="AO9" i="27" s="1" a="1"/>
  <c r="AO9" i="27" s="1"/>
  <c r="AN6" i="27"/>
  <c r="AN8" i="27" s="1"/>
  <c r="AM6" i="27"/>
  <c r="AL6" i="27"/>
  <c r="AK6" i="27"/>
  <c r="AK9" i="27" s="1" a="1"/>
  <c r="AK9" i="27" s="1"/>
  <c r="AJ6" i="27"/>
  <c r="AJ25" i="27" s="1"/>
  <c r="AI6" i="27"/>
  <c r="AH6" i="27"/>
  <c r="AG6" i="27"/>
  <c r="AG9" i="27" s="1" a="1"/>
  <c r="AG9" i="27" s="1"/>
  <c r="AF6" i="27" a="1"/>
  <c r="AF6" i="27"/>
  <c r="AF8" i="27" s="1"/>
  <c r="AE6" i="27" a="1"/>
  <c r="AE6" i="27" s="1"/>
  <c r="AD6" i="27" a="1"/>
  <c r="AD6" i="27"/>
  <c r="T183" i="26"/>
  <c r="L179" i="26" a="1"/>
  <c r="L179" i="26"/>
  <c r="L178" i="26" a="1"/>
  <c r="L178" i="26"/>
  <c r="L177" i="26" a="1"/>
  <c r="L177" i="26"/>
  <c r="L176" i="26" a="1"/>
  <c r="L176" i="26" s="1"/>
  <c r="L175" i="26" a="1"/>
  <c r="L175" i="26" s="1"/>
  <c r="AG174" i="26"/>
  <c r="AF174" i="26"/>
  <c r="L174" i="26" a="1"/>
  <c r="L174" i="26"/>
  <c r="L173" i="26" a="1"/>
  <c r="L173" i="26"/>
  <c r="L172" i="26" a="1"/>
  <c r="L172" i="26"/>
  <c r="L171" i="26" a="1"/>
  <c r="L171" i="26" s="1"/>
  <c r="L170" i="26" a="1"/>
  <c r="L170" i="26" s="1"/>
  <c r="L169" i="26" a="1"/>
  <c r="L169" i="26"/>
  <c r="AG166" i="26"/>
  <c r="AG165" i="26" s="1" a="1"/>
  <c r="AG165" i="26" s="1"/>
  <c r="AF166" i="26"/>
  <c r="AF165" i="26" a="1"/>
  <c r="AF165" i="26" s="1"/>
  <c r="AG160" i="26"/>
  <c r="AF160" i="26"/>
  <c r="AG150" i="26" a="1"/>
  <c r="AG150" i="26" s="1"/>
  <c r="AF136" i="26" a="1"/>
  <c r="AF136" i="26" s="1"/>
  <c r="T129" i="26"/>
  <c r="T130" i="26" s="1" a="1"/>
  <c r="T130" i="26" s="1"/>
  <c r="T131" i="26" s="1" a="1"/>
  <c r="T131" i="26" s="1"/>
  <c r="T132" i="26" s="1" a="1"/>
  <c r="T132" i="26" s="1"/>
  <c r="T133" i="26" s="1" a="1"/>
  <c r="T133" i="26" s="1"/>
  <c r="T134" i="26" s="1" a="1"/>
  <c r="T134" i="26" s="1"/>
  <c r="T135" i="26" s="1" a="1"/>
  <c r="T135" i="26" s="1"/>
  <c r="T136" i="26" s="1" a="1"/>
  <c r="T136" i="26" s="1"/>
  <c r="T137" i="26" s="1" a="1"/>
  <c r="T137" i="26" s="1"/>
  <c r="T138" i="26" s="1" a="1"/>
  <c r="T138" i="26" s="1"/>
  <c r="T139" i="26" s="1" a="1"/>
  <c r="T139" i="26" s="1"/>
  <c r="T140" i="26" s="1" a="1"/>
  <c r="T140" i="26" s="1"/>
  <c r="T141" i="26" s="1" a="1"/>
  <c r="T141" i="26" s="1"/>
  <c r="T142" i="26" s="1" a="1"/>
  <c r="T142" i="26" s="1"/>
  <c r="T143" i="26" s="1" a="1"/>
  <c r="T143" i="26" s="1"/>
  <c r="T144" i="26" s="1" a="1"/>
  <c r="T144" i="26" s="1"/>
  <c r="T145" i="26" s="1" a="1"/>
  <c r="T145" i="26" s="1"/>
  <c r="T146" i="26" s="1" a="1"/>
  <c r="T146" i="26" s="1"/>
  <c r="T147" i="26" s="1" a="1"/>
  <c r="T147" i="26" s="1"/>
  <c r="T148" i="26" s="1" a="1"/>
  <c r="T148" i="26" s="1"/>
  <c r="T149" i="26" s="1" a="1"/>
  <c r="T149" i="26" s="1"/>
  <c r="T150" i="26" s="1" a="1"/>
  <c r="T150" i="26" s="1"/>
  <c r="T151" i="26" s="1" a="1"/>
  <c r="T151" i="26" s="1"/>
  <c r="T152" i="26" s="1" a="1"/>
  <c r="T152" i="26" s="1"/>
  <c r="T153" i="26" s="1" a="1"/>
  <c r="T153" i="26" s="1"/>
  <c r="T154" i="26" s="1" a="1"/>
  <c r="T154" i="26" s="1"/>
  <c r="T155" i="26" s="1" a="1"/>
  <c r="T155" i="26" s="1"/>
  <c r="T156" i="26" s="1" a="1"/>
  <c r="T156" i="26" s="1"/>
  <c r="T157" i="26" s="1" a="1"/>
  <c r="T157" i="26" s="1"/>
  <c r="T158" i="26" s="1" a="1"/>
  <c r="T158" i="26" s="1"/>
  <c r="T159" i="26" s="1" a="1"/>
  <c r="T159" i="26" s="1"/>
  <c r="T160" i="26" s="1" a="1"/>
  <c r="T160" i="26" s="1"/>
  <c r="T161" i="26" s="1" a="1"/>
  <c r="T161" i="26" s="1"/>
  <c r="T162" i="26" s="1" a="1"/>
  <c r="T162" i="26" s="1"/>
  <c r="T163" i="26" s="1" a="1"/>
  <c r="T163" i="26" s="1"/>
  <c r="T164" i="26" s="1" a="1"/>
  <c r="T164" i="26" s="1"/>
  <c r="T165" i="26" s="1" a="1"/>
  <c r="T165" i="26" s="1"/>
  <c r="T166" i="26" s="1" a="1"/>
  <c r="T166" i="26" s="1"/>
  <c r="T167" i="26" s="1" a="1"/>
  <c r="T167" i="26" s="1"/>
  <c r="T168" i="26" s="1" a="1"/>
  <c r="T168" i="26" s="1"/>
  <c r="T169" i="26" s="1" a="1"/>
  <c r="T169" i="26" s="1"/>
  <c r="T170" i="26" s="1" a="1"/>
  <c r="T170" i="26" s="1"/>
  <c r="T171" i="26" s="1" a="1"/>
  <c r="T171" i="26" s="1"/>
  <c r="T172" i="26" s="1" a="1"/>
  <c r="T172" i="26" s="1"/>
  <c r="T173" i="26" s="1" a="1"/>
  <c r="T173" i="26" s="1"/>
  <c r="T174" i="26" s="1" a="1"/>
  <c r="T174" i="26" s="1"/>
  <c r="T175" i="26" s="1" a="1"/>
  <c r="T175" i="26" s="1"/>
  <c r="T176" i="26" s="1" a="1"/>
  <c r="T176" i="26" s="1"/>
  <c r="T177" i="26" s="1" a="1"/>
  <c r="T177" i="26" s="1"/>
  <c r="T178" i="26" s="1" a="1"/>
  <c r="T178" i="26" s="1"/>
  <c r="T179" i="26" s="1" a="1"/>
  <c r="T179" i="26" s="1"/>
  <c r="S129" i="26" a="1"/>
  <c r="S129" i="26"/>
  <c r="B158" i="26" s="1"/>
  <c r="B159" i="26" s="1" a="1"/>
  <c r="B159" i="26" s="1"/>
  <c r="F129" i="26" a="1"/>
  <c r="F129" i="26" s="1"/>
  <c r="F130" i="26" s="1" a="1"/>
  <c r="F130" i="26" s="1"/>
  <c r="F131" i="26" s="1" a="1"/>
  <c r="F131" i="26" s="1"/>
  <c r="F132" i="26" s="1" a="1"/>
  <c r="F132" i="26" s="1"/>
  <c r="F133" i="26" s="1" a="1"/>
  <c r="F133" i="26" s="1"/>
  <c r="F134" i="26" s="1" a="1"/>
  <c r="F134" i="26" s="1"/>
  <c r="F135" i="26" s="1" a="1"/>
  <c r="F135" i="26" s="1"/>
  <c r="F136" i="26" s="1" a="1"/>
  <c r="F136" i="26" s="1"/>
  <c r="F137" i="26" s="1" a="1"/>
  <c r="F137" i="26" s="1"/>
  <c r="F138" i="26" s="1" a="1"/>
  <c r="F138" i="26" s="1"/>
  <c r="F139" i="26" s="1" a="1"/>
  <c r="F139" i="26" s="1"/>
  <c r="F140" i="26" s="1" a="1"/>
  <c r="F140" i="26" s="1"/>
  <c r="L128" i="26" a="1"/>
  <c r="L128" i="26"/>
  <c r="L127" i="26" a="1"/>
  <c r="L127" i="26"/>
  <c r="L126" i="26" a="1"/>
  <c r="L126" i="26"/>
  <c r="L125" i="26" a="1"/>
  <c r="L125" i="26"/>
  <c r="L124" i="26" a="1"/>
  <c r="L124" i="26" s="1"/>
  <c r="AG123" i="26" a="1"/>
  <c r="AG123" i="26"/>
  <c r="AF123" i="26"/>
  <c r="L123" i="26" a="1"/>
  <c r="L123" i="26" s="1"/>
  <c r="L122" i="26" a="1"/>
  <c r="L122" i="26" s="1"/>
  <c r="L121" i="26" a="1"/>
  <c r="L121" i="26" s="1"/>
  <c r="L120" i="26" a="1"/>
  <c r="L120" i="26"/>
  <c r="L119" i="26" a="1"/>
  <c r="L119" i="26"/>
  <c r="L118" i="26" a="1"/>
  <c r="L118" i="26" s="1"/>
  <c r="AG115" i="26"/>
  <c r="AF115" i="26"/>
  <c r="AF114" i="26" s="1" a="1"/>
  <c r="AF114" i="26" s="1"/>
  <c r="AG114" i="26" a="1"/>
  <c r="AG114" i="26" s="1"/>
  <c r="AG109" i="26"/>
  <c r="AF109" i="26"/>
  <c r="AG102" i="26"/>
  <c r="AF102" i="26"/>
  <c r="AG99" i="26" a="1"/>
  <c r="AG99" i="26" s="1"/>
  <c r="AF85" i="26" a="1"/>
  <c r="AF85" i="26"/>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s="1"/>
  <c r="F78" i="26" a="1"/>
  <c r="F78" i="26"/>
  <c r="F79" i="26" s="1" a="1"/>
  <c r="F79" i="26" s="1"/>
  <c r="F80" i="26" s="1" a="1"/>
  <c r="F80" i="26" s="1"/>
  <c r="F81" i="26" s="1" a="1"/>
  <c r="F81" i="26" s="1"/>
  <c r="F82" i="26" s="1" a="1"/>
  <c r="F82" i="26" s="1"/>
  <c r="F83" i="26" s="1" a="1"/>
  <c r="F83" i="26" s="1"/>
  <c r="F84" i="26" s="1" a="1"/>
  <c r="F84" i="26" s="1"/>
  <c r="F85" i="26" s="1" a="1"/>
  <c r="F85" i="26" s="1"/>
  <c r="L77" i="26" a="1"/>
  <c r="L77" i="26"/>
  <c r="L76" i="26" a="1"/>
  <c r="L76" i="26"/>
  <c r="L75" i="26" a="1"/>
  <c r="L75" i="26"/>
  <c r="L74" i="26" a="1"/>
  <c r="L74" i="26" s="1"/>
  <c r="L73" i="26" a="1"/>
  <c r="L73" i="26" s="1"/>
  <c r="AG72" i="26"/>
  <c r="AF72" i="26"/>
  <c r="L72" i="26" a="1"/>
  <c r="L72" i="26"/>
  <c r="L71" i="26" a="1"/>
  <c r="L71" i="26"/>
  <c r="L70" i="26" a="1"/>
  <c r="L70" i="26"/>
  <c r="L69" i="26" a="1"/>
  <c r="L69" i="26" s="1"/>
  <c r="L68" i="26" a="1"/>
  <c r="L68" i="26" s="1"/>
  <c r="L67" i="26" a="1"/>
  <c r="L67" i="26"/>
  <c r="AG64" i="26"/>
  <c r="AG63" i="26" s="1" a="1"/>
  <c r="AG63" i="26" s="1"/>
  <c r="AF64" i="26"/>
  <c r="AF63" i="26" a="1"/>
  <c r="AF63" i="26" s="1"/>
  <c r="AG58" i="26"/>
  <c r="AF58" i="26"/>
  <c r="AG51" i="26"/>
  <c r="AF51" i="26"/>
  <c r="AF44" i="26"/>
  <c r="T28" i="26" a="1"/>
  <c r="T28" i="26" s="1"/>
  <c r="T29" i="26" s="1"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40" i="26" s="1"/>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T27" i="26"/>
  <c r="S27" i="26" a="1"/>
  <c r="S27" i="26" s="1"/>
  <c r="F27" i="26" a="1"/>
  <c r="F27" i="26"/>
  <c r="F28" i="26" s="1" a="1"/>
  <c r="F28" i="26" s="1"/>
  <c r="F29" i="26" s="1" a="1"/>
  <c r="F29" i="26" s="1"/>
  <c r="F30" i="26" s="1" a="1"/>
  <c r="F30" i="26" s="1"/>
  <c r="F31" i="26" s="1" a="1"/>
  <c r="F31" i="26" s="1"/>
  <c r="F32" i="26" s="1" a="1"/>
  <c r="F32" i="26" s="1"/>
  <c r="F33" i="26" s="1" a="1"/>
  <c r="F33" i="26" s="1"/>
  <c r="AG24" i="26"/>
  <c r="AF24" i="26"/>
  <c r="AH11" i="26" a="1"/>
  <c r="AH11" i="26" s="1"/>
  <c r="AG10" i="26" a="1"/>
  <c r="AG10" i="26"/>
  <c r="AF10" i="26" a="1"/>
  <c r="AF10" i="26" s="1"/>
  <c r="AF9" i="26" a="1"/>
  <c r="AF9" i="26" s="1"/>
  <c r="AG7" i="26" a="1"/>
  <c r="AG7" i="26"/>
  <c r="AF7" i="26" a="1"/>
  <c r="AF7" i="26" s="1"/>
  <c r="AG6" i="26"/>
  <c r="AG9" i="26" s="1" a="1"/>
  <c r="AG9" i="26" s="1"/>
  <c r="AF6" i="26"/>
  <c r="T38" i="25"/>
  <c r="AL34" i="25"/>
  <c r="AL33" i="25"/>
  <c r="T33" i="25"/>
  <c r="T34" i="25" s="1" a="1"/>
  <c r="T34" i="25" s="1"/>
  <c r="AL32" i="25"/>
  <c r="AK32" i="25"/>
  <c r="AJ32" i="25"/>
  <c r="AI32" i="25"/>
  <c r="AH32" i="25"/>
  <c r="AG32" i="25"/>
  <c r="AF32" i="25"/>
  <c r="AE32" i="25"/>
  <c r="T32" i="25"/>
  <c r="T33" i="25" s="1" a="1"/>
  <c r="F32" i="25" a="1"/>
  <c r="F32" i="25" s="1"/>
  <c r="F33" i="25" s="1" a="1"/>
  <c r="F33" i="25" s="1"/>
  <c r="F34" i="25" s="1" a="1"/>
  <c r="F34" i="25" s="1"/>
  <c r="AL31" i="25"/>
  <c r="AL30" i="25"/>
  <c r="T30" i="25"/>
  <c r="T31" i="25" s="1" a="1"/>
  <c r="T31" i="25" s="1"/>
  <c r="AL29" i="25"/>
  <c r="AK29" i="25"/>
  <c r="AJ29" i="25"/>
  <c r="AI29" i="25"/>
  <c r="AH29" i="25"/>
  <c r="AG29" i="25"/>
  <c r="AF29" i="25"/>
  <c r="AE29" i="25"/>
  <c r="T29" i="25"/>
  <c r="T30" i="25" s="1" a="1"/>
  <c r="F29" i="25" a="1"/>
  <c r="F29" i="25" s="1"/>
  <c r="F30" i="25" s="1" a="1"/>
  <c r="F30" i="25" s="1"/>
  <c r="F31" i="25" s="1" a="1"/>
  <c r="F31" i="25" s="1"/>
  <c r="AL28" i="25"/>
  <c r="AL27" i="25"/>
  <c r="T27" i="25" a="1"/>
  <c r="T27" i="25"/>
  <c r="T28" i="25" s="1" a="1"/>
  <c r="T28" i="25" s="1"/>
  <c r="AL26" i="25"/>
  <c r="AK26" i="25"/>
  <c r="AJ26" i="25"/>
  <c r="AI26" i="25"/>
  <c r="AH26" i="25"/>
  <c r="AG26" i="25"/>
  <c r="AF26" i="25"/>
  <c r="AE26" i="25"/>
  <c r="T26" i="25"/>
  <c r="F26" i="25" a="1"/>
  <c r="F26" i="25"/>
  <c r="F27" i="25" s="1" a="1"/>
  <c r="F27" i="25" s="1"/>
  <c r="F28" i="25" s="1" a="1"/>
  <c r="F28" i="25" s="1"/>
  <c r="AL9" i="25" a="1"/>
  <c r="AL9" i="25" s="1"/>
  <c r="AK9" i="25" a="1"/>
  <c r="AK9" i="25"/>
  <c r="AJ9" i="25" a="1"/>
  <c r="AJ9" i="25" s="1"/>
  <c r="AI9" i="25" a="1"/>
  <c r="AI9" i="25"/>
  <c r="AH9" i="25" a="1"/>
  <c r="AH9" i="25" s="1"/>
  <c r="AG9" i="25" a="1"/>
  <c r="AG9" i="25"/>
  <c r="AF9" i="25" a="1"/>
  <c r="AF9" i="25" s="1"/>
  <c r="AE9" i="25" a="1"/>
  <c r="AE9" i="25"/>
  <c r="AL6" i="25" a="1"/>
  <c r="AL6" i="25" s="1"/>
  <c r="AK6" i="25" a="1"/>
  <c r="AK6" i="25"/>
  <c r="AJ6" i="25" a="1"/>
  <c r="AJ6" i="25" s="1"/>
  <c r="AI6" i="25" a="1"/>
  <c r="AI6" i="25"/>
  <c r="AH6" i="25" a="1"/>
  <c r="AH6" i="25" s="1"/>
  <c r="AG6" i="25" a="1"/>
  <c r="AG6" i="25"/>
  <c r="AF6" i="25" a="1"/>
  <c r="AF6" i="25" s="1"/>
  <c r="AE6" i="25" a="1"/>
  <c r="AE6" i="25"/>
  <c r="T54" i="24"/>
  <c r="AX44" i="24"/>
  <c r="AW44" i="24"/>
  <c r="AV44" i="24"/>
  <c r="AU44" i="24"/>
  <c r="AT44" i="24"/>
  <c r="AS44" i="24"/>
  <c r="AR44" i="24"/>
  <c r="AQ44" i="24"/>
  <c r="AP44" i="24"/>
  <c r="AO44" i="24"/>
  <c r="AN44" i="24"/>
  <c r="AM44" i="24"/>
  <c r="AL44" i="24"/>
  <c r="AK44" i="24"/>
  <c r="AJ44" i="24"/>
  <c r="AI44" i="24"/>
  <c r="AH44" i="24"/>
  <c r="AG44" i="24"/>
  <c r="AF44" i="24"/>
  <c r="AE44" i="24"/>
  <c r="T44" i="24"/>
  <c r="T45" i="24" s="1" a="1"/>
  <c r="T45" i="24" s="1"/>
  <c r="T46" i="24" s="1" a="1"/>
  <c r="T46" i="24" s="1"/>
  <c r="T47" i="24" s="1" a="1"/>
  <c r="T47" i="24" s="1"/>
  <c r="T48" i="24" s="1" a="1"/>
  <c r="T48" i="24" s="1"/>
  <c r="T49" i="24" s="1" a="1"/>
  <c r="T49" i="24" s="1"/>
  <c r="T50" i="24" s="1" a="1"/>
  <c r="T50" i="24" s="1"/>
  <c r="T43" i="24"/>
  <c r="T44" i="24" s="1" a="1"/>
  <c r="F43" i="24" a="1"/>
  <c r="F43" i="24" s="1"/>
  <c r="F44" i="24" s="1" a="1"/>
  <c r="F44" i="24" s="1"/>
  <c r="F45" i="24" s="1" a="1"/>
  <c r="F45" i="24" s="1"/>
  <c r="F46" i="24" s="1" a="1"/>
  <c r="F46" i="24" s="1"/>
  <c r="F47" i="24" s="1" a="1"/>
  <c r="F47" i="24" s="1"/>
  <c r="F48" i="24" s="1" a="1"/>
  <c r="F48" i="24" s="1"/>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T42" i="24" s="1" a="1"/>
  <c r="T42" i="24" s="1"/>
  <c r="F35" i="24" a="1"/>
  <c r="F35" i="24" s="1"/>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8" i="24"/>
  <c r="T29" i="24" s="1" a="1"/>
  <c r="T29" i="24" s="1"/>
  <c r="T30" i="24" s="1" a="1"/>
  <c r="T30" i="24" s="1"/>
  <c r="T31" i="24" s="1" a="1"/>
  <c r="T31" i="24" s="1"/>
  <c r="T32" i="24" s="1" a="1"/>
  <c r="T32" i="24" s="1"/>
  <c r="T33" i="24" s="1" a="1"/>
  <c r="T33" i="24" s="1"/>
  <c r="T34" i="24" s="1" a="1"/>
  <c r="T34" i="24" s="1"/>
  <c r="F28" i="24" a="1"/>
  <c r="F28" i="24" s="1"/>
  <c r="F29" i="24" s="1" a="1"/>
  <c r="F29" i="24" s="1"/>
  <c r="F30" i="24" s="1" a="1"/>
  <c r="F30" i="24" s="1"/>
  <c r="F31" i="24" s="1" a="1"/>
  <c r="F31" i="24" s="1"/>
  <c r="F32" i="24" s="1" a="1"/>
  <c r="F32" i="24" s="1"/>
  <c r="T27" i="24"/>
  <c r="T28" i="24" s="1" a="1"/>
  <c r="F27" i="24" a="1"/>
  <c r="F27" i="24"/>
  <c r="AX24" i="24"/>
  <c r="AW24" i="24"/>
  <c r="AV24" i="24"/>
  <c r="AU24" i="24"/>
  <c r="AT24" i="24"/>
  <c r="AS24" i="24"/>
  <c r="AR24" i="24"/>
  <c r="AQ24" i="24"/>
  <c r="AP24" i="24"/>
  <c r="AO24" i="24"/>
  <c r="AN24" i="24"/>
  <c r="AM24" i="24"/>
  <c r="AL24" i="24"/>
  <c r="AK24" i="24"/>
  <c r="AJ24" i="24"/>
  <c r="AI24" i="24"/>
  <c r="AH24" i="24"/>
  <c r="AG24" i="24"/>
  <c r="AF24" i="24"/>
  <c r="AE24" i="24"/>
  <c r="AY11" i="24" a="1"/>
  <c r="AY11" i="24"/>
  <c r="AX10" i="24" a="1"/>
  <c r="AX10" i="24" s="1"/>
  <c r="AW10" i="24" a="1"/>
  <c r="AW10" i="24"/>
  <c r="AV10" i="24" a="1"/>
  <c r="AV10" i="24" s="1"/>
  <c r="AU10" i="24" a="1"/>
  <c r="AU10" i="24"/>
  <c r="AT10" i="24" a="1"/>
  <c r="AT10" i="24" s="1"/>
  <c r="AS10" i="24" a="1"/>
  <c r="AS10" i="24"/>
  <c r="AR10" i="24" a="1"/>
  <c r="AR10" i="24" s="1"/>
  <c r="AQ10" i="24" a="1"/>
  <c r="AQ10" i="24"/>
  <c r="AP10" i="24" a="1"/>
  <c r="AP10" i="24" s="1"/>
  <c r="AO10" i="24" a="1"/>
  <c r="AO10" i="24"/>
  <c r="AN10" i="24" a="1"/>
  <c r="AN10" i="24" s="1"/>
  <c r="AM10" i="24" a="1"/>
  <c r="AM10" i="24"/>
  <c r="AL10" i="24" a="1"/>
  <c r="AL10" i="24" s="1"/>
  <c r="AK10" i="24" a="1"/>
  <c r="AK10" i="24"/>
  <c r="AJ10" i="24" a="1"/>
  <c r="AJ10" i="24" s="1"/>
  <c r="AI10" i="24" a="1"/>
  <c r="AI10" i="24"/>
  <c r="AH10" i="24" a="1"/>
  <c r="AH10" i="24" s="1"/>
  <c r="AG10" i="24" a="1"/>
  <c r="AG10" i="24"/>
  <c r="AF10" i="24" a="1"/>
  <c r="AF10" i="24" s="1"/>
  <c r="AE10" i="24" a="1"/>
  <c r="AE10" i="24"/>
  <c r="AV9" i="24" a="1"/>
  <c r="AV9" i="24" s="1"/>
  <c r="AR9" i="24" a="1"/>
  <c r="AR9" i="24" s="1"/>
  <c r="AN9" i="24" a="1"/>
  <c r="AN9" i="24" s="1"/>
  <c r="AL9" i="24" a="1"/>
  <c r="AL9" i="24" s="1"/>
  <c r="AJ9" i="24" a="1"/>
  <c r="AJ9" i="24" s="1"/>
  <c r="AH9" i="24" a="1"/>
  <c r="AH9" i="24" s="1"/>
  <c r="AF9" i="24" a="1"/>
  <c r="AF9" i="24" s="1"/>
  <c r="AX7" i="24" a="1"/>
  <c r="AX7" i="24" s="1"/>
  <c r="AW7" i="24" a="1"/>
  <c r="AW7" i="24"/>
  <c r="AV7" i="24" a="1"/>
  <c r="AV7" i="24" s="1"/>
  <c r="AU7" i="24" a="1"/>
  <c r="AU7" i="24"/>
  <c r="AT7" i="24" a="1"/>
  <c r="AT7" i="24" s="1"/>
  <c r="AS7" i="24" a="1"/>
  <c r="AS7" i="24"/>
  <c r="AR7" i="24" a="1"/>
  <c r="AR7" i="24" s="1"/>
  <c r="AQ7" i="24" a="1"/>
  <c r="AQ7" i="24"/>
  <c r="AP7" i="24" a="1"/>
  <c r="AP7" i="24" s="1"/>
  <c r="AO7" i="24" a="1"/>
  <c r="AO7" i="24"/>
  <c r="AN7" i="24" a="1"/>
  <c r="AN7" i="24" s="1"/>
  <c r="AM7" i="24" a="1"/>
  <c r="AM7" i="24"/>
  <c r="AL7" i="24" a="1"/>
  <c r="AL7" i="24" s="1"/>
  <c r="AK7" i="24" a="1"/>
  <c r="AK7" i="24"/>
  <c r="AJ7" i="24" a="1"/>
  <c r="AJ7" i="24" s="1"/>
  <c r="AI7" i="24" a="1"/>
  <c r="AI7" i="24"/>
  <c r="AH7" i="24" a="1"/>
  <c r="AH7" i="24" s="1"/>
  <c r="AG7" i="24" a="1"/>
  <c r="AG7" i="24"/>
  <c r="AF7" i="24" a="1"/>
  <c r="AF7" i="24" s="1"/>
  <c r="AE7" i="24" a="1"/>
  <c r="AE7" i="24"/>
  <c r="AX6" i="24"/>
  <c r="AW6" i="24"/>
  <c r="AW9" i="24" s="1" a="1"/>
  <c r="AW9" i="24" s="1"/>
  <c r="AV6" i="24"/>
  <c r="AU6" i="24"/>
  <c r="AU9" i="24" s="1" a="1"/>
  <c r="AU9" i="24" s="1"/>
  <c r="AT6" i="24"/>
  <c r="AS6" i="24"/>
  <c r="AS9" i="24" s="1" a="1"/>
  <c r="AS9" i="24" s="1"/>
  <c r="AR6" i="24"/>
  <c r="AQ6" i="24"/>
  <c r="AQ9" i="24" s="1" a="1"/>
  <c r="AQ9" i="24" s="1"/>
  <c r="AP6" i="24"/>
  <c r="AO6" i="24" a="1"/>
  <c r="AO6" i="24" s="1"/>
  <c r="AN6" i="24"/>
  <c r="AM6" i="24"/>
  <c r="AL6" i="24"/>
  <c r="AK6" i="24"/>
  <c r="AK9" i="24" s="1" a="1"/>
  <c r="AK9" i="24" s="1"/>
  <c r="AJ6" i="24"/>
  <c r="AI6" i="24"/>
  <c r="AH6" i="24"/>
  <c r="AG6" i="24"/>
  <c r="AG9" i="24" s="1" a="1"/>
  <c r="AG9" i="24" s="1"/>
  <c r="AF6" i="24"/>
  <c r="AE6" i="24" a="1"/>
  <c r="AE6" i="24" s="1"/>
  <c r="T148" i="23"/>
  <c r="L143" i="23" a="1"/>
  <c r="L143" i="23"/>
  <c r="L142" i="23" a="1"/>
  <c r="L142" i="23"/>
  <c r="BD141" i="23"/>
  <c r="BC141" i="23"/>
  <c r="BB141" i="23"/>
  <c r="BA141" i="23"/>
  <c r="AZ141" i="23"/>
  <c r="AY141" i="23"/>
  <c r="AX141" i="23"/>
  <c r="AW141" i="23"/>
  <c r="AV141" i="23"/>
  <c r="AU141" i="23"/>
  <c r="AT141" i="23"/>
  <c r="AS141" i="23"/>
  <c r="AR141" i="23"/>
  <c r="AQ141" i="23"/>
  <c r="AP141" i="23"/>
  <c r="AO141" i="23"/>
  <c r="AN141" i="23"/>
  <c r="AM141" i="23"/>
  <c r="AL141" i="23"/>
  <c r="AK141" i="23"/>
  <c r="AJ141" i="23"/>
  <c r="AI141" i="23"/>
  <c r="AH141" i="23"/>
  <c r="AG141" i="23"/>
  <c r="AF141" i="23"/>
  <c r="AE141" i="23"/>
  <c r="B139" i="23"/>
  <c r="B138" i="23"/>
  <c r="BD136" i="23"/>
  <c r="BC136" i="23"/>
  <c r="BB136" i="23"/>
  <c r="BA136" i="23"/>
  <c r="AZ136" i="23"/>
  <c r="AY136" i="23"/>
  <c r="AX136" i="23"/>
  <c r="AW136" i="23"/>
  <c r="AV136" i="23"/>
  <c r="AU136" i="23"/>
  <c r="AT136" i="23"/>
  <c r="AS136" i="23"/>
  <c r="AR136" i="23"/>
  <c r="AQ136" i="23"/>
  <c r="AP136" i="23"/>
  <c r="AO136" i="23"/>
  <c r="AN136" i="23"/>
  <c r="AM136" i="23"/>
  <c r="AL136" i="23"/>
  <c r="AK136" i="23"/>
  <c r="AJ136" i="23"/>
  <c r="AI136" i="23"/>
  <c r="AH136" i="23"/>
  <c r="AG136" i="23"/>
  <c r="AF136" i="23"/>
  <c r="AE136" i="23"/>
  <c r="B136" i="23"/>
  <c r="B133" i="23"/>
  <c r="BD132" i="23"/>
  <c r="BC132" i="23"/>
  <c r="BB132" i="23"/>
  <c r="BA132" i="23"/>
  <c r="AZ132" i="23"/>
  <c r="AY132" i="23"/>
  <c r="AX132" i="23"/>
  <c r="AW132" i="23"/>
  <c r="AV132" i="23"/>
  <c r="AU132" i="23"/>
  <c r="AT132" i="23"/>
  <c r="AS132" i="23"/>
  <c r="AR132" i="23"/>
  <c r="AQ132" i="23"/>
  <c r="AP132" i="23"/>
  <c r="AO132" i="23"/>
  <c r="AN132" i="23"/>
  <c r="AM132" i="23"/>
  <c r="AL132" i="23"/>
  <c r="AK132" i="23"/>
  <c r="AJ132" i="23"/>
  <c r="AI132" i="23"/>
  <c r="AH132" i="23"/>
  <c r="AG132" i="23"/>
  <c r="AF132" i="23"/>
  <c r="AE132" i="23"/>
  <c r="B131" i="23"/>
  <c r="B130" i="23"/>
  <c r="BD128" i="23"/>
  <c r="BC128" i="23"/>
  <c r="BC117" i="23" s="1"/>
  <c r="BB128" i="23"/>
  <c r="BA128" i="23"/>
  <c r="AZ128" i="23"/>
  <c r="AY128" i="23"/>
  <c r="AX128" i="23"/>
  <c r="AW128" i="23"/>
  <c r="AV128" i="23"/>
  <c r="AU128" i="23"/>
  <c r="AU117" i="23" s="1"/>
  <c r="AT128" i="23"/>
  <c r="AS128" i="23"/>
  <c r="AR128" i="23"/>
  <c r="AQ128" i="23"/>
  <c r="AP128" i="23"/>
  <c r="AO128" i="23"/>
  <c r="AN128" i="23"/>
  <c r="AM128" i="23"/>
  <c r="AM117" i="23" s="1"/>
  <c r="AL128" i="23"/>
  <c r="AK128" i="23"/>
  <c r="AJ128" i="23"/>
  <c r="AI128" i="23"/>
  <c r="AH128" i="23"/>
  <c r="AG128" i="23"/>
  <c r="AF128" i="23"/>
  <c r="AE128" i="23"/>
  <c r="AE117" i="23" s="1"/>
  <c r="B128" i="23"/>
  <c r="B125" i="23"/>
  <c r="B124" i="23"/>
  <c r="BD123" i="23"/>
  <c r="BC123" i="23"/>
  <c r="BB123" i="23"/>
  <c r="BB118" i="23" s="1"/>
  <c r="BB117" i="23" s="1"/>
  <c r="BA123" i="23"/>
  <c r="BA118" i="23" s="1"/>
  <c r="AZ123" i="23"/>
  <c r="AY123" i="23"/>
  <c r="AX123" i="23"/>
  <c r="AX118" i="23" s="1"/>
  <c r="AX117" i="23" s="1"/>
  <c r="AW123" i="23"/>
  <c r="AW118" i="23" s="1"/>
  <c r="AV123" i="23"/>
  <c r="AU123" i="23"/>
  <c r="AT123" i="23"/>
  <c r="AT118" i="23" s="1"/>
  <c r="AT117" i="23" s="1"/>
  <c r="AS123" i="23"/>
  <c r="AS118" i="23" s="1"/>
  <c r="AR123" i="23"/>
  <c r="AQ123" i="23"/>
  <c r="AP123" i="23"/>
  <c r="AP118" i="23" s="1"/>
  <c r="AP117" i="23" s="1"/>
  <c r="AO123" i="23"/>
  <c r="AO118" i="23" s="1"/>
  <c r="AN123" i="23"/>
  <c r="AM123" i="23"/>
  <c r="AL123" i="23"/>
  <c r="AL118" i="23" s="1"/>
  <c r="AL117" i="23" s="1"/>
  <c r="AK123" i="23"/>
  <c r="AK118" i="23" s="1"/>
  <c r="AJ123" i="23"/>
  <c r="AI123" i="23"/>
  <c r="AH123" i="23"/>
  <c r="AH118" i="23" s="1"/>
  <c r="AH117" i="23" s="1"/>
  <c r="AG123" i="23"/>
  <c r="AG118" i="23" s="1"/>
  <c r="AF123" i="23"/>
  <c r="AE123" i="23"/>
  <c r="B123" i="23"/>
  <c r="B122" i="23"/>
  <c r="L120" i="23" a="1"/>
  <c r="L120" i="23" s="1"/>
  <c r="BD118" i="23"/>
  <c r="BD117" i="23" s="1"/>
  <c r="BC118" i="23"/>
  <c r="AZ118" i="23"/>
  <c r="AZ117" i="23" s="1"/>
  <c r="AY118" i="23"/>
  <c r="AV118" i="23"/>
  <c r="AV117" i="23" s="1"/>
  <c r="AU118" i="23"/>
  <c r="AR118" i="23"/>
  <c r="AR117" i="23" s="1"/>
  <c r="AQ118" i="23"/>
  <c r="AN118" i="23"/>
  <c r="AN117" i="23" s="1"/>
  <c r="AM118" i="23"/>
  <c r="AJ118" i="23"/>
  <c r="AJ117" i="23" s="1"/>
  <c r="AI118" i="23"/>
  <c r="AF118" i="23"/>
  <c r="AF117" i="23" s="1"/>
  <c r="AE118" i="23"/>
  <c r="AY117" i="23"/>
  <c r="AQ117" i="23"/>
  <c r="AI117" i="23"/>
  <c r="T117" i="23" a="1"/>
  <c r="T117" i="23" s="1"/>
  <c r="T118" i="23" s="1" a="1"/>
  <c r="T118" i="23" s="1"/>
  <c r="T119" i="23" s="1" a="1"/>
  <c r="T119" i="23" s="1"/>
  <c r="T120" i="23" s="1" a="1"/>
  <c r="T120" i="23" s="1"/>
  <c r="T121" i="23" s="1" a="1"/>
  <c r="T121" i="23" s="1"/>
  <c r="T122" i="23" s="1" a="1"/>
  <c r="T122" i="23" s="1"/>
  <c r="T123" i="23" s="1" a="1"/>
  <c r="T123" i="23" s="1"/>
  <c r="T124" i="23" s="1" a="1"/>
  <c r="T124" i="23" s="1"/>
  <c r="T125" i="23" s="1" a="1"/>
  <c r="T125" i="23" s="1"/>
  <c r="T126" i="23" s="1" a="1"/>
  <c r="T126" i="23" s="1"/>
  <c r="T127" i="23" s="1" a="1"/>
  <c r="T127" i="23" s="1"/>
  <c r="T128" i="23" s="1" a="1"/>
  <c r="T128" i="23" s="1"/>
  <c r="T129" i="23" s="1" a="1"/>
  <c r="T129" i="23" s="1"/>
  <c r="T130" i="23" s="1" a="1"/>
  <c r="T130" i="23" s="1"/>
  <c r="T131" i="23" s="1" a="1"/>
  <c r="T131" i="23" s="1"/>
  <c r="T132" i="23" s="1" a="1"/>
  <c r="T132" i="23" s="1"/>
  <c r="T133" i="23" s="1" a="1"/>
  <c r="T133" i="23" s="1"/>
  <c r="T134" i="23" s="1" a="1"/>
  <c r="T134" i="23" s="1"/>
  <c r="T135" i="23" s="1" a="1"/>
  <c r="T135" i="23" s="1"/>
  <c r="T136" i="23" s="1" a="1"/>
  <c r="T136" i="23" s="1"/>
  <c r="T137" i="23" s="1" a="1"/>
  <c r="T137" i="23" s="1"/>
  <c r="T138" i="23" s="1" a="1"/>
  <c r="T138" i="23" s="1"/>
  <c r="T139" i="23" s="1" a="1"/>
  <c r="T139" i="23" s="1"/>
  <c r="T140" i="23" s="1" a="1"/>
  <c r="T140" i="23" s="1"/>
  <c r="T141" i="23" s="1" a="1"/>
  <c r="T141" i="23" s="1"/>
  <c r="T142" i="23" s="1" a="1"/>
  <c r="T142" i="23" s="1"/>
  <c r="T143" i="23" s="1" a="1"/>
  <c r="T143" i="23" s="1"/>
  <c r="T144" i="23" s="1" a="1"/>
  <c r="T144" i="23" s="1"/>
  <c r="B117" i="23"/>
  <c r="T116" i="23"/>
  <c r="F116" i="23" a="1"/>
  <c r="F116" i="23"/>
  <c r="F117" i="23" s="1" a="1"/>
  <c r="F117" i="23" s="1"/>
  <c r="F118" i="23" s="1" a="1"/>
  <c r="F118" i="23" s="1"/>
  <c r="F119" i="23" s="1" a="1"/>
  <c r="F119" i="23" s="1"/>
  <c r="F120" i="23" s="1" a="1"/>
  <c r="F120" i="23" s="1"/>
  <c r="B116" i="23"/>
  <c r="L114" i="23" a="1"/>
  <c r="L114" i="23" s="1"/>
  <c r="L113" i="23" a="1"/>
  <c r="L113" i="23" s="1"/>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112" i="23"/>
  <c r="B109" i="23"/>
  <c r="B108"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107" i="23"/>
  <c r="B106"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101" i="23"/>
  <c r="B100"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99" i="23"/>
  <c r="B98" i="23"/>
  <c r="B95" i="23"/>
  <c r="BD94" i="23"/>
  <c r="BD89" i="23" s="1"/>
  <c r="BD88" i="23" s="1"/>
  <c r="BC94" i="23"/>
  <c r="BB94" i="23"/>
  <c r="BA94" i="23"/>
  <c r="BA89" i="23" s="1"/>
  <c r="BA88" i="23" s="1"/>
  <c r="AZ94" i="23"/>
  <c r="AZ89" i="23" s="1"/>
  <c r="AZ88" i="23" s="1"/>
  <c r="AY94" i="23"/>
  <c r="AX94" i="23"/>
  <c r="AW94" i="23"/>
  <c r="AW89" i="23" s="1"/>
  <c r="AW88" i="23" s="1"/>
  <c r="AV94" i="23"/>
  <c r="AV89" i="23" s="1"/>
  <c r="AV88" i="23" s="1"/>
  <c r="AU94" i="23"/>
  <c r="AT94" i="23"/>
  <c r="AS94" i="23"/>
  <c r="AS89" i="23" s="1"/>
  <c r="AS88" i="23" s="1"/>
  <c r="AR94" i="23"/>
  <c r="AR89" i="23" s="1"/>
  <c r="AR88" i="23" s="1"/>
  <c r="AQ94" i="23"/>
  <c r="AP94" i="23"/>
  <c r="AO94" i="23"/>
  <c r="AO89" i="23" s="1"/>
  <c r="AO88" i="23" s="1"/>
  <c r="AN94" i="23"/>
  <c r="AN89" i="23" s="1"/>
  <c r="AN88" i="23" s="1"/>
  <c r="AM94" i="23"/>
  <c r="AL94" i="23"/>
  <c r="AK94" i="23"/>
  <c r="AK89" i="23" s="1"/>
  <c r="AK88" i="23" s="1"/>
  <c r="AJ94" i="23"/>
  <c r="AJ89" i="23" s="1"/>
  <c r="AJ88" i="23" s="1"/>
  <c r="AI94" i="23"/>
  <c r="AH94" i="23"/>
  <c r="AG94" i="23"/>
  <c r="AG89" i="23" s="1"/>
  <c r="AG88" i="23" s="1"/>
  <c r="AF94" i="23"/>
  <c r="AF89" i="23" s="1"/>
  <c r="AF88" i="23" s="1"/>
  <c r="AE94" i="23"/>
  <c r="T93" i="23"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B93" i="23"/>
  <c r="B92" i="23"/>
  <c r="L91" i="23" a="1"/>
  <c r="L91" i="23" s="1"/>
  <c r="B91" i="23"/>
  <c r="BC89" i="23"/>
  <c r="BC88" i="23" s="1"/>
  <c r="BB89" i="23"/>
  <c r="AY89" i="23"/>
  <c r="AY88" i="23" s="1"/>
  <c r="AX89" i="23"/>
  <c r="AU89" i="23"/>
  <c r="AU88" i="23" s="1"/>
  <c r="AT89" i="23"/>
  <c r="AQ89" i="23"/>
  <c r="AQ88" i="23" s="1"/>
  <c r="AP89" i="23"/>
  <c r="AM89" i="23"/>
  <c r="AM88" i="23" s="1"/>
  <c r="AL89" i="23"/>
  <c r="AI89" i="23"/>
  <c r="AI88" i="23" s="1"/>
  <c r="AH89" i="23"/>
  <c r="AE89" i="23"/>
  <c r="AE88" i="23" s="1"/>
  <c r="B89" i="23"/>
  <c r="BB88" i="23"/>
  <c r="AX88" i="23"/>
  <c r="AT88" i="23"/>
  <c r="AP88" i="23"/>
  <c r="AL88" i="23"/>
  <c r="AH88" i="23"/>
  <c r="T88" i="23" a="1"/>
  <c r="T88" i="23" s="1"/>
  <c r="T89" i="23" s="1" a="1"/>
  <c r="T89" i="23" s="1"/>
  <c r="T90" i="23" s="1" a="1"/>
  <c r="T90" i="23" s="1"/>
  <c r="T91" i="23" s="1" a="1"/>
  <c r="T91" i="23" s="1"/>
  <c r="T92" i="23" s="1" a="1"/>
  <c r="T92" i="23" s="1"/>
  <c r="B88" i="23"/>
  <c r="T87" i="23"/>
  <c r="F87" i="23" a="1"/>
  <c r="F87" i="23"/>
  <c r="F88" i="23" s="1" a="1"/>
  <c r="F88" i="23" s="1"/>
  <c r="F89" i="23" s="1" a="1"/>
  <c r="F89" i="23" s="1"/>
  <c r="F90" i="23" s="1" a="1"/>
  <c r="F90" i="23" s="1"/>
  <c r="F91" i="23" s="1" a="1"/>
  <c r="F91" i="23" s="1"/>
  <c r="B87" i="23"/>
  <c r="B86" i="23"/>
  <c r="L85" i="23" a="1"/>
  <c r="L85" i="23" s="1"/>
  <c r="B85" i="23"/>
  <c r="L84" i="23" a="1"/>
  <c r="L84" i="23" s="1"/>
  <c r="B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83" i="23"/>
  <c r="B82" i="23"/>
  <c r="B79"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77" i="23"/>
  <c r="B76"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74" i="23"/>
  <c r="B71" i="23"/>
  <c r="BD70" i="23"/>
  <c r="BC70" i="23"/>
  <c r="BB70" i="23"/>
  <c r="BA70" i="23"/>
  <c r="AZ70" i="23"/>
  <c r="AY70" i="23"/>
  <c r="AX70" i="23"/>
  <c r="AW70" i="23"/>
  <c r="AV70" i="23"/>
  <c r="AU70" i="23"/>
  <c r="AT70" i="23"/>
  <c r="AS70" i="23"/>
  <c r="AR70" i="23"/>
  <c r="AQ70" i="23"/>
  <c r="AP70" i="23"/>
  <c r="AO70" i="23"/>
  <c r="AN70" i="23"/>
  <c r="AM70" i="23"/>
  <c r="AL70" i="23"/>
  <c r="AK70" i="23"/>
  <c r="AJ70" i="23"/>
  <c r="AI70" i="23"/>
  <c r="AH70" i="23"/>
  <c r="AG70" i="23"/>
  <c r="AF70" i="23"/>
  <c r="AE70" i="23"/>
  <c r="B69" i="23"/>
  <c r="B68" i="23"/>
  <c r="BD65" i="23"/>
  <c r="BD60" i="23" s="1"/>
  <c r="BD59" i="23" s="1"/>
  <c r="BC65" i="23"/>
  <c r="BC60" i="23" s="1"/>
  <c r="BC59" i="23" s="1"/>
  <c r="BB65" i="23"/>
  <c r="BA65" i="23"/>
  <c r="AZ65" i="23"/>
  <c r="AZ60" i="23" s="1"/>
  <c r="AZ59" i="23" s="1"/>
  <c r="AY65" i="23"/>
  <c r="AY60" i="23" s="1"/>
  <c r="AY59" i="23" s="1"/>
  <c r="AX65" i="23"/>
  <c r="AW65" i="23"/>
  <c r="AV65" i="23"/>
  <c r="AV60" i="23" s="1"/>
  <c r="AV59" i="23" s="1"/>
  <c r="AU65" i="23"/>
  <c r="AU60" i="23" s="1"/>
  <c r="AU59" i="23" s="1"/>
  <c r="AT65" i="23"/>
  <c r="AS65" i="23"/>
  <c r="AR65" i="23"/>
  <c r="AR60" i="23" s="1"/>
  <c r="AR59" i="23" s="1"/>
  <c r="AQ65" i="23"/>
  <c r="AQ60" i="23" s="1"/>
  <c r="AQ59" i="23" s="1"/>
  <c r="AP65" i="23"/>
  <c r="AO65" i="23"/>
  <c r="AN65" i="23"/>
  <c r="AN60" i="23" s="1"/>
  <c r="AN59" i="23" s="1"/>
  <c r="AM65" i="23"/>
  <c r="AM60" i="23" s="1"/>
  <c r="AM59" i="23" s="1"/>
  <c r="AL65" i="23"/>
  <c r="AK65" i="23"/>
  <c r="AJ65" i="23"/>
  <c r="AJ60" i="23" s="1"/>
  <c r="AJ59" i="23" s="1"/>
  <c r="AI65" i="23"/>
  <c r="AI60" i="23" s="1"/>
  <c r="AI59" i="23" s="1"/>
  <c r="AH65" i="23"/>
  <c r="AG65" i="23"/>
  <c r="AF65" i="23"/>
  <c r="AF60" i="23" s="1"/>
  <c r="AF59" i="23" s="1"/>
  <c r="AE65" i="23"/>
  <c r="AE60" i="23" s="1"/>
  <c r="AE59" i="23" s="1"/>
  <c r="B63" i="23"/>
  <c r="L62" i="23" a="1"/>
  <c r="L62" i="23"/>
  <c r="B62" i="23"/>
  <c r="B61" i="23"/>
  <c r="BB60" i="23"/>
  <c r="BB59" i="23" s="1"/>
  <c r="BA60" i="23"/>
  <c r="AX60" i="23"/>
  <c r="AX59" i="23" s="1"/>
  <c r="AW60" i="23"/>
  <c r="AT60" i="23"/>
  <c r="AT59" i="23" s="1"/>
  <c r="AS60" i="23"/>
  <c r="AP60" i="23"/>
  <c r="AP59" i="23" s="1"/>
  <c r="AO60" i="23"/>
  <c r="AL60" i="23"/>
  <c r="AL59" i="23" s="1"/>
  <c r="AK60" i="23"/>
  <c r="AH60" i="23"/>
  <c r="AH59" i="23" s="1"/>
  <c r="AG60" i="23"/>
  <c r="T60" i="23"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B60" i="23"/>
  <c r="BA59" i="23"/>
  <c r="AW59" i="23"/>
  <c r="AS59" i="23"/>
  <c r="AO59" i="23"/>
  <c r="AK59" i="23"/>
  <c r="AG59" i="23"/>
  <c r="T59" i="23" a="1"/>
  <c r="T59" i="23"/>
  <c r="T58" i="23"/>
  <c r="F58" i="23" a="1"/>
  <c r="F58" i="23"/>
  <c r="F59" i="23" s="1" a="1"/>
  <c r="F59" i="23" s="1"/>
  <c r="F60" i="23" s="1" a="1"/>
  <c r="F60" i="23" s="1"/>
  <c r="F61" i="23" s="1" a="1"/>
  <c r="F61" i="23" s="1"/>
  <c r="F62" i="23" s="1" a="1"/>
  <c r="F62" i="23" s="1"/>
  <c r="B58" i="23"/>
  <c r="B54" i="23"/>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52" i="23"/>
  <c r="B51"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46" i="23"/>
  <c r="B45"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44" i="23"/>
  <c r="B43" i="23"/>
  <c r="BD40" i="23"/>
  <c r="BC40" i="23"/>
  <c r="BB40" i="23"/>
  <c r="BA40" i="23"/>
  <c r="AZ40" i="23"/>
  <c r="AY40" i="23"/>
  <c r="AX40" i="23"/>
  <c r="AW40" i="23"/>
  <c r="AV40" i="23"/>
  <c r="AU40" i="23"/>
  <c r="AT40" i="23"/>
  <c r="AS40" i="23"/>
  <c r="AR40" i="23"/>
  <c r="AQ40" i="23"/>
  <c r="AP40" i="23"/>
  <c r="AO40" i="23"/>
  <c r="AN40" i="23"/>
  <c r="AM40" i="23"/>
  <c r="AL40" i="23"/>
  <c r="AK40" i="23"/>
  <c r="AJ40" i="23"/>
  <c r="AI40" i="23"/>
  <c r="AH40" i="23"/>
  <c r="AG40" i="23"/>
  <c r="AF40" i="23"/>
  <c r="AE40" i="23"/>
  <c r="B38" i="23"/>
  <c r="B37" i="23"/>
  <c r="BD35" i="23"/>
  <c r="BD30" i="23" s="1"/>
  <c r="BD29" i="23" s="1"/>
  <c r="BC35" i="23"/>
  <c r="BC30" i="23" s="1"/>
  <c r="BC29" i="23" s="1"/>
  <c r="BB35" i="23"/>
  <c r="BA35" i="23"/>
  <c r="AZ35" i="23"/>
  <c r="AZ30" i="23" s="1"/>
  <c r="AZ29" i="23" s="1"/>
  <c r="AY35" i="23"/>
  <c r="AY30" i="23" s="1"/>
  <c r="AY29" i="23" s="1"/>
  <c r="AX35" i="23"/>
  <c r="AW35" i="23"/>
  <c r="AV35" i="23"/>
  <c r="AV30" i="23" s="1"/>
  <c r="AV29" i="23" s="1"/>
  <c r="AU35" i="23"/>
  <c r="AU30" i="23" s="1"/>
  <c r="AU29" i="23" s="1"/>
  <c r="AT35" i="23"/>
  <c r="AS35" i="23"/>
  <c r="AR35" i="23"/>
  <c r="AR30" i="23" s="1"/>
  <c r="AR29" i="23" s="1"/>
  <c r="AQ35" i="23"/>
  <c r="AQ30" i="23" s="1"/>
  <c r="AQ29" i="23" s="1"/>
  <c r="AP35" i="23"/>
  <c r="AO35" i="23"/>
  <c r="AN35" i="23"/>
  <c r="AN30" i="23" s="1"/>
  <c r="AN29" i="23" s="1"/>
  <c r="AM35" i="23"/>
  <c r="AM30" i="23" s="1"/>
  <c r="AM29" i="23" s="1"/>
  <c r="AL35" i="23"/>
  <c r="AK35" i="23"/>
  <c r="AJ35" i="23"/>
  <c r="AJ30" i="23" s="1"/>
  <c r="AJ29" i="23" s="1"/>
  <c r="AI35" i="23"/>
  <c r="AI30" i="23" s="1"/>
  <c r="AI29" i="23" s="1"/>
  <c r="AH35" i="23"/>
  <c r="AG35" i="23"/>
  <c r="AF35" i="23"/>
  <c r="AF30" i="23" s="1"/>
  <c r="AF29" i="23" s="1"/>
  <c r="AE35" i="23"/>
  <c r="AE30" i="23" s="1"/>
  <c r="AE29" i="23" s="1"/>
  <c r="B35" i="23"/>
  <c r="B32" i="23"/>
  <c r="B31" i="23"/>
  <c r="BB30" i="23"/>
  <c r="BA30" i="23"/>
  <c r="AX30" i="23"/>
  <c r="AW30" i="23"/>
  <c r="AT30" i="23"/>
  <c r="AS30" i="23"/>
  <c r="AP30" i="23"/>
  <c r="AO30" i="23"/>
  <c r="AL30" i="23"/>
  <c r="AK30" i="23"/>
  <c r="AH30" i="23"/>
  <c r="AG30" i="23"/>
  <c r="B30" i="23"/>
  <c r="BA29" i="23"/>
  <c r="AW29" i="23"/>
  <c r="AS29" i="23"/>
  <c r="AO29" i="23"/>
  <c r="AK29" i="23"/>
  <c r="AG29" i="23"/>
  <c r="B28"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141" i="23" s="1"/>
  <c r="BE11" i="23" a="1"/>
  <c r="BE11" i="23"/>
  <c r="BD10" i="23" a="1"/>
  <c r="BD10" i="23" s="1"/>
  <c r="BC10" i="23" a="1"/>
  <c r="BC10" i="23"/>
  <c r="BB10" i="23" a="1"/>
  <c r="BB10" i="23" s="1"/>
  <c r="BA10" i="23" a="1"/>
  <c r="BA10" i="23"/>
  <c r="AZ10" i="23" a="1"/>
  <c r="AZ10" i="23" s="1"/>
  <c r="AY10" i="23" a="1"/>
  <c r="AY10" i="23"/>
  <c r="AX10" i="23" a="1"/>
  <c r="AX10" i="23" s="1"/>
  <c r="AW10" i="23" a="1"/>
  <c r="AW10" i="23"/>
  <c r="AV10" i="23" a="1"/>
  <c r="AV10" i="23" s="1"/>
  <c r="AU10" i="23" a="1"/>
  <c r="AU10" i="23" s="1"/>
  <c r="AT10" i="23" a="1"/>
  <c r="AT10" i="23" s="1"/>
  <c r="AS10" i="23" a="1"/>
  <c r="AS10" i="23" s="1"/>
  <c r="AR10" i="23" a="1"/>
  <c r="AR10" i="23" s="1"/>
  <c r="AQ10" i="23" a="1"/>
  <c r="AQ10" i="23" s="1"/>
  <c r="AP10" i="23" a="1"/>
  <c r="AP10" i="23" s="1"/>
  <c r="AO10" i="23" a="1"/>
  <c r="AO10" i="23" s="1"/>
  <c r="AN10" i="23" a="1"/>
  <c r="AN10" i="23" s="1"/>
  <c r="AM10" i="23" a="1"/>
  <c r="AM10" i="23" s="1"/>
  <c r="AL10" i="23" a="1"/>
  <c r="AL10" i="23" s="1"/>
  <c r="AK10" i="23" a="1"/>
  <c r="AK10" i="23" s="1"/>
  <c r="AJ10" i="23" a="1"/>
  <c r="AJ10" i="23" s="1"/>
  <c r="AI10" i="23" a="1"/>
  <c r="AI10" i="23" s="1"/>
  <c r="AH10" i="23" a="1"/>
  <c r="AH10" i="23" s="1"/>
  <c r="AG10" i="23" a="1"/>
  <c r="AG10" i="23" s="1"/>
  <c r="AF10" i="23" a="1"/>
  <c r="AF10" i="23" s="1"/>
  <c r="AE10" i="23" a="1"/>
  <c r="AE10" i="23" s="1"/>
  <c r="BB9" i="23" a="1"/>
  <c r="BB9" i="23" s="1"/>
  <c r="BA9" i="23" a="1"/>
  <c r="BA9" i="23" s="1"/>
  <c r="AX9" i="23" a="1"/>
  <c r="AX9" i="23" s="1"/>
  <c r="AW9" i="23" a="1"/>
  <c r="AW9" i="23" s="1"/>
  <c r="AT9" i="23" a="1"/>
  <c r="AT9" i="23" s="1"/>
  <c r="AR9" i="23" a="1"/>
  <c r="AR9" i="23" s="1"/>
  <c r="AP9" i="23" a="1"/>
  <c r="AP9" i="23" s="1"/>
  <c r="AN9" i="23" a="1"/>
  <c r="AN9" i="23" s="1"/>
  <c r="AL9" i="23" a="1"/>
  <c r="AL9" i="23" s="1"/>
  <c r="AJ9" i="23" a="1"/>
  <c r="AJ9" i="23" s="1"/>
  <c r="AI9" i="23" a="1"/>
  <c r="AI9" i="23" s="1"/>
  <c r="AF9" i="23" a="1"/>
  <c r="AF9" i="23" s="1"/>
  <c r="AE9" i="23" a="1"/>
  <c r="AE9" i="23" s="1"/>
  <c r="BD7" i="23" a="1"/>
  <c r="BD7" i="23" s="1"/>
  <c r="BC7" i="23" a="1"/>
  <c r="BC7" i="23" s="1"/>
  <c r="BB7" i="23" a="1"/>
  <c r="BB7" i="23" s="1"/>
  <c r="BA7" i="23" a="1"/>
  <c r="BA7" i="23" s="1"/>
  <c r="AZ7" i="23" a="1"/>
  <c r="AZ7" i="23" s="1"/>
  <c r="AY7" i="23" a="1"/>
  <c r="AY7" i="23" s="1"/>
  <c r="AX7" i="23" a="1"/>
  <c r="AX7" i="23" s="1"/>
  <c r="AW7" i="23" a="1"/>
  <c r="AW7" i="23" s="1"/>
  <c r="AV7" i="23" a="1"/>
  <c r="AV7" i="23" s="1"/>
  <c r="AU7" i="23" a="1"/>
  <c r="AU7" i="23" s="1"/>
  <c r="AT7" i="23" a="1"/>
  <c r="AT7" i="23" s="1"/>
  <c r="AS7" i="23" a="1"/>
  <c r="AS7" i="23" s="1"/>
  <c r="AR7" i="23" a="1"/>
  <c r="AR7" i="23" s="1"/>
  <c r="AQ7" i="23" a="1"/>
  <c r="AQ7" i="23" s="1"/>
  <c r="AP7" i="23" a="1"/>
  <c r="AP7" i="23" s="1"/>
  <c r="AO7" i="23" a="1"/>
  <c r="AO7" i="23" s="1"/>
  <c r="AN7" i="23" a="1"/>
  <c r="AN7" i="23" s="1"/>
  <c r="AM7" i="23" a="1"/>
  <c r="AM7" i="23" s="1"/>
  <c r="AL7" i="23" a="1"/>
  <c r="AL7" i="23" s="1"/>
  <c r="AK7" i="23" a="1"/>
  <c r="AK7" i="23" s="1"/>
  <c r="AJ7" i="23" a="1"/>
  <c r="AJ7" i="23" s="1"/>
  <c r="AI7" i="23" a="1"/>
  <c r="AI7" i="23" s="1"/>
  <c r="AH7" i="23" a="1"/>
  <c r="AH7" i="23" s="1"/>
  <c r="AG7" i="23" a="1"/>
  <c r="AG7" i="23" s="1"/>
  <c r="AF7" i="23" a="1"/>
  <c r="AF7" i="23" s="1"/>
  <c r="AE7" i="23" a="1"/>
  <c r="AE7" i="23" s="1"/>
  <c r="BD6" i="23"/>
  <c r="BD9" i="23" s="1" a="1"/>
  <c r="BD9" i="23" s="1"/>
  <c r="BC6" i="23"/>
  <c r="BC9" i="23" s="1" a="1"/>
  <c r="BC9" i="23" s="1"/>
  <c r="BB6" i="23"/>
  <c r="BA6" i="23"/>
  <c r="AZ6" i="23"/>
  <c r="AY6" i="23"/>
  <c r="AY9" i="23" s="1" a="1"/>
  <c r="AY9" i="23" s="1"/>
  <c r="AX6" i="23"/>
  <c r="AW6" i="23"/>
  <c r="AV6" i="23"/>
  <c r="AV9" i="23" s="1" a="1"/>
  <c r="AV9" i="23" s="1"/>
  <c r="AU6" i="23" a="1"/>
  <c r="AU6" i="23" s="1"/>
  <c r="AT6" i="23"/>
  <c r="AS6" i="23"/>
  <c r="AR6" i="23"/>
  <c r="AQ6" i="23"/>
  <c r="AQ9" i="23" s="1" a="1"/>
  <c r="AQ9" i="23" s="1"/>
  <c r="AP6" i="23"/>
  <c r="AO6" i="23"/>
  <c r="AN6" i="23"/>
  <c r="AM6" i="23"/>
  <c r="AM9" i="23" s="1" a="1"/>
  <c r="AM9" i="23" s="1"/>
  <c r="AL6" i="23"/>
  <c r="AK6" i="23" a="1"/>
  <c r="AK6" i="23" s="1"/>
  <c r="AJ6" i="23"/>
  <c r="AI6" i="23"/>
  <c r="AH6" i="23"/>
  <c r="AH9" i="23" s="1" a="1"/>
  <c r="AH9" i="23" s="1"/>
  <c r="AG6" i="23"/>
  <c r="AG9" i="23" s="1" a="1"/>
  <c r="AG9" i="23" s="1"/>
  <c r="AF6" i="23"/>
  <c r="AE6" i="23"/>
  <c r="T72" i="22"/>
  <c r="I68" i="22"/>
  <c r="BH67" i="22" a="1"/>
  <c r="BH67" i="22" s="1"/>
  <c r="AB67" i="22"/>
  <c r="I67" i="22" a="1"/>
  <c r="I67" i="22" s="1"/>
  <c r="BB66" i="22"/>
  <c r="BA66" i="22"/>
  <c r="AZ66" i="22"/>
  <c r="AY66" i="22"/>
  <c r="AY56" i="22" s="1"/>
  <c r="AX66" i="22"/>
  <c r="AW66" i="22"/>
  <c r="AV66" i="22"/>
  <c r="AU66" i="22"/>
  <c r="AU56" i="22" s="1"/>
  <c r="AT66" i="22"/>
  <c r="AS66" i="22"/>
  <c r="AR66" i="22"/>
  <c r="AQ66" i="22"/>
  <c r="AQ56" i="22" s="1"/>
  <c r="AP66" i="22"/>
  <c r="AO66" i="22"/>
  <c r="AN66" i="22"/>
  <c r="AM66" i="22"/>
  <c r="AM56" i="22" s="1"/>
  <c r="AL66" i="22"/>
  <c r="AK66" i="22"/>
  <c r="AJ66" i="22"/>
  <c r="AI66" i="22"/>
  <c r="AI56" i="22" s="1"/>
  <c r="AH66" i="22"/>
  <c r="AG66" i="22"/>
  <c r="AF66" i="22"/>
  <c r="AE66" i="22"/>
  <c r="L66" i="22" a="1"/>
  <c r="L66" i="22"/>
  <c r="L65" i="22" a="1"/>
  <c r="L65" i="22" s="1"/>
  <c r="L64" i="22" a="1"/>
  <c r="L64" i="22" s="1"/>
  <c r="L63" i="22" a="1"/>
  <c r="L63" i="22" s="1"/>
  <c r="L62" i="22" a="1"/>
  <c r="L62" i="22"/>
  <c r="L61" i="22" a="1"/>
  <c r="L61" i="22" s="1"/>
  <c r="L60" i="22" a="1"/>
  <c r="L60" i="22" s="1"/>
  <c r="AG59" i="22" a="1"/>
  <c r="AG59" i="22" s="1"/>
  <c r="AG56" i="22" s="1"/>
  <c r="AG137" i="26" s="1" a="1"/>
  <c r="AG137" i="26" s="1"/>
  <c r="L59" i="22" a="1"/>
  <c r="L59" i="22" s="1"/>
  <c r="L58" i="22" a="1"/>
  <c r="L58" i="22" s="1"/>
  <c r="L57" i="22" a="1"/>
  <c r="L57" i="22" s="1"/>
  <c r="BB56" i="22"/>
  <c r="BA56" i="22"/>
  <c r="AZ56" i="22"/>
  <c r="AX56" i="22"/>
  <c r="AW56" i="22"/>
  <c r="AV56" i="22"/>
  <c r="AT56" i="22"/>
  <c r="AS56" i="22"/>
  <c r="AR56" i="22"/>
  <c r="AP56" i="22"/>
  <c r="AO56" i="22"/>
  <c r="AN56" i="22"/>
  <c r="AL56" i="22"/>
  <c r="AK56" i="22"/>
  <c r="AJ56" i="22"/>
  <c r="AH56" i="22"/>
  <c r="AF56" i="22"/>
  <c r="AF137" i="26" s="1" a="1"/>
  <c r="AF137" i="26" s="1"/>
  <c r="AE56" i="22"/>
  <c r="L56" i="22" a="1"/>
  <c r="L56" i="22"/>
  <c r="T55" i="22"/>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T65" i="22" s="1" a="1"/>
  <c r="T65" i="22" s="1"/>
  <c r="T66" i="22" s="1" a="1"/>
  <c r="T66" i="22" s="1"/>
  <c r="F55" i="22" a="1"/>
  <c r="F55" i="22" s="1"/>
  <c r="F56" i="22" s="1" a="1"/>
  <c r="F56" i="22" s="1"/>
  <c r="I54" i="22"/>
  <c r="BH53" i="22" a="1"/>
  <c r="BH53" i="22"/>
  <c r="AB53" i="22"/>
  <c r="I53" i="22" a="1"/>
  <c r="I53" i="22"/>
  <c r="BB52" i="22"/>
  <c r="BA52" i="22"/>
  <c r="AZ52" i="22"/>
  <c r="AY52" i="22"/>
  <c r="AX52" i="22"/>
  <c r="AW52" i="22"/>
  <c r="AV52" i="22"/>
  <c r="AU52" i="22"/>
  <c r="AT52" i="22"/>
  <c r="AS52" i="22"/>
  <c r="AR52" i="22"/>
  <c r="AQ52" i="22"/>
  <c r="AP52" i="22"/>
  <c r="AO52" i="22"/>
  <c r="AN52" i="22"/>
  <c r="AM52" i="22"/>
  <c r="AL52" i="22"/>
  <c r="AK52" i="22"/>
  <c r="AJ52" i="22"/>
  <c r="AI52" i="22"/>
  <c r="AH52" i="22"/>
  <c r="AG52" i="22"/>
  <c r="AF52" i="22"/>
  <c r="AE52" i="22"/>
  <c r="L52" i="22" a="1"/>
  <c r="L52" i="22" s="1"/>
  <c r="L51" i="22" a="1"/>
  <c r="L51" i="22" s="1"/>
  <c r="L50" i="22" a="1"/>
  <c r="L50" i="22"/>
  <c r="L49" i="22" a="1"/>
  <c r="L49" i="22" s="1"/>
  <c r="L48" i="22" a="1"/>
  <c r="L48" i="22" s="1"/>
  <c r="L47" i="22" a="1"/>
  <c r="L47" i="22" s="1"/>
  <c r="AG46" i="22" a="1"/>
  <c r="AG46" i="22" s="1"/>
  <c r="L46" i="22" a="1"/>
  <c r="L46" i="22" s="1"/>
  <c r="L45" i="22" a="1"/>
  <c r="L45" i="22" s="1"/>
  <c r="L44" i="22" a="1"/>
  <c r="L44" i="22"/>
  <c r="L43" i="22" a="1"/>
  <c r="L43" i="22" s="1"/>
  <c r="BB42" i="22"/>
  <c r="BA42" i="22"/>
  <c r="AZ42" i="22"/>
  <c r="AY42" i="22"/>
  <c r="AX42" i="22"/>
  <c r="AW42" i="22"/>
  <c r="AV42" i="22"/>
  <c r="AU42" i="22"/>
  <c r="AT42" i="22"/>
  <c r="AS42" i="22"/>
  <c r="AR42" i="22"/>
  <c r="AQ42" i="22"/>
  <c r="AP42" i="22"/>
  <c r="AO42" i="22"/>
  <c r="AN42" i="22"/>
  <c r="AM42" i="22"/>
  <c r="AL42" i="22"/>
  <c r="AK42" i="22"/>
  <c r="AJ42" i="22"/>
  <c r="AI42" i="22"/>
  <c r="AH42" i="22"/>
  <c r="AG42" i="22"/>
  <c r="AG86" i="26" s="1" a="1"/>
  <c r="AG86" i="26" s="1"/>
  <c r="AF42" i="22"/>
  <c r="AE42" i="22"/>
  <c r="L42" i="22" a="1"/>
  <c r="L42" i="22" s="1"/>
  <c r="T41" i="22"/>
  <c r="T42" i="22" s="1" a="1"/>
  <c r="T42" i="22" s="1"/>
  <c r="T43" i="22" s="1" a="1"/>
  <c r="T43" i="22" s="1"/>
  <c r="T44" i="22" s="1" a="1"/>
  <c r="T44" i="22" s="1"/>
  <c r="T45" i="22" s="1" a="1"/>
  <c r="T45" i="22" s="1"/>
  <c r="T46" i="22" s="1" a="1"/>
  <c r="T46" i="22" s="1"/>
  <c r="T47" i="22" s="1" a="1"/>
  <c r="T47" i="22" s="1"/>
  <c r="T48" i="22" s="1" a="1"/>
  <c r="T48" i="22" s="1"/>
  <c r="T49" i="22" s="1" a="1"/>
  <c r="T49" i="22" s="1"/>
  <c r="T50" i="22" s="1" a="1"/>
  <c r="T50" i="22" s="1"/>
  <c r="T51" i="22" s="1" a="1"/>
  <c r="T51" i="22" s="1"/>
  <c r="T52" i="22" s="1" a="1"/>
  <c r="T52" i="22" s="1"/>
  <c r="F41" i="22" a="1"/>
  <c r="F41" i="22"/>
  <c r="F42" i="22" s="1" a="1"/>
  <c r="F42" i="22" s="1"/>
  <c r="I40" i="22"/>
  <c r="BH39" i="22" a="1"/>
  <c r="BH39" i="22" s="1"/>
  <c r="AB39" i="22"/>
  <c r="I39" i="22" a="1"/>
  <c r="I39" i="22" s="1"/>
  <c r="BB38" i="22"/>
  <c r="BB28" i="22" s="1"/>
  <c r="BA38" i="22"/>
  <c r="AZ38" i="22"/>
  <c r="AY38" i="22"/>
  <c r="AY28" i="22" s="1"/>
  <c r="AX38" i="22"/>
  <c r="AX28" i="22" s="1"/>
  <c r="AW38" i="22"/>
  <c r="AV38" i="22"/>
  <c r="AU38" i="22"/>
  <c r="AU28" i="22" s="1"/>
  <c r="AT38" i="22"/>
  <c r="AT28" i="22" s="1"/>
  <c r="AS38" i="22"/>
  <c r="AR38" i="22"/>
  <c r="AQ38" i="22"/>
  <c r="AQ28" i="22" s="1"/>
  <c r="AP38" i="22"/>
  <c r="AP28" i="22" s="1"/>
  <c r="AO38" i="22"/>
  <c r="AN38" i="22"/>
  <c r="AM38" i="22"/>
  <c r="AM28" i="22" s="1"/>
  <c r="AL38" i="22"/>
  <c r="AL28" i="22" s="1"/>
  <c r="AK38" i="22"/>
  <c r="AJ38" i="22"/>
  <c r="AI38" i="22"/>
  <c r="AI28" i="22" s="1"/>
  <c r="AH38" i="22"/>
  <c r="AH28" i="22" s="1"/>
  <c r="AG38" i="22"/>
  <c r="AF38" i="22"/>
  <c r="AE38" i="22"/>
  <c r="AE28" i="22" s="1"/>
  <c r="L38" i="22" a="1"/>
  <c r="L38" i="22"/>
  <c r="L37" i="22" a="1"/>
  <c r="L37" i="22" s="1"/>
  <c r="L36" i="22" a="1"/>
  <c r="L36" i="22" s="1"/>
  <c r="L35" i="22" a="1"/>
  <c r="L35" i="22" s="1"/>
  <c r="L34" i="22" a="1"/>
  <c r="L34" i="22"/>
  <c r="L33" i="22" a="1"/>
  <c r="L33" i="22" s="1"/>
  <c r="L32" i="22" a="1"/>
  <c r="L32" i="22" s="1"/>
  <c r="L31" i="22" a="1"/>
  <c r="L31" i="22" s="1"/>
  <c r="L30" i="22" a="1"/>
  <c r="L30" i="22"/>
  <c r="L29" i="22" a="1"/>
  <c r="L29" i="22" s="1"/>
  <c r="BA28" i="22"/>
  <c r="AZ28" i="22"/>
  <c r="AW28" i="22"/>
  <c r="AV28" i="22"/>
  <c r="AS28" i="22"/>
  <c r="AR28" i="22"/>
  <c r="AO28" i="22"/>
  <c r="AN28" i="22"/>
  <c r="AK28" i="22"/>
  <c r="AJ28" i="22"/>
  <c r="AG28" i="22"/>
  <c r="AF28" i="22"/>
  <c r="L28" i="22" a="1"/>
  <c r="L28" i="22" s="1"/>
  <c r="F28" i="22" a="1"/>
  <c r="F28"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s="1"/>
  <c r="BB10" i="22" a="1"/>
  <c r="BB10" i="22"/>
  <c r="BA10" i="22" a="1"/>
  <c r="BA10" i="22" s="1"/>
  <c r="AZ10" i="22" a="1"/>
  <c r="AZ10" i="22"/>
  <c r="AY10" i="22" a="1"/>
  <c r="AY10" i="22" s="1"/>
  <c r="AX10" i="22" a="1"/>
  <c r="AX10" i="22"/>
  <c r="AW10" i="22" a="1"/>
  <c r="AW10" i="22" s="1"/>
  <c r="AV10" i="22" a="1"/>
  <c r="AV10" i="22"/>
  <c r="AU10" i="22" a="1"/>
  <c r="AU10" i="22" s="1"/>
  <c r="AT10" i="22" a="1"/>
  <c r="AT10" i="22"/>
  <c r="AS10" i="22" a="1"/>
  <c r="AS10" i="22" s="1"/>
  <c r="AR10" i="22" a="1"/>
  <c r="AR10" i="22"/>
  <c r="AQ10" i="22" a="1"/>
  <c r="AQ10" i="22" s="1"/>
  <c r="AP10" i="22" a="1"/>
  <c r="AP10" i="22"/>
  <c r="AO10" i="22" a="1"/>
  <c r="AO10" i="22" s="1"/>
  <c r="AN10" i="22" a="1"/>
  <c r="AN10" i="22"/>
  <c r="AM10" i="22" a="1"/>
  <c r="AM10" i="22" s="1"/>
  <c r="AL10" i="22" a="1"/>
  <c r="AL10" i="22"/>
  <c r="AK10" i="22" a="1"/>
  <c r="AK10" i="22" s="1"/>
  <c r="AJ10" i="22" a="1"/>
  <c r="AJ10" i="22"/>
  <c r="AI10" i="22" a="1"/>
  <c r="AI10" i="22" s="1"/>
  <c r="AH10" i="22" a="1"/>
  <c r="AH10" i="22"/>
  <c r="AG10" i="22" a="1"/>
  <c r="AG10" i="22" s="1"/>
  <c r="AF10" i="22" a="1"/>
  <c r="AF10" i="22"/>
  <c r="AE10" i="22" a="1"/>
  <c r="AE10" i="22" s="1"/>
  <c r="BB9" i="22"/>
  <c r="AY9" i="22" a="1"/>
  <c r="AY9" i="22" s="1"/>
  <c r="AX9" i="22"/>
  <c r="AU9" i="22" a="1"/>
  <c r="AU9" i="22" s="1"/>
  <c r="AT9" i="22"/>
  <c r="AR9" i="22" a="1"/>
  <c r="AR9" i="22"/>
  <c r="AQ9" i="22" a="1"/>
  <c r="AQ9" i="22" s="1"/>
  <c r="AO9" i="22" a="1"/>
  <c r="AO9" i="22" s="1"/>
  <c r="AN9" i="22" a="1"/>
  <c r="AN9" i="22"/>
  <c r="AM9" i="22" a="1"/>
  <c r="AM9" i="22" s="1"/>
  <c r="AK9" i="22" a="1"/>
  <c r="AK9" i="22" s="1"/>
  <c r="AJ9" i="22" a="1"/>
  <c r="AJ9" i="22"/>
  <c r="AG9" i="22" a="1"/>
  <c r="AG9" i="22" s="1"/>
  <c r="BB7" i="22" a="1"/>
  <c r="BB7" i="22"/>
  <c r="BA7" i="22" a="1"/>
  <c r="BA7" i="22" s="1"/>
  <c r="AZ7" i="22" a="1"/>
  <c r="AZ7" i="22"/>
  <c r="AY7" i="22" a="1"/>
  <c r="AY7" i="22" s="1"/>
  <c r="AX7" i="22" a="1"/>
  <c r="AX7" i="22"/>
  <c r="AW7" i="22" a="1"/>
  <c r="AW7" i="22" s="1"/>
  <c r="AV7" i="22" a="1"/>
  <c r="AV7" i="22"/>
  <c r="AU7" i="22" a="1"/>
  <c r="AU7" i="22" s="1"/>
  <c r="AT7" i="22" a="1"/>
  <c r="AT7" i="22"/>
  <c r="AS7" i="22" a="1"/>
  <c r="AS7" i="22" s="1"/>
  <c r="AR7" i="22" a="1"/>
  <c r="AR7" i="22"/>
  <c r="AQ7" i="22" a="1"/>
  <c r="AQ7" i="22" s="1"/>
  <c r="AP7" i="22" a="1"/>
  <c r="AP7" i="22"/>
  <c r="AO7" i="22" a="1"/>
  <c r="AO7" i="22" s="1"/>
  <c r="AN7" i="22" a="1"/>
  <c r="AN7" i="22"/>
  <c r="AM7" i="22" a="1"/>
  <c r="AM7" i="22" s="1"/>
  <c r="AL7" i="22" a="1"/>
  <c r="AL7" i="22"/>
  <c r="AK7" i="22" a="1"/>
  <c r="AK7" i="22" s="1"/>
  <c r="AJ7" i="22" a="1"/>
  <c r="AJ7" i="22"/>
  <c r="AI7" i="22" a="1"/>
  <c r="AI7" i="22" s="1"/>
  <c r="AH7" i="22" a="1"/>
  <c r="AH7" i="22"/>
  <c r="AG7" i="22" a="1"/>
  <c r="AG7" i="22" s="1"/>
  <c r="AF7" i="22" a="1"/>
  <c r="AF7" i="22"/>
  <c r="AE7" i="22" a="1"/>
  <c r="AE7" i="22" s="1"/>
  <c r="BB6" i="22"/>
  <c r="BB9" i="22" s="1" a="1"/>
  <c r="BA6" i="22"/>
  <c r="BA9" i="22" s="1" a="1"/>
  <c r="BA9" i="22" s="1"/>
  <c r="AZ6" i="22"/>
  <c r="AY6" i="22"/>
  <c r="AX6" i="22"/>
  <c r="AX9" i="22" s="1" a="1"/>
  <c r="AW6" i="22"/>
  <c r="AW9" i="22" s="1" a="1"/>
  <c r="AW9" i="22" s="1"/>
  <c r="AV6" i="22"/>
  <c r="AU6" i="22"/>
  <c r="AT6" i="22"/>
  <c r="AT9" i="22" s="1" a="1"/>
  <c r="AS6" i="22" a="1"/>
  <c r="AS6" i="22" s="1"/>
  <c r="AR6" i="22"/>
  <c r="AQ6" i="22"/>
  <c r="AP6" i="22"/>
  <c r="AP9" i="22" s="1" a="1"/>
  <c r="AP9" i="22" s="1"/>
  <c r="AO6" i="22"/>
  <c r="AN6" i="22"/>
  <c r="AM6" i="22"/>
  <c r="AL6" i="22"/>
  <c r="AL9" i="22" s="1" a="1"/>
  <c r="AL9" i="22" s="1"/>
  <c r="AK6" i="22"/>
  <c r="AJ6" i="22"/>
  <c r="AI6" i="22" a="1"/>
  <c r="AI6" i="22"/>
  <c r="AI9" i="22" s="1" a="1"/>
  <c r="AI9" i="22" s="1"/>
  <c r="AH6" i="22"/>
  <c r="AH9" i="22" s="1" a="1"/>
  <c r="AH9" i="22" s="1"/>
  <c r="AG6" i="22"/>
  <c r="AF6" i="22"/>
  <c r="AF9" i="22" s="1" a="1"/>
  <c r="AF9" i="22" s="1"/>
  <c r="AE6" i="22"/>
  <c r="AE9" i="22" s="1" a="1"/>
  <c r="AE9" i="22" s="1"/>
  <c r="T66" i="21"/>
  <c r="H62" i="21"/>
  <c r="AP61" i="21" a="1"/>
  <c r="AP61" i="21"/>
  <c r="AB61" i="21"/>
  <c r="H61" i="21" a="1"/>
  <c r="H61" i="21" s="1"/>
  <c r="AJ60" i="21"/>
  <c r="AI60" i="21"/>
  <c r="AH60" i="21"/>
  <c r="AG60" i="21"/>
  <c r="AF60" i="21"/>
  <c r="AE60" i="21"/>
  <c r="T52" i="21" a="1"/>
  <c r="T52" i="21" s="1"/>
  <c r="T53" i="21" s="1" a="1"/>
  <c r="T53" i="21" s="1"/>
  <c r="T54" i="21" s="1" a="1"/>
  <c r="T54" i="21" s="1"/>
  <c r="T55" i="21" s="1" a="1"/>
  <c r="T55" i="21" s="1"/>
  <c r="T56" i="21" s="1" a="1"/>
  <c r="T56" i="21" s="1"/>
  <c r="T57" i="21" s="1" a="1"/>
  <c r="T57" i="21" s="1"/>
  <c r="T58" i="21" s="1" a="1"/>
  <c r="T58" i="21" s="1"/>
  <c r="T59" i="21" s="1" a="1"/>
  <c r="T59" i="21" s="1"/>
  <c r="T60" i="21" s="1" a="1"/>
  <c r="T60" i="21" s="1"/>
  <c r="L52" i="21" a="1"/>
  <c r="L52" i="21"/>
  <c r="F52" i="21" a="1"/>
  <c r="F52" i="21" s="1"/>
  <c r="F53" i="21" s="1" a="1"/>
  <c r="F53" i="21" s="1"/>
  <c r="F54" i="21" s="1" a="1"/>
  <c r="F54" i="21" s="1"/>
  <c r="F55" i="21" s="1" a="1"/>
  <c r="F55" i="21" s="1"/>
  <c r="F56" i="21" s="1" a="1"/>
  <c r="F56" i="21" s="1"/>
  <c r="F57" i="21" s="1" a="1"/>
  <c r="F57" i="21" s="1"/>
  <c r="F58" i="21" s="1" a="1"/>
  <c r="F58" i="21" s="1"/>
  <c r="F59" i="21" s="1" a="1"/>
  <c r="F59" i="21" s="1"/>
  <c r="F60" i="21" s="1" a="1"/>
  <c r="F60" i="21" s="1"/>
  <c r="F61" i="21" s="1" a="1"/>
  <c r="F61" i="21" s="1"/>
  <c r="T51" i="21"/>
  <c r="F51" i="21" a="1"/>
  <c r="F51" i="21"/>
  <c r="H50" i="21"/>
  <c r="AP49" i="21" a="1"/>
  <c r="AP49" i="21" s="1"/>
  <c r="AB49" i="21"/>
  <c r="H49" i="21" a="1"/>
  <c r="H49" i="21"/>
  <c r="AJ48" i="21"/>
  <c r="AI48" i="21"/>
  <c r="AH48" i="21"/>
  <c r="AG48" i="21"/>
  <c r="AF48" i="21"/>
  <c r="AE48" i="21"/>
  <c r="L40" i="21" a="1"/>
  <c r="L40" i="21" s="1"/>
  <c r="K40" i="21"/>
  <c r="F40" i="21" a="1"/>
  <c r="F40" i="21" s="1"/>
  <c r="F41" i="21" s="1" a="1"/>
  <c r="F41" i="21" s="1"/>
  <c r="F42" i="21" s="1" a="1"/>
  <c r="F42" i="21" s="1"/>
  <c r="F43" i="21" s="1" a="1"/>
  <c r="F43" i="21" s="1"/>
  <c r="T39" i="21"/>
  <c r="T40" i="21" s="1" a="1"/>
  <c r="T40" i="21" s="1"/>
  <c r="T41" i="21" s="1" a="1"/>
  <c r="T41" i="21" s="1"/>
  <c r="T42" i="21" s="1" a="1"/>
  <c r="T42" i="21" s="1"/>
  <c r="T43" i="21" s="1" a="1"/>
  <c r="T43" i="21" s="1"/>
  <c r="T44" i="21" s="1" a="1"/>
  <c r="T44" i="21" s="1"/>
  <c r="T45" i="21" s="1" a="1"/>
  <c r="T45" i="21" s="1"/>
  <c r="T46" i="21" s="1" a="1"/>
  <c r="T46" i="21" s="1"/>
  <c r="T47" i="21" s="1" a="1"/>
  <c r="T47" i="21" s="1"/>
  <c r="T48" i="21" s="1" a="1"/>
  <c r="T48" i="21" s="1"/>
  <c r="F39" i="21" a="1"/>
  <c r="F39" i="21"/>
  <c r="H38" i="21"/>
  <c r="AP37" i="21" a="1"/>
  <c r="AP37" i="21" s="1"/>
  <c r="AB37" i="21"/>
  <c r="H37" i="21" a="1"/>
  <c r="H37" i="21"/>
  <c r="AJ36" i="21"/>
  <c r="AI36" i="21"/>
  <c r="AH36" i="21"/>
  <c r="AG36" i="21"/>
  <c r="AF36" i="21"/>
  <c r="AE36" i="21"/>
  <c r="T28" i="21" a="1"/>
  <c r="T28" i="21"/>
  <c r="T29" i="21" s="1" a="1"/>
  <c r="T29" i="21" s="1"/>
  <c r="T30" i="21" s="1" a="1"/>
  <c r="T30" i="21" s="1"/>
  <c r="T31" i="21" s="1" a="1"/>
  <c r="T31" i="21" s="1"/>
  <c r="T32" i="21" s="1" a="1"/>
  <c r="T32" i="21" s="1"/>
  <c r="T33" i="21" s="1" a="1"/>
  <c r="T33" i="21" s="1"/>
  <c r="T34" i="21" s="1" a="1"/>
  <c r="T34" i="21" s="1"/>
  <c r="T35" i="21" s="1" a="1"/>
  <c r="T35" i="21" s="1"/>
  <c r="T36" i="21" s="1" a="1"/>
  <c r="T36" i="21" s="1"/>
  <c r="L28" i="21" a="1"/>
  <c r="L28" i="21" s="1"/>
  <c r="T27" i="21"/>
  <c r="F27" i="21" a="1"/>
  <c r="F27" i="21"/>
  <c r="F28" i="21" s="1" a="1"/>
  <c r="F28" i="21" s="1"/>
  <c r="AJ24" i="21"/>
  <c r="AI24" i="21"/>
  <c r="AH24" i="21"/>
  <c r="AG24" i="21"/>
  <c r="AF24" i="21"/>
  <c r="AE24" i="21"/>
  <c r="AK11" i="21" a="1"/>
  <c r="AK11" i="21" s="1"/>
  <c r="AJ10" i="21" a="1"/>
  <c r="AJ10" i="21" s="1"/>
  <c r="AI10" i="21" a="1"/>
  <c r="AI10" i="21" s="1"/>
  <c r="AH10" i="21" a="1"/>
  <c r="AH10" i="21"/>
  <c r="AG10" i="21" a="1"/>
  <c r="AG10" i="21" s="1"/>
  <c r="AF10" i="21" a="1"/>
  <c r="AF10" i="21" s="1"/>
  <c r="AE10" i="21" a="1"/>
  <c r="AE10" i="21" s="1"/>
  <c r="AF9" i="21" a="1"/>
  <c r="AF9" i="21"/>
  <c r="AE9" i="21" a="1"/>
  <c r="AE9" i="21" s="1"/>
  <c r="AJ7" i="21" a="1"/>
  <c r="AJ7" i="21" s="1"/>
  <c r="AI7" i="21" a="1"/>
  <c r="AI7" i="21" s="1"/>
  <c r="AH7" i="21" a="1"/>
  <c r="AH7" i="21"/>
  <c r="AG7" i="21" a="1"/>
  <c r="AG7" i="21" s="1"/>
  <c r="AF7" i="21" a="1"/>
  <c r="AF7" i="21" s="1"/>
  <c r="AE7" i="21" a="1"/>
  <c r="AE7" i="21" s="1"/>
  <c r="AJ6" i="21" a="1"/>
  <c r="AJ6" i="21"/>
  <c r="AJ9" i="21" s="1" a="1"/>
  <c r="AJ9" i="21" s="1"/>
  <c r="AI6" i="21" a="1"/>
  <c r="AI6" i="21" s="1"/>
  <c r="AI9" i="21" s="1" a="1"/>
  <c r="AI9" i="21" s="1"/>
  <c r="AH6" i="21"/>
  <c r="AH9" i="21" s="1" a="1"/>
  <c r="AH9" i="21" s="1"/>
  <c r="AG6" i="21"/>
  <c r="AG9" i="21" s="1" a="1"/>
  <c r="AG9" i="21" s="1"/>
  <c r="AF6" i="21"/>
  <c r="AE6" i="21"/>
  <c r="T87" i="20"/>
  <c r="L83" i="20" a="1"/>
  <c r="L83" i="20"/>
  <c r="L82" i="20" a="1"/>
  <c r="L82" i="20" s="1"/>
  <c r="L81" i="20" a="1"/>
  <c r="L81" i="20" s="1"/>
  <c r="AJ80" i="20"/>
  <c r="AI80" i="20"/>
  <c r="AH80" i="20"/>
  <c r="AG80" i="20"/>
  <c r="AF80" i="20"/>
  <c r="AE80" i="20"/>
  <c r="L80" i="20" a="1"/>
  <c r="L80" i="20" s="1"/>
  <c r="L79" i="20" a="1"/>
  <c r="L79" i="20" s="1"/>
  <c r="L78" i="20" a="1"/>
  <c r="L78" i="20"/>
  <c r="L77" i="20" a="1"/>
  <c r="L77" i="20"/>
  <c r="L76" i="20" a="1"/>
  <c r="L76" i="20" s="1"/>
  <c r="L75" i="20" a="1"/>
  <c r="L75" i="20" s="1"/>
  <c r="L74" i="20" a="1"/>
  <c r="L74" i="20"/>
  <c r="L73" i="20" a="1"/>
  <c r="L73" i="20"/>
  <c r="L72" i="20" a="1"/>
  <c r="L72" i="20" s="1"/>
  <c r="L71" i="20" a="1"/>
  <c r="L71" i="20" s="1"/>
  <c r="L70" i="20" a="1"/>
  <c r="L70" i="20"/>
  <c r="L69" i="20" a="1"/>
  <c r="L69" i="20"/>
  <c r="AJ68" i="20"/>
  <c r="AI68" i="20"/>
  <c r="AH68" i="20"/>
  <c r="AG68" i="20"/>
  <c r="AF68" i="20"/>
  <c r="AE68" i="20"/>
  <c r="L68" i="20" a="1"/>
  <c r="L68" i="20" s="1"/>
  <c r="T67" i="20"/>
  <c r="T68" i="20" s="1" a="1"/>
  <c r="T68" i="20" s="1"/>
  <c r="T69" i="20" s="1" a="1"/>
  <c r="T69" i="20" s="1"/>
  <c r="T70" i="20" s="1" a="1"/>
  <c r="T70" i="20" s="1"/>
  <c r="T71" i="20" s="1" a="1"/>
  <c r="T71" i="20" s="1"/>
  <c r="T72" i="20" s="1" a="1"/>
  <c r="T72" i="20" s="1"/>
  <c r="T73" i="20" s="1" a="1"/>
  <c r="T73" i="20" s="1"/>
  <c r="T74" i="20" s="1" a="1"/>
  <c r="T74" i="20" s="1"/>
  <c r="T75" i="20" s="1" a="1"/>
  <c r="T75" i="20" s="1"/>
  <c r="T76" i="20" s="1" a="1"/>
  <c r="T76" i="20" s="1"/>
  <c r="T77" i="20" s="1" a="1"/>
  <c r="T77" i="20" s="1"/>
  <c r="T78" i="20" s="1" a="1"/>
  <c r="T78" i="20" s="1"/>
  <c r="T79" i="20" s="1" a="1"/>
  <c r="T79" i="20" s="1"/>
  <c r="T80" i="20" s="1" a="1"/>
  <c r="T80" i="20" s="1"/>
  <c r="T81" i="20" s="1" a="1"/>
  <c r="T81" i="20" s="1"/>
  <c r="T82" i="20" s="1" a="1"/>
  <c r="T82" i="20" s="1"/>
  <c r="T83" i="20" s="1" a="1"/>
  <c r="T83" i="20" s="1"/>
  <c r="T66" i="20" a="1"/>
  <c r="T66" i="20" s="1"/>
  <c r="T67" i="20" s="1" a="1"/>
  <c r="T65" i="20"/>
  <c r="F65" i="20" a="1"/>
  <c r="F65" i="20"/>
  <c r="F66" i="20" s="1" a="1"/>
  <c r="F66" i="20" s="1"/>
  <c r="L64" i="20" a="1"/>
  <c r="L64" i="20"/>
  <c r="L63" i="20" a="1"/>
  <c r="L63" i="20"/>
  <c r="L62" i="20" a="1"/>
  <c r="L62" i="20" s="1"/>
  <c r="AJ61" i="20"/>
  <c r="AI61" i="20"/>
  <c r="AH61" i="20"/>
  <c r="AG61" i="20"/>
  <c r="AF61" i="20"/>
  <c r="AE61" i="20"/>
  <c r="L61" i="20" a="1"/>
  <c r="L61" i="20"/>
  <c r="L60" i="20" a="1"/>
  <c r="L60" i="20" s="1"/>
  <c r="L59" i="20" a="1"/>
  <c r="L59" i="20" s="1"/>
  <c r="L58" i="20" a="1"/>
  <c r="L58" i="20" s="1"/>
  <c r="L57" i="20" a="1"/>
  <c r="L57" i="20"/>
  <c r="L56" i="20" a="1"/>
  <c r="L56" i="20" s="1"/>
  <c r="L55" i="20" a="1"/>
  <c r="L55" i="20" s="1"/>
  <c r="L54" i="20" a="1"/>
  <c r="L54" i="20" s="1"/>
  <c r="L53" i="20" a="1"/>
  <c r="L53" i="20"/>
  <c r="L52" i="20" a="1"/>
  <c r="L52" i="20" s="1"/>
  <c r="L51" i="20" a="1"/>
  <c r="L51" i="20" s="1"/>
  <c r="L50" i="20" a="1"/>
  <c r="L50" i="20" s="1"/>
  <c r="AJ49" i="20"/>
  <c r="AI49" i="20"/>
  <c r="AH49" i="20"/>
  <c r="AG49" i="20"/>
  <c r="AF49" i="20"/>
  <c r="AE49" i="20"/>
  <c r="L49" i="20" a="1"/>
  <c r="L49" i="20" s="1"/>
  <c r="T46" i="20"/>
  <c r="T47" i="20" s="1" a="1"/>
  <c r="T47" i="20" s="1"/>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F46" i="20" a="1"/>
  <c r="F46" i="20" s="1"/>
  <c r="F47" i="20" s="1" a="1"/>
  <c r="F47" i="20" s="1"/>
  <c r="L45" i="20" a="1"/>
  <c r="L45" i="20" s="1"/>
  <c r="L44" i="20" a="1"/>
  <c r="L44" i="20"/>
  <c r="L43" i="20" a="1"/>
  <c r="L43" i="20"/>
  <c r="AJ42" i="20"/>
  <c r="AI42" i="20"/>
  <c r="AH42" i="20"/>
  <c r="AG42" i="20"/>
  <c r="AF42" i="20"/>
  <c r="AE42" i="20"/>
  <c r="L42" i="20" a="1"/>
  <c r="L42" i="20" s="1"/>
  <c r="L41" i="20" a="1"/>
  <c r="L41" i="20"/>
  <c r="L40" i="20" a="1"/>
  <c r="L40" i="20" s="1"/>
  <c r="L39" i="20" a="1"/>
  <c r="L39" i="20" s="1"/>
  <c r="L38" i="20" a="1"/>
  <c r="L38" i="20" s="1"/>
  <c r="L37" i="20" a="1"/>
  <c r="L37" i="20"/>
  <c r="L36" i="20" a="1"/>
  <c r="L36" i="20" s="1"/>
  <c r="L35" i="20" a="1"/>
  <c r="L35" i="20" s="1"/>
  <c r="L34" i="20" a="1"/>
  <c r="L34" i="20" s="1"/>
  <c r="L33" i="20" a="1"/>
  <c r="L33" i="20"/>
  <c r="L32" i="20" a="1"/>
  <c r="L32" i="20" s="1"/>
  <c r="L31" i="20" a="1"/>
  <c r="L31" i="20" s="1"/>
  <c r="AJ30" i="20"/>
  <c r="AI30" i="20"/>
  <c r="AH30" i="20"/>
  <c r="AG30" i="20"/>
  <c r="AF30" i="20"/>
  <c r="AE30" i="20"/>
  <c r="L30" i="20" a="1"/>
  <c r="L30" i="20" s="1"/>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F27" i="20" a="1"/>
  <c r="F27" i="20" s="1"/>
  <c r="F28" i="20" s="1" a="1"/>
  <c r="F28" i="20" s="1"/>
  <c r="AJ24" i="20"/>
  <c r="AI24" i="20"/>
  <c r="AH24" i="20"/>
  <c r="AG24" i="20"/>
  <c r="AF24" i="20"/>
  <c r="AE24" i="20"/>
  <c r="AK11" i="20" a="1"/>
  <c r="AK11" i="20" s="1"/>
  <c r="AJ10" i="20" a="1"/>
  <c r="AJ10" i="20"/>
  <c r="AI10" i="20" a="1"/>
  <c r="AI10" i="20" s="1"/>
  <c r="AH10" i="20" a="1"/>
  <c r="AH10" i="20" s="1"/>
  <c r="AG10" i="20" a="1"/>
  <c r="AG10" i="20" s="1"/>
  <c r="AF10" i="20" a="1"/>
  <c r="AF10" i="20"/>
  <c r="AE10" i="20" a="1"/>
  <c r="AE10" i="20" s="1"/>
  <c r="AH9" i="20" a="1"/>
  <c r="AH9" i="20" s="1"/>
  <c r="AF9" i="20" a="1"/>
  <c r="AF9" i="20" s="1"/>
  <c r="AE9" i="20" a="1"/>
  <c r="AE9" i="20" s="1"/>
  <c r="AJ7" i="20" a="1"/>
  <c r="AJ7" i="20"/>
  <c r="AI7" i="20" a="1"/>
  <c r="AI7" i="20" s="1"/>
  <c r="AH7" i="20" a="1"/>
  <c r="AH7" i="20" s="1"/>
  <c r="AG7" i="20" a="1"/>
  <c r="AG7" i="20" s="1"/>
  <c r="AF7" i="20" a="1"/>
  <c r="AF7" i="20"/>
  <c r="AE7" i="20" a="1"/>
  <c r="AE7" i="20" s="1"/>
  <c r="AJ6" i="20" a="1"/>
  <c r="AJ6" i="20" s="1"/>
  <c r="AI6" i="20" a="1"/>
  <c r="AI6" i="20" s="1"/>
  <c r="AI9" i="20" s="1" a="1"/>
  <c r="AI9" i="20" s="1"/>
  <c r="AH6" i="20"/>
  <c r="AG6" i="20"/>
  <c r="AG9" i="20" s="1" a="1"/>
  <c r="AG9" i="20" s="1"/>
  <c r="AF6" i="20"/>
  <c r="AE6" i="20"/>
  <c r="T105" i="19"/>
  <c r="L101" i="19" a="1"/>
  <c r="L101" i="19" s="1"/>
  <c r="I100" i="19"/>
  <c r="AB99" i="19"/>
  <c r="H99" i="19"/>
  <c r="AP98" i="19" a="1"/>
  <c r="AP98" i="19" s="1"/>
  <c r="AP99" i="19" s="1" a="1"/>
  <c r="AP99" i="19" s="1"/>
  <c r="H98" i="19"/>
  <c r="AP97" i="19" a="1"/>
  <c r="AP97" i="19" s="1"/>
  <c r="AJ97" i="19"/>
  <c r="AJ96" i="19" s="1"/>
  <c r="AI97" i="19"/>
  <c r="AB97" i="19"/>
  <c r="AB98" i="19" s="1"/>
  <c r="I97" i="19" a="1"/>
  <c r="I97" i="19"/>
  <c r="I98" i="19" s="1" a="1"/>
  <c r="I98" i="19" s="1"/>
  <c r="I99" i="19" s="1" a="1"/>
  <c r="I99" i="19" s="1"/>
  <c r="AI96" i="19"/>
  <c r="L96" i="19" a="1"/>
  <c r="L96" i="19"/>
  <c r="L95" i="19" a="1"/>
  <c r="L95" i="19" s="1"/>
  <c r="I94" i="19"/>
  <c r="AB93" i="19"/>
  <c r="H93" i="19"/>
  <c r="AP92" i="19" a="1"/>
  <c r="AP92" i="19" s="1"/>
  <c r="AP93" i="19" s="1" a="1"/>
  <c r="AP93" i="19" s="1"/>
  <c r="H92" i="19"/>
  <c r="AP91" i="19" a="1"/>
  <c r="AP91" i="19" s="1"/>
  <c r="AJ91" i="19"/>
  <c r="AJ90" i="19" s="1"/>
  <c r="AI91" i="19"/>
  <c r="AB91" i="19"/>
  <c r="AB92" i="19" s="1"/>
  <c r="I91" i="19" a="1"/>
  <c r="I91" i="19"/>
  <c r="I92" i="19" s="1" a="1"/>
  <c r="I92" i="19" s="1"/>
  <c r="I93" i="19" s="1" a="1"/>
  <c r="I93" i="19" s="1"/>
  <c r="AI90" i="19"/>
  <c r="L90" i="19" a="1"/>
  <c r="L90" i="19"/>
  <c r="L89" i="19" a="1"/>
  <c r="L89" i="19" s="1"/>
  <c r="I88" i="19"/>
  <c r="AB87" i="19"/>
  <c r="H87" i="19"/>
  <c r="AP86" i="19" a="1"/>
  <c r="AP86" i="19" s="1"/>
  <c r="AP87" i="19" s="1" a="1"/>
  <c r="AP87" i="19" s="1"/>
  <c r="H86" i="19"/>
  <c r="AP85" i="19" a="1"/>
  <c r="AP85" i="19" s="1"/>
  <c r="AJ85" i="19"/>
  <c r="AJ84" i="19" s="1"/>
  <c r="AI85" i="19"/>
  <c r="AB85" i="19"/>
  <c r="AB86" i="19" s="1"/>
  <c r="I85" i="19" a="1"/>
  <c r="I85" i="19"/>
  <c r="I86" i="19" s="1" a="1"/>
  <c r="I86" i="19" s="1"/>
  <c r="I87" i="19" s="1" a="1"/>
  <c r="I87" i="19" s="1"/>
  <c r="AI84" i="19"/>
  <c r="L84" i="19" a="1"/>
  <c r="L84" i="19"/>
  <c r="L83" i="19" a="1"/>
  <c r="L83" i="19" s="1"/>
  <c r="I82" i="19"/>
  <c r="AB81" i="19"/>
  <c r="H81" i="19"/>
  <c r="AP80" i="19" a="1"/>
  <c r="AP80" i="19" s="1"/>
  <c r="AP81" i="19" s="1" a="1"/>
  <c r="AP81" i="19" s="1"/>
  <c r="H80" i="19"/>
  <c r="AP79" i="19" a="1"/>
  <c r="AP79" i="19" s="1"/>
  <c r="AJ79" i="19"/>
  <c r="AJ78" i="19" s="1"/>
  <c r="AI79" i="19"/>
  <c r="AB79" i="19"/>
  <c r="AB80" i="19" s="1"/>
  <c r="I79" i="19" a="1"/>
  <c r="I79" i="19"/>
  <c r="I80" i="19" s="1" a="1"/>
  <c r="I80" i="19" s="1"/>
  <c r="I81" i="19" s="1" a="1"/>
  <c r="I81" i="19" s="1"/>
  <c r="AI78" i="19"/>
  <c r="T78" i="19" a="1"/>
  <c r="T78" i="19" s="1"/>
  <c r="L78" i="19" a="1"/>
  <c r="L78" i="19" s="1"/>
  <c r="T77" i="19"/>
  <c r="F77" i="19" a="1"/>
  <c r="F77" i="19"/>
  <c r="F78" i="19" s="1" a="1"/>
  <c r="F78" i="19" s="1"/>
  <c r="L76" i="19" a="1"/>
  <c r="L76" i="19" s="1"/>
  <c r="I75" i="19"/>
  <c r="AB74" i="19"/>
  <c r="I74" i="19" a="1"/>
  <c r="I74" i="19" s="1"/>
  <c r="H74" i="19"/>
  <c r="AP73" i="19" a="1"/>
  <c r="AP73" i="19" s="1"/>
  <c r="AP74" i="19" s="1" a="1"/>
  <c r="AP74" i="19" s="1"/>
  <c r="H73" i="19"/>
  <c r="AP72" i="19" a="1"/>
  <c r="AP72" i="19"/>
  <c r="AJ72" i="19"/>
  <c r="AJ71" i="19" s="1"/>
  <c r="AI72" i="19"/>
  <c r="AB72" i="19"/>
  <c r="AB73" i="19" s="1"/>
  <c r="I72" i="19" a="1"/>
  <c r="I72" i="19" s="1"/>
  <c r="I73" i="19" s="1" a="1"/>
  <c r="I73" i="19" s="1"/>
  <c r="AI71" i="19"/>
  <c r="L71" i="19" a="1"/>
  <c r="L71" i="19" s="1"/>
  <c r="L70" i="19" a="1"/>
  <c r="L70" i="19" s="1"/>
  <c r="I69" i="19"/>
  <c r="AB68" i="19"/>
  <c r="I68" i="19" a="1"/>
  <c r="I68" i="19" s="1"/>
  <c r="H68" i="19"/>
  <c r="H67" i="19"/>
  <c r="AP66" i="19" a="1"/>
  <c r="AP66" i="19"/>
  <c r="AP67" i="19" s="1" a="1"/>
  <c r="AP67" i="19" s="1"/>
  <c r="AP68" i="19" s="1" a="1"/>
  <c r="AP68" i="19" s="1"/>
  <c r="AJ66" i="19"/>
  <c r="AI66" i="19"/>
  <c r="AB66" i="19"/>
  <c r="AB67" i="19" s="1"/>
  <c r="I66" i="19" a="1"/>
  <c r="I66" i="19" s="1"/>
  <c r="I67" i="19" s="1" a="1"/>
  <c r="I67" i="19" s="1"/>
  <c r="AJ65" i="19"/>
  <c r="AI65" i="19"/>
  <c r="L65" i="19" a="1"/>
  <c r="L65" i="19" s="1"/>
  <c r="L64" i="19" a="1"/>
  <c r="L64" i="19" s="1"/>
  <c r="I63" i="19"/>
  <c r="AB62" i="19"/>
  <c r="I62" i="19" a="1"/>
  <c r="I62" i="19" s="1"/>
  <c r="H62" i="19"/>
  <c r="AP61" i="19" a="1"/>
  <c r="AP61" i="19" s="1"/>
  <c r="AP62" i="19" s="1" a="1"/>
  <c r="AP62" i="19" s="1"/>
  <c r="H61" i="19"/>
  <c r="AP60" i="19" a="1"/>
  <c r="AP60" i="19"/>
  <c r="AJ60" i="19"/>
  <c r="AJ59" i="19" s="1"/>
  <c r="AI60" i="19"/>
  <c r="AB60" i="19"/>
  <c r="AB61" i="19" s="1"/>
  <c r="I60" i="19" a="1"/>
  <c r="I60" i="19" s="1"/>
  <c r="I61" i="19" s="1" a="1"/>
  <c r="I61" i="19" s="1"/>
  <c r="AI59" i="19"/>
  <c r="L59" i="19" a="1"/>
  <c r="L59" i="19" s="1"/>
  <c r="L58" i="19" a="1"/>
  <c r="L58" i="19" s="1"/>
  <c r="I57" i="19"/>
  <c r="AB56" i="19"/>
  <c r="I56" i="19" a="1"/>
  <c r="I56" i="19" s="1"/>
  <c r="H56" i="19"/>
  <c r="H55" i="19"/>
  <c r="AP54" i="19" a="1"/>
  <c r="AP54" i="19"/>
  <c r="AP55" i="19" s="1" a="1"/>
  <c r="AP55" i="19" s="1"/>
  <c r="AP56" i="19" s="1" a="1"/>
  <c r="AP56" i="19" s="1"/>
  <c r="AJ54" i="19"/>
  <c r="AI54" i="19"/>
  <c r="AB54" i="19"/>
  <c r="AB55" i="19" s="1"/>
  <c r="I54" i="19" a="1"/>
  <c r="I54" i="19" s="1"/>
  <c r="I55" i="19" s="1" a="1"/>
  <c r="I55" i="19" s="1"/>
  <c r="AJ53" i="19"/>
  <c r="AI53" i="19"/>
  <c r="L53" i="19" a="1"/>
  <c r="L53" i="19" s="1"/>
  <c r="T52" i="19"/>
  <c r="T53" i="19" s="1" a="1"/>
  <c r="T53" i="19" s="1"/>
  <c r="F52" i="19" a="1"/>
  <c r="F52" i="19" s="1"/>
  <c r="F53" i="19" s="1" a="1"/>
  <c r="F53" i="19" s="1"/>
  <c r="L51" i="19" a="1"/>
  <c r="L51" i="19"/>
  <c r="I50" i="19"/>
  <c r="H49" i="19"/>
  <c r="H48" i="19"/>
  <c r="AP47" i="19" a="1"/>
  <c r="AP47" i="19"/>
  <c r="AP48" i="19" s="1" a="1"/>
  <c r="AP48" i="19" s="1"/>
  <c r="AP49" i="19" s="1" a="1"/>
  <c r="AP49" i="19" s="1"/>
  <c r="AJ47" i="19"/>
  <c r="AI47" i="19"/>
  <c r="AB47" i="19"/>
  <c r="AB49" i="19" s="1"/>
  <c r="I47" i="19" a="1"/>
  <c r="I47" i="19" s="1"/>
  <c r="I48" i="19" s="1" a="1"/>
  <c r="I48" i="19" s="1"/>
  <c r="I49" i="19" s="1" a="1"/>
  <c r="I49" i="19" s="1"/>
  <c r="AJ46" i="19"/>
  <c r="AI46" i="19"/>
  <c r="L46" i="19" a="1"/>
  <c r="L46" i="19" s="1"/>
  <c r="L45" i="19" a="1"/>
  <c r="L45" i="19"/>
  <c r="I44" i="19"/>
  <c r="H43" i="19"/>
  <c r="H42" i="19"/>
  <c r="AP41" i="19" a="1"/>
  <c r="AP41" i="19"/>
  <c r="AP42" i="19" s="1" a="1"/>
  <c r="AP42" i="19" s="1"/>
  <c r="AP43" i="19" s="1" a="1"/>
  <c r="AP43" i="19" s="1"/>
  <c r="AJ41" i="19"/>
  <c r="AI41" i="19"/>
  <c r="AB41" i="19"/>
  <c r="AB43" i="19" s="1"/>
  <c r="I41" i="19" a="1"/>
  <c r="I41" i="19" s="1"/>
  <c r="I42" i="19" s="1" a="1"/>
  <c r="I42" i="19" s="1"/>
  <c r="I43" i="19" s="1" a="1"/>
  <c r="I43" i="19" s="1"/>
  <c r="AJ40" i="19"/>
  <c r="AI40" i="19"/>
  <c r="L40" i="19" a="1"/>
  <c r="L40" i="19" s="1"/>
  <c r="L39" i="19" a="1"/>
  <c r="L39" i="19"/>
  <c r="I38" i="19"/>
  <c r="H37" i="19"/>
  <c r="H36" i="19"/>
  <c r="AP35" i="19" a="1"/>
  <c r="AP35" i="19"/>
  <c r="AP36" i="19" s="1" a="1"/>
  <c r="AP36" i="19" s="1"/>
  <c r="AP37" i="19" s="1" a="1"/>
  <c r="AP37" i="19" s="1"/>
  <c r="AJ35" i="19"/>
  <c r="AI35" i="19"/>
  <c r="AB35" i="19"/>
  <c r="AB37" i="19" s="1"/>
  <c r="I35" i="19" a="1"/>
  <c r="I35" i="19" s="1"/>
  <c r="I36" i="19" s="1" a="1"/>
  <c r="I36" i="19" s="1"/>
  <c r="I37" i="19" s="1" a="1"/>
  <c r="I37" i="19" s="1"/>
  <c r="AJ34" i="19"/>
  <c r="AI34" i="19"/>
  <c r="L34" i="19" a="1"/>
  <c r="L34" i="19" s="1"/>
  <c r="L33" i="19" a="1"/>
  <c r="L33" i="19"/>
  <c r="I32" i="19"/>
  <c r="H31" i="19"/>
  <c r="H30" i="19"/>
  <c r="AP29" i="19" a="1"/>
  <c r="AP29" i="19"/>
  <c r="AP30" i="19" s="1" a="1"/>
  <c r="AP30" i="19" s="1"/>
  <c r="AP31" i="19" s="1" a="1"/>
  <c r="AP31" i="19" s="1"/>
  <c r="AJ29" i="19"/>
  <c r="AI29" i="19"/>
  <c r="AB29" i="19"/>
  <c r="AB31" i="19" s="1"/>
  <c r="I29" i="19" a="1"/>
  <c r="I29" i="19" s="1"/>
  <c r="I30" i="19" s="1" a="1"/>
  <c r="I30" i="19" s="1"/>
  <c r="I31" i="19" s="1" a="1"/>
  <c r="I31" i="19" s="1"/>
  <c r="AJ28" i="19"/>
  <c r="AI28" i="19"/>
  <c r="T28" i="19" a="1"/>
  <c r="T28" i="19" s="1"/>
  <c r="L28" i="19" a="1"/>
  <c r="L28" i="19" s="1"/>
  <c r="T27" i="19"/>
  <c r="F27" i="19" a="1"/>
  <c r="F27" i="19" s="1"/>
  <c r="AJ24" i="19"/>
  <c r="AI24" i="19"/>
  <c r="AH24" i="19"/>
  <c r="AG24" i="19"/>
  <c r="AF24" i="19"/>
  <c r="AE24" i="19"/>
  <c r="AJ12" i="19" a="1"/>
  <c r="AJ12" i="19" s="1"/>
  <c r="AI12" i="19" a="1"/>
  <c r="AI12" i="19" s="1"/>
  <c r="AH12" i="19" a="1"/>
  <c r="AH12" i="19"/>
  <c r="AG12" i="19" a="1"/>
  <c r="AG12" i="19" s="1"/>
  <c r="AF12" i="19" a="1"/>
  <c r="AF12" i="19" s="1"/>
  <c r="AE12" i="19" a="1"/>
  <c r="AE12" i="19" s="1"/>
  <c r="AJ11" i="19" a="1"/>
  <c r="AJ11" i="19"/>
  <c r="AI11" i="19" a="1"/>
  <c r="AI11" i="19" s="1"/>
  <c r="AH11" i="19"/>
  <c r="AH7" i="19" s="1" a="1"/>
  <c r="AH7" i="19" s="1"/>
  <c r="AG11" i="19"/>
  <c r="AG13" i="19" s="1"/>
  <c r="AF11" i="19"/>
  <c r="AE11" i="19"/>
  <c r="AK9" i="19" a="1"/>
  <c r="AK9" i="19" s="1"/>
  <c r="AJ8" i="19" a="1"/>
  <c r="AJ8" i="19" s="1"/>
  <c r="AI8" i="19" a="1"/>
  <c r="AI8" i="19"/>
  <c r="AH8" i="19" a="1"/>
  <c r="AH8" i="19" s="1"/>
  <c r="AG8" i="19" a="1"/>
  <c r="AG8" i="19" s="1"/>
  <c r="AF8" i="19" a="1"/>
  <c r="AF8" i="19" s="1"/>
  <c r="AE8" i="19" a="1"/>
  <c r="AE8" i="19"/>
  <c r="AI7" i="19" a="1"/>
  <c r="AI7" i="19"/>
  <c r="AG7" i="19" a="1"/>
  <c r="AG7" i="19"/>
  <c r="AF7" i="19" a="1"/>
  <c r="AF7" i="19" s="1"/>
  <c r="AE7" i="19" a="1"/>
  <c r="AE7" i="19" s="1"/>
  <c r="T259" i="18"/>
  <c r="T258" i="18"/>
  <c r="T257" i="18"/>
  <c r="BH250" i="18" a="1"/>
  <c r="BH250" i="18" s="1"/>
  <c r="BH251" i="18" s="1" a="1"/>
  <c r="BH251" i="18" s="1"/>
  <c r="BH252" i="18" s="1" a="1"/>
  <c r="BH252" i="18" s="1"/>
  <c r="AB249" i="18"/>
  <c r="AB250" i="18" s="1"/>
  <c r="BB248" i="18"/>
  <c r="BA248" i="18"/>
  <c r="AZ248" i="18"/>
  <c r="AY248" i="18"/>
  <c r="AX248" i="18"/>
  <c r="AW248" i="18"/>
  <c r="AV248" i="18"/>
  <c r="AU248" i="18"/>
  <c r="AT248" i="18"/>
  <c r="AS248" i="18"/>
  <c r="AR248" i="18"/>
  <c r="AQ248" i="18"/>
  <c r="AP248" i="18"/>
  <c r="AO248" i="18"/>
  <c r="AN248" i="18"/>
  <c r="AM248" i="18"/>
  <c r="AL248" i="18"/>
  <c r="AK248" i="18"/>
  <c r="AJ248" i="18"/>
  <c r="AI248" i="18"/>
  <c r="AH248" i="18"/>
  <c r="AG248" i="18"/>
  <c r="AF248" i="18"/>
  <c r="AE248" i="18"/>
  <c r="BB247" i="18"/>
  <c r="BA247" i="18"/>
  <c r="AZ247" i="18"/>
  <c r="AY247" i="18"/>
  <c r="AX247" i="18"/>
  <c r="AW247" i="18"/>
  <c r="AV247" i="18"/>
  <c r="AU247" i="18"/>
  <c r="AT247" i="18"/>
  <c r="AS247" i="18"/>
  <c r="AR247" i="18"/>
  <c r="AQ247" i="18"/>
  <c r="AP247" i="18"/>
  <c r="AO247" i="18"/>
  <c r="AN247" i="18"/>
  <c r="AM247" i="18"/>
  <c r="AL247" i="18"/>
  <c r="AK247" i="18"/>
  <c r="AJ247" i="18"/>
  <c r="AI247" i="18"/>
  <c r="AH247" i="18"/>
  <c r="AG247" i="18"/>
  <c r="AF247" i="18"/>
  <c r="AE247" i="18"/>
  <c r="L247" i="18" a="1"/>
  <c r="L247" i="18" s="1"/>
  <c r="BH243" i="18" a="1"/>
  <c r="BH243" i="18"/>
  <c r="BH244" i="18" s="1" a="1"/>
  <c r="BH244" i="18" s="1"/>
  <c r="BH245" i="18" s="1" a="1"/>
  <c r="BH245" i="18" s="1"/>
  <c r="AB243" i="18"/>
  <c r="AB242" i="18"/>
  <c r="BB241" i="18"/>
  <c r="BA241" i="18"/>
  <c r="AZ241" i="18"/>
  <c r="AY241" i="18"/>
  <c r="AX241" i="18"/>
  <c r="AW241" i="18"/>
  <c r="AV241" i="18"/>
  <c r="AU241" i="18"/>
  <c r="AT241" i="18"/>
  <c r="AS241" i="18"/>
  <c r="AR241" i="18"/>
  <c r="AQ241" i="18"/>
  <c r="AP241" i="18"/>
  <c r="AO241" i="18"/>
  <c r="AN241" i="18"/>
  <c r="AM241" i="18"/>
  <c r="AL241" i="18"/>
  <c r="AK241" i="18"/>
  <c r="AJ241" i="18"/>
  <c r="AI241" i="18"/>
  <c r="AH241" i="18"/>
  <c r="AG241" i="18"/>
  <c r="AF241" i="18"/>
  <c r="AE241" i="18"/>
  <c r="BB240" i="18"/>
  <c r="BA240" i="18"/>
  <c r="AZ240" i="18"/>
  <c r="AY240" i="18"/>
  <c r="AX240" i="18"/>
  <c r="AW240" i="18"/>
  <c r="AV240" i="18"/>
  <c r="AU240" i="18"/>
  <c r="AT240" i="18"/>
  <c r="AS240" i="18"/>
  <c r="AR240" i="18"/>
  <c r="AQ240" i="18"/>
  <c r="AP240" i="18"/>
  <c r="AO240" i="18"/>
  <c r="AN240" i="18"/>
  <c r="AM240" i="18"/>
  <c r="AL240" i="18"/>
  <c r="AK240" i="18"/>
  <c r="AJ240" i="18"/>
  <c r="AI240" i="18"/>
  <c r="AH240" i="18"/>
  <c r="AG240" i="18"/>
  <c r="AF240" i="18"/>
  <c r="AE240" i="18"/>
  <c r="L240" i="18" a="1"/>
  <c r="L240" i="18" s="1"/>
  <c r="AB238" i="18"/>
  <c r="BH236" i="18" a="1"/>
  <c r="BH236" i="18" s="1"/>
  <c r="BH237" i="18" s="1" a="1"/>
  <c r="BH237" i="18" s="1"/>
  <c r="BH238" i="18" s="1" a="1"/>
  <c r="BH238" i="18" s="1"/>
  <c r="AB236" i="18"/>
  <c r="AB237" i="18" s="1"/>
  <c r="AB235" i="18"/>
  <c r="BB234" i="18"/>
  <c r="BA234" i="18"/>
  <c r="AZ234" i="18"/>
  <c r="AY234" i="18"/>
  <c r="AX234" i="18"/>
  <c r="AW234" i="18"/>
  <c r="AV234" i="18"/>
  <c r="AU234" i="18"/>
  <c r="AT234" i="18"/>
  <c r="AS234" i="18"/>
  <c r="AR234" i="18"/>
  <c r="AQ234" i="18"/>
  <c r="AP234" i="18"/>
  <c r="AO234" i="18"/>
  <c r="AN234" i="18"/>
  <c r="AM234" i="18"/>
  <c r="AL234" i="18"/>
  <c r="AK234" i="18"/>
  <c r="AJ234" i="18"/>
  <c r="AI234" i="18"/>
  <c r="AH234" i="18"/>
  <c r="AG234" i="18"/>
  <c r="AF234" i="18"/>
  <c r="AE234" i="18"/>
  <c r="BB233" i="18"/>
  <c r="BA233" i="18"/>
  <c r="AZ233" i="18"/>
  <c r="AY233" i="18"/>
  <c r="AX233" i="18"/>
  <c r="AW233" i="18"/>
  <c r="AV233" i="18"/>
  <c r="AU233" i="18"/>
  <c r="AT233" i="18"/>
  <c r="AS233" i="18"/>
  <c r="AR233" i="18"/>
  <c r="AQ233" i="18"/>
  <c r="AP233" i="18"/>
  <c r="AO233" i="18"/>
  <c r="AN233" i="18"/>
  <c r="AM233" i="18"/>
  <c r="AL233" i="18"/>
  <c r="AK233" i="18"/>
  <c r="AJ233" i="18"/>
  <c r="AI233" i="18"/>
  <c r="AH233" i="18"/>
  <c r="AG233" i="18"/>
  <c r="AF233" i="18"/>
  <c r="AE233" i="18"/>
  <c r="L233" i="18" a="1"/>
  <c r="L233" i="18"/>
  <c r="AB230" i="18"/>
  <c r="AI228" i="18"/>
  <c r="AE228" i="18"/>
  <c r="AS227" i="18"/>
  <c r="AS228" i="18" s="1"/>
  <c r="AI227" i="18"/>
  <c r="AH227" i="18"/>
  <c r="AH223" i="18" s="1"/>
  <c r="AG227" i="18"/>
  <c r="AF227" i="18"/>
  <c r="AF228" i="18" s="1"/>
  <c r="AE227" i="18"/>
  <c r="AG226" i="18" a="1"/>
  <c r="AG226" i="18"/>
  <c r="AG225" i="18" s="1"/>
  <c r="BH225" i="18" a="1"/>
  <c r="BH225" i="18" s="1"/>
  <c r="BH226" i="18" s="1" a="1"/>
  <c r="BH226" i="18" s="1"/>
  <c r="BH227" i="18" s="1" a="1"/>
  <c r="BH227" i="18" s="1"/>
  <c r="BH228" i="18" s="1" a="1"/>
  <c r="BH228" i="18" s="1"/>
  <c r="BH229" i="18" s="1" a="1"/>
  <c r="BH229" i="18" s="1"/>
  <c r="BH230" i="18" s="1" a="1"/>
  <c r="BH230" i="18" s="1"/>
  <c r="BH231" i="18" s="1" a="1"/>
  <c r="BH231" i="18" s="1"/>
  <c r="BB225" i="18"/>
  <c r="BA225" i="18"/>
  <c r="AZ225" i="18"/>
  <c r="AZ213" i="18" s="1"/>
  <c r="AY225" i="18"/>
  <c r="AX225" i="18"/>
  <c r="AW225" i="18"/>
  <c r="AV225" i="18"/>
  <c r="AV213" i="18" s="1"/>
  <c r="AU225" i="18"/>
  <c r="AT225" i="18"/>
  <c r="AS225" i="18"/>
  <c r="AR225" i="18"/>
  <c r="AR213" i="18" s="1"/>
  <c r="AQ225" i="18"/>
  <c r="AP225" i="18"/>
  <c r="AO225" i="18"/>
  <c r="AN225" i="18"/>
  <c r="AN213" i="18" s="1"/>
  <c r="AM225" i="18"/>
  <c r="AL225" i="18"/>
  <c r="AK225" i="18"/>
  <c r="AJ225" i="18"/>
  <c r="AJ213" i="18" s="1"/>
  <c r="AI225" i="18"/>
  <c r="AH225" i="18"/>
  <c r="AF225" i="18"/>
  <c r="AF213" i="18" s="1"/>
  <c r="AE225" i="18"/>
  <c r="AB225" i="18"/>
  <c r="AB229" i="18" s="1"/>
  <c r="AB231" i="18" s="1"/>
  <c r="AB224" i="18"/>
  <c r="BB223" i="18"/>
  <c r="BA223" i="18"/>
  <c r="AZ223" i="18"/>
  <c r="AY223" i="18"/>
  <c r="AX223" i="18"/>
  <c r="AW223" i="18"/>
  <c r="AV223" i="18"/>
  <c r="AU223" i="18"/>
  <c r="AT223" i="18"/>
  <c r="AS223" i="18"/>
  <c r="AR223" i="18"/>
  <c r="AQ223" i="18"/>
  <c r="AP223" i="18"/>
  <c r="AO223" i="18"/>
  <c r="AN223" i="18"/>
  <c r="AM223" i="18"/>
  <c r="AL223" i="18"/>
  <c r="AK223" i="18"/>
  <c r="AJ223" i="18"/>
  <c r="AI223" i="18"/>
  <c r="AG223" i="18"/>
  <c r="AE223" i="18"/>
  <c r="BH216" i="18" a="1"/>
  <c r="BH216" i="18"/>
  <c r="BH217" i="18" s="1" a="1"/>
  <c r="BH217" i="18" s="1"/>
  <c r="BH218" i="18" s="1" a="1"/>
  <c r="BH218" i="18" s="1"/>
  <c r="BH219" i="18" s="1" a="1"/>
  <c r="BH219" i="18" s="1"/>
  <c r="BH220" i="18" s="1" a="1"/>
  <c r="BH220" i="18" s="1"/>
  <c r="BH221" i="18" s="1" a="1"/>
  <c r="BH221" i="18" s="1"/>
  <c r="BH222" i="18" s="1" a="1"/>
  <c r="BH222" i="18" s="1"/>
  <c r="BB216" i="18"/>
  <c r="BA216" i="18"/>
  <c r="BA213" i="18" s="1"/>
  <c r="BA177" i="18" s="1"/>
  <c r="AZ216" i="18"/>
  <c r="AY216" i="18"/>
  <c r="AY213" i="18" s="1"/>
  <c r="AY177" i="18" s="1"/>
  <c r="AX216" i="18"/>
  <c r="AW216" i="18"/>
  <c r="AW213" i="18" s="1"/>
  <c r="AW177" i="18" s="1"/>
  <c r="AV216" i="18"/>
  <c r="AU216" i="18"/>
  <c r="AU213" i="18" s="1"/>
  <c r="AU177" i="18" s="1"/>
  <c r="AT216" i="18"/>
  <c r="AS216" i="18"/>
  <c r="AS213" i="18" s="1"/>
  <c r="AS177" i="18" s="1"/>
  <c r="AR216" i="18"/>
  <c r="AQ216" i="18"/>
  <c r="AQ213" i="18" s="1"/>
  <c r="AQ177" i="18" s="1"/>
  <c r="AP216" i="18"/>
  <c r="AO216" i="18"/>
  <c r="AO213" i="18" s="1"/>
  <c r="AO177" i="18" s="1"/>
  <c r="AN216" i="18"/>
  <c r="AM216" i="18"/>
  <c r="AM213" i="18" s="1"/>
  <c r="AM177" i="18" s="1"/>
  <c r="AL216" i="18"/>
  <c r="AK216" i="18"/>
  <c r="AK213" i="18" s="1"/>
  <c r="AK177" i="18" s="1"/>
  <c r="AJ216" i="18"/>
  <c r="AI216" i="18"/>
  <c r="AI213" i="18" s="1"/>
  <c r="AI177" i="18" s="1"/>
  <c r="AH216" i="18"/>
  <c r="AG216" i="18"/>
  <c r="AG213" i="18" s="1"/>
  <c r="AF216" i="18"/>
  <c r="AE216" i="18"/>
  <c r="AE213" i="18" s="1"/>
  <c r="AE177" i="18" s="1"/>
  <c r="AB215" i="18"/>
  <c r="AB216" i="18" s="1"/>
  <c r="BB214" i="18"/>
  <c r="BA214" i="18"/>
  <c r="AZ214" i="18"/>
  <c r="AY214" i="18"/>
  <c r="AX214" i="18"/>
  <c r="AW214" i="18"/>
  <c r="AV214" i="18"/>
  <c r="AU214" i="18"/>
  <c r="AT214" i="18"/>
  <c r="AS214" i="18"/>
  <c r="AR214" i="18"/>
  <c r="AQ214" i="18"/>
  <c r="AP214" i="18"/>
  <c r="AO214" i="18"/>
  <c r="AN214" i="18"/>
  <c r="AM214" i="18"/>
  <c r="AL214" i="18"/>
  <c r="AK214" i="18"/>
  <c r="AJ214" i="18"/>
  <c r="AI214" i="18"/>
  <c r="AH214" i="18"/>
  <c r="AG214" i="18"/>
  <c r="AF214" i="18"/>
  <c r="AE214" i="18"/>
  <c r="BB213" i="18"/>
  <c r="AX213" i="18"/>
  <c r="AT213" i="18"/>
  <c r="AP213" i="18"/>
  <c r="AL213" i="18"/>
  <c r="AH213" i="18"/>
  <c r="L213" i="18" a="1"/>
  <c r="L213" i="18" s="1"/>
  <c r="H212" i="18"/>
  <c r="BH209" i="18" a="1"/>
  <c r="BH209" i="18"/>
  <c r="BH210" i="18" s="1" a="1"/>
  <c r="BH210" i="18" s="1"/>
  <c r="BH211" i="18" s="1" a="1"/>
  <c r="BH211" i="18" s="1"/>
  <c r="H209" i="18" a="1"/>
  <c r="H209" i="18" s="1"/>
  <c r="H210" i="18" s="1" a="1"/>
  <c r="H210" i="18" s="1"/>
  <c r="AB208" i="18"/>
  <c r="AB209" i="18" s="1"/>
  <c r="BB207" i="18"/>
  <c r="BA207" i="18"/>
  <c r="AZ207" i="18"/>
  <c r="AY207" i="18"/>
  <c r="AX207" i="18"/>
  <c r="AW207" i="18"/>
  <c r="AV207" i="18"/>
  <c r="AU207" i="18"/>
  <c r="AT207" i="18"/>
  <c r="AS207" i="18"/>
  <c r="AR207" i="18"/>
  <c r="AQ207" i="18"/>
  <c r="AP207" i="18"/>
  <c r="AO207" i="18"/>
  <c r="AN207" i="18"/>
  <c r="AM207" i="18"/>
  <c r="AL207" i="18"/>
  <c r="AK207" i="18"/>
  <c r="AJ207" i="18"/>
  <c r="AI207" i="18"/>
  <c r="AH207" i="18"/>
  <c r="AG207" i="18"/>
  <c r="AF207" i="18"/>
  <c r="AE207" i="18"/>
  <c r="BB206" i="18"/>
  <c r="BA206" i="18"/>
  <c r="AZ206" i="18"/>
  <c r="AY206" i="18"/>
  <c r="AX206" i="18"/>
  <c r="AW206" i="18"/>
  <c r="AV206" i="18"/>
  <c r="AU206" i="18"/>
  <c r="AT206" i="18"/>
  <c r="AS206" i="18"/>
  <c r="AR206" i="18"/>
  <c r="AQ206" i="18"/>
  <c r="AP206" i="18"/>
  <c r="AO206" i="18"/>
  <c r="AN206" i="18"/>
  <c r="AM206" i="18"/>
  <c r="AL206" i="18"/>
  <c r="AK206" i="18"/>
  <c r="AJ206" i="18"/>
  <c r="AI206" i="18"/>
  <c r="AH206" i="18"/>
  <c r="AG206" i="18"/>
  <c r="AF206" i="18"/>
  <c r="AE206" i="18"/>
  <c r="L206" i="18" a="1"/>
  <c r="L206" i="18" s="1"/>
  <c r="H205" i="18"/>
  <c r="BH203" i="18" a="1"/>
  <c r="BH203" i="18" s="1"/>
  <c r="BH204" i="18" s="1" a="1"/>
  <c r="BH204" i="18" s="1"/>
  <c r="BH202" i="18" a="1"/>
  <c r="BH202" i="18"/>
  <c r="H202" i="18" a="1"/>
  <c r="H202" i="18" s="1"/>
  <c r="H203" i="18" s="1" a="1"/>
  <c r="H203" i="18" s="1"/>
  <c r="AB201" i="18"/>
  <c r="AB202" i="18" s="1"/>
  <c r="BB200" i="18"/>
  <c r="BA200" i="18"/>
  <c r="AZ200" i="18"/>
  <c r="AY200" i="18"/>
  <c r="AX200" i="18"/>
  <c r="AW200" i="18"/>
  <c r="AV200" i="18"/>
  <c r="AU200" i="18"/>
  <c r="AT200" i="18"/>
  <c r="AS200" i="18"/>
  <c r="AR200" i="18"/>
  <c r="AQ200" i="18"/>
  <c r="AP200" i="18"/>
  <c r="AO200" i="18"/>
  <c r="AN200" i="18"/>
  <c r="AM200" i="18"/>
  <c r="AL200" i="18"/>
  <c r="AK200" i="18"/>
  <c r="AJ200" i="18"/>
  <c r="AI200" i="18"/>
  <c r="AH200" i="18"/>
  <c r="AG200" i="18"/>
  <c r="AF200" i="18"/>
  <c r="AE200" i="18"/>
  <c r="BB199" i="18"/>
  <c r="BA199" i="18"/>
  <c r="AZ199" i="18"/>
  <c r="AY199" i="18"/>
  <c r="AX199" i="18"/>
  <c r="AW199" i="18"/>
  <c r="AV199" i="18"/>
  <c r="AU199" i="18"/>
  <c r="AT199" i="18"/>
  <c r="AS199" i="18"/>
  <c r="AR199" i="18"/>
  <c r="AQ199" i="18"/>
  <c r="AP199" i="18"/>
  <c r="AO199" i="18"/>
  <c r="AN199" i="18"/>
  <c r="AM199" i="18"/>
  <c r="AL199" i="18"/>
  <c r="AK199" i="18"/>
  <c r="AJ199" i="18"/>
  <c r="AI199" i="18"/>
  <c r="AH199" i="18"/>
  <c r="AG199" i="18"/>
  <c r="AF199" i="18"/>
  <c r="AE199" i="18"/>
  <c r="L199" i="18" a="1"/>
  <c r="L199" i="18" s="1"/>
  <c r="H198" i="18"/>
  <c r="BH195" i="18" a="1"/>
  <c r="BH195" i="18"/>
  <c r="BH196" i="18" s="1" a="1"/>
  <c r="BH196" i="18" s="1"/>
  <c r="BH197" i="18" s="1" a="1"/>
  <c r="BH197" i="18" s="1"/>
  <c r="H195" i="18" a="1"/>
  <c r="H195" i="18" s="1"/>
  <c r="H196" i="18" s="1" a="1"/>
  <c r="H196" i="18" s="1"/>
  <c r="AB194" i="18"/>
  <c r="AB195" i="18" s="1"/>
  <c r="BB193" i="18"/>
  <c r="BA193" i="18"/>
  <c r="AZ193" i="18"/>
  <c r="AY193" i="18"/>
  <c r="AX193" i="18"/>
  <c r="AW193" i="18"/>
  <c r="AV193" i="18"/>
  <c r="AU193" i="18"/>
  <c r="AT193" i="18"/>
  <c r="AS193" i="18"/>
  <c r="AR193" i="18"/>
  <c r="AQ193" i="18"/>
  <c r="AP193" i="18"/>
  <c r="AO193" i="18"/>
  <c r="AN193" i="18"/>
  <c r="AM193" i="18"/>
  <c r="AL193" i="18"/>
  <c r="AK193" i="18"/>
  <c r="AJ193" i="18"/>
  <c r="AI193" i="18"/>
  <c r="AH193" i="18"/>
  <c r="AG193" i="18"/>
  <c r="AF193" i="18"/>
  <c r="AE193" i="18"/>
  <c r="BB192" i="18"/>
  <c r="BA192" i="18"/>
  <c r="AZ192" i="18"/>
  <c r="AY192" i="18"/>
  <c r="AX192" i="18"/>
  <c r="AW192" i="18"/>
  <c r="AV192" i="18"/>
  <c r="AU192" i="18"/>
  <c r="AT192" i="18"/>
  <c r="AS192" i="18"/>
  <c r="AR192" i="18"/>
  <c r="AQ192" i="18"/>
  <c r="AP192" i="18"/>
  <c r="AO192" i="18"/>
  <c r="AN192" i="18"/>
  <c r="AM192" i="18"/>
  <c r="AL192" i="18"/>
  <c r="AK192" i="18"/>
  <c r="AJ192" i="18"/>
  <c r="AI192" i="18"/>
  <c r="AH192" i="18"/>
  <c r="AG192" i="18"/>
  <c r="AF192" i="18"/>
  <c r="AE192" i="18"/>
  <c r="L192" i="18" a="1"/>
  <c r="L192" i="18" s="1"/>
  <c r="H191" i="18"/>
  <c r="BH189" i="18" a="1"/>
  <c r="BH189" i="18" s="1"/>
  <c r="BH190" i="18" s="1" a="1"/>
  <c r="BH190" i="18" s="1"/>
  <c r="BH188" i="18" a="1"/>
  <c r="BH188" i="18"/>
  <c r="H188" i="18" a="1"/>
  <c r="H188" i="18" s="1"/>
  <c r="H189" i="18" s="1" a="1"/>
  <c r="H189" i="18" s="1"/>
  <c r="AB187" i="18"/>
  <c r="AB188" i="18" s="1"/>
  <c r="BB186" i="18"/>
  <c r="BA186" i="18"/>
  <c r="AZ186" i="18"/>
  <c r="AY186" i="18"/>
  <c r="AX186" i="18"/>
  <c r="AW186" i="18"/>
  <c r="AV186" i="18"/>
  <c r="AU186" i="18"/>
  <c r="AT186" i="18"/>
  <c r="AS186" i="18"/>
  <c r="AR186" i="18"/>
  <c r="AQ186" i="18"/>
  <c r="AP186" i="18"/>
  <c r="AO186" i="18"/>
  <c r="AN186" i="18"/>
  <c r="AM186" i="18"/>
  <c r="AL186" i="18"/>
  <c r="AK186" i="18"/>
  <c r="AJ186" i="18"/>
  <c r="AI186" i="18"/>
  <c r="AH186" i="18"/>
  <c r="AG186" i="18"/>
  <c r="AF186" i="18"/>
  <c r="AE186" i="18"/>
  <c r="BB185" i="18"/>
  <c r="BB177" i="18" s="1"/>
  <c r="BA185" i="18"/>
  <c r="AZ185" i="18"/>
  <c r="AZ177" i="18" s="1"/>
  <c r="AY185" i="18"/>
  <c r="AX185" i="18"/>
  <c r="AX177" i="18" s="1"/>
  <c r="AW185" i="18"/>
  <c r="AV185" i="18"/>
  <c r="AV177" i="18" s="1"/>
  <c r="AU185" i="18"/>
  <c r="AT185" i="18"/>
  <c r="AT177" i="18" s="1"/>
  <c r="AS185" i="18"/>
  <c r="AR185" i="18"/>
  <c r="AR177" i="18" s="1"/>
  <c r="AQ185" i="18"/>
  <c r="AP185" i="18"/>
  <c r="AP177" i="18" s="1"/>
  <c r="AO185" i="18"/>
  <c r="AN185" i="18"/>
  <c r="AN177" i="18" s="1"/>
  <c r="AM185" i="18"/>
  <c r="AL185" i="18"/>
  <c r="AL177" i="18" s="1"/>
  <c r="AK185" i="18"/>
  <c r="AJ185" i="18"/>
  <c r="AJ177" i="18" s="1"/>
  <c r="AI185" i="18"/>
  <c r="AH185" i="18"/>
  <c r="AH177" i="18" s="1"/>
  <c r="AG185" i="18"/>
  <c r="AF185" i="18"/>
  <c r="AE185" i="18"/>
  <c r="L185" i="18" a="1"/>
  <c r="L185" i="18" s="1"/>
  <c r="H184" i="18"/>
  <c r="BH181" i="18" a="1"/>
  <c r="BH181" i="18"/>
  <c r="BH182" i="18" s="1" a="1"/>
  <c r="BH182" i="18" s="1"/>
  <c r="BH183" i="18" s="1" a="1"/>
  <c r="BH183" i="18" s="1"/>
  <c r="H181" i="18" a="1"/>
  <c r="H181" i="18" s="1"/>
  <c r="H182" i="18" s="1" a="1"/>
  <c r="H182" i="18" s="1"/>
  <c r="AB180" i="18"/>
  <c r="AB181" i="18" s="1"/>
  <c r="BB179" i="18"/>
  <c r="BA179" i="18"/>
  <c r="AZ179" i="18"/>
  <c r="AY179" i="18"/>
  <c r="AX179" i="18"/>
  <c r="AW179" i="18"/>
  <c r="AV179" i="18"/>
  <c r="AU179" i="18"/>
  <c r="AT179" i="18"/>
  <c r="AS179" i="18"/>
  <c r="AR179" i="18"/>
  <c r="AQ179" i="18"/>
  <c r="AP179" i="18"/>
  <c r="AO179" i="18"/>
  <c r="AN179" i="18"/>
  <c r="AM179" i="18"/>
  <c r="AL179" i="18"/>
  <c r="AK179" i="18"/>
  <c r="AJ179" i="18"/>
  <c r="AI179" i="18"/>
  <c r="AH179" i="18"/>
  <c r="AG179" i="18"/>
  <c r="AF179" i="18"/>
  <c r="AE179" i="18"/>
  <c r="BB178" i="18"/>
  <c r="BA178" i="18"/>
  <c r="AZ178" i="18"/>
  <c r="AY178" i="18"/>
  <c r="AX178" i="18"/>
  <c r="AW178" i="18"/>
  <c r="AV178" i="18"/>
  <c r="AU178" i="18"/>
  <c r="AT178" i="18"/>
  <c r="AS178" i="18"/>
  <c r="AR178" i="18"/>
  <c r="AQ178" i="18"/>
  <c r="AP178" i="18"/>
  <c r="AO178" i="18"/>
  <c r="AN178" i="18"/>
  <c r="AM178" i="18"/>
  <c r="AL178" i="18"/>
  <c r="AK178" i="18"/>
  <c r="AJ178" i="18"/>
  <c r="AI178" i="18"/>
  <c r="AH178" i="18"/>
  <c r="AG178" i="18"/>
  <c r="AF178" i="18"/>
  <c r="AE178" i="18"/>
  <c r="T178" i="18" a="1"/>
  <c r="T178" i="18" s="1"/>
  <c r="L178" i="18" a="1"/>
  <c r="L178" i="18" s="1"/>
  <c r="T177" i="18"/>
  <c r="F177" i="18" a="1"/>
  <c r="F177" i="18" s="1"/>
  <c r="F178" i="18" s="1" a="1"/>
  <c r="F178" i="18" s="1"/>
  <c r="BH173" i="18" a="1"/>
  <c r="BH173" i="18"/>
  <c r="BH174" i="18" s="1" a="1"/>
  <c r="BH174" i="18" s="1"/>
  <c r="BH175" i="18" s="1" a="1"/>
  <c r="BH175" i="18" s="1"/>
  <c r="AB172" i="18"/>
  <c r="AB173" i="18" s="1"/>
  <c r="BB171" i="18"/>
  <c r="BA171" i="18"/>
  <c r="AZ171" i="18"/>
  <c r="AY171" i="18"/>
  <c r="AX171" i="18"/>
  <c r="AW171" i="18"/>
  <c r="AV171" i="18"/>
  <c r="AU171" i="18"/>
  <c r="AT171" i="18"/>
  <c r="AS171" i="18"/>
  <c r="AR171" i="18"/>
  <c r="AQ171" i="18"/>
  <c r="AP171" i="18"/>
  <c r="AO171" i="18"/>
  <c r="AN171" i="18"/>
  <c r="AM171" i="18"/>
  <c r="AL171" i="18"/>
  <c r="AK171" i="18"/>
  <c r="AJ171" i="18"/>
  <c r="AI171" i="18"/>
  <c r="AH171" i="18"/>
  <c r="AG171" i="18"/>
  <c r="AF171" i="18"/>
  <c r="AE171" i="18"/>
  <c r="BB170" i="18"/>
  <c r="BA170" i="18"/>
  <c r="AZ170" i="18"/>
  <c r="AY170" i="18"/>
  <c r="AX170" i="18"/>
  <c r="AW170" i="18"/>
  <c r="AV170" i="18"/>
  <c r="AU170" i="18"/>
  <c r="AT170" i="18"/>
  <c r="AS170" i="18"/>
  <c r="AR170" i="18"/>
  <c r="AQ170" i="18"/>
  <c r="AP170" i="18"/>
  <c r="AO170" i="18"/>
  <c r="AN170" i="18"/>
  <c r="AM170" i="18"/>
  <c r="AL170" i="18"/>
  <c r="AK170" i="18"/>
  <c r="AJ170" i="18"/>
  <c r="AI170" i="18"/>
  <c r="AH170" i="18"/>
  <c r="AG170" i="18"/>
  <c r="AF170" i="18"/>
  <c r="AE170" i="18"/>
  <c r="L170" i="18" a="1"/>
  <c r="L170" i="18" s="1"/>
  <c r="BH166" i="18" a="1"/>
  <c r="BH166" i="18" s="1"/>
  <c r="BH167" i="18" s="1" a="1"/>
  <c r="BH167" i="18" s="1"/>
  <c r="BH168" i="18" s="1" a="1"/>
  <c r="BH168" i="18" s="1"/>
  <c r="AB166" i="18"/>
  <c r="AB167" i="18" s="1"/>
  <c r="AB165" i="18"/>
  <c r="BB164" i="18"/>
  <c r="BA164" i="18"/>
  <c r="AZ164" i="18"/>
  <c r="AY164" i="18"/>
  <c r="AX164" i="18"/>
  <c r="AW164" i="18"/>
  <c r="AV164" i="18"/>
  <c r="AU164" i="18"/>
  <c r="AT164" i="18"/>
  <c r="AS164" i="18"/>
  <c r="AR164" i="18"/>
  <c r="AQ164" i="18"/>
  <c r="AP164" i="18"/>
  <c r="AO164" i="18"/>
  <c r="AN164" i="18"/>
  <c r="AM164" i="18"/>
  <c r="AL164" i="18"/>
  <c r="AK164" i="18"/>
  <c r="AJ164" i="18"/>
  <c r="AI164" i="18"/>
  <c r="AH164" i="18"/>
  <c r="AG164" i="18"/>
  <c r="AF164" i="18"/>
  <c r="AE164" i="18"/>
  <c r="BB163" i="18"/>
  <c r="BA163" i="18"/>
  <c r="AZ163" i="18"/>
  <c r="AY163" i="18"/>
  <c r="AX163" i="18"/>
  <c r="AW163" i="18"/>
  <c r="AV163" i="18"/>
  <c r="AU163" i="18"/>
  <c r="AT163" i="18"/>
  <c r="AS163" i="18"/>
  <c r="AR163" i="18"/>
  <c r="AQ163" i="18"/>
  <c r="AP163" i="18"/>
  <c r="AO163" i="18"/>
  <c r="AN163" i="18"/>
  <c r="AM163" i="18"/>
  <c r="AL163" i="18"/>
  <c r="AK163" i="18"/>
  <c r="AJ163" i="18"/>
  <c r="AI163" i="18"/>
  <c r="AH163" i="18"/>
  <c r="AG163" i="18"/>
  <c r="AF163" i="18"/>
  <c r="AE163" i="18"/>
  <c r="L163" i="18" a="1"/>
  <c r="L163" i="18"/>
  <c r="BH159" i="18" a="1"/>
  <c r="BH159" i="18"/>
  <c r="BH160" i="18" s="1" a="1"/>
  <c r="BH160" i="18" s="1"/>
  <c r="BH161" i="18" s="1" a="1"/>
  <c r="BH161" i="18" s="1"/>
  <c r="AB158" i="18"/>
  <c r="AB159"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s="1"/>
  <c r="AI151" i="18"/>
  <c r="AE151" i="18"/>
  <c r="AS150" i="18"/>
  <c r="AS151" i="18" s="1"/>
  <c r="AI150" i="18"/>
  <c r="AH150" i="18"/>
  <c r="AH151" i="18" s="1"/>
  <c r="AG150" i="18"/>
  <c r="AF150" i="18"/>
  <c r="AF146" i="18" s="1"/>
  <c r="AE150" i="18"/>
  <c r="AG149" i="18" a="1"/>
  <c r="AG149" i="18"/>
  <c r="AG151" i="18" s="1"/>
  <c r="BH148" i="18" a="1"/>
  <c r="BH148" i="18" s="1"/>
  <c r="BH149" i="18" s="1" a="1"/>
  <c r="BH149" i="18" s="1"/>
  <c r="BH150" i="18" s="1" a="1"/>
  <c r="BH150" i="18" s="1"/>
  <c r="BH151" i="18" s="1" a="1"/>
  <c r="BH151" i="18" s="1"/>
  <c r="BH152" i="18" s="1" a="1"/>
  <c r="BH152" i="18" s="1"/>
  <c r="BH153" i="18" s="1" a="1"/>
  <c r="BH153" i="18" s="1"/>
  <c r="BH154" i="18" s="1" a="1"/>
  <c r="BH154" i="18" s="1"/>
  <c r="BB148" i="18"/>
  <c r="BB136" i="18" s="1"/>
  <c r="BA148" i="18"/>
  <c r="AZ148" i="18"/>
  <c r="AY148" i="18"/>
  <c r="AX148" i="18"/>
  <c r="AX136" i="18" s="1"/>
  <c r="AW148" i="18"/>
  <c r="AV148" i="18"/>
  <c r="AU148" i="18"/>
  <c r="AT148" i="18"/>
  <c r="AT136" i="18" s="1"/>
  <c r="AS148" i="18"/>
  <c r="AR148" i="18"/>
  <c r="AQ148" i="18"/>
  <c r="AP148" i="18"/>
  <c r="AP136" i="18" s="1"/>
  <c r="AO148" i="18"/>
  <c r="AN148" i="18"/>
  <c r="AM148" i="18"/>
  <c r="AL148" i="18"/>
  <c r="AL136" i="18" s="1"/>
  <c r="AK148" i="18"/>
  <c r="AJ148" i="18"/>
  <c r="AI148" i="18"/>
  <c r="AH148" i="18"/>
  <c r="AH136" i="18" s="1"/>
  <c r="AF148" i="18"/>
  <c r="AE148" i="18"/>
  <c r="AB148" i="18"/>
  <c r="AB149" i="18" s="1"/>
  <c r="AB147" i="18"/>
  <c r="BB146" i="18"/>
  <c r="BA146" i="18"/>
  <c r="AZ146" i="18"/>
  <c r="AY146" i="18"/>
  <c r="AX146" i="18"/>
  <c r="AW146" i="18"/>
  <c r="AV146" i="18"/>
  <c r="AU146" i="18"/>
  <c r="AT146" i="18"/>
  <c r="AS146" i="18"/>
  <c r="AR146" i="18"/>
  <c r="AQ146" i="18"/>
  <c r="AP146" i="18"/>
  <c r="AO146" i="18"/>
  <c r="AN146" i="18"/>
  <c r="AM146" i="18"/>
  <c r="AL146" i="18"/>
  <c r="AK146" i="18"/>
  <c r="AJ146" i="18"/>
  <c r="AI146" i="18"/>
  <c r="AE146" i="18"/>
  <c r="BH139" i="18" a="1"/>
  <c r="BH139" i="18"/>
  <c r="BH140" i="18" s="1" a="1"/>
  <c r="BH140" i="18" s="1"/>
  <c r="BH141" i="18" s="1" a="1"/>
  <c r="BH141" i="18" s="1"/>
  <c r="BH142" i="18" s="1" a="1"/>
  <c r="BH142" i="18" s="1"/>
  <c r="BH143" i="18" s="1" a="1"/>
  <c r="BH143" i="18" s="1"/>
  <c r="BH144" i="18" s="1" a="1"/>
  <c r="BH144" i="18" s="1"/>
  <c r="BH145" i="18" s="1" a="1"/>
  <c r="BH145" i="18" s="1"/>
  <c r="BB139" i="18"/>
  <c r="BA139" i="18"/>
  <c r="BA136" i="18" s="1"/>
  <c r="AZ139" i="18"/>
  <c r="AY139" i="18"/>
  <c r="AY136" i="18" s="1"/>
  <c r="AX139" i="18"/>
  <c r="AW139" i="18"/>
  <c r="AW136" i="18" s="1"/>
  <c r="AV139" i="18"/>
  <c r="AU139" i="18"/>
  <c r="AU136" i="18" s="1"/>
  <c r="AT139" i="18"/>
  <c r="AS139" i="18"/>
  <c r="AS136" i="18" s="1"/>
  <c r="AR139" i="18"/>
  <c r="AQ139" i="18"/>
  <c r="AQ136" i="18" s="1"/>
  <c r="AP139" i="18"/>
  <c r="AO139" i="18"/>
  <c r="AO136" i="18" s="1"/>
  <c r="AN139" i="18"/>
  <c r="AM139" i="18"/>
  <c r="AM136" i="18" s="1"/>
  <c r="AL139" i="18"/>
  <c r="AK139" i="18"/>
  <c r="AK136" i="18" s="1"/>
  <c r="AJ139" i="18"/>
  <c r="AI139" i="18"/>
  <c r="AI136" i="18" s="1"/>
  <c r="AH139" i="18"/>
  <c r="AG139" i="18"/>
  <c r="AF139" i="18"/>
  <c r="AE139" i="18"/>
  <c r="AE136" i="18" s="1"/>
  <c r="AB138" i="18"/>
  <c r="AB139" i="18" s="1"/>
  <c r="BB137" i="18"/>
  <c r="BA137" i="18"/>
  <c r="AZ137" i="18"/>
  <c r="AY137" i="18"/>
  <c r="AX137" i="18"/>
  <c r="AW137" i="18"/>
  <c r="AV137" i="18"/>
  <c r="AU137" i="18"/>
  <c r="AT137" i="18"/>
  <c r="AS137" i="18"/>
  <c r="AR137" i="18"/>
  <c r="AQ137" i="18"/>
  <c r="AP137" i="18"/>
  <c r="AO137" i="18"/>
  <c r="AN137" i="18"/>
  <c r="AM137" i="18"/>
  <c r="AL137" i="18"/>
  <c r="AK137" i="18"/>
  <c r="AJ137" i="18"/>
  <c r="AI137" i="18"/>
  <c r="AH137" i="18"/>
  <c r="AG137" i="18"/>
  <c r="AF137" i="18"/>
  <c r="AE137" i="18"/>
  <c r="AZ136" i="18"/>
  <c r="AV136" i="18"/>
  <c r="AR136" i="18"/>
  <c r="AN136" i="18"/>
  <c r="AJ136" i="18"/>
  <c r="AF136" i="18"/>
  <c r="L136" i="18" a="1"/>
  <c r="L136" i="18" s="1"/>
  <c r="H135" i="18"/>
  <c r="BH133" i="18" a="1"/>
  <c r="BH133" i="18" s="1"/>
  <c r="BH134" i="18" s="1" a="1"/>
  <c r="BH134" i="18" s="1"/>
  <c r="BH132" i="18" a="1"/>
  <c r="BH132" i="18"/>
  <c r="H132" i="18" a="1"/>
  <c r="H132" i="18" s="1"/>
  <c r="H133" i="18" s="1" a="1"/>
  <c r="H133" i="18" s="1"/>
  <c r="AB131" i="18"/>
  <c r="AB132" i="18" s="1"/>
  <c r="BB130" i="18"/>
  <c r="BA130" i="18"/>
  <c r="AZ130" i="18"/>
  <c r="AY130" i="18"/>
  <c r="AX130" i="18"/>
  <c r="AW130" i="18"/>
  <c r="AV130" i="18"/>
  <c r="AU130" i="18"/>
  <c r="AT130" i="18"/>
  <c r="AS130" i="18"/>
  <c r="AR130" i="18"/>
  <c r="AQ130" i="18"/>
  <c r="AP130" i="18"/>
  <c r="AO130" i="18"/>
  <c r="AN130" i="18"/>
  <c r="AM130" i="18"/>
  <c r="AL130" i="18"/>
  <c r="AK130" i="18"/>
  <c r="AJ130" i="18"/>
  <c r="AI130" i="18"/>
  <c r="AH130" i="18"/>
  <c r="AG130" i="18"/>
  <c r="AF130" i="18"/>
  <c r="AE130" i="18"/>
  <c r="BB129" i="18"/>
  <c r="BA129" i="18"/>
  <c r="AZ129" i="18"/>
  <c r="AY129" i="18"/>
  <c r="AX129" i="18"/>
  <c r="AW129" i="18"/>
  <c r="AV129" i="18"/>
  <c r="AU129" i="18"/>
  <c r="AT129" i="18"/>
  <c r="AS129" i="18"/>
  <c r="AR129" i="18"/>
  <c r="AQ129" i="18"/>
  <c r="AP129" i="18"/>
  <c r="AO129" i="18"/>
  <c r="AN129" i="18"/>
  <c r="AM129" i="18"/>
  <c r="AL129" i="18"/>
  <c r="AK129" i="18"/>
  <c r="AJ129" i="18"/>
  <c r="AI129" i="18"/>
  <c r="AH129" i="18"/>
  <c r="AG129" i="18"/>
  <c r="AF129" i="18"/>
  <c r="AE129" i="18"/>
  <c r="L129" i="18" a="1"/>
  <c r="L129" i="18" s="1"/>
  <c r="H128" i="18"/>
  <c r="BH125" i="18" a="1"/>
  <c r="BH125" i="18"/>
  <c r="BH126" i="18" s="1" a="1"/>
  <c r="BH126" i="18" s="1"/>
  <c r="BH127" i="18" s="1" a="1"/>
  <c r="BH127" i="18" s="1"/>
  <c r="H125" i="18" a="1"/>
  <c r="H125" i="18" s="1"/>
  <c r="H126" i="18" s="1" a="1"/>
  <c r="H126" i="18" s="1"/>
  <c r="AB124" i="18"/>
  <c r="AB125" i="18" s="1"/>
  <c r="BB123" i="18"/>
  <c r="BA123" i="18"/>
  <c r="AZ123" i="18"/>
  <c r="AY123" i="18"/>
  <c r="AX123" i="18"/>
  <c r="AW123" i="18"/>
  <c r="AV123" i="18"/>
  <c r="AU123" i="18"/>
  <c r="AT123" i="18"/>
  <c r="AS123" i="18"/>
  <c r="AR123" i="18"/>
  <c r="AQ123" i="18"/>
  <c r="AP123" i="18"/>
  <c r="AO123" i="18"/>
  <c r="AN123" i="18"/>
  <c r="AM123" i="18"/>
  <c r="AL123" i="18"/>
  <c r="AK123" i="18"/>
  <c r="AJ123" i="18"/>
  <c r="AI123" i="18"/>
  <c r="AH123" i="18"/>
  <c r="AG123" i="18"/>
  <c r="AF123" i="18"/>
  <c r="AE123" i="18"/>
  <c r="BB122" i="18"/>
  <c r="BA122" i="18"/>
  <c r="AZ122" i="18"/>
  <c r="AY122" i="18"/>
  <c r="AX122" i="18"/>
  <c r="AW122" i="18"/>
  <c r="AV122" i="18"/>
  <c r="AU122" i="18"/>
  <c r="AT122" i="18"/>
  <c r="AS122" i="18"/>
  <c r="AR122" i="18"/>
  <c r="AQ122" i="18"/>
  <c r="AP122" i="18"/>
  <c r="AO122" i="18"/>
  <c r="AN122" i="18"/>
  <c r="AM122" i="18"/>
  <c r="AL122" i="18"/>
  <c r="AK122" i="18"/>
  <c r="AJ122" i="18"/>
  <c r="AI122" i="18"/>
  <c r="AH122" i="18"/>
  <c r="AG122" i="18"/>
  <c r="AF122" i="18"/>
  <c r="AE122" i="18"/>
  <c r="L122" i="18" a="1"/>
  <c r="L122" i="18" s="1"/>
  <c r="H121" i="18"/>
  <c r="BH119" i="18" a="1"/>
  <c r="BH119" i="18" s="1"/>
  <c r="BH120" i="18" s="1" a="1"/>
  <c r="BH120" i="18" s="1"/>
  <c r="BH118" i="18" a="1"/>
  <c r="BH118" i="18"/>
  <c r="H118" i="18" a="1"/>
  <c r="H118" i="18" s="1"/>
  <c r="H119" i="18" s="1" a="1"/>
  <c r="H119" i="18" s="1"/>
  <c r="AB117" i="18"/>
  <c r="AB118" i="18" s="1"/>
  <c r="BB116" i="18"/>
  <c r="BA116" i="18"/>
  <c r="AZ116" i="18"/>
  <c r="AY116" i="18"/>
  <c r="AX116" i="18"/>
  <c r="AW116" i="18"/>
  <c r="AV116" i="18"/>
  <c r="AU116" i="18"/>
  <c r="AT116" i="18"/>
  <c r="AS116" i="18"/>
  <c r="AR116" i="18"/>
  <c r="AQ116" i="18"/>
  <c r="AP116" i="18"/>
  <c r="AO116" i="18"/>
  <c r="AN116" i="18"/>
  <c r="AM116" i="18"/>
  <c r="AL116" i="18"/>
  <c r="AK116" i="18"/>
  <c r="AJ116" i="18"/>
  <c r="AI116" i="18"/>
  <c r="AH116" i="18"/>
  <c r="AG116" i="18"/>
  <c r="AF116" i="18"/>
  <c r="AE116" i="18"/>
  <c r="BB115" i="18"/>
  <c r="BB95" i="18" s="1"/>
  <c r="BA115" i="18"/>
  <c r="AZ115" i="18"/>
  <c r="AY115" i="18"/>
  <c r="AX115" i="18"/>
  <c r="AX95" i="18" s="1"/>
  <c r="AW115" i="18"/>
  <c r="AV115" i="18"/>
  <c r="AU115" i="18"/>
  <c r="AT115" i="18"/>
  <c r="AT95" i="18" s="1"/>
  <c r="AS115" i="18"/>
  <c r="AR115" i="18"/>
  <c r="AQ115" i="18"/>
  <c r="AP115" i="18"/>
  <c r="AP95" i="18" s="1"/>
  <c r="AO115" i="18"/>
  <c r="AN115" i="18"/>
  <c r="AM115" i="18"/>
  <c r="AL115" i="18"/>
  <c r="AL95" i="18" s="1"/>
  <c r="AK115" i="18"/>
  <c r="AJ115" i="18"/>
  <c r="AI115" i="18"/>
  <c r="AH115" i="18"/>
  <c r="AH95" i="18" s="1"/>
  <c r="AG115" i="18"/>
  <c r="AF115" i="18"/>
  <c r="AE115" i="18"/>
  <c r="L115" i="18" a="1"/>
  <c r="L115" i="18" s="1"/>
  <c r="H114" i="18"/>
  <c r="BH111" i="18" a="1"/>
  <c r="BH111" i="18"/>
  <c r="BH112" i="18" s="1" a="1"/>
  <c r="BH112" i="18" s="1"/>
  <c r="BH113" i="18" s="1" a="1"/>
  <c r="BH113" i="18" s="1"/>
  <c r="H111" i="18" a="1"/>
  <c r="H111" i="18" s="1"/>
  <c r="H112" i="18" s="1" a="1"/>
  <c r="H112" i="18" s="1"/>
  <c r="AB110" i="18"/>
  <c r="AB111" i="18" s="1"/>
  <c r="BB109" i="18"/>
  <c r="BA109" i="18"/>
  <c r="AZ109" i="18"/>
  <c r="AY109" i="18"/>
  <c r="AX109" i="18"/>
  <c r="AW109" i="18"/>
  <c r="AV109" i="18"/>
  <c r="AU109" i="18"/>
  <c r="AT109" i="18"/>
  <c r="AS109" i="18"/>
  <c r="AR109" i="18"/>
  <c r="AQ109" i="18"/>
  <c r="AP109" i="18"/>
  <c r="AO109" i="18"/>
  <c r="AN109" i="18"/>
  <c r="AM109" i="18"/>
  <c r="AL109" i="18"/>
  <c r="AK109" i="18"/>
  <c r="AJ109" i="18"/>
  <c r="AI109" i="18"/>
  <c r="AH109" i="18"/>
  <c r="AG109" i="18"/>
  <c r="AF109" i="18"/>
  <c r="AE109" i="18"/>
  <c r="BB108" i="18"/>
  <c r="BA108" i="18"/>
  <c r="AZ108" i="18"/>
  <c r="AY108" i="18"/>
  <c r="AX108" i="18"/>
  <c r="AW108" i="18"/>
  <c r="AV108" i="18"/>
  <c r="AU108" i="18"/>
  <c r="AT108" i="18"/>
  <c r="AS108" i="18"/>
  <c r="AR108" i="18"/>
  <c r="AQ108" i="18"/>
  <c r="AP108" i="18"/>
  <c r="AO108" i="18"/>
  <c r="AN108" i="18"/>
  <c r="AM108" i="18"/>
  <c r="AL108" i="18"/>
  <c r="AK108" i="18"/>
  <c r="AJ108" i="18"/>
  <c r="AI108" i="18"/>
  <c r="AH108" i="18"/>
  <c r="AG108" i="18"/>
  <c r="AF108" i="18"/>
  <c r="AE108" i="18"/>
  <c r="L108" i="18" a="1"/>
  <c r="L108" i="18" s="1"/>
  <c r="H107" i="18"/>
  <c r="AG105" i="18" a="1"/>
  <c r="AG105" i="18" s="1"/>
  <c r="BH104" i="18" a="1"/>
  <c r="BH104" i="18"/>
  <c r="BH105" i="18" s="1" a="1"/>
  <c r="BH105" i="18" s="1"/>
  <c r="BH106" i="18" s="1" a="1"/>
  <c r="BH106" i="18" s="1"/>
  <c r="AG104" i="18" a="1"/>
  <c r="AG104" i="18"/>
  <c r="AG102" i="18" s="1"/>
  <c r="H104" i="18" a="1"/>
  <c r="H104" i="18" s="1"/>
  <c r="H105" i="18" s="1" a="1"/>
  <c r="H105" i="18" s="1"/>
  <c r="AB103" i="18"/>
  <c r="AB104" i="18" s="1"/>
  <c r="BB102" i="18"/>
  <c r="BA102" i="18"/>
  <c r="AZ102" i="18"/>
  <c r="AY102" i="18"/>
  <c r="AX102" i="18"/>
  <c r="AW102" i="18"/>
  <c r="AV102" i="18"/>
  <c r="AU102" i="18"/>
  <c r="AT102" i="18"/>
  <c r="AS102" i="18"/>
  <c r="AR102" i="18"/>
  <c r="AQ102" i="18"/>
  <c r="AP102" i="18"/>
  <c r="AO102" i="18"/>
  <c r="AN102" i="18"/>
  <c r="AM102" i="18"/>
  <c r="AL102" i="18"/>
  <c r="AK102" i="18"/>
  <c r="AJ102" i="18"/>
  <c r="AI102" i="18"/>
  <c r="AH102" i="18"/>
  <c r="AF102" i="18"/>
  <c r="AE102" i="18"/>
  <c r="H100" i="18" a="1"/>
  <c r="H100" i="18" s="1"/>
  <c r="BH99" i="18" a="1"/>
  <c r="BH99" i="18" s="1"/>
  <c r="BH100" i="18" s="1" a="1"/>
  <c r="BH100" i="18" s="1"/>
  <c r="BH101" i="18" s="1" a="1"/>
  <c r="BH101" i="18" s="1"/>
  <c r="AB99" i="18"/>
  <c r="AB100" i="18" s="1"/>
  <c r="H99" i="18" a="1"/>
  <c r="H99" i="18"/>
  <c r="AB98"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BA95" i="18" s="1"/>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c r="AZ95" i="18"/>
  <c r="AV95" i="18"/>
  <c r="AR95" i="18"/>
  <c r="AN95" i="18"/>
  <c r="AJ95" i="18"/>
  <c r="AF95" i="18"/>
  <c r="T95" i="18"/>
  <c r="T96" i="18" s="1" a="1"/>
  <c r="T96" i="18" s="1"/>
  <c r="F95" i="18" a="1"/>
  <c r="F95" i="18"/>
  <c r="F96" i="18" s="1" a="1"/>
  <c r="F96" i="18" s="1"/>
  <c r="BH91" i="18" a="1"/>
  <c r="BH91" i="18" s="1"/>
  <c r="BH92" i="18" s="1" a="1"/>
  <c r="BH92" i="18" s="1"/>
  <c r="BH93" i="18" s="1" a="1"/>
  <c r="BH93" i="18" s="1"/>
  <c r="AB91" i="18"/>
  <c r="AB92" i="18" s="1"/>
  <c r="AB90"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c r="BH84" i="18" a="1"/>
  <c r="BH84" i="18"/>
  <c r="BH85" i="18" s="1" a="1"/>
  <c r="BH85" i="18" s="1"/>
  <c r="BH86" i="18" s="1" a="1"/>
  <c r="BH86" i="18" s="1"/>
  <c r="AB83" i="18"/>
  <c r="AB84" i="18" s="1"/>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AB79" i="18"/>
  <c r="BH77" i="18" a="1"/>
  <c r="BH77" i="18" s="1"/>
  <c r="BH78" i="18" s="1" a="1"/>
  <c r="BH78" i="18" s="1"/>
  <c r="BH79" i="18" s="1" a="1"/>
  <c r="BH79" i="18" s="1"/>
  <c r="AB77" i="18"/>
  <c r="AB78" i="18" s="1"/>
  <c r="AB76"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6" i="18" a="1"/>
  <c r="BH66" i="18"/>
  <c r="BH67" i="18" s="1" a="1"/>
  <c r="BH67" i="18" s="1"/>
  <c r="BH68" i="18" s="1" a="1"/>
  <c r="BH68" i="18" s="1"/>
  <c r="BH69" i="18" s="1" a="1"/>
  <c r="BH69" i="18" s="1"/>
  <c r="BH70" i="18" s="1" a="1"/>
  <c r="BH70" i="18" s="1"/>
  <c r="BH71" i="18" s="1" a="1"/>
  <c r="BH71" i="18" s="1"/>
  <c r="BH72" i="18" s="1" a="1"/>
  <c r="BH72" i="18" s="1"/>
  <c r="BB66" i="18"/>
  <c r="BA66" i="18"/>
  <c r="BA63" i="18" s="1"/>
  <c r="BA27" i="18" s="1"/>
  <c r="AZ66" i="18"/>
  <c r="AY66" i="18"/>
  <c r="AY63" i="18" s="1"/>
  <c r="AY27" i="18" s="1"/>
  <c r="AX66" i="18"/>
  <c r="AW66" i="18"/>
  <c r="AW63" i="18" s="1"/>
  <c r="AW27" i="18" s="1"/>
  <c r="AV66" i="18"/>
  <c r="AU66" i="18"/>
  <c r="AU63" i="18" s="1"/>
  <c r="AU27" i="18" s="1"/>
  <c r="AT66" i="18"/>
  <c r="AS66" i="18"/>
  <c r="AS63" i="18" s="1"/>
  <c r="AS27" i="18" s="1"/>
  <c r="AR66" i="18"/>
  <c r="AQ66" i="18"/>
  <c r="AQ63" i="18" s="1"/>
  <c r="AQ27" i="18" s="1"/>
  <c r="AP66" i="18"/>
  <c r="AO66" i="18"/>
  <c r="AO63" i="18" s="1"/>
  <c r="AO27" i="18" s="1"/>
  <c r="AN66" i="18"/>
  <c r="AM66" i="18"/>
  <c r="AM63" i="18" s="1"/>
  <c r="AM27" i="18" s="1"/>
  <c r="AL66" i="18"/>
  <c r="AK66" i="18"/>
  <c r="AK63" i="18" s="1"/>
  <c r="AK27" i="18" s="1"/>
  <c r="AJ66" i="18"/>
  <c r="AI66" i="18"/>
  <c r="AI63" i="18" s="1"/>
  <c r="AI27" i="18" s="1"/>
  <c r="AH66" i="18"/>
  <c r="AG66" i="18"/>
  <c r="AG63" i="18" s="1"/>
  <c r="AG27" i="18" s="1"/>
  <c r="AF66" i="18"/>
  <c r="AE66" i="18"/>
  <c r="AE63" i="18" s="1"/>
  <c r="AE27" i="18" s="1"/>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AZ63" i="18"/>
  <c r="AX63" i="18"/>
  <c r="AV63" i="18"/>
  <c r="AT63" i="18"/>
  <c r="AR63" i="18"/>
  <c r="AP63" i="18"/>
  <c r="AN63" i="18"/>
  <c r="AL63" i="18"/>
  <c r="AJ63" i="18"/>
  <c r="AH63" i="18"/>
  <c r="AF63" i="18"/>
  <c r="L63" i="18" a="1"/>
  <c r="L63" i="18" s="1"/>
  <c r="H62" i="18"/>
  <c r="BH60" i="18" a="1"/>
  <c r="BH60" i="18" s="1"/>
  <c r="BH61" i="18" s="1" a="1"/>
  <c r="BH61" i="18" s="1"/>
  <c r="BH59" i="18" a="1"/>
  <c r="BH59" i="18"/>
  <c r="H59" i="18" a="1"/>
  <c r="H59" i="18" s="1"/>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c r="BH53" i="18" s="1" a="1"/>
  <c r="BH53" i="18" s="1"/>
  <c r="BH54" i="18" s="1" a="1"/>
  <c r="BH54" i="18" s="1"/>
  <c r="H52" i="18" a="1"/>
  <c r="H52" i="18" s="1"/>
  <c r="H53" i="18" s="1" a="1"/>
  <c r="H53" i="18" s="1"/>
  <c r="AB51" i="18"/>
  <c r="AB52" i="18" s="1"/>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s="1"/>
  <c r="H48" i="18"/>
  <c r="BH46" i="18" a="1"/>
  <c r="BH46" i="18" s="1"/>
  <c r="BH47" i="18" s="1" a="1"/>
  <c r="BH47" i="18" s="1"/>
  <c r="BH45" i="18" a="1"/>
  <c r="BH45" i="18"/>
  <c r="H45" i="18" a="1"/>
  <c r="H45" i="18" s="1"/>
  <c r="H46" i="18" s="1" a="1"/>
  <c r="H46"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AE42" i="18"/>
  <c r="L42" i="18" a="1"/>
  <c r="L42" i="18" s="1"/>
  <c r="H41" i="18"/>
  <c r="BH38" i="18" a="1"/>
  <c r="BH38" i="18"/>
  <c r="BH39" i="18" s="1" a="1"/>
  <c r="BH39" i="18" s="1"/>
  <c r="BH40" i="18" s="1" a="1"/>
  <c r="BH40" i="18" s="1"/>
  <c r="H38" i="18" a="1"/>
  <c r="H38" i="18" s="1"/>
  <c r="H39" i="18" s="1" a="1"/>
  <c r="H39" i="18" s="1"/>
  <c r="AB37" i="18"/>
  <c r="AB38"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B27" i="18" s="1"/>
  <c r="BA35" i="18"/>
  <c r="AZ35" i="18"/>
  <c r="AZ27" i="18" s="1"/>
  <c r="AY35" i="18"/>
  <c r="AX35" i="18"/>
  <c r="AX27" i="18" s="1"/>
  <c r="AW35" i="18"/>
  <c r="AV35" i="18"/>
  <c r="AV27" i="18" s="1"/>
  <c r="AU35" i="18"/>
  <c r="AT35" i="18"/>
  <c r="AT27" i="18" s="1"/>
  <c r="AS35" i="18"/>
  <c r="AR35" i="18"/>
  <c r="AR27" i="18" s="1"/>
  <c r="AQ35" i="18"/>
  <c r="AP35" i="18"/>
  <c r="AP27" i="18" s="1"/>
  <c r="AO35" i="18"/>
  <c r="AN35" i="18"/>
  <c r="AN27" i="18" s="1"/>
  <c r="AM35" i="18"/>
  <c r="AL35" i="18"/>
  <c r="AL27" i="18" s="1"/>
  <c r="AK35" i="18"/>
  <c r="AJ35" i="18"/>
  <c r="AJ27" i="18" s="1"/>
  <c r="AI35" i="18"/>
  <c r="AH35" i="18"/>
  <c r="AH27" i="18" s="1"/>
  <c r="AG35" i="18"/>
  <c r="AF35" i="18"/>
  <c r="AF27" i="18" s="1"/>
  <c r="AE35" i="18"/>
  <c r="L35" i="18" a="1"/>
  <c r="L35" i="18" s="1"/>
  <c r="H34" i="18"/>
  <c r="BH32" i="18" a="1"/>
  <c r="BH32" i="18" s="1"/>
  <c r="BH33" i="18" s="1" a="1"/>
  <c r="BH33" i="18" s="1"/>
  <c r="BH31" i="18" a="1"/>
  <c r="BH31" i="18"/>
  <c r="H31" i="18" a="1"/>
  <c r="H31" i="18" s="1"/>
  <c r="H32" i="18" s="1" a="1"/>
  <c r="H32"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T28" i="18" a="1"/>
  <c r="T28" i="18" s="1"/>
  <c r="L28" i="18" a="1"/>
  <c r="L28" i="18" s="1"/>
  <c r="T27" i="18"/>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s="1"/>
  <c r="BB10" i="18" a="1"/>
  <c r="BB10" i="18" s="1"/>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AE10" i="18" a="1"/>
  <c r="AE10" i="18" s="1"/>
  <c r="BA9" i="18" a="1"/>
  <c r="BA9" i="18" s="1"/>
  <c r="AZ9" i="18" a="1"/>
  <c r="AZ9" i="18" s="1"/>
  <c r="AY9" i="18" a="1"/>
  <c r="AY9" i="18" s="1"/>
  <c r="AW9" i="18" a="1"/>
  <c r="AW9" i="18" s="1"/>
  <c r="AV9" i="18" a="1"/>
  <c r="AV9" i="18" s="1"/>
  <c r="AU9" i="18" a="1"/>
  <c r="AU9" i="18" s="1"/>
  <c r="AR9" i="18" a="1"/>
  <c r="AR9" i="18" s="1"/>
  <c r="AP9" i="18" a="1"/>
  <c r="AP9" i="18" s="1"/>
  <c r="AN9" i="18" a="1"/>
  <c r="AN9" i="18" s="1"/>
  <c r="AL9" i="18" a="1"/>
  <c r="AL9" i="18" s="1"/>
  <c r="AJ9" i="18" a="1"/>
  <c r="AJ9" i="18" s="1"/>
  <c r="AH9" i="18" a="1"/>
  <c r="AH9" i="18" s="1"/>
  <c r="AG9" i="18" a="1"/>
  <c r="AG9" i="18" s="1"/>
  <c r="AE9" i="18" a="1"/>
  <c r="AE9"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AE7" i="18" a="1"/>
  <c r="AE7" i="18" s="1"/>
  <c r="BB6" i="18"/>
  <c r="BB9" i="18" s="1" a="1"/>
  <c r="BB9" i="18" s="1"/>
  <c r="BA6" i="18"/>
  <c r="AZ6" i="18"/>
  <c r="AY6" i="18"/>
  <c r="AX6" i="18"/>
  <c r="AX9" i="18" s="1" a="1"/>
  <c r="AX9" i="18" s="1"/>
  <c r="AW6" i="18"/>
  <c r="AV6" i="18"/>
  <c r="AU6" i="18"/>
  <c r="AT6" i="18"/>
  <c r="AT9" i="18" s="1" a="1"/>
  <c r="AT9" i="18" s="1"/>
  <c r="AS6" i="18" a="1"/>
  <c r="AS6" i="18"/>
  <c r="AR6" i="18"/>
  <c r="AQ6" i="18"/>
  <c r="AP6" i="18"/>
  <c r="AO6" i="18"/>
  <c r="AN6" i="18"/>
  <c r="AM6" i="18"/>
  <c r="AL6" i="18"/>
  <c r="AK6" i="18"/>
  <c r="AJ6" i="18"/>
  <c r="AI6" i="18" a="1"/>
  <c r="AI6" i="18" s="1"/>
  <c r="AH6" i="18"/>
  <c r="AG6" i="18"/>
  <c r="AF6" i="18"/>
  <c r="AF9" i="18" s="1" a="1"/>
  <c r="AF9" i="18" s="1"/>
  <c r="AE6" i="18"/>
  <c r="T51" i="17"/>
  <c r="T41" i="17"/>
  <c r="T42" i="17" s="1" a="1"/>
  <c r="T42" i="17" s="1"/>
  <c r="T43" i="17" s="1" a="1"/>
  <c r="T43" i="17" s="1"/>
  <c r="T44" i="17" s="1" a="1"/>
  <c r="T44" i="17" s="1"/>
  <c r="T45" i="17" s="1" a="1"/>
  <c r="T45" i="17" s="1"/>
  <c r="T46" i="17" s="1" a="1"/>
  <c r="T46" i="17" s="1"/>
  <c r="T47" i="17" s="1" a="1"/>
  <c r="T47" i="17" s="1"/>
  <c r="F41" i="17" a="1"/>
  <c r="F41" i="17" s="1"/>
  <c r="F42" i="17" s="1" a="1"/>
  <c r="F42" i="17" s="1"/>
  <c r="F43" i="17" s="1" a="1"/>
  <c r="F43" i="17" s="1"/>
  <c r="F44" i="17" s="1" a="1"/>
  <c r="F44" i="17" s="1"/>
  <c r="T34" i="17"/>
  <c r="T35" i="17" s="1" a="1"/>
  <c r="T35" i="17" s="1"/>
  <c r="T36" i="17" s="1" a="1"/>
  <c r="T36" i="17" s="1"/>
  <c r="T37" i="17" s="1" a="1"/>
  <c r="T37" i="17" s="1"/>
  <c r="T38" i="17" s="1" a="1"/>
  <c r="T38" i="17" s="1"/>
  <c r="T39" i="17" s="1" a="1"/>
  <c r="T39" i="17" s="1"/>
  <c r="T40" i="17" s="1" a="1"/>
  <c r="T40" i="17" s="1"/>
  <c r="F34" i="17" a="1"/>
  <c r="F34" i="17"/>
  <c r="F35" i="17" s="1" a="1"/>
  <c r="F35" i="17" s="1"/>
  <c r="F36" i="17" s="1" a="1"/>
  <c r="F36" i="17" s="1"/>
  <c r="F37" i="17" s="1" a="1"/>
  <c r="F37" i="17" s="1"/>
  <c r="T27" i="17"/>
  <c r="T28" i="17" s="1" a="1"/>
  <c r="T28" i="17" s="1"/>
  <c r="T29" i="17" s="1" a="1"/>
  <c r="T29" i="17" s="1"/>
  <c r="T30" i="17" s="1" a="1"/>
  <c r="T30" i="17" s="1"/>
  <c r="T31" i="17" s="1" a="1"/>
  <c r="T31" i="17" s="1"/>
  <c r="T32" i="17" s="1" a="1"/>
  <c r="T32" i="17" s="1"/>
  <c r="T33" i="17" s="1" a="1"/>
  <c r="T33" i="17" s="1"/>
  <c r="F27" i="17" a="1"/>
  <c r="F27" i="17" s="1"/>
  <c r="F28" i="17" s="1" a="1"/>
  <c r="F28" i="17" s="1"/>
  <c r="F29" i="17" s="1" a="1"/>
  <c r="F29" i="17" s="1"/>
  <c r="F30" i="17" s="1" a="1"/>
  <c r="F30" i="17" s="1"/>
  <c r="AE24" i="17"/>
  <c r="AF14" i="17" a="1"/>
  <c r="AF14" i="17"/>
  <c r="AE14" i="17" a="1"/>
  <c r="AE14" i="17"/>
  <c r="AF13" i="17" a="1"/>
  <c r="AF13" i="17"/>
  <c r="AF10" i="17" s="1" a="1"/>
  <c r="AF10" i="17" s="1"/>
  <c r="AE13" i="17" a="1"/>
  <c r="AE13" i="17"/>
  <c r="AE10" i="17" s="1" a="1"/>
  <c r="AE10" i="17" s="1"/>
  <c r="AF11" i="17" a="1"/>
  <c r="AF11" i="17"/>
  <c r="AE11" i="17" a="1"/>
  <c r="AE11" i="17"/>
  <c r="T76" i="16"/>
  <c r="T75" i="16"/>
  <c r="T74" i="16"/>
  <c r="T73" i="16"/>
  <c r="T72" i="16"/>
  <c r="T71" i="16"/>
  <c r="T70" i="16"/>
  <c r="T69" i="16"/>
  <c r="T68" i="16"/>
  <c r="T67" i="16"/>
  <c r="T66" i="16"/>
  <c r="T65" i="16"/>
  <c r="T64" i="16"/>
  <c r="T63" i="16"/>
  <c r="T62" i="16"/>
  <c r="T61" i="16"/>
  <c r="T60" i="16"/>
  <c r="BB54" i="16"/>
  <c r="BA54" i="16"/>
  <c r="AZ54" i="16"/>
  <c r="AY54" i="16"/>
  <c r="AX54" i="16"/>
  <c r="AW54" i="16"/>
  <c r="AV54" i="16"/>
  <c r="AU54" i="16"/>
  <c r="AT54" i="16"/>
  <c r="AS54" i="16"/>
  <c r="AR54" i="16"/>
  <c r="AQ54" i="16"/>
  <c r="AP54" i="16"/>
  <c r="AO54" i="16"/>
  <c r="AN54" i="16"/>
  <c r="AM54" i="16"/>
  <c r="AL54" i="16"/>
  <c r="AK54" i="16"/>
  <c r="AJ54" i="16"/>
  <c r="AI54" i="16"/>
  <c r="AG54" i="16"/>
  <c r="AF54" i="16"/>
  <c r="BB49" i="16"/>
  <c r="BB48" i="16" s="1"/>
  <c r="BA49" i="16"/>
  <c r="AZ49" i="16"/>
  <c r="AZ48" i="16" s="1"/>
  <c r="AY49" i="16"/>
  <c r="AX49" i="16"/>
  <c r="AX48" i="16" s="1"/>
  <c r="AW49" i="16"/>
  <c r="AV49" i="16"/>
  <c r="AV48" i="16" s="1"/>
  <c r="AU49" i="16"/>
  <c r="AT49" i="16"/>
  <c r="AT48" i="16" s="1"/>
  <c r="AS49" i="16"/>
  <c r="AR49" i="16"/>
  <c r="AR48" i="16" s="1"/>
  <c r="AQ49" i="16"/>
  <c r="AP49" i="16"/>
  <c r="AP48" i="16" s="1"/>
  <c r="AO49" i="16"/>
  <c r="AN49" i="16"/>
  <c r="AN48" i="16" s="1"/>
  <c r="AM49" i="16"/>
  <c r="AL49" i="16"/>
  <c r="AL48" i="16" s="1"/>
  <c r="AK49" i="16"/>
  <c r="AJ49" i="16"/>
  <c r="AJ48" i="16" s="1"/>
  <c r="AI49" i="16"/>
  <c r="AG49" i="16"/>
  <c r="AF49" i="16"/>
  <c r="AE49" i="16"/>
  <c r="BA48" i="16"/>
  <c r="AY48" i="16"/>
  <c r="AW48" i="16"/>
  <c r="AU48" i="16"/>
  <c r="AS48" i="16"/>
  <c r="AQ48" i="16"/>
  <c r="AO48" i="16"/>
  <c r="AM48" i="16"/>
  <c r="AK48" i="16"/>
  <c r="AI48" i="16"/>
  <c r="AH48" i="16"/>
  <c r="AG48" i="16"/>
  <c r="AF48" i="16"/>
  <c r="AF139" i="26" s="1" a="1"/>
  <c r="AF139" i="26" s="1"/>
  <c r="AE48" i="16"/>
  <c r="L48" i="16" a="1"/>
  <c r="L48" i="16"/>
  <c r="T47" i="16"/>
  <c r="T48" i="16" s="1" a="1"/>
  <c r="T48" i="16" s="1"/>
  <c r="T49" i="16" s="1" a="1"/>
  <c r="T49" i="16" s="1"/>
  <c r="T50" i="16" s="1" a="1"/>
  <c r="T50" i="16" s="1"/>
  <c r="T51" i="16" s="1" a="1"/>
  <c r="T51" i="16" s="1"/>
  <c r="T52" i="16" s="1" a="1"/>
  <c r="T52" i="16" s="1"/>
  <c r="T53" i="16" s="1" a="1"/>
  <c r="T53" i="16" s="1"/>
  <c r="T54" i="16" s="1" a="1"/>
  <c r="T54" i="16" s="1"/>
  <c r="T55" i="16" s="1" a="1"/>
  <c r="T55" i="16" s="1"/>
  <c r="T56" i="16" s="1" a="1"/>
  <c r="T56" i="16" s="1"/>
  <c r="F47" i="16" a="1"/>
  <c r="F47" i="16"/>
  <c r="F48" i="16" s="1" a="1"/>
  <c r="F48" i="16" s="1"/>
  <c r="BB44" i="16"/>
  <c r="BA44" i="16"/>
  <c r="AZ44" i="16"/>
  <c r="AY44" i="16"/>
  <c r="AX44" i="16"/>
  <c r="AW44" i="16"/>
  <c r="AV44" i="16"/>
  <c r="AU44" i="16"/>
  <c r="AT44" i="16"/>
  <c r="AS44" i="16"/>
  <c r="AR44" i="16"/>
  <c r="AQ44" i="16"/>
  <c r="AP44" i="16"/>
  <c r="AO44" i="16"/>
  <c r="AN44" i="16"/>
  <c r="AM44" i="16"/>
  <c r="AL44" i="16"/>
  <c r="AK44" i="16"/>
  <c r="AJ44" i="16"/>
  <c r="AI44" i="16"/>
  <c r="AG44" i="16"/>
  <c r="AF44" i="16"/>
  <c r="BB39" i="16"/>
  <c r="BA39" i="16"/>
  <c r="BA38" i="16" s="1"/>
  <c r="AZ39" i="16"/>
  <c r="AY39" i="16"/>
  <c r="AY38" i="16" s="1"/>
  <c r="AX39" i="16"/>
  <c r="AW39" i="16"/>
  <c r="AW38" i="16" s="1"/>
  <c r="AV39" i="16"/>
  <c r="AU39" i="16"/>
  <c r="AU38" i="16" s="1"/>
  <c r="AT39" i="16"/>
  <c r="AS39" i="16"/>
  <c r="AS38" i="16" s="1"/>
  <c r="AR39" i="16"/>
  <c r="AQ39" i="16"/>
  <c r="AQ38" i="16" s="1"/>
  <c r="AP39" i="16"/>
  <c r="AO39" i="16"/>
  <c r="AO38" i="16" s="1"/>
  <c r="AN39" i="16"/>
  <c r="AM39" i="16"/>
  <c r="AM38" i="16" s="1"/>
  <c r="AL39" i="16"/>
  <c r="AK39" i="16"/>
  <c r="AK38" i="16" s="1"/>
  <c r="AJ39" i="16"/>
  <c r="AI39" i="16"/>
  <c r="AI38" i="16" s="1"/>
  <c r="AG39" i="16"/>
  <c r="AF39" i="16"/>
  <c r="AE39" i="16"/>
  <c r="BB38" i="16"/>
  <c r="AZ38" i="16"/>
  <c r="AX38" i="16"/>
  <c r="AV38" i="16"/>
  <c r="AT38" i="16"/>
  <c r="AR38" i="16"/>
  <c r="AP38" i="16"/>
  <c r="AN38" i="16"/>
  <c r="AL38" i="16"/>
  <c r="AJ38" i="16"/>
  <c r="AH38" i="16"/>
  <c r="AG38" i="16"/>
  <c r="AG88" i="26" s="1" a="1"/>
  <c r="AG88" i="26" s="1"/>
  <c r="AF38" i="16"/>
  <c r="AF88" i="26" s="1" a="1"/>
  <c r="AF88" i="26" s="1"/>
  <c r="AF83" i="26" s="1"/>
  <c r="AF81" i="26" s="1"/>
  <c r="AF79" i="26" s="1"/>
  <c r="AF128" i="26" s="1"/>
  <c r="AJ283" i="30" s="1" a="1"/>
  <c r="AJ283" i="30" s="1"/>
  <c r="AE38" i="16"/>
  <c r="T38" i="16" a="1"/>
  <c r="T38" i="16" s="1"/>
  <c r="T39" i="16" s="1" a="1"/>
  <c r="T39" i="16" s="1"/>
  <c r="T40" i="16" s="1" a="1"/>
  <c r="T40" i="16" s="1"/>
  <c r="T41" i="16" s="1" a="1"/>
  <c r="T41" i="16" s="1"/>
  <c r="T42" i="16" s="1" a="1"/>
  <c r="T42" i="16" s="1"/>
  <c r="T43" i="16" s="1" a="1"/>
  <c r="T43" i="16" s="1"/>
  <c r="T44" i="16" s="1" a="1"/>
  <c r="T44" i="16" s="1"/>
  <c r="T45" i="16" s="1" a="1"/>
  <c r="T45" i="16" s="1"/>
  <c r="T46" i="16" s="1" a="1"/>
  <c r="T46" i="16" s="1"/>
  <c r="L38" i="16" a="1"/>
  <c r="L38" i="16" s="1"/>
  <c r="T37" i="16"/>
  <c r="F37" i="16" a="1"/>
  <c r="F37" i="16" s="1"/>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s="1"/>
  <c r="T27" i="16"/>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A9" i="16" a="1"/>
  <c r="BA9" i="16" s="1"/>
  <c r="AZ9" i="16" a="1"/>
  <c r="AZ9" i="16" s="1"/>
  <c r="AY9" i="16" a="1"/>
  <c r="AY9" i="16" s="1"/>
  <c r="AW9" i="16" a="1"/>
  <c r="AW9" i="16" s="1"/>
  <c r="AV9" i="16" a="1"/>
  <c r="AV9" i="16" s="1"/>
  <c r="AU9" i="16" a="1"/>
  <c r="AU9" i="16" s="1"/>
  <c r="AR9" i="16" a="1"/>
  <c r="AR9" i="16" s="1"/>
  <c r="AP9" i="16" a="1"/>
  <c r="AP9" i="16" s="1"/>
  <c r="AN9" i="16" a="1"/>
  <c r="AN9" i="16" s="1"/>
  <c r="AL9" i="16" a="1"/>
  <c r="AL9" i="16" s="1"/>
  <c r="AJ9" i="16" a="1"/>
  <c r="AJ9" i="16" s="1"/>
  <c r="AH9" i="16" a="1"/>
  <c r="AH9" i="16" s="1"/>
  <c r="AG9" i="16" a="1"/>
  <c r="AG9" i="16" s="1"/>
  <c r="AE9" i="16" a="1"/>
  <c r="AE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AZ6" i="16"/>
  <c r="AY6" i="16"/>
  <c r="AX6" i="16"/>
  <c r="AX9" i="16" s="1" a="1"/>
  <c r="AX9" i="16" s="1"/>
  <c r="AW6" i="16"/>
  <c r="AV6" i="16"/>
  <c r="AU6" i="16"/>
  <c r="AT6" i="16"/>
  <c r="AT9" i="16" s="1" a="1"/>
  <c r="AT9" i="16" s="1"/>
  <c r="AS6" i="16" a="1"/>
  <c r="AS6" i="16"/>
  <c r="AR6" i="16"/>
  <c r="AQ6" i="16"/>
  <c r="AP6" i="16"/>
  <c r="AO6" i="16"/>
  <c r="AN6" i="16"/>
  <c r="AM6" i="16"/>
  <c r="AL6" i="16"/>
  <c r="AK6" i="16"/>
  <c r="AJ6" i="16"/>
  <c r="AI6" i="16" a="1"/>
  <c r="AI6" i="16" s="1"/>
  <c r="AH6" i="16"/>
  <c r="AG6" i="16"/>
  <c r="AF6" i="16"/>
  <c r="AF9" i="16" s="1" a="1"/>
  <c r="AF9" i="16" s="1"/>
  <c r="AE6" i="16"/>
  <c r="T179" i="15"/>
  <c r="T178" i="15"/>
  <c r="T177" i="15"/>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G162" i="15"/>
  <c r="AF162" i="15"/>
  <c r="L162" i="15" a="1"/>
  <c r="L162" i="15"/>
  <c r="BB149" i="15"/>
  <c r="BB155" i="15" s="1"/>
  <c r="BB161" i="15" s="1"/>
  <c r="BA149" i="15"/>
  <c r="BA155" i="15" s="1"/>
  <c r="BA161" i="15" s="1"/>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K155" i="15" s="1"/>
  <c r="AK161" i="15" s="1"/>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BA153" i="15" s="1"/>
  <c r="BA159" i="15" s="1"/>
  <c r="AZ147" i="15"/>
  <c r="AZ153" i="15" s="1"/>
  <c r="AZ159" i="15" s="1"/>
  <c r="AY147" i="15"/>
  <c r="AY153" i="15" s="1"/>
  <c r="AY159" i="15" s="1"/>
  <c r="AX147" i="15"/>
  <c r="AX153" i="15" s="1"/>
  <c r="AX159" i="15" s="1"/>
  <c r="AW147" i="15"/>
  <c r="AW153" i="15" s="1"/>
  <c r="AW159" i="15" s="1"/>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H153" i="15" s="1"/>
  <c r="AH159" i="15" s="1"/>
  <c r="AG147" i="15"/>
  <c r="AG153" i="15" s="1"/>
  <c r="AG159" i="15" s="1"/>
  <c r="AF147" i="15"/>
  <c r="AF153" i="15" s="1"/>
  <c r="AF159" i="15" s="1"/>
  <c r="AE147" i="15"/>
  <c r="AE153" i="15" s="1"/>
  <c r="AE159" i="15" s="1"/>
  <c r="BB146" i="15"/>
  <c r="BB152" i="15" s="1"/>
  <c r="BB158" i="15" s="1"/>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U152" i="15" s="1"/>
  <c r="AU158" i="15" s="1"/>
  <c r="AT146" i="15"/>
  <c r="AT152" i="15" s="1"/>
  <c r="AT158" i="15" s="1"/>
  <c r="AS146" i="15"/>
  <c r="AS152" i="15" s="1"/>
  <c r="AS158" i="15" s="1"/>
  <c r="AR146" i="15"/>
  <c r="AR152" i="15" s="1"/>
  <c r="AR158" i="15" s="1"/>
  <c r="AQ146" i="15"/>
  <c r="AQ152" i="15" s="1"/>
  <c r="AQ158" i="15" s="1"/>
  <c r="AP146" i="15"/>
  <c r="AP152" i="15" s="1"/>
  <c r="AP158" i="15" s="1"/>
  <c r="AO146" i="15"/>
  <c r="AO152" i="15" s="1"/>
  <c r="AO158" i="15" s="1"/>
  <c r="AN146" i="15"/>
  <c r="AN152" i="15" s="1"/>
  <c r="AN158" i="15" s="1"/>
  <c r="AM146" i="15"/>
  <c r="AM152" i="15" s="1"/>
  <c r="AM158" i="15" s="1"/>
  <c r="AL146" i="15"/>
  <c r="AL152" i="15" s="1"/>
  <c r="AL158" i="15" s="1"/>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AE152" i="15" s="1"/>
  <c r="AE158" i="15" s="1"/>
  <c r="BB145" i="15"/>
  <c r="BB151" i="15" s="1"/>
  <c r="BA145" i="15"/>
  <c r="BA151" i="15" s="1"/>
  <c r="AZ145" i="15"/>
  <c r="AZ151" i="15" s="1"/>
  <c r="AY145" i="15"/>
  <c r="AY151" i="15" s="1"/>
  <c r="AX145" i="15"/>
  <c r="AX151" i="15" s="1"/>
  <c r="AW145" i="15"/>
  <c r="AW151" i="15" s="1"/>
  <c r="AV145" i="15"/>
  <c r="AV151" i="15" s="1"/>
  <c r="AU145" i="15"/>
  <c r="AU151" i="15" s="1"/>
  <c r="AT145" i="15"/>
  <c r="AT151" i="15" s="1"/>
  <c r="AS145" i="15"/>
  <c r="AS151" i="15" s="1"/>
  <c r="AR145" i="15"/>
  <c r="AR151" i="15" s="1"/>
  <c r="AQ145" i="15"/>
  <c r="AQ151" i="15" s="1"/>
  <c r="AP145" i="15"/>
  <c r="AP151" i="15" s="1"/>
  <c r="AO145" i="15"/>
  <c r="AO151" i="15" s="1"/>
  <c r="AN145" i="15"/>
  <c r="AN151" i="15" s="1"/>
  <c r="AM145" i="15"/>
  <c r="AM151" i="15" s="1"/>
  <c r="AL145" i="15"/>
  <c r="AL151" i="15" s="1"/>
  <c r="AK145" i="15"/>
  <c r="AK151" i="15" s="1"/>
  <c r="AJ145" i="15"/>
  <c r="AJ151" i="15" s="1"/>
  <c r="AI145" i="15"/>
  <c r="AI151" i="15" s="1"/>
  <c r="AH145" i="15"/>
  <c r="AH151" i="15" s="1"/>
  <c r="AG145" i="15"/>
  <c r="AG151" i="15" s="1"/>
  <c r="AF145" i="15"/>
  <c r="AF151" i="15" s="1"/>
  <c r="AE145" i="15"/>
  <c r="AE151" i="15" s="1"/>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c r="F126" i="15" s="1" a="1"/>
  <c r="F126" i="15" s="1"/>
  <c r="F127" i="15" s="1"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G113" i="15"/>
  <c r="AF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F28" i="15"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T27" i="15"/>
  <c r="T28" i="15" s="1"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F27" i="15" a="1"/>
  <c r="F27" i="15"/>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c r="AQ10" i="15" a="1"/>
  <c r="AQ10" i="15"/>
  <c r="AP10" i="15" a="1"/>
  <c r="AP10" i="15"/>
  <c r="AO10" i="15" a="1"/>
  <c r="AO10" i="15"/>
  <c r="AN10" i="15" a="1"/>
  <c r="AN10" i="15"/>
  <c r="AM10" i="15" a="1"/>
  <c r="AM10" i="15"/>
  <c r="AL10" i="15" a="1"/>
  <c r="AL10" i="15"/>
  <c r="AK10" i="15" a="1"/>
  <c r="AK10" i="15"/>
  <c r="AJ10" i="15" a="1"/>
  <c r="AJ10" i="15"/>
  <c r="AI10" i="15" a="1"/>
  <c r="AI10" i="15"/>
  <c r="AH10" i="15" a="1"/>
  <c r="AH10" i="15"/>
  <c r="AG10" i="15" a="1"/>
  <c r="AG10" i="15"/>
  <c r="AF10" i="15" a="1"/>
  <c r="AF10" i="15"/>
  <c r="AE10" i="15" a="1"/>
  <c r="AE10" i="15"/>
  <c r="BB7" i="15" a="1"/>
  <c r="BB7" i="15"/>
  <c r="BA7" i="15" a="1"/>
  <c r="BA7" i="15"/>
  <c r="AZ7" i="15" a="1"/>
  <c r="AZ7" i="15"/>
  <c r="AY7" i="15" a="1"/>
  <c r="AY7" i="15"/>
  <c r="AX7" i="15" a="1"/>
  <c r="AX7" i="15"/>
  <c r="AW7" i="15" a="1"/>
  <c r="AW7" i="15"/>
  <c r="AV7" i="15" a="1"/>
  <c r="AV7" i="15"/>
  <c r="AU7" i="15" a="1"/>
  <c r="AU7" i="15"/>
  <c r="AT7" i="15" a="1"/>
  <c r="AT7" i="15"/>
  <c r="AS7" i="15" a="1"/>
  <c r="AS7" i="15"/>
  <c r="AR7" i="15" a="1"/>
  <c r="AR7" i="15"/>
  <c r="AQ7" i="15" a="1"/>
  <c r="AQ7" i="15"/>
  <c r="AP7" i="15" a="1"/>
  <c r="AP7" i="15"/>
  <c r="AO7" i="15" a="1"/>
  <c r="AO7" i="15"/>
  <c r="AN7" i="15" a="1"/>
  <c r="AN7" i="15"/>
  <c r="AM7" i="15" a="1"/>
  <c r="AM7" i="15"/>
  <c r="AL7" i="15" a="1"/>
  <c r="AL7" i="15"/>
  <c r="AK7" i="15" a="1"/>
  <c r="AK7" i="15"/>
  <c r="AJ7" i="15" a="1"/>
  <c r="AJ7" i="15"/>
  <c r="AI7" i="15" a="1"/>
  <c r="AI7" i="15"/>
  <c r="AH7" i="15" a="1"/>
  <c r="AH7" i="15"/>
  <c r="AG7" i="15" a="1"/>
  <c r="AG7" i="15"/>
  <c r="AF7" i="15" a="1"/>
  <c r="AF7" i="15"/>
  <c r="AE7" i="15" a="1"/>
  <c r="AE7" i="15"/>
  <c r="BB6" i="15"/>
  <c r="BB9" i="15" s="1" a="1"/>
  <c r="BB9" i="15" s="1"/>
  <c r="BA6" i="15"/>
  <c r="AZ6" i="15"/>
  <c r="AZ9" i="15" s="1" a="1"/>
  <c r="AZ9" i="15" s="1"/>
  <c r="AY6" i="15"/>
  <c r="AY9" i="15" s="1" a="1"/>
  <c r="AY9" i="15" s="1"/>
  <c r="AX6" i="15"/>
  <c r="AX9" i="15" s="1" a="1"/>
  <c r="AX9" i="15" s="1"/>
  <c r="AW6" i="15"/>
  <c r="AV6" i="15"/>
  <c r="AV9" i="15" s="1" a="1"/>
  <c r="AV9" i="15" s="1"/>
  <c r="AU6" i="15"/>
  <c r="AU9" i="15" s="1" a="1"/>
  <c r="AU9" i="15" s="1"/>
  <c r="AT6" i="15"/>
  <c r="AT9" i="15" s="1" a="1"/>
  <c r="AT9" i="15" s="1"/>
  <c r="AS6" i="15" a="1"/>
  <c r="AS6" i="15" s="1"/>
  <c r="AR6" i="15"/>
  <c r="AR9" i="15" s="1" a="1"/>
  <c r="AR9" i="15" s="1"/>
  <c r="AQ6" i="15"/>
  <c r="AQ9" i="15" s="1" a="1"/>
  <c r="AQ9" i="15" s="1"/>
  <c r="AP6" i="15"/>
  <c r="AO6" i="15"/>
  <c r="AO9" i="15" s="1" a="1"/>
  <c r="AO9" i="15" s="1"/>
  <c r="AN6" i="15"/>
  <c r="AN9" i="15" s="1" a="1"/>
  <c r="AN9" i="15" s="1"/>
  <c r="AM6" i="15"/>
  <c r="AM9" i="15" s="1" a="1"/>
  <c r="AM9" i="15" s="1"/>
  <c r="AL6" i="15"/>
  <c r="AK6" i="15"/>
  <c r="AK9" i="15" s="1" a="1"/>
  <c r="AK9" i="15" s="1"/>
  <c r="AJ6" i="15"/>
  <c r="AJ9" i="15" s="1" a="1"/>
  <c r="AJ9" i="15" s="1"/>
  <c r="AI6" i="15" a="1"/>
  <c r="AI6" i="15"/>
  <c r="AI9" i="15" s="1" a="1"/>
  <c r="AI9" i="15" s="1"/>
  <c r="AH6" i="15"/>
  <c r="AH9" i="15" s="1" a="1"/>
  <c r="AH9" i="15" s="1"/>
  <c r="AG6" i="15"/>
  <c r="AG9" i="15" s="1" a="1"/>
  <c r="AG9" i="15" s="1"/>
  <c r="AF6" i="15"/>
  <c r="AF9" i="15" s="1" a="1"/>
  <c r="AF9" i="15" s="1"/>
  <c r="AE6" i="15"/>
  <c r="AE9" i="15" s="1" a="1"/>
  <c r="AE9" i="15" s="1"/>
  <c r="T112" i="14"/>
  <c r="BB106" i="14"/>
  <c r="BA106" i="14"/>
  <c r="AZ106" i="14"/>
  <c r="AY106" i="14"/>
  <c r="AX106" i="14"/>
  <c r="AW106" i="14"/>
  <c r="AV106" i="14"/>
  <c r="AU106" i="14"/>
  <c r="AT106" i="14"/>
  <c r="AS106" i="14"/>
  <c r="AR106" i="14"/>
  <c r="AQ106" i="14"/>
  <c r="AP106" i="14"/>
  <c r="AO106" i="14"/>
  <c r="AN106" i="14"/>
  <c r="AM106" i="14"/>
  <c r="AL106" i="14"/>
  <c r="AK106" i="14"/>
  <c r="AJ106" i="14"/>
  <c r="AI106" i="14"/>
  <c r="AH106" i="14"/>
  <c r="AG106" i="14"/>
  <c r="AF106" i="14"/>
  <c r="AE106" i="14"/>
  <c r="H105" i="14" a="1"/>
  <c r="H105" i="14" s="1"/>
  <c r="H106" i="14" s="1" a="1"/>
  <c r="H106" i="14" s="1"/>
  <c r="H107" i="14" s="1" a="1"/>
  <c r="H107" i="14" s="1"/>
  <c r="BI104" i="14" a="1"/>
  <c r="BI104" i="14" s="1"/>
  <c r="BI105" i="14" s="1" a="1"/>
  <c r="BI105" i="14" s="1"/>
  <c r="BI106" i="14" s="1" a="1"/>
  <c r="BI106" i="14" s="1"/>
  <c r="BI107" i="14" s="1" a="1"/>
  <c r="BI107" i="14" s="1"/>
  <c r="H104" i="14"/>
  <c r="BI103" i="14"/>
  <c r="BB103" i="14"/>
  <c r="BA103" i="14"/>
  <c r="AZ103" i="14"/>
  <c r="AY103" i="14"/>
  <c r="AX103" i="14"/>
  <c r="AW103" i="14"/>
  <c r="AV103" i="14"/>
  <c r="AU103" i="14"/>
  <c r="AT103" i="14"/>
  <c r="AS103" i="14"/>
  <c r="AR103" i="14"/>
  <c r="AQ103" i="14"/>
  <c r="AP103" i="14"/>
  <c r="AO103" i="14"/>
  <c r="AN103" i="14"/>
  <c r="AM103" i="14"/>
  <c r="AL103" i="14"/>
  <c r="AK103" i="14"/>
  <c r="AJ103" i="14"/>
  <c r="AI103" i="14"/>
  <c r="AH103" i="14"/>
  <c r="AG103" i="14"/>
  <c r="AF103" i="14"/>
  <c r="AE103" i="14"/>
  <c r="BI101" i="14" a="1"/>
  <c r="BI101" i="14"/>
  <c r="BI102" i="14" s="1" a="1"/>
  <c r="BI102" i="14" s="1"/>
  <c r="BI103" i="14" s="1" a="1"/>
  <c r="BH101" i="14" a="1"/>
  <c r="BH101" i="14"/>
  <c r="BH102" i="14" s="1" a="1"/>
  <c r="BH102" i="14" s="1"/>
  <c r="BH103" i="14" s="1" a="1"/>
  <c r="BH103" i="14" s="1"/>
  <c r="BH104" i="14" s="1" a="1"/>
  <c r="BH104" i="14" s="1"/>
  <c r="BH105" i="14" s="1" a="1"/>
  <c r="BH105" i="14" s="1"/>
  <c r="BH106" i="14" s="1" a="1"/>
  <c r="BH106" i="14" s="1"/>
  <c r="BH107" i="14" s="1" a="1"/>
  <c r="BH107" i="14" s="1"/>
  <c r="BB101" i="14"/>
  <c r="BA101" i="14"/>
  <c r="AZ101" i="14"/>
  <c r="AY101" i="14"/>
  <c r="AX101" i="14"/>
  <c r="AW101" i="14"/>
  <c r="AV101" i="14"/>
  <c r="AU101" i="14"/>
  <c r="AT101" i="14"/>
  <c r="AS101" i="14"/>
  <c r="AR101" i="14"/>
  <c r="AQ101" i="14"/>
  <c r="AP101" i="14"/>
  <c r="AO101" i="14"/>
  <c r="AN101" i="14"/>
  <c r="AM101" i="14"/>
  <c r="AL101" i="14"/>
  <c r="AK101" i="14"/>
  <c r="AJ101" i="14"/>
  <c r="AI101" i="14"/>
  <c r="AH101" i="14"/>
  <c r="AG101" i="14"/>
  <c r="AF101" i="14"/>
  <c r="AE101" i="14"/>
  <c r="H101" i="14" a="1"/>
  <c r="H101" i="14" s="1"/>
  <c r="H102" i="14" s="1" a="1"/>
  <c r="H102" i="14" s="1"/>
  <c r="H103" i="14" s="1" a="1"/>
  <c r="H103" i="14" s="1"/>
  <c r="H104" i="14" s="1" a="1"/>
  <c r="AB100" i="14"/>
  <c r="AG97" i="14" a="1"/>
  <c r="AG97" i="14" s="1"/>
  <c r="AB97" i="14"/>
  <c r="BB96" i="14"/>
  <c r="BA96" i="14"/>
  <c r="AZ96" i="14"/>
  <c r="AY96" i="14"/>
  <c r="AX96" i="14"/>
  <c r="AW96" i="14"/>
  <c r="AV96" i="14"/>
  <c r="AR96" i="14"/>
  <c r="AQ96" i="14"/>
  <c r="AP96" i="14"/>
  <c r="AO96" i="14"/>
  <c r="AN96" i="14"/>
  <c r="AM96" i="14"/>
  <c r="AL96" i="14"/>
  <c r="AK96" i="14"/>
  <c r="AJ96" i="14"/>
  <c r="AI96" i="14"/>
  <c r="AH96" i="14"/>
  <c r="AF96" i="14"/>
  <c r="AE96" i="14"/>
  <c r="H96" i="14" a="1"/>
  <c r="H96" i="14" s="1"/>
  <c r="H97" i="14" s="1" a="1"/>
  <c r="H97" i="14" s="1"/>
  <c r="BI95" i="14" a="1"/>
  <c r="BI95" i="14" s="1"/>
  <c r="BI96" i="14" s="1" a="1"/>
  <c r="BI96" i="14" s="1"/>
  <c r="BI97" i="14" s="1" a="1"/>
  <c r="BI97" i="14" s="1"/>
  <c r="BH95" i="14" a="1"/>
  <c r="BH95" i="14" s="1"/>
  <c r="BH96" i="14" s="1" a="1"/>
  <c r="BH96" i="14" s="1"/>
  <c r="BH97" i="14" s="1" a="1"/>
  <c r="BH97" i="14" s="1"/>
  <c r="AG95" i="14" a="1"/>
  <c r="AG95" i="14" s="1"/>
  <c r="AG96" i="14" s="1"/>
  <c r="AB95" i="14"/>
  <c r="H95" i="14" a="1"/>
  <c r="H95" i="14"/>
  <c r="AB94" i="14"/>
  <c r="AB96" i="14" s="1"/>
  <c r="BH93" i="14"/>
  <c r="AG93" i="14" a="1"/>
  <c r="AG93" i="14" s="1"/>
  <c r="AG81" i="14" s="1"/>
  <c r="AB93" i="14"/>
  <c r="H93" i="14"/>
  <c r="BB92" i="14"/>
  <c r="BA92" i="14"/>
  <c r="BA80" i="14" s="1"/>
  <c r="AZ92" i="14"/>
  <c r="AY92" i="14"/>
  <c r="AX92" i="14"/>
  <c r="AW92" i="14"/>
  <c r="AW80" i="14" s="1"/>
  <c r="AV92" i="14"/>
  <c r="AR92" i="14"/>
  <c r="AQ92" i="14"/>
  <c r="AP92" i="14"/>
  <c r="AO92" i="14"/>
  <c r="AO80" i="14" s="1"/>
  <c r="AN92" i="14"/>
  <c r="AM92" i="14"/>
  <c r="AL92" i="14"/>
  <c r="AK92" i="14"/>
  <c r="AK80" i="14" s="1"/>
  <c r="AJ92" i="14"/>
  <c r="AI92" i="14"/>
  <c r="AH92" i="14"/>
  <c r="AF92" i="14"/>
  <c r="AE92" i="14"/>
  <c r="BI91" i="14" a="1"/>
  <c r="BI91" i="14" s="1"/>
  <c r="BI92" i="14" s="1" a="1"/>
  <c r="BI92" i="14" s="1"/>
  <c r="BI93" i="14" s="1" a="1"/>
  <c r="BI93" i="14" s="1"/>
  <c r="BH91" i="14" a="1"/>
  <c r="BH91" i="14" s="1"/>
  <c r="BH92" i="14" s="1" a="1"/>
  <c r="BH92" i="14" s="1"/>
  <c r="BH93" i="14" s="1" a="1"/>
  <c r="AG91" i="14" a="1"/>
  <c r="AG91" i="14" s="1"/>
  <c r="AB91" i="14"/>
  <c r="H91" i="14" a="1"/>
  <c r="H91" i="14"/>
  <c r="H92" i="14" s="1" a="1"/>
  <c r="H92" i="14" s="1"/>
  <c r="H93" i="14" s="1" a="1"/>
  <c r="AB90" i="14"/>
  <c r="AB92" i="14" s="1"/>
  <c r="BB88" i="14"/>
  <c r="BA88" i="14"/>
  <c r="AZ88" i="14"/>
  <c r="AZ80" i="14" s="1"/>
  <c r="AY88" i="14"/>
  <c r="AX88" i="14"/>
  <c r="AW88" i="14"/>
  <c r="AV88" i="14"/>
  <c r="AV80" i="14" s="1"/>
  <c r="AU88" i="14"/>
  <c r="AT88" i="14"/>
  <c r="AS88" i="14"/>
  <c r="AR88" i="14"/>
  <c r="AR80" i="14" s="1"/>
  <c r="AQ88" i="14"/>
  <c r="AP88" i="14"/>
  <c r="AO88" i="14"/>
  <c r="AN88" i="14"/>
  <c r="AN80" i="14" s="1"/>
  <c r="AM88" i="14"/>
  <c r="AL88" i="14"/>
  <c r="AK88" i="14"/>
  <c r="AJ88" i="14"/>
  <c r="AJ80" i="14" s="1"/>
  <c r="AI88" i="14"/>
  <c r="AH88" i="14"/>
  <c r="AG88" i="14"/>
  <c r="AF88" i="14"/>
  <c r="AF80" i="14" s="1"/>
  <c r="AF146" i="26" s="1" a="1"/>
  <c r="AF146" i="26" s="1"/>
  <c r="AE88" i="14"/>
  <c r="BI87" i="14" a="1"/>
  <c r="BI87" i="14"/>
  <c r="BI88" i="14" s="1" a="1"/>
  <c r="BI88" i="14" s="1"/>
  <c r="BI89" i="14" s="1" a="1"/>
  <c r="BI89" i="14" s="1"/>
  <c r="BH87" i="14" a="1"/>
  <c r="BH87" i="14"/>
  <c r="BH88" i="14" s="1" a="1"/>
  <c r="BH88" i="14" s="1"/>
  <c r="BH89" i="14" s="1" a="1"/>
  <c r="BH89" i="14" s="1"/>
  <c r="H87" i="14" a="1"/>
  <c r="H87" i="14" s="1"/>
  <c r="H88" i="14" s="1" a="1"/>
  <c r="H88" i="14" s="1"/>
  <c r="H89" i="14" s="1" a="1"/>
  <c r="H89" i="14" s="1"/>
  <c r="AB86" i="14"/>
  <c r="BB84" i="14"/>
  <c r="BA84" i="14"/>
  <c r="AZ84" i="14"/>
  <c r="AY84" i="14"/>
  <c r="AX84" i="14"/>
  <c r="AW84" i="14"/>
  <c r="AV84" i="14"/>
  <c r="AR84" i="14"/>
  <c r="AQ84" i="14"/>
  <c r="AP84" i="14"/>
  <c r="AO84" i="14"/>
  <c r="AN84" i="14"/>
  <c r="AM84" i="14"/>
  <c r="AL84" i="14"/>
  <c r="AK84" i="14"/>
  <c r="AJ84" i="14"/>
  <c r="AX83" i="14"/>
  <c r="AS82" i="14" a="1"/>
  <c r="AS82" i="14" s="1"/>
  <c r="AI82" i="14" a="1"/>
  <c r="AI82" i="14" s="1"/>
  <c r="AI84" i="14" s="1"/>
  <c r="AG82" i="14" a="1"/>
  <c r="AG82" i="14" s="1"/>
  <c r="BB81" i="14"/>
  <c r="BB83" i="14" s="1"/>
  <c r="BA81" i="14"/>
  <c r="BA83" i="14" s="1"/>
  <c r="AZ81" i="14"/>
  <c r="AZ83" i="14" s="1"/>
  <c r="AY81" i="14"/>
  <c r="AY83" i="14" s="1"/>
  <c r="AX81" i="14"/>
  <c r="AW81" i="14"/>
  <c r="AW83" i="14" s="1"/>
  <c r="AV81" i="14"/>
  <c r="AV83" i="14" s="1"/>
  <c r="AR81" i="14"/>
  <c r="AR83" i="14" s="1"/>
  <c r="AQ81" i="14"/>
  <c r="AQ83" i="14" s="1"/>
  <c r="AP81" i="14"/>
  <c r="AP83" i="14" s="1"/>
  <c r="AO81" i="14"/>
  <c r="AO83" i="14" s="1"/>
  <c r="AN81" i="14"/>
  <c r="AN83" i="14" s="1"/>
  <c r="AM81" i="14"/>
  <c r="AM83" i="14" s="1"/>
  <c r="AL81" i="14"/>
  <c r="AL83" i="14" s="1"/>
  <c r="AK81" i="14"/>
  <c r="AK83" i="14" s="1"/>
  <c r="AJ81" i="14"/>
  <c r="AJ83" i="14" s="1"/>
  <c r="AI81" i="14"/>
  <c r="AH81" i="14"/>
  <c r="AH83" i="14" s="1"/>
  <c r="AF81" i="14"/>
  <c r="AE81" i="14"/>
  <c r="AE84" i="14" s="1"/>
  <c r="T81" i="14" a="1"/>
  <c r="T81" i="14" s="1"/>
  <c r="T82" i="14" s="1" a="1"/>
  <c r="T82" i="14" s="1"/>
  <c r="T83" i="14" s="1" a="1"/>
  <c r="T83" i="14" s="1"/>
  <c r="T84" i="14" s="1" a="1"/>
  <c r="T84" i="14" s="1"/>
  <c r="T85" i="14" s="1" a="1"/>
  <c r="T85" i="14" s="1"/>
  <c r="BB80" i="14"/>
  <c r="AX80" i="14"/>
  <c r="AP80" i="14"/>
  <c r="AL80" i="14"/>
  <c r="AH80" i="14"/>
  <c r="T80" i="14" a="1"/>
  <c r="T80" i="14" s="1"/>
  <c r="L80" i="14" a="1"/>
  <c r="L80" i="14" s="1"/>
  <c r="T79" i="14"/>
  <c r="F79" i="14" a="1"/>
  <c r="F79" i="14" s="1"/>
  <c r="F80" i="14" s="1" a="1"/>
  <c r="F80" i="14" s="1"/>
  <c r="F81" i="14" s="1" a="1"/>
  <c r="F81" i="14" s="1"/>
  <c r="F82" i="14" s="1" a="1"/>
  <c r="F82" i="14" s="1"/>
  <c r="F83" i="14" s="1" a="1"/>
  <c r="F83" i="14" s="1"/>
  <c r="F84" i="14" s="1" a="1"/>
  <c r="F84" i="14" s="1"/>
  <c r="F85" i="14" s="1" a="1"/>
  <c r="F85" i="14" s="1"/>
  <c r="F86" i="14" s="1" a="1"/>
  <c r="F86" i="14" s="1"/>
  <c r="BB76" i="14"/>
  <c r="BB50" i="14" s="1"/>
  <c r="BA76" i="14"/>
  <c r="AZ76" i="14"/>
  <c r="AY76" i="14"/>
  <c r="AX76" i="14"/>
  <c r="AX50" i="14" s="1"/>
  <c r="AW76" i="14"/>
  <c r="AV76" i="14"/>
  <c r="AU76" i="14"/>
  <c r="AT76" i="14"/>
  <c r="AS76" i="14"/>
  <c r="AR76" i="14"/>
  <c r="AQ76" i="14"/>
  <c r="AP76" i="14"/>
  <c r="AO76" i="14"/>
  <c r="AN76" i="14"/>
  <c r="AM76" i="14"/>
  <c r="AL76" i="14"/>
  <c r="AK76" i="14"/>
  <c r="AJ76" i="14"/>
  <c r="AI76" i="14"/>
  <c r="AH76" i="14"/>
  <c r="AG76" i="14"/>
  <c r="AF76" i="14"/>
  <c r="AE76" i="14"/>
  <c r="AB76" i="14"/>
  <c r="BB73" i="14"/>
  <c r="BA73" i="14"/>
  <c r="AZ73" i="14"/>
  <c r="AY73" i="14"/>
  <c r="AX73" i="14"/>
  <c r="AW73" i="14"/>
  <c r="AV73" i="14"/>
  <c r="AU73" i="14"/>
  <c r="AT73" i="14"/>
  <c r="AS73" i="14"/>
  <c r="AR73" i="14"/>
  <c r="AQ73" i="14"/>
  <c r="AP73" i="14"/>
  <c r="AO73" i="14"/>
  <c r="AN73" i="14"/>
  <c r="AM73" i="14"/>
  <c r="AL73" i="14"/>
  <c r="AK73" i="14"/>
  <c r="AJ73" i="14"/>
  <c r="AI73" i="14"/>
  <c r="AH73" i="14"/>
  <c r="AG73" i="14"/>
  <c r="AF73" i="14"/>
  <c r="AE73" i="14"/>
  <c r="AB72" i="14"/>
  <c r="H72" i="14"/>
  <c r="H73" i="14" s="1" a="1"/>
  <c r="H73" i="14" s="1"/>
  <c r="H74" i="14" s="1" a="1"/>
  <c r="H74" i="14" s="1"/>
  <c r="H75" i="14" s="1" a="1"/>
  <c r="H75" i="14" s="1"/>
  <c r="H76" i="14" s="1" a="1"/>
  <c r="H76" i="14" s="1"/>
  <c r="H77" i="14" s="1" a="1"/>
  <c r="H77" i="14" s="1"/>
  <c r="BI71" i="14" a="1"/>
  <c r="BI71" i="14"/>
  <c r="BI72" i="14" s="1" a="1"/>
  <c r="BI72" i="14" s="1"/>
  <c r="BI73" i="14" s="1" a="1"/>
  <c r="BI73" i="14" s="1"/>
  <c r="BI74" i="14" s="1" a="1"/>
  <c r="BI74" i="14" s="1"/>
  <c r="BI75" i="14" s="1" a="1"/>
  <c r="BI75" i="14" s="1"/>
  <c r="BI76" i="14" s="1" a="1"/>
  <c r="BI76" i="14" s="1"/>
  <c r="BI77" i="14" s="1" a="1"/>
  <c r="BI77" i="14" s="1"/>
  <c r="BH71" i="14" a="1"/>
  <c r="BH71" i="14"/>
  <c r="BH72" i="14" s="1" a="1"/>
  <c r="BH72" i="14" s="1"/>
  <c r="BH73" i="14" s="1" a="1"/>
  <c r="BH73" i="14" s="1"/>
  <c r="BH74" i="14" s="1" a="1"/>
  <c r="BH74" i="14" s="1"/>
  <c r="BH75" i="14" s="1" a="1"/>
  <c r="BH75" i="14" s="1"/>
  <c r="BH76" i="14" s="1" a="1"/>
  <c r="BH76" i="14" s="1"/>
  <c r="BH77" i="14" s="1" a="1"/>
  <c r="BH77" i="14" s="1"/>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AE71" i="14"/>
  <c r="H71" i="14" a="1"/>
  <c r="H71" i="14" s="1"/>
  <c r="H72" i="14" s="1" a="1"/>
  <c r="AB70" i="14"/>
  <c r="AB75" i="14" s="1"/>
  <c r="BH67" i="14"/>
  <c r="AT67" i="14" a="1"/>
  <c r="AT67" i="14"/>
  <c r="AU67" i="14" s="1" a="1"/>
  <c r="AU67" i="14" s="1"/>
  <c r="AU66" i="14" s="1"/>
  <c r="BI66" i="14" a="1"/>
  <c r="BI66" i="14" s="1"/>
  <c r="BI67" i="14" s="1" a="1"/>
  <c r="BI67" i="14" s="1"/>
  <c r="BB66" i="14"/>
  <c r="BA66" i="14"/>
  <c r="AZ66" i="14"/>
  <c r="AY66" i="14"/>
  <c r="AX66" i="14"/>
  <c r="AW66" i="14"/>
  <c r="AV66" i="14"/>
  <c r="AT66" i="14"/>
  <c r="AS66" i="14"/>
  <c r="AR66" i="14"/>
  <c r="AQ66" i="14"/>
  <c r="AP66" i="14"/>
  <c r="AP50" i="14" s="1"/>
  <c r="AO66" i="14"/>
  <c r="AN66" i="14"/>
  <c r="AM66" i="14"/>
  <c r="AL66" i="14"/>
  <c r="AL50" i="14" s="1"/>
  <c r="AK66" i="14"/>
  <c r="AJ66" i="14"/>
  <c r="AI66" i="14"/>
  <c r="AH66" i="14"/>
  <c r="AH50" i="14" s="1"/>
  <c r="AG66" i="14"/>
  <c r="AF66" i="14"/>
  <c r="AE66" i="14"/>
  <c r="AB66" i="14"/>
  <c r="BI65" i="14" a="1"/>
  <c r="BI65" i="14"/>
  <c r="BH65" i="14" a="1"/>
  <c r="BH65" i="14"/>
  <c r="BH66" i="14" s="1" a="1"/>
  <c r="BH66" i="14" s="1"/>
  <c r="BH67" i="14" s="1" a="1"/>
  <c r="H65" i="14" a="1"/>
  <c r="H65" i="14" s="1"/>
  <c r="H66" i="14" s="1" a="1"/>
  <c r="H66" i="14" s="1"/>
  <c r="H67" i="14" s="1" a="1"/>
  <c r="H67" i="14" s="1"/>
  <c r="AB64" i="14"/>
  <c r="AB65" i="14" s="1"/>
  <c r="AT63" i="14" a="1"/>
  <c r="AT63" i="14" s="1"/>
  <c r="AB63" i="14"/>
  <c r="BH62" i="14"/>
  <c r="BH63" i="14" s="1" a="1"/>
  <c r="BH63" i="14" s="1"/>
  <c r="BB62" i="14"/>
  <c r="BA62" i="14"/>
  <c r="BA50" i="14" s="1"/>
  <c r="AZ62" i="14"/>
  <c r="AY62" i="14"/>
  <c r="AY50" i="14" s="1"/>
  <c r="AX62" i="14"/>
  <c r="AW62" i="14"/>
  <c r="AW50" i="14" s="1"/>
  <c r="AV62" i="14"/>
  <c r="AS62" i="14"/>
  <c r="AS50" i="14" s="1"/>
  <c r="AR62" i="14"/>
  <c r="AQ62" i="14"/>
  <c r="AP62" i="14"/>
  <c r="AO62" i="14"/>
  <c r="AO50" i="14" s="1"/>
  <c r="AN62" i="14"/>
  <c r="AM62" i="14"/>
  <c r="AL62" i="14"/>
  <c r="AK62" i="14"/>
  <c r="AK50" i="14" s="1"/>
  <c r="AJ62" i="14"/>
  <c r="AI62" i="14"/>
  <c r="AH62" i="14"/>
  <c r="AG62" i="14"/>
  <c r="AG50" i="14" s="1"/>
  <c r="AG95" i="26" s="1" a="1"/>
  <c r="AG95" i="26" s="1"/>
  <c r="AF62" i="14"/>
  <c r="AE62" i="14"/>
  <c r="H62" i="14" a="1"/>
  <c r="H62" i="14" s="1"/>
  <c r="H63" i="14" s="1" a="1"/>
  <c r="H63" i="14" s="1"/>
  <c r="BI61" i="14" a="1"/>
  <c r="BI61" i="14" s="1"/>
  <c r="BI62" i="14" s="1" a="1"/>
  <c r="BI62" i="14" s="1"/>
  <c r="BI63" i="14" s="1" a="1"/>
  <c r="BI63" i="14" s="1"/>
  <c r="BH61" i="14" a="1"/>
  <c r="BH61" i="14" s="1"/>
  <c r="BH62" i="14" s="1" a="1"/>
  <c r="AB61" i="14"/>
  <c r="H61" i="14" a="1"/>
  <c r="H61" i="14"/>
  <c r="AB60" i="14"/>
  <c r="AB62" i="14" s="1"/>
  <c r="BI59" i="14"/>
  <c r="BB58" i="14"/>
  <c r="BA58" i="14"/>
  <c r="AZ58" i="14"/>
  <c r="AZ50" i="14" s="1"/>
  <c r="AY58" i="14"/>
  <c r="AX58" i="14"/>
  <c r="AW58" i="14"/>
  <c r="AV58" i="14"/>
  <c r="AV50" i="14" s="1"/>
  <c r="AU58" i="14"/>
  <c r="AT58" i="14"/>
  <c r="AS58" i="14"/>
  <c r="AR58" i="14"/>
  <c r="AR50" i="14" s="1"/>
  <c r="AQ58" i="14"/>
  <c r="AP58" i="14"/>
  <c r="AO58" i="14"/>
  <c r="AN58" i="14"/>
  <c r="AN50" i="14" s="1"/>
  <c r="AM58" i="14"/>
  <c r="AL58" i="14"/>
  <c r="AK58" i="14"/>
  <c r="AJ58" i="14"/>
  <c r="AJ50" i="14" s="1"/>
  <c r="AI58" i="14"/>
  <c r="AH58" i="14"/>
  <c r="AG58" i="14"/>
  <c r="AF58" i="14"/>
  <c r="AF50" i="14" s="1"/>
  <c r="AE58" i="14"/>
  <c r="BI57" i="14" a="1"/>
  <c r="BI57" i="14"/>
  <c r="BI58" i="14" s="1" a="1"/>
  <c r="BI58" i="14" s="1"/>
  <c r="BI59" i="14" s="1" a="1"/>
  <c r="BH57" i="14" a="1"/>
  <c r="BH57" i="14"/>
  <c r="BH58" i="14" s="1" a="1"/>
  <c r="BH58" i="14" s="1"/>
  <c r="BH59" i="14" s="1" a="1"/>
  <c r="BH59" i="14" s="1"/>
  <c r="H57" i="14" a="1"/>
  <c r="H57" i="14" s="1"/>
  <c r="H58" i="14" s="1" a="1"/>
  <c r="H58" i="14" s="1"/>
  <c r="H59" i="14" s="1" a="1"/>
  <c r="H59" i="14" s="1"/>
  <c r="AB56" i="14"/>
  <c r="BB54" i="14"/>
  <c r="BA54" i="14"/>
  <c r="AZ54" i="14"/>
  <c r="AY54" i="14"/>
  <c r="AX54" i="14"/>
  <c r="AW54" i="14"/>
  <c r="AV54" i="14"/>
  <c r="AR54" i="14"/>
  <c r="AQ54" i="14"/>
  <c r="AP54" i="14"/>
  <c r="AO54" i="14"/>
  <c r="AN54" i="14"/>
  <c r="AM54" i="14"/>
  <c r="AL54" i="14"/>
  <c r="AK54" i="14"/>
  <c r="AJ54" i="14"/>
  <c r="AH54" i="14"/>
  <c r="BB53" i="14"/>
  <c r="AL53" i="14"/>
  <c r="BB51" i="14"/>
  <c r="BA51" i="14"/>
  <c r="BA53" i="14" s="1"/>
  <c r="AZ51" i="14"/>
  <c r="AZ53" i="14" s="1"/>
  <c r="AY51" i="14"/>
  <c r="AY53" i="14" s="1"/>
  <c r="AX51" i="14"/>
  <c r="AX53" i="14" s="1"/>
  <c r="AW51" i="14"/>
  <c r="AW53" i="14" s="1"/>
  <c r="AV51" i="14"/>
  <c r="AV53" i="14" s="1"/>
  <c r="AS51" i="14"/>
  <c r="AS53" i="14" s="1"/>
  <c r="AR51" i="14"/>
  <c r="AR53" i="14" s="1"/>
  <c r="AQ51" i="14"/>
  <c r="AQ53" i="14" s="1"/>
  <c r="AP51" i="14"/>
  <c r="AP53" i="14" s="1"/>
  <c r="AO51" i="14"/>
  <c r="AO53" i="14" s="1"/>
  <c r="AN51" i="14"/>
  <c r="AN53" i="14" s="1"/>
  <c r="AM51" i="14"/>
  <c r="AM53" i="14" s="1"/>
  <c r="AL51" i="14"/>
  <c r="AK51" i="14"/>
  <c r="AK53" i="14" s="1"/>
  <c r="AJ51" i="14"/>
  <c r="AJ53" i="14" s="1"/>
  <c r="AI51" i="14"/>
  <c r="AH51" i="14"/>
  <c r="AG51" i="14"/>
  <c r="AG53" i="14" s="1"/>
  <c r="AG98" i="26" s="1" a="1"/>
  <c r="AG98" i="26" s="1"/>
  <c r="AF51" i="14"/>
  <c r="AE51" i="14"/>
  <c r="AE54" i="14" s="1"/>
  <c r="T50" i="14" a="1"/>
  <c r="T50" i="14" s="1"/>
  <c r="T51" i="14" s="1" a="1"/>
  <c r="T51" i="14" s="1"/>
  <c r="T52" i="14" s="1" a="1"/>
  <c r="T52" i="14" s="1"/>
  <c r="T53" i="14" s="1" a="1"/>
  <c r="T53" i="14" s="1"/>
  <c r="T54" i="14" s="1" a="1"/>
  <c r="T54" i="14" s="1"/>
  <c r="T55" i="14" s="1" a="1"/>
  <c r="T55" i="14" s="1"/>
  <c r="L50" i="14" a="1"/>
  <c r="L50" i="14" s="1"/>
  <c r="T49" i="14"/>
  <c r="F49" i="14" a="1"/>
  <c r="F49" i="14" s="1"/>
  <c r="F50" i="14" s="1" a="1"/>
  <c r="F50" i="14" s="1"/>
  <c r="F51" i="14" s="1" a="1"/>
  <c r="F51" i="14" s="1"/>
  <c r="F52" i="14" s="1" a="1"/>
  <c r="F52" i="14" s="1"/>
  <c r="F53" i="14" s="1" a="1"/>
  <c r="F53" i="14" s="1"/>
  <c r="F54" i="14" s="1" a="1"/>
  <c r="F54" i="14" s="1"/>
  <c r="F55" i="14" s="1" a="1"/>
  <c r="F55" i="14" s="1"/>
  <c r="F56" i="14" s="1" a="1"/>
  <c r="F56" i="14" s="1"/>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B46"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AB42" i="14"/>
  <c r="BI41" i="14" a="1"/>
  <c r="BI41" i="14"/>
  <c r="BI42" i="14" s="1" a="1"/>
  <c r="BI42" i="14" s="1"/>
  <c r="BI43" i="14" s="1" a="1"/>
  <c r="BI43" i="14" s="1"/>
  <c r="BI44" i="14" s="1" a="1"/>
  <c r="BI44" i="14" s="1"/>
  <c r="BI45" i="14" s="1" a="1"/>
  <c r="BI45" i="14" s="1"/>
  <c r="BI46" i="14" s="1" a="1"/>
  <c r="BI46" i="14" s="1"/>
  <c r="BI47" i="14" s="1" a="1"/>
  <c r="BI47" i="14" s="1"/>
  <c r="BH41" i="14" a="1"/>
  <c r="BH41" i="14"/>
  <c r="BH42" i="14" s="1" a="1"/>
  <c r="BH42" i="14" s="1"/>
  <c r="BH43" i="14" s="1" a="1"/>
  <c r="BH43" i="14" s="1"/>
  <c r="BH44" i="14" s="1" a="1"/>
  <c r="BH44" i="14" s="1"/>
  <c r="BH45" i="14" s="1" a="1"/>
  <c r="BH45" i="14" s="1"/>
  <c r="BH46" i="14" s="1" a="1"/>
  <c r="BH46" i="14" s="1"/>
  <c r="BH47" i="14" s="1" a="1"/>
  <c r="BH47" i="14" s="1"/>
  <c r="BB41" i="14"/>
  <c r="BA41" i="14"/>
  <c r="BA28" i="14" s="1"/>
  <c r="AZ41" i="14"/>
  <c r="AY41" i="14"/>
  <c r="AY28" i="14" s="1"/>
  <c r="AX41" i="14"/>
  <c r="AW41" i="14"/>
  <c r="AW28" i="14" s="1"/>
  <c r="AV41" i="14"/>
  <c r="AU41" i="14"/>
  <c r="AU28" i="14" s="1"/>
  <c r="AT41" i="14"/>
  <c r="AS41" i="14"/>
  <c r="AS28" i="14" s="1"/>
  <c r="AR41" i="14"/>
  <c r="AQ41" i="14"/>
  <c r="AQ28" i="14" s="1"/>
  <c r="AP41" i="14"/>
  <c r="AO41" i="14"/>
  <c r="AO28" i="14" s="1"/>
  <c r="AN41" i="14"/>
  <c r="AM41" i="14"/>
  <c r="AM28" i="14" s="1"/>
  <c r="AL41" i="14"/>
  <c r="AK41" i="14"/>
  <c r="AK28" i="14" s="1"/>
  <c r="AJ41" i="14"/>
  <c r="AI41" i="14"/>
  <c r="AI28" i="14" s="1"/>
  <c r="AH41" i="14"/>
  <c r="AG41" i="14"/>
  <c r="AG28" i="14" s="1"/>
  <c r="AF41" i="14"/>
  <c r="AE41" i="14"/>
  <c r="AE28" i="14" s="1"/>
  <c r="H41" i="14" a="1"/>
  <c r="H41" i="14" s="1"/>
  <c r="H42" i="14" s="1" a="1"/>
  <c r="H42" i="14" s="1"/>
  <c r="H43" i="14" s="1" a="1"/>
  <c r="H43" i="14" s="1"/>
  <c r="H44" i="14" s="1" a="1"/>
  <c r="H44" i="14" s="1"/>
  <c r="H45" i="14" s="1" a="1"/>
  <c r="H45" i="14" s="1"/>
  <c r="H46" i="14" s="1" a="1"/>
  <c r="H46" i="14" s="1"/>
  <c r="H47" i="14" s="1" a="1"/>
  <c r="H47" i="14" s="1"/>
  <c r="AB40" i="14"/>
  <c r="AB45" i="14" s="1"/>
  <c r="BB36" i="14"/>
  <c r="BA36" i="14"/>
  <c r="AZ36" i="14"/>
  <c r="AY36" i="14"/>
  <c r="AX36" i="14"/>
  <c r="AW36" i="14"/>
  <c r="AV36" i="14"/>
  <c r="AU36" i="14"/>
  <c r="AT36" i="14"/>
  <c r="AS36" i="14"/>
  <c r="AR36" i="14"/>
  <c r="AQ36" i="14"/>
  <c r="AP36" i="14"/>
  <c r="AO36" i="14"/>
  <c r="AN36" i="14"/>
  <c r="AM36" i="14"/>
  <c r="AL36" i="14"/>
  <c r="AK36" i="14"/>
  <c r="AJ36" i="14"/>
  <c r="AI36" i="14"/>
  <c r="AH36" i="14"/>
  <c r="AH28" i="14" s="1"/>
  <c r="AG36" i="14"/>
  <c r="AF36" i="14"/>
  <c r="AE36" i="14"/>
  <c r="AB36" i="14"/>
  <c r="BI35" i="14" a="1"/>
  <c r="BI35" i="14"/>
  <c r="BI36" i="14" s="1" a="1"/>
  <c r="BI36" i="14" s="1"/>
  <c r="BI37" i="14" s="1" a="1"/>
  <c r="BI37" i="14" s="1"/>
  <c r="BH35" i="14" a="1"/>
  <c r="BH35" i="14"/>
  <c r="BH36" i="14" s="1" a="1"/>
  <c r="BH36" i="14" s="1"/>
  <c r="BH37" i="14" s="1" a="1"/>
  <c r="BH37" i="14" s="1"/>
  <c r="H35" i="14" a="1"/>
  <c r="H35" i="14" s="1"/>
  <c r="H36" i="14" s="1" a="1"/>
  <c r="H36" i="14" s="1"/>
  <c r="H37" i="14" s="1" a="1"/>
  <c r="H37" i="14" s="1"/>
  <c r="AB34" i="14"/>
  <c r="AB35" i="14" s="1"/>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AZ28" i="14"/>
  <c r="AV28" i="14"/>
  <c r="AR28" i="14"/>
  <c r="AN28" i="14"/>
  <c r="AJ28" i="14"/>
  <c r="AF28" i="14"/>
  <c r="T28" i="14" a="1"/>
  <c r="T28" i="14" s="1"/>
  <c r="T29" i="14" s="1" a="1"/>
  <c r="T29" i="14" s="1"/>
  <c r="T30" i="14" s="1" a="1"/>
  <c r="T30" i="14" s="1"/>
  <c r="T31" i="14" s="1" a="1"/>
  <c r="T31" i="14" s="1"/>
  <c r="T32" i="14" s="1" a="1"/>
  <c r="T32" i="14" s="1"/>
  <c r="T33" i="14" s="1" a="1"/>
  <c r="T33" i="14" s="1"/>
  <c r="L28" i="14" a="1"/>
  <c r="L28" i="14" s="1"/>
  <c r="T27" i="14"/>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AE10" i="14" a="1"/>
  <c r="AE10" i="14" s="1"/>
  <c r="BA9" i="14" a="1"/>
  <c r="BA9" i="14" s="1"/>
  <c r="AY9" i="14" a="1"/>
  <c r="AY9" i="14" s="1"/>
  <c r="AW9" i="14" a="1"/>
  <c r="AW9" i="14" s="1"/>
  <c r="AU9" i="14" a="1"/>
  <c r="AU9" i="14" s="1"/>
  <c r="AR9" i="14" a="1"/>
  <c r="AR9" i="14" s="1"/>
  <c r="AQ9" i="14" a="1"/>
  <c r="AQ9" i="14" s="1"/>
  <c r="AP9" i="14" a="1"/>
  <c r="AP9" i="14" s="1"/>
  <c r="AN9" i="14" a="1"/>
  <c r="AN9" i="14" s="1"/>
  <c r="AM9" i="14" a="1"/>
  <c r="AM9" i="14" s="1"/>
  <c r="AL9" i="14" a="1"/>
  <c r="AL9" i="14" s="1"/>
  <c r="AJ9" i="14" a="1"/>
  <c r="AJ9" i="14" s="1"/>
  <c r="AG9" i="14" a="1"/>
  <c r="AG9" i="14" s="1"/>
  <c r="AE9" i="14" a="1"/>
  <c r="AE9"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R7" i="14" a="1"/>
  <c r="AR7" i="14" s="1"/>
  <c r="AR8" i="14" s="1"/>
  <c r="AQ7" i="14" a="1"/>
  <c r="AQ7" i="14" s="1"/>
  <c r="AP7" i="14" a="1"/>
  <c r="AP7" i="14" s="1"/>
  <c r="AP8" i="14" s="1"/>
  <c r="AO7" i="14" a="1"/>
  <c r="AO7" i="14" s="1"/>
  <c r="AN7" i="14" a="1"/>
  <c r="AN7" i="14" s="1"/>
  <c r="AN8" i="14" s="1"/>
  <c r="AM7" i="14" a="1"/>
  <c r="AM7" i="14" s="1"/>
  <c r="AL7" i="14" a="1"/>
  <c r="AL7" i="14" s="1"/>
  <c r="AL8" i="14" s="1"/>
  <c r="AK7" i="14" a="1"/>
  <c r="AK7" i="14" s="1"/>
  <c r="AJ7" i="14" a="1"/>
  <c r="AJ7" i="14" s="1"/>
  <c r="AJ8" i="14" s="1"/>
  <c r="AI7" i="14" a="1"/>
  <c r="AI7" i="14" s="1"/>
  <c r="AH7" i="14" a="1"/>
  <c r="AH7" i="14" s="1"/>
  <c r="AG7" i="14" a="1"/>
  <c r="AG7" i="14" s="1"/>
  <c r="AF7" i="14" a="1"/>
  <c r="AF7" i="14" s="1"/>
  <c r="AF8" i="14" s="1"/>
  <c r="AE7" i="14" a="1"/>
  <c r="AE7" i="14" s="1"/>
  <c r="BB6" i="14"/>
  <c r="BB9" i="14" s="1" a="1"/>
  <c r="BB9" i="14" s="1"/>
  <c r="BA6" i="14"/>
  <c r="BA8" i="14" s="1"/>
  <c r="AZ6" i="14"/>
  <c r="AY6" i="14"/>
  <c r="AY8" i="14" s="1"/>
  <c r="AX6" i="14"/>
  <c r="AX9" i="14" s="1" a="1"/>
  <c r="AX9" i="14" s="1"/>
  <c r="AW6" i="14"/>
  <c r="AW8" i="14" s="1"/>
  <c r="AV6" i="14"/>
  <c r="AU6" i="14"/>
  <c r="AU8" i="14" s="1"/>
  <c r="AT6" i="14"/>
  <c r="AT9" i="14" s="1" a="1"/>
  <c r="AT9" i="14" s="1"/>
  <c r="AS6" i="14" a="1"/>
  <c r="AS6" i="14"/>
  <c r="AR6" i="14"/>
  <c r="AQ6" i="14"/>
  <c r="AP6" i="14"/>
  <c r="AO6" i="14"/>
  <c r="AN6" i="14"/>
  <c r="AM6" i="14"/>
  <c r="AL6" i="14"/>
  <c r="AK6" i="14"/>
  <c r="AJ6" i="14"/>
  <c r="AI6" i="14" a="1"/>
  <c r="AI6" i="14" s="1"/>
  <c r="AH6" i="14"/>
  <c r="AG6" i="14"/>
  <c r="AG8" i="14" s="1"/>
  <c r="AF6" i="14"/>
  <c r="AF9" i="14" s="1" a="1"/>
  <c r="AF9" i="14" s="1"/>
  <c r="AE6" i="14"/>
  <c r="AE8" i="14" s="1"/>
  <c r="AF2" i="14" a="1"/>
  <c r="AF2" i="14" s="1"/>
  <c r="T100" i="13"/>
  <c r="BI93" i="13"/>
  <c r="BI94" i="13" s="1" a="1"/>
  <c r="BI94" i="13" s="1"/>
  <c r="BI92" i="13" a="1"/>
  <c r="BI92" i="13" s="1"/>
  <c r="BI93" i="13" s="1" a="1"/>
  <c r="BH92" i="13" a="1"/>
  <c r="BH92" i="13" s="1"/>
  <c r="BH93" i="13" s="1" a="1"/>
  <c r="BH93" i="13" s="1"/>
  <c r="BH94" i="13" s="1" a="1"/>
  <c r="BH94" i="13" s="1"/>
  <c r="AB92" i="13"/>
  <c r="BB91" i="13"/>
  <c r="BA91" i="13"/>
  <c r="AZ91" i="13"/>
  <c r="AY91" i="13"/>
  <c r="AX91" i="13"/>
  <c r="AW91" i="13"/>
  <c r="AV91" i="13"/>
  <c r="AU91" i="13"/>
  <c r="AT91" i="13"/>
  <c r="AS91" i="13"/>
  <c r="AR91" i="13"/>
  <c r="AQ91" i="13"/>
  <c r="AP91" i="13"/>
  <c r="AO91" i="13"/>
  <c r="AN91" i="13"/>
  <c r="AM91" i="13"/>
  <c r="AL91" i="13"/>
  <c r="AK91" i="13"/>
  <c r="AJ91" i="13"/>
  <c r="AI91" i="13"/>
  <c r="AH91" i="13"/>
  <c r="AG91" i="13"/>
  <c r="AF91" i="13"/>
  <c r="AE91" i="13"/>
  <c r="BB89" i="13"/>
  <c r="BB73" i="13" s="1"/>
  <c r="BA89" i="13"/>
  <c r="AZ89" i="13"/>
  <c r="AZ73" i="13" s="1"/>
  <c r="AY89" i="13"/>
  <c r="AX89" i="13"/>
  <c r="AX73" i="13" s="1"/>
  <c r="AW89" i="13"/>
  <c r="AV89" i="13"/>
  <c r="AV73" i="13" s="1"/>
  <c r="AU89" i="13"/>
  <c r="AT89" i="13"/>
  <c r="AT73" i="13" s="1"/>
  <c r="AS89" i="13"/>
  <c r="AR89" i="13"/>
  <c r="AR73" i="13" s="1"/>
  <c r="AQ89" i="13"/>
  <c r="AP89" i="13"/>
  <c r="AP73" i="13" s="1"/>
  <c r="AO89" i="13"/>
  <c r="AN89" i="13"/>
  <c r="AN73" i="13" s="1"/>
  <c r="AM89" i="13"/>
  <c r="AL89" i="13"/>
  <c r="AL73" i="13" s="1"/>
  <c r="AK89" i="13"/>
  <c r="AJ89" i="13"/>
  <c r="AJ73" i="13" s="1"/>
  <c r="AI89" i="13"/>
  <c r="AH89" i="13"/>
  <c r="AH73" i="13" s="1"/>
  <c r="AG89" i="13"/>
  <c r="AF89" i="13"/>
  <c r="AF73" i="13" s="1"/>
  <c r="AE89" i="13"/>
  <c r="BI86" i="13" a="1"/>
  <c r="BI86" i="13" s="1"/>
  <c r="BI87" i="13" s="1" a="1"/>
  <c r="BI87" i="13" s="1"/>
  <c r="AB86" i="13"/>
  <c r="BI85" i="13" a="1"/>
  <c r="BI85" i="13"/>
  <c r="BH85" i="13" a="1"/>
  <c r="BH85" i="13"/>
  <c r="BH86" i="13" s="1" a="1"/>
  <c r="BH86" i="13" s="1"/>
  <c r="BH87" i="13" s="1" a="1"/>
  <c r="BH87" i="13" s="1"/>
  <c r="AB85" i="13"/>
  <c r="AB87" i="13" s="1"/>
  <c r="BB84" i="13"/>
  <c r="BA84" i="13"/>
  <c r="AZ84" i="13"/>
  <c r="AY84" i="13"/>
  <c r="AY82" i="13" s="1"/>
  <c r="AY73" i="13" s="1"/>
  <c r="AX84" i="13"/>
  <c r="AW84" i="13"/>
  <c r="AV84" i="13"/>
  <c r="AU84" i="13"/>
  <c r="AU82" i="13" s="1"/>
  <c r="AU73" i="13" s="1"/>
  <c r="AT84" i="13"/>
  <c r="AS84" i="13"/>
  <c r="AR84" i="13"/>
  <c r="AQ84" i="13"/>
  <c r="AQ82" i="13" s="1"/>
  <c r="AQ73" i="13" s="1"/>
  <c r="AP84" i="13"/>
  <c r="AO84" i="13"/>
  <c r="AN84" i="13"/>
  <c r="AM84" i="13"/>
  <c r="AM82" i="13" s="1"/>
  <c r="AM73" i="13" s="1"/>
  <c r="AL84" i="13"/>
  <c r="AK84" i="13"/>
  <c r="AJ84" i="13"/>
  <c r="AI84" i="13"/>
  <c r="AI82" i="13" s="1"/>
  <c r="AI73" i="13" s="1"/>
  <c r="AH84" i="13"/>
  <c r="AG84" i="13"/>
  <c r="AF84" i="13"/>
  <c r="AE84" i="13"/>
  <c r="AE82" i="13" s="1"/>
  <c r="AE73" i="13" s="1"/>
  <c r="BB82" i="13"/>
  <c r="BA82" i="13"/>
  <c r="AZ82" i="13"/>
  <c r="AX82" i="13"/>
  <c r="AW82" i="13"/>
  <c r="AV82" i="13"/>
  <c r="AT82" i="13"/>
  <c r="AS82" i="13"/>
  <c r="AR82" i="13"/>
  <c r="AP82" i="13"/>
  <c r="AO82" i="13"/>
  <c r="AN82" i="13"/>
  <c r="AL82" i="13"/>
  <c r="AK82" i="13"/>
  <c r="AJ82" i="13"/>
  <c r="AH82" i="13"/>
  <c r="AG82" i="13"/>
  <c r="AF82" i="13"/>
  <c r="H81" i="13"/>
  <c r="AB79" i="13"/>
  <c r="BH78" i="13" a="1"/>
  <c r="BH78" i="13"/>
  <c r="BH79" i="13" s="1" a="1"/>
  <c r="BH79" i="13" s="1"/>
  <c r="BH80" i="13" s="1" a="1"/>
  <c r="BH80" i="13" s="1"/>
  <c r="AG78" i="13" a="1"/>
  <c r="AG78" i="13"/>
  <c r="AG136" i="26" s="1" a="1"/>
  <c r="AG136" i="26" s="1"/>
  <c r="AB78" i="13"/>
  <c r="AB80" i="13" s="1"/>
  <c r="H78" i="13" a="1"/>
  <c r="H78" i="13"/>
  <c r="AB76" i="13"/>
  <c r="BH75" i="13" a="1"/>
  <c r="BH75" i="13"/>
  <c r="BH76" i="13" s="1" a="1"/>
  <c r="BH76" i="13" s="1"/>
  <c r="BH77" i="13" s="1" a="1"/>
  <c r="BH77" i="13" s="1"/>
  <c r="AB75" i="13"/>
  <c r="AB77" i="13" s="1"/>
  <c r="H75" i="13" a="1"/>
  <c r="H75" i="13"/>
  <c r="BB74" i="13"/>
  <c r="BA74" i="13"/>
  <c r="AZ74" i="13"/>
  <c r="AY74" i="13"/>
  <c r="AX74" i="13"/>
  <c r="AW74" i="13"/>
  <c r="AV74" i="13"/>
  <c r="AU74" i="13"/>
  <c r="AT74" i="13"/>
  <c r="AS74" i="13"/>
  <c r="AS73" i="13" s="1"/>
  <c r="AR74" i="13"/>
  <c r="AQ74" i="13"/>
  <c r="AP74" i="13"/>
  <c r="AO74" i="13"/>
  <c r="AN74" i="13"/>
  <c r="AM74" i="13"/>
  <c r="AL74" i="13"/>
  <c r="AK74" i="13"/>
  <c r="AJ74" i="13"/>
  <c r="AI74" i="13"/>
  <c r="AH74" i="13"/>
  <c r="AG74" i="13"/>
  <c r="AF74" i="13"/>
  <c r="AE74" i="13"/>
  <c r="BA73" i="13"/>
  <c r="AW73" i="13"/>
  <c r="AO73" i="13"/>
  <c r="AK73" i="13"/>
  <c r="AG73" i="13"/>
  <c r="L73" i="13" a="1"/>
  <c r="L73" i="13"/>
  <c r="H73" i="13" a="1"/>
  <c r="H73" i="13" s="1"/>
  <c r="T72" i="13"/>
  <c r="T73" i="13" s="1" a="1"/>
  <c r="T73" i="13" s="1"/>
  <c r="T74" i="13" s="1" a="1"/>
  <c r="T74" i="13" s="1"/>
  <c r="F72" i="13" a="1"/>
  <c r="F72" i="13"/>
  <c r="F73" i="13" s="1" a="1"/>
  <c r="F73" i="13" s="1"/>
  <c r="BH70" i="13" a="1"/>
  <c r="BH70" i="13" s="1"/>
  <c r="BI68" i="13" a="1"/>
  <c r="BI68" i="13" s="1"/>
  <c r="BI69" i="13" s="1" a="1"/>
  <c r="BI69" i="13" s="1"/>
  <c r="BI70" i="13" s="1" a="1"/>
  <c r="BI70" i="13" s="1"/>
  <c r="BH68" i="13" a="1"/>
  <c r="BH68" i="13" s="1"/>
  <c r="BH69" i="13" s="1" a="1"/>
  <c r="BH69" i="13" s="1"/>
  <c r="AB68" i="13"/>
  <c r="BB67" i="13"/>
  <c r="BA67" i="13"/>
  <c r="AZ67" i="13"/>
  <c r="AY67" i="13"/>
  <c r="AX67" i="13"/>
  <c r="AW67" i="13"/>
  <c r="AV67" i="13"/>
  <c r="AU67" i="13"/>
  <c r="AT67" i="13"/>
  <c r="AS67" i="13"/>
  <c r="AR67" i="13"/>
  <c r="AQ67" i="13"/>
  <c r="AP67" i="13"/>
  <c r="AO67" i="13"/>
  <c r="AN67" i="13"/>
  <c r="AM67" i="13"/>
  <c r="AL67" i="13"/>
  <c r="AK67" i="13"/>
  <c r="AJ67" i="13"/>
  <c r="AI67" i="13"/>
  <c r="AH67" i="13"/>
  <c r="AG67" i="13"/>
  <c r="AF67" i="13"/>
  <c r="AE67" i="13"/>
  <c r="BB65" i="13"/>
  <c r="BB49" i="13" s="1"/>
  <c r="BA65" i="13"/>
  <c r="AZ65" i="13"/>
  <c r="AZ49" i="13" s="1"/>
  <c r="AY65" i="13"/>
  <c r="AX65" i="13"/>
  <c r="AX49" i="13" s="1"/>
  <c r="AW65" i="13"/>
  <c r="AV65" i="13"/>
  <c r="AV49" i="13" s="1"/>
  <c r="AU65" i="13"/>
  <c r="AT65" i="13"/>
  <c r="AT49" i="13" s="1"/>
  <c r="AS65" i="13"/>
  <c r="AR65" i="13"/>
  <c r="AR49" i="13" s="1"/>
  <c r="AQ65" i="13"/>
  <c r="AP65" i="13"/>
  <c r="AP49" i="13" s="1"/>
  <c r="AO65" i="13"/>
  <c r="AN65" i="13"/>
  <c r="AN49" i="13" s="1"/>
  <c r="AM65" i="13"/>
  <c r="AL65" i="13"/>
  <c r="AL49" i="13" s="1"/>
  <c r="AK65" i="13"/>
  <c r="AJ65" i="13"/>
  <c r="AJ49" i="13" s="1"/>
  <c r="AI65" i="13"/>
  <c r="AH65" i="13"/>
  <c r="AH49" i="13" s="1"/>
  <c r="AG65" i="13"/>
  <c r="AF65" i="13"/>
  <c r="AF49" i="13" s="1"/>
  <c r="AE65" i="13"/>
  <c r="BI62" i="13" a="1"/>
  <c r="BI62" i="13" s="1"/>
  <c r="BI63" i="13" s="1" a="1"/>
  <c r="BI63" i="13" s="1"/>
  <c r="AB62" i="13"/>
  <c r="BI61" i="13" a="1"/>
  <c r="BI61" i="13"/>
  <c r="BH61" i="13" a="1"/>
  <c r="BH61" i="13"/>
  <c r="BH62" i="13" s="1" a="1"/>
  <c r="BH62" i="13" s="1"/>
  <c r="BH63" i="13" s="1" a="1"/>
  <c r="BH63" i="13" s="1"/>
  <c r="AB61" i="13"/>
  <c r="AB63" i="13" s="1"/>
  <c r="BB60" i="13"/>
  <c r="BA60" i="13"/>
  <c r="AZ60" i="13"/>
  <c r="AY60" i="13"/>
  <c r="AY58" i="13" s="1"/>
  <c r="AY49" i="13" s="1"/>
  <c r="AX60" i="13"/>
  <c r="AW60" i="13"/>
  <c r="AV60" i="13"/>
  <c r="AU60" i="13"/>
  <c r="AU58" i="13" s="1"/>
  <c r="AU49" i="13" s="1"/>
  <c r="AT60" i="13"/>
  <c r="AS60" i="13"/>
  <c r="AS58" i="13" s="1"/>
  <c r="AR60" i="13"/>
  <c r="AQ60" i="13"/>
  <c r="AP60" i="13"/>
  <c r="AO60" i="13"/>
  <c r="AN60" i="13"/>
  <c r="AM60" i="13"/>
  <c r="AL60" i="13"/>
  <c r="AK60" i="13"/>
  <c r="AJ60" i="13"/>
  <c r="AI60" i="13"/>
  <c r="AH60" i="13"/>
  <c r="AG60" i="13"/>
  <c r="AF60" i="13"/>
  <c r="AE60" i="13"/>
  <c r="BB58" i="13"/>
  <c r="BA58" i="13"/>
  <c r="AZ58" i="13"/>
  <c r="AX58" i="13"/>
  <c r="AW58" i="13"/>
  <c r="AV58" i="13"/>
  <c r="AT58" i="13"/>
  <c r="AR58" i="13"/>
  <c r="AQ58" i="13"/>
  <c r="AQ49" i="13" s="1"/>
  <c r="AP58" i="13"/>
  <c r="AO58" i="13"/>
  <c r="AN58" i="13"/>
  <c r="AM58" i="13"/>
  <c r="AM49" i="13" s="1"/>
  <c r="AL58" i="13"/>
  <c r="AK58" i="13"/>
  <c r="AJ58" i="13"/>
  <c r="AI58" i="13"/>
  <c r="AI49" i="13" s="1"/>
  <c r="AH58" i="13"/>
  <c r="AG58" i="13"/>
  <c r="AF58" i="13"/>
  <c r="AE58" i="13"/>
  <c r="AE49" i="13" s="1"/>
  <c r="H57" i="13"/>
  <c r="AB55" i="13"/>
  <c r="BH54" i="13" a="1"/>
  <c r="BH54" i="13"/>
  <c r="BH55" i="13" s="1" a="1"/>
  <c r="BH55" i="13" s="1"/>
  <c r="BH56" i="13" s="1" a="1"/>
  <c r="BH56" i="13" s="1"/>
  <c r="AG54" i="13" a="1"/>
  <c r="AG54" i="13"/>
  <c r="AB54" i="13"/>
  <c r="AB56" i="13" s="1"/>
  <c r="H54" i="13" a="1"/>
  <c r="H54" i="13"/>
  <c r="AB52" i="13"/>
  <c r="BH51" i="13" a="1"/>
  <c r="BH51" i="13"/>
  <c r="BH52" i="13" s="1" a="1"/>
  <c r="BH52" i="13" s="1"/>
  <c r="BH53" i="13" s="1" a="1"/>
  <c r="BH53" i="13" s="1"/>
  <c r="AB51" i="13"/>
  <c r="AB53" i="13" s="1"/>
  <c r="H51" i="13" a="1"/>
  <c r="H51" i="13"/>
  <c r="BB50" i="13"/>
  <c r="BA50" i="13"/>
  <c r="AZ50" i="13"/>
  <c r="AY50" i="13"/>
  <c r="AX50" i="13"/>
  <c r="AW50" i="13"/>
  <c r="AV50" i="13"/>
  <c r="AU50" i="13"/>
  <c r="AT50" i="13"/>
  <c r="AS50" i="13"/>
  <c r="AS49" i="13" s="1"/>
  <c r="AR50" i="13"/>
  <c r="AQ50" i="13"/>
  <c r="AP50" i="13"/>
  <c r="AO50" i="13"/>
  <c r="AN50" i="13"/>
  <c r="AM50" i="13"/>
  <c r="AL50" i="13"/>
  <c r="AK50" i="13"/>
  <c r="AJ50" i="13"/>
  <c r="AI50" i="13"/>
  <c r="AH50" i="13"/>
  <c r="AG50" i="13"/>
  <c r="AF50" i="13"/>
  <c r="AE50" i="13"/>
  <c r="BA49" i="13"/>
  <c r="AW49" i="13"/>
  <c r="AO49" i="13"/>
  <c r="AK49" i="13"/>
  <c r="AG49" i="13"/>
  <c r="L49" i="13" a="1"/>
  <c r="L49" i="13"/>
  <c r="H49" i="13" a="1"/>
  <c r="H49" i="13" s="1"/>
  <c r="T48" i="13"/>
  <c r="T49" i="13" s="1" a="1"/>
  <c r="T49" i="13" s="1"/>
  <c r="T50" i="13" s="1" a="1"/>
  <c r="T50" i="13" s="1"/>
  <c r="F48" i="13" a="1"/>
  <c r="F48" i="13"/>
  <c r="F49" i="13" s="1" a="1"/>
  <c r="F49" i="13" s="1"/>
  <c r="BH46" i="13" a="1"/>
  <c r="BH46" i="13" s="1"/>
  <c r="BI44" i="13" a="1"/>
  <c r="BI44" i="13" s="1"/>
  <c r="BI45" i="13" s="1" a="1"/>
  <c r="BI45" i="13" s="1"/>
  <c r="BI46" i="13" s="1" a="1"/>
  <c r="BI46" i="13" s="1"/>
  <c r="BH44" i="13" a="1"/>
  <c r="BH44" i="13" s="1"/>
  <c r="BH45" i="13" s="1" a="1"/>
  <c r="BH45"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B28" i="13" s="1"/>
  <c r="BA41" i="13"/>
  <c r="AZ41" i="13"/>
  <c r="AZ28" i="13" s="1"/>
  <c r="AY41" i="13"/>
  <c r="AX41" i="13"/>
  <c r="AX28" i="13" s="1"/>
  <c r="AW41" i="13"/>
  <c r="AV41" i="13"/>
  <c r="AV28" i="13" s="1"/>
  <c r="AU41" i="13"/>
  <c r="AT41" i="13"/>
  <c r="AT28" i="13" s="1"/>
  <c r="AS41" i="13"/>
  <c r="AR41" i="13"/>
  <c r="AR28" i="13" s="1"/>
  <c r="AQ41" i="13"/>
  <c r="AP41" i="13"/>
  <c r="AP28" i="13" s="1"/>
  <c r="AO41" i="13"/>
  <c r="AN41" i="13"/>
  <c r="AN28" i="13" s="1"/>
  <c r="AM41" i="13"/>
  <c r="AL41" i="13"/>
  <c r="AL28" i="13" s="1"/>
  <c r="AK41" i="13"/>
  <c r="AJ41" i="13"/>
  <c r="AJ28" i="13" s="1"/>
  <c r="AI41" i="13"/>
  <c r="AH41" i="13"/>
  <c r="AH28" i="13" s="1"/>
  <c r="AG41" i="13"/>
  <c r="AF41" i="13"/>
  <c r="AF28" i="13" s="1"/>
  <c r="AE41" i="13"/>
  <c r="AB39" i="13"/>
  <c r="BI38" i="13" a="1"/>
  <c r="BI38" i="13" s="1"/>
  <c r="BI39" i="13" s="1" a="1"/>
  <c r="BI39" i="13" s="1"/>
  <c r="AB38" i="13"/>
  <c r="BI37" i="13" a="1"/>
  <c r="BI37" i="13"/>
  <c r="BH37" i="13" a="1"/>
  <c r="BH37" i="13"/>
  <c r="BH38" i="13" s="1" a="1"/>
  <c r="BH38" i="13" s="1"/>
  <c r="BH39" i="13" s="1" a="1"/>
  <c r="BH39" i="13" s="1"/>
  <c r="AB37" i="13"/>
  <c r="BB36" i="13"/>
  <c r="BA36" i="13"/>
  <c r="AZ36" i="13"/>
  <c r="AY36" i="13"/>
  <c r="AX36" i="13"/>
  <c r="AW36" i="13"/>
  <c r="AV36" i="13"/>
  <c r="AU36" i="13"/>
  <c r="AT36" i="13"/>
  <c r="AS36" i="13"/>
  <c r="AR36" i="13"/>
  <c r="AQ36" i="13"/>
  <c r="AP36" i="13"/>
  <c r="AO36" i="13"/>
  <c r="AN36" i="13"/>
  <c r="AM36" i="13"/>
  <c r="AL36" i="13"/>
  <c r="AK36" i="13"/>
  <c r="AJ36" i="13"/>
  <c r="AI36" i="13"/>
  <c r="AH36" i="13"/>
  <c r="AG36" i="13"/>
  <c r="AF36" i="13"/>
  <c r="AE36" i="13"/>
  <c r="BB34" i="13"/>
  <c r="BA34" i="13"/>
  <c r="AZ34" i="13"/>
  <c r="AY34" i="13"/>
  <c r="AY28" i="13" s="1"/>
  <c r="AX34" i="13"/>
  <c r="AW34" i="13"/>
  <c r="AV34" i="13"/>
  <c r="AU34" i="13"/>
  <c r="AU28" i="13" s="1"/>
  <c r="AT34" i="13"/>
  <c r="AS34" i="13"/>
  <c r="AR34" i="13"/>
  <c r="AQ34" i="13"/>
  <c r="AQ28" i="13" s="1"/>
  <c r="AP34" i="13"/>
  <c r="AO34" i="13"/>
  <c r="AN34" i="13"/>
  <c r="AM34" i="13"/>
  <c r="AM28" i="13" s="1"/>
  <c r="AL34" i="13"/>
  <c r="AK34" i="13"/>
  <c r="AJ34" i="13"/>
  <c r="AI34" i="13"/>
  <c r="AI28" i="13" s="1"/>
  <c r="AH34" i="13"/>
  <c r="AG34" i="13"/>
  <c r="AF34" i="13"/>
  <c r="AE34" i="13"/>
  <c r="AE28" i="13" s="1"/>
  <c r="H33" i="13"/>
  <c r="AB32" i="13"/>
  <c r="AB31" i="13"/>
  <c r="BH30" i="13" a="1"/>
  <c r="BH30" i="13"/>
  <c r="BH31" i="13" s="1" a="1"/>
  <c r="BH31" i="13" s="1"/>
  <c r="BH32" i="13" s="1" a="1"/>
  <c r="BH32" i="13" s="1"/>
  <c r="AB30" i="13"/>
  <c r="H30" i="13" a="1"/>
  <c r="H30" i="13"/>
  <c r="BB29" i="13"/>
  <c r="BA29" i="13"/>
  <c r="AZ29" i="13"/>
  <c r="AY29" i="13"/>
  <c r="AX29" i="13"/>
  <c r="AW29" i="13"/>
  <c r="AV29" i="13"/>
  <c r="AU29" i="13"/>
  <c r="AT29" i="13"/>
  <c r="AS29" i="13"/>
  <c r="AR29" i="13"/>
  <c r="AQ29" i="13"/>
  <c r="AP29" i="13"/>
  <c r="AO29" i="13"/>
  <c r="AN29" i="13"/>
  <c r="AM29" i="13"/>
  <c r="AL29" i="13"/>
  <c r="AK29" i="13"/>
  <c r="AJ29" i="13"/>
  <c r="AI29" i="13"/>
  <c r="AH29" i="13"/>
  <c r="AG29" i="13"/>
  <c r="AF29" i="13"/>
  <c r="AE29" i="13"/>
  <c r="BA28" i="13"/>
  <c r="AW28" i="13"/>
  <c r="AS28" i="13"/>
  <c r="AO28" i="13"/>
  <c r="AK28" i="13"/>
  <c r="AG28" i="13"/>
  <c r="L28" i="13" a="1"/>
  <c r="L28" i="13"/>
  <c r="H28" i="13" a="1"/>
  <c r="H28" i="13" s="1"/>
  <c r="T27" i="13"/>
  <c r="T28" i="13" s="1" a="1"/>
  <c r="T28" i="13" s="1"/>
  <c r="T29" i="13" s="1" a="1"/>
  <c r="T29" i="13" s="1"/>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c r="BA10" i="13" a="1"/>
  <c r="BA10" i="13"/>
  <c r="AZ10" i="13" a="1"/>
  <c r="AZ10" i="13"/>
  <c r="AY10" i="13" a="1"/>
  <c r="AY10" i="13"/>
  <c r="AX10" i="13" a="1"/>
  <c r="AX10" i="13"/>
  <c r="AW10" i="13" a="1"/>
  <c r="AW10" i="13"/>
  <c r="AV10" i="13" a="1"/>
  <c r="AV10" i="13"/>
  <c r="AU10" i="13" a="1"/>
  <c r="AU10" i="13"/>
  <c r="AT10" i="13" a="1"/>
  <c r="AT10" i="13"/>
  <c r="AS10" i="13" a="1"/>
  <c r="AS10" i="13"/>
  <c r="AR10" i="13" a="1"/>
  <c r="AR10" i="13"/>
  <c r="AQ10" i="13" a="1"/>
  <c r="AQ10" i="13"/>
  <c r="AP10" i="13" a="1"/>
  <c r="AP10" i="13"/>
  <c r="AO10" i="13" a="1"/>
  <c r="AO10" i="13"/>
  <c r="AN10" i="13" a="1"/>
  <c r="AN10" i="13"/>
  <c r="AM10" i="13" a="1"/>
  <c r="AM10" i="13"/>
  <c r="AL10" i="13" a="1"/>
  <c r="AL10" i="13"/>
  <c r="AK10" i="13" a="1"/>
  <c r="AK10" i="13"/>
  <c r="AJ10" i="13" a="1"/>
  <c r="AJ10" i="13"/>
  <c r="AI10" i="13" a="1"/>
  <c r="AI10" i="13"/>
  <c r="AH10" i="13" a="1"/>
  <c r="AH10" i="13"/>
  <c r="AG10" i="13" a="1"/>
  <c r="AG10" i="13"/>
  <c r="AF10" i="13" a="1"/>
  <c r="AF10" i="13"/>
  <c r="AE10" i="13" a="1"/>
  <c r="AE10" i="13"/>
  <c r="AI9" i="13"/>
  <c r="AG9" i="13"/>
  <c r="AE9" i="13"/>
  <c r="BB7" i="13" a="1"/>
  <c r="BB7" i="13"/>
  <c r="BA7" i="13" a="1"/>
  <c r="BA7" i="13"/>
  <c r="AZ7" i="13" a="1"/>
  <c r="AZ7" i="13"/>
  <c r="AY7" i="13" a="1"/>
  <c r="AY7" i="13"/>
  <c r="AX7" i="13" a="1"/>
  <c r="AX7" i="13"/>
  <c r="AW7" i="13" a="1"/>
  <c r="AW7" i="13"/>
  <c r="AV7" i="13" a="1"/>
  <c r="AV7" i="13"/>
  <c r="AU7" i="13" a="1"/>
  <c r="AU7" i="13"/>
  <c r="AT7" i="13" a="1"/>
  <c r="AT7" i="13"/>
  <c r="AS7" i="13" a="1"/>
  <c r="AS7" i="13"/>
  <c r="AR7" i="13" a="1"/>
  <c r="AR7" i="13"/>
  <c r="AQ7" i="13" a="1"/>
  <c r="AQ7" i="13"/>
  <c r="AP7" i="13" a="1"/>
  <c r="AP7" i="13"/>
  <c r="AO7" i="13" a="1"/>
  <c r="AO7" i="13"/>
  <c r="AN7" i="13" a="1"/>
  <c r="AN7" i="13"/>
  <c r="AM7" i="13" a="1"/>
  <c r="AM7" i="13"/>
  <c r="AL7" i="13" a="1"/>
  <c r="AL7" i="13"/>
  <c r="AK7" i="13" a="1"/>
  <c r="AK7" i="13"/>
  <c r="AJ7" i="13" a="1"/>
  <c r="AJ7" i="13"/>
  <c r="AI7" i="13" a="1"/>
  <c r="AI7" i="13"/>
  <c r="AH7" i="13" a="1"/>
  <c r="AH7" i="13"/>
  <c r="AG7" i="13" a="1"/>
  <c r="AG7" i="13"/>
  <c r="AF7" i="13" a="1"/>
  <c r="AF7" i="13"/>
  <c r="AE7" i="13" a="1"/>
  <c r="AE7" i="13"/>
  <c r="BB6" i="13"/>
  <c r="BB9" i="13" s="1" a="1"/>
  <c r="BB9" i="13" s="1"/>
  <c r="BA6" i="13"/>
  <c r="BA9" i="13" s="1" a="1"/>
  <c r="BA9" i="13" s="1"/>
  <c r="AZ6" i="13"/>
  <c r="AZ9" i="13" s="1" a="1"/>
  <c r="AZ9" i="13" s="1"/>
  <c r="AY6" i="13"/>
  <c r="AY9" i="13" s="1" a="1"/>
  <c r="AY9" i="13" s="1"/>
  <c r="AX6" i="13"/>
  <c r="AX9" i="13" s="1" a="1"/>
  <c r="AX9" i="13" s="1"/>
  <c r="AW6" i="13"/>
  <c r="AW9" i="13" s="1" a="1"/>
  <c r="AW9" i="13" s="1"/>
  <c r="AV6" i="13"/>
  <c r="AV9" i="13" s="1" a="1"/>
  <c r="AV9" i="13" s="1"/>
  <c r="AU6" i="13"/>
  <c r="AU9" i="13" s="1" a="1"/>
  <c r="AU9" i="13" s="1"/>
  <c r="AT6" i="13"/>
  <c r="AT9" i="13" s="1" a="1"/>
  <c r="AT9" i="13" s="1"/>
  <c r="AS6" i="13" a="1"/>
  <c r="AS6" i="13" s="1"/>
  <c r="AS9" i="13" s="1" a="1"/>
  <c r="AS9" i="13" s="1"/>
  <c r="AR6" i="13"/>
  <c r="AQ6" i="13"/>
  <c r="AQ9" i="13" s="1" a="1"/>
  <c r="AQ9" i="13" s="1"/>
  <c r="AP6" i="13"/>
  <c r="AO6" i="13"/>
  <c r="AO9" i="13" s="1" a="1"/>
  <c r="AO9" i="13" s="1"/>
  <c r="AN6" i="13"/>
  <c r="AM6" i="13"/>
  <c r="AM9" i="13" s="1" a="1"/>
  <c r="AM9" i="13" s="1"/>
  <c r="AL6" i="13"/>
  <c r="AK6" i="13"/>
  <c r="AK9" i="13" s="1" a="1"/>
  <c r="AK9" i="13" s="1"/>
  <c r="AJ6" i="13"/>
  <c r="AI6" i="13" a="1"/>
  <c r="AI6" i="13"/>
  <c r="AI9" i="13" s="1" a="1"/>
  <c r="AH6" i="13"/>
  <c r="AH9" i="13" s="1" a="1"/>
  <c r="AH9" i="13" s="1"/>
  <c r="AG6" i="13"/>
  <c r="AG9" i="13" s="1" a="1"/>
  <c r="AF6" i="13"/>
  <c r="AF9" i="13" s="1" a="1"/>
  <c r="AF9" i="13" s="1"/>
  <c r="AE6" i="13"/>
  <c r="AE9" i="13" s="1" a="1"/>
  <c r="T41" i="12"/>
  <c r="T37" i="12" a="1"/>
  <c r="T37" i="12" s="1"/>
  <c r="H37" i="12"/>
  <c r="AU36" i="12" a="1"/>
  <c r="AU36" i="12"/>
  <c r="AL36" i="12"/>
  <c r="AL35" i="12" s="1"/>
  <c r="AJ36" i="12"/>
  <c r="AN36" i="12" s="1"/>
  <c r="AN35" i="12" s="1"/>
  <c r="H36" i="12" a="1"/>
  <c r="H36" i="12"/>
  <c r="AM35" i="12"/>
  <c r="AK35" i="12"/>
  <c r="T35" i="12"/>
  <c r="F35" i="12" a="1"/>
  <c r="F35" i="12" s="1"/>
  <c r="F36" i="12" s="1" a="1"/>
  <c r="F36" i="12" s="1"/>
  <c r="T34" i="12" a="1"/>
  <c r="T34" i="12" s="1"/>
  <c r="H34" i="12"/>
  <c r="AU33" i="12" a="1"/>
  <c r="AU33" i="12"/>
  <c r="AL33" i="12"/>
  <c r="AL32" i="12" s="1"/>
  <c r="AJ33" i="12"/>
  <c r="AN33" i="12" s="1"/>
  <c r="AN32" i="12" s="1"/>
  <c r="H33" i="12" a="1"/>
  <c r="H33" i="12"/>
  <c r="AM32" i="12"/>
  <c r="AK32" i="12"/>
  <c r="T32" i="12"/>
  <c r="F32" i="12" a="1"/>
  <c r="F32" i="12" s="1"/>
  <c r="F33" i="12" s="1" a="1"/>
  <c r="F33" i="12" s="1"/>
  <c r="T31" i="12" a="1"/>
  <c r="T31" i="12" s="1"/>
  <c r="H31" i="12"/>
  <c r="AU30" i="12" a="1"/>
  <c r="AU30" i="12"/>
  <c r="AL30" i="12"/>
  <c r="AL29" i="12" s="1"/>
  <c r="AJ30" i="12"/>
  <c r="AN30" i="12" s="1"/>
  <c r="AN29" i="12" s="1"/>
  <c r="H30" i="12" a="1"/>
  <c r="H30" i="12"/>
  <c r="AM29" i="12"/>
  <c r="AK29" i="12"/>
  <c r="T29" i="12"/>
  <c r="F29" i="12" a="1"/>
  <c r="F29" i="12" s="1"/>
  <c r="F30" i="12" s="1" a="1"/>
  <c r="F30" i="12" s="1"/>
  <c r="F31" i="12" s="1" a="1"/>
  <c r="F31" i="12" s="1"/>
  <c r="AK25" i="12"/>
  <c r="AP11" i="12" a="1"/>
  <c r="AP11" i="12"/>
  <c r="AO11" i="12" a="1"/>
  <c r="AO11" i="12"/>
  <c r="AN10" i="12"/>
  <c r="AM10" i="12" a="1"/>
  <c r="AM10" i="12"/>
  <c r="AN10" i="12" s="1" a="1"/>
  <c r="AK10" i="12" a="1"/>
  <c r="AK10" i="12"/>
  <c r="AL10" i="12" s="1" a="1"/>
  <c r="AL10" i="12" s="1"/>
  <c r="AN9" i="12" a="1"/>
  <c r="AN9" i="12"/>
  <c r="AM9" i="12" a="1"/>
  <c r="AM9" i="12"/>
  <c r="AL9" i="12" a="1"/>
  <c r="AL9" i="12"/>
  <c r="AK9" i="12" a="1"/>
  <c r="AK9" i="12"/>
  <c r="AJ9" i="12" a="1"/>
  <c r="AJ9" i="12"/>
  <c r="AI9" i="12" a="1"/>
  <c r="AI9" i="12"/>
  <c r="AH9" i="12" a="1"/>
  <c r="AH9" i="12"/>
  <c r="AG9" i="12" a="1"/>
  <c r="AG9" i="12"/>
  <c r="AF9" i="12" a="1"/>
  <c r="AF9" i="12"/>
  <c r="AE9" i="12" a="1"/>
  <c r="AE9" i="12"/>
  <c r="AD9" i="12" a="1"/>
  <c r="AD9" i="12"/>
  <c r="AM3" i="12" a="1"/>
  <c r="AM3" i="12"/>
  <c r="AK3" i="12" a="1"/>
  <c r="AK3" i="12"/>
  <c r="T303" i="11"/>
  <c r="BB296" i="11"/>
  <c r="BA296" i="11"/>
  <c r="AZ296" i="11"/>
  <c r="AY296" i="11"/>
  <c r="AX296" i="11"/>
  <c r="AW296" i="11"/>
  <c r="AV296" i="11"/>
  <c r="AU296" i="11"/>
  <c r="AT296" i="11"/>
  <c r="AS296" i="11"/>
  <c r="AR296" i="11"/>
  <c r="AQ296" i="11"/>
  <c r="AP296" i="11"/>
  <c r="AO296" i="11"/>
  <c r="AN296" i="11"/>
  <c r="AM296" i="11"/>
  <c r="AL296" i="11"/>
  <c r="AK296" i="11"/>
  <c r="AJ296" i="11"/>
  <c r="AI296" i="11"/>
  <c r="AH296" i="11"/>
  <c r="AG296" i="11"/>
  <c r="AF296" i="11"/>
  <c r="AE296" i="11"/>
  <c r="BB294" i="11"/>
  <c r="BA294" i="11"/>
  <c r="AZ294" i="11"/>
  <c r="AY294" i="11"/>
  <c r="AX294" i="11"/>
  <c r="AW294" i="11"/>
  <c r="AV294" i="11"/>
  <c r="AU294" i="11"/>
  <c r="AT294" i="11"/>
  <c r="AS294" i="11"/>
  <c r="AR294" i="11"/>
  <c r="AQ294" i="11"/>
  <c r="AP294" i="11"/>
  <c r="AO294" i="11"/>
  <c r="AN294" i="11"/>
  <c r="AM294" i="11"/>
  <c r="AL294" i="11"/>
  <c r="AK294" i="11"/>
  <c r="AJ294" i="11"/>
  <c r="AI294" i="11"/>
  <c r="AH294" i="11"/>
  <c r="AG294" i="11"/>
  <c r="AF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A270" i="11"/>
  <c r="AZ270" i="11"/>
  <c r="AY270" i="11"/>
  <c r="AX270" i="11"/>
  <c r="AW270" i="11"/>
  <c r="AV270" i="11"/>
  <c r="AU270" i="11"/>
  <c r="AT270" i="11"/>
  <c r="AS270" i="11"/>
  <c r="AR270" i="11"/>
  <c r="AQ270" i="11"/>
  <c r="AP270" i="11"/>
  <c r="AO270" i="11"/>
  <c r="AN270" i="11"/>
  <c r="AM270" i="11"/>
  <c r="AL270" i="11"/>
  <c r="AK270" i="11"/>
  <c r="AJ270" i="11"/>
  <c r="AI270" i="11"/>
  <c r="AH270" i="11"/>
  <c r="AG270" i="11"/>
  <c r="AF270" i="11"/>
  <c r="AE270" i="11"/>
  <c r="BB267" i="11"/>
  <c r="BB266" i="11" s="1"/>
  <c r="BB264" i="11" s="1"/>
  <c r="BA267" i="11"/>
  <c r="AZ267" i="11"/>
  <c r="AY267" i="11"/>
  <c r="AX267" i="11"/>
  <c r="AX266" i="11" s="1"/>
  <c r="AX264" i="11" s="1"/>
  <c r="AW267" i="11"/>
  <c r="AV267" i="11"/>
  <c r="AU267" i="11"/>
  <c r="AT267" i="11"/>
  <c r="AT266" i="11" s="1"/>
  <c r="AT264" i="11" s="1"/>
  <c r="AS267" i="11"/>
  <c r="AR267" i="11"/>
  <c r="AQ267" i="11"/>
  <c r="AP267" i="11"/>
  <c r="AP266" i="11" s="1"/>
  <c r="AP264" i="11" s="1"/>
  <c r="AO267" i="11"/>
  <c r="AN267" i="11"/>
  <c r="AM267" i="11"/>
  <c r="AL267" i="11"/>
  <c r="AL266" i="11" s="1"/>
  <c r="AL264" i="11" s="1"/>
  <c r="AK267" i="11"/>
  <c r="AJ267" i="11"/>
  <c r="AI267" i="11"/>
  <c r="AH267" i="11"/>
  <c r="AH266" i="11" s="1"/>
  <c r="AH264" i="11" s="1"/>
  <c r="AG267" i="11"/>
  <c r="AF267" i="11"/>
  <c r="AE267" i="11"/>
  <c r="BA266" i="11"/>
  <c r="AZ266" i="11"/>
  <c r="AZ264" i="11" s="1"/>
  <c r="AY266" i="11"/>
  <c r="AW266" i="11"/>
  <c r="AV266" i="11"/>
  <c r="AV264" i="11" s="1"/>
  <c r="AU266" i="11"/>
  <c r="AS266" i="11"/>
  <c r="AR266" i="11"/>
  <c r="AR264" i="11" s="1"/>
  <c r="AQ266" i="11"/>
  <c r="AO266" i="11"/>
  <c r="AN266" i="11"/>
  <c r="AN264" i="11" s="1"/>
  <c r="AM266" i="11"/>
  <c r="AK266" i="11"/>
  <c r="AJ266" i="11"/>
  <c r="AJ264" i="11" s="1"/>
  <c r="AI266" i="11"/>
  <c r="AG266" i="11"/>
  <c r="AF266" i="11"/>
  <c r="AE266" i="11"/>
  <c r="G265" i="11"/>
  <c r="BA264" i="11"/>
  <c r="AY264" i="11"/>
  <c r="AW264" i="11"/>
  <c r="AU264" i="11"/>
  <c r="AS264" i="11"/>
  <c r="AQ264" i="11"/>
  <c r="AO264" i="11"/>
  <c r="AM264" i="11"/>
  <c r="AK264" i="11"/>
  <c r="AI264" i="11"/>
  <c r="AG264" i="11"/>
  <c r="AE264" i="11"/>
  <c r="BB257" i="11"/>
  <c r="BA257" i="11"/>
  <c r="AZ257" i="11"/>
  <c r="AY257" i="11"/>
  <c r="AX257" i="11"/>
  <c r="AW257" i="11"/>
  <c r="AV257" i="11"/>
  <c r="AU257" i="11"/>
  <c r="AT257" i="11"/>
  <c r="AS257" i="11"/>
  <c r="AR257" i="11"/>
  <c r="AQ257" i="11"/>
  <c r="AP257" i="11"/>
  <c r="AO257" i="11"/>
  <c r="AN257" i="11"/>
  <c r="AM257" i="11"/>
  <c r="AL257" i="11"/>
  <c r="AK257" i="11"/>
  <c r="AJ257" i="11"/>
  <c r="AI257" i="11"/>
  <c r="AH257" i="11"/>
  <c r="AG257" i="11"/>
  <c r="AF257" i="11"/>
  <c r="AE257" i="11"/>
  <c r="BB254" i="11"/>
  <c r="BA254" i="11"/>
  <c r="BA248" i="11" s="1"/>
  <c r="BA253" i="11" s="1"/>
  <c r="AZ254" i="11"/>
  <c r="AY254" i="11"/>
  <c r="AX254" i="11"/>
  <c r="AW254" i="11"/>
  <c r="AW248" i="11" s="1"/>
  <c r="AW253" i="11" s="1"/>
  <c r="AV254" i="11"/>
  <c r="AU254" i="11"/>
  <c r="AT254" i="11"/>
  <c r="AS254" i="11"/>
  <c r="AS248" i="11" s="1"/>
  <c r="AS253" i="11" s="1"/>
  <c r="AR254" i="11"/>
  <c r="AQ254" i="11"/>
  <c r="AP254" i="11"/>
  <c r="AO254" i="11"/>
  <c r="AO248" i="11" s="1"/>
  <c r="AO253" i="11" s="1"/>
  <c r="AN254" i="11"/>
  <c r="AM254" i="11"/>
  <c r="AL254" i="11"/>
  <c r="AK254" i="11"/>
  <c r="AK248" i="11" s="1"/>
  <c r="AK253" i="11" s="1"/>
  <c r="AJ254" i="11"/>
  <c r="AI254" i="11"/>
  <c r="AH254" i="11"/>
  <c r="AG254" i="11"/>
  <c r="AG248" i="11" s="1"/>
  <c r="AG253" i="11" s="1"/>
  <c r="AF254" i="11"/>
  <c r="AE254" i="11"/>
  <c r="G254" i="11"/>
  <c r="AZ253" i="11"/>
  <c r="AX253" i="11"/>
  <c r="AR253" i="11"/>
  <c r="AP253" i="11"/>
  <c r="AJ253" i="11"/>
  <c r="AH253" i="11"/>
  <c r="BB248" i="11"/>
  <c r="BB253" i="11" s="1"/>
  <c r="AZ248" i="11"/>
  <c r="AX248" i="11"/>
  <c r="AV248" i="11"/>
  <c r="AV253" i="11" s="1"/>
  <c r="AT248" i="11"/>
  <c r="AT253" i="11" s="1"/>
  <c r="AR248" i="11"/>
  <c r="AP248" i="11"/>
  <c r="AN248" i="11"/>
  <c r="AN253" i="11" s="1"/>
  <c r="AL248" i="11"/>
  <c r="AL253" i="11" s="1"/>
  <c r="AJ248" i="11"/>
  <c r="AH248" i="11"/>
  <c r="AF248" i="11"/>
  <c r="AF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U238" i="11"/>
  <c r="AT238" i="11"/>
  <c r="AS238" i="11"/>
  <c r="AR238" i="11"/>
  <c r="AQ238" i="11"/>
  <c r="AP238" i="11"/>
  <c r="AO238" i="11"/>
  <c r="AN238" i="11"/>
  <c r="AM238" i="11"/>
  <c r="AL238" i="11"/>
  <c r="AK238" i="11"/>
  <c r="AJ238" i="11"/>
  <c r="AI238" i="11"/>
  <c r="AH238" i="11"/>
  <c r="AG238" i="11"/>
  <c r="AF238" i="11"/>
  <c r="AE238" i="11"/>
  <c r="BB235" i="11"/>
  <c r="BB234" i="11" s="1"/>
  <c r="BA235" i="11"/>
  <c r="AZ235" i="11"/>
  <c r="AY235" i="11"/>
  <c r="AX235" i="11"/>
  <c r="AX234" i="11" s="1"/>
  <c r="AW235" i="11"/>
  <c r="AV235" i="11"/>
  <c r="AU235" i="11"/>
  <c r="AT235" i="11"/>
  <c r="AT234" i="11" s="1"/>
  <c r="AS235" i="11"/>
  <c r="AR235" i="11"/>
  <c r="AQ235" i="11"/>
  <c r="AP235" i="11"/>
  <c r="AP234" i="11" s="1"/>
  <c r="AO235" i="11"/>
  <c r="AN235" i="11"/>
  <c r="AM235" i="11"/>
  <c r="AL235" i="11"/>
  <c r="AL234" i="11" s="1"/>
  <c r="AK235" i="11"/>
  <c r="AJ235" i="11"/>
  <c r="AI235" i="11"/>
  <c r="AH235" i="11"/>
  <c r="AH234" i="11" s="1"/>
  <c r="AG235" i="11"/>
  <c r="AF235" i="11"/>
  <c r="AE235" i="11"/>
  <c r="BA234" i="11"/>
  <c r="AZ234" i="11"/>
  <c r="AY234" i="11"/>
  <c r="AW234" i="11"/>
  <c r="AV234" i="11"/>
  <c r="AU234" i="11"/>
  <c r="AS234" i="11"/>
  <c r="AR234" i="11"/>
  <c r="AQ234" i="11"/>
  <c r="AO234" i="11"/>
  <c r="AN234" i="11"/>
  <c r="AM234" i="11"/>
  <c r="AK234" i="11"/>
  <c r="AJ234" i="11"/>
  <c r="AI234" i="11"/>
  <c r="AG234" i="11"/>
  <c r="AF234" i="11"/>
  <c r="AE234" i="1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Y227" i="11"/>
  <c r="AX227" i="11"/>
  <c r="AW227" i="11"/>
  <c r="AV227" i="11"/>
  <c r="AU227" i="11"/>
  <c r="AT227" i="11"/>
  <c r="AS227" i="11"/>
  <c r="AR227" i="11"/>
  <c r="AQ227" i="11"/>
  <c r="AP227" i="11"/>
  <c r="AO227" i="11"/>
  <c r="AN227" i="11"/>
  <c r="AM227" i="11"/>
  <c r="AL227" i="11"/>
  <c r="AK227" i="11"/>
  <c r="AJ227" i="11"/>
  <c r="AI227" i="11"/>
  <c r="AH227" i="11"/>
  <c r="AG227" i="11"/>
  <c r="AF227" i="11"/>
  <c r="AE227" i="11"/>
  <c r="G227" i="11"/>
  <c r="BA226" i="11"/>
  <c r="AY226" i="11"/>
  <c r="AW226" i="11"/>
  <c r="AU226" i="11"/>
  <c r="AS226" i="11"/>
  <c r="AQ226" i="11"/>
  <c r="AO226" i="11"/>
  <c r="AM226" i="11"/>
  <c r="AK226" i="11"/>
  <c r="AI226" i="11"/>
  <c r="AG226" i="11"/>
  <c r="AE226" i="11"/>
  <c r="BA225" i="11"/>
  <c r="AU225" i="11"/>
  <c r="AS225" i="11"/>
  <c r="AM225" i="11"/>
  <c r="AK225" i="11"/>
  <c r="AE225" i="11"/>
  <c r="BA220" i="11"/>
  <c r="AY220" i="11"/>
  <c r="AY225" i="11" s="1"/>
  <c r="AW220" i="11"/>
  <c r="AW225" i="11" s="1"/>
  <c r="AU220" i="11"/>
  <c r="AS220" i="11"/>
  <c r="AQ220" i="11"/>
  <c r="AQ225" i="11" s="1"/>
  <c r="AO220" i="11"/>
  <c r="AO225" i="11" s="1"/>
  <c r="AM220" i="11"/>
  <c r="AK220" i="11"/>
  <c r="AI220" i="11"/>
  <c r="AI225" i="11" s="1"/>
  <c r="AG220" i="11"/>
  <c r="AG225" i="11" s="1"/>
  <c r="AE220" i="11"/>
  <c r="BB215" i="11"/>
  <c r="BA215" i="11"/>
  <c r="BA211" i="11" s="1"/>
  <c r="AZ215" i="11"/>
  <c r="AY215" i="11"/>
  <c r="AX215" i="11"/>
  <c r="AW215" i="11"/>
  <c r="AV215" i="11"/>
  <c r="AU215" i="11"/>
  <c r="AT215" i="11"/>
  <c r="AS215" i="11"/>
  <c r="AS211" i="11" s="1"/>
  <c r="AR215" i="11"/>
  <c r="AQ215" i="11"/>
  <c r="AP215" i="11"/>
  <c r="AO215" i="11"/>
  <c r="AN215" i="11"/>
  <c r="AM215" i="11"/>
  <c r="AL215" i="11"/>
  <c r="AK215" i="11"/>
  <c r="AK211" i="11" s="1"/>
  <c r="AJ215" i="11"/>
  <c r="AI215" i="11"/>
  <c r="AH215" i="11"/>
  <c r="AG215" i="11"/>
  <c r="AF215" i="11"/>
  <c r="AE215" i="11"/>
  <c r="AU211" i="11"/>
  <c r="AM211" i="11"/>
  <c r="AE211" i="11"/>
  <c r="T209" i="11"/>
  <c r="F209" i="11" a="1"/>
  <c r="F209" i="11" s="1"/>
  <c r="F210" i="11" s="1" a="1"/>
  <c r="F210" i="11" s="1"/>
  <c r="F211" i="11" s="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BB205" i="11"/>
  <c r="BA205" i="11"/>
  <c r="AZ205" i="11"/>
  <c r="AY205" i="11"/>
  <c r="AX205" i="11"/>
  <c r="AW205" i="11"/>
  <c r="AV205" i="11"/>
  <c r="AU205" i="11"/>
  <c r="AT205" i="11"/>
  <c r="AS205" i="11"/>
  <c r="AR205" i="11"/>
  <c r="AQ205" i="11"/>
  <c r="AP205" i="11"/>
  <c r="AO205" i="11"/>
  <c r="AN205" i="11"/>
  <c r="AM205" i="11"/>
  <c r="AL205" i="11"/>
  <c r="AK205" i="11"/>
  <c r="AJ205" i="11"/>
  <c r="AI205" i="11"/>
  <c r="AH205" i="11"/>
  <c r="AG205" i="11"/>
  <c r="AF205" i="11"/>
  <c r="AE205" i="11"/>
  <c r="BB203" i="11"/>
  <c r="BA203" i="11"/>
  <c r="AZ203" i="11"/>
  <c r="AY203" i="11"/>
  <c r="AX203" i="11"/>
  <c r="AW203" i="11"/>
  <c r="AV203" i="11"/>
  <c r="AU203" i="11"/>
  <c r="AT203" i="11"/>
  <c r="AS203" i="11"/>
  <c r="AR203" i="11"/>
  <c r="AQ203" i="11"/>
  <c r="AP203" i="11"/>
  <c r="AO203" i="11"/>
  <c r="AN203" i="11"/>
  <c r="AM203" i="11"/>
  <c r="AL203" i="11"/>
  <c r="AK203" i="11"/>
  <c r="AJ203" i="11"/>
  <c r="AI203" i="11"/>
  <c r="AH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B175" i="11" s="1"/>
  <c r="BB173" i="11" s="1"/>
  <c r="BA176" i="11"/>
  <c r="AZ176" i="11"/>
  <c r="AY176" i="11"/>
  <c r="AX176" i="11"/>
  <c r="AX175" i="11" s="1"/>
  <c r="AX173" i="11" s="1"/>
  <c r="AW176" i="11"/>
  <c r="AV176" i="11"/>
  <c r="AU176" i="11"/>
  <c r="AT176" i="11"/>
  <c r="AT175" i="11" s="1"/>
  <c r="AT173" i="11" s="1"/>
  <c r="AS176" i="11"/>
  <c r="AR176" i="11"/>
  <c r="AQ176" i="11"/>
  <c r="AP176" i="11"/>
  <c r="AP175" i="11" s="1"/>
  <c r="AP173" i="11" s="1"/>
  <c r="AO176" i="11"/>
  <c r="AN176" i="11"/>
  <c r="AM176" i="11"/>
  <c r="AL176" i="11"/>
  <c r="AL175" i="11" s="1"/>
  <c r="AL173" i="11" s="1"/>
  <c r="AK176" i="11"/>
  <c r="AJ176" i="11"/>
  <c r="AI176" i="11"/>
  <c r="AH176" i="11"/>
  <c r="AH175" i="11" s="1"/>
  <c r="AH173" i="11" s="1"/>
  <c r="AG176" i="11"/>
  <c r="AF176" i="11"/>
  <c r="AE176" i="11"/>
  <c r="BA175" i="11"/>
  <c r="AZ175" i="11"/>
  <c r="AZ173" i="11" s="1"/>
  <c r="AY175" i="11"/>
  <c r="AW175" i="11"/>
  <c r="AV175" i="11"/>
  <c r="AV173" i="11" s="1"/>
  <c r="AU175" i="11"/>
  <c r="AS175" i="11"/>
  <c r="AR175" i="11"/>
  <c r="AR173" i="11" s="1"/>
  <c r="AQ175" i="11"/>
  <c r="AO175" i="11"/>
  <c r="AN175" i="11"/>
  <c r="AN173" i="11" s="1"/>
  <c r="AM175" i="11"/>
  <c r="AK175" i="11"/>
  <c r="AJ175" i="11"/>
  <c r="AJ173" i="11" s="1"/>
  <c r="AI175" i="11"/>
  <c r="AG175" i="11"/>
  <c r="AF175" i="11"/>
  <c r="AF173" i="11" s="1"/>
  <c r="AE175" i="11"/>
  <c r="G174" i="11"/>
  <c r="BA173" i="11"/>
  <c r="AY173" i="11"/>
  <c r="AW173" i="11"/>
  <c r="AU173" i="11"/>
  <c r="AS173" i="11"/>
  <c r="AQ173" i="11"/>
  <c r="AO173" i="11"/>
  <c r="AM173" i="11"/>
  <c r="AK173" i="11"/>
  <c r="AI173" i="11"/>
  <c r="AG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BA157" i="11" s="1"/>
  <c r="BA162" i="11" s="1"/>
  <c r="AZ163" i="11"/>
  <c r="AY163" i="11"/>
  <c r="AX163" i="11"/>
  <c r="AW163" i="11"/>
  <c r="AW157" i="11" s="1"/>
  <c r="AW162" i="11" s="1"/>
  <c r="AV163" i="11"/>
  <c r="AU163" i="11"/>
  <c r="AT163" i="11"/>
  <c r="AS163" i="11"/>
  <c r="AS157" i="11" s="1"/>
  <c r="AS162" i="11" s="1"/>
  <c r="AR163" i="11"/>
  <c r="AQ163" i="11"/>
  <c r="AP163" i="11"/>
  <c r="AO163" i="11"/>
  <c r="AO157" i="11" s="1"/>
  <c r="AO162" i="11" s="1"/>
  <c r="AN163" i="11"/>
  <c r="AM163" i="11"/>
  <c r="AL163" i="11"/>
  <c r="AK163" i="11"/>
  <c r="AK157" i="11" s="1"/>
  <c r="AK162" i="11" s="1"/>
  <c r="AJ163" i="11"/>
  <c r="AI163" i="11"/>
  <c r="AH163" i="11"/>
  <c r="AG163" i="11"/>
  <c r="AG157" i="11" s="1"/>
  <c r="AG162" i="11" s="1"/>
  <c r="AF163" i="11"/>
  <c r="AE163" i="11"/>
  <c r="G163" i="11"/>
  <c r="AZ162" i="11"/>
  <c r="AX162" i="11"/>
  <c r="AR162" i="11"/>
  <c r="AP162" i="11"/>
  <c r="AJ162" i="11"/>
  <c r="AH162" i="11"/>
  <c r="BB157" i="11"/>
  <c r="BB162" i="11" s="1"/>
  <c r="AZ157" i="11"/>
  <c r="AX157" i="11"/>
  <c r="AV157" i="11"/>
  <c r="AV162" i="11" s="1"/>
  <c r="AT157" i="11"/>
  <c r="AT162" i="11" s="1"/>
  <c r="AR157" i="11"/>
  <c r="AP157" i="11"/>
  <c r="AN157" i="11"/>
  <c r="AN162" i="11" s="1"/>
  <c r="AL157" i="11"/>
  <c r="AL162" i="11" s="1"/>
  <c r="AJ157" i="11"/>
  <c r="AH157" i="11"/>
  <c r="AF157" i="11"/>
  <c r="AF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B143" i="11" s="1"/>
  <c r="BA144" i="11"/>
  <c r="AZ144" i="11"/>
  <c r="AY144" i="11"/>
  <c r="AX144" i="11"/>
  <c r="AX143" i="11" s="1"/>
  <c r="AW144" i="11"/>
  <c r="AV144" i="11"/>
  <c r="AU144" i="11"/>
  <c r="AT144" i="11"/>
  <c r="AT143" i="11" s="1"/>
  <c r="AS144" i="11"/>
  <c r="AR144" i="11"/>
  <c r="AQ144" i="11"/>
  <c r="AP144" i="11"/>
  <c r="AP143" i="11" s="1"/>
  <c r="AO144" i="11"/>
  <c r="AN144" i="11"/>
  <c r="AM144" i="11"/>
  <c r="AL144" i="11"/>
  <c r="AL143" i="11" s="1"/>
  <c r="AK144" i="11"/>
  <c r="AJ144" i="11"/>
  <c r="AI144" i="11"/>
  <c r="AH144" i="11"/>
  <c r="AH143" i="11" s="1"/>
  <c r="AG144" i="11"/>
  <c r="AF144" i="11"/>
  <c r="AE144" i="11"/>
  <c r="BA143" i="11"/>
  <c r="AZ143" i="11"/>
  <c r="AY143" i="11"/>
  <c r="AW143" i="11"/>
  <c r="AV143" i="11"/>
  <c r="AU143" i="11"/>
  <c r="AS143" i="11"/>
  <c r="AR143" i="11"/>
  <c r="AQ143" i="11"/>
  <c r="AO143" i="11"/>
  <c r="AN143" i="11"/>
  <c r="AM143" i="11"/>
  <c r="AK143" i="11"/>
  <c r="AJ143" i="11"/>
  <c r="AI143" i="11"/>
  <c r="AG143" i="11"/>
  <c r="AF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W136" i="11"/>
  <c r="AV136" i="11"/>
  <c r="AU136" i="11"/>
  <c r="AT136" i="11"/>
  <c r="AS136" i="11"/>
  <c r="AR136" i="11"/>
  <c r="AQ136" i="11"/>
  <c r="AP136" i="11"/>
  <c r="AO136" i="11"/>
  <c r="AN136" i="11"/>
  <c r="AM136" i="11"/>
  <c r="AL136" i="11"/>
  <c r="AK136" i="11"/>
  <c r="AJ136" i="11"/>
  <c r="AI136" i="11"/>
  <c r="AH136" i="11"/>
  <c r="AG136" i="11"/>
  <c r="AF136" i="11"/>
  <c r="AE136" i="11"/>
  <c r="G136" i="11"/>
  <c r="BA135" i="11"/>
  <c r="AY135" i="11"/>
  <c r="AY129" i="11" s="1"/>
  <c r="AW135" i="11"/>
  <c r="AU135" i="11"/>
  <c r="AU129" i="11" s="1"/>
  <c r="AS135" i="11"/>
  <c r="AQ135" i="11"/>
  <c r="AQ129" i="11" s="1"/>
  <c r="AO135" i="11"/>
  <c r="AM135" i="11"/>
  <c r="AM129" i="11" s="1"/>
  <c r="AK135" i="11"/>
  <c r="AI135" i="11"/>
  <c r="AI129" i="11" s="1"/>
  <c r="AG135" i="11"/>
  <c r="AE135" i="11"/>
  <c r="AE129" i="11" s="1"/>
  <c r="AE120" i="11" s="1"/>
  <c r="BA129" i="11"/>
  <c r="BA134" i="11" s="1"/>
  <c r="AW129" i="11"/>
  <c r="AW120" i="11" s="1"/>
  <c r="AS129" i="11"/>
  <c r="AS134" i="11" s="1"/>
  <c r="AO129" i="11"/>
  <c r="AO120" i="11" s="1"/>
  <c r="AK129" i="11"/>
  <c r="AK134" i="11" s="1"/>
  <c r="AG129" i="11"/>
  <c r="AG134"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BA120" i="11"/>
  <c r="AS120" i="11"/>
  <c r="AS52" i="14" s="1"/>
  <c r="AK120" i="1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A85" i="11"/>
  <c r="AZ85" i="11"/>
  <c r="AZ84" i="11" s="1"/>
  <c r="AZ82" i="11" s="1"/>
  <c r="AY85" i="11"/>
  <c r="AX85" i="11"/>
  <c r="AW85" i="11"/>
  <c r="AV85" i="11"/>
  <c r="AV84" i="11" s="1"/>
  <c r="AV82" i="11" s="1"/>
  <c r="AU85" i="11"/>
  <c r="AT85" i="11"/>
  <c r="AS85" i="11"/>
  <c r="AR85" i="11"/>
  <c r="AR84" i="11" s="1"/>
  <c r="AR82" i="11" s="1"/>
  <c r="AQ85" i="11"/>
  <c r="AP85" i="11"/>
  <c r="AO85" i="11"/>
  <c r="AN85" i="11"/>
  <c r="AN84" i="11" s="1"/>
  <c r="AN82" i="11" s="1"/>
  <c r="AM85" i="11"/>
  <c r="AL85" i="11"/>
  <c r="AK85" i="11"/>
  <c r="AJ85" i="11"/>
  <c r="AJ84" i="11" s="1"/>
  <c r="AJ82" i="11" s="1"/>
  <c r="AI85" i="11"/>
  <c r="AH85" i="11"/>
  <c r="AG85" i="11"/>
  <c r="AF85" i="11"/>
  <c r="AF84" i="11" s="1"/>
  <c r="AF82" i="11" s="1"/>
  <c r="AE85" i="11"/>
  <c r="BB84" i="11"/>
  <c r="BB82" i="11" s="1"/>
  <c r="BA84" i="11"/>
  <c r="AY84" i="11"/>
  <c r="AX84" i="11"/>
  <c r="AX82" i="11" s="1"/>
  <c r="AW84" i="11"/>
  <c r="AU84" i="11"/>
  <c r="AT84" i="11"/>
  <c r="AT82" i="11" s="1"/>
  <c r="AS84" i="11"/>
  <c r="AQ84" i="11"/>
  <c r="AP84" i="11"/>
  <c r="AP82" i="11" s="1"/>
  <c r="AO84" i="11"/>
  <c r="AM84" i="11"/>
  <c r="AL84" i="11"/>
  <c r="AL82" i="11" s="1"/>
  <c r="AK84" i="11"/>
  <c r="AI84" i="11"/>
  <c r="AH84" i="11"/>
  <c r="AH82" i="11" s="1"/>
  <c r="AG84" i="11"/>
  <c r="AE84" i="11"/>
  <c r="G83" i="11"/>
  <c r="BA82" i="11"/>
  <c r="AY82" i="11"/>
  <c r="AW82" i="11"/>
  <c r="AU82" i="11"/>
  <c r="AS82" i="11"/>
  <c r="AQ82" i="11"/>
  <c r="AO82" i="11"/>
  <c r="AM82" i="11"/>
  <c r="AK82" i="11"/>
  <c r="AI82" i="11"/>
  <c r="AG82" i="11"/>
  <c r="AE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A72" i="11"/>
  <c r="BA66" i="11" s="1"/>
  <c r="BA71" i="11" s="1"/>
  <c r="AZ72" i="11"/>
  <c r="AY72" i="11"/>
  <c r="AX72" i="11"/>
  <c r="AW72" i="11"/>
  <c r="AW66" i="11" s="1"/>
  <c r="AW71" i="11" s="1"/>
  <c r="AV72" i="11"/>
  <c r="AU72" i="11"/>
  <c r="AT72" i="11"/>
  <c r="AS72" i="11"/>
  <c r="AS66" i="11" s="1"/>
  <c r="AS71" i="11" s="1"/>
  <c r="AR72" i="11"/>
  <c r="AQ72" i="11"/>
  <c r="AP72" i="11"/>
  <c r="AO72" i="11"/>
  <c r="AO66" i="11" s="1"/>
  <c r="AO71" i="11" s="1"/>
  <c r="AN72" i="11"/>
  <c r="AM72" i="11"/>
  <c r="AL72" i="11"/>
  <c r="AK72" i="11"/>
  <c r="AK66" i="11" s="1"/>
  <c r="AK71" i="11" s="1"/>
  <c r="AJ72" i="11"/>
  <c r="AI72" i="11"/>
  <c r="AH72" i="11"/>
  <c r="AG72" i="11"/>
  <c r="AG66" i="11" s="1"/>
  <c r="AG71" i="11" s="1"/>
  <c r="AF72" i="11"/>
  <c r="AE72" i="11"/>
  <c r="G72" i="11"/>
  <c r="AX71" i="11"/>
  <c r="AV71" i="11"/>
  <c r="AP71" i="11"/>
  <c r="AN71" i="11"/>
  <c r="AH71" i="11"/>
  <c r="AF71" i="11"/>
  <c r="BB66" i="11"/>
  <c r="BB71" i="11" s="1"/>
  <c r="AZ66" i="11"/>
  <c r="AZ71" i="11" s="1"/>
  <c r="AX66" i="11"/>
  <c r="AV66" i="11"/>
  <c r="AT66" i="11"/>
  <c r="AT71" i="11" s="1"/>
  <c r="AR66" i="11"/>
  <c r="AR71" i="11" s="1"/>
  <c r="AP66" i="11"/>
  <c r="AN66" i="11"/>
  <c r="AL66" i="11"/>
  <c r="AL71" i="11" s="1"/>
  <c r="AJ66" i="11"/>
  <c r="AJ71" i="11" s="1"/>
  <c r="AH66" i="11"/>
  <c r="AF66" i="1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A53" i="11"/>
  <c r="AZ53" i="11"/>
  <c r="AZ52" i="11" s="1"/>
  <c r="AY53" i="11"/>
  <c r="AX53" i="11"/>
  <c r="AW53" i="11"/>
  <c r="AV53" i="11"/>
  <c r="AV52" i="11" s="1"/>
  <c r="AU53" i="11"/>
  <c r="AT53" i="11"/>
  <c r="AS53" i="11"/>
  <c r="AR53" i="11"/>
  <c r="AR52" i="11" s="1"/>
  <c r="AQ53" i="11"/>
  <c r="AP53" i="11"/>
  <c r="AO53" i="11"/>
  <c r="AN53" i="11"/>
  <c r="AN52" i="11" s="1"/>
  <c r="AM53" i="11"/>
  <c r="AL53" i="11"/>
  <c r="AK53" i="11"/>
  <c r="AJ53" i="11"/>
  <c r="AJ52" i="11" s="1"/>
  <c r="AI53" i="11"/>
  <c r="AH53" i="11"/>
  <c r="AG53" i="11"/>
  <c r="AF53" i="11"/>
  <c r="AF52" i="11" s="1"/>
  <c r="AE53" i="11"/>
  <c r="BB52" i="11"/>
  <c r="BA52" i="11"/>
  <c r="AY52" i="11"/>
  <c r="AX52" i="11"/>
  <c r="AW52" i="11"/>
  <c r="AU52" i="11"/>
  <c r="AT52" i="11"/>
  <c r="AS52" i="11"/>
  <c r="AQ52" i="11"/>
  <c r="AP52" i="11"/>
  <c r="AO52" i="11"/>
  <c r="AM52" i="11"/>
  <c r="AL52" i="11"/>
  <c r="AK52" i="11"/>
  <c r="AI52" i="11"/>
  <c r="AH52" i="11"/>
  <c r="AG52" i="11"/>
  <c r="AE52" i="1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BA44" i="11"/>
  <c r="AY44" i="11"/>
  <c r="AW44" i="11"/>
  <c r="AU44" i="11"/>
  <c r="AS44" i="11"/>
  <c r="AQ44" i="11"/>
  <c r="AO44" i="11"/>
  <c r="AM44" i="11"/>
  <c r="AK44" i="11"/>
  <c r="AI44" i="11"/>
  <c r="AG44" i="11"/>
  <c r="AE44" i="11"/>
  <c r="BA43" i="11"/>
  <c r="AY43" i="11"/>
  <c r="AS43" i="11"/>
  <c r="AQ43" i="11"/>
  <c r="AK43" i="11"/>
  <c r="AI43" i="11"/>
  <c r="BA38" i="11"/>
  <c r="AY38" i="11"/>
  <c r="AW38" i="11"/>
  <c r="AW43" i="11" s="1"/>
  <c r="AU38" i="11"/>
  <c r="AU43" i="11" s="1"/>
  <c r="AS38" i="11"/>
  <c r="AQ38" i="11"/>
  <c r="AO38" i="11"/>
  <c r="AO43" i="11" s="1"/>
  <c r="AM38" i="11"/>
  <c r="AM43" i="11" s="1"/>
  <c r="AK38" i="11"/>
  <c r="AI38" i="11"/>
  <c r="AG38" i="11"/>
  <c r="AG43" i="11" s="1"/>
  <c r="AE38" i="11"/>
  <c r="AE43"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A29" i="11"/>
  <c r="AY29" i="11"/>
  <c r="AS29" i="11"/>
  <c r="AQ29" i="11"/>
  <c r="AK29" i="11"/>
  <c r="AI29" i="11"/>
  <c r="T27" i="11"/>
  <c r="F27" i="11" a="1"/>
  <c r="F27" i="11" s="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s="1"/>
  <c r="BA10" i="11" a="1"/>
  <c r="BA10" i="11" s="1"/>
  <c r="AZ10" i="11" a="1"/>
  <c r="AZ10" i="11" s="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s="1"/>
  <c r="AO10" i="11" a="1"/>
  <c r="AO10" i="11" s="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BA9" i="11" a="1"/>
  <c r="BA9" i="11" s="1"/>
  <c r="AY9" i="11" a="1"/>
  <c r="AY9" i="11" s="1"/>
  <c r="AW9" i="11" a="1"/>
  <c r="AW9" i="11" s="1"/>
  <c r="AU9" i="11" a="1"/>
  <c r="AU9" i="11" s="1"/>
  <c r="AS9" i="11" a="1"/>
  <c r="AS9" i="11" s="1"/>
  <c r="AR9" i="11" a="1"/>
  <c r="AR9" i="11" s="1"/>
  <c r="AP9" i="11" a="1"/>
  <c r="AP9" i="11" s="1"/>
  <c r="AO9" i="11" a="1"/>
  <c r="AO9" i="11" s="1"/>
  <c r="AN9" i="11" a="1"/>
  <c r="AN9" i="11" s="1"/>
  <c r="AL9" i="11" a="1"/>
  <c r="AL9" i="11" s="1"/>
  <c r="AK9" i="11" a="1"/>
  <c r="AK9" i="11" s="1"/>
  <c r="AJ9" i="11" a="1"/>
  <c r="AJ9" i="11" s="1"/>
  <c r="AG9" i="11" a="1"/>
  <c r="AG9" i="11" s="1"/>
  <c r="AE9" i="11" a="1"/>
  <c r="AE9" i="11" s="1"/>
  <c r="AZ8" i="11"/>
  <c r="AR8" i="11"/>
  <c r="AJ8" i="1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Q7" i="11" a="1"/>
  <c r="AQ7" i="11" s="1"/>
  <c r="AP7" i="11" a="1"/>
  <c r="AP7" i="11" s="1"/>
  <c r="AP8" i="11" s="1"/>
  <c r="AO7" i="11" a="1"/>
  <c r="AO7" i="11" s="1"/>
  <c r="AN7" i="11" a="1"/>
  <c r="AN7" i="11" s="1"/>
  <c r="AN8" i="11" s="1"/>
  <c r="AM7" i="11" a="1"/>
  <c r="AM7" i="11" s="1"/>
  <c r="AL7" i="11" a="1"/>
  <c r="AL7" i="11" s="1"/>
  <c r="AL8" i="11" s="1"/>
  <c r="AK7" i="11" a="1"/>
  <c r="AK7" i="11" s="1"/>
  <c r="AJ7" i="11" a="1"/>
  <c r="AJ7" i="11" s="1"/>
  <c r="AI7" i="11" a="1"/>
  <c r="AI7" i="11" s="1"/>
  <c r="AH7" i="11" a="1"/>
  <c r="AH7" i="11" s="1"/>
  <c r="AG7" i="11" a="1"/>
  <c r="AG7" i="11" s="1"/>
  <c r="AF7" i="11" a="1"/>
  <c r="AF7" i="11" s="1"/>
  <c r="AE7" i="11" a="1"/>
  <c r="AE7" i="11" s="1"/>
  <c r="BB6" i="11"/>
  <c r="BB9" i="11" s="1" a="1"/>
  <c r="BB9" i="11" s="1"/>
  <c r="BA6" i="11"/>
  <c r="BA8" i="11" s="1"/>
  <c r="AZ6" i="11"/>
  <c r="AZ9" i="11" s="1" a="1"/>
  <c r="AZ9" i="11" s="1"/>
  <c r="AY6" i="11"/>
  <c r="AY8" i="11" s="1"/>
  <c r="AX6" i="11"/>
  <c r="AX8" i="11" s="1"/>
  <c r="AW6" i="11"/>
  <c r="AW8" i="11" s="1"/>
  <c r="AV6" i="11"/>
  <c r="AV9" i="11" s="1" a="1"/>
  <c r="AV9" i="11" s="1"/>
  <c r="AU6" i="11"/>
  <c r="AU8" i="11" s="1"/>
  <c r="AT6" i="11"/>
  <c r="AT9" i="11" s="1" a="1"/>
  <c r="AT9" i="11" s="1"/>
  <c r="AS6" i="11" a="1"/>
  <c r="AS6" i="11"/>
  <c r="AR6" i="11"/>
  <c r="AQ6" i="11"/>
  <c r="AP6" i="11"/>
  <c r="AO6" i="11"/>
  <c r="AN6" i="11"/>
  <c r="AM6" i="11"/>
  <c r="AL6" i="11"/>
  <c r="AK6" i="11"/>
  <c r="AJ6" i="11"/>
  <c r="AI6" i="11" a="1"/>
  <c r="AI6" i="11" s="1"/>
  <c r="AH6" i="11"/>
  <c r="AH8" i="11" s="1"/>
  <c r="AG6" i="11"/>
  <c r="AF6" i="11"/>
  <c r="AF9" i="11" s="1" a="1"/>
  <c r="AF9" i="11" s="1"/>
  <c r="AE6" i="11"/>
  <c r="AE8" i="11" s="1"/>
  <c r="BB2" i="11"/>
  <c r="AT2" i="11"/>
  <c r="AL2" i="11"/>
  <c r="AF2" i="11" a="1"/>
  <c r="AF2" i="11" s="1"/>
  <c r="V37" i="10"/>
  <c r="V38" i="10" s="1" a="1"/>
  <c r="V38" i="10" s="1"/>
  <c r="V39" i="10" s="1" a="1"/>
  <c r="V39" i="10" s="1"/>
  <c r="V40" i="10" s="1" a="1"/>
  <c r="V40" i="10" s="1"/>
  <c r="V41" i="10" s="1" a="1"/>
  <c r="V41" i="10" s="1"/>
  <c r="F37" i="10" a="1"/>
  <c r="F37" i="10"/>
  <c r="F38" i="10" s="1" a="1"/>
  <c r="F38" i="10" s="1"/>
  <c r="F39" i="10" s="1" a="1"/>
  <c r="F39" i="10" s="1"/>
  <c r="F40" i="10" s="1" a="1"/>
  <c r="F40" i="10" s="1"/>
  <c r="F41" i="10" s="1" a="1"/>
  <c r="F41" i="10" s="1"/>
  <c r="F42" i="10" s="1" a="1"/>
  <c r="F42" i="10" s="1"/>
  <c r="V32" i="10"/>
  <c r="V33" i="10" s="1" a="1"/>
  <c r="V33" i="10" s="1"/>
  <c r="V34" i="10" s="1" a="1"/>
  <c r="V34" i="10" s="1"/>
  <c r="V35" i="10" s="1" a="1"/>
  <c r="V35" i="10" s="1"/>
  <c r="V36" i="10" s="1" a="1"/>
  <c r="V36" i="10" s="1"/>
  <c r="F32" i="10" a="1"/>
  <c r="F32" i="10" s="1"/>
  <c r="F33" i="10" s="1" a="1"/>
  <c r="F33" i="10" s="1"/>
  <c r="F34" i="10" s="1" a="1"/>
  <c r="F34" i="10" s="1"/>
  <c r="F35" i="10" s="1" a="1"/>
  <c r="F35" i="10" s="1"/>
  <c r="F36" i="10" s="1" a="1"/>
  <c r="F36" i="10" s="1"/>
  <c r="V28" i="10" a="1"/>
  <c r="V28" i="10" s="1"/>
  <c r="V29" i="10" s="1" a="1"/>
  <c r="V29" i="10" s="1"/>
  <c r="V30" i="10" s="1" a="1"/>
  <c r="V30" i="10" s="1"/>
  <c r="V31" i="10" s="1" a="1"/>
  <c r="V31" i="10" s="1"/>
  <c r="F28" i="10" a="1"/>
  <c r="F28" i="10" s="1"/>
  <c r="F29" i="10" s="1" a="1"/>
  <c r="F29" i="10" s="1"/>
  <c r="F30" i="10" s="1" a="1"/>
  <c r="F30" i="10" s="1"/>
  <c r="F31" i="10" s="1" a="1"/>
  <c r="F31" i="10" s="1"/>
  <c r="V27" i="10"/>
  <c r="F27" i="10" a="1"/>
  <c r="F27" i="10"/>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c r="BA10" i="10" a="1"/>
  <c r="BA10" i="10"/>
  <c r="AZ10" i="10" a="1"/>
  <c r="AZ10" i="10"/>
  <c r="AY10" i="10" a="1"/>
  <c r="AY10" i="10"/>
  <c r="AX10" i="10" a="1"/>
  <c r="AX10" i="10"/>
  <c r="AW10" i="10" a="1"/>
  <c r="AW10" i="10"/>
  <c r="AV10" i="10" a="1"/>
  <c r="AV10" i="10"/>
  <c r="AU10" i="10" a="1"/>
  <c r="AU10" i="10"/>
  <c r="AT10" i="10" a="1"/>
  <c r="AT10" i="10"/>
  <c r="AS10" i="10" a="1"/>
  <c r="AS10" i="10"/>
  <c r="AR10" i="10" a="1"/>
  <c r="AR10" i="10"/>
  <c r="AQ10" i="10" a="1"/>
  <c r="AQ10" i="10"/>
  <c r="AP10" i="10" a="1"/>
  <c r="AP10" i="10"/>
  <c r="AO10" i="10" a="1"/>
  <c r="AO10" i="10"/>
  <c r="AN10" i="10" a="1"/>
  <c r="AN10" i="10"/>
  <c r="AM10" i="10" a="1"/>
  <c r="AM10" i="10"/>
  <c r="AL10" i="10" a="1"/>
  <c r="AL10" i="10"/>
  <c r="AK10" i="10" a="1"/>
  <c r="AK10" i="10"/>
  <c r="AJ10" i="10" a="1"/>
  <c r="AJ10" i="10"/>
  <c r="AI10" i="10" a="1"/>
  <c r="AI10" i="10"/>
  <c r="AH10" i="10" a="1"/>
  <c r="AH10" i="10"/>
  <c r="AG10" i="10" a="1"/>
  <c r="AG10" i="10"/>
  <c r="AF10" i="10" a="1"/>
  <c r="AF10" i="10"/>
  <c r="AE10" i="10" a="1"/>
  <c r="AE10" i="10"/>
  <c r="AF9" i="10"/>
  <c r="AY8" i="10"/>
  <c r="AW8" i="10"/>
  <c r="AQ8" i="10"/>
  <c r="AO8" i="10"/>
  <c r="AK8" i="10"/>
  <c r="AI8" i="10"/>
  <c r="BB7" i="10" a="1"/>
  <c r="BB7" i="10"/>
  <c r="BA7" i="10" a="1"/>
  <c r="BA7" i="10"/>
  <c r="AZ7" i="10" a="1"/>
  <c r="AZ7" i="10"/>
  <c r="AY7" i="10" a="1"/>
  <c r="AY7" i="10"/>
  <c r="AX7" i="10" a="1"/>
  <c r="AX7" i="10"/>
  <c r="AW7" i="10" a="1"/>
  <c r="AW7" i="10"/>
  <c r="AV7" i="10" a="1"/>
  <c r="AV7" i="10"/>
  <c r="AU7" i="10" a="1"/>
  <c r="AU7" i="10"/>
  <c r="AT7" i="10" a="1"/>
  <c r="AT7" i="10"/>
  <c r="AS7" i="10" a="1"/>
  <c r="AS7" i="10"/>
  <c r="AR7" i="10" a="1"/>
  <c r="AR7" i="10"/>
  <c r="AQ7" i="10" a="1"/>
  <c r="AQ7" i="10"/>
  <c r="AP7" i="10" a="1"/>
  <c r="AP7" i="10"/>
  <c r="AO7" i="10" a="1"/>
  <c r="AO7" i="10"/>
  <c r="AN7" i="10" a="1"/>
  <c r="AN7" i="10"/>
  <c r="AM7" i="10" a="1"/>
  <c r="AM7" i="10"/>
  <c r="AM8" i="10" s="1"/>
  <c r="AL7" i="10" a="1"/>
  <c r="AL7" i="10"/>
  <c r="AK7" i="10" a="1"/>
  <c r="AK7" i="10"/>
  <c r="AJ7" i="10" a="1"/>
  <c r="AJ7" i="10"/>
  <c r="AI7" i="10" a="1"/>
  <c r="AI7" i="10"/>
  <c r="AH7" i="10" a="1"/>
  <c r="AH7" i="10"/>
  <c r="AG7" i="10" a="1"/>
  <c r="AG7" i="10"/>
  <c r="AF7" i="10" a="1"/>
  <c r="AF7" i="10"/>
  <c r="AE7" i="10" a="1"/>
  <c r="AE7" i="10"/>
  <c r="BB6" i="10"/>
  <c r="BB9" i="10" s="1" a="1"/>
  <c r="BB9" i="10" s="1"/>
  <c r="BA6" i="10"/>
  <c r="BA9" i="10" s="1" a="1"/>
  <c r="BA9" i="10" s="1"/>
  <c r="AZ6" i="10"/>
  <c r="AZ9" i="10" s="1" a="1"/>
  <c r="AZ9" i="10" s="1"/>
  <c r="AY6" i="10"/>
  <c r="AY9" i="10" s="1" a="1"/>
  <c r="AY9" i="10" s="1"/>
  <c r="AX6" i="10"/>
  <c r="AX9" i="10" s="1" a="1"/>
  <c r="AX9" i="10" s="1"/>
  <c r="AW6" i="10"/>
  <c r="AW9" i="10" s="1" a="1"/>
  <c r="AW9" i="10" s="1"/>
  <c r="AV6" i="10"/>
  <c r="AV9" i="10" s="1" a="1"/>
  <c r="AV9" i="10" s="1"/>
  <c r="AU6" i="10"/>
  <c r="AU9" i="10" s="1" a="1"/>
  <c r="AU9" i="10" s="1"/>
  <c r="AT6" i="10"/>
  <c r="AT9" i="10" s="1" a="1"/>
  <c r="AT9" i="10" s="1"/>
  <c r="AS6" i="10" a="1"/>
  <c r="AS6" i="10" s="1"/>
  <c r="AS9" i="10" s="1" a="1"/>
  <c r="AS9" i="10" s="1"/>
  <c r="AR6" i="10"/>
  <c r="AQ6" i="10"/>
  <c r="AQ9" i="10" s="1" a="1"/>
  <c r="AQ9" i="10" s="1"/>
  <c r="AP6" i="10"/>
  <c r="AO6" i="10"/>
  <c r="AO9" i="10" s="1" a="1"/>
  <c r="AO9" i="10" s="1"/>
  <c r="AN6" i="10"/>
  <c r="AM6" i="10"/>
  <c r="AM9" i="10" s="1" a="1"/>
  <c r="AM9" i="10" s="1"/>
  <c r="AL6" i="10"/>
  <c r="AK6" i="10"/>
  <c r="AK9" i="10" s="1" a="1"/>
  <c r="AK9" i="10" s="1"/>
  <c r="AJ6" i="10"/>
  <c r="AJ2" i="10" s="1"/>
  <c r="AI6" i="10" a="1"/>
  <c r="AI6" i="10"/>
  <c r="AI9" i="10" s="1" a="1"/>
  <c r="AI9" i="10" s="1"/>
  <c r="AH6" i="10"/>
  <c r="AH9" i="10" s="1" a="1"/>
  <c r="AH9" i="10" s="1"/>
  <c r="AG6" i="10"/>
  <c r="AG9" i="10" s="1" a="1"/>
  <c r="AG9" i="10" s="1"/>
  <c r="AF6" i="10"/>
  <c r="AF9" i="10" s="1" a="1"/>
  <c r="AE6" i="10"/>
  <c r="AE9" i="10" s="1" a="1"/>
  <c r="AE9" i="10" s="1"/>
  <c r="AY2" i="10"/>
  <c r="AP2" i="10"/>
  <c r="AM108" i="9"/>
  <c r="AL108" i="9"/>
  <c r="AM107" i="9"/>
  <c r="AL107" i="9"/>
  <c r="AM106" i="9"/>
  <c r="AL106" i="9"/>
  <c r="AM105" i="9"/>
  <c r="AL105" i="9"/>
  <c r="BK103" i="9" a="1"/>
  <c r="BK103" i="9" s="1"/>
  <c r="AM103" i="9"/>
  <c r="AL103" i="9"/>
  <c r="I103" i="9" a="1"/>
  <c r="I103" i="9"/>
  <c r="AM102" i="9"/>
  <c r="AL102" i="9"/>
  <c r="BK100" i="9" a="1"/>
  <c r="BK100" i="9" s="1"/>
  <c r="AM100" i="9"/>
  <c r="AL100" i="9"/>
  <c r="I100" i="9" a="1"/>
  <c r="I100" i="9"/>
  <c r="AM99" i="9"/>
  <c r="AL99" i="9"/>
  <c r="BK97" i="9" a="1"/>
  <c r="BK97" i="9" s="1"/>
  <c r="AM97" i="9"/>
  <c r="AL97" i="9"/>
  <c r="I97" i="9" a="1"/>
  <c r="I97" i="9"/>
  <c r="AM96" i="9"/>
  <c r="AL96" i="9"/>
  <c r="BK94" i="9" a="1"/>
  <c r="BK94" i="9" s="1"/>
  <c r="AM94" i="9"/>
  <c r="AL94" i="9"/>
  <c r="I94" i="9" a="1"/>
  <c r="I94" i="9"/>
  <c r="AM93" i="9"/>
  <c r="AL93" i="9"/>
  <c r="AM91" i="9"/>
  <c r="AL91" i="9"/>
  <c r="AM90" i="9"/>
  <c r="AL90" i="9"/>
  <c r="AM88" i="9"/>
  <c r="AL88" i="9"/>
  <c r="AM87" i="9"/>
  <c r="AL87" i="9"/>
  <c r="B87" i="9"/>
  <c r="AM86" i="9"/>
  <c r="AL86" i="9"/>
  <c r="AM85" i="9"/>
  <c r="AL85" i="9"/>
  <c r="AM84" i="9"/>
  <c r="AL84" i="9"/>
  <c r="B84" i="9"/>
  <c r="AB85" i="9" s="1"/>
  <c r="AB86" i="9" s="1"/>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c r="F83" i="9" s="1"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AM81" i="9"/>
  <c r="AL81" i="9"/>
  <c r="AM80" i="9"/>
  <c r="AL80" i="9"/>
  <c r="AM79" i="9"/>
  <c r="AL79" i="9"/>
  <c r="AM78" i="9"/>
  <c r="AL78" i="9"/>
  <c r="BK76" i="9" a="1"/>
  <c r="BK76" i="9" s="1"/>
  <c r="AM76" i="9"/>
  <c r="AL76" i="9"/>
  <c r="I76" i="9" a="1"/>
  <c r="I76" i="9"/>
  <c r="AL75" i="9"/>
  <c r="AK75" i="9"/>
  <c r="AM75" i="9" s="1"/>
  <c r="AF75" i="9"/>
  <c r="AG75" i="9" s="1" a="1"/>
  <c r="AG75" i="9" s="1"/>
  <c r="BK73" i="9" a="1"/>
  <c r="BK73" i="9" s="1"/>
  <c r="AM73" i="9"/>
  <c r="AL73" i="9"/>
  <c r="I73" i="9" a="1"/>
  <c r="I73" i="9"/>
  <c r="AL72" i="9"/>
  <c r="AK72" i="9"/>
  <c r="AM72" i="9" s="1"/>
  <c r="AG72" i="9" a="1"/>
  <c r="AG72" i="9" s="1"/>
  <c r="BK70" i="9" a="1"/>
  <c r="BK70" i="9"/>
  <c r="AM70" i="9"/>
  <c r="AL70" i="9"/>
  <c r="I70" i="9" a="1"/>
  <c r="I70" i="9" s="1"/>
  <c r="AM69" i="9"/>
  <c r="AL69" i="9"/>
  <c r="BK67" i="9" a="1"/>
  <c r="BK67" i="9"/>
  <c r="AM67" i="9"/>
  <c r="AL67" i="9"/>
  <c r="I67" i="9" a="1"/>
  <c r="I67" i="9" s="1"/>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c r="AM49" i="9"/>
  <c r="AL49" i="9"/>
  <c r="I49" i="9" a="1"/>
  <c r="I49" i="9" s="1"/>
  <c r="AM48" i="9"/>
  <c r="AL48" i="9"/>
  <c r="BK46" i="9" a="1"/>
  <c r="BK46" i="9"/>
  <c r="AM46" i="9"/>
  <c r="AL46" i="9"/>
  <c r="I46" i="9" a="1"/>
  <c r="I46" i="9" s="1"/>
  <c r="AM45" i="9"/>
  <c r="AL45" i="9"/>
  <c r="BK43" i="9" a="1"/>
  <c r="BK43" i="9"/>
  <c r="AM43" i="9"/>
  <c r="AL43" i="9"/>
  <c r="I43" i="9" a="1"/>
  <c r="I43" i="9" s="1"/>
  <c r="AM42" i="9"/>
  <c r="AL42" i="9"/>
  <c r="BK40" i="9" a="1"/>
  <c r="BK40" i="9"/>
  <c r="AM40" i="9"/>
  <c r="AL40" i="9"/>
  <c r="I40" i="9" a="1"/>
  <c r="I40" i="9" s="1"/>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s="1"/>
  <c r="BD10" i="9" a="1"/>
  <c r="BD10" i="9" s="1"/>
  <c r="BC10" i="9" a="1"/>
  <c r="BC10" i="9" s="1"/>
  <c r="BB10" i="9" a="1"/>
  <c r="BB10" i="9" s="1"/>
  <c r="BA10" i="9" a="1"/>
  <c r="BA10" i="9" s="1"/>
  <c r="AZ10" i="9" a="1"/>
  <c r="AZ10" i="9" s="1"/>
  <c r="AY10" i="9" a="1"/>
  <c r="AY10" i="9" s="1"/>
  <c r="AX10" i="9" a="1"/>
  <c r="AX10" i="9" s="1"/>
  <c r="AW10" i="9" a="1"/>
  <c r="AW10" i="9" s="1"/>
  <c r="AV10" i="9" a="1"/>
  <c r="AV10" i="9" s="1"/>
  <c r="AU10" i="9" a="1"/>
  <c r="AU10" i="9" s="1"/>
  <c r="AT10" i="9" a="1"/>
  <c r="AT10" i="9" s="1"/>
  <c r="AS10" i="9" a="1"/>
  <c r="AS10" i="9" s="1"/>
  <c r="AR10" i="9" a="1"/>
  <c r="AR10" i="9" s="1"/>
  <c r="AQ10" i="9" a="1"/>
  <c r="AQ10" i="9" s="1"/>
  <c r="AP10" i="9" a="1"/>
  <c r="AP10" i="9" s="1"/>
  <c r="AO10" i="9" a="1"/>
  <c r="AO10" i="9" s="1"/>
  <c r="AM10" i="9" a="1"/>
  <c r="AM10" i="9" s="1"/>
  <c r="AL10" i="9" a="1"/>
  <c r="AL10" i="9" s="1"/>
  <c r="AK10" i="9" a="1"/>
  <c r="AK10" i="9" s="1"/>
  <c r="AJ10" i="9" a="1"/>
  <c r="AJ10" i="9" s="1"/>
  <c r="AI10" i="9" a="1"/>
  <c r="AI10" i="9" s="1"/>
  <c r="AG10" i="9" a="1"/>
  <c r="AG10" i="9" s="1"/>
  <c r="AF10" i="9" a="1"/>
  <c r="AF10" i="9" s="1"/>
  <c r="AE10" i="9" a="1"/>
  <c r="AE10" i="9" s="1"/>
  <c r="BE9" i="9" a="1"/>
  <c r="BE9" i="9" s="1"/>
  <c r="BC9" i="9" a="1"/>
  <c r="BC9" i="9" s="1"/>
  <c r="BA9" i="9" a="1"/>
  <c r="BA9" i="9" s="1"/>
  <c r="AY9" i="9" a="1"/>
  <c r="AY9" i="9" s="1"/>
  <c r="AW9" i="9" a="1"/>
  <c r="AW9" i="9" s="1"/>
  <c r="AU9" i="9" a="1"/>
  <c r="AU9" i="9" s="1"/>
  <c r="AS9" i="9" a="1"/>
  <c r="AS9" i="9" s="1"/>
  <c r="AQ9" i="9" a="1"/>
  <c r="AQ9" i="9" s="1"/>
  <c r="AO9" i="9" a="1"/>
  <c r="AO9" i="9" s="1"/>
  <c r="AH9" i="9" a="1"/>
  <c r="AH9" i="9" s="1"/>
  <c r="AF9" i="9" a="1"/>
  <c r="AF9" i="9" s="1"/>
  <c r="AL8" i="9"/>
  <c r="AH8" i="9"/>
  <c r="BF7" i="9" a="1"/>
  <c r="BF7" i="9" s="1"/>
  <c r="BE7" i="9" a="1"/>
  <c r="BE7" i="9" s="1"/>
  <c r="BD7" i="9" a="1"/>
  <c r="BD7" i="9" s="1"/>
  <c r="BC7" i="9" a="1"/>
  <c r="BC7" i="9" s="1"/>
  <c r="BB7" i="9" a="1"/>
  <c r="BB7" i="9" s="1"/>
  <c r="BB8" i="9" s="1"/>
  <c r="BA7" i="9" a="1"/>
  <c r="BA7" i="9" s="1"/>
  <c r="AZ7" i="9" a="1"/>
  <c r="AZ7" i="9" s="1"/>
  <c r="AY7" i="9" a="1"/>
  <c r="AY7" i="9" s="1"/>
  <c r="AX7" i="9" a="1"/>
  <c r="AX7" i="9" s="1"/>
  <c r="AW7" i="9" a="1"/>
  <c r="AW7" i="9" s="1"/>
  <c r="AV7" i="9" a="1"/>
  <c r="AV7" i="9" s="1"/>
  <c r="AU7" i="9" a="1"/>
  <c r="AU7" i="9" s="1"/>
  <c r="AT7" i="9" a="1"/>
  <c r="AT7" i="9" s="1"/>
  <c r="AT8" i="9" s="1"/>
  <c r="AS7" i="9" a="1"/>
  <c r="AS7" i="9" s="1"/>
  <c r="AR7" i="9" a="1"/>
  <c r="AR7" i="9" s="1"/>
  <c r="AQ7" i="9" a="1"/>
  <c r="AQ7" i="9" s="1"/>
  <c r="AP7" i="9" a="1"/>
  <c r="AP7" i="9" s="1"/>
  <c r="AO7" i="9" a="1"/>
  <c r="AO7" i="9" s="1"/>
  <c r="AM7" i="9" a="1"/>
  <c r="AM7" i="9" s="1"/>
  <c r="AL7" i="9" a="1"/>
  <c r="AL7" i="9" s="1"/>
  <c r="AK7" i="9" a="1"/>
  <c r="AK7" i="9" s="1"/>
  <c r="AJ7" i="9" a="1"/>
  <c r="AJ7" i="9" s="1"/>
  <c r="AI7" i="9" a="1"/>
  <c r="AI7" i="9" s="1"/>
  <c r="AG7" i="9" a="1"/>
  <c r="AG7" i="9" s="1"/>
  <c r="AF7" i="9" a="1"/>
  <c r="AF7" i="9" s="1"/>
  <c r="AF8" i="9" s="1"/>
  <c r="AE7" i="9" a="1"/>
  <c r="AE7" i="9" s="1"/>
  <c r="BF6" i="9"/>
  <c r="BE6" i="9"/>
  <c r="BE8" i="9" s="1"/>
  <c r="BD6" i="9"/>
  <c r="BD2" i="9" s="1"/>
  <c r="BC6" i="9"/>
  <c r="BB6" i="9"/>
  <c r="BA6" i="9"/>
  <c r="BA8" i="9" s="1"/>
  <c r="AZ6" i="9"/>
  <c r="AZ2" i="9" s="1"/>
  <c r="AY6" i="9"/>
  <c r="AX6" i="9"/>
  <c r="AW6" i="9"/>
  <c r="AW8" i="9" s="1"/>
  <c r="AV6" i="9"/>
  <c r="AV2" i="9" s="1"/>
  <c r="AU6" i="9"/>
  <c r="AT6" i="9"/>
  <c r="AS6" i="9"/>
  <c r="AS8" i="9" s="1"/>
  <c r="AR6" i="9"/>
  <c r="AR2" i="9" s="1"/>
  <c r="AQ6" i="9"/>
  <c r="AP6" i="9"/>
  <c r="AO6" i="9"/>
  <c r="AO8" i="9" s="1"/>
  <c r="AN6" i="9" a="1"/>
  <c r="AN6" i="9" s="1"/>
  <c r="AN9" i="9" s="1" a="1"/>
  <c r="AN9" i="9" s="1"/>
  <c r="AM6" i="9" a="1"/>
  <c r="AM6" i="9" s="1"/>
  <c r="AM8" i="9" s="1"/>
  <c r="AL6" i="9" a="1"/>
  <c r="AL6" i="9" s="1"/>
  <c r="AL9" i="9" s="1" a="1"/>
  <c r="AL9" i="9" s="1"/>
  <c r="AK6" i="9" a="1"/>
  <c r="AK6" i="9" s="1"/>
  <c r="AJ6" i="9" a="1"/>
  <c r="AJ6" i="9" s="1"/>
  <c r="AJ8" i="9" s="1"/>
  <c r="AI6" i="9"/>
  <c r="AI8" i="9" s="1"/>
  <c r="AH6" i="9"/>
  <c r="AG6" i="9"/>
  <c r="AG8" i="9" s="1"/>
  <c r="AF6" i="9"/>
  <c r="AE6" i="9"/>
  <c r="AE8" i="9" s="1"/>
  <c r="BA2" i="9"/>
  <c r="AS2" i="9"/>
  <c r="AQ46" i="8" a="1"/>
  <c r="AQ46" i="8" s="1"/>
  <c r="AP46" i="8" a="1"/>
  <c r="AP46" i="8" s="1"/>
  <c r="AO46" i="8" a="1"/>
  <c r="AO46" i="8" s="1"/>
  <c r="AN46" i="8" a="1"/>
  <c r="AN46" i="8" s="1"/>
  <c r="AC46" i="8"/>
  <c r="AM46" i="8" s="1" a="1"/>
  <c r="AM46" i="8" s="1"/>
  <c r="AQ45" i="8" a="1"/>
  <c r="AQ45" i="8" s="1"/>
  <c r="AP45" i="8" a="1"/>
  <c r="AP45" i="8" s="1"/>
  <c r="AO45" i="8" a="1"/>
  <c r="AO45" i="8" s="1"/>
  <c r="AN45" i="8" a="1"/>
  <c r="AN45" i="8" s="1"/>
  <c r="AC45" i="8"/>
  <c r="AM45" i="8" s="1" a="1"/>
  <c r="AM45" i="8" s="1"/>
  <c r="AQ44" i="8" a="1"/>
  <c r="AQ44" i="8" s="1"/>
  <c r="AP44" i="8" a="1"/>
  <c r="AP44" i="8" s="1"/>
  <c r="AO44" i="8" a="1"/>
  <c r="AO44" i="8" s="1"/>
  <c r="AN44" i="8" a="1"/>
  <c r="AN44" i="8" s="1"/>
  <c r="AC44" i="8"/>
  <c r="AM44" i="8" s="1" a="1"/>
  <c r="AM44" i="8" s="1"/>
  <c r="AQ43" i="8" a="1"/>
  <c r="AQ43" i="8" s="1"/>
  <c r="AP43" i="8" a="1"/>
  <c r="AP43" i="8" s="1"/>
  <c r="AO43" i="8" a="1"/>
  <c r="AO43" i="8" s="1"/>
  <c r="AN43" i="8" a="1"/>
  <c r="AN43" i="8" s="1"/>
  <c r="AM43" i="8" a="1"/>
  <c r="AM43" i="8" s="1"/>
  <c r="AC43" i="8"/>
  <c r="AQ42" i="8" a="1"/>
  <c r="AQ42" i="8" s="1"/>
  <c r="AP42" i="8" a="1"/>
  <c r="AP42" i="8" s="1"/>
  <c r="AO42" i="8" a="1"/>
  <c r="AO42" i="8" s="1"/>
  <c r="AN42" i="8" a="1"/>
  <c r="AN42" i="8" s="1"/>
  <c r="AC42" i="8"/>
  <c r="AM42" i="8" s="1" a="1"/>
  <c r="AM42" i="8" s="1"/>
  <c r="AQ41" i="8" a="1"/>
  <c r="AQ41" i="8" s="1"/>
  <c r="AP41" i="8" a="1"/>
  <c r="AP41" i="8" s="1"/>
  <c r="AO41" i="8" a="1"/>
  <c r="AO41" i="8" s="1"/>
  <c r="AN41" i="8" a="1"/>
  <c r="AN41" i="8" s="1"/>
  <c r="AC41" i="8"/>
  <c r="AM41" i="8" s="1" a="1"/>
  <c r="AM41" i="8" s="1"/>
  <c r="AQ40" i="8" a="1"/>
  <c r="AQ40" i="8" s="1"/>
  <c r="AP40" i="8" a="1"/>
  <c r="AP40" i="8" s="1"/>
  <c r="AO40" i="8" a="1"/>
  <c r="AO40" i="8" s="1"/>
  <c r="AN40" i="8" a="1"/>
  <c r="AN40" i="8" s="1"/>
  <c r="AC40" i="8"/>
  <c r="AM40" i="8" s="1" a="1"/>
  <c r="AM40" i="8" s="1"/>
  <c r="F39" i="8" a="1"/>
  <c r="F39" i="8" s="1"/>
  <c r="F40" i="8" s="1" a="1"/>
  <c r="F40" i="8" s="1"/>
  <c r="U38" i="8"/>
  <c r="F38" i="8" a="1"/>
  <c r="F38" i="8"/>
  <c r="AQ36" i="8" a="1"/>
  <c r="AQ36" i="8" s="1"/>
  <c r="AP36" i="8" a="1"/>
  <c r="AP36" i="8" s="1"/>
  <c r="AO36" i="8" a="1"/>
  <c r="AO36" i="8" s="1"/>
  <c r="AN36" i="8" a="1"/>
  <c r="AN36" i="8" s="1"/>
  <c r="AC36" i="8"/>
  <c r="AM36" i="8" s="1" a="1"/>
  <c r="AM36" i="8" s="1"/>
  <c r="AQ35" i="8" a="1"/>
  <c r="AQ35" i="8" s="1"/>
  <c r="AP35" i="8" a="1"/>
  <c r="AP35" i="8" s="1"/>
  <c r="AO35" i="8" a="1"/>
  <c r="AO35" i="8" s="1"/>
  <c r="AN35" i="8" a="1"/>
  <c r="AN35" i="8" s="1"/>
  <c r="AC35" i="8"/>
  <c r="AM35" i="8" s="1" a="1"/>
  <c r="AM35" i="8" s="1"/>
  <c r="AQ34" i="8" a="1"/>
  <c r="AQ34" i="8" s="1"/>
  <c r="AP34" i="8" a="1"/>
  <c r="AP34" i="8" s="1"/>
  <c r="AO34" i="8" a="1"/>
  <c r="AO34" i="8" s="1"/>
  <c r="AN34" i="8" a="1"/>
  <c r="AN34" i="8" s="1"/>
  <c r="AC34" i="8"/>
  <c r="AM34" i="8" s="1" a="1"/>
  <c r="AM34" i="8" s="1"/>
  <c r="AQ33" i="8" a="1"/>
  <c r="AQ33" i="8" s="1"/>
  <c r="AP33" i="8" a="1"/>
  <c r="AP33" i="8" s="1"/>
  <c r="AO33" i="8" a="1"/>
  <c r="AO33" i="8" s="1"/>
  <c r="AN33" i="8" a="1"/>
  <c r="AN33" i="8" s="1"/>
  <c r="AM33" i="8" a="1"/>
  <c r="AM33" i="8" s="1"/>
  <c r="AC33" i="8"/>
  <c r="AQ32" i="8" a="1"/>
  <c r="AQ32" i="8" s="1"/>
  <c r="AP32" i="8" a="1"/>
  <c r="AP32" i="8" s="1"/>
  <c r="AO32" i="8" a="1"/>
  <c r="AO32" i="8" s="1"/>
  <c r="AN32" i="8" a="1"/>
  <c r="AN32" i="8" s="1"/>
  <c r="AC32" i="8"/>
  <c r="AM32" i="8" s="1" a="1"/>
  <c r="AM32" i="8" s="1"/>
  <c r="U30" i="8"/>
  <c r="F30" i="8" a="1"/>
  <c r="F30" i="8"/>
  <c r="F31" i="8" s="1" a="1"/>
  <c r="F31" i="8" s="1"/>
  <c r="F32" i="8" s="1" a="1"/>
  <c r="F32" i="8" s="1"/>
  <c r="AQ28" i="8" a="1"/>
  <c r="AQ28" i="8" s="1"/>
  <c r="AP28" i="8" a="1"/>
  <c r="AP28" i="8" s="1"/>
  <c r="AO28" i="8" a="1"/>
  <c r="AO28" i="8" s="1"/>
  <c r="AN28" i="8" a="1"/>
  <c r="AN28" i="8" s="1"/>
  <c r="AC28" i="8"/>
  <c r="AM28" i="8" s="1" a="1"/>
  <c r="AM28" i="8" s="1"/>
  <c r="F27" i="8" a="1"/>
  <c r="F27" i="8" s="1"/>
  <c r="F28" i="8" s="1" a="1"/>
  <c r="F28" i="8" s="1"/>
  <c r="U26" i="8"/>
  <c r="F26" i="8" a="1"/>
  <c r="F26" i="8"/>
  <c r="AH9" i="8" a="1"/>
  <c r="AH9" i="8"/>
  <c r="V66" i="7"/>
  <c r="J62" i="7" a="1"/>
  <c r="J62" i="7" s="1"/>
  <c r="AP60" i="7" a="1"/>
  <c r="AP60" i="7" s="1"/>
  <c r="AO60" i="7" a="1"/>
  <c r="AO60" i="7" s="1"/>
  <c r="J60" i="7"/>
  <c r="J59" i="7"/>
  <c r="J58" i="7"/>
  <c r="J57" i="7"/>
  <c r="J56" i="7"/>
  <c r="J55" i="7"/>
  <c r="J54" i="7"/>
  <c r="J53" i="7"/>
  <c r="J52" i="7"/>
  <c r="V51" i="7"/>
  <c r="V52" i="7" s="1" a="1"/>
  <c r="V52" i="7" s="1"/>
  <c r="V53" i="7" s="1" a="1"/>
  <c r="V53" i="7" s="1"/>
  <c r="V54" i="7" s="1" a="1"/>
  <c r="V54" i="7" s="1"/>
  <c r="V55" i="7" s="1" a="1"/>
  <c r="V55" i="7" s="1"/>
  <c r="V56" i="7" s="1" a="1"/>
  <c r="V56" i="7" s="1"/>
  <c r="V57" i="7" s="1" a="1"/>
  <c r="V57" i="7" s="1"/>
  <c r="V58" i="7" s="1" a="1"/>
  <c r="V58" i="7" s="1"/>
  <c r="V59" i="7" s="1" a="1"/>
  <c r="V59" i="7" s="1"/>
  <c r="V61" i="7" s="1" a="1"/>
  <c r="V61" i="7" s="1"/>
  <c r="V62" i="7" s="1" a="1"/>
  <c r="V62" i="7" s="1"/>
  <c r="T51" i="7" a="1"/>
  <c r="T51" i="7"/>
  <c r="F51" i="7" a="1"/>
  <c r="F51" i="7"/>
  <c r="F52" i="7" s="1" a="1"/>
  <c r="F52" i="7" s="1"/>
  <c r="F53" i="7" s="1" a="1"/>
  <c r="F53" i="7" s="1"/>
  <c r="F54" i="7" s="1" a="1"/>
  <c r="F54" i="7" s="1"/>
  <c r="F55" i="7" s="1" a="1"/>
  <c r="F55" i="7" s="1"/>
  <c r="F56" i="7" s="1" a="1"/>
  <c r="F56" i="7" s="1"/>
  <c r="F57" i="7" s="1" a="1"/>
  <c r="F57" i="7" s="1"/>
  <c r="F58" i="7" s="1" a="1"/>
  <c r="F58" i="7" s="1"/>
  <c r="F59" i="7" s="1" a="1"/>
  <c r="F59" i="7" s="1"/>
  <c r="F60" i="7" s="1" a="1"/>
  <c r="F60" i="7" s="1"/>
  <c r="J50" i="7" a="1"/>
  <c r="J50" i="7"/>
  <c r="AP48" i="7" a="1"/>
  <c r="AP48" i="7"/>
  <c r="AO48" i="7" a="1"/>
  <c r="AO48" i="7"/>
  <c r="J48" i="7"/>
  <c r="J47" i="7"/>
  <c r="J46" i="7"/>
  <c r="B46" i="7"/>
  <c r="B47" i="7" s="1" a="1"/>
  <c r="B47" i="7" s="1"/>
  <c r="J45" i="7"/>
  <c r="B45" i="7"/>
  <c r="AC46" i="7" s="1"/>
  <c r="AC47" i="7" s="1"/>
  <c r="J44" i="7"/>
  <c r="J43" i="7"/>
  <c r="J42" i="7"/>
  <c r="J41" i="7"/>
  <c r="J40" i="7"/>
  <c r="F40" i="7" a="1"/>
  <c r="F40" i="7" s="1"/>
  <c r="F41" i="7" s="1" a="1"/>
  <c r="F41" i="7" s="1"/>
  <c r="F42" i="7" s="1" a="1"/>
  <c r="F42" i="7" s="1"/>
  <c r="F43" i="7" s="1" a="1"/>
  <c r="F43" i="7" s="1"/>
  <c r="F44" i="7" s="1" a="1"/>
  <c r="F44" i="7" s="1"/>
  <c r="F45" i="7" s="1" a="1"/>
  <c r="F45" i="7" s="1"/>
  <c r="F46" i="7" s="1" a="1"/>
  <c r="F46" i="7" s="1"/>
  <c r="F47" i="7" s="1" a="1"/>
  <c r="F47" i="7" s="1"/>
  <c r="F48" i="7" s="1" a="1"/>
  <c r="F48" i="7" s="1"/>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s="1"/>
  <c r="J38" i="7" a="1"/>
  <c r="J38" i="7" s="1"/>
  <c r="AP36" i="7" a="1"/>
  <c r="AP36" i="7" s="1"/>
  <c r="AO36" i="7" a="1"/>
  <c r="AO36" i="7" s="1"/>
  <c r="J36" i="7"/>
  <c r="J35" i="7"/>
  <c r="J34" i="7"/>
  <c r="J33" i="7"/>
  <c r="J32" i="7"/>
  <c r="J31" i="7"/>
  <c r="J30" i="7"/>
  <c r="B30" i="7"/>
  <c r="J29" i="7"/>
  <c r="J28" i="7"/>
  <c r="AC27" i="7" a="1"/>
  <c r="AC27" i="7" s="1"/>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c r="F27" i="7" a="1"/>
  <c r="F27" i="7"/>
  <c r="AI24" i="7"/>
  <c r="AH24" i="7"/>
  <c r="AG24" i="7"/>
  <c r="AF24" i="7"/>
  <c r="AJ11" i="7" a="1"/>
  <c r="AJ11" i="7"/>
  <c r="AI10" i="7" a="1"/>
  <c r="AI10" i="7"/>
  <c r="AH10" i="7" a="1"/>
  <c r="AH10" i="7"/>
  <c r="AG10" i="7" a="1"/>
  <c r="AG10" i="7"/>
  <c r="AF10" i="7" a="1"/>
  <c r="AF10" i="7"/>
  <c r="AG9" i="7"/>
  <c r="AF9" i="7"/>
  <c r="AF7" i="7" a="1"/>
  <c r="AF7" i="7"/>
  <c r="AJ6" i="7" a="1"/>
  <c r="AJ6" i="7"/>
  <c r="AI6" i="7" a="1"/>
  <c r="AI6" i="7"/>
  <c r="AI9" i="7" s="1" a="1"/>
  <c r="AI9" i="7" s="1"/>
  <c r="AH6" i="7" a="1"/>
  <c r="AH6" i="7"/>
  <c r="AH9" i="7" s="1" a="1"/>
  <c r="AH9" i="7" s="1"/>
  <c r="AG6" i="7"/>
  <c r="AG9" i="7" s="1" a="1"/>
  <c r="AF6" i="7"/>
  <c r="AF9" i="7" s="1" a="1"/>
  <c r="AG2" i="7"/>
  <c r="AF2" i="7"/>
  <c r="AM35" i="6" a="1"/>
  <c r="AM35" i="6"/>
  <c r="AL35" i="6" a="1"/>
  <c r="AL35" i="6"/>
  <c r="AK35" i="6" a="1"/>
  <c r="AK35" i="6"/>
  <c r="G35" i="6" a="1"/>
  <c r="G35" i="6" s="1"/>
  <c r="AM34" i="6" a="1"/>
  <c r="AM34" i="6" s="1"/>
  <c r="AL34" i="6" a="1"/>
  <c r="AL34" i="6" s="1"/>
  <c r="AK34" i="6" a="1"/>
  <c r="AK34" i="6" s="1"/>
  <c r="G34" i="6" a="1"/>
  <c r="G34" i="6"/>
  <c r="U33" i="6"/>
  <c r="U36" i="6" s="1" a="1"/>
  <c r="U36" i="6" s="1"/>
  <c r="F33" i="6" a="1"/>
  <c r="F33" i="6" s="1"/>
  <c r="F34" i="6" s="1" a="1"/>
  <c r="F34" i="6" s="1"/>
  <c r="U32" i="6" a="1"/>
  <c r="U32" i="6" s="1"/>
  <c r="AM31" i="6" a="1"/>
  <c r="AM31" i="6" s="1"/>
  <c r="AL31" i="6" a="1"/>
  <c r="AL31" i="6" s="1"/>
  <c r="AK31" i="6" a="1"/>
  <c r="AK31" i="6" s="1"/>
  <c r="G31" i="6" a="1"/>
  <c r="G31" i="6"/>
  <c r="AM30" i="6" a="1"/>
  <c r="AM30" i="6"/>
  <c r="AL30" i="6" a="1"/>
  <c r="AL30" i="6"/>
  <c r="AK30" i="6" a="1"/>
  <c r="AK30" i="6"/>
  <c r="G30" i="6" a="1"/>
  <c r="G30" i="6" s="1"/>
  <c r="AB29" i="6" a="1"/>
  <c r="AB29" i="6" s="1"/>
  <c r="U29" i="6"/>
  <c r="F29" i="6" a="1"/>
  <c r="F29" i="6"/>
  <c r="F30" i="6" s="1" a="1"/>
  <c r="F30" i="6" s="1"/>
  <c r="AM27" i="6" a="1"/>
  <c r="AM27" i="6"/>
  <c r="AL27" i="6" a="1"/>
  <c r="AL27" i="6"/>
  <c r="AK27" i="6" a="1"/>
  <c r="AK27" i="6"/>
  <c r="G27" i="6" a="1"/>
  <c r="G27" i="6" s="1"/>
  <c r="U26" i="6"/>
  <c r="U28" i="6" s="1" a="1"/>
  <c r="U28" i="6" s="1"/>
  <c r="F26" i="6" a="1"/>
  <c r="F26" i="6"/>
  <c r="F27" i="6" s="1" a="1"/>
  <c r="F27" i="6" s="1"/>
  <c r="AG9" i="6" a="1"/>
  <c r="AG9" i="6"/>
  <c r="AF9" i="6" a="1"/>
  <c r="AF9" i="6"/>
  <c r="B236" i="5"/>
  <c r="AE233" i="5" a="1"/>
  <c r="AE233" i="5" s="1"/>
  <c r="B233" i="5"/>
  <c r="AE232" i="5" a="1"/>
  <c r="AE232" i="5"/>
  <c r="B232" i="5"/>
  <c r="AE231" i="5" a="1"/>
  <c r="AE231" i="5" s="1"/>
  <c r="AE230" i="5" a="1"/>
  <c r="AE230" i="5" s="1"/>
  <c r="W228" i="5"/>
  <c r="B222" i="5"/>
  <c r="B221" i="5"/>
  <c r="AD220" i="5"/>
  <c r="B220" i="5"/>
  <c r="B219" i="5"/>
  <c r="B218" i="5"/>
  <c r="B217" i="5"/>
  <c r="B216" i="5"/>
  <c r="B215" i="5"/>
  <c r="B214" i="5"/>
  <c r="AD213" i="5"/>
  <c r="B213" i="5"/>
  <c r="B212" i="5"/>
  <c r="B211" i="5"/>
  <c r="W210" i="5"/>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B210" i="5"/>
  <c r="W209" i="5" a="1"/>
  <c r="W209" i="5" s="1"/>
  <c r="W210" i="5" s="1" a="1"/>
  <c r="F209" i="5"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9" i="5"/>
  <c r="AM208" i="5" a="1"/>
  <c r="AM208" i="5" s="1"/>
  <c r="AL208" i="5" a="1"/>
  <c r="AL208" i="5" s="1"/>
  <c r="AK208" i="5" a="1"/>
  <c r="AK208" i="5" s="1"/>
  <c r="AJ208" i="5" a="1"/>
  <c r="AJ208" i="5" s="1"/>
  <c r="AD158" i="27" s="1" a="1"/>
  <c r="AD158" i="27" s="1"/>
  <c r="AI208" i="5" a="1"/>
  <c r="AI208" i="5" s="1"/>
  <c r="AH208" i="5" a="1"/>
  <c r="AH208" i="5" s="1"/>
  <c r="AG208" i="5"/>
  <c r="AD208" i="5"/>
  <c r="W208" i="5"/>
  <c r="V208" i="5" a="1"/>
  <c r="V208" i="5"/>
  <c r="F208" i="5" a="1"/>
  <c r="F208" i="5"/>
  <c r="B208" i="5"/>
  <c r="B207" i="5"/>
  <c r="AD206" i="5"/>
  <c r="B206" i="5"/>
  <c r="B205" i="5"/>
  <c r="B204" i="5"/>
  <c r="B203" i="5"/>
  <c r="B202" i="5"/>
  <c r="B201" i="5"/>
  <c r="B200" i="5"/>
  <c r="AD199" i="5"/>
  <c r="B199" i="5"/>
  <c r="B198" i="5"/>
  <c r="B197" i="5"/>
  <c r="B196" i="5"/>
  <c r="B195" i="5"/>
  <c r="AM194" i="5" a="1"/>
  <c r="AM194" i="5" s="1"/>
  <c r="AL194" i="5" a="1"/>
  <c r="AL194" i="5" s="1"/>
  <c r="AK194" i="5" a="1"/>
  <c r="AK194" i="5" s="1"/>
  <c r="AJ194" i="5" a="1"/>
  <c r="AJ194" i="5" s="1"/>
  <c r="AD95" i="27" s="1" a="1"/>
  <c r="AD95" i="27" s="1"/>
  <c r="AI194" i="5" a="1"/>
  <c r="AI194" i="5" s="1"/>
  <c r="AH194" i="5" a="1"/>
  <c r="AH194" i="5" s="1"/>
  <c r="AE198" i="11" s="1" a="1"/>
  <c r="AE198" i="11" s="1"/>
  <c r="AG194" i="5"/>
  <c r="W29" i="6" s="1" a="1"/>
  <c r="W29" i="6" s="1"/>
  <c r="AD194" i="5"/>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AM180" i="5" a="1"/>
  <c r="AM180" i="5"/>
  <c r="AK180" i="5" a="1"/>
  <c r="AK180" i="5"/>
  <c r="AJ180" i="5" a="1"/>
  <c r="AJ180" i="5"/>
  <c r="AD32" i="27" s="1" a="1"/>
  <c r="AD32" i="27" s="1"/>
  <c r="AI180" i="5" a="1"/>
  <c r="AI180" i="5"/>
  <c r="AD31" i="27" s="1" a="1"/>
  <c r="AD31" i="27" s="1"/>
  <c r="AH180" i="5" a="1"/>
  <c r="AH180" i="5"/>
  <c r="AD180" i="5"/>
  <c r="AG180" i="5" s="1"/>
  <c r="AB26" i="6" s="1" a="1"/>
  <c r="AB26" i="6" s="1"/>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F2" i="27" s="1" a="1"/>
  <c r="AF2" i="27" s="1"/>
  <c r="B179" i="5"/>
  <c r="B178" i="5"/>
  <c r="B177" i="5"/>
  <c r="B176" i="5"/>
  <c r="AG173" i="5"/>
  <c r="AF173" i="5"/>
  <c r="AE173" i="5"/>
  <c r="AD173" i="5"/>
  <c r="AB172" i="5"/>
  <c r="W171" i="5"/>
  <c r="B149" i="5"/>
  <c r="B148" i="5"/>
  <c r="B147" i="5"/>
  <c r="B146" i="5"/>
  <c r="B145" i="5"/>
  <c r="W144" i="5"/>
  <c r="W145" i="5" s="1" a="1"/>
  <c r="W145" i="5" s="1"/>
  <c r="W146" i="5" s="1" a="1"/>
  <c r="W146" i="5" s="1"/>
  <c r="W147" i="5" s="1" a="1"/>
  <c r="W147" i="5" s="1"/>
  <c r="W148" i="5" s="1" a="1"/>
  <c r="W148" i="5" s="1"/>
  <c r="B144" i="5"/>
  <c r="W143" i="5"/>
  <c r="W144" i="5" s="1" a="1"/>
  <c r="B143" i="5"/>
  <c r="B142" i="5"/>
  <c r="B141" i="5"/>
  <c r="B140" i="5"/>
  <c r="B139" i="5"/>
  <c r="B138" i="5"/>
  <c r="B137" i="5"/>
  <c r="AB136" i="5"/>
  <c r="B136" i="5"/>
  <c r="B135" i="5"/>
  <c r="B134" i="5"/>
  <c r="B133" i="5"/>
  <c r="B132" i="5"/>
  <c r="B131" i="5"/>
  <c r="B130" i="5"/>
  <c r="W129" i="5"/>
  <c r="W130" i="5" s="1" a="1"/>
  <c r="W130" i="5" s="1"/>
  <c r="W131" i="5" s="1" a="1"/>
  <c r="W131" i="5" s="1"/>
  <c r="W132" i="5" s="1" a="1"/>
  <c r="W132" i="5" s="1"/>
  <c r="W133" i="5" s="1" a="1"/>
  <c r="W133" i="5" s="1"/>
  <c r="W134" i="5" s="1" a="1"/>
  <c r="W134" i="5" s="1"/>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W104" i="5"/>
  <c r="W105" i="5" s="1" a="1"/>
  <c r="W105" i="5" s="1"/>
  <c r="W106" i="5" s="1" a="1"/>
  <c r="W106" i="5" s="1"/>
  <c r="B104" i="5"/>
  <c r="W103" i="5" a="1"/>
  <c r="W103" i="5" s="1"/>
  <c r="W104" i="5" s="1" a="1"/>
  <c r="B103" i="5"/>
  <c r="W102" i="5"/>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E27" i="5"/>
  <c r="B27" i="5"/>
  <c r="B26" i="5"/>
  <c r="AG25" i="5" a="1"/>
  <c r="AG25" i="5" s="1"/>
  <c r="AM2" i="15" s="1"/>
  <c r="AF25" i="5"/>
  <c r="AB35" i="5" s="1"/>
  <c r="B25" i="5"/>
  <c r="AI24" i="5"/>
  <c r="AI23" i="5"/>
  <c r="AH23" i="5"/>
  <c r="AB34" i="5" s="1"/>
  <c r="AF22" i="5" a="1"/>
  <c r="AF22" i="5"/>
  <c r="B53" i="4"/>
  <c r="B52" i="4"/>
  <c r="B51" i="4"/>
  <c r="B50" i="4"/>
  <c r="B49" i="4"/>
  <c r="B48" i="4"/>
  <c r="B47" i="4"/>
  <c r="B46" i="4"/>
  <c r="B45" i="4"/>
  <c r="B44" i="4"/>
  <c r="B43" i="4"/>
  <c r="B42" i="4"/>
  <c r="B41" i="4"/>
  <c r="B40" i="4"/>
  <c r="B39" i="4"/>
  <c r="B38" i="4"/>
  <c r="B37" i="4"/>
  <c r="B36" i="4"/>
  <c r="B35" i="4"/>
  <c r="B34" i="4"/>
  <c r="B33" i="4"/>
  <c r="B32" i="4"/>
  <c r="B31" i="4"/>
  <c r="B29" i="4"/>
  <c r="B28" i="4"/>
  <c r="F30" i="35" l="1" a="1"/>
  <c r="F30" i="35" s="1"/>
  <c r="K50" i="14"/>
  <c r="K80" i="14"/>
  <c r="K52" i="21"/>
  <c r="U32" i="8"/>
  <c r="F33" i="8" a="1"/>
  <c r="F33" i="8" s="1"/>
  <c r="U40" i="8"/>
  <c r="F41" i="8" a="1"/>
  <c r="F41" i="8" s="1"/>
  <c r="U89" i="9" a="1"/>
  <c r="U89" i="9" s="1"/>
  <c r="U90" i="9" s="1" a="1"/>
  <c r="U90" i="9" s="1"/>
  <c r="U91" i="9" s="1" a="1"/>
  <c r="U91" i="9" s="1"/>
  <c r="U92" i="9" s="1" a="1"/>
  <c r="U92" i="9" s="1"/>
  <c r="U93" i="9" s="1" a="1"/>
  <c r="U93" i="9" s="1"/>
  <c r="U88" i="9" a="1"/>
  <c r="U88" i="9" s="1"/>
  <c r="F49" i="7" a="1"/>
  <c r="F49" i="7" s="1"/>
  <c r="F50" i="7" s="1" a="1"/>
  <c r="F50" i="7" s="1"/>
  <c r="V48" i="7"/>
  <c r="AI120" i="11"/>
  <c r="AI52" i="14" s="1"/>
  <c r="AI54" i="14" s="1"/>
  <c r="AI134" i="11"/>
  <c r="AQ120" i="11"/>
  <c r="AQ134" i="11"/>
  <c r="AY120" i="11"/>
  <c r="AY134" i="11"/>
  <c r="F31" i="6" a="1"/>
  <c r="F31" i="6" s="1"/>
  <c r="U30" i="6"/>
  <c r="F68" i="9" a="1"/>
  <c r="F68" i="9" s="1"/>
  <c r="U67" i="9"/>
  <c r="F35" i="6" a="1"/>
  <c r="F35" i="6" s="1"/>
  <c r="U34" i="6"/>
  <c r="U34" i="9" a="1"/>
  <c r="U34" i="9" s="1"/>
  <c r="U35" i="9" a="1"/>
  <c r="U35" i="9" s="1"/>
  <c r="U36" i="9" s="1" a="1"/>
  <c r="U36" i="9" s="1"/>
  <c r="U37" i="9" s="1" a="1"/>
  <c r="U37" i="9" s="1"/>
  <c r="U38" i="9" s="1" a="1"/>
  <c r="U38" i="9" s="1"/>
  <c r="U39" i="9" s="1" a="1"/>
  <c r="U39" i="9" s="1"/>
  <c r="U62" i="9" a="1"/>
  <c r="U62" i="9" s="1"/>
  <c r="U63" i="9" s="1" a="1"/>
  <c r="U63" i="9" s="1"/>
  <c r="U64" i="9" s="1" a="1"/>
  <c r="U64" i="9" s="1"/>
  <c r="U65" i="9" s="1" a="1"/>
  <c r="U65" i="9" s="1"/>
  <c r="U66" i="9" s="1" a="1"/>
  <c r="U66" i="9" s="1"/>
  <c r="U61" i="9" a="1"/>
  <c r="U61" i="9" s="1"/>
  <c r="F28" i="6" a="1"/>
  <c r="F28" i="6" s="1"/>
  <c r="U27" i="6"/>
  <c r="U28" i="8"/>
  <c r="F29" i="8" a="1"/>
  <c r="F29" i="8" s="1"/>
  <c r="U29" i="8" s="1"/>
  <c r="F95" i="9" a="1"/>
  <c r="F95" i="9" s="1"/>
  <c r="U94" i="9"/>
  <c r="F34" i="12" a="1"/>
  <c r="F34" i="12" s="1"/>
  <c r="T33" i="12"/>
  <c r="F37" i="12" a="1"/>
  <c r="F37" i="12" s="1"/>
  <c r="T36" i="12"/>
  <c r="V60" i="7"/>
  <c r="F61" i="7" a="1"/>
  <c r="F61" i="7" s="1"/>
  <c r="F62" i="7" s="1" a="1"/>
  <c r="F62" i="7" s="1"/>
  <c r="AS54" i="14"/>
  <c r="AT52" i="14" a="1"/>
  <c r="AT52" i="14" s="1"/>
  <c r="AM120" i="11"/>
  <c r="AM134" i="11"/>
  <c r="AU120" i="11"/>
  <c r="AU134" i="11"/>
  <c r="K28" i="14"/>
  <c r="F29" i="14" a="1"/>
  <c r="F29" i="14" s="1"/>
  <c r="F30" i="14" s="1" a="1"/>
  <c r="F30" i="14" s="1"/>
  <c r="F31" i="14" s="1" a="1"/>
  <c r="F31" i="14" s="1"/>
  <c r="F32" i="14" s="1" a="1"/>
  <c r="F32" i="14" s="1"/>
  <c r="F33" i="14" s="1" a="1"/>
  <c r="F33" i="14" s="1"/>
  <c r="F34" i="14" s="1" a="1"/>
  <c r="F34" i="14" s="1"/>
  <c r="AH53" i="14"/>
  <c r="AD94" i="27" a="1"/>
  <c r="AD94" i="27" s="1"/>
  <c r="AN194" i="5"/>
  <c r="AJ9" i="9" a="1"/>
  <c r="AJ9" i="9" s="1"/>
  <c r="AZ9" i="9" a="1"/>
  <c r="AZ9" i="9" s="1"/>
  <c r="BD9" i="9" a="1"/>
  <c r="BD9" i="9" s="1"/>
  <c r="AR9" i="10" a="1"/>
  <c r="AR9" i="10" s="1"/>
  <c r="AR8" i="10"/>
  <c r="AH135" i="11"/>
  <c r="AH129" i="11" s="1"/>
  <c r="AH120" i="11" s="1"/>
  <c r="AL135" i="11"/>
  <c r="AL129" i="11" s="1"/>
  <c r="AP135" i="11"/>
  <c r="AP129" i="11" s="1"/>
  <c r="AT135" i="11"/>
  <c r="AT129" i="11" s="1"/>
  <c r="AX135" i="11"/>
  <c r="AX129" i="11" s="1"/>
  <c r="BB135" i="11"/>
  <c r="BB129" i="11" s="1"/>
  <c r="AH226" i="11"/>
  <c r="AH220" i="11" s="1"/>
  <c r="AL226" i="11"/>
  <c r="AL220" i="11" s="1"/>
  <c r="AP226" i="11"/>
  <c r="AP220" i="11" s="1"/>
  <c r="AT226" i="11"/>
  <c r="AT220" i="11" s="1"/>
  <c r="AX226" i="11"/>
  <c r="AX220" i="11" s="1"/>
  <c r="BB226" i="11"/>
  <c r="BB220" i="11" s="1"/>
  <c r="AF264" i="11"/>
  <c r="AF82" i="14" a="1"/>
  <c r="AF82" i="14" s="1"/>
  <c r="AK2" i="13"/>
  <c r="AS2" i="13"/>
  <c r="BA2" i="13"/>
  <c r="K28" i="13"/>
  <c r="F29" i="13" a="1"/>
  <c r="F29" i="13" s="1"/>
  <c r="F30" i="13" s="1" a="1"/>
  <c r="F30" i="13" s="1"/>
  <c r="AX2" i="14"/>
  <c r="AK8" i="14"/>
  <c r="AK2" i="14"/>
  <c r="AO8" i="14"/>
  <c r="AO2" i="14"/>
  <c r="AS8" i="14"/>
  <c r="AS2" i="14"/>
  <c r="AV9" i="14" a="1"/>
  <c r="AV9" i="14" s="1"/>
  <c r="AV2" i="14"/>
  <c r="AZ9" i="14" a="1"/>
  <c r="AZ9" i="14" s="1"/>
  <c r="AZ2" i="14"/>
  <c r="AZ8" i="14"/>
  <c r="AT62" i="14"/>
  <c r="AT50" i="14" s="1"/>
  <c r="AU63" i="14" a="1"/>
  <c r="AU63" i="14" s="1"/>
  <c r="AG148" i="26" a="1"/>
  <c r="AG148" i="26" s="1"/>
  <c r="AG84" i="14"/>
  <c r="AG147" i="26" s="1" a="1"/>
  <c r="AG147" i="26" s="1"/>
  <c r="AH84" i="14"/>
  <c r="AL9" i="15" a="1"/>
  <c r="AL9" i="15" s="1"/>
  <c r="AL2" i="15"/>
  <c r="AP9" i="15" a="1"/>
  <c r="AP9" i="15" s="1"/>
  <c r="AP2" i="15"/>
  <c r="AF59" i="15"/>
  <c r="AF52" i="15"/>
  <c r="AJ59" i="15"/>
  <c r="AJ52" i="15"/>
  <c r="AN59" i="15"/>
  <c r="AN52" i="15"/>
  <c r="AR59" i="15"/>
  <c r="AR52" i="15"/>
  <c r="AV59" i="15"/>
  <c r="AV52" i="15"/>
  <c r="AZ59" i="15"/>
  <c r="AZ52" i="15"/>
  <c r="AE108" i="15"/>
  <c r="AE101" i="15"/>
  <c r="AI108" i="15"/>
  <c r="AI101" i="15"/>
  <c r="AM108" i="15"/>
  <c r="AM101" i="15"/>
  <c r="AQ108" i="15"/>
  <c r="AQ101" i="15"/>
  <c r="AU108" i="15"/>
  <c r="AU101" i="15"/>
  <c r="AY108" i="15"/>
  <c r="AY101" i="15"/>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K162" i="15"/>
  <c r="AF157" i="15"/>
  <c r="AF150" i="15"/>
  <c r="AJ157" i="15"/>
  <c r="AJ150" i="15"/>
  <c r="AN157" i="15"/>
  <c r="AN150" i="15"/>
  <c r="AR157" i="15"/>
  <c r="AR150" i="15"/>
  <c r="AV157" i="15"/>
  <c r="AV150" i="15"/>
  <c r="AZ157" i="15"/>
  <c r="AZ150" i="15"/>
  <c r="AK2" i="16"/>
  <c r="AO2" i="16"/>
  <c r="AS2" i="16"/>
  <c r="F45" i="17" a="1"/>
  <c r="F45" i="17" s="1"/>
  <c r="F46" i="17" s="1" a="1"/>
  <c r="F46" i="17" s="1"/>
  <c r="AB47" i="18"/>
  <c r="AB46" i="18"/>
  <c r="AB70" i="18"/>
  <c r="AB67" i="18"/>
  <c r="AB126" i="18"/>
  <c r="AB127" i="18"/>
  <c r="AB151" i="18"/>
  <c r="AB150" i="18"/>
  <c r="AB161" i="18"/>
  <c r="AB160" i="18"/>
  <c r="K247" i="18"/>
  <c r="K213" i="18"/>
  <c r="K199" i="18"/>
  <c r="K185" i="18"/>
  <c r="F179" i="18" a="1"/>
  <c r="F179" i="18" s="1"/>
  <c r="F180" i="18" s="1" a="1"/>
  <c r="F180" i="18" s="1"/>
  <c r="K233" i="18"/>
  <c r="K240" i="18"/>
  <c r="K206" i="18"/>
  <c r="K192" i="18"/>
  <c r="K178" i="18"/>
  <c r="AB182" i="18"/>
  <c r="AB183" i="18"/>
  <c r="AB252" i="18"/>
  <c r="AB251" i="18"/>
  <c r="F28" i="19" a="1"/>
  <c r="F28" i="19" s="1"/>
  <c r="F48" i="20" a="1"/>
  <c r="F48" i="20" s="1"/>
  <c r="K120" i="23"/>
  <c r="F121" i="23" a="1"/>
  <c r="F121" i="23" s="1"/>
  <c r="F122" i="23" s="1" a="1"/>
  <c r="F122" i="23" s="1"/>
  <c r="F123" i="23" s="1" a="1"/>
  <c r="F123" i="23" s="1"/>
  <c r="F124" i="23" s="1" a="1"/>
  <c r="F124" i="23" s="1"/>
  <c r="F125" i="23" s="1" a="1"/>
  <c r="F125" i="23" s="1"/>
  <c r="F126" i="23" s="1" a="1"/>
  <c r="F126" i="23" s="1"/>
  <c r="F127" i="23" s="1" a="1"/>
  <c r="F127" i="23" s="1"/>
  <c r="F128" i="23" s="1" a="1"/>
  <c r="F128" i="23" s="1"/>
  <c r="F129" i="23" s="1" a="1"/>
  <c r="F129" i="23" s="1"/>
  <c r="F130" i="23" s="1" a="1"/>
  <c r="F130" i="23" s="1"/>
  <c r="F131" i="23" s="1" a="1"/>
  <c r="F131" i="23" s="1"/>
  <c r="F132" i="23" s="1" a="1"/>
  <c r="F132" i="23" s="1"/>
  <c r="F133" i="23" s="1" a="1"/>
  <c r="F133" i="23" s="1"/>
  <c r="F134" i="23" s="1" a="1"/>
  <c r="F134" i="23" s="1"/>
  <c r="F135" i="23" s="1" a="1"/>
  <c r="F135" i="23" s="1"/>
  <c r="F136" i="23" s="1" a="1"/>
  <c r="F136" i="23" s="1"/>
  <c r="F137" i="23" s="1" a="1"/>
  <c r="F137" i="23" s="1"/>
  <c r="F138" i="23" s="1" a="1"/>
  <c r="F138" i="23" s="1"/>
  <c r="F139" i="23" s="1" a="1"/>
  <c r="F139" i="23" s="1"/>
  <c r="F140" i="23" s="1" a="1"/>
  <c r="F140" i="23" s="1"/>
  <c r="F141" i="23" s="1" a="1"/>
  <c r="F141" i="23" s="1"/>
  <c r="F142" i="23" s="1" a="1"/>
  <c r="F142" i="23" s="1"/>
  <c r="F86" i="26" a="1"/>
  <c r="F86" i="26" s="1"/>
  <c r="F87" i="26" s="1" a="1"/>
  <c r="F87" i="26" s="1"/>
  <c r="AV9" i="9" a="1"/>
  <c r="AV9" i="9" s="1"/>
  <c r="AG8" i="10"/>
  <c r="AQ2" i="30"/>
  <c r="AM2" i="30"/>
  <c r="AP2" i="30"/>
  <c r="AL2" i="30"/>
  <c r="BM2" i="30"/>
  <c r="BI2" i="30"/>
  <c r="BE2" i="30"/>
  <c r="BA2" i="30"/>
  <c r="AW2" i="30"/>
  <c r="AS2" i="30"/>
  <c r="AO2" i="30"/>
  <c r="AK2" i="30"/>
  <c r="BD2" i="30"/>
  <c r="AN2" i="30"/>
  <c r="AZ2" i="30"/>
  <c r="BL2" i="30"/>
  <c r="AV2" i="30"/>
  <c r="BH2" i="30"/>
  <c r="AR2" i="30"/>
  <c r="BL2" i="29"/>
  <c r="BH2" i="29"/>
  <c r="AR2" i="29"/>
  <c r="AN2" i="29"/>
  <c r="BJ2" i="29"/>
  <c r="BF2" i="29"/>
  <c r="AP2" i="29"/>
  <c r="AL2" i="29"/>
  <c r="BA2" i="29"/>
  <c r="AS2" i="29"/>
  <c r="AK2" i="29"/>
  <c r="BG2" i="29"/>
  <c r="AY2" i="29"/>
  <c r="AQ2" i="29"/>
  <c r="AW2" i="29"/>
  <c r="AO2" i="29"/>
  <c r="BK2" i="29"/>
  <c r="BC2" i="29"/>
  <c r="AU2" i="29"/>
  <c r="BB2" i="23"/>
  <c r="AX2" i="23"/>
  <c r="AT2" i="23"/>
  <c r="AP2" i="23"/>
  <c r="AL2" i="23"/>
  <c r="FU2" i="27"/>
  <c r="FQ2" i="27"/>
  <c r="FM2" i="27"/>
  <c r="FI2" i="27"/>
  <c r="FE2" i="27"/>
  <c r="FA2" i="27"/>
  <c r="EW2" i="27"/>
  <c r="ES2" i="27"/>
  <c r="EO2" i="27"/>
  <c r="EK2" i="27"/>
  <c r="EG2" i="27"/>
  <c r="EC2" i="27"/>
  <c r="DY2" i="27"/>
  <c r="DU2" i="27"/>
  <c r="DQ2" i="27"/>
  <c r="DM2" i="27"/>
  <c r="DI2" i="27"/>
  <c r="DE2" i="27"/>
  <c r="DA2" i="27"/>
  <c r="CW2" i="27"/>
  <c r="CS2" i="27"/>
  <c r="CO2" i="27"/>
  <c r="CK2" i="27"/>
  <c r="CG2" i="27"/>
  <c r="CC2" i="27"/>
  <c r="BY2" i="27"/>
  <c r="BU2" i="27"/>
  <c r="BQ2" i="27"/>
  <c r="BM2" i="27"/>
  <c r="BI2" i="27"/>
  <c r="BE2" i="27"/>
  <c r="BA2" i="27"/>
  <c r="AW2" i="27"/>
  <c r="AS2" i="27"/>
  <c r="AO2" i="27"/>
  <c r="AK2" i="27"/>
  <c r="AG2" i="27"/>
  <c r="AK2" i="24"/>
  <c r="AG2" i="24"/>
  <c r="BA2" i="23"/>
  <c r="AW2" i="23"/>
  <c r="AR2" i="22"/>
  <c r="AN2" i="22"/>
  <c r="AJ2" i="22"/>
  <c r="AU2" i="24"/>
  <c r="AQ2" i="24"/>
  <c r="BC2" i="23"/>
  <c r="AY2" i="23"/>
  <c r="AQ2" i="23"/>
  <c r="AM2" i="23"/>
  <c r="FP2" i="27"/>
  <c r="EZ2" i="27"/>
  <c r="EJ2" i="27"/>
  <c r="DT2" i="27"/>
  <c r="DD2" i="27"/>
  <c r="CN2" i="27"/>
  <c r="BX2" i="27"/>
  <c r="BH2" i="27"/>
  <c r="AR2" i="27"/>
  <c r="AN2" i="24"/>
  <c r="AX2" i="22"/>
  <c r="AI2" i="21"/>
  <c r="BA2" i="18"/>
  <c r="AW2" i="18"/>
  <c r="BA2" i="16"/>
  <c r="AW2" i="16"/>
  <c r="AZ2" i="15"/>
  <c r="AV2" i="15"/>
  <c r="AY2" i="14"/>
  <c r="AU2" i="14"/>
  <c r="BB2" i="13"/>
  <c r="AX2" i="13"/>
  <c r="AT2" i="13"/>
  <c r="BA2" i="11"/>
  <c r="AW2" i="11"/>
  <c r="AZ2" i="10"/>
  <c r="AV2" i="10"/>
  <c r="AQ2" i="10"/>
  <c r="AM2" i="10"/>
  <c r="AZ2" i="18"/>
  <c r="AV2" i="18"/>
  <c r="AR2" i="18"/>
  <c r="AN2" i="18"/>
  <c r="AE2" i="17"/>
  <c r="AV2" i="16"/>
  <c r="AN2" i="16"/>
  <c r="FL2" i="27"/>
  <c r="EV2" i="27"/>
  <c r="EF2" i="27"/>
  <c r="DP2" i="27"/>
  <c r="CZ2" i="27"/>
  <c r="CJ2" i="27"/>
  <c r="BT2" i="27"/>
  <c r="BD2" i="27"/>
  <c r="AN2" i="27"/>
  <c r="AJ2" i="24"/>
  <c r="AV2" i="23"/>
  <c r="AU2" i="22"/>
  <c r="AM2" i="22"/>
  <c r="AJ2" i="18"/>
  <c r="AZ2" i="16"/>
  <c r="AR2" i="16"/>
  <c r="AJ2" i="16"/>
  <c r="FH2" i="27"/>
  <c r="ER2" i="27"/>
  <c r="EB2" i="27"/>
  <c r="DL2" i="27"/>
  <c r="CV2" i="27"/>
  <c r="CF2" i="27"/>
  <c r="BP2" i="27"/>
  <c r="AZ2" i="27"/>
  <c r="AJ2" i="27"/>
  <c r="AV2" i="24"/>
  <c r="AF2" i="24"/>
  <c r="AR2" i="23"/>
  <c r="BB2" i="22"/>
  <c r="AT2" i="22"/>
  <c r="AY2" i="18"/>
  <c r="AU2" i="18"/>
  <c r="AY2" i="16"/>
  <c r="AU2" i="16"/>
  <c r="BB2" i="15"/>
  <c r="AX2" i="15"/>
  <c r="AT2" i="15"/>
  <c r="BA2" i="14"/>
  <c r="AW2" i="14"/>
  <c r="AZ2" i="13"/>
  <c r="AV2" i="13"/>
  <c r="AY2" i="11"/>
  <c r="AU2" i="11"/>
  <c r="BB2" i="10"/>
  <c r="AX2" i="10"/>
  <c r="AT2" i="10"/>
  <c r="AO2" i="10"/>
  <c r="AK2" i="10"/>
  <c r="AR2" i="14"/>
  <c r="AN2" i="14"/>
  <c r="AJ2" i="14"/>
  <c r="FT2" i="27"/>
  <c r="FD2" i="27"/>
  <c r="EN2" i="27"/>
  <c r="DX2" i="27"/>
  <c r="DH2" i="27"/>
  <c r="CR2" i="27"/>
  <c r="CB2" i="27"/>
  <c r="BL2" i="27"/>
  <c r="AV2" i="27"/>
  <c r="AR2" i="24"/>
  <c r="AN2" i="23"/>
  <c r="AY2" i="22"/>
  <c r="AQ2" i="22"/>
  <c r="AI2" i="20"/>
  <c r="AP2" i="18"/>
  <c r="AL2" i="18"/>
  <c r="AP2" i="16"/>
  <c r="AL2" i="16"/>
  <c r="AO2" i="15"/>
  <c r="AK2" i="15"/>
  <c r="AD156" i="27" a="1"/>
  <c r="AD156" i="27" s="1"/>
  <c r="AE263" i="11" a="1"/>
  <c r="AE263" i="11" s="1"/>
  <c r="AE210" i="11" a="1"/>
  <c r="AE210" i="11" s="1"/>
  <c r="B34" i="7"/>
  <c r="B35" i="7" s="1" a="1"/>
  <c r="B35" i="7" s="1"/>
  <c r="B28" i="7"/>
  <c r="B33" i="7"/>
  <c r="AC34" i="7" s="1"/>
  <c r="AC35" i="7" s="1"/>
  <c r="B32" i="7"/>
  <c r="AU2" i="9"/>
  <c r="BC2" i="9"/>
  <c r="AK8" i="9"/>
  <c r="AN8" i="9"/>
  <c r="AV8" i="9"/>
  <c r="BD8" i="9"/>
  <c r="AG9" i="9" a="1"/>
  <c r="AG9" i="9" s="1"/>
  <c r="AK9" i="9" a="1"/>
  <c r="AK9" i="9" s="1"/>
  <c r="AR2" i="10"/>
  <c r="BA2" i="10"/>
  <c r="AN2" i="11"/>
  <c r="AV2" i="11"/>
  <c r="AI8" i="11"/>
  <c r="AI2" i="11"/>
  <c r="AM8" i="11"/>
  <c r="AM2" i="11"/>
  <c r="AQ8" i="11"/>
  <c r="AQ2" i="11"/>
  <c r="AT8" i="11"/>
  <c r="BB8" i="11"/>
  <c r="AH9" i="11" a="1"/>
  <c r="AH9" i="11" s="1"/>
  <c r="AX9" i="11" a="1"/>
  <c r="AX9" i="11" s="1"/>
  <c r="AE29" i="11"/>
  <c r="AM29" i="11"/>
  <c r="AU29" i="11"/>
  <c r="AH44" i="11"/>
  <c r="AH38" i="11" s="1"/>
  <c r="AL44" i="11"/>
  <c r="AL38" i="11" s="1"/>
  <c r="AP44" i="11"/>
  <c r="AP38" i="11" s="1"/>
  <c r="AT44" i="11"/>
  <c r="AT38" i="11" s="1"/>
  <c r="AX44" i="11"/>
  <c r="AX38" i="11" s="1"/>
  <c r="BB44" i="11"/>
  <c r="BB38" i="11" s="1"/>
  <c r="AO134" i="11"/>
  <c r="AW134" i="11"/>
  <c r="AE156" i="11" a="1"/>
  <c r="AE156" i="11" s="1"/>
  <c r="AE157" i="11"/>
  <c r="AE162" i="11" s="1"/>
  <c r="AI157" i="11"/>
  <c r="AI162" i="11" s="1"/>
  <c r="AM157" i="11"/>
  <c r="AM162" i="11" s="1"/>
  <c r="AQ157" i="11"/>
  <c r="AQ162" i="11" s="1"/>
  <c r="AU157" i="11"/>
  <c r="AU162" i="11" s="1"/>
  <c r="AY157" i="11"/>
  <c r="AY162" i="11" s="1"/>
  <c r="AG211" i="11"/>
  <c r="AO211" i="11"/>
  <c r="AW211" i="11"/>
  <c r="AE247" i="11" a="1"/>
  <c r="AE247" i="11" s="1"/>
  <c r="AE248" i="11"/>
  <c r="AE253" i="11" s="1"/>
  <c r="AI248" i="11"/>
  <c r="AI253" i="11" s="1"/>
  <c r="AM248" i="11"/>
  <c r="AM253" i="11" s="1"/>
  <c r="AQ248" i="11"/>
  <c r="AQ253" i="11" s="1"/>
  <c r="AU248" i="11"/>
  <c r="AU253" i="11" s="1"/>
  <c r="AY248" i="11"/>
  <c r="AY253" i="11" s="1"/>
  <c r="AE289" i="11" a="1"/>
  <c r="AE289" i="11" s="1"/>
  <c r="AM2" i="13"/>
  <c r="AU2" i="13"/>
  <c r="AL2" i="13"/>
  <c r="AL9" i="13" a="1"/>
  <c r="AL9" i="13" s="1"/>
  <c r="AP2" i="13"/>
  <c r="AP9" i="13" a="1"/>
  <c r="AP9" i="13" s="1"/>
  <c r="AL2" i="14"/>
  <c r="BB2" i="14"/>
  <c r="AH9" i="14" a="1"/>
  <c r="AH9" i="14" s="1"/>
  <c r="AH8" i="14"/>
  <c r="AK9" i="14" a="1"/>
  <c r="AK9" i="14" s="1"/>
  <c r="AO9" i="14" a="1"/>
  <c r="AO9" i="14" s="1"/>
  <c r="AS9" i="14" a="1"/>
  <c r="AS9" i="14" s="1"/>
  <c r="AF53" i="14"/>
  <c r="AF98" i="26" s="1" a="1"/>
  <c r="AF98" i="26" s="1"/>
  <c r="AB59" i="14"/>
  <c r="AB57" i="14"/>
  <c r="AB58" i="14"/>
  <c r="AE50" i="14"/>
  <c r="AI50" i="14"/>
  <c r="AI53" i="14" s="1"/>
  <c r="AM50" i="14"/>
  <c r="AQ50" i="14"/>
  <c r="T86" i="14"/>
  <c r="T87" i="14" s="1" a="1"/>
  <c r="T87" i="14" s="1"/>
  <c r="T88" i="14" s="1" a="1"/>
  <c r="T88" i="14" s="1"/>
  <c r="T89" i="14" s="1" a="1"/>
  <c r="T89" i="14" s="1"/>
  <c r="F87" i="14" a="1"/>
  <c r="F87" i="14" s="1"/>
  <c r="F88" i="14" s="1" a="1"/>
  <c r="F88" i="14" s="1"/>
  <c r="F89" i="14" s="1" a="1"/>
  <c r="F89" i="14" s="1"/>
  <c r="F90" i="14" s="1" a="1"/>
  <c r="F90" i="14" s="1"/>
  <c r="AE80" i="14"/>
  <c r="AI80" i="14"/>
  <c r="AI83" i="14" s="1"/>
  <c r="AM80" i="14"/>
  <c r="AQ80" i="14"/>
  <c r="AQ2" i="15"/>
  <c r="AG59" i="15"/>
  <c r="AG52" i="15"/>
  <c r="AK59" i="15"/>
  <c r="AK52" i="15"/>
  <c r="AO59" i="15"/>
  <c r="AO52" i="15"/>
  <c r="AS59" i="15"/>
  <c r="AS52" i="15"/>
  <c r="AW59" i="15"/>
  <c r="AW52" i="15"/>
  <c r="BA59" i="15"/>
  <c r="BA52" i="15"/>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AF108" i="15"/>
  <c r="AF101" i="15"/>
  <c r="AJ108" i="15"/>
  <c r="AJ101" i="15"/>
  <c r="AN108" i="15"/>
  <c r="AN101" i="15"/>
  <c r="AR108" i="15"/>
  <c r="AR101" i="15"/>
  <c r="AV108" i="15"/>
  <c r="AV101" i="15"/>
  <c r="AZ108" i="15"/>
  <c r="AZ101" i="15"/>
  <c r="AG157" i="15"/>
  <c r="AG150" i="15"/>
  <c r="AK157" i="15"/>
  <c r="AK150" i="15"/>
  <c r="AO157" i="15"/>
  <c r="AO150" i="15"/>
  <c r="AS157" i="15"/>
  <c r="AS150" i="15"/>
  <c r="AW157" i="15"/>
  <c r="AW150" i="15"/>
  <c r="BA157" i="15"/>
  <c r="BA150" i="15"/>
  <c r="K48" i="16"/>
  <c r="F49" i="16" a="1"/>
  <c r="F49" i="16" s="1"/>
  <c r="F50" i="16" s="1" a="1"/>
  <c r="F50" i="16" s="1"/>
  <c r="F51" i="16" s="1" a="1"/>
  <c r="F51" i="16" s="1"/>
  <c r="F52" i="16" s="1" a="1"/>
  <c r="F52" i="16" s="1"/>
  <c r="F53" i="16" s="1" a="1"/>
  <c r="F53" i="16" s="1"/>
  <c r="F54" i="16" s="1" a="1"/>
  <c r="F54" i="16" s="1"/>
  <c r="F55" i="16" s="1" a="1"/>
  <c r="F55" i="16" s="1"/>
  <c r="F56" i="16" s="1" a="1"/>
  <c r="F56" i="16" s="1"/>
  <c r="F38" i="17" a="1"/>
  <c r="F38" i="17" s="1"/>
  <c r="F39" i="17" s="1" a="1"/>
  <c r="F39" i="17" s="1"/>
  <c r="AK2" i="18"/>
  <c r="AO2" i="18"/>
  <c r="AS2" i="18"/>
  <c r="AB61" i="18"/>
  <c r="AB60" i="18"/>
  <c r="AE95" i="18"/>
  <c r="AI95" i="18"/>
  <c r="AM95" i="18"/>
  <c r="AQ95" i="18"/>
  <c r="AU95" i="18"/>
  <c r="AY95" i="18"/>
  <c r="AB120" i="18"/>
  <c r="AB119" i="18"/>
  <c r="AB174" i="18"/>
  <c r="AB175" i="18"/>
  <c r="AB196" i="18"/>
  <c r="AB197" i="18"/>
  <c r="AG135" i="26" a="1"/>
  <c r="AG135" i="26" s="1"/>
  <c r="AG177" i="18"/>
  <c r="F79" i="19" a="1"/>
  <c r="F79" i="19" s="1"/>
  <c r="K78" i="19"/>
  <c r="F29" i="20" a="1"/>
  <c r="F29" i="20" s="1"/>
  <c r="F62" i="21" a="1"/>
  <c r="F62" i="21" s="1"/>
  <c r="T62" i="21" s="1"/>
  <c r="T61" i="21"/>
  <c r="AS2" i="22"/>
  <c r="AS9" i="22" a="1"/>
  <c r="AS9" i="22" s="1"/>
  <c r="K42" i="22"/>
  <c r="F43" i="22" a="1"/>
  <c r="F43" i="22" s="1"/>
  <c r="AZ2" i="23"/>
  <c r="G27" i="30" a="1"/>
  <c r="G27" i="30" s="1"/>
  <c r="G27" i="29" a="1"/>
  <c r="G27" i="29" s="1"/>
  <c r="G27" i="28" a="1"/>
  <c r="G27" i="28" s="1"/>
  <c r="R29" i="27" a="1"/>
  <c r="R29" i="27" s="1"/>
  <c r="G29" i="27" a="1"/>
  <c r="G29" i="27" s="1"/>
  <c r="G315" i="30" a="1"/>
  <c r="G315" i="30" s="1"/>
  <c r="G315" i="29" a="1"/>
  <c r="G315" i="29" s="1"/>
  <c r="G197" i="28" a="1"/>
  <c r="G197" i="28" s="1"/>
  <c r="R155" i="27" a="1"/>
  <c r="R155" i="27" s="1"/>
  <c r="G155" i="27" a="1"/>
  <c r="G155" i="27" s="1"/>
  <c r="X39" i="7" a="1"/>
  <c r="X39" i="7" s="1"/>
  <c r="AC39" i="7" a="1"/>
  <c r="AC39" i="7" s="1"/>
  <c r="AR9" i="9" a="1"/>
  <c r="AR9" i="9" s="1"/>
  <c r="AN9" i="10" a="1"/>
  <c r="AN9" i="10" s="1"/>
  <c r="AN8" i="10"/>
  <c r="AL33" i="5"/>
  <c r="AD30" i="27" a="1"/>
  <c r="AD30" i="27" s="1"/>
  <c r="AE28" i="11" a="1"/>
  <c r="AE28" i="11" s="1"/>
  <c r="AE81" i="11" a="1"/>
  <c r="AE81" i="11" s="1"/>
  <c r="G171" i="30" a="1"/>
  <c r="G171" i="30" s="1"/>
  <c r="G171" i="29" a="1"/>
  <c r="G171" i="29" s="1"/>
  <c r="G112" i="28" a="1"/>
  <c r="G112" i="28" s="1"/>
  <c r="R92" i="27" a="1"/>
  <c r="R92" i="27" s="1"/>
  <c r="G92" i="27" a="1"/>
  <c r="G92" i="27" s="1"/>
  <c r="AD157" i="27" a="1"/>
  <c r="AD157" i="27" s="1"/>
  <c r="AN208" i="5"/>
  <c r="B57" i="7"/>
  <c r="AC58" i="7" s="1"/>
  <c r="AC59" i="7" s="1"/>
  <c r="B58" i="7"/>
  <c r="B59" i="7" s="1" a="1"/>
  <c r="B59" i="7" s="1"/>
  <c r="B52" i="7"/>
  <c r="B54" i="7"/>
  <c r="AO2" i="9"/>
  <c r="AW2" i="9"/>
  <c r="BE2" i="9"/>
  <c r="AP2" i="9"/>
  <c r="AT2" i="9"/>
  <c r="AX2" i="9"/>
  <c r="BB2" i="9"/>
  <c r="BF2" i="9"/>
  <c r="AP8" i="9"/>
  <c r="AX8" i="9"/>
  <c r="BF8" i="9"/>
  <c r="AP9" i="9" a="1"/>
  <c r="AP9" i="9" s="1"/>
  <c r="AT9" i="9" a="1"/>
  <c r="AT9" i="9" s="1"/>
  <c r="AX9" i="9" a="1"/>
  <c r="AX9" i="9" s="1"/>
  <c r="BB9" i="9" a="1"/>
  <c r="BB9" i="9" s="1"/>
  <c r="BF9" i="9" a="1"/>
  <c r="BF9" i="9" s="1"/>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L2" i="10"/>
  <c r="AU2" i="10"/>
  <c r="AL9" i="10" a="1"/>
  <c r="AL9" i="10" s="1"/>
  <c r="AL8" i="10"/>
  <c r="AP9" i="10" a="1"/>
  <c r="AP9" i="10" s="1"/>
  <c r="AP8" i="10"/>
  <c r="AS8" i="10"/>
  <c r="BA8" i="10"/>
  <c r="AP2" i="11"/>
  <c r="AX2" i="11"/>
  <c r="AF8" i="11"/>
  <c r="AF32" i="32" s="1"/>
  <c r="AV8" i="11"/>
  <c r="AI9" i="11" a="1"/>
  <c r="AI9" i="11" s="1"/>
  <c r="AM9" i="11" a="1"/>
  <c r="AM9" i="11" s="1"/>
  <c r="AQ9" i="11" a="1"/>
  <c r="AQ9" i="11" s="1"/>
  <c r="AG29" i="11"/>
  <c r="AO29" i="11"/>
  <c r="AW29" i="11"/>
  <c r="AE65" i="11" a="1"/>
  <c r="AE65" i="11" s="1"/>
  <c r="AE66" i="11"/>
  <c r="AE71" i="11" s="1"/>
  <c r="AI66" i="11"/>
  <c r="AI71" i="11" s="1"/>
  <c r="AM66" i="11"/>
  <c r="AM71" i="11" s="1"/>
  <c r="AQ66" i="11"/>
  <c r="AQ71" i="11" s="1"/>
  <c r="AU66" i="11"/>
  <c r="AU71" i="11" s="1"/>
  <c r="AY66" i="11"/>
  <c r="AY71" i="11" s="1"/>
  <c r="AE107" i="11" a="1"/>
  <c r="AE107" i="11" s="1"/>
  <c r="AG120" i="11"/>
  <c r="AG52" i="14" s="1"/>
  <c r="AF135" i="11"/>
  <c r="AF129" i="11" s="1"/>
  <c r="AJ135" i="11"/>
  <c r="AJ129" i="11" s="1"/>
  <c r="AN135" i="11"/>
  <c r="AN129" i="11" s="1"/>
  <c r="AR135" i="11"/>
  <c r="AR129" i="11" s="1"/>
  <c r="AV135" i="11"/>
  <c r="AV129" i="11" s="1"/>
  <c r="AZ135" i="11"/>
  <c r="AZ129" i="11" s="1"/>
  <c r="AI211" i="11"/>
  <c r="AQ211" i="11"/>
  <c r="AY211" i="11"/>
  <c r="AF226" i="11"/>
  <c r="AF220" i="11" s="1"/>
  <c r="AJ226" i="11"/>
  <c r="AJ220" i="11" s="1"/>
  <c r="AN226" i="11"/>
  <c r="AN220" i="11" s="1"/>
  <c r="AR226" i="11"/>
  <c r="AR220" i="11" s="1"/>
  <c r="AV226" i="11"/>
  <c r="AV220" i="11" s="1"/>
  <c r="AZ226" i="11"/>
  <c r="AZ220" i="11" s="1"/>
  <c r="AO2" i="13"/>
  <c r="AW2" i="13"/>
  <c r="AB45" i="13"/>
  <c r="AB46" i="13"/>
  <c r="K49" i="13"/>
  <c r="AN115" i="28" s="1"/>
  <c r="F50" i="13" a="1"/>
  <c r="F50" i="13" s="1"/>
  <c r="F51" i="13" s="1" a="1"/>
  <c r="F51" i="13" s="1"/>
  <c r="AB69" i="13"/>
  <c r="AB70" i="13"/>
  <c r="K73" i="13"/>
  <c r="F74" i="13" a="1"/>
  <c r="F74" i="13" s="1"/>
  <c r="F75" i="13" s="1" a="1"/>
  <c r="F75" i="13" s="1"/>
  <c r="AP2" i="14"/>
  <c r="AI2" i="14"/>
  <c r="AI8" i="14"/>
  <c r="AM2" i="14"/>
  <c r="AQ2" i="14"/>
  <c r="AS97" i="14"/>
  <c r="AS93" i="14"/>
  <c r="AT82" i="14" a="1"/>
  <c r="AT82" i="14" s="1"/>
  <c r="AB107" i="14"/>
  <c r="AB103" i="14"/>
  <c r="AB105" i="14"/>
  <c r="AB101" i="14"/>
  <c r="AB106" i="14"/>
  <c r="AB102" i="14"/>
  <c r="AU2"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H59" i="15"/>
  <c r="AH52" i="15"/>
  <c r="AL59" i="15"/>
  <c r="AL52" i="15"/>
  <c r="AP59" i="15"/>
  <c r="AP52" i="15"/>
  <c r="AT59" i="15"/>
  <c r="AT52" i="15"/>
  <c r="AX59" i="15"/>
  <c r="AX52" i="15"/>
  <c r="BB59" i="15"/>
  <c r="BB52" i="15"/>
  <c r="AG108" i="15"/>
  <c r="AG101" i="15"/>
  <c r="AK108" i="15"/>
  <c r="AK101" i="15"/>
  <c r="AO108" i="15"/>
  <c r="AO101" i="15"/>
  <c r="AS108" i="15"/>
  <c r="AS101" i="15"/>
  <c r="AW108" i="15"/>
  <c r="AW101" i="15"/>
  <c r="BA108" i="15"/>
  <c r="BA101" i="15"/>
  <c r="AH157" i="15"/>
  <c r="AH150" i="15"/>
  <c r="AL157" i="15"/>
  <c r="AL150" i="15"/>
  <c r="AP157" i="15"/>
  <c r="AP150" i="15"/>
  <c r="AT157" i="15"/>
  <c r="AT150" i="15"/>
  <c r="AX150" i="15"/>
  <c r="AX157" i="15"/>
  <c r="BB157" i="15"/>
  <c r="BB150" i="15"/>
  <c r="AI2" i="16"/>
  <c r="AI9" i="16" a="1"/>
  <c r="AI9" i="16" s="1"/>
  <c r="AM2" i="16"/>
  <c r="AQ2" i="16"/>
  <c r="K28" i="16"/>
  <c r="F29" i="16" a="1"/>
  <c r="F29" i="16" s="1"/>
  <c r="F30" i="16" s="1" a="1"/>
  <c r="F30" i="16" s="1"/>
  <c r="F31" i="16" s="1" a="1"/>
  <c r="F31" i="16" s="1"/>
  <c r="F32" i="16" s="1" a="1"/>
  <c r="F32" i="16" s="1"/>
  <c r="F33" i="16" s="1" a="1"/>
  <c r="F33" i="16" s="1"/>
  <c r="F34" i="16" s="1" a="1"/>
  <c r="F34" i="16" s="1"/>
  <c r="F35" i="16" s="1" a="1"/>
  <c r="F35" i="16" s="1"/>
  <c r="F36" i="16" s="1" a="1"/>
  <c r="F36" i="16" s="1"/>
  <c r="F39" i="16" a="1"/>
  <c r="F39" i="16" s="1"/>
  <c r="F40" i="16" s="1" a="1"/>
  <c r="F40" i="16" s="1"/>
  <c r="F41" i="16" s="1" a="1"/>
  <c r="F41" i="16" s="1"/>
  <c r="F42" i="16" s="1" a="1"/>
  <c r="F42" i="16" s="1"/>
  <c r="F43" i="16" s="1" a="1"/>
  <c r="F43" i="16" s="1"/>
  <c r="F44" i="16" s="1" a="1"/>
  <c r="F44" i="16" s="1"/>
  <c r="F45" i="16" s="1" a="1"/>
  <c r="F45" i="16" s="1"/>
  <c r="F46" i="16" s="1" a="1"/>
  <c r="F46" i="16" s="1"/>
  <c r="K38" i="16"/>
  <c r="AB39" i="18"/>
  <c r="AB40" i="18"/>
  <c r="AB86" i="18"/>
  <c r="AB85" i="18"/>
  <c r="K163" i="18"/>
  <c r="K96" i="18"/>
  <c r="K156" i="18"/>
  <c r="K129" i="18"/>
  <c r="K115" i="18"/>
  <c r="F97" i="18" a="1"/>
  <c r="F97" i="18" s="1"/>
  <c r="F98" i="18" s="1" a="1"/>
  <c r="F98" i="18" s="1"/>
  <c r="K170" i="18"/>
  <c r="K136" i="18"/>
  <c r="K122" i="18"/>
  <c r="K108" i="18"/>
  <c r="AB106" i="18"/>
  <c r="AB105" i="18"/>
  <c r="AB134" i="18"/>
  <c r="AB133" i="18"/>
  <c r="AB190" i="18"/>
  <c r="AB189" i="18"/>
  <c r="AB210" i="18"/>
  <c r="AB211" i="18"/>
  <c r="AB220" i="18"/>
  <c r="AB217" i="18"/>
  <c r="AJ2" i="20"/>
  <c r="AJ9" i="20" a="1"/>
  <c r="AJ9" i="20" s="1"/>
  <c r="AB33" i="6" a="1"/>
  <c r="AB33" i="6" s="1"/>
  <c r="W33" i="6" a="1"/>
  <c r="W33" i="6" s="1"/>
  <c r="AJ9" i="10" a="1"/>
  <c r="AJ9" i="10" s="1"/>
  <c r="AJ8" i="10"/>
  <c r="AB27" i="35" a="1"/>
  <c r="AB27" i="35" s="1"/>
  <c r="AB27" i="34" a="1"/>
  <c r="AB27" i="34" s="1"/>
  <c r="AB28" i="33" a="1"/>
  <c r="AB28" i="33" s="1"/>
  <c r="AB30" i="32" a="1"/>
  <c r="AB30" i="32" s="1"/>
  <c r="AB27" i="30" a="1"/>
  <c r="AB27" i="30" s="1"/>
  <c r="AB27" i="29" a="1"/>
  <c r="AB27" i="29" s="1"/>
  <c r="AB27" i="28" a="1"/>
  <c r="AB27" i="28" s="1"/>
  <c r="AB27" i="22" a="1"/>
  <c r="AB27" i="22" s="1"/>
  <c r="AB27" i="24" a="1"/>
  <c r="AB27" i="24" s="1"/>
  <c r="AD29" i="27" a="1"/>
  <c r="AD29" i="27" s="1"/>
  <c r="AB30" i="27" s="1"/>
  <c r="AB27" i="26" a="1"/>
  <c r="AB27" i="26" s="1"/>
  <c r="AB27" i="18" a="1"/>
  <c r="AB27" i="18" s="1"/>
  <c r="AB27" i="17" a="1"/>
  <c r="AB27" i="17" s="1"/>
  <c r="AB27" i="16" a="1"/>
  <c r="AB27" i="16" s="1"/>
  <c r="AB27" i="11" a="1"/>
  <c r="AB27" i="11" s="1"/>
  <c r="AB27" i="20" a="1"/>
  <c r="AB27" i="20" s="1"/>
  <c r="AB27" i="21" a="1"/>
  <c r="AB27" i="21" s="1"/>
  <c r="AB27" i="14" a="1"/>
  <c r="AB27" i="14" s="1"/>
  <c r="AB29" i="12" a="1"/>
  <c r="AB29" i="12" s="1"/>
  <c r="AB28" i="9" a="1"/>
  <c r="AB28" i="9" s="1"/>
  <c r="AB26" i="25" a="1"/>
  <c r="AB26" i="25" s="1"/>
  <c r="B27" i="25" s="1"/>
  <c r="B28" i="25" s="1" a="1"/>
  <c r="B28" i="25" s="1"/>
  <c r="AB58" i="23" a="1"/>
  <c r="AB58" i="23" s="1"/>
  <c r="AB27" i="19" a="1"/>
  <c r="AB27" i="19" s="1"/>
  <c r="AB27" i="15" a="1"/>
  <c r="AB27" i="15" s="1"/>
  <c r="AN180" i="5"/>
  <c r="AD93" i="27" a="1"/>
  <c r="AD93" i="27" s="1"/>
  <c r="AE172" i="11" a="1"/>
  <c r="AE172" i="11" s="1"/>
  <c r="AE119" i="11" a="1"/>
  <c r="AE119" i="11" s="1"/>
  <c r="F28" i="7" a="1"/>
  <c r="F28" i="7" s="1"/>
  <c r="F29" i="7" s="1" a="1"/>
  <c r="F29" i="7" s="1"/>
  <c r="F30" i="7" s="1" a="1"/>
  <c r="F30" i="7" s="1"/>
  <c r="F31" i="7" s="1" a="1"/>
  <c r="F31" i="7" s="1"/>
  <c r="F32" i="7" s="1" a="1"/>
  <c r="F32" i="7" s="1"/>
  <c r="F33" i="7" s="1" a="1"/>
  <c r="F33" i="7" s="1"/>
  <c r="F34" i="7" s="1" a="1"/>
  <c r="F34" i="7" s="1"/>
  <c r="F35" i="7" s="1" a="1"/>
  <c r="F35" i="7" s="1"/>
  <c r="F36" i="7" s="1" a="1"/>
  <c r="F36" i="7" s="1"/>
  <c r="B42" i="7"/>
  <c r="B44" i="7"/>
  <c r="B40" i="7"/>
  <c r="B56" i="7"/>
  <c r="AB26" i="8" a="1"/>
  <c r="AB26" i="8" s="1"/>
  <c r="AQ2" i="9"/>
  <c r="AY2" i="9"/>
  <c r="AQ8" i="9"/>
  <c r="AU8" i="9"/>
  <c r="AY8" i="9"/>
  <c r="BC8" i="9"/>
  <c r="AR8" i="9"/>
  <c r="AZ8" i="9"/>
  <c r="AE9" i="9" a="1"/>
  <c r="AE9" i="9" s="1"/>
  <c r="AI9" i="9" a="1"/>
  <c r="AI9" i="9" s="1"/>
  <c r="AM9" i="9" a="1"/>
  <c r="AM9" i="9" s="1"/>
  <c r="AN2" i="10"/>
  <c r="AW2" i="10"/>
  <c r="AE8" i="10"/>
  <c r="AU8" i="10"/>
  <c r="AB27" i="10" a="1"/>
  <c r="AB27" i="10" s="1"/>
  <c r="AJ2" i="11"/>
  <c r="AR2" i="11"/>
  <c r="AZ2" i="11"/>
  <c r="AG8" i="11"/>
  <c r="AK2" i="11"/>
  <c r="AK8" i="11"/>
  <c r="AO2" i="11"/>
  <c r="AO8" i="11"/>
  <c r="AS2" i="11"/>
  <c r="AS8" i="11"/>
  <c r="AF44" i="11"/>
  <c r="AF38" i="11" s="1"/>
  <c r="AJ44" i="11"/>
  <c r="AJ38" i="11" s="1"/>
  <c r="AN44" i="11"/>
  <c r="AN38" i="11" s="1"/>
  <c r="AR44" i="11"/>
  <c r="AR38" i="11" s="1"/>
  <c r="AV44" i="11"/>
  <c r="AV38" i="11" s="1"/>
  <c r="AZ44" i="11"/>
  <c r="AZ38" i="11" s="1"/>
  <c r="T30" i="12"/>
  <c r="AI2" i="13"/>
  <c r="AQ2" i="13"/>
  <c r="AY2" i="13"/>
  <c r="AJ9" i="13" a="1"/>
  <c r="AJ9" i="13" s="1"/>
  <c r="AJ2" i="13"/>
  <c r="AN9" i="13" a="1"/>
  <c r="AN9" i="13" s="1"/>
  <c r="AN2" i="13"/>
  <c r="AR9" i="13" a="1"/>
  <c r="AR9" i="13" s="1"/>
  <c r="AR2" i="13"/>
  <c r="AB27" i="13" a="1"/>
  <c r="AB27" i="13" s="1"/>
  <c r="AB93" i="13"/>
  <c r="AB94" i="13"/>
  <c r="AT2" i="14"/>
  <c r="AV8" i="14"/>
  <c r="AI9" i="14" a="1"/>
  <c r="AI9" i="14" s="1"/>
  <c r="AL28" i="14"/>
  <c r="AP28" i="14"/>
  <c r="AT28" i="14"/>
  <c r="AX28" i="14"/>
  <c r="BB28" i="14"/>
  <c r="T56" i="14"/>
  <c r="T57" i="14" s="1" a="1"/>
  <c r="T57" i="14" s="1"/>
  <c r="T58" i="14" s="1" a="1"/>
  <c r="T58" i="14" s="1"/>
  <c r="T59" i="14" s="1" a="1"/>
  <c r="T59" i="14" s="1"/>
  <c r="F57" i="14" a="1"/>
  <c r="F57" i="14" s="1"/>
  <c r="F58" i="14" s="1" a="1"/>
  <c r="F58" i="14" s="1"/>
  <c r="F59" i="14" s="1" a="1"/>
  <c r="F59" i="14" s="1"/>
  <c r="F60" i="14" s="1" a="1"/>
  <c r="F60" i="14" s="1"/>
  <c r="AT51" i="14"/>
  <c r="AT53" i="14" s="1"/>
  <c r="AF83" i="14"/>
  <c r="AF149" i="26" s="1" a="1"/>
  <c r="AF149" i="26" s="1"/>
  <c r="AB89" i="14"/>
  <c r="AB87" i="14"/>
  <c r="AB88" i="14"/>
  <c r="AG92" i="14"/>
  <c r="AG80" i="14" s="1"/>
  <c r="AG83" i="14" s="1"/>
  <c r="AY80" i="14"/>
  <c r="AB104" i="14"/>
  <c r="AI2" i="15"/>
  <c r="AY2" i="15"/>
  <c r="AS9" i="15" a="1"/>
  <c r="AS9" i="15" s="1"/>
  <c r="AS2" i="15"/>
  <c r="AW9" i="15" a="1"/>
  <c r="AW9" i="15" s="1"/>
  <c r="AW2" i="15"/>
  <c r="BA9" i="15" a="1"/>
  <c r="BA9" i="15" s="1"/>
  <c r="BA2" i="15"/>
  <c r="AE59" i="15"/>
  <c r="AE52" i="15"/>
  <c r="AI59" i="15"/>
  <c r="AI52" i="15"/>
  <c r="AM59" i="15"/>
  <c r="AM52" i="15"/>
  <c r="AQ59" i="15"/>
  <c r="AQ52" i="15"/>
  <c r="AU59" i="15"/>
  <c r="AU52" i="15"/>
  <c r="AY59" i="15"/>
  <c r="AY52" i="15"/>
  <c r="AH108" i="15"/>
  <c r="AH101" i="15"/>
  <c r="AL108" i="15"/>
  <c r="AL101" i="15"/>
  <c r="AP108" i="15"/>
  <c r="AP101" i="15"/>
  <c r="AT108" i="15"/>
  <c r="AT101" i="15"/>
  <c r="AX108" i="15"/>
  <c r="AX101" i="15"/>
  <c r="BB108" i="15"/>
  <c r="BB101" i="15"/>
  <c r="AE157" i="15"/>
  <c r="AE150" i="15"/>
  <c r="AI157" i="15"/>
  <c r="AI150" i="15"/>
  <c r="AM157" i="15"/>
  <c r="AM150" i="15"/>
  <c r="AQ157" i="15"/>
  <c r="AQ150" i="15"/>
  <c r="AU157" i="15"/>
  <c r="AU150" i="15"/>
  <c r="AY157" i="15"/>
  <c r="AY150" i="15"/>
  <c r="F31" i="17" a="1"/>
  <c r="F31" i="17" s="1"/>
  <c r="F32" i="17" s="1" a="1"/>
  <c r="F32" i="17" s="1"/>
  <c r="AI2" i="18"/>
  <c r="AI9" i="18" a="1"/>
  <c r="AI9" i="18" s="1"/>
  <c r="AM2" i="18"/>
  <c r="AQ2" i="18"/>
  <c r="K88" i="18"/>
  <c r="K56" i="18"/>
  <c r="K42" i="18"/>
  <c r="K28" i="18"/>
  <c r="K81" i="18"/>
  <c r="K74" i="18"/>
  <c r="K63" i="18"/>
  <c r="K49" i="18"/>
  <c r="K35" i="18"/>
  <c r="F29" i="18" a="1"/>
  <c r="F29" i="18" s="1"/>
  <c r="F30" i="18" s="1" a="1"/>
  <c r="F30" i="18" s="1"/>
  <c r="AB33" i="18"/>
  <c r="AB32" i="18"/>
  <c r="AB53" i="18"/>
  <c r="AB54" i="18"/>
  <c r="AK95" i="18"/>
  <c r="AO95" i="18"/>
  <c r="AS95" i="18"/>
  <c r="AW95" i="18"/>
  <c r="AB112" i="18"/>
  <c r="AB113" i="18"/>
  <c r="AB143" i="18"/>
  <c r="AB140" i="18"/>
  <c r="AF177" i="18"/>
  <c r="AF135" i="26" s="1" a="1"/>
  <c r="AF135" i="26" s="1"/>
  <c r="AF134" i="26" s="1"/>
  <c r="AF132" i="26" s="1"/>
  <c r="AF130" i="26" s="1"/>
  <c r="AF179" i="26" s="1"/>
  <c r="AB204" i="18"/>
  <c r="AB203" i="18"/>
  <c r="F54" i="19" a="1"/>
  <c r="F54" i="19" s="1"/>
  <c r="K53" i="19"/>
  <c r="F67" i="20" a="1"/>
  <c r="F67" i="20" s="1"/>
  <c r="F29" i="21" a="1"/>
  <c r="F29" i="21" s="1"/>
  <c r="F30" i="21" s="1" a="1"/>
  <c r="F30" i="21" s="1"/>
  <c r="F31" i="21" s="1" a="1"/>
  <c r="F31" i="21" s="1"/>
  <c r="K28" i="21"/>
  <c r="K91" i="23"/>
  <c r="F92" i="23"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F34" i="26" a="1"/>
  <c r="F34" i="26" s="1"/>
  <c r="F141" i="26" a="1"/>
  <c r="F141" i="26" s="1"/>
  <c r="AB44" i="14"/>
  <c r="AF2" i="16" a="1"/>
  <c r="AF2" i="16" s="1"/>
  <c r="AT2" i="16"/>
  <c r="AX2" i="16"/>
  <c r="BB2" i="16"/>
  <c r="AK9" i="16" a="1"/>
  <c r="AK9" i="16" s="1"/>
  <c r="AM9" i="16" a="1"/>
  <c r="AM9" i="16" s="1"/>
  <c r="AO9" i="16" a="1"/>
  <c r="AO9" i="16" s="1"/>
  <c r="AQ9" i="16" a="1"/>
  <c r="AQ9" i="16" s="1"/>
  <c r="AS9" i="16" a="1"/>
  <c r="AS9" i="16" s="1"/>
  <c r="AF2" i="18" a="1"/>
  <c r="AF2" i="18" s="1"/>
  <c r="AT2" i="18"/>
  <c r="AX2" i="18"/>
  <c r="BB2" i="18"/>
  <c r="AK9" i="18" a="1"/>
  <c r="AK9" i="18" s="1"/>
  <c r="AM9" i="18" a="1"/>
  <c r="AM9" i="18" s="1"/>
  <c r="AO9" i="18" a="1"/>
  <c r="AO9" i="18" s="1"/>
  <c r="AQ9" i="18" a="1"/>
  <c r="AQ9" i="18" s="1"/>
  <c r="AS9" i="18" a="1"/>
  <c r="AS9" i="18" s="1"/>
  <c r="AB93" i="18"/>
  <c r="AB101" i="18"/>
  <c r="AG146" i="18"/>
  <c r="AB152" i="18"/>
  <c r="AB168" i="18"/>
  <c r="AG228" i="18"/>
  <c r="AF2" i="19" a="1"/>
  <c r="AF2" i="19" s="1"/>
  <c r="AF13" i="19"/>
  <c r="AJ13" i="19"/>
  <c r="AJ7" i="19" a="1"/>
  <c r="AJ7" i="19" s="1"/>
  <c r="AJ2" i="19"/>
  <c r="AH13" i="19"/>
  <c r="AJ2" i="21"/>
  <c r="AI2" i="22"/>
  <c r="BD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K62" i="23"/>
  <c r="AG117" i="23"/>
  <c r="AK117" i="23"/>
  <c r="AO117" i="23"/>
  <c r="AS117" i="23"/>
  <c r="AW117" i="23"/>
  <c r="BA117" i="23"/>
  <c r="AO9" i="24" a="1"/>
  <c r="AO9" i="24" s="1"/>
  <c r="AO2" i="24"/>
  <c r="AF2" i="26" a="1"/>
  <c r="AF2" i="26" s="1"/>
  <c r="AI9" i="27" a="1"/>
  <c r="AI9" i="27" s="1"/>
  <c r="AI8" i="27"/>
  <c r="AI2" i="27"/>
  <c r="AM25" i="27"/>
  <c r="AM9" i="27" a="1"/>
  <c r="AM9" i="27" s="1"/>
  <c r="AM8" i="27"/>
  <c r="AM2" i="27"/>
  <c r="AQ9" i="27" a="1"/>
  <c r="AQ9" i="27" s="1"/>
  <c r="AQ8" i="27"/>
  <c r="AQ2" i="27"/>
  <c r="AU9" i="27" a="1"/>
  <c r="AU9" i="27" s="1"/>
  <c r="AU8" i="27"/>
  <c r="AU2" i="27"/>
  <c r="AY25" i="27"/>
  <c r="AY9" i="27" a="1"/>
  <c r="AY9" i="27" s="1"/>
  <c r="AY8" i="27"/>
  <c r="AY2" i="27"/>
  <c r="BC9" i="27" a="1"/>
  <c r="BC9" i="27" s="1"/>
  <c r="BC8" i="27"/>
  <c r="BC2" i="27"/>
  <c r="BG9" i="27" a="1"/>
  <c r="BG9" i="27" s="1"/>
  <c r="BG8" i="27"/>
  <c r="BG2" i="27"/>
  <c r="BK25" i="27"/>
  <c r="BK9" i="27" a="1"/>
  <c r="BK9" i="27" s="1"/>
  <c r="BK8" i="27"/>
  <c r="BK2" i="27"/>
  <c r="BO9" i="27" a="1"/>
  <c r="BO9" i="27" s="1"/>
  <c r="BO8" i="27"/>
  <c r="BO2" i="27"/>
  <c r="BS9" i="27" a="1"/>
  <c r="BS9" i="27" s="1"/>
  <c r="BS8" i="27"/>
  <c r="BS2" i="27"/>
  <c r="BW25" i="27"/>
  <c r="BW9" i="27" a="1"/>
  <c r="BW9" i="27" s="1"/>
  <c r="BW8" i="27"/>
  <c r="BW2" i="27"/>
  <c r="CA9" i="27" a="1"/>
  <c r="CA9" i="27" s="1"/>
  <c r="CA8" i="27"/>
  <c r="CA2" i="27"/>
  <c r="CE9" i="27" a="1"/>
  <c r="CE9" i="27" s="1"/>
  <c r="CE8" i="27"/>
  <c r="CE2" i="27"/>
  <c r="CI25" i="27"/>
  <c r="CI9" i="27" a="1"/>
  <c r="CI9" i="27" s="1"/>
  <c r="CI8" i="27"/>
  <c r="CI2" i="27"/>
  <c r="CM9" i="27" a="1"/>
  <c r="CM9" i="27" s="1"/>
  <c r="CM8" i="27"/>
  <c r="CM2" i="27"/>
  <c r="CQ9" i="27" a="1"/>
  <c r="CQ9" i="27" s="1"/>
  <c r="CQ8" i="27"/>
  <c r="CQ2" i="27"/>
  <c r="CU25" i="27"/>
  <c r="CU9" i="27" a="1"/>
  <c r="CU9" i="27" s="1"/>
  <c r="CU8" i="27"/>
  <c r="CU2" i="27"/>
  <c r="CY9" i="27" a="1"/>
  <c r="CY9" i="27" s="1"/>
  <c r="CY8" i="27"/>
  <c r="CY2" i="27"/>
  <c r="DC9" i="27" a="1"/>
  <c r="DC9" i="27" s="1"/>
  <c r="DC8" i="27"/>
  <c r="DC2" i="27"/>
  <c r="DG25" i="27"/>
  <c r="DG9" i="27" a="1"/>
  <c r="DG9" i="27" s="1"/>
  <c r="DG8" i="27"/>
  <c r="DG2" i="27"/>
  <c r="DK9" i="27" a="1"/>
  <c r="DK9" i="27" s="1"/>
  <c r="DK8" i="27"/>
  <c r="DK2" i="27"/>
  <c r="DO9" i="27" a="1"/>
  <c r="DO9" i="27" s="1"/>
  <c r="DO8" i="27"/>
  <c r="DO2" i="27"/>
  <c r="DS25" i="27"/>
  <c r="DS9" i="27" a="1"/>
  <c r="DS9" i="27" s="1"/>
  <c r="DS8" i="27"/>
  <c r="DS2" i="27"/>
  <c r="DW9" i="27" a="1"/>
  <c r="DW9" i="27" s="1"/>
  <c r="DW8" i="27"/>
  <c r="DW2" i="27"/>
  <c r="EA9" i="27" a="1"/>
  <c r="EA9" i="27" s="1"/>
  <c r="EA8" i="27"/>
  <c r="EA2" i="27"/>
  <c r="EE25" i="27"/>
  <c r="EE9" i="27" a="1"/>
  <c r="EE9" i="27" s="1"/>
  <c r="EE8" i="27"/>
  <c r="EE2" i="27"/>
  <c r="EI9" i="27" a="1"/>
  <c r="EI9" i="27" s="1"/>
  <c r="EI8" i="27"/>
  <c r="EI2" i="27"/>
  <c r="EM9" i="27" a="1"/>
  <c r="EM9" i="27" s="1"/>
  <c r="EM8" i="27"/>
  <c r="EM2" i="27"/>
  <c r="EQ25" i="27"/>
  <c r="EQ9" i="27" a="1"/>
  <c r="EQ9" i="27" s="1"/>
  <c r="EQ8" i="27"/>
  <c r="EQ2" i="27"/>
  <c r="EU9" i="27" a="1"/>
  <c r="EU9" i="27" s="1"/>
  <c r="EU8" i="27"/>
  <c r="EU2" i="27"/>
  <c r="EY9" i="27" a="1"/>
  <c r="EY9" i="27" s="1"/>
  <c r="EY8" i="27"/>
  <c r="EY2" i="27"/>
  <c r="FC25" i="27"/>
  <c r="FC9" i="27" a="1"/>
  <c r="FC9" i="27" s="1"/>
  <c r="FC8" i="27"/>
  <c r="FC2" i="27"/>
  <c r="FG9" i="27" a="1"/>
  <c r="FG9" i="27" s="1"/>
  <c r="FG8" i="27"/>
  <c r="FG2" i="27"/>
  <c r="FK9" i="27" a="1"/>
  <c r="FK9" i="27" s="1"/>
  <c r="FK8" i="27"/>
  <c r="FK2" i="27"/>
  <c r="FO25" i="27"/>
  <c r="FO9" i="27" a="1"/>
  <c r="FO9" i="27" s="1"/>
  <c r="FO8" i="27"/>
  <c r="FO2" i="27"/>
  <c r="FS9" i="27" a="1"/>
  <c r="FS9" i="27" s="1"/>
  <c r="FS8" i="27"/>
  <c r="FS2" i="27"/>
  <c r="FW9" i="27" a="1"/>
  <c r="FW9" i="27" s="1"/>
  <c r="FW8" i="27"/>
  <c r="FW2" i="27"/>
  <c r="AF9" i="27" a="1"/>
  <c r="AF9" i="27" s="1"/>
  <c r="F43" i="27" a="1"/>
  <c r="F43" i="27" s="1"/>
  <c r="F44" i="27" s="1" a="1"/>
  <c r="F44" i="27" s="1"/>
  <c r="F45" i="27" s="1" a="1"/>
  <c r="F45" i="27" s="1"/>
  <c r="T42" i="27"/>
  <c r="AT8" i="14"/>
  <c r="AX8" i="14"/>
  <c r="BB8" i="14"/>
  <c r="AB74" i="14"/>
  <c r="T27" i="27"/>
  <c r="T25" i="27"/>
  <c r="T26" i="27"/>
  <c r="T24" i="27"/>
  <c r="AE2" i="35" a="1"/>
  <c r="AE2" i="35" s="1"/>
  <c r="AH2" i="30" a="1"/>
  <c r="AH2" i="30" s="1"/>
  <c r="AF2" i="30" a="1"/>
  <c r="AF2" i="30" s="1"/>
  <c r="AH2" i="29" a="1"/>
  <c r="AH2" i="29" s="1"/>
  <c r="AH2" i="28"/>
  <c r="AF2" i="29" a="1"/>
  <c r="AF2" i="29" s="1"/>
  <c r="AJ2" i="28" a="1"/>
  <c r="AJ2" i="28" s="1"/>
  <c r="AF2" i="28"/>
  <c r="AD2" i="27" a="1"/>
  <c r="AD2" i="27" s="1"/>
  <c r="AF2" i="21" a="1"/>
  <c r="AF2" i="21" s="1"/>
  <c r="AF2" i="20" a="1"/>
  <c r="AF2" i="20" s="1"/>
  <c r="AH2" i="7" a="1"/>
  <c r="AH2" i="7" s="1"/>
  <c r="AF2" i="9" a="1"/>
  <c r="AF2" i="9" s="1"/>
  <c r="AM2" i="9" a="1"/>
  <c r="AM2" i="9" s="1"/>
  <c r="AF2" i="10" a="1"/>
  <c r="AF2" i="10" s="1"/>
  <c r="AF8" i="10"/>
  <c r="AV8" i="10"/>
  <c r="AZ8" i="10"/>
  <c r="AK2" i="12" a="1"/>
  <c r="AK2" i="12" s="1"/>
  <c r="AM8" i="14"/>
  <c r="AQ8" i="14"/>
  <c r="AB37" i="14"/>
  <c r="AB43" i="14"/>
  <c r="AB47" i="14"/>
  <c r="AB67" i="14"/>
  <c r="AB73" i="14"/>
  <c r="AB77" i="14"/>
  <c r="AF2" i="15" a="1"/>
  <c r="AF2" i="15" s="1"/>
  <c r="AH146" i="18"/>
  <c r="AG148" i="18"/>
  <c r="AG136" i="18" s="1"/>
  <c r="AG95" i="18" s="1"/>
  <c r="AG84" i="26" s="1" a="1"/>
  <c r="AG84" i="26" s="1"/>
  <c r="AF151" i="18"/>
  <c r="AF223" i="18"/>
  <c r="AH228" i="18"/>
  <c r="AB244" i="18"/>
  <c r="AB245" i="18"/>
  <c r="AL2" i="22"/>
  <c r="AK2" i="22"/>
  <c r="AO2" i="22"/>
  <c r="AV9" i="22" a="1"/>
  <c r="AV9" i="22" s="1"/>
  <c r="AV2" i="22"/>
  <c r="AZ9" i="22" a="1"/>
  <c r="AZ9" i="22" s="1"/>
  <c r="AZ2" i="22"/>
  <c r="F57" i="22" a="1"/>
  <c r="F57" i="22" s="1"/>
  <c r="K56" i="22"/>
  <c r="AU9" i="23" a="1"/>
  <c r="AU9" i="23" s="1"/>
  <c r="AU2" i="23"/>
  <c r="AL29" i="23"/>
  <c r="AT29" i="23"/>
  <c r="BB29" i="23"/>
  <c r="AH2" i="24"/>
  <c r="AL2" i="24"/>
  <c r="AP2" i="24"/>
  <c r="AT2" i="24"/>
  <c r="AX2" i="24"/>
  <c r="AP9" i="24" a="1"/>
  <c r="AP9" i="24" s="1"/>
  <c r="AX9" i="24" a="1"/>
  <c r="AX9" i="24" s="1"/>
  <c r="AD8" i="27"/>
  <c r="AD25" i="27"/>
  <c r="AB73" i="27"/>
  <c r="AB69" i="27"/>
  <c r="AB55" i="27"/>
  <c r="AB50" i="27"/>
  <c r="AB75" i="27"/>
  <c r="AB67" i="27"/>
  <c r="AB62" i="27"/>
  <c r="AB57" i="27"/>
  <c r="AB51" i="27"/>
  <c r="AB49" i="27"/>
  <c r="AB63" i="27"/>
  <c r="AB61" i="27"/>
  <c r="AB56" i="27"/>
  <c r="AB74" i="27"/>
  <c r="AB68" i="27"/>
  <c r="AW2" i="22"/>
  <c r="BA2" i="22"/>
  <c r="AZ9" i="23" a="1"/>
  <c r="AZ9" i="23" s="1"/>
  <c r="AE9" i="24" a="1"/>
  <c r="AE9" i="24" s="1"/>
  <c r="AE2" i="24"/>
  <c r="AI9" i="24" a="1"/>
  <c r="AI9" i="24" s="1"/>
  <c r="AI2" i="24"/>
  <c r="AM9" i="24" a="1"/>
  <c r="AM9" i="24" s="1"/>
  <c r="AM2" i="24"/>
  <c r="F41" i="24" a="1"/>
  <c r="F41" i="24" s="1"/>
  <c r="F42" i="24" s="1" a="1"/>
  <c r="F42" i="24" s="1"/>
  <c r="B120" i="26"/>
  <c r="B121" i="26" s="1" a="1"/>
  <c r="B121" i="26" s="1"/>
  <c r="B107" i="26"/>
  <c r="B108" i="26" s="1" a="1"/>
  <c r="B108" i="26" s="1"/>
  <c r="AB164" i="26"/>
  <c r="AB163" i="26"/>
  <c r="AB160" i="26"/>
  <c r="F106" i="27" a="1"/>
  <c r="F106" i="27" s="1"/>
  <c r="F107" i="27" s="1" a="1"/>
  <c r="F107" i="27" s="1"/>
  <c r="F108" i="27" s="1" a="1"/>
  <c r="F108" i="27" s="1"/>
  <c r="T105" i="27"/>
  <c r="AJ2" i="9" a="1"/>
  <c r="AJ2" i="9" s="1"/>
  <c r="AI2" i="10" a="1"/>
  <c r="AI2" i="10" s="1"/>
  <c r="AH8" i="10"/>
  <c r="AT8" i="10"/>
  <c r="AX8" i="10"/>
  <c r="BB8" i="10"/>
  <c r="AL2" i="12" a="1"/>
  <c r="AL2" i="12" s="1"/>
  <c r="AF2" i="13" a="1"/>
  <c r="AF2" i="13" s="1"/>
  <c r="AB41" i="14"/>
  <c r="AE53" i="14"/>
  <c r="AB71" i="14"/>
  <c r="AE83" i="14"/>
  <c r="AJ2" i="15"/>
  <c r="AN2" i="15"/>
  <c r="AR2" i="15"/>
  <c r="AF2" i="17"/>
  <c r="AB226" i="18"/>
  <c r="AE13" i="19"/>
  <c r="AI13" i="19"/>
  <c r="AI2" i="19"/>
  <c r="AB30" i="19"/>
  <c r="AB36" i="19"/>
  <c r="AB42" i="19"/>
  <c r="AB48" i="19"/>
  <c r="F44" i="21" a="1"/>
  <c r="F44" i="21" s="1"/>
  <c r="F45" i="21" s="1" a="1"/>
  <c r="F45" i="21" s="1"/>
  <c r="F46" i="21" s="1" a="1"/>
  <c r="F46" i="21" s="1"/>
  <c r="F47" i="21" s="1" a="1"/>
  <c r="F47" i="21" s="1"/>
  <c r="F48" i="21" s="1" a="1"/>
  <c r="F48" i="21" s="1"/>
  <c r="F49" i="21" s="1" a="1"/>
  <c r="F49" i="21" s="1"/>
  <c r="AF2" i="22" a="1"/>
  <c r="AF2" i="22" s="1"/>
  <c r="AP2" i="22"/>
  <c r="K28" i="22"/>
  <c r="F29" i="22" a="1"/>
  <c r="F29" i="22" s="1"/>
  <c r="AK9" i="23" a="1"/>
  <c r="AK9" i="23" s="1"/>
  <c r="AK2" i="23"/>
  <c r="AO9" i="23" a="1"/>
  <c r="AO9" i="23" s="1"/>
  <c r="AO2" i="23"/>
  <c r="AS9" i="23" a="1"/>
  <c r="AS9" i="23" s="1"/>
  <c r="AS2" i="23"/>
  <c r="AH29" i="23"/>
  <c r="AP29" i="23"/>
  <c r="AX29" i="23"/>
  <c r="AT9" i="24" a="1"/>
  <c r="AT9" i="24" s="1"/>
  <c r="F33" i="24" a="1"/>
  <c r="F33" i="24" s="1"/>
  <c r="F34" i="24" s="1" a="1"/>
  <c r="F34" i="24" s="1"/>
  <c r="F49" i="24" a="1"/>
  <c r="F49" i="24" s="1"/>
  <c r="F50" i="24" s="1" a="1"/>
  <c r="F50" i="24" s="1"/>
  <c r="B56" i="26"/>
  <c r="B57" i="26" s="1" a="1"/>
  <c r="B57" i="26" s="1"/>
  <c r="B69" i="26"/>
  <c r="B70" i="26" s="1" a="1"/>
  <c r="B70" i="26" s="1"/>
  <c r="AE9" i="27" a="1"/>
  <c r="AE9" i="27" s="1"/>
  <c r="AE8" i="27"/>
  <c r="AH2" i="27"/>
  <c r="AL2" i="27"/>
  <c r="AP2" i="27"/>
  <c r="AT2" i="27"/>
  <c r="AX2" i="27"/>
  <c r="BB2" i="27"/>
  <c r="BF2" i="27"/>
  <c r="BJ2" i="27"/>
  <c r="BN2" i="27"/>
  <c r="BR2" i="27"/>
  <c r="BV2" i="27"/>
  <c r="BZ2" i="27"/>
  <c r="CD2" i="27"/>
  <c r="CH2" i="27"/>
  <c r="CL2" i="27"/>
  <c r="CP2" i="27"/>
  <c r="CT2" i="27"/>
  <c r="CX2" i="27"/>
  <c r="DB2" i="27"/>
  <c r="DF2" i="27"/>
  <c r="DJ2" i="27"/>
  <c r="DN2" i="27"/>
  <c r="DR2" i="27"/>
  <c r="DV2" i="27"/>
  <c r="DZ2" i="27"/>
  <c r="ED2" i="27"/>
  <c r="EH2" i="27"/>
  <c r="EL2" i="27"/>
  <c r="EP2" i="27"/>
  <c r="ET2" i="27"/>
  <c r="EX2" i="27"/>
  <c r="FB2" i="27"/>
  <c r="FF2" i="27"/>
  <c r="FJ2" i="27"/>
  <c r="FN2" i="27"/>
  <c r="FR2" i="27"/>
  <c r="FV2" i="27"/>
  <c r="AD9" i="27" a="1"/>
  <c r="AD9" i="27" s="1"/>
  <c r="F169" i="27" a="1"/>
  <c r="F169" i="27" s="1"/>
  <c r="F170" i="27" s="1" a="1"/>
  <c r="F170" i="27" s="1"/>
  <c r="F171" i="27" s="1" a="1"/>
  <c r="F171" i="27" s="1"/>
  <c r="T168" i="27"/>
  <c r="B171" i="26"/>
  <c r="B172" i="26" s="1" a="1"/>
  <c r="B172" i="26" s="1"/>
  <c r="AJ8" i="27"/>
  <c r="AV8" i="27"/>
  <c r="BH8" i="27"/>
  <c r="BT8" i="27"/>
  <c r="CF8" i="27"/>
  <c r="CR8" i="27"/>
  <c r="DD8" i="27"/>
  <c r="DP8" i="27"/>
  <c r="EB8" i="27"/>
  <c r="EN8" i="27"/>
  <c r="EZ8" i="27"/>
  <c r="FL8" i="27"/>
  <c r="AP25" i="27"/>
  <c r="BB25" i="27"/>
  <c r="BN25" i="27"/>
  <c r="BZ25" i="27"/>
  <c r="CL25" i="27"/>
  <c r="CX25" i="27"/>
  <c r="DJ25" i="27"/>
  <c r="DV25" i="27"/>
  <c r="EH25" i="27"/>
  <c r="ET25" i="27"/>
  <c r="FF25" i="27"/>
  <c r="FR25" i="27"/>
  <c r="AB182" i="27"/>
  <c r="AJ10" i="28" a="1"/>
  <c r="AJ10" i="28" s="1"/>
  <c r="AJ9" i="28"/>
  <c r="AM2" i="29"/>
  <c r="F33" i="29" a="1"/>
  <c r="F33" i="29" s="1"/>
  <c r="GB170" i="27" a="1"/>
  <c r="GB170" i="27" s="1"/>
  <c r="GB169" i="27" a="1"/>
  <c r="GB169" i="27" s="1"/>
  <c r="AK10" i="28" a="1"/>
  <c r="AK10" i="28" s="1"/>
  <c r="AK9" i="28"/>
  <c r="B29" i="23"/>
  <c r="B33" i="23"/>
  <c r="B39" i="23"/>
  <c r="B41" i="23"/>
  <c r="B47" i="23"/>
  <c r="B49" i="23"/>
  <c r="B53" i="23"/>
  <c r="B55" i="23"/>
  <c r="B59" i="23"/>
  <c r="B64" i="23"/>
  <c r="B66" i="23"/>
  <c r="B70" i="23"/>
  <c r="B72" i="23"/>
  <c r="B78" i="23"/>
  <c r="B80" i="23"/>
  <c r="B94" i="23"/>
  <c r="B96" i="23"/>
  <c r="B102" i="23"/>
  <c r="B104" i="23"/>
  <c r="B110" i="23"/>
  <c r="B119" i="23"/>
  <c r="B126" i="23"/>
  <c r="B132" i="23"/>
  <c r="B134" i="23"/>
  <c r="B140" i="23"/>
  <c r="B142" i="23"/>
  <c r="B143" i="23"/>
  <c r="B144" i="23"/>
  <c r="AS2" i="24"/>
  <c r="AW2" i="24"/>
  <c r="AN30" i="28"/>
  <c r="F31" i="28" a="1"/>
  <c r="F31" i="28" s="1"/>
  <c r="F116" i="28" a="1"/>
  <c r="F116" i="28" s="1"/>
  <c r="B34" i="23"/>
  <c r="B36" i="23"/>
  <c r="B40" i="23"/>
  <c r="B42" i="23"/>
  <c r="B48" i="23"/>
  <c r="B50" i="23"/>
  <c r="B56" i="23"/>
  <c r="B65" i="23"/>
  <c r="B67" i="23"/>
  <c r="B73" i="23"/>
  <c r="B75" i="23"/>
  <c r="B81" i="23"/>
  <c r="B90" i="23"/>
  <c r="B97" i="23"/>
  <c r="B103" i="23"/>
  <c r="B105" i="23"/>
  <c r="B111" i="23"/>
  <c r="B113" i="23"/>
  <c r="B114" i="23"/>
  <c r="B115" i="23"/>
  <c r="B118" i="23"/>
  <c r="B120" i="23"/>
  <c r="B121" i="23"/>
  <c r="B127" i="23"/>
  <c r="B129" i="23"/>
  <c r="B135" i="23"/>
  <c r="B137" i="23"/>
  <c r="AB199" i="27"/>
  <c r="AB195" i="27"/>
  <c r="AB181" i="27"/>
  <c r="AB176" i="27"/>
  <c r="AB194" i="27"/>
  <c r="AB189" i="27"/>
  <c r="AB175" i="27"/>
  <c r="AB201" i="27"/>
  <c r="AB193" i="27"/>
  <c r="AB188" i="27"/>
  <c r="AB183" i="27"/>
  <c r="AB200" i="27"/>
  <c r="F201" i="28" a="1"/>
  <c r="F201" i="28" s="1"/>
  <c r="AV2" i="29"/>
  <c r="AV9" i="29" a="1"/>
  <c r="AV9" i="29" s="1"/>
  <c r="AZ2" i="29"/>
  <c r="AZ9" i="29" a="1"/>
  <c r="AZ9" i="29" s="1"/>
  <c r="BD2" i="29"/>
  <c r="BD9" i="29" a="1"/>
  <c r="BD9" i="29" s="1"/>
  <c r="AF8" i="29"/>
  <c r="AV8" i="29"/>
  <c r="D280" i="29" a="1"/>
  <c r="D280" i="29" s="1"/>
  <c r="D281" i="29" s="1" a="1"/>
  <c r="D281" i="29" s="1"/>
  <c r="AB279" i="29" a="1"/>
  <c r="AB279" i="29" s="1"/>
  <c r="GB106" i="27" a="1"/>
  <c r="GB106" i="27" s="1"/>
  <c r="AB113" i="27"/>
  <c r="AB118" i="27"/>
  <c r="AB132" i="27"/>
  <c r="AB136" i="27"/>
  <c r="AG9" i="28"/>
  <c r="BE2" i="29"/>
  <c r="BM2" i="29"/>
  <c r="AK9" i="29" a="1"/>
  <c r="AK9" i="29" s="1"/>
  <c r="AK8" i="29"/>
  <c r="AO9" i="29" a="1"/>
  <c r="AO9" i="29" s="1"/>
  <c r="AO8" i="29"/>
  <c r="AS9" i="29" a="1"/>
  <c r="AS9" i="29" s="1"/>
  <c r="AS8" i="29"/>
  <c r="AH8" i="29"/>
  <c r="F177" i="29" a="1"/>
  <c r="F177" i="29" s="1"/>
  <c r="AB114" i="27"/>
  <c r="AB119" i="27"/>
  <c r="AB124" i="27"/>
  <c r="AB137" i="27"/>
  <c r="AT9" i="29" a="1"/>
  <c r="AT9" i="29" s="1"/>
  <c r="AT2" i="29"/>
  <c r="AX9" i="29" a="1"/>
  <c r="AX9" i="29" s="1"/>
  <c r="AX2" i="29"/>
  <c r="BB9" i="29" a="1"/>
  <c r="BB9" i="29" s="1"/>
  <c r="BB2" i="29"/>
  <c r="D136" i="29" a="1"/>
  <c r="D136" i="29" s="1"/>
  <c r="D137" i="29" s="1" a="1"/>
  <c r="D137" i="29" s="1"/>
  <c r="AB135" i="29" a="1"/>
  <c r="AB135" i="29" s="1"/>
  <c r="AB120" i="27"/>
  <c r="AB125" i="27"/>
  <c r="AB130" i="27"/>
  <c r="AE9" i="28"/>
  <c r="AI9" i="28"/>
  <c r="BI2" i="29"/>
  <c r="AJ2" i="29"/>
  <c r="AJ9" i="29" a="1"/>
  <c r="AJ9" i="29" s="1"/>
  <c r="AM9" i="29" a="1"/>
  <c r="AM9" i="29" s="1"/>
  <c r="AM8" i="29"/>
  <c r="AQ9" i="29" a="1"/>
  <c r="AQ9" i="29" s="1"/>
  <c r="AQ8" i="29"/>
  <c r="AT8" i="29"/>
  <c r="BB8" i="29"/>
  <c r="F321" i="29" a="1"/>
  <c r="F321" i="29" s="1"/>
  <c r="AE8" i="29"/>
  <c r="AI8" i="29"/>
  <c r="AU8" i="29"/>
  <c r="AY8" i="29"/>
  <c r="BC8" i="29"/>
  <c r="D424" i="29" a="1"/>
  <c r="D424" i="29" s="1"/>
  <c r="D425" i="29" s="1" a="1"/>
  <c r="D425" i="29" s="1"/>
  <c r="AB423" i="29" a="1"/>
  <c r="AB423" i="29" s="1"/>
  <c r="AG8" i="29"/>
  <c r="AW8" i="29"/>
  <c r="BA8" i="29"/>
  <c r="AJ2" i="30"/>
  <c r="F30" i="30" a="1"/>
  <c r="F30" i="30" s="1"/>
  <c r="F31" i="30" s="1" a="1"/>
  <c r="F31" i="30" s="1"/>
  <c r="F32" i="30" s="1" a="1"/>
  <c r="F32" i="30" s="1"/>
  <c r="AT9" i="30" a="1"/>
  <c r="AT9" i="30" s="1"/>
  <c r="AT2" i="30"/>
  <c r="AT8" i="30"/>
  <c r="AG8" i="30"/>
  <c r="AI8" i="30"/>
  <c r="AQ8" i="30"/>
  <c r="AU2" i="30"/>
  <c r="AU8" i="30"/>
  <c r="AY2" i="30"/>
  <c r="AY8" i="30"/>
  <c r="BC2" i="30"/>
  <c r="BC8" i="30"/>
  <c r="BF9" i="30" a="1"/>
  <c r="BF9" i="30" s="1"/>
  <c r="BF2" i="30"/>
  <c r="BJ9" i="30" a="1"/>
  <c r="BJ9" i="30" s="1"/>
  <c r="BJ2" i="30"/>
  <c r="AY9" i="30" a="1"/>
  <c r="AY9" i="30" s="1"/>
  <c r="AF8" i="30"/>
  <c r="AJ8" i="30"/>
  <c r="AJ9" i="30" a="1"/>
  <c r="AJ9" i="30" s="1"/>
  <c r="AN8" i="30"/>
  <c r="AN9" i="30" a="1"/>
  <c r="AN9" i="30" s="1"/>
  <c r="AR8" i="30"/>
  <c r="AR9" i="30" a="1"/>
  <c r="AR9" i="30" s="1"/>
  <c r="AV8" i="30"/>
  <c r="BG2" i="30"/>
  <c r="BK2" i="30"/>
  <c r="D136" i="30" a="1"/>
  <c r="D136" i="30" s="1"/>
  <c r="D137" i="30" s="1" a="1"/>
  <c r="D137" i="30" s="1"/>
  <c r="AB135" i="30" a="1"/>
  <c r="AB135" i="30" s="1"/>
  <c r="AH8" i="30"/>
  <c r="F177" i="30" a="1"/>
  <c r="F177" i="30" s="1"/>
  <c r="D280" i="30" a="1"/>
  <c r="D280" i="30" s="1"/>
  <c r="D281" i="30" s="1" a="1"/>
  <c r="D281" i="30" s="1"/>
  <c r="AB279" i="30" a="1"/>
  <c r="AB279" i="30" s="1"/>
  <c r="F321" i="30" a="1"/>
  <c r="F321" i="30" s="1"/>
  <c r="AX2" i="30"/>
  <c r="BB2" i="30"/>
  <c r="AF9" i="30" a="1"/>
  <c r="AF9" i="30" s="1"/>
  <c r="AV9" i="30" a="1"/>
  <c r="AV9" i="30" s="1"/>
  <c r="AZ9" i="30" a="1"/>
  <c r="AZ9" i="30" s="1"/>
  <c r="AH199" i="30"/>
  <c r="AH213" i="30"/>
  <c r="AG183" i="30"/>
  <c r="AH183" i="30" s="1"/>
  <c r="AG206" i="30"/>
  <c r="AH206" i="30" s="1"/>
  <c r="AT308" i="30"/>
  <c r="AH349" i="30"/>
  <c r="AG342" i="30"/>
  <c r="AH192" i="30"/>
  <c r="AG179" i="30"/>
  <c r="AG197" i="30"/>
  <c r="AH197" i="30" s="1"/>
  <c r="AH198" i="30"/>
  <c r="BE287" i="30"/>
  <c r="AH351" i="30"/>
  <c r="AG327" i="30"/>
  <c r="AH327" i="30" s="1"/>
  <c r="AG287" i="30"/>
  <c r="D424" i="30" a="1"/>
  <c r="D424" i="30" s="1"/>
  <c r="D425" i="30" s="1" a="1"/>
  <c r="D425" i="30" s="1"/>
  <c r="AB423" i="30" a="1"/>
  <c r="AB423" i="30" s="1"/>
  <c r="BE431" i="30"/>
  <c r="BD431" i="30"/>
  <c r="AB42" i="32"/>
  <c r="B42" i="32"/>
  <c r="AB50" i="32"/>
  <c r="B50" i="32"/>
  <c r="AB58" i="32"/>
  <c r="B58" i="32"/>
  <c r="AB66" i="32"/>
  <c r="B66" i="32"/>
  <c r="AB74" i="32"/>
  <c r="B74" i="32"/>
  <c r="AO103" i="32" a="1"/>
  <c r="AO103" i="32" s="1"/>
  <c r="B103" i="32"/>
  <c r="AB103" i="32"/>
  <c r="AO119" i="32" a="1"/>
  <c r="AO119" i="32" s="1"/>
  <c r="B119" i="32"/>
  <c r="AB119" i="32"/>
  <c r="AO42" i="32" a="1"/>
  <c r="AO42" i="32" s="1"/>
  <c r="AO50" i="32" a="1"/>
  <c r="AO50" i="32" s="1"/>
  <c r="AO58" i="32" a="1"/>
  <c r="AO58" i="32" s="1"/>
  <c r="AO66" i="32" a="1"/>
  <c r="AO66" i="32" s="1"/>
  <c r="AO74" i="32" a="1"/>
  <c r="AO74" i="32" s="1"/>
  <c r="AB87" i="32"/>
  <c r="AO87" i="32" a="1"/>
  <c r="AO87" i="32" s="1"/>
  <c r="B87" i="32"/>
  <c r="AB106" i="32"/>
  <c r="AO106" i="32" a="1"/>
  <c r="AO106" i="32" s="1"/>
  <c r="B106" i="32"/>
  <c r="AB122" i="32"/>
  <c r="AO122" i="32" a="1"/>
  <c r="AO122" i="32" s="1"/>
  <c r="B122" i="32"/>
  <c r="F34" i="32" a="1"/>
  <c r="F34" i="32" s="1"/>
  <c r="AF33" i="32"/>
  <c r="AB46" i="32"/>
  <c r="B46" i="32"/>
  <c r="AB54" i="32"/>
  <c r="B54" i="32"/>
  <c r="AB62" i="32"/>
  <c r="B62" i="32"/>
  <c r="AB70" i="32"/>
  <c r="B70" i="32"/>
  <c r="AB78" i="32"/>
  <c r="B78" i="32"/>
  <c r="F84" i="32" a="1"/>
  <c r="F84" i="32" s="1"/>
  <c r="F135" i="32" a="1"/>
  <c r="F135" i="32" s="1"/>
  <c r="AF134" i="32"/>
  <c r="AO31" i="32" a="1"/>
  <c r="AO31" i="32" s="1"/>
  <c r="AO44" i="32" a="1"/>
  <c r="AO44" i="32" s="1"/>
  <c r="B44" i="32"/>
  <c r="AO48" i="32" a="1"/>
  <c r="AO48" i="32" s="1"/>
  <c r="B48" i="32"/>
  <c r="AO52" i="32" a="1"/>
  <c r="AO52" i="32" s="1"/>
  <c r="B52" i="32"/>
  <c r="AO56" i="32" a="1"/>
  <c r="AO56" i="32" s="1"/>
  <c r="B56" i="32"/>
  <c r="AO60" i="32" a="1"/>
  <c r="AO60" i="32" s="1"/>
  <c r="B60" i="32"/>
  <c r="AO64" i="32" a="1"/>
  <c r="AO64" i="32" s="1"/>
  <c r="B64" i="32"/>
  <c r="AO68" i="32" a="1"/>
  <c r="AO68" i="32" s="1"/>
  <c r="B68" i="32"/>
  <c r="AO72" i="32" a="1"/>
  <c r="AO72" i="32" s="1"/>
  <c r="B72" i="32"/>
  <c r="AO76" i="32" a="1"/>
  <c r="AO76" i="32" s="1"/>
  <c r="B76" i="32"/>
  <c r="AO80" i="32" a="1"/>
  <c r="AO80" i="32" s="1"/>
  <c r="B80" i="32"/>
  <c r="AO82" i="32" a="1"/>
  <c r="AO82" i="32" s="1"/>
  <c r="B82" i="32"/>
  <c r="AB82" i="32"/>
  <c r="AB91" i="32"/>
  <c r="AO91" i="32" a="1"/>
  <c r="AO91" i="32" s="1"/>
  <c r="AO95" i="32" a="1"/>
  <c r="AO95" i="32" s="1"/>
  <c r="B95" i="32"/>
  <c r="AO111" i="32" a="1"/>
  <c r="AO111" i="32" s="1"/>
  <c r="B111" i="32"/>
  <c r="AO127" i="32" a="1"/>
  <c r="AO127" i="32" s="1"/>
  <c r="B127" i="32"/>
  <c r="AO158" i="32" a="1"/>
  <c r="AO158" i="32" s="1"/>
  <c r="B158" i="32"/>
  <c r="AB160" i="32"/>
  <c r="B160" i="32"/>
  <c r="AB173" i="32"/>
  <c r="AO173" i="32" a="1"/>
  <c r="AO173" i="32" s="1"/>
  <c r="B173" i="32"/>
  <c r="AB37" i="33"/>
  <c r="B37" i="33"/>
  <c r="AN37" i="33" a="1"/>
  <c r="AN37" i="33" s="1"/>
  <c r="AF31" i="32"/>
  <c r="B86" i="32"/>
  <c r="AB89" i="32"/>
  <c r="AO89" i="32" a="1"/>
  <c r="AO89" i="32" s="1"/>
  <c r="AB95" i="32"/>
  <c r="AO99" i="32" a="1"/>
  <c r="AO99" i="32" s="1"/>
  <c r="B99" i="32"/>
  <c r="AB111" i="32"/>
  <c r="AO115" i="32" a="1"/>
  <c r="AO115" i="32" s="1"/>
  <c r="B115" i="32"/>
  <c r="AB127" i="32"/>
  <c r="AO131" i="32" a="1"/>
  <c r="AO131" i="32" s="1"/>
  <c r="B131" i="32"/>
  <c r="AO133" i="32" a="1"/>
  <c r="AO133" i="32" s="1"/>
  <c r="AF133" i="32"/>
  <c r="B133" i="32"/>
  <c r="AB135" i="32"/>
  <c r="AO135" i="32" a="1"/>
  <c r="AO135" i="32" s="1"/>
  <c r="AB137" i="32"/>
  <c r="AO137" i="32" a="1"/>
  <c r="AO137" i="32" s="1"/>
  <c r="AB142" i="32"/>
  <c r="AO142" i="32" a="1"/>
  <c r="AO142" i="32" s="1"/>
  <c r="AO146" i="32" a="1"/>
  <c r="AO146" i="32" s="1"/>
  <c r="B146" i="32"/>
  <c r="B153" i="32"/>
  <c r="AO153" i="32" a="1"/>
  <c r="AO153" i="32" s="1"/>
  <c r="AB158" i="32"/>
  <c r="B126" i="32"/>
  <c r="AO126" i="32" a="1"/>
  <c r="AO126" i="32" s="1"/>
  <c r="AB131" i="32"/>
  <c r="B136" i="32"/>
  <c r="B138" i="32"/>
  <c r="AB140" i="32"/>
  <c r="AO140" i="32" a="1"/>
  <c r="AO140" i="32" s="1"/>
  <c r="AB146" i="32"/>
  <c r="AO150" i="32" a="1"/>
  <c r="AO150" i="32" s="1"/>
  <c r="B150" i="32"/>
  <c r="B157" i="32"/>
  <c r="AO157" i="32" a="1"/>
  <c r="AO157" i="32" s="1"/>
  <c r="AO160" i="32" a="1"/>
  <c r="AO160" i="32" s="1"/>
  <c r="AO165" i="32" a="1"/>
  <c r="AO165" i="32" s="1"/>
  <c r="B165" i="32"/>
  <c r="AB69" i="33"/>
  <c r="B69" i="33"/>
  <c r="AN69" i="33" a="1"/>
  <c r="AN69" i="33" s="1"/>
  <c r="AB31" i="32"/>
  <c r="B91" i="32"/>
  <c r="B98" i="32"/>
  <c r="AO98" i="32" a="1"/>
  <c r="AO98" i="32" s="1"/>
  <c r="AO107" i="32" a="1"/>
  <c r="AO107" i="32" s="1"/>
  <c r="B107" i="32"/>
  <c r="B114" i="32"/>
  <c r="AO114" i="32" a="1"/>
  <c r="AO114" i="32" s="1"/>
  <c r="AO123" i="32" a="1"/>
  <c r="AO123" i="32" s="1"/>
  <c r="B123" i="32"/>
  <c r="B130" i="32"/>
  <c r="AO130" i="32" a="1"/>
  <c r="AO130" i="32" s="1"/>
  <c r="AB136" i="32"/>
  <c r="AO136" i="32" a="1"/>
  <c r="AO136" i="32" s="1"/>
  <c r="AB138" i="32"/>
  <c r="AO138" i="32" a="1"/>
  <c r="AO138" i="32" s="1"/>
  <c r="B145" i="32"/>
  <c r="AO145" i="32" a="1"/>
  <c r="AO145" i="32" s="1"/>
  <c r="AO154" i="32" a="1"/>
  <c r="AO154" i="32" s="1"/>
  <c r="B154" i="32"/>
  <c r="AO162" i="32" a="1"/>
  <c r="AO162" i="32" s="1"/>
  <c r="B162" i="32"/>
  <c r="AB169" i="32"/>
  <c r="AO169" i="32" a="1"/>
  <c r="AO169" i="32" s="1"/>
  <c r="B169" i="32"/>
  <c r="T29" i="33"/>
  <c r="T30" i="33" s="1" a="1"/>
  <c r="T30" i="33" s="1"/>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B30" i="33"/>
  <c r="AN30" i="33" a="1"/>
  <c r="AN30" i="33" s="1"/>
  <c r="AB33" i="33"/>
  <c r="B33" i="33"/>
  <c r="AN33" i="33" a="1"/>
  <c r="AN33" i="33" s="1"/>
  <c r="AB49" i="33"/>
  <c r="B49" i="33"/>
  <c r="AN49" i="33" a="1"/>
  <c r="AN49" i="33" s="1"/>
  <c r="AB57" i="33"/>
  <c r="B57" i="33"/>
  <c r="AN57" i="33" a="1"/>
  <c r="AN57" i="33" s="1"/>
  <c r="AN74" i="33" a="1"/>
  <c r="AN74" i="33" s="1"/>
  <c r="AB74" i="33"/>
  <c r="B74" i="33"/>
  <c r="F83" i="33"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T133" i="33" s="1"/>
  <c r="T82" i="33"/>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B85" i="32"/>
  <c r="B88" i="32"/>
  <c r="B90" i="32"/>
  <c r="B92" i="32"/>
  <c r="B96" i="32"/>
  <c r="B100" i="32"/>
  <c r="B104" i="32"/>
  <c r="B108" i="32"/>
  <c r="B112" i="32"/>
  <c r="B116" i="32"/>
  <c r="B120" i="32"/>
  <c r="B124" i="32"/>
  <c r="B128" i="32"/>
  <c r="B139" i="32"/>
  <c r="B141" i="32"/>
  <c r="B143" i="32"/>
  <c r="B147" i="32"/>
  <c r="B151" i="32"/>
  <c r="B155" i="32"/>
  <c r="AB181" i="32"/>
  <c r="AO181" i="32" a="1"/>
  <c r="AO181" i="32" s="1"/>
  <c r="B181" i="32"/>
  <c r="AB45" i="33"/>
  <c r="B45" i="33"/>
  <c r="AN45" i="33" a="1"/>
  <c r="AN45" i="33" s="1"/>
  <c r="AN62" i="33" a="1"/>
  <c r="AN62" i="33" s="1"/>
  <c r="AB62" i="33"/>
  <c r="AN66" i="33" a="1"/>
  <c r="AN66" i="33" s="1"/>
  <c r="AB66" i="33"/>
  <c r="AB177" i="32"/>
  <c r="AO177" i="32" a="1"/>
  <c r="AO177" i="32" s="1"/>
  <c r="B177" i="32"/>
  <c r="AB41" i="33"/>
  <c r="B41" i="33"/>
  <c r="AN41" i="33" a="1"/>
  <c r="AN41" i="33" s="1"/>
  <c r="AB53" i="33"/>
  <c r="B53" i="33"/>
  <c r="AN53" i="33" a="1"/>
  <c r="AN53" i="33" s="1"/>
  <c r="AB60" i="33"/>
  <c r="B60" i="33"/>
  <c r="AB64" i="33"/>
  <c r="B64" i="33"/>
  <c r="T76" i="34"/>
  <c r="F77" i="34" a="1"/>
  <c r="F77" i="34" s="1"/>
  <c r="F166" i="34" a="1"/>
  <c r="F166" i="34" s="1"/>
  <c r="T165" i="34"/>
  <c r="AB93" i="33"/>
  <c r="B93" i="33"/>
  <c r="AB105" i="33"/>
  <c r="B105" i="33"/>
  <c r="AB113" i="33"/>
  <c r="B113" i="33"/>
  <c r="AB121" i="33"/>
  <c r="B121" i="33"/>
  <c r="AB149" i="33"/>
  <c r="B149" i="33"/>
  <c r="AN149" i="33" a="1"/>
  <c r="AN149" i="33" s="1"/>
  <c r="AB152" i="33"/>
  <c r="B152" i="33"/>
  <c r="AB156" i="33"/>
  <c r="B156" i="33"/>
  <c r="AB160" i="33"/>
  <c r="B160" i="33"/>
  <c r="AN164" i="33" a="1"/>
  <c r="AN164" i="33" s="1"/>
  <c r="B164" i="33"/>
  <c r="AB164" i="33"/>
  <c r="AN180" i="33" a="1"/>
  <c r="AN180" i="33" s="1"/>
  <c r="AB180" i="33"/>
  <c r="B180" i="33"/>
  <c r="AB73" i="33"/>
  <c r="B73" i="33"/>
  <c r="AB97" i="33"/>
  <c r="B97" i="33"/>
  <c r="B98" i="33"/>
  <c r="AB98" i="33"/>
  <c r="AB145" i="33"/>
  <c r="B145" i="33"/>
  <c r="AN145" i="33" a="1"/>
  <c r="AN145" i="33" s="1"/>
  <c r="AN152" i="33" a="1"/>
  <c r="AN152" i="33" s="1"/>
  <c r="AN156" i="33" a="1"/>
  <c r="AN156" i="33" s="1"/>
  <c r="AN160" i="33" a="1"/>
  <c r="AN160" i="33" s="1"/>
  <c r="AE28" i="34"/>
  <c r="AE27" i="34" s="1"/>
  <c r="F255" i="34" a="1"/>
  <c r="F255" i="34" s="1"/>
  <c r="T254" i="34"/>
  <c r="B166" i="32"/>
  <c r="B170" i="32"/>
  <c r="B174" i="32"/>
  <c r="B178" i="32"/>
  <c r="B182" i="32"/>
  <c r="B32" i="33"/>
  <c r="B36" i="33"/>
  <c r="B40" i="33"/>
  <c r="B44" i="33"/>
  <c r="B48" i="33"/>
  <c r="B52" i="33"/>
  <c r="B56" i="33"/>
  <c r="AB77" i="33"/>
  <c r="B77" i="33"/>
  <c r="B78" i="33"/>
  <c r="AB78" i="33"/>
  <c r="AB83" i="33"/>
  <c r="AB85" i="33"/>
  <c r="B85" i="33"/>
  <c r="B86" i="33"/>
  <c r="AB86" i="33"/>
  <c r="AB101" i="33"/>
  <c r="B101" i="33"/>
  <c r="B102" i="33"/>
  <c r="AB102" i="33"/>
  <c r="AB109" i="33"/>
  <c r="B109" i="33"/>
  <c r="B110" i="33"/>
  <c r="AB110" i="33"/>
  <c r="AB117" i="33"/>
  <c r="B117" i="33"/>
  <c r="B118" i="33"/>
  <c r="AB118" i="33"/>
  <c r="AB125" i="33"/>
  <c r="B125" i="33"/>
  <c r="B126" i="33"/>
  <c r="AB126" i="33"/>
  <c r="AB141" i="33"/>
  <c r="B141" i="33"/>
  <c r="AN141" i="33" a="1"/>
  <c r="AN141" i="33" s="1"/>
  <c r="AN172" i="33" a="1"/>
  <c r="AN172" i="33" s="1"/>
  <c r="AB172" i="33"/>
  <c r="B172" i="33"/>
  <c r="AB89" i="33"/>
  <c r="B89" i="33"/>
  <c r="AN93" i="33" a="1"/>
  <c r="AN93" i="33" s="1"/>
  <c r="AN105" i="33" a="1"/>
  <c r="AN105" i="33" s="1"/>
  <c r="AN113" i="33" a="1"/>
  <c r="AN113" i="33" s="1"/>
  <c r="AN121" i="33" a="1"/>
  <c r="AN121" i="33" s="1"/>
  <c r="AB129" i="33"/>
  <c r="B129" i="33"/>
  <c r="AN129" i="33" a="1"/>
  <c r="AN129" i="33" s="1"/>
  <c r="F136" i="33"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F166" i="33" s="1" a="1"/>
  <c r="F166" i="33" s="1"/>
  <c r="F167" i="33" s="1"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T186" i="33" s="1"/>
  <c r="T135" i="33"/>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65" i="33" s="1" a="1"/>
  <c r="T165" i="33" s="1"/>
  <c r="T166" i="33" s="1" a="1"/>
  <c r="T166" i="33" s="1"/>
  <c r="T167" i="33" s="1" a="1"/>
  <c r="T167" i="33" s="1"/>
  <c r="T168" i="33" s="1"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s="1" a="1"/>
  <c r="T181" i="33" s="1"/>
  <c r="T182" i="33" s="1" a="1"/>
  <c r="T182" i="33" s="1"/>
  <c r="T183" i="33" s="1" a="1"/>
  <c r="T183" i="33" s="1"/>
  <c r="T184" i="33" s="1" a="1"/>
  <c r="T184" i="33" s="1"/>
  <c r="T185" i="33" s="1" a="1"/>
  <c r="T185" i="33" s="1"/>
  <c r="AB137" i="33"/>
  <c r="B137" i="33"/>
  <c r="AN137" i="33" a="1"/>
  <c r="AN137" i="33" s="1"/>
  <c r="AN150" i="33" a="1"/>
  <c r="AN150" i="33" s="1"/>
  <c r="AB150" i="33"/>
  <c r="AN154" i="33" a="1"/>
  <c r="AN154" i="33" s="1"/>
  <c r="AB154" i="33"/>
  <c r="AN158" i="33" a="1"/>
  <c r="AN158" i="33" s="1"/>
  <c r="AB158" i="33"/>
  <c r="AN162" i="33" a="1"/>
  <c r="AN162" i="33" s="1"/>
  <c r="AB162" i="33"/>
  <c r="B131" i="33"/>
  <c r="AB131" i="33"/>
  <c r="B136" i="33"/>
  <c r="B139" i="33"/>
  <c r="AB139" i="33"/>
  <c r="B143" i="33"/>
  <c r="AB143" i="33"/>
  <c r="B147" i="33"/>
  <c r="AB147" i="33"/>
  <c r="AB170" i="33"/>
  <c r="B170" i="33"/>
  <c r="AB178" i="33"/>
  <c r="B178" i="33"/>
  <c r="B68" i="33"/>
  <c r="B72" i="33"/>
  <c r="B76" i="33"/>
  <c r="B84" i="33"/>
  <c r="B88" i="33"/>
  <c r="B92" i="33"/>
  <c r="B96" i="33"/>
  <c r="AE116" i="34"/>
  <c r="AB166" i="33"/>
  <c r="B166" i="33"/>
  <c r="B168" i="33"/>
  <c r="AB174" i="33"/>
  <c r="B174" i="33"/>
  <c r="B176" i="33"/>
  <c r="AB182" i="33"/>
  <c r="B182" i="33"/>
  <c r="F31" i="35" a="1"/>
  <c r="F31" i="35" s="1"/>
  <c r="F49" i="35" a="1"/>
  <c r="F49" i="35" s="1"/>
  <c r="K48" i="35"/>
  <c r="AE207" i="34"/>
  <c r="AE206" i="34" s="1"/>
  <c r="AE205" i="34" s="1"/>
  <c r="K67" i="35"/>
  <c r="F68" i="35" a="1"/>
  <c r="F68" i="35" s="1"/>
  <c r="AE38" i="35"/>
  <c r="M20" i="43"/>
  <c r="M12" i="43"/>
  <c r="M19" i="43"/>
  <c r="M11" i="43"/>
  <c r="M16" i="43"/>
  <c r="AE57" i="35"/>
  <c r="M15" i="43"/>
  <c r="AF30" i="17" l="1"/>
  <c r="AF28" i="17" s="1"/>
  <c r="AN200" i="28"/>
  <c r="AE37" i="17"/>
  <c r="AE35" i="17" s="1"/>
  <c r="AE44" i="17"/>
  <c r="AE42" i="17" s="1"/>
  <c r="AE30" i="17"/>
  <c r="AE28" i="17" s="1"/>
  <c r="AF37" i="17"/>
  <c r="AF35" i="17" s="1"/>
  <c r="AF44" i="17"/>
  <c r="AF42" i="17" s="1"/>
  <c r="F256" i="34" a="1"/>
  <c r="F256" i="34" s="1"/>
  <c r="F257" i="34" s="1" a="1"/>
  <c r="F257" i="34" s="1"/>
  <c r="F258" i="34" s="1" a="1"/>
  <c r="F258" i="34" s="1"/>
  <c r="F259" i="34" s="1" a="1"/>
  <c r="F259" i="34" s="1"/>
  <c r="F260" i="34" s="1" a="1"/>
  <c r="F260" i="34" s="1"/>
  <c r="F261" i="34" s="1" a="1"/>
  <c r="F261" i="34" s="1"/>
  <c r="F262" i="34" s="1" a="1"/>
  <c r="F262" i="34" s="1"/>
  <c r="F263" i="34" s="1" a="1"/>
  <c r="F263" i="34" s="1"/>
  <c r="F264" i="34" s="1" a="1"/>
  <c r="F264" i="34" s="1"/>
  <c r="F265" i="34" s="1" a="1"/>
  <c r="F265" i="34" s="1"/>
  <c r="F266" i="34" s="1" a="1"/>
  <c r="F266" i="34" s="1"/>
  <c r="F267" i="34" s="1" a="1"/>
  <c r="F267" i="34" s="1"/>
  <c r="F268" i="34" s="1" a="1"/>
  <c r="F268" i="34" s="1"/>
  <c r="F269" i="34" s="1" a="1"/>
  <c r="F269" i="34" s="1"/>
  <c r="F270" i="34" s="1" a="1"/>
  <c r="F270" i="34" s="1"/>
  <c r="F271" i="34" s="1" a="1"/>
  <c r="F271" i="34" s="1"/>
  <c r="F272" i="34" s="1" a="1"/>
  <c r="F272" i="34" s="1"/>
  <c r="F273" i="34" s="1" a="1"/>
  <c r="F273" i="34" s="1"/>
  <c r="F274" i="34" s="1" a="1"/>
  <c r="F274" i="34" s="1"/>
  <c r="F275" i="34" s="1" a="1"/>
  <c r="F275" i="34" s="1"/>
  <c r="F276" i="34" s="1" a="1"/>
  <c r="F276" i="34" s="1"/>
  <c r="F277" i="34" s="1" a="1"/>
  <c r="F277" i="34" s="1"/>
  <c r="F278" i="34" s="1" a="1"/>
  <c r="F278" i="34" s="1"/>
  <c r="F279" i="34" s="1" a="1"/>
  <c r="F279" i="34" s="1"/>
  <c r="F280" i="34" s="1" a="1"/>
  <c r="F280" i="34" s="1"/>
  <c r="F281" i="34" s="1" a="1"/>
  <c r="F281" i="34" s="1"/>
  <c r="F282" i="34" s="1" a="1"/>
  <c r="F282" i="34" s="1"/>
  <c r="F283" i="34" s="1" a="1"/>
  <c r="F283" i="34" s="1"/>
  <c r="F284" i="34" s="1" a="1"/>
  <c r="F284" i="34" s="1"/>
  <c r="F285" i="34" s="1" a="1"/>
  <c r="F285" i="34" s="1"/>
  <c r="F286" i="34" s="1" a="1"/>
  <c r="F286" i="34" s="1"/>
  <c r="F287" i="34" s="1" a="1"/>
  <c r="F287" i="34" s="1"/>
  <c r="F288" i="34" s="1" a="1"/>
  <c r="F288" i="34" s="1"/>
  <c r="F289" i="34" s="1" a="1"/>
  <c r="F289" i="34" s="1"/>
  <c r="F290" i="34" s="1" a="1"/>
  <c r="F290" i="34" s="1"/>
  <c r="F291" i="34" s="1" a="1"/>
  <c r="F291" i="34" s="1"/>
  <c r="T255" i="34"/>
  <c r="T256" i="34" s="1" a="1"/>
  <c r="T256" i="34" s="1"/>
  <c r="F35" i="32" a="1"/>
  <c r="F35" i="32" s="1"/>
  <c r="AF34" i="32"/>
  <c r="D138" i="29" a="1"/>
  <c r="D138" i="29" s="1"/>
  <c r="AB137" i="29"/>
  <c r="D282" i="29" a="1"/>
  <c r="D282" i="29" s="1"/>
  <c r="AB281" i="29"/>
  <c r="F202" i="28" a="1"/>
  <c r="F202" i="28" s="1"/>
  <c r="F172" i="27" a="1"/>
  <c r="F172" i="27" s="1"/>
  <c r="F173" i="27" s="1" a="1"/>
  <c r="F173" i="27" s="1"/>
  <c r="F174" i="27" s="1" a="1"/>
  <c r="F174" i="27" s="1"/>
  <c r="F175" i="27" s="1" a="1"/>
  <c r="F175" i="27" s="1"/>
  <c r="F176" i="27" s="1" a="1"/>
  <c r="F176" i="27" s="1"/>
  <c r="F177" i="27" s="1" a="1"/>
  <c r="F177" i="27" s="1"/>
  <c r="F178" i="27" s="1" a="1"/>
  <c r="F178" i="27" s="1"/>
  <c r="F179" i="27" s="1" a="1"/>
  <c r="F179" i="27" s="1"/>
  <c r="F180" i="27" s="1" a="1"/>
  <c r="F180" i="27" s="1"/>
  <c r="F181" i="27" s="1" a="1"/>
  <c r="F181" i="27" s="1"/>
  <c r="F182" i="27" s="1" a="1"/>
  <c r="F182" i="27" s="1"/>
  <c r="F183" i="27" s="1" a="1"/>
  <c r="F183" i="27" s="1"/>
  <c r="F184" i="27" s="1" a="1"/>
  <c r="F184" i="27" s="1"/>
  <c r="F185" i="27" s="1" a="1"/>
  <c r="F185" i="27" s="1"/>
  <c r="F186" i="27" s="1" a="1"/>
  <c r="F186" i="27" s="1"/>
  <c r="F187" i="27" s="1" a="1"/>
  <c r="F187" i="27" s="1"/>
  <c r="F188" i="27" s="1" a="1"/>
  <c r="F188" i="27" s="1"/>
  <c r="F189" i="27" s="1" a="1"/>
  <c r="F189" i="27" s="1"/>
  <c r="F190" i="27" s="1" a="1"/>
  <c r="F190" i="27" s="1"/>
  <c r="F191" i="27" s="1" a="1"/>
  <c r="F191" i="27" s="1"/>
  <c r="F192" i="27" s="1" a="1"/>
  <c r="F192" i="27" s="1"/>
  <c r="F193" i="27" s="1" a="1"/>
  <c r="F193" i="27" s="1"/>
  <c r="F194" i="27" s="1" a="1"/>
  <c r="F194" i="27" s="1"/>
  <c r="F195" i="27" s="1" a="1"/>
  <c r="F195" i="27" s="1"/>
  <c r="F196" i="27" s="1" a="1"/>
  <c r="F196" i="27" s="1"/>
  <c r="F197" i="27" s="1" a="1"/>
  <c r="F197" i="27" s="1"/>
  <c r="T171" i="27"/>
  <c r="T172" i="27" s="1" a="1"/>
  <c r="T172" i="27" s="1"/>
  <c r="T173" i="27" s="1" a="1"/>
  <c r="T173" i="27" s="1"/>
  <c r="T174" i="27" s="1" a="1"/>
  <c r="T174" i="27" s="1"/>
  <c r="T175" i="27" s="1" a="1"/>
  <c r="T175" i="27" s="1"/>
  <c r="T176" i="27" s="1" a="1"/>
  <c r="T176" i="27" s="1"/>
  <c r="T177" i="27" s="1" a="1"/>
  <c r="T177" i="27" s="1"/>
  <c r="T178" i="27" s="1" a="1"/>
  <c r="T178" i="27" s="1"/>
  <c r="T179" i="27" s="1" a="1"/>
  <c r="T179" i="27" s="1"/>
  <c r="T180" i="27" s="1" a="1"/>
  <c r="T180" i="27" s="1"/>
  <c r="T181" i="27" s="1" a="1"/>
  <c r="T181" i="27" s="1"/>
  <c r="T182" i="27" s="1" a="1"/>
  <c r="T182" i="27" s="1"/>
  <c r="T183" i="27" s="1" a="1"/>
  <c r="T183" i="27" s="1"/>
  <c r="T184" i="27" s="1" a="1"/>
  <c r="T184" i="27" s="1"/>
  <c r="T185" i="27" s="1" a="1"/>
  <c r="T185" i="27" s="1"/>
  <c r="T186" i="27" s="1" a="1"/>
  <c r="T186" i="27" s="1"/>
  <c r="T187" i="27" s="1" a="1"/>
  <c r="T187" i="27" s="1"/>
  <c r="T188" i="27" s="1" a="1"/>
  <c r="T188" i="27" s="1"/>
  <c r="T189" i="27" s="1" a="1"/>
  <c r="T189" i="27" s="1"/>
  <c r="T190" i="27" s="1" a="1"/>
  <c r="T190" i="27" s="1"/>
  <c r="T191" i="27" s="1" a="1"/>
  <c r="T191" i="27" s="1"/>
  <c r="T192" i="27" s="1" a="1"/>
  <c r="T192" i="27" s="1"/>
  <c r="T193" i="27" s="1" a="1"/>
  <c r="T193" i="27" s="1"/>
  <c r="T194" i="27" s="1" a="1"/>
  <c r="T194" i="27" s="1"/>
  <c r="T195" i="27" s="1" a="1"/>
  <c r="T195" i="27" s="1"/>
  <c r="T196" i="27" s="1" a="1"/>
  <c r="T196"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AB109" i="26"/>
  <c r="AB112" i="26"/>
  <c r="AB113" i="26"/>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57" i="27" s="1" a="1"/>
  <c r="F57" i="27" s="1"/>
  <c r="F58" i="27" s="1" a="1"/>
  <c r="F58" i="27" s="1"/>
  <c r="F59" i="27" s="1" a="1"/>
  <c r="F59" i="27" s="1"/>
  <c r="F60" i="27" s="1" a="1"/>
  <c r="F60" i="27" s="1"/>
  <c r="F61" i="27" s="1" a="1"/>
  <c r="F61" i="27" s="1"/>
  <c r="F62" i="27" s="1" a="1"/>
  <c r="F62" i="27" s="1"/>
  <c r="F63" i="27" s="1" a="1"/>
  <c r="F63" i="27" s="1"/>
  <c r="F64" i="27" s="1" a="1"/>
  <c r="F64" i="27" s="1"/>
  <c r="F65" i="27" s="1" a="1"/>
  <c r="F65" i="27" s="1"/>
  <c r="F66" i="27" s="1" a="1"/>
  <c r="F66" i="27" s="1"/>
  <c r="F67" i="27" s="1" a="1"/>
  <c r="F67" i="27" s="1"/>
  <c r="F68" i="27" s="1" a="1"/>
  <c r="F68" i="27" s="1"/>
  <c r="F69" i="27" s="1" a="1"/>
  <c r="F69" i="27" s="1"/>
  <c r="F70" i="27" s="1" a="1"/>
  <c r="F70" i="27" s="1"/>
  <c r="F71" i="27" s="1" a="1"/>
  <c r="F71"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AB153" i="18"/>
  <c r="AB154" i="18"/>
  <c r="F35" i="26" a="1"/>
  <c r="F35" i="26" s="1"/>
  <c r="F68" i="20" a="1"/>
  <c r="F68" i="20" s="1"/>
  <c r="F61" i="14" a="1"/>
  <c r="F61" i="14" s="1"/>
  <c r="F62" i="14" s="1" a="1"/>
  <c r="F62" i="14" s="1"/>
  <c r="F63" i="14" s="1" a="1"/>
  <c r="F63" i="14" s="1"/>
  <c r="F64" i="14" s="1" a="1"/>
  <c r="F64" i="14" s="1"/>
  <c r="T60" i="14"/>
  <c r="T61" i="14" s="1" a="1"/>
  <c r="T61" i="14" s="1"/>
  <c r="T62" i="14" s="1" a="1"/>
  <c r="T62" i="14" s="1"/>
  <c r="T63" i="14" s="1" a="1"/>
  <c r="T63" i="14" s="1"/>
  <c r="AV43" i="11"/>
  <c r="AV29" i="11"/>
  <c r="AF43" i="11"/>
  <c r="AF29" i="11"/>
  <c r="V36" i="7"/>
  <c r="F37" i="7" a="1"/>
  <c r="F37" i="7" s="1"/>
  <c r="F38" i="7" s="1" a="1"/>
  <c r="F38" i="7" s="1"/>
  <c r="F99" i="18" a="1"/>
  <c r="F99" i="18" s="1"/>
  <c r="F100" i="18" s="1" a="1"/>
  <c r="F100" i="18" s="1"/>
  <c r="F101" i="18" s="1" a="1"/>
  <c r="F101" i="18" s="1"/>
  <c r="F102" i="18" s="1" a="1"/>
  <c r="F102" i="18" s="1"/>
  <c r="F103" i="18" s="1" a="1"/>
  <c r="F103" i="18" s="1"/>
  <c r="T98" i="18"/>
  <c r="T99" i="18" s="1" a="1"/>
  <c r="T99" i="18" s="1"/>
  <c r="T100" i="18" s="1" a="1"/>
  <c r="T100" i="18" s="1"/>
  <c r="T101" i="18" s="1" a="1"/>
  <c r="T101" i="18" s="1"/>
  <c r="AU82" i="14" a="1"/>
  <c r="AU82" i="14" s="1"/>
  <c r="AZ225" i="11"/>
  <c r="AZ211" i="11"/>
  <c r="AJ225" i="11"/>
  <c r="AJ211" i="11"/>
  <c r="AN134" i="11"/>
  <c r="AN120" i="11"/>
  <c r="AC60" i="7"/>
  <c r="B53" i="7" a="1"/>
  <c r="B53" i="7" s="1"/>
  <c r="T79" i="19"/>
  <c r="T80" i="19" s="1" a="1"/>
  <c r="T80" i="19" s="1"/>
  <c r="T81" i="19" s="1" a="1"/>
  <c r="T81" i="19" s="1"/>
  <c r="F80" i="19" a="1"/>
  <c r="F80" i="19" s="1"/>
  <c r="F81" i="19" s="1" a="1"/>
  <c r="F81" i="19" s="1"/>
  <c r="F82" i="19" s="1" a="1"/>
  <c r="F82" i="19" s="1"/>
  <c r="AP43" i="11"/>
  <c r="AP29" i="11"/>
  <c r="F88" i="26" a="1"/>
  <c r="F88" i="26" s="1"/>
  <c r="F89" i="26" s="1" a="1"/>
  <c r="F89" i="26" s="1"/>
  <c r="AF46" i="17" a="1"/>
  <c r="AF46" i="17" s="1"/>
  <c r="AF47" i="17" s="1"/>
  <c r="F47" i="17" a="1"/>
  <c r="F47" i="17" s="1"/>
  <c r="AE46" i="17" a="1"/>
  <c r="AE46" i="17" s="1"/>
  <c r="AE47" i="17" s="1"/>
  <c r="AE45" i="17" s="1"/>
  <c r="BB225" i="11"/>
  <c r="BB211" i="11"/>
  <c r="AL225" i="11"/>
  <c r="AL211" i="11"/>
  <c r="AT120" i="11"/>
  <c r="AT134" i="11"/>
  <c r="T34" i="14"/>
  <c r="T35" i="14" s="1" a="1"/>
  <c r="T35" i="14" s="1"/>
  <c r="T36" i="14" s="1" a="1"/>
  <c r="T36" i="14" s="1"/>
  <c r="T37" i="14" s="1" a="1"/>
  <c r="T37" i="14" s="1"/>
  <c r="F35" i="14" a="1"/>
  <c r="F35" i="14" s="1"/>
  <c r="U41" i="8"/>
  <c r="F42" i="8" a="1"/>
  <c r="F42" i="8" s="1"/>
  <c r="F167" i="34" a="1"/>
  <c r="F167" i="34" s="1"/>
  <c r="F168" i="34" s="1" a="1"/>
  <c r="F168" i="34" s="1"/>
  <c r="F169" i="34" s="1" a="1"/>
  <c r="F169" i="34" s="1"/>
  <c r="F170" i="34" s="1" a="1"/>
  <c r="F170" i="34" s="1"/>
  <c r="F171" i="34" s="1" a="1"/>
  <c r="F171" i="34" s="1"/>
  <c r="F172" i="34" s="1" a="1"/>
  <c r="F172" i="34" s="1"/>
  <c r="F173" i="34" s="1" a="1"/>
  <c r="F173" i="34" s="1"/>
  <c r="F174" i="34" s="1" a="1"/>
  <c r="F174" i="34" s="1"/>
  <c r="F175" i="34" s="1" a="1"/>
  <c r="F175" i="34" s="1"/>
  <c r="F176" i="34" s="1" a="1"/>
  <c r="F176" i="34" s="1"/>
  <c r="F177" i="34" s="1" a="1"/>
  <c r="F177" i="34" s="1"/>
  <c r="F178" i="34" s="1" a="1"/>
  <c r="F178" i="34" s="1"/>
  <c r="F179" i="34" s="1" a="1"/>
  <c r="F179" i="34" s="1"/>
  <c r="F180" i="34" s="1" a="1"/>
  <c r="F180" i="34" s="1"/>
  <c r="F181" i="34" s="1" a="1"/>
  <c r="F181" i="34" s="1"/>
  <c r="F182" i="34" s="1" a="1"/>
  <c r="F182" i="34" s="1"/>
  <c r="F183" i="34" s="1" a="1"/>
  <c r="F183" i="34" s="1"/>
  <c r="F184" i="34" s="1" a="1"/>
  <c r="F184" i="34" s="1"/>
  <c r="F185" i="34" s="1" a="1"/>
  <c r="F185" i="34" s="1"/>
  <c r="F186" i="34" s="1" a="1"/>
  <c r="F186" i="34" s="1"/>
  <c r="F187" i="34" s="1" a="1"/>
  <c r="F187" i="34" s="1"/>
  <c r="F188" i="34" s="1" a="1"/>
  <c r="F188" i="34" s="1"/>
  <c r="F189" i="34" s="1" a="1"/>
  <c r="F189" i="34" s="1"/>
  <c r="F190" i="34" s="1" a="1"/>
  <c r="F190" i="34" s="1"/>
  <c r="F191" i="34" s="1" a="1"/>
  <c r="F191" i="34" s="1"/>
  <c r="F192" i="34" s="1" a="1"/>
  <c r="F192" i="34" s="1"/>
  <c r="F193" i="34" s="1" a="1"/>
  <c r="F193" i="34" s="1"/>
  <c r="F194" i="34" s="1" a="1"/>
  <c r="F194" i="34" s="1"/>
  <c r="F195" i="34" s="1" a="1"/>
  <c r="F195" i="34" s="1"/>
  <c r="F196" i="34" s="1" a="1"/>
  <c r="F196" i="34" s="1"/>
  <c r="F197" i="34" s="1" a="1"/>
  <c r="F197" i="34" s="1"/>
  <c r="F198" i="34" s="1" a="1"/>
  <c r="F198" i="34" s="1"/>
  <c r="F199" i="34" s="1" a="1"/>
  <c r="F199" i="34" s="1"/>
  <c r="F200" i="34" s="1" a="1"/>
  <c r="F200" i="34" s="1"/>
  <c r="F201" i="34" s="1" a="1"/>
  <c r="F201" i="34" s="1"/>
  <c r="F202" i="34" s="1" a="1"/>
  <c r="F202" i="34" s="1"/>
  <c r="T166" i="34"/>
  <c r="T167" i="34" s="1" a="1"/>
  <c r="T167" i="34" s="1"/>
  <c r="F136" i="32" a="1"/>
  <c r="F136" i="32" s="1"/>
  <c r="AF135" i="32"/>
  <c r="F85" i="32" a="1"/>
  <c r="F85" i="32" s="1"/>
  <c r="F322" i="30" a="1"/>
  <c r="F322" i="30" s="1"/>
  <c r="F323" i="30" s="1" a="1"/>
  <c r="F323" i="30" s="1"/>
  <c r="F324" i="30" s="1" a="1"/>
  <c r="F324" i="30" s="1"/>
  <c r="D138" i="30" a="1"/>
  <c r="D138" i="30" s="1"/>
  <c r="AB137" i="30"/>
  <c r="F33" i="30" a="1"/>
  <c r="F33" i="30" s="1"/>
  <c r="AB425" i="29"/>
  <c r="D426" i="29" a="1"/>
  <c r="D426" i="29" s="1"/>
  <c r="AB161" i="26"/>
  <c r="AB162" i="26"/>
  <c r="AB123" i="26"/>
  <c r="AB122" i="26"/>
  <c r="AB126" i="26"/>
  <c r="AB127" i="26"/>
  <c r="AB128" i="26"/>
  <c r="F33" i="17" a="1"/>
  <c r="F33" i="17" s="1"/>
  <c r="AE32" i="17" a="1"/>
  <c r="AE32" i="17" s="1"/>
  <c r="AE33" i="17" s="1"/>
  <c r="AF32" i="17" a="1"/>
  <c r="AF32" i="17" s="1"/>
  <c r="AF33" i="17" s="1"/>
  <c r="AF31" i="17" s="1"/>
  <c r="AR43" i="11"/>
  <c r="AR29" i="11"/>
  <c r="AC48" i="7"/>
  <c r="B41" i="7" a="1"/>
  <c r="B41" i="7" s="1"/>
  <c r="S29" i="27" a="1"/>
  <c r="S29" i="27" s="1"/>
  <c r="B85" i="27" s="1" a="1"/>
  <c r="B85" i="27" s="1"/>
  <c r="B86" i="27" s="1" a="1"/>
  <c r="B86" i="27" s="1"/>
  <c r="B87" i="27" s="1" a="1"/>
  <c r="B87" i="27" s="1"/>
  <c r="B88" i="27" s="1" a="1"/>
  <c r="B88" i="27" s="1"/>
  <c r="B89" i="27" s="1" a="1"/>
  <c r="B89" i="27" s="1"/>
  <c r="B90" i="27" s="1" a="1"/>
  <c r="B90" i="27" s="1"/>
  <c r="R28" i="11" a="1"/>
  <c r="R28" i="11" s="1"/>
  <c r="R81" i="11" a="1"/>
  <c r="R81" i="11" s="1"/>
  <c r="R65" i="11" a="1"/>
  <c r="R65" i="11" s="1"/>
  <c r="R107" i="11" a="1"/>
  <c r="R107" i="11" s="1"/>
  <c r="AC51" i="7" a="1"/>
  <c r="AC51" i="7" s="1"/>
  <c r="X51" i="7" a="1"/>
  <c r="X51" i="7" s="1"/>
  <c r="AB218" i="18"/>
  <c r="AB219" i="18"/>
  <c r="AV225" i="11"/>
  <c r="AV211" i="11"/>
  <c r="AF225" i="11"/>
  <c r="AF211" i="11"/>
  <c r="AZ134" i="11"/>
  <c r="AZ120" i="11"/>
  <c r="AJ134" i="11"/>
  <c r="AJ120" i="11"/>
  <c r="AC21" i="35" a="1"/>
  <c r="AC21" i="35" s="1"/>
  <c r="AC21" i="34" a="1"/>
  <c r="AC21" i="34" s="1"/>
  <c r="AB21" i="33" a="1"/>
  <c r="AB21" i="33" s="1"/>
  <c r="AB21" i="32" a="1"/>
  <c r="AB21" i="32" s="1"/>
  <c r="AC21" i="30" a="1"/>
  <c r="AC21" i="30" s="1"/>
  <c r="AC21" i="29" a="1"/>
  <c r="AC21" i="29" s="1"/>
  <c r="AC21" i="28" a="1"/>
  <c r="AC21" i="28" s="1"/>
  <c r="AC21" i="26" a="1"/>
  <c r="AC21" i="26" s="1"/>
  <c r="AC21" i="22" a="1"/>
  <c r="AC21" i="22" s="1"/>
  <c r="AB21" i="27" a="1"/>
  <c r="AB21" i="27" s="1"/>
  <c r="AC21" i="21" a="1"/>
  <c r="AC21" i="21" s="1"/>
  <c r="AC21" i="15" a="1"/>
  <c r="AC21" i="15" s="1"/>
  <c r="AC21" i="12" a="1"/>
  <c r="AC21" i="12" s="1"/>
  <c r="AC21" i="8" a="1"/>
  <c r="AC21" i="8" s="1"/>
  <c r="AD21" i="7" a="1"/>
  <c r="AD21" i="7" s="1"/>
  <c r="AC21" i="6" a="1"/>
  <c r="AC21" i="6" s="1"/>
  <c r="AC21" i="16" a="1"/>
  <c r="AC21" i="16" s="1"/>
  <c r="AC21" i="24" a="1"/>
  <c r="AC21" i="24" s="1"/>
  <c r="AC21" i="23" a="1"/>
  <c r="AC21" i="23" s="1"/>
  <c r="AC21" i="19" a="1"/>
  <c r="AC21" i="19" s="1"/>
  <c r="AC21" i="18" a="1"/>
  <c r="AC21" i="18" s="1"/>
  <c r="AC21" i="17" a="1"/>
  <c r="AC21" i="17" s="1"/>
  <c r="AC21" i="13" a="1"/>
  <c r="AC21" i="13" s="1"/>
  <c r="AC21" i="10" a="1"/>
  <c r="AC21" i="10" s="1"/>
  <c r="AC21" i="20" a="1"/>
  <c r="AC21" i="20" s="1"/>
  <c r="AC21" i="14" a="1"/>
  <c r="AC21" i="14" s="1"/>
  <c r="AC21" i="11" a="1"/>
  <c r="AC21" i="11" s="1"/>
  <c r="AC21" i="9" a="1"/>
  <c r="AC21" i="9" s="1"/>
  <c r="AB30" i="8" a="1"/>
  <c r="AB30" i="8" s="1"/>
  <c r="W30" i="8" a="1"/>
  <c r="W30" i="8" s="1"/>
  <c r="B265" i="28"/>
  <c r="B264" i="28"/>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F44" i="22" a="1"/>
  <c r="F44" i="22" s="1"/>
  <c r="K43" i="22"/>
  <c r="F40" i="17" a="1"/>
  <c r="F40" i="17" s="1"/>
  <c r="AE39" i="17" a="1"/>
  <c r="AE39" i="17" s="1"/>
  <c r="AE40" i="17" s="1"/>
  <c r="AF39" i="17" a="1"/>
  <c r="AF39" i="17" s="1"/>
  <c r="AF40" i="17" s="1"/>
  <c r="BB43" i="11"/>
  <c r="BB29" i="11"/>
  <c r="AL43" i="11"/>
  <c r="AL29" i="11"/>
  <c r="F143" i="23" a="1"/>
  <c r="F143" i="23" s="1"/>
  <c r="K142" i="23"/>
  <c r="F49" i="20" a="1"/>
  <c r="F49" i="20" s="1"/>
  <c r="F31" i="13" a="1"/>
  <c r="F31" i="13" s="1"/>
  <c r="T30" i="13"/>
  <c r="T31" i="13" s="1" a="1"/>
  <c r="T31" i="13" s="1"/>
  <c r="T32" i="13" s="1" a="1"/>
  <c r="T32" i="13" s="1"/>
  <c r="AX225" i="11"/>
  <c r="AX211" i="11"/>
  <c r="AH225" i="11"/>
  <c r="AH211" i="11"/>
  <c r="AP120" i="11"/>
  <c r="AP134" i="11"/>
  <c r="S92" i="27" a="1"/>
  <c r="S92" i="27" s="1"/>
  <c r="B148" i="27" s="1" a="1"/>
  <c r="B148" i="27" s="1"/>
  <c r="B149" i="27" s="1" a="1"/>
  <c r="B149" i="27" s="1"/>
  <c r="B150" i="27" s="1" a="1"/>
  <c r="B150" i="27" s="1"/>
  <c r="B151" i="27" s="1" a="1"/>
  <c r="B151" i="27" s="1"/>
  <c r="B152" i="27" s="1" a="1"/>
  <c r="B152" i="27" s="1"/>
  <c r="B153" i="27" s="1" a="1"/>
  <c r="B153" i="27" s="1"/>
  <c r="R172" i="11" a="1"/>
  <c r="R172" i="11" s="1"/>
  <c r="R119" i="11" a="1"/>
  <c r="R119" i="11" s="1"/>
  <c r="R198" i="11" a="1"/>
  <c r="R198" i="11" s="1"/>
  <c r="R156" i="11" a="1"/>
  <c r="R156" i="11" s="1"/>
  <c r="F36" i="6" a="1"/>
  <c r="F36" i="6" s="1"/>
  <c r="U35" i="6"/>
  <c r="U31" i="6"/>
  <c r="F32" i="6" a="1"/>
  <c r="F32" i="6" s="1"/>
  <c r="F69" i="35" a="1"/>
  <c r="F69" i="35" s="1"/>
  <c r="F50" i="35" a="1"/>
  <c r="F50" i="35" s="1"/>
  <c r="F32" i="35" a="1"/>
  <c r="F32" i="35" s="1"/>
  <c r="F33" i="35" s="1" a="1"/>
  <c r="F33" i="35" s="1"/>
  <c r="F34" i="35" s="1" a="1"/>
  <c r="F34" i="35" s="1"/>
  <c r="F35" i="35" s="1" a="1"/>
  <c r="F35" i="35" s="1"/>
  <c r="F78" i="34" a="1"/>
  <c r="F78" i="34" s="1"/>
  <c r="T77" i="34"/>
  <c r="T78" i="34" s="1" a="1"/>
  <c r="T78" i="34" s="1"/>
  <c r="D426" i="30" a="1"/>
  <c r="D426" i="30" s="1"/>
  <c r="AB425" i="30"/>
  <c r="AG279" i="30"/>
  <c r="AH279" i="30" s="1"/>
  <c r="AH287" i="30"/>
  <c r="AH342" i="30"/>
  <c r="D282" i="30" a="1"/>
  <c r="D282" i="30" s="1"/>
  <c r="AB281" i="30"/>
  <c r="F322" i="29" a="1"/>
  <c r="F322" i="29" s="1"/>
  <c r="F323" i="29" s="1" a="1"/>
  <c r="F323" i="29" s="1"/>
  <c r="F324" i="29" s="1" a="1"/>
  <c r="F324" i="29" s="1"/>
  <c r="F32" i="28" a="1"/>
  <c r="F32" i="28" s="1"/>
  <c r="AB179" i="26"/>
  <c r="AB178" i="26"/>
  <c r="AB177" i="26"/>
  <c r="AB174" i="26"/>
  <c r="AB173" i="26"/>
  <c r="AB77" i="26"/>
  <c r="AB76" i="26"/>
  <c r="AB75" i="26"/>
  <c r="AB72" i="26"/>
  <c r="AB71" i="26"/>
  <c r="AB228" i="18"/>
  <c r="AB227" i="18"/>
  <c r="K57" i="22"/>
  <c r="F58" i="22" a="1"/>
  <c r="F58" i="22" s="1"/>
  <c r="K84" i="23"/>
  <c r="F85" i="23" a="1"/>
  <c r="F85" i="23" s="1"/>
  <c r="F142" i="26" a="1"/>
  <c r="F142" i="26" s="1"/>
  <c r="F32" i="21" a="1"/>
  <c r="F32" i="21" s="1"/>
  <c r="F33" i="21" s="1" a="1"/>
  <c r="F33" i="21" s="1"/>
  <c r="F34" i="21" s="1" a="1"/>
  <c r="F34" i="21" s="1"/>
  <c r="F35" i="21" s="1" a="1"/>
  <c r="F35" i="21" s="1"/>
  <c r="F36" i="21" s="1" a="1"/>
  <c r="F36" i="21" s="1"/>
  <c r="F37" i="21" s="1" a="1"/>
  <c r="F37" i="21" s="1"/>
  <c r="T54" i="19"/>
  <c r="T55" i="19" s="1" a="1"/>
  <c r="T55" i="19" s="1"/>
  <c r="T56" i="19" s="1" a="1"/>
  <c r="T56" i="19" s="1"/>
  <c r="F55" i="19" a="1"/>
  <c r="F55" i="19" s="1"/>
  <c r="F56" i="19" s="1" a="1"/>
  <c r="F56" i="19" s="1"/>
  <c r="F57" i="19" s="1" a="1"/>
  <c r="F57" i="19" s="1"/>
  <c r="AB141" i="18"/>
  <c r="AB142" i="18"/>
  <c r="AN43" i="11"/>
  <c r="AN29" i="11"/>
  <c r="AB222" i="18"/>
  <c r="AB221" i="18"/>
  <c r="AT93" i="14" a="1"/>
  <c r="AT93" i="14" s="1"/>
  <c r="AS81" i="14"/>
  <c r="AS92" i="14"/>
  <c r="F76" i="13" a="1"/>
  <c r="F76" i="13" s="1"/>
  <c r="F77" i="13" s="1" a="1"/>
  <c r="F77" i="13" s="1"/>
  <c r="F78" i="13" s="1" a="1"/>
  <c r="F78" i="13" s="1"/>
  <c r="T75" i="13"/>
  <c r="T76" i="13" s="1" a="1"/>
  <c r="T76" i="13" s="1"/>
  <c r="T77" i="13" s="1" a="1"/>
  <c r="T77" i="13" s="1"/>
  <c r="F52" i="13" a="1"/>
  <c r="F52" i="13" s="1"/>
  <c r="F53" i="13" s="1" a="1"/>
  <c r="F53" i="13" s="1"/>
  <c r="F54" i="13" s="1" a="1"/>
  <c r="F54" i="13" s="1"/>
  <c r="T51" i="13"/>
  <c r="T52" i="13" s="1" a="1"/>
  <c r="T52" i="13" s="1"/>
  <c r="T53" i="13" s="1" a="1"/>
  <c r="T53" i="13" s="1"/>
  <c r="AR225" i="11"/>
  <c r="AR211" i="11"/>
  <c r="AV134" i="11"/>
  <c r="AV120" i="11"/>
  <c r="AF120" i="11"/>
  <c r="AF52" i="14" s="1"/>
  <c r="AF134" i="11"/>
  <c r="U40" i="9"/>
  <c r="F41" i="9" a="1"/>
  <c r="F41" i="9"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B94" i="28"/>
  <c r="B95" i="28"/>
  <c r="F91" i="14" a="1"/>
  <c r="F91" i="14" s="1"/>
  <c r="F92" i="14" s="1" a="1"/>
  <c r="F92" i="14" s="1"/>
  <c r="F93" i="14" s="1" a="1"/>
  <c r="F93" i="14" s="1"/>
  <c r="F94" i="14" s="1" a="1"/>
  <c r="F94" i="14" s="1"/>
  <c r="T90" i="14"/>
  <c r="T91" i="14" s="1" a="1"/>
  <c r="T91" i="14" s="1"/>
  <c r="T92" i="14" s="1" a="1"/>
  <c r="T92" i="14" s="1"/>
  <c r="T93" i="14" s="1" a="1"/>
  <c r="T93" i="14" s="1"/>
  <c r="AX43" i="11"/>
  <c r="AX29" i="11"/>
  <c r="AH43" i="11"/>
  <c r="AH29" i="11"/>
  <c r="AB68" i="18"/>
  <c r="AB69" i="18"/>
  <c r="AU51" i="14"/>
  <c r="AU62" i="14"/>
  <c r="AU50" i="14" s="1"/>
  <c r="AF148" i="26" a="1"/>
  <c r="AF148" i="26" s="1"/>
  <c r="AF84" i="14"/>
  <c r="AF147" i="26" s="1" a="1"/>
  <c r="AF147" i="26" s="1"/>
  <c r="AT225" i="11"/>
  <c r="AT211" i="11"/>
  <c r="BB120" i="11"/>
  <c r="BB134" i="11"/>
  <c r="AL120" i="11"/>
  <c r="AL134" i="11"/>
  <c r="AU52" i="14" a="1"/>
  <c r="AU52" i="14" s="1"/>
  <c r="AT54" i="14"/>
  <c r="U33" i="8"/>
  <c r="F34" i="8" a="1"/>
  <c r="F34" i="8" s="1"/>
  <c r="F178" i="30" a="1"/>
  <c r="F178" i="30" s="1"/>
  <c r="F179" i="30" s="1" a="1"/>
  <c r="F179" i="30" s="1"/>
  <c r="F180" i="30" s="1" a="1"/>
  <c r="F180" i="30" s="1"/>
  <c r="F178" i="29" a="1"/>
  <c r="F178" i="29" s="1"/>
  <c r="F179" i="29" s="1" a="1"/>
  <c r="F179" i="29" s="1"/>
  <c r="F180" i="29" s="1" a="1"/>
  <c r="F180" i="29" s="1"/>
  <c r="F117" i="28" a="1"/>
  <c r="F117" i="28" s="1"/>
  <c r="F34" i="29" a="1"/>
  <c r="F34" i="29" s="1"/>
  <c r="F35" i="29" s="1" a="1"/>
  <c r="F35" i="29" s="1"/>
  <c r="F36" i="29" s="1" a="1"/>
  <c r="F36" i="29" s="1"/>
  <c r="T170" i="27" a="1"/>
  <c r="T170" i="27" s="1"/>
  <c r="T169" i="27" a="1"/>
  <c r="T169" i="27" s="1"/>
  <c r="AB62" i="26"/>
  <c r="AB61" i="26"/>
  <c r="AB58" i="26"/>
  <c r="F30" i="22" a="1"/>
  <c r="F30" i="22" s="1"/>
  <c r="K29" i="22"/>
  <c r="F50" i="21" a="1"/>
  <c r="F50" i="21" s="1"/>
  <c r="T50" i="21" s="1"/>
  <c r="T49" i="21"/>
  <c r="T107" i="27" a="1"/>
  <c r="T107" i="27" s="1"/>
  <c r="T106" i="27" a="1"/>
  <c r="T106" i="27" s="1"/>
  <c r="T44" i="27" a="1"/>
  <c r="T44" i="27" s="1"/>
  <c r="T43" i="27" a="1"/>
  <c r="T43" i="27" s="1"/>
  <c r="K113" i="23"/>
  <c r="F114" i="23" a="1"/>
  <c r="F114" i="23" s="1"/>
  <c r="AB144" i="18"/>
  <c r="AB145" i="18"/>
  <c r="T30" i="18"/>
  <c r="T31" i="18" s="1" a="1"/>
  <c r="T31" i="18" s="1"/>
  <c r="T32" i="18" s="1" a="1"/>
  <c r="T32" i="18" s="1"/>
  <c r="T33" i="18" s="1" a="1"/>
  <c r="T33" i="18" s="1"/>
  <c r="F31" i="18" a="1"/>
  <c r="F31" i="18" s="1"/>
  <c r="AZ43" i="11"/>
  <c r="AZ29" i="11"/>
  <c r="AJ43" i="11"/>
  <c r="AJ29" i="1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107" i="11"/>
  <c r="T107" i="11" s="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S81" i="11"/>
  <c r="S28" i="11"/>
  <c r="H86" i="28"/>
  <c r="H85" i="28"/>
  <c r="AT97" i="14" a="1"/>
  <c r="AT97" i="14" s="1"/>
  <c r="AS96" i="14"/>
  <c r="AN225" i="11"/>
  <c r="AN211" i="11"/>
  <c r="AR134" i="11"/>
  <c r="AR120" i="11"/>
  <c r="AG97" i="26" a="1"/>
  <c r="AG97" i="26" s="1"/>
  <c r="AG54" i="14"/>
  <c r="AG96" i="26" s="1" a="1"/>
  <c r="AG96" i="26" s="1"/>
  <c r="S155" i="27" a="1"/>
  <c r="S155" i="27" s="1"/>
  <c r="B211" i="27" s="1" a="1"/>
  <c r="B211" i="27" s="1"/>
  <c r="B212" i="27" s="1" a="1"/>
  <c r="B212" i="27" s="1"/>
  <c r="B213" i="27" s="1" a="1"/>
  <c r="B213" i="27" s="1"/>
  <c r="B214" i="27" s="1" a="1"/>
  <c r="B214" i="27" s="1"/>
  <c r="B215" i="27" s="1" a="1"/>
  <c r="B215" i="27" s="1"/>
  <c r="B216" i="27" s="1" a="1"/>
  <c r="B216" i="27" s="1"/>
  <c r="R263" i="11" a="1"/>
  <c r="R263" i="11" s="1"/>
  <c r="R210" i="11" a="1"/>
  <c r="R210" i="11" s="1"/>
  <c r="R289" i="11" a="1"/>
  <c r="R289" i="11" s="1"/>
  <c r="R247" i="11" a="1"/>
  <c r="R247" i="11" s="1"/>
  <c r="B179" i="28"/>
  <c r="B180" i="28"/>
  <c r="F30" i="20" a="1"/>
  <c r="F30" i="20" s="1"/>
  <c r="AT43" i="11"/>
  <c r="AT29" i="11"/>
  <c r="AC36" i="7"/>
  <c r="B29" i="7" a="1"/>
  <c r="B29" i="7" s="1"/>
  <c r="K28" i="19"/>
  <c r="F29" i="19" a="1"/>
  <c r="F29" i="19" s="1"/>
  <c r="T180" i="18"/>
  <c r="T181" i="18" s="1" a="1"/>
  <c r="T181" i="18" s="1"/>
  <c r="T182" i="18" s="1" a="1"/>
  <c r="T182" i="18" s="1"/>
  <c r="T183" i="18" s="1" a="1"/>
  <c r="T183" i="18" s="1"/>
  <c r="F181" i="18" a="1"/>
  <c r="F181" i="18" s="1"/>
  <c r="F182" i="18" s="1" a="1"/>
  <c r="F182" i="18" s="1"/>
  <c r="F183" i="18" s="1" a="1"/>
  <c r="F183" i="18" s="1"/>
  <c r="F184" i="18" s="1" a="1"/>
  <c r="F184" i="18" s="1"/>
  <c r="AB71" i="18"/>
  <c r="AB72" i="18"/>
  <c r="AP225" i="11"/>
  <c r="AP211" i="11"/>
  <c r="AX120" i="11"/>
  <c r="AX134" i="11"/>
  <c r="F96" i="9" a="1"/>
  <c r="F96" i="9" s="1"/>
  <c r="F97" i="9" s="1" a="1"/>
  <c r="F97" i="9" s="1"/>
  <c r="U95" i="9"/>
  <c r="U96" i="9" s="1" a="1"/>
  <c r="U96" i="9" s="1"/>
  <c r="F69" i="9" a="1"/>
  <c r="F69" i="9" s="1"/>
  <c r="F70" i="9" s="1" a="1"/>
  <c r="F70" i="9" s="1"/>
  <c r="U68" i="9"/>
  <c r="U69" i="9" s="1" a="1"/>
  <c r="U69" i="9" s="1"/>
  <c r="AF45" i="17" l="1"/>
  <c r="AE38" i="17"/>
  <c r="AE18" i="35"/>
  <c r="AE31" i="17"/>
  <c r="AF38" i="17"/>
  <c r="AB59" i="26"/>
  <c r="AB60" i="26"/>
  <c r="F37" i="29" a="1"/>
  <c r="F37" i="29" s="1"/>
  <c r="BO36" i="29"/>
  <c r="F181" i="30" a="1"/>
  <c r="F181" i="30" s="1"/>
  <c r="U34" i="8"/>
  <c r="F35" i="8" a="1"/>
  <c r="F35" i="8" s="1"/>
  <c r="U70" i="9"/>
  <c r="F71" i="9" a="1"/>
  <c r="F71" i="9" s="1"/>
  <c r="F32" i="18" a="1"/>
  <c r="F32" i="18" s="1"/>
  <c r="F33" i="18" s="1" a="1"/>
  <c r="F33" i="18" s="1"/>
  <c r="F34" i="18" s="1" a="1"/>
  <c r="F34" i="18" s="1"/>
  <c r="K114" i="23"/>
  <c r="F115" i="23" a="1"/>
  <c r="F115" i="23" s="1"/>
  <c r="F118" i="28" a="1"/>
  <c r="F118" i="28" s="1"/>
  <c r="F119" i="28" s="1" a="1"/>
  <c r="F119" i="28" s="1"/>
  <c r="AU53" i="14"/>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AF97" i="26" a="1"/>
  <c r="AF97" i="26" s="1"/>
  <c r="AF54" i="14"/>
  <c r="AF96" i="26" s="1" a="1"/>
  <c r="AF96" i="26" s="1"/>
  <c r="F79" i="13" a="1"/>
  <c r="F79" i="13" s="1"/>
  <c r="F80" i="13" s="1" a="1"/>
  <c r="F80" i="13" s="1"/>
  <c r="F81" i="13" s="1" a="1"/>
  <c r="F81" i="13" s="1"/>
  <c r="T78" i="13"/>
  <c r="T79" i="13" s="1" a="1"/>
  <c r="T79" i="13" s="1"/>
  <c r="T80" i="13" s="1" a="1"/>
  <c r="T80" i="13" s="1"/>
  <c r="F79" i="34" a="1"/>
  <c r="F79" i="34" s="1"/>
  <c r="F50" i="20" a="1"/>
  <c r="F50" i="20" s="1"/>
  <c r="K49" i="20"/>
  <c r="F144" i="23" a="1"/>
  <c r="F144" i="23" s="1"/>
  <c r="K143" i="23"/>
  <c r="F203" i="34" a="1"/>
  <c r="F203" i="34" s="1"/>
  <c r="T202" i="34"/>
  <c r="F90" i="26" a="1"/>
  <c r="F90" i="26" s="1"/>
  <c r="T82" i="19"/>
  <c r="T83" i="19" s="1" a="1"/>
  <c r="T83" i="19" s="1"/>
  <c r="T84" i="19" s="1" a="1"/>
  <c r="T84" i="19" s="1"/>
  <c r="F83" i="19" a="1"/>
  <c r="F83" i="19" s="1"/>
  <c r="AC56" i="7"/>
  <c r="B55" i="7" a="1"/>
  <c r="B55" i="7" s="1"/>
  <c r="AC54" i="7"/>
  <c r="T103" i="18"/>
  <c r="T104" i="18" s="1" a="1"/>
  <c r="T104" i="18" s="1"/>
  <c r="T105" i="18" s="1" a="1"/>
  <c r="T105" i="18" s="1"/>
  <c r="T106" i="18" s="1" a="1"/>
  <c r="T106" i="18" s="1"/>
  <c r="F104" i="18" a="1"/>
  <c r="F104" i="18" s="1"/>
  <c r="F105" i="18" s="1" a="1"/>
  <c r="F105" i="18" s="1"/>
  <c r="F106" i="18" s="1" a="1"/>
  <c r="F106" i="18" s="1"/>
  <c r="F107" i="18" s="1" a="1"/>
  <c r="F107" i="18" s="1"/>
  <c r="F203" i="28" a="1"/>
  <c r="F203" i="28" s="1"/>
  <c r="F204" i="28" s="1" a="1"/>
  <c r="F204" i="28" s="1"/>
  <c r="T184" i="18"/>
  <c r="T185" i="18" s="1" a="1"/>
  <c r="T185" i="18" s="1"/>
  <c r="F185" i="18" a="1"/>
  <c r="F185" i="18" s="1"/>
  <c r="F186" i="18" s="1" a="1"/>
  <c r="F186" i="18" s="1"/>
  <c r="F187" i="18" s="1" a="1"/>
  <c r="F187" i="18" s="1"/>
  <c r="AC32" i="7"/>
  <c r="B31" i="7" a="1"/>
  <c r="B31" i="7" s="1"/>
  <c r="AC30" i="7"/>
  <c r="F181" i="29" a="1"/>
  <c r="F181" i="29" s="1"/>
  <c r="F95" i="14" a="1"/>
  <c r="F95" i="14" s="1"/>
  <c r="F96" i="14" s="1" a="1"/>
  <c r="F96" i="14" s="1"/>
  <c r="F97" i="14" s="1" a="1"/>
  <c r="F97" i="14" s="1"/>
  <c r="F98" i="14" s="1" a="1"/>
  <c r="F98" i="14" s="1"/>
  <c r="T94" i="14"/>
  <c r="T95" i="14" s="1" a="1"/>
  <c r="T95" i="14" s="1"/>
  <c r="T96" i="14" s="1" a="1"/>
  <c r="T96" i="14" s="1"/>
  <c r="T97" i="14" s="1" a="1"/>
  <c r="T97" i="14" s="1"/>
  <c r="F42" i="9" a="1"/>
  <c r="F42" i="9" s="1"/>
  <c r="U41" i="9"/>
  <c r="U42" i="9" s="1" a="1"/>
  <c r="U42" i="9" s="1"/>
  <c r="AS80" i="14"/>
  <c r="K85" i="23"/>
  <c r="F86" i="23" a="1"/>
  <c r="F86" i="23" s="1"/>
  <c r="F33" i="28" a="1"/>
  <c r="F33" i="28" s="1"/>
  <c r="F34" i="28" s="1" a="1"/>
  <c r="F34" i="28" s="1"/>
  <c r="AB426" i="30"/>
  <c r="D427" i="30" a="1"/>
  <c r="D427" i="30" s="1"/>
  <c r="B44" i="27" a="1"/>
  <c r="B44" i="27" s="1"/>
  <c r="B45" i="27" s="1" a="1"/>
  <c r="B45" i="27" s="1"/>
  <c r="B43" i="27" a="1"/>
  <c r="B43" i="27" s="1"/>
  <c r="F34" i="30" a="1"/>
  <c r="F34" i="30" s="1"/>
  <c r="D139" i="30" a="1"/>
  <c r="D139" i="30" s="1"/>
  <c r="AB138" i="30"/>
  <c r="U42" i="8"/>
  <c r="F43" i="8" a="1"/>
  <c r="F43" i="8" s="1"/>
  <c r="T64" i="14"/>
  <c r="T65" i="14" s="1" a="1"/>
  <c r="T65" i="14" s="1"/>
  <c r="T66" i="14" s="1" a="1"/>
  <c r="T66" i="14" s="1"/>
  <c r="T67" i="14" s="1" a="1"/>
  <c r="T67" i="14" s="1"/>
  <c r="F65" i="14" a="1"/>
  <c r="F65" i="14" s="1"/>
  <c r="F66" i="14" s="1" a="1"/>
  <c r="F66" i="14" s="1"/>
  <c r="F67" i="14" s="1" a="1"/>
  <c r="F67" i="14" s="1"/>
  <c r="F68" i="14" s="1" a="1"/>
  <c r="F68" i="14" s="1"/>
  <c r="F30" i="19" a="1"/>
  <c r="F30" i="19" s="1"/>
  <c r="T29" i="19"/>
  <c r="T30" i="19" s="1" a="1"/>
  <c r="T30" i="19" s="1"/>
  <c r="T31" i="19" s="1" a="1"/>
  <c r="T31" i="19" s="1"/>
  <c r="AU97" i="14" a="1"/>
  <c r="AU97" i="14" s="1"/>
  <c r="AU96" i="14" s="1"/>
  <c r="AT96" i="14"/>
  <c r="F98" i="9" a="1"/>
  <c r="F98" i="9" s="1"/>
  <c r="U97" i="9"/>
  <c r="K30" i="20"/>
  <c r="F31" i="20" a="1"/>
  <c r="F31" i="20" s="1"/>
  <c r="F31" i="22" a="1"/>
  <c r="F31" i="22" s="1"/>
  <c r="K30" i="22"/>
  <c r="AU54" i="14"/>
  <c r="F55" i="13" a="1"/>
  <c r="F55" i="13" s="1"/>
  <c r="F56" i="13" s="1" a="1"/>
  <c r="F56" i="13" s="1"/>
  <c r="F57" i="13" s="1" a="1"/>
  <c r="F57" i="13" s="1"/>
  <c r="T54" i="13"/>
  <c r="T55" i="13" s="1" a="1"/>
  <c r="T55" i="13" s="1"/>
  <c r="T56" i="13" s="1" a="1"/>
  <c r="T56" i="13" s="1"/>
  <c r="AS83" i="14"/>
  <c r="AS84" i="14"/>
  <c r="T57" i="19"/>
  <c r="T58" i="19" s="1" a="1"/>
  <c r="T58" i="19" s="1"/>
  <c r="T59" i="19" s="1" a="1"/>
  <c r="T59" i="19" s="1"/>
  <c r="F58" i="19" a="1"/>
  <c r="F58" i="19" s="1"/>
  <c r="F38" i="21" a="1"/>
  <c r="F38" i="21" s="1"/>
  <c r="T38" i="21" s="1"/>
  <c r="T37" i="21"/>
  <c r="K58" i="22"/>
  <c r="F59" i="22" a="1"/>
  <c r="F59" i="22" s="1"/>
  <c r="D283" i="30" a="1"/>
  <c r="D283" i="30" s="1"/>
  <c r="AB282" i="30"/>
  <c r="F36" i="35" a="1"/>
  <c r="F36" i="35" s="1"/>
  <c r="AF35" i="35"/>
  <c r="AE35" i="35"/>
  <c r="F70" i="35" a="1"/>
  <c r="F70" i="35" s="1"/>
  <c r="F71" i="35" s="1" a="1"/>
  <c r="F71" i="35" s="1"/>
  <c r="F72" i="35" s="1" a="1"/>
  <c r="F72" i="35" s="1"/>
  <c r="F73" i="35" s="1" a="1"/>
  <c r="F73" i="35" s="1"/>
  <c r="F45" i="22" a="1"/>
  <c r="F45" i="22" s="1"/>
  <c r="K44" i="22"/>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AB55" i="9" a="1"/>
  <c r="AB55" i="9" s="1"/>
  <c r="W55" i="9" a="1"/>
  <c r="W55" i="9"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AC44" i="7"/>
  <c r="B43" i="7" a="1"/>
  <c r="B43" i="7" s="1"/>
  <c r="AC42" i="7"/>
  <c r="F325" i="30" a="1"/>
  <c r="F325" i="30" s="1"/>
  <c r="F86" i="32" a="1"/>
  <c r="F86" i="32" s="1"/>
  <c r="F137" i="32" a="1"/>
  <c r="F137" i="32" s="1"/>
  <c r="AF136" i="32"/>
  <c r="B172" i="27"/>
  <c r="B173" i="27" s="1" a="1"/>
  <c r="B173" i="27" s="1"/>
  <c r="B174" i="27" s="1" a="1"/>
  <c r="B174" i="27" s="1"/>
  <c r="B175" i="27" s="1" a="1"/>
  <c r="B175" i="27" s="1"/>
  <c r="B176" i="27" s="1" a="1"/>
  <c r="B176" i="27" s="1"/>
  <c r="B177" i="27" s="1" a="1"/>
  <c r="B177" i="27" s="1"/>
  <c r="B178" i="27" s="1" a="1"/>
  <c r="B178" i="27" s="1"/>
  <c r="B179" i="27" s="1" a="1"/>
  <c r="B179" i="27" s="1"/>
  <c r="B180" i="27" s="1" a="1"/>
  <c r="B180" i="27" s="1"/>
  <c r="B181" i="27" s="1" a="1"/>
  <c r="B181" i="27" s="1"/>
  <c r="B182" i="27" s="1" a="1"/>
  <c r="B182" i="27" s="1"/>
  <c r="B183" i="27" s="1" a="1"/>
  <c r="B183" i="27" s="1"/>
  <c r="B184" i="27" s="1" a="1"/>
  <c r="B184" i="27" s="1"/>
  <c r="B185" i="27" s="1" a="1"/>
  <c r="B185" i="27" s="1"/>
  <c r="B186" i="27" s="1" a="1"/>
  <c r="B186" i="27" s="1"/>
  <c r="B187" i="27" s="1" a="1"/>
  <c r="B187" i="27" s="1"/>
  <c r="B188" i="27" s="1" a="1"/>
  <c r="B188" i="27" s="1"/>
  <c r="B189" i="27" s="1" a="1"/>
  <c r="B189" i="27" s="1"/>
  <c r="B190" i="27" s="1" a="1"/>
  <c r="B190" i="27" s="1"/>
  <c r="B191" i="27" s="1" a="1"/>
  <c r="B191" i="27" s="1"/>
  <c r="B192" i="27" s="1" a="1"/>
  <c r="B192" i="27" s="1"/>
  <c r="B193" i="27" s="1" a="1"/>
  <c r="B193" i="27" s="1"/>
  <c r="B194" i="27" s="1" a="1"/>
  <c r="B194" i="27" s="1"/>
  <c r="B195" i="27" s="1" a="1"/>
  <c r="B195" i="27" s="1"/>
  <c r="B196" i="27" s="1" a="1"/>
  <c r="B196" i="27" s="1"/>
  <c r="B197" i="27" s="1" a="1"/>
  <c r="B197" i="27" s="1"/>
  <c r="B198" i="27" s="1" a="1"/>
  <c r="B198" i="27" s="1"/>
  <c r="B199" i="27" s="1" a="1"/>
  <c r="B199" i="27" s="1"/>
  <c r="B200" i="27" s="1" a="1"/>
  <c r="B200" i="27" s="1"/>
  <c r="B201" i="27" s="1" a="1"/>
  <c r="B201" i="27" s="1"/>
  <c r="B202" i="27" s="1" a="1"/>
  <c r="B202" i="27" s="1"/>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AB111" i="26"/>
  <c r="AB110" i="26"/>
  <c r="F198" i="27" a="1"/>
  <c r="F198" i="27" s="1"/>
  <c r="F199" i="27" s="1" a="1"/>
  <c r="F199" i="27" s="1"/>
  <c r="F200" i="27" s="1" a="1"/>
  <c r="F200" i="27" s="1"/>
  <c r="F201" i="27" s="1" a="1"/>
  <c r="F201" i="27" s="1"/>
  <c r="F202" i="27" s="1" a="1"/>
  <c r="F202" i="27" s="1"/>
  <c r="F203" i="27" s="1" a="1"/>
  <c r="F203" i="27" s="1"/>
  <c r="F204" i="27" s="1" a="1"/>
  <c r="F204" i="27" s="1"/>
  <c r="F205" i="27" s="1" a="1"/>
  <c r="F205" i="27" s="1"/>
  <c r="F206" i="27" s="1" a="1"/>
  <c r="F206" i="27" s="1"/>
  <c r="F207" i="27" s="1" a="1"/>
  <c r="F207" i="27" s="1"/>
  <c r="F208" i="27" s="1" a="1"/>
  <c r="F208" i="27" s="1"/>
  <c r="F209" i="27" s="1" a="1"/>
  <c r="F209" i="27" s="1"/>
  <c r="T197" i="27"/>
  <c r="T198" i="27" s="1" a="1"/>
  <c r="T198" i="27" s="1"/>
  <c r="T199" i="27" s="1" a="1"/>
  <c r="T199" i="27" s="1"/>
  <c r="T200" i="27" s="1" a="1"/>
  <c r="T200" i="27" s="1"/>
  <c r="T201" i="27" s="1" a="1"/>
  <c r="T201" i="27" s="1"/>
  <c r="T202" i="27" s="1" a="1"/>
  <c r="T202" i="27" s="1"/>
  <c r="T203" i="27" s="1" a="1"/>
  <c r="T203" i="27" s="1"/>
  <c r="T204" i="27" s="1" a="1"/>
  <c r="T204" i="27" s="1"/>
  <c r="T205" i="27" s="1" a="1"/>
  <c r="T205" i="27" s="1"/>
  <c r="T206" i="27" s="1" a="1"/>
  <c r="T206" i="27" s="1"/>
  <c r="T207" i="27" s="1" a="1"/>
  <c r="T207" i="27" s="1"/>
  <c r="T208" i="27" s="1" a="1"/>
  <c r="T208" i="27" s="1"/>
  <c r="AB282" i="29"/>
  <c r="D283" i="29" a="1"/>
  <c r="D283" i="29" s="1"/>
  <c r="AB138" i="29"/>
  <c r="D139" i="29" a="1"/>
  <c r="D139" i="29" s="1"/>
  <c r="T270" i="34" a="1"/>
  <c r="T270" i="34" s="1"/>
  <c r="T271" i="34" s="1" a="1"/>
  <c r="T271" i="34" s="1"/>
  <c r="T272" i="34" s="1" a="1"/>
  <c r="T272" i="34" s="1"/>
  <c r="T273" i="34" s="1" a="1"/>
  <c r="T273" i="34" s="1"/>
  <c r="T274" i="34" s="1" a="1"/>
  <c r="T274" i="34" s="1"/>
  <c r="T275" i="34" s="1" a="1"/>
  <c r="T275" i="34" s="1"/>
  <c r="T276" i="34" s="1" a="1"/>
  <c r="T276" i="34" s="1"/>
  <c r="T257" i="34" a="1"/>
  <c r="T257" i="34" s="1"/>
  <c r="T258" i="34" s="1" a="1"/>
  <c r="T258" i="34" s="1"/>
  <c r="T259" i="34" s="1" a="1"/>
  <c r="T259" i="34" s="1"/>
  <c r="T260" i="34" s="1" a="1"/>
  <c r="T260" i="34" s="1"/>
  <c r="T261" i="34" s="1" a="1"/>
  <c r="T261" i="34" s="1"/>
  <c r="T262" i="34" s="1" a="1"/>
  <c r="T262" i="34" s="1"/>
  <c r="T263" i="34" s="1" a="1"/>
  <c r="T263" i="34" s="1"/>
  <c r="T264" i="34" s="1" a="1"/>
  <c r="T264" i="34" s="1"/>
  <c r="T265" i="34" s="1" a="1"/>
  <c r="T265" i="34" s="1"/>
  <c r="T266" i="34" s="1" a="1"/>
  <c r="T266" i="34" s="1"/>
  <c r="T267" i="34" s="1" a="1"/>
  <c r="T267" i="34" s="1"/>
  <c r="T268" i="34" s="1" a="1"/>
  <c r="T268" i="34" s="1"/>
  <c r="T269" i="34" s="1" a="1"/>
  <c r="T269" i="34" s="1"/>
  <c r="B107" i="27" a="1"/>
  <c r="B107" i="27" s="1"/>
  <c r="B108" i="27" s="1" a="1"/>
  <c r="B108" i="27" s="1"/>
  <c r="B106" i="27" a="1"/>
  <c r="B106" i="27" s="1"/>
  <c r="AT92" i="14"/>
  <c r="AT80" i="14" s="1"/>
  <c r="AU93" i="14" a="1"/>
  <c r="AU93" i="14" s="1"/>
  <c r="AT81" i="14"/>
  <c r="F143" i="26" a="1"/>
  <c r="F143" i="26" s="1"/>
  <c r="F325" i="29" a="1"/>
  <c r="F325" i="29" s="1"/>
  <c r="T79" i="34" a="1"/>
  <c r="T79" i="34" s="1"/>
  <c r="T80" i="34" s="1" a="1"/>
  <c r="T80" i="34" s="1"/>
  <c r="T81" i="34" s="1" a="1"/>
  <c r="T81" i="34" s="1"/>
  <c r="T82" i="34" s="1" a="1"/>
  <c r="T82" i="34" s="1"/>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a="1"/>
  <c r="T92" i="34" s="1"/>
  <c r="T93" i="34" s="1" a="1"/>
  <c r="T93" i="34" s="1"/>
  <c r="T94" i="34" s="1" a="1"/>
  <c r="T94" i="34" s="1"/>
  <c r="T95" i="34" s="1" a="1"/>
  <c r="T95" i="34" s="1"/>
  <c r="T96" i="34" s="1" a="1"/>
  <c r="T96" i="34" s="1"/>
  <c r="T97" i="34" s="1" a="1"/>
  <c r="T97" i="34" s="1"/>
  <c r="T98" i="34" s="1" a="1"/>
  <c r="T98" i="34" s="1"/>
  <c r="F51" i="35" a="1"/>
  <c r="F51" i="35" s="1"/>
  <c r="F52" i="35" s="1" a="1"/>
  <c r="F52" i="35" s="1"/>
  <c r="F53" i="35" s="1" a="1"/>
  <c r="F53" i="35" s="1"/>
  <c r="F54" i="35" s="1" a="1"/>
  <c r="F54" i="35" s="1"/>
  <c r="F32" i="13" a="1"/>
  <c r="F32" i="13" s="1"/>
  <c r="AB38" i="8" a="1"/>
  <c r="AB38" i="8" s="1"/>
  <c r="W38" i="8" a="1"/>
  <c r="W38" i="8"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D427" i="29" a="1"/>
  <c r="D427" i="29" s="1"/>
  <c r="AB426" i="29"/>
  <c r="T181" i="34" a="1"/>
  <c r="T181" i="34" s="1"/>
  <c r="T182" i="34" s="1" a="1"/>
  <c r="T182" i="34" s="1"/>
  <c r="T183" i="34" s="1" a="1"/>
  <c r="T183" i="34" s="1"/>
  <c r="T184" i="34" s="1" a="1"/>
  <c r="T184" i="34" s="1"/>
  <c r="T185" i="34" s="1" a="1"/>
  <c r="T185" i="34" s="1"/>
  <c r="T186" i="34" s="1" a="1"/>
  <c r="T186" i="34" s="1"/>
  <c r="T187" i="34" s="1" a="1"/>
  <c r="T187" i="34" s="1"/>
  <c r="T168" i="34" a="1"/>
  <c r="T168" i="34" s="1"/>
  <c r="T169" i="34" s="1" a="1"/>
  <c r="T169" i="34" s="1"/>
  <c r="T170" i="34" s="1" a="1"/>
  <c r="T170" i="34" s="1"/>
  <c r="T171" i="34" s="1" a="1"/>
  <c r="T171" i="34" s="1"/>
  <c r="T172" i="34" s="1" a="1"/>
  <c r="T172" i="34" s="1"/>
  <c r="T173" i="34" s="1" a="1"/>
  <c r="T173" i="34" s="1"/>
  <c r="T174" i="34" s="1" a="1"/>
  <c r="T174" i="34" s="1"/>
  <c r="T175" i="34" s="1" a="1"/>
  <c r="T175" i="34" s="1"/>
  <c r="T176" i="34" s="1" a="1"/>
  <c r="T176" i="34" s="1"/>
  <c r="T177" i="34" s="1" a="1"/>
  <c r="T177" i="34" s="1"/>
  <c r="T178" i="34" s="1" a="1"/>
  <c r="T178" i="34" s="1"/>
  <c r="T179" i="34" s="1" a="1"/>
  <c r="T179" i="34" s="1"/>
  <c r="T180" i="34" s="1" a="1"/>
  <c r="T180" i="34" s="1"/>
  <c r="F36" i="14" a="1"/>
  <c r="F36" i="14" s="1"/>
  <c r="B159" i="27"/>
  <c r="B160" i="27" s="1" a="1"/>
  <c r="B160" i="27" s="1"/>
  <c r="B161" i="27" s="1" a="1"/>
  <c r="B161" i="27" s="1"/>
  <c r="B162" i="27" s="1" a="1"/>
  <c r="B162" i="27" s="1"/>
  <c r="B163" i="27" s="1" a="1"/>
  <c r="B163" i="27" s="1"/>
  <c r="B164" i="27" s="1" a="1"/>
  <c r="B164" i="27" s="1"/>
  <c r="B165" i="27" s="1" a="1"/>
  <c r="B165" i="27" s="1"/>
  <c r="B166" i="27" s="1" a="1"/>
  <c r="B166" i="27" s="1"/>
  <c r="B167" i="27" s="1" a="1"/>
  <c r="B167" i="27" s="1"/>
  <c r="B168" i="27" s="1" a="1"/>
  <c r="B168" i="27" s="1"/>
  <c r="F69" i="20" a="1"/>
  <c r="F69" i="20" s="1"/>
  <c r="K68" i="20"/>
  <c r="F36" i="26" a="1"/>
  <c r="F36" i="26"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F36" i="32" a="1"/>
  <c r="F36" i="32" s="1"/>
  <c r="AF35" i="32"/>
  <c r="T291" i="34"/>
  <c r="F292" i="34" a="1"/>
  <c r="F292" i="34" s="1"/>
  <c r="F37" i="14" l="1" a="1"/>
  <c r="F37" i="14" s="1"/>
  <c r="F33" i="13" a="1"/>
  <c r="F33" i="13" s="1"/>
  <c r="AT83" i="14"/>
  <c r="AT84" i="14"/>
  <c r="B203" i="27" a="1"/>
  <c r="B203" i="27" s="1"/>
  <c r="B204" i="27" s="1" a="1"/>
  <c r="B204" i="27" s="1"/>
  <c r="B205" i="27" s="1" a="1"/>
  <c r="B205" i="27" s="1"/>
  <c r="B206" i="27" s="1" a="1"/>
  <c r="B206" i="27" s="1"/>
  <c r="B207" i="27" s="1" a="1"/>
  <c r="B207" i="27" s="1"/>
  <c r="B208" i="27" s="1" a="1"/>
  <c r="B208" i="27" s="1"/>
  <c r="B209" i="27" a="1"/>
  <c r="B209" i="27" s="1"/>
  <c r="X32" i="10" a="1"/>
  <c r="X32" i="10" s="1"/>
  <c r="AB32" i="10" a="1"/>
  <c r="AB32" i="10" s="1"/>
  <c r="F74" i="35" a="1"/>
  <c r="F74" i="35" s="1"/>
  <c r="AE73" i="35"/>
  <c r="AF73" i="35"/>
  <c r="F58" i="13" a="1"/>
  <c r="F58" i="13" s="1"/>
  <c r="F59" i="13" s="1" a="1"/>
  <c r="F59" i="13" s="1"/>
  <c r="F60" i="13" s="1" a="1"/>
  <c r="F60" i="13" s="1"/>
  <c r="F61" i="13" s="1" a="1"/>
  <c r="F61" i="13" s="1"/>
  <c r="T57" i="13"/>
  <c r="T58" i="13" s="1" a="1"/>
  <c r="T58" i="13" s="1"/>
  <c r="T59" i="13" s="1" a="1"/>
  <c r="T59" i="13" s="1"/>
  <c r="T60" i="13" s="1" a="1"/>
  <c r="T60" i="13" s="1"/>
  <c r="T68" i="14"/>
  <c r="T69" i="14" s="1" a="1"/>
  <c r="T69" i="14" s="1"/>
  <c r="F69" i="14" a="1"/>
  <c r="F69" i="14" s="1"/>
  <c r="F70" i="14" s="1" a="1"/>
  <c r="F70" i="14" s="1"/>
  <c r="U43" i="8"/>
  <c r="F44" i="8" a="1"/>
  <c r="F44" i="8" s="1"/>
  <c r="AB139" i="30"/>
  <c r="D140" i="30" a="1"/>
  <c r="D140" i="30" s="1"/>
  <c r="AB427" i="30"/>
  <c r="D428" i="30" a="1"/>
  <c r="D428" i="30" s="1"/>
  <c r="F43" i="9" a="1"/>
  <c r="F43" i="9" s="1"/>
  <c r="F82" i="13" a="1"/>
  <c r="F82" i="13" s="1"/>
  <c r="F83" i="13" s="1" a="1"/>
  <c r="F83" i="13" s="1"/>
  <c r="F84" i="13" s="1" a="1"/>
  <c r="F84" i="13" s="1"/>
  <c r="F85" i="13" s="1" a="1"/>
  <c r="F85" i="13" s="1"/>
  <c r="T81" i="13"/>
  <c r="T82" i="13" s="1" a="1"/>
  <c r="T82" i="13" s="1"/>
  <c r="T83" i="13" s="1" a="1"/>
  <c r="T83" i="13" s="1"/>
  <c r="T84" i="13" s="1" a="1"/>
  <c r="T84" i="13" s="1"/>
  <c r="F120" i="28" a="1"/>
  <c r="F120" i="28" s="1"/>
  <c r="AN119" i="28"/>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147" i="27" a="1"/>
  <c r="F147" i="27" s="1"/>
  <c r="F148" i="27" s="1" a="1"/>
  <c r="F148" i="27" s="1"/>
  <c r="T146" i="27"/>
  <c r="T148" i="27" s="1" a="1"/>
  <c r="T148" i="27" s="1"/>
  <c r="T149" i="27" s="1" a="1"/>
  <c r="T149" i="27" s="1"/>
  <c r="T150" i="27" s="1" a="1"/>
  <c r="T150" i="27" s="1"/>
  <c r="T151" i="27" s="1" a="1"/>
  <c r="T151" i="27" s="1"/>
  <c r="B169" i="27" a="1"/>
  <c r="B169" i="27" s="1"/>
  <c r="B170" i="27" a="1"/>
  <c r="B170" i="27" s="1"/>
  <c r="B171" i="27" s="1" a="1"/>
  <c r="B171" i="27" s="1"/>
  <c r="AF54" i="35"/>
  <c r="F55" i="35" a="1"/>
  <c r="F55" i="35" s="1"/>
  <c r="AE54" i="35"/>
  <c r="F326" i="29" a="1"/>
  <c r="F326" i="29" s="1"/>
  <c r="F327" i="29" s="1" a="1"/>
  <c r="F327" i="29" s="1"/>
  <c r="F328" i="29" s="1" a="1"/>
  <c r="F328" i="29" s="1"/>
  <c r="F329" i="29" s="1" a="1"/>
  <c r="F329" i="29" s="1"/>
  <c r="F330" i="29" s="1" a="1"/>
  <c r="F330" i="29" s="1"/>
  <c r="F331" i="29" s="1" a="1"/>
  <c r="F331" i="29" s="1"/>
  <c r="F332" i="29" s="1" a="1"/>
  <c r="F332" i="29" s="1"/>
  <c r="F333" i="29" s="1" a="1"/>
  <c r="F333" i="29" s="1"/>
  <c r="F334" i="29" s="1" a="1"/>
  <c r="F334" i="29" s="1"/>
  <c r="F335" i="29" s="1" a="1"/>
  <c r="F335" i="29" s="1"/>
  <c r="F336" i="29" s="1" a="1"/>
  <c r="F336" i="29" s="1"/>
  <c r="F337" i="29" s="1" a="1"/>
  <c r="F337" i="29" s="1"/>
  <c r="F338" i="29" s="1" a="1"/>
  <c r="F338" i="29" s="1"/>
  <c r="F339" i="29" s="1" a="1"/>
  <c r="F339" i="29" s="1"/>
  <c r="F144" i="26" a="1"/>
  <c r="F144" i="26" s="1"/>
  <c r="AU81" i="14"/>
  <c r="AU92" i="14"/>
  <c r="AU80" i="14" s="1"/>
  <c r="AB283" i="29"/>
  <c r="D284" i="29" a="1"/>
  <c r="D284" i="29" s="1"/>
  <c r="T209" i="27"/>
  <c r="T211" i="27" s="1" a="1"/>
  <c r="T211" i="27" s="1"/>
  <c r="T212" i="27" s="1" a="1"/>
  <c r="T212" i="27" s="1"/>
  <c r="T213" i="27" s="1" a="1"/>
  <c r="T213" i="27" s="1"/>
  <c r="T214" i="27" s="1" a="1"/>
  <c r="T214" i="27" s="1"/>
  <c r="F210" i="27" a="1"/>
  <c r="F210" i="27" s="1"/>
  <c r="F211" i="27" s="1" a="1"/>
  <c r="F211" i="27" s="1"/>
  <c r="F87" i="32" a="1"/>
  <c r="F87" i="32" s="1"/>
  <c r="B77" i="27" a="1"/>
  <c r="B77" i="27" s="1"/>
  <c r="B78" i="27" s="1" a="1"/>
  <c r="B78" i="27" s="1"/>
  <c r="B79" i="27" s="1" a="1"/>
  <c r="B79" i="27" s="1"/>
  <c r="B80" i="27" s="1" a="1"/>
  <c r="B80" i="27" s="1"/>
  <c r="B81" i="27" s="1" a="1"/>
  <c r="B81" i="27" s="1"/>
  <c r="B82" i="27" s="1" a="1"/>
  <c r="B82" i="27" s="1"/>
  <c r="B83" i="27" a="1"/>
  <c r="B83" i="27" s="1"/>
  <c r="K31" i="22"/>
  <c r="F32" i="22" a="1"/>
  <c r="F32" i="22" s="1"/>
  <c r="F31" i="19" a="1"/>
  <c r="F31" i="19" s="1"/>
  <c r="F35" i="30" a="1"/>
  <c r="F35" i="30" s="1"/>
  <c r="AN204" i="28"/>
  <c r="F205" i="28" a="1"/>
  <c r="F205" i="28" s="1"/>
  <c r="F91" i="26" a="1"/>
  <c r="F91" i="26" s="1"/>
  <c r="F80" i="34" a="1"/>
  <c r="F80" i="34" s="1"/>
  <c r="U35" i="8"/>
  <c r="F36" i="8" a="1"/>
  <c r="F36" i="8" s="1"/>
  <c r="F293" i="34" a="1"/>
  <c r="F293" i="34" s="1"/>
  <c r="T292" i="34"/>
  <c r="T293" i="34" s="1" a="1"/>
  <c r="T293" i="34" s="1"/>
  <c r="AF36" i="32"/>
  <c r="F37" i="32" a="1"/>
  <c r="F37" i="32" s="1"/>
  <c r="T190" i="34" a="1"/>
  <c r="T190" i="34" s="1"/>
  <c r="T191" i="34" s="1" a="1"/>
  <c r="T191" i="34" s="1"/>
  <c r="T192" i="34" s="1" a="1"/>
  <c r="T192" i="34" s="1"/>
  <c r="T193" i="34" s="1" a="1"/>
  <c r="T193" i="34" s="1"/>
  <c r="T194" i="34" s="1" a="1"/>
  <c r="T194" i="34" s="1"/>
  <c r="T195" i="34" s="1" a="1"/>
  <c r="T195" i="34" s="1"/>
  <c r="T196" i="34" s="1" a="1"/>
  <c r="T196" i="34" s="1"/>
  <c r="T188" i="34" a="1"/>
  <c r="T188" i="34" s="1"/>
  <c r="T189" i="34" s="1" a="1"/>
  <c r="T189" i="34" s="1"/>
  <c r="D428" i="29" a="1"/>
  <c r="D428" i="29" s="1"/>
  <c r="AB427" i="29"/>
  <c r="W82" i="9" a="1"/>
  <c r="W82" i="9" s="1"/>
  <c r="AB82" i="9" a="1"/>
  <c r="AB82" i="9" s="1"/>
  <c r="D140" i="29" a="1"/>
  <c r="D140" i="29" s="1"/>
  <c r="AB139" i="29"/>
  <c r="F138" i="32" a="1"/>
  <c r="F138" i="32" s="1"/>
  <c r="AF137" i="32"/>
  <c r="F326" i="30" a="1"/>
  <c r="F326" i="30" s="1"/>
  <c r="F327" i="30" s="1" a="1"/>
  <c r="F327" i="30" s="1"/>
  <c r="F328" i="30" s="1" a="1"/>
  <c r="F328" i="30" s="1"/>
  <c r="F329" i="30" s="1" a="1"/>
  <c r="F329" i="30" s="1"/>
  <c r="F330" i="30" s="1" a="1"/>
  <c r="F330" i="30" s="1"/>
  <c r="F331" i="30" s="1" a="1"/>
  <c r="F331" i="30" s="1"/>
  <c r="F332" i="30" s="1" a="1"/>
  <c r="F332" i="30" s="1"/>
  <c r="F333" i="30" s="1" a="1"/>
  <c r="F333" i="30" s="1"/>
  <c r="F334" i="30" s="1" a="1"/>
  <c r="F334" i="30" s="1"/>
  <c r="F335" i="30" s="1" a="1"/>
  <c r="F335" i="30" s="1"/>
  <c r="F336" i="30" s="1" a="1"/>
  <c r="F336" i="30" s="1"/>
  <c r="F337" i="30" s="1" a="1"/>
  <c r="F337" i="30" s="1"/>
  <c r="F338" i="30" s="1" a="1"/>
  <c r="F338" i="30" s="1"/>
  <c r="F339" i="30" s="1" a="1"/>
  <c r="F339" i="30" s="1"/>
  <c r="D284" i="30" a="1"/>
  <c r="D284" i="30" s="1"/>
  <c r="AB283" i="30"/>
  <c r="F60" i="22" a="1"/>
  <c r="F60" i="22" s="1"/>
  <c r="K59" i="22"/>
  <c r="U98" i="9"/>
  <c r="U99" i="9" s="1" a="1"/>
  <c r="U99" i="9" s="1"/>
  <c r="F99" i="9" a="1"/>
  <c r="F99" i="9" s="1"/>
  <c r="F100" i="9" s="1" a="1"/>
  <c r="F100" i="9" s="1"/>
  <c r="AN34" i="28"/>
  <c r="F35" i="28" a="1"/>
  <c r="F35" i="28" s="1"/>
  <c r="F99" i="14" a="1"/>
  <c r="F99" i="14" s="1"/>
  <c r="F100" i="14" s="1" a="1"/>
  <c r="F100" i="14" s="1"/>
  <c r="T98" i="14"/>
  <c r="T99" i="14" s="1" a="1"/>
  <c r="T99" i="14"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F84" i="19" a="1"/>
  <c r="F84" i="19" s="1"/>
  <c r="K83" i="19"/>
  <c r="K50" i="20"/>
  <c r="F51" i="20" a="1"/>
  <c r="F51" i="20" s="1"/>
  <c r="F37" i="26" a="1"/>
  <c r="F37" i="26" s="1"/>
  <c r="F70" i="20" a="1"/>
  <c r="F70" i="20" s="1"/>
  <c r="K69" i="20"/>
  <c r="T101" i="34" a="1"/>
  <c r="T101" i="34" s="1"/>
  <c r="T102" i="34" s="1" a="1"/>
  <c r="T102" i="34" s="1"/>
  <c r="T103" i="34" s="1" a="1"/>
  <c r="T103" i="34" s="1"/>
  <c r="T104" i="34" s="1" a="1"/>
  <c r="T104" i="34" s="1"/>
  <c r="T105" i="34" s="1" a="1"/>
  <c r="T105" i="34" s="1"/>
  <c r="T106" i="34" s="1" a="1"/>
  <c r="T106" i="34" s="1"/>
  <c r="T107" i="34" s="1" a="1"/>
  <c r="T107" i="34" s="1"/>
  <c r="T99" i="34" a="1"/>
  <c r="T99" i="34" s="1"/>
  <c r="T100" i="34" s="1" a="1"/>
  <c r="T100" i="34" s="1"/>
  <c r="T279" i="34" a="1"/>
  <c r="T279" i="34" s="1"/>
  <c r="T280" i="34" s="1" a="1"/>
  <c r="T280" i="34" s="1"/>
  <c r="T281" i="34" s="1" a="1"/>
  <c r="T281" i="34" s="1"/>
  <c r="T282" i="34" s="1" a="1"/>
  <c r="T282" i="34" s="1"/>
  <c r="T283" i="34" s="1" a="1"/>
  <c r="T283" i="34" s="1"/>
  <c r="T284" i="34" s="1" a="1"/>
  <c r="T284" i="34" s="1"/>
  <c r="T285" i="34" s="1" a="1"/>
  <c r="T285" i="34" s="1"/>
  <c r="T277" i="34" a="1"/>
  <c r="T277" i="34" s="1"/>
  <c r="T278" i="34" s="1" a="1"/>
  <c r="T278" i="34" s="1"/>
  <c r="T83" i="27"/>
  <c r="T85" i="27" s="1" a="1"/>
  <c r="T85" i="27" s="1"/>
  <c r="T86" i="27" s="1" a="1"/>
  <c r="T86" i="27" s="1"/>
  <c r="T87" i="27" s="1" a="1"/>
  <c r="T87" i="27" s="1"/>
  <c r="T88" i="27" s="1" a="1"/>
  <c r="T88" i="27" s="1"/>
  <c r="F84" i="27" a="1"/>
  <c r="F84" i="27" s="1"/>
  <c r="F85" i="27" s="1" a="1"/>
  <c r="F85" i="27" s="1"/>
  <c r="K45" i="22"/>
  <c r="F46" i="22" a="1"/>
  <c r="F46" i="22" s="1"/>
  <c r="AF36" i="35"/>
  <c r="AE36" i="35"/>
  <c r="F37" i="35" a="1"/>
  <c r="F37" i="35" s="1"/>
  <c r="K58" i="19"/>
  <c r="F59" i="19" a="1"/>
  <c r="F59" i="19" s="1"/>
  <c r="K31" i="20"/>
  <c r="F32" i="20" a="1"/>
  <c r="F32" i="20" s="1"/>
  <c r="T187" i="18"/>
  <c r="T188" i="18" s="1" a="1"/>
  <c r="T188" i="18" s="1"/>
  <c r="T189" i="18" s="1" a="1"/>
  <c r="T189" i="18" s="1"/>
  <c r="T190" i="18" s="1" a="1"/>
  <c r="T190" i="18" s="1"/>
  <c r="F188" i="18" a="1"/>
  <c r="F188" i="18" s="1"/>
  <c r="F189" i="18" s="1" a="1"/>
  <c r="F189" i="18" s="1"/>
  <c r="F190" i="18" s="1" a="1"/>
  <c r="F190" i="18" s="1"/>
  <c r="F191" i="18" s="1" a="1"/>
  <c r="F191" i="18" s="1"/>
  <c r="F108" i="18" a="1"/>
  <c r="F108" i="18" s="1"/>
  <c r="F109" i="18" s="1" a="1"/>
  <c r="F109" i="18" s="1"/>
  <c r="F110" i="18" s="1" a="1"/>
  <c r="F110" i="18" s="1"/>
  <c r="T107" i="18"/>
  <c r="T108" i="18" s="1" a="1"/>
  <c r="T108" i="18" s="1"/>
  <c r="F204" i="34" a="1"/>
  <c r="F204" i="34" s="1"/>
  <c r="T203" i="34"/>
  <c r="T204" i="34" s="1" a="1"/>
  <c r="T204" i="34" s="1"/>
  <c r="B146" i="27" a="1"/>
  <c r="B146" i="27" s="1"/>
  <c r="B140" i="27" a="1"/>
  <c r="B140" i="27" s="1"/>
  <c r="B141" i="27" s="1" a="1"/>
  <c r="B141" i="27" s="1"/>
  <c r="B142" i="27" s="1" a="1"/>
  <c r="B142" i="27" s="1"/>
  <c r="B143" i="27" s="1" a="1"/>
  <c r="B143" i="27" s="1"/>
  <c r="B144" i="27" s="1" a="1"/>
  <c r="B144" i="27" s="1"/>
  <c r="B145" i="27" s="1" a="1"/>
  <c r="B145" i="27" s="1"/>
  <c r="F35" i="18" a="1"/>
  <c r="F35" i="18" s="1"/>
  <c r="F36" i="18" s="1" a="1"/>
  <c r="F36" i="18" s="1"/>
  <c r="F37" i="18" s="1" a="1"/>
  <c r="F37" i="18" s="1"/>
  <c r="T34" i="18"/>
  <c r="T35" i="18" s="1" a="1"/>
  <c r="T35" i="18" s="1"/>
  <c r="U71" i="9"/>
  <c r="U72" i="9" s="1" a="1"/>
  <c r="U72" i="9" s="1"/>
  <c r="F72" i="9" a="1"/>
  <c r="F72" i="9" s="1"/>
  <c r="F73" i="9" s="1" a="1"/>
  <c r="F73" i="9"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T110" i="34" l="1" a="1"/>
  <c r="T110" i="34" s="1"/>
  <c r="T108" i="34" a="1"/>
  <c r="T108" i="34" s="1"/>
  <c r="T109" i="34" s="1" a="1"/>
  <c r="T109" i="34" s="1"/>
  <c r="K70" i="20"/>
  <c r="F71" i="20" a="1"/>
  <c r="F71" i="20" s="1"/>
  <c r="K60" i="22"/>
  <c r="F61" i="22" a="1"/>
  <c r="F61" i="22" s="1"/>
  <c r="F32" i="19" a="1"/>
  <c r="F32" i="19" s="1"/>
  <c r="F212" i="27" a="1"/>
  <c r="F212" i="27" s="1"/>
  <c r="F340" i="29" a="1"/>
  <c r="F340" i="29" s="1"/>
  <c r="F149" i="27" a="1"/>
  <c r="F149" i="27" s="1"/>
  <c r="F86" i="13" a="1"/>
  <c r="F86" i="13" s="1"/>
  <c r="F87" i="13" s="1" a="1"/>
  <c r="F87" i="13" s="1"/>
  <c r="F88" i="13" s="1" a="1"/>
  <c r="F88" i="13" s="1"/>
  <c r="T85" i="13"/>
  <c r="T86" i="13" s="1" a="1"/>
  <c r="T86" i="13" s="1"/>
  <c r="T87" i="13" s="1" a="1"/>
  <c r="T87" i="13" s="1"/>
  <c r="U44" i="8"/>
  <c r="F45" i="8" a="1"/>
  <c r="F45" i="8" s="1"/>
  <c r="F38" i="14" a="1"/>
  <c r="F38" i="14" s="1"/>
  <c r="F196" i="30" a="1"/>
  <c r="F196" i="30" s="1"/>
  <c r="F192" i="18" a="1"/>
  <c r="F192" i="18" s="1"/>
  <c r="F193" i="18" s="1" a="1"/>
  <c r="F193" i="18" s="1"/>
  <c r="F194" i="18" s="1" a="1"/>
  <c r="F194" i="18" s="1"/>
  <c r="T191" i="18"/>
  <c r="T192" i="18" s="1" a="1"/>
  <c r="T192" i="18" s="1"/>
  <c r="F60" i="19" a="1"/>
  <c r="F60" i="19" s="1"/>
  <c r="K59" i="19"/>
  <c r="F85" i="19" a="1"/>
  <c r="F85" i="19" s="1"/>
  <c r="K84" i="19"/>
  <c r="D141" i="29" a="1"/>
  <c r="D141" i="29" s="1"/>
  <c r="AB140" i="29"/>
  <c r="D429" i="29" a="1"/>
  <c r="D429" i="29" s="1"/>
  <c r="AB428" i="29"/>
  <c r="F38" i="32" a="1"/>
  <c r="F38" i="32" s="1"/>
  <c r="AF37" i="32"/>
  <c r="AN205" i="28"/>
  <c r="F206" i="28" a="1"/>
  <c r="F206" i="28" s="1"/>
  <c r="F36" i="30" a="1"/>
  <c r="F36" i="30" s="1"/>
  <c r="K32" i="22"/>
  <c r="F33" i="22" a="1"/>
  <c r="F33" i="22" s="1"/>
  <c r="AU83" i="14"/>
  <c r="AU84" i="14"/>
  <c r="F56" i="35" a="1"/>
  <c r="F56" i="35" s="1"/>
  <c r="AF55" i="35"/>
  <c r="AE55" i="35"/>
  <c r="AN120" i="28"/>
  <c r="F121" i="28" a="1"/>
  <c r="F121" i="28" s="1"/>
  <c r="F47" i="22" a="1"/>
  <c r="F47" i="22" s="1"/>
  <c r="K46" i="22"/>
  <c r="F86" i="27" a="1"/>
  <c r="F86" i="27" s="1"/>
  <c r="T288" i="34" a="1"/>
  <c r="T288" i="34" s="1"/>
  <c r="T286" i="34" a="1"/>
  <c r="T286" i="34" s="1"/>
  <c r="T287" i="34" s="1" a="1"/>
  <c r="T287" i="34" s="1"/>
  <c r="F38" i="26" a="1"/>
  <c r="F38" i="26" s="1"/>
  <c r="K51" i="20"/>
  <c r="F52" i="20" a="1"/>
  <c r="F52" i="20" s="1"/>
  <c r="F196" i="29" a="1"/>
  <c r="F196" i="29" s="1"/>
  <c r="F36" i="28" a="1"/>
  <c r="F36" i="28" s="1"/>
  <c r="AN35" i="28"/>
  <c r="AB284" i="30"/>
  <c r="D285" i="30" a="1"/>
  <c r="D285" i="30" s="1"/>
  <c r="F340" i="30" a="1"/>
  <c r="F340" i="30" s="1"/>
  <c r="X37" i="10" a="1"/>
  <c r="X37" i="10" s="1"/>
  <c r="AB37" i="10" a="1"/>
  <c r="AB37" i="10" s="1"/>
  <c r="F81" i="34" a="1"/>
  <c r="F81" i="34" s="1"/>
  <c r="F82" i="34" s="1" a="1"/>
  <c r="F82" i="34" s="1"/>
  <c r="F83" i="34" s="1"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88" i="32" a="1"/>
  <c r="F88" i="32" s="1"/>
  <c r="AF87" i="32"/>
  <c r="D285" i="29" a="1"/>
  <c r="D285" i="29" s="1"/>
  <c r="AB284" i="29"/>
  <c r="D141" i="30" a="1"/>
  <c r="D141" i="30" s="1"/>
  <c r="AB140" i="30"/>
  <c r="T70" i="14"/>
  <c r="T71" i="14" s="1" a="1"/>
  <c r="T71" i="14" s="1"/>
  <c r="T72" i="14" s="1" a="1"/>
  <c r="T72" i="14" s="1"/>
  <c r="T73" i="14" s="1" a="1"/>
  <c r="T73" i="14" s="1"/>
  <c r="T74" i="14" s="1" a="1"/>
  <c r="T74" i="14" s="1"/>
  <c r="T75" i="14" s="1" a="1"/>
  <c r="T75" i="14" s="1"/>
  <c r="T76" i="14" s="1" a="1"/>
  <c r="T76" i="14" s="1"/>
  <c r="T77" i="14" s="1" a="1"/>
  <c r="T77" i="14" s="1"/>
  <c r="F71" i="14" a="1"/>
  <c r="F71" i="14" s="1"/>
  <c r="F72" i="14" s="1" a="1"/>
  <c r="F72" i="14" s="1"/>
  <c r="F73" i="14" s="1" a="1"/>
  <c r="F73" i="14" s="1"/>
  <c r="F74" i="14" s="1" a="1"/>
  <c r="F74" i="14" s="1"/>
  <c r="F75" i="14" s="1" a="1"/>
  <c r="F75" i="14" s="1"/>
  <c r="F76" i="14" s="1" a="1"/>
  <c r="F76" i="14" s="1"/>
  <c r="F77" i="14" s="1" a="1"/>
  <c r="F77" i="14" s="1"/>
  <c r="F78" i="14" s="1" a="1"/>
  <c r="F78" i="14" s="1"/>
  <c r="T78" i="14" s="1"/>
  <c r="F62" i="13" a="1"/>
  <c r="F62" i="13" s="1"/>
  <c r="F63" i="13" s="1" a="1"/>
  <c r="F63" i="13" s="1"/>
  <c r="F64" i="13" s="1" a="1"/>
  <c r="F64" i="13" s="1"/>
  <c r="T61" i="13"/>
  <c r="T62" i="13" s="1" a="1"/>
  <c r="T62" i="13" s="1"/>
  <c r="T63" i="13" s="1" a="1"/>
  <c r="T63" i="13" s="1"/>
  <c r="AF74" i="35"/>
  <c r="F75" i="35" a="1"/>
  <c r="F75" i="35" s="1"/>
  <c r="AE74" i="35"/>
  <c r="F34" i="13" a="1"/>
  <c r="F34" i="13" s="1"/>
  <c r="T33" i="13"/>
  <c r="T34" i="13" s="1" a="1"/>
  <c r="T34" i="13" s="1"/>
  <c r="T35" i="13" s="1" a="1"/>
  <c r="T35" i="13" s="1"/>
  <c r="T36" i="13" s="1" a="1"/>
  <c r="T36" i="13" s="1"/>
  <c r="T37" i="18"/>
  <c r="T38" i="18" s="1" a="1"/>
  <c r="T38" i="18" s="1"/>
  <c r="T39" i="18" s="1" a="1"/>
  <c r="T39" i="18" s="1"/>
  <c r="T40" i="18" s="1" a="1"/>
  <c r="T40" i="18" s="1"/>
  <c r="F38" i="18" a="1"/>
  <c r="F38" i="18" s="1"/>
  <c r="F39" i="18" s="1" a="1"/>
  <c r="F39" i="18" s="1"/>
  <c r="F40" i="18" s="1" a="1"/>
  <c r="F40" i="18" s="1"/>
  <c r="F41" i="18" s="1" a="1"/>
  <c r="F41" i="18" s="1"/>
  <c r="F74" i="9" a="1"/>
  <c r="F74" i="9" s="1"/>
  <c r="U73" i="9"/>
  <c r="T110" i="18"/>
  <c r="T111" i="18" s="1" a="1"/>
  <c r="T111" i="18" s="1"/>
  <c r="T112" i="18" s="1" a="1"/>
  <c r="T112" i="18" s="1"/>
  <c r="T113" i="18" s="1" a="1"/>
  <c r="T113" i="18" s="1"/>
  <c r="F111" i="18" a="1"/>
  <c r="F111" i="18" s="1"/>
  <c r="F112" i="18" s="1" a="1"/>
  <c r="F112" i="18" s="1"/>
  <c r="F113" i="18" s="1" a="1"/>
  <c r="F113" i="18" s="1"/>
  <c r="F114" i="18" s="1" a="1"/>
  <c r="F114" i="18" s="1"/>
  <c r="F33" i="20" a="1"/>
  <c r="F33" i="20" s="1"/>
  <c r="K32" i="20"/>
  <c r="F38" i="35" a="1"/>
  <c r="F38" i="35" s="1"/>
  <c r="F39" i="35" s="1" a="1"/>
  <c r="F39" i="35" s="1"/>
  <c r="AF37" i="35"/>
  <c r="AF28" i="35" s="1"/>
  <c r="AE37" i="35"/>
  <c r="AE28" i="35" s="1"/>
  <c r="T100" i="14"/>
  <c r="T101" i="14" s="1" a="1"/>
  <c r="T101" i="14" s="1"/>
  <c r="T102" i="14" s="1" a="1"/>
  <c r="T102" i="14" s="1"/>
  <c r="T103" i="14" s="1" a="1"/>
  <c r="T103" i="14" s="1"/>
  <c r="T104" i="14" s="1" a="1"/>
  <c r="T104" i="14" s="1"/>
  <c r="T105" i="14" s="1" a="1"/>
  <c r="T105" i="14" s="1"/>
  <c r="T106" i="14" s="1" a="1"/>
  <c r="T106" i="14" s="1"/>
  <c r="T107" i="14" s="1" a="1"/>
  <c r="T107" i="14" s="1"/>
  <c r="F101" i="14" a="1"/>
  <c r="F101" i="14" s="1"/>
  <c r="F102" i="14" s="1" a="1"/>
  <c r="F102" i="14" s="1"/>
  <c r="F103" i="14" s="1" a="1"/>
  <c r="F103" i="14" s="1"/>
  <c r="F104" i="14" s="1" a="1"/>
  <c r="F104" i="14" s="1"/>
  <c r="F105" i="14" s="1" a="1"/>
  <c r="F105" i="14" s="1"/>
  <c r="F106" i="14" s="1" a="1"/>
  <c r="F106" i="14" s="1"/>
  <c r="F107" i="14" s="1" a="1"/>
  <c r="F107" i="14" s="1"/>
  <c r="F108" i="14" s="1" a="1"/>
  <c r="F108" i="14" s="1"/>
  <c r="F101" i="9" a="1"/>
  <c r="F101" i="9" s="1"/>
  <c r="U100" i="9"/>
  <c r="F139" i="32" a="1"/>
  <c r="F139" i="32" s="1"/>
  <c r="AF138" i="32"/>
  <c r="T197" i="34" a="1"/>
  <c r="T197" i="34" s="1"/>
  <c r="T198" i="34" s="1" a="1"/>
  <c r="T198" i="34" s="1"/>
  <c r="T199" i="34" a="1"/>
  <c r="T199" i="34" s="1"/>
  <c r="U36" i="8"/>
  <c r="F37" i="8" a="1"/>
  <c r="F37" i="8" s="1"/>
  <c r="U37" i="8" s="1"/>
  <c r="F92" i="26" a="1"/>
  <c r="F92" i="26" s="1"/>
  <c r="F145" i="26" a="1"/>
  <c r="F145" i="26" s="1"/>
  <c r="F52" i="29" a="1"/>
  <c r="F52" i="29" s="1"/>
  <c r="F44" i="9" a="1"/>
  <c r="F44" i="9" s="1"/>
  <c r="U43" i="9"/>
  <c r="AB428" i="30"/>
  <c r="D429" i="30" a="1"/>
  <c r="D429" i="30" s="1"/>
  <c r="AB118" i="11" a="1"/>
  <c r="AB118" i="11" s="1"/>
  <c r="V118" i="11" a="1"/>
  <c r="V118" i="11" s="1"/>
  <c r="AB429" i="30" l="1"/>
  <c r="D430" i="30" a="1"/>
  <c r="D430" i="30" s="1"/>
  <c r="F140" i="32" a="1"/>
  <c r="F140" i="32" s="1"/>
  <c r="AF139" i="32"/>
  <c r="F40" i="35" a="1"/>
  <c r="F40" i="35" s="1"/>
  <c r="F41" i="35" s="1" a="1"/>
  <c r="F41" i="35" s="1"/>
  <c r="F42" i="35" s="1" a="1"/>
  <c r="F42" i="35" s="1"/>
  <c r="F43" i="35" s="1" a="1"/>
  <c r="F43" i="35" s="1"/>
  <c r="F44" i="35" s="1" a="1"/>
  <c r="F44" i="35" s="1"/>
  <c r="F45" i="35" s="1" a="1"/>
  <c r="F45" i="35" s="1"/>
  <c r="AE39" i="35"/>
  <c r="AF39" i="35"/>
  <c r="F65" i="13" a="1"/>
  <c r="F65" i="13" s="1"/>
  <c r="F66" i="13" s="1" a="1"/>
  <c r="F66" i="13" s="1"/>
  <c r="F67" i="13" s="1" a="1"/>
  <c r="F67" i="13" s="1"/>
  <c r="F68" i="13" s="1" a="1"/>
  <c r="F68" i="13" s="1"/>
  <c r="T64" i="13"/>
  <c r="T65" i="13" s="1" a="1"/>
  <c r="T65" i="13" s="1"/>
  <c r="T66" i="13" s="1" a="1"/>
  <c r="T66" i="13" s="1"/>
  <c r="T67" i="13" s="1" a="1"/>
  <c r="T67" i="13" s="1"/>
  <c r="AB141" i="30"/>
  <c r="D142" i="30" a="1"/>
  <c r="D142" i="30" s="1"/>
  <c r="V209" i="11" a="1"/>
  <c r="V209" i="11" s="1"/>
  <c r="AB209" i="11" a="1"/>
  <c r="AB209" i="11" s="1"/>
  <c r="D286" i="30" a="1"/>
  <c r="D286" i="30" s="1"/>
  <c r="AB285" i="30"/>
  <c r="F87" i="27" a="1"/>
  <c r="F87" i="27" s="1"/>
  <c r="F88" i="27" s="1" a="1"/>
  <c r="F88" i="27" s="1"/>
  <c r="AN121" i="28"/>
  <c r="F122" i="28" a="1"/>
  <c r="F122" i="28" s="1"/>
  <c r="BO36" i="30"/>
  <c r="F37" i="30" a="1"/>
  <c r="F37" i="30" s="1"/>
  <c r="F39" i="32" a="1"/>
  <c r="F39" i="32" s="1"/>
  <c r="AF38" i="32"/>
  <c r="D142" i="29" a="1"/>
  <c r="D142" i="29" s="1"/>
  <c r="AB141" i="29"/>
  <c r="F61" i="19" a="1"/>
  <c r="F61" i="19" s="1"/>
  <c r="F62" i="19" s="1" a="1"/>
  <c r="F62" i="19" s="1"/>
  <c r="F63" i="19" s="1" a="1"/>
  <c r="F63" i="19" s="1"/>
  <c r="T60" i="19"/>
  <c r="T61" i="19" s="1" a="1"/>
  <c r="T61" i="19" s="1"/>
  <c r="T62" i="19" s="1" a="1"/>
  <c r="T62" i="19" s="1"/>
  <c r="T38" i="14"/>
  <c r="T39" i="14" s="1" a="1"/>
  <c r="T39" i="14" s="1"/>
  <c r="F39" i="14" a="1"/>
  <c r="F39" i="14" s="1"/>
  <c r="F89" i="13" a="1"/>
  <c r="F89" i="13" s="1"/>
  <c r="F90" i="13" s="1" a="1"/>
  <c r="F90" i="13" s="1"/>
  <c r="F91" i="13" s="1" a="1"/>
  <c r="F91" i="13" s="1"/>
  <c r="F92" i="13" s="1" a="1"/>
  <c r="F92" i="13" s="1"/>
  <c r="T88" i="13"/>
  <c r="T89" i="13" s="1" a="1"/>
  <c r="T89" i="13" s="1"/>
  <c r="T90" i="13" s="1" a="1"/>
  <c r="T90" i="13" s="1"/>
  <c r="T91" i="13" s="1" a="1"/>
  <c r="T91" i="13" s="1"/>
  <c r="T111" i="34" a="1"/>
  <c r="T111" i="34" s="1"/>
  <c r="T112" i="34" a="1"/>
  <c r="T112" i="34" s="1"/>
  <c r="F53" i="29" a="1"/>
  <c r="F53" i="29" s="1"/>
  <c r="F54" i="29" s="1" a="1"/>
  <c r="F54" i="29" s="1"/>
  <c r="F93" i="26" a="1"/>
  <c r="F93" i="26" s="1"/>
  <c r="T200" i="34" a="1"/>
  <c r="T200" i="34" s="1"/>
  <c r="T201" i="34" a="1"/>
  <c r="T201" i="34" s="1"/>
  <c r="F76" i="35" a="1"/>
  <c r="F76" i="35" s="1"/>
  <c r="F77" i="35" s="1" a="1"/>
  <c r="F77" i="35" s="1"/>
  <c r="F89" i="32" a="1"/>
  <c r="F89" i="32" s="1"/>
  <c r="AF88" i="32"/>
  <c r="F37" i="28" a="1"/>
  <c r="F37" i="28" s="1"/>
  <c r="AN36" i="28"/>
  <c r="F39" i="26" a="1"/>
  <c r="F39" i="26" s="1"/>
  <c r="F207" i="28" a="1"/>
  <c r="F207" i="28" s="1"/>
  <c r="AN206" i="28"/>
  <c r="F213" i="27" a="1"/>
  <c r="F213" i="27" s="1"/>
  <c r="F214" i="27" s="1" a="1"/>
  <c r="F214" i="27" s="1"/>
  <c r="F33" i="19" a="1"/>
  <c r="F33" i="19" s="1"/>
  <c r="T32" i="19"/>
  <c r="T33" i="19" s="1" a="1"/>
  <c r="T33" i="19" s="1"/>
  <c r="T34" i="19" s="1" a="1"/>
  <c r="T34" i="19" s="1"/>
  <c r="K71" i="20"/>
  <c r="F72" i="20" a="1"/>
  <c r="F72" i="20" s="1"/>
  <c r="F102" i="9" a="1"/>
  <c r="F102" i="9" s="1"/>
  <c r="F103" i="9" s="1" a="1"/>
  <c r="F103" i="9" s="1"/>
  <c r="U101" i="9"/>
  <c r="U102" i="9" s="1" a="1"/>
  <c r="U102" i="9" s="1"/>
  <c r="F34" i="20" a="1"/>
  <c r="F34" i="20" s="1"/>
  <c r="K33" i="20"/>
  <c r="U74" i="9"/>
  <c r="U75" i="9" s="1" a="1"/>
  <c r="U75" i="9" s="1"/>
  <c r="F75" i="9" a="1"/>
  <c r="F75" i="9" s="1"/>
  <c r="F76" i="9" s="1" a="1"/>
  <c r="F76" i="9" s="1"/>
  <c r="T113" i="34"/>
  <c r="F114" i="34" a="1"/>
  <c r="F114" i="34" s="1"/>
  <c r="F197" i="29" a="1"/>
  <c r="F197" i="29" s="1"/>
  <c r="F198" i="29" s="1" a="1"/>
  <c r="F198" i="29" s="1"/>
  <c r="F53" i="20" a="1"/>
  <c r="F53" i="20" s="1"/>
  <c r="K52" i="20"/>
  <c r="K47" i="22"/>
  <c r="F48" i="22" a="1"/>
  <c r="F48" i="22" s="1"/>
  <c r="F34" i="22" a="1"/>
  <c r="F34" i="22" s="1"/>
  <c r="K33" i="22"/>
  <c r="D430" i="29" a="1"/>
  <c r="D430" i="29" s="1"/>
  <c r="AB429" i="29"/>
  <c r="T85" i="19"/>
  <c r="T86" i="19" s="1" a="1"/>
  <c r="T86" i="19" s="1"/>
  <c r="T87" i="19" s="1" a="1"/>
  <c r="T87" i="19" s="1"/>
  <c r="F86" i="19" a="1"/>
  <c r="F86" i="19" s="1"/>
  <c r="F87" i="19" s="1" a="1"/>
  <c r="F87" i="19" s="1"/>
  <c r="F88" i="19" s="1" a="1"/>
  <c r="F88" i="19" s="1"/>
  <c r="T194" i="18"/>
  <c r="T195" i="18" s="1" a="1"/>
  <c r="T195" i="18" s="1"/>
  <c r="T196" i="18" s="1" a="1"/>
  <c r="T196" i="18" s="1"/>
  <c r="T197" i="18" s="1" a="1"/>
  <c r="T197" i="18" s="1"/>
  <c r="F195" i="18" a="1"/>
  <c r="F195" i="18" s="1"/>
  <c r="F196" i="18" s="1" a="1"/>
  <c r="F196" i="18" s="1"/>
  <c r="F197" i="18" s="1" a="1"/>
  <c r="F197" i="18" s="1"/>
  <c r="F198" i="18" s="1" a="1"/>
  <c r="F198" i="18" s="1"/>
  <c r="AB32" i="12" a="1"/>
  <c r="AB32" i="12"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F45" i="9" a="1"/>
  <c r="F45" i="9" s="1"/>
  <c r="U44" i="9"/>
  <c r="U45" i="9" s="1" a="1"/>
  <c r="U45" i="9" s="1"/>
  <c r="F146" i="26" a="1"/>
  <c r="F146" i="26" s="1"/>
  <c r="F147" i="26" s="1" a="1"/>
  <c r="F147" i="26" s="1"/>
  <c r="F148" i="26" s="1" a="1"/>
  <c r="F148" i="26" s="1"/>
  <c r="F149" i="26" s="1" a="1"/>
  <c r="F149" i="26" s="1"/>
  <c r="F150" i="26" s="1" a="1"/>
  <c r="F150" i="26" s="1"/>
  <c r="F151" i="26" s="1" a="1"/>
  <c r="F151" i="26" s="1"/>
  <c r="T108" i="14"/>
  <c r="T114" i="18"/>
  <c r="T115" i="18" s="1" a="1"/>
  <c r="T115" i="18" s="1"/>
  <c r="F115" i="18" a="1"/>
  <c r="F115" i="18" s="1"/>
  <c r="F116" i="18" s="1" a="1"/>
  <c r="F116" i="18" s="1"/>
  <c r="F117" i="18" s="1" a="1"/>
  <c r="F117" i="18" s="1"/>
  <c r="T41" i="18"/>
  <c r="T42" i="18" s="1" a="1"/>
  <c r="T42" i="18" s="1"/>
  <c r="F42" i="18" a="1"/>
  <c r="F42" i="18" s="1"/>
  <c r="F35" i="13" a="1"/>
  <c r="F35" i="13" s="1"/>
  <c r="AB285" i="29"/>
  <c r="D286" i="29" a="1"/>
  <c r="D286" i="29" s="1"/>
  <c r="F341" i="30" a="1"/>
  <c r="F341" i="30" s="1"/>
  <c r="F342" i="30" s="1" a="1"/>
  <c r="F342" i="30" s="1"/>
  <c r="T289" i="34" a="1"/>
  <c r="T289" i="34" s="1"/>
  <c r="T290" i="34" a="1"/>
  <c r="T290" i="34" s="1"/>
  <c r="F57" i="35" a="1"/>
  <c r="F57" i="35" s="1"/>
  <c r="F58" i="35" s="1" a="1"/>
  <c r="F58" i="35" s="1"/>
  <c r="F197" i="30" a="1"/>
  <c r="F197" i="30" s="1"/>
  <c r="F198" i="30" s="1" a="1"/>
  <c r="F198" i="30" s="1"/>
  <c r="U45" i="8"/>
  <c r="F46" i="8" a="1"/>
  <c r="F46" i="8" s="1"/>
  <c r="F150" i="27" a="1"/>
  <c r="F150" i="27" s="1"/>
  <c r="F151" i="27" s="1" a="1"/>
  <c r="F151" i="27" s="1"/>
  <c r="F341" i="29" a="1"/>
  <c r="F341" i="29" s="1"/>
  <c r="F342" i="29" s="1" a="1"/>
  <c r="F342" i="29" s="1"/>
  <c r="F62" i="22" a="1"/>
  <c r="F62" i="22" s="1"/>
  <c r="K61" i="22"/>
  <c r="F343" i="30" l="1" a="1"/>
  <c r="F343" i="30" s="1"/>
  <c r="F36" i="13" a="1"/>
  <c r="F36" i="13" s="1"/>
  <c r="V48" i="13" a="1"/>
  <c r="V48" i="13" s="1"/>
  <c r="AB48" i="13" a="1"/>
  <c r="AB48" i="13" s="1"/>
  <c r="F54" i="20" a="1"/>
  <c r="F54" i="20" s="1"/>
  <c r="K53" i="20"/>
  <c r="F199" i="29" a="1"/>
  <c r="F199" i="29" s="1"/>
  <c r="F104" i="9" a="1"/>
  <c r="F104" i="9" s="1"/>
  <c r="U103" i="9"/>
  <c r="K33" i="19"/>
  <c r="F34" i="19" a="1"/>
  <c r="F34" i="19" s="1"/>
  <c r="F90" i="32" a="1"/>
  <c r="F90" i="32" s="1"/>
  <c r="AF89" i="32"/>
  <c r="F40" i="14" a="1"/>
  <c r="F40" i="14" s="1"/>
  <c r="F38" i="30" a="1"/>
  <c r="F38" i="30" s="1"/>
  <c r="BO37" i="30"/>
  <c r="AE42" i="35"/>
  <c r="AE41" i="35"/>
  <c r="AE44" i="35" s="1"/>
  <c r="F343" i="29" a="1"/>
  <c r="F343" i="29" s="1"/>
  <c r="F152" i="27" a="1"/>
  <c r="F152" i="27" s="1"/>
  <c r="F43" i="18" a="1"/>
  <c r="F43" i="18" s="1"/>
  <c r="T198" i="18"/>
  <c r="T199" i="18" s="1" a="1"/>
  <c r="T199" i="18" s="1"/>
  <c r="F199" i="18" a="1"/>
  <c r="F199" i="18" s="1"/>
  <c r="F200" i="18" s="1" a="1"/>
  <c r="F200" i="18" s="1"/>
  <c r="F201" i="18" s="1" a="1"/>
  <c r="F201" i="18" s="1"/>
  <c r="K48" i="22"/>
  <c r="F49" i="22" a="1"/>
  <c r="F49" i="22" s="1"/>
  <c r="T114" i="34"/>
  <c r="T115" i="34" s="1" a="1"/>
  <c r="T115" i="34" s="1"/>
  <c r="F115" i="34" a="1"/>
  <c r="F115" i="34" s="1"/>
  <c r="AF69" i="35" s="1"/>
  <c r="AF49" i="35"/>
  <c r="F73" i="20" a="1"/>
  <c r="F73" i="20" s="1"/>
  <c r="K72" i="20"/>
  <c r="F215" i="27" a="1"/>
  <c r="F215" i="27" s="1"/>
  <c r="F40" i="26" a="1"/>
  <c r="F40" i="26" s="1"/>
  <c r="D143" i="29" a="1"/>
  <c r="D143" i="29" s="1"/>
  <c r="D144" i="29" s="1" a="1"/>
  <c r="D144" i="29" s="1"/>
  <c r="D145" i="29" s="1" a="1"/>
  <c r="D145" i="29" s="1"/>
  <c r="D146" i="29" s="1" a="1"/>
  <c r="D146" i="29" s="1"/>
  <c r="D147" i="29" s="1" a="1"/>
  <c r="D147" i="29" s="1"/>
  <c r="D148" i="29" s="1"/>
  <c r="AB142" i="29"/>
  <c r="AB147" i="29"/>
  <c r="AB143" i="29"/>
  <c r="AB146" i="29"/>
  <c r="U46" i="8"/>
  <c r="F47" i="8" a="1"/>
  <c r="F47" i="8" s="1"/>
  <c r="U47" i="8" s="1"/>
  <c r="AF58" i="35"/>
  <c r="AE58" i="35"/>
  <c r="F59" i="35" a="1"/>
  <c r="F59" i="35" s="1"/>
  <c r="F60" i="35" s="1" a="1"/>
  <c r="F60" i="35" s="1"/>
  <c r="F61" i="35" s="1" a="1"/>
  <c r="F61" i="35" s="1"/>
  <c r="F62" i="35" s="1" a="1"/>
  <c r="F62" i="35" s="1"/>
  <c r="F63" i="35" s="1" a="1"/>
  <c r="F63" i="35" s="1"/>
  <c r="F64" i="35" s="1" a="1"/>
  <c r="F64" i="35" s="1"/>
  <c r="F63" i="22" a="1"/>
  <c r="F63" i="22" s="1"/>
  <c r="K62" i="22"/>
  <c r="F199" i="30" a="1"/>
  <c r="F199" i="30" s="1"/>
  <c r="F46" i="9" a="1"/>
  <c r="F46" i="9" s="1"/>
  <c r="D431" i="29" a="1"/>
  <c r="D431" i="29" s="1"/>
  <c r="D432" i="29" s="1" a="1"/>
  <c r="D432" i="29" s="1"/>
  <c r="D433" i="29" s="1" a="1"/>
  <c r="D433" i="29" s="1"/>
  <c r="D434" i="29" s="1" a="1"/>
  <c r="D434" i="29" s="1"/>
  <c r="D435" i="29" s="1" a="1"/>
  <c r="D435" i="29" s="1"/>
  <c r="D436" i="29" s="1"/>
  <c r="AB434" i="29"/>
  <c r="AB435" i="29"/>
  <c r="AB430" i="29"/>
  <c r="AB431" i="29"/>
  <c r="F35" i="22" a="1"/>
  <c r="F35" i="22" s="1"/>
  <c r="K34" i="22"/>
  <c r="K34" i="20"/>
  <c r="F35" i="20" a="1"/>
  <c r="F35" i="20" s="1"/>
  <c r="AN37" i="28"/>
  <c r="F38" i="28" a="1"/>
  <c r="F38" i="28" s="1"/>
  <c r="F94" i="26" a="1"/>
  <c r="F94" i="26" s="1"/>
  <c r="D287" i="30" a="1"/>
  <c r="D287" i="30" s="1"/>
  <c r="D288" i="30" s="1" a="1"/>
  <c r="D288" i="30" s="1"/>
  <c r="D289" i="30" s="1" a="1"/>
  <c r="D289" i="30" s="1"/>
  <c r="D290" i="30" s="1" a="1"/>
  <c r="D290" i="30" s="1"/>
  <c r="D291" i="30" s="1" a="1"/>
  <c r="D291" i="30" s="1"/>
  <c r="D292" i="30" s="1"/>
  <c r="AB287" i="30"/>
  <c r="AB286" i="30"/>
  <c r="AB291" i="30"/>
  <c r="AB290" i="30"/>
  <c r="T68" i="13"/>
  <c r="T69" i="13" s="1" a="1"/>
  <c r="T69" i="13" s="1"/>
  <c r="T70" i="13" s="1" a="1"/>
  <c r="T70" i="13" s="1"/>
  <c r="F69" i="13" a="1"/>
  <c r="F69" i="13" s="1"/>
  <c r="F70" i="13" s="1" a="1"/>
  <c r="F70" i="13" s="1"/>
  <c r="F71" i="13" s="1" a="1"/>
  <c r="F71" i="13" s="1"/>
  <c r="T71" i="13" s="1"/>
  <c r="D431" i="30" a="1"/>
  <c r="D431" i="30" s="1"/>
  <c r="D432" i="30" s="1" a="1"/>
  <c r="D432" i="30" s="1"/>
  <c r="D433" i="30" s="1" a="1"/>
  <c r="D433" i="30" s="1"/>
  <c r="D434" i="30" s="1" a="1"/>
  <c r="D434" i="30" s="1"/>
  <c r="D435" i="30" s="1" a="1"/>
  <c r="D435" i="30" s="1"/>
  <c r="D436" i="30" s="1"/>
  <c r="AB431" i="30"/>
  <c r="AB434" i="30"/>
  <c r="AB430" i="30"/>
  <c r="AB435" i="30"/>
  <c r="D287" i="29" a="1"/>
  <c r="D287" i="29" s="1"/>
  <c r="D288" i="29" s="1" a="1"/>
  <c r="D288" i="29" s="1"/>
  <c r="D289" i="29" s="1" a="1"/>
  <c r="D289" i="29" s="1"/>
  <c r="D290" i="29" s="1" a="1"/>
  <c r="D290" i="29" s="1"/>
  <c r="D291" i="29" s="1" a="1"/>
  <c r="D291" i="29" s="1"/>
  <c r="D292" i="29" s="1"/>
  <c r="AB291" i="29"/>
  <c r="AB286" i="29"/>
  <c r="AB287" i="29"/>
  <c r="AB290" i="29"/>
  <c r="T117" i="18"/>
  <c r="T118" i="18" s="1" a="1"/>
  <c r="T118" i="18" s="1"/>
  <c r="T119" i="18" s="1" a="1"/>
  <c r="T119" i="18" s="1"/>
  <c r="T120" i="18" s="1" a="1"/>
  <c r="T120" i="18" s="1"/>
  <c r="F118" i="18" a="1"/>
  <c r="F118" i="18" s="1"/>
  <c r="F119" i="18" s="1" a="1"/>
  <c r="F119" i="18" s="1"/>
  <c r="F120" i="18" s="1" a="1"/>
  <c r="F120" i="18" s="1"/>
  <c r="F121" i="18" s="1" a="1"/>
  <c r="F121" i="18" s="1"/>
  <c r="F152" i="26" a="1"/>
  <c r="F152" i="26" s="1"/>
  <c r="F153" i="26" s="1" a="1"/>
  <c r="F153" i="26" s="1"/>
  <c r="F154" i="26" s="1" a="1"/>
  <c r="F154" i="26" s="1"/>
  <c r="F155" i="26" s="1" a="1"/>
  <c r="F155" i="26" s="1"/>
  <c r="F156" i="26" s="1" a="1"/>
  <c r="F156" i="26" s="1"/>
  <c r="F157" i="26" s="1" a="1"/>
  <c r="F157" i="26" s="1"/>
  <c r="F158" i="26" s="1" a="1"/>
  <c r="F158" i="26" s="1"/>
  <c r="F159" i="26" s="1" a="1"/>
  <c r="F159" i="26" s="1"/>
  <c r="F160" i="26" s="1" a="1"/>
  <c r="F160" i="26" s="1"/>
  <c r="F161" i="26" s="1" a="1"/>
  <c r="F161" i="26" s="1"/>
  <c r="F162" i="26" s="1" a="1"/>
  <c r="F162" i="26" s="1"/>
  <c r="F163" i="26" s="1" a="1"/>
  <c r="F163" i="26" s="1"/>
  <c r="F164" i="26" s="1" a="1"/>
  <c r="F164" i="26" s="1"/>
  <c r="F165" i="26" s="1" a="1"/>
  <c r="F165" i="26" s="1"/>
  <c r="F166" i="26" s="1" a="1"/>
  <c r="F166" i="26" s="1"/>
  <c r="F167" i="26" s="1" a="1"/>
  <c r="F167" i="26" s="1"/>
  <c r="F168" i="26" s="1" a="1"/>
  <c r="F168" i="26" s="1"/>
  <c r="F169" i="26" s="1" a="1"/>
  <c r="F169" i="26" s="1"/>
  <c r="T88" i="19"/>
  <c r="T89" i="19" s="1" a="1"/>
  <c r="T89" i="19" s="1"/>
  <c r="T90" i="19" s="1" a="1"/>
  <c r="T90" i="19" s="1"/>
  <c r="F89" i="19" a="1"/>
  <c r="F89" i="19" s="1"/>
  <c r="F77" i="9" a="1"/>
  <c r="F77" i="9" s="1"/>
  <c r="U76" i="9"/>
  <c r="F208" i="28" a="1"/>
  <c r="F208" i="28" s="1"/>
  <c r="AN207" i="28"/>
  <c r="F78" i="35" a="1"/>
  <c r="F78" i="35" s="1"/>
  <c r="F79" i="35" s="1" a="1"/>
  <c r="F79" i="35" s="1"/>
  <c r="F80" i="35" s="1" a="1"/>
  <c r="F80" i="35" s="1"/>
  <c r="F81" i="35" s="1" a="1"/>
  <c r="F81" i="35" s="1"/>
  <c r="F82" i="35" s="1" a="1"/>
  <c r="F82" i="35" s="1"/>
  <c r="F83" i="35" s="1" a="1"/>
  <c r="F83" i="35" s="1"/>
  <c r="AF77" i="35"/>
  <c r="AE77" i="35"/>
  <c r="F55" i="29" a="1"/>
  <c r="F55" i="29" s="1"/>
  <c r="BO54" i="29"/>
  <c r="T92" i="13"/>
  <c r="T93" i="13" s="1" a="1"/>
  <c r="T93" i="13" s="1"/>
  <c r="T94" i="13" s="1" a="1"/>
  <c r="T94" i="13" s="1"/>
  <c r="F93" i="13" a="1"/>
  <c r="F93" i="13" s="1"/>
  <c r="F94" i="13" s="1" a="1"/>
  <c r="F94" i="13" s="1"/>
  <c r="F95" i="13" s="1" a="1"/>
  <c r="F95" i="13" s="1"/>
  <c r="T63" i="19"/>
  <c r="T64" i="19" s="1" a="1"/>
  <c r="T64" i="19" s="1"/>
  <c r="T65" i="19" s="1" a="1"/>
  <c r="T65" i="19" s="1"/>
  <c r="F64" i="19" a="1"/>
  <c r="F64" i="19" s="1"/>
  <c r="F40" i="32" a="1"/>
  <c r="F40" i="32" s="1"/>
  <c r="AF39" i="32"/>
  <c r="F123" i="28" a="1"/>
  <c r="F123" i="28" s="1"/>
  <c r="AN122" i="28"/>
  <c r="F89" i="27" a="1"/>
  <c r="F89" i="27" s="1"/>
  <c r="V35" i="12" a="1"/>
  <c r="V35" i="12"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AB35" i="12" a="1"/>
  <c r="AB35" i="12" s="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D143" i="30" a="1"/>
  <c r="D143" i="30" s="1"/>
  <c r="D144" i="30" s="1" a="1"/>
  <c r="D144" i="30" s="1"/>
  <c r="D145" i="30" s="1" a="1"/>
  <c r="D145" i="30" s="1"/>
  <c r="D146" i="30" s="1" a="1"/>
  <c r="D146" i="30" s="1"/>
  <c r="D147" i="30" s="1" a="1"/>
  <c r="D147" i="30" s="1"/>
  <c r="D148" i="30" s="1"/>
  <c r="AB146" i="30"/>
  <c r="AB142" i="30"/>
  <c r="AB147" i="30"/>
  <c r="AB143" i="30"/>
  <c r="AF41" i="35"/>
  <c r="AF44" i="35" s="1"/>
  <c r="AF42" i="35"/>
  <c r="F141" i="32" a="1"/>
  <c r="F141" i="32" s="1"/>
  <c r="AF140" i="32"/>
  <c r="D149" i="30" l="1" a="1"/>
  <c r="D149" i="30" s="1"/>
  <c r="AB148" i="30" a="1"/>
  <c r="AB148" i="30" s="1"/>
  <c r="AB436" i="30" a="1"/>
  <c r="AB436" i="30" s="1"/>
  <c r="D437" i="30" a="1"/>
  <c r="D437" i="30" s="1"/>
  <c r="AN38" i="28"/>
  <c r="F39" i="28" a="1"/>
  <c r="F39" i="28" s="1"/>
  <c r="K35" i="20"/>
  <c r="F36" i="20" a="1"/>
  <c r="F36" i="20" s="1"/>
  <c r="T95" i="13"/>
  <c r="AE79" i="35"/>
  <c r="F78" i="9" a="1"/>
  <c r="F78" i="9" s="1"/>
  <c r="F79" i="9" s="1" a="1"/>
  <c r="F79" i="9" s="1"/>
  <c r="F80" i="9" s="1" a="1"/>
  <c r="F80" i="9" s="1"/>
  <c r="F81" i="9" s="1" a="1"/>
  <c r="F81" i="9" s="1"/>
  <c r="U77" i="9"/>
  <c r="U78" i="9" s="1" a="1"/>
  <c r="U78" i="9" s="1"/>
  <c r="U79" i="9" s="1" a="1"/>
  <c r="U79" i="9" s="1"/>
  <c r="U80" i="9" s="1" a="1"/>
  <c r="U80" i="9" s="1"/>
  <c r="U81" i="9" s="1" a="1"/>
  <c r="U81" i="9" s="1"/>
  <c r="K35" i="22"/>
  <c r="F36" i="22" a="1"/>
  <c r="F36" i="22" s="1"/>
  <c r="K63" i="22"/>
  <c r="F64" i="22" a="1"/>
  <c r="F64" i="22" s="1"/>
  <c r="AB148" i="29" a="1"/>
  <c r="AB148" i="29" s="1"/>
  <c r="D149" i="29" a="1"/>
  <c r="D149" i="29" s="1"/>
  <c r="F216" i="27" a="1"/>
  <c r="F216" i="27" s="1"/>
  <c r="T216" i="27" s="1"/>
  <c r="T217" i="27" s="1" a="1"/>
  <c r="T217" i="27" s="1"/>
  <c r="T215" i="27"/>
  <c r="T201" i="18"/>
  <c r="T202" i="18" s="1" a="1"/>
  <c r="T202" i="18" s="1"/>
  <c r="T203" i="18" s="1" a="1"/>
  <c r="T203" i="18" s="1"/>
  <c r="T204" i="18" s="1" a="1"/>
  <c r="T204" i="18" s="1"/>
  <c r="F202" i="18" a="1"/>
  <c r="F202" i="18" s="1"/>
  <c r="F203" i="18" s="1" a="1"/>
  <c r="F203" i="18" s="1"/>
  <c r="F204" i="18" s="1" a="1"/>
  <c r="F204" i="18" s="1"/>
  <c r="F205" i="18" s="1" a="1"/>
  <c r="F205" i="18" s="1"/>
  <c r="F44" i="18" a="1"/>
  <c r="F44" i="18" s="1"/>
  <c r="BO37" i="29"/>
  <c r="K54" i="20"/>
  <c r="F55" i="20" a="1"/>
  <c r="F55" i="20" s="1"/>
  <c r="AB49" i="14" a="1"/>
  <c r="AB49" i="14" s="1"/>
  <c r="V49" i="14" a="1"/>
  <c r="V49" i="14" s="1"/>
  <c r="F344" i="30" a="1"/>
  <c r="F344" i="30" s="1"/>
  <c r="F142" i="32" a="1"/>
  <c r="F142" i="32" s="1"/>
  <c r="AF141" i="32"/>
  <c r="BO55" i="29"/>
  <c r="F56" i="29" a="1"/>
  <c r="F56" i="29" s="1"/>
  <c r="F122" i="18" a="1"/>
  <c r="F122" i="18" s="1"/>
  <c r="F123" i="18" s="1" a="1"/>
  <c r="F123" i="18" s="1"/>
  <c r="F124" i="18" s="1" a="1"/>
  <c r="F124" i="18" s="1"/>
  <c r="T121" i="18"/>
  <c r="T122" i="18" s="1" a="1"/>
  <c r="T122" i="18" s="1"/>
  <c r="F90" i="27" a="1"/>
  <c r="F90" i="27" s="1"/>
  <c r="T90" i="27" s="1"/>
  <c r="T91" i="27" s="1" a="1"/>
  <c r="T91" i="27" s="1"/>
  <c r="T89" i="27"/>
  <c r="AF79" i="35"/>
  <c r="F209" i="28" a="1"/>
  <c r="F209" i="28" s="1"/>
  <c r="AN208" i="28"/>
  <c r="AB292" i="29" a="1"/>
  <c r="AB292" i="29" s="1"/>
  <c r="D293" i="29" a="1"/>
  <c r="D293" i="29" s="1"/>
  <c r="AB433" i="30"/>
  <c r="AB432" i="30"/>
  <c r="AB432" i="29"/>
  <c r="AB433" i="29"/>
  <c r="AB436" i="29" a="1"/>
  <c r="AB436" i="29" s="1"/>
  <c r="D437" i="29" a="1"/>
  <c r="D437" i="29" s="1"/>
  <c r="AB144" i="29"/>
  <c r="AB145" i="29"/>
  <c r="F41" i="26" a="1"/>
  <c r="F41" i="26" s="1"/>
  <c r="F74" i="20" a="1"/>
  <c r="F74" i="20" s="1"/>
  <c r="K73" i="20"/>
  <c r="F344" i="29" a="1"/>
  <c r="F344" i="29" s="1"/>
  <c r="F39" i="30" a="1"/>
  <c r="F39" i="30" s="1"/>
  <c r="F91" i="32" a="1"/>
  <c r="F91" i="32" s="1"/>
  <c r="AF90" i="32"/>
  <c r="V72" i="13" a="1"/>
  <c r="V72" i="13" s="1"/>
  <c r="AB72" i="13" a="1"/>
  <c r="AB72" i="13" s="1"/>
  <c r="F170" i="26" a="1"/>
  <c r="F170" i="26" s="1"/>
  <c r="K169" i="26"/>
  <c r="AB288" i="29"/>
  <c r="AB289" i="29"/>
  <c r="AB289" i="30"/>
  <c r="AB288" i="30"/>
  <c r="F200" i="30" a="1"/>
  <c r="F200" i="30" s="1"/>
  <c r="AE60" i="35"/>
  <c r="F50" i="22" a="1"/>
  <c r="F50" i="22" s="1"/>
  <c r="K49" i="22"/>
  <c r="F153" i="27" a="1"/>
  <c r="F153" i="27" s="1"/>
  <c r="T153" i="27" s="1"/>
  <c r="T154" i="27" s="1" a="1"/>
  <c r="T154" i="27" s="1"/>
  <c r="T152" i="27"/>
  <c r="T40" i="14"/>
  <c r="T41" i="14" s="1" a="1"/>
  <c r="T41" i="14" s="1"/>
  <c r="T42" i="14" s="1" a="1"/>
  <c r="T42" i="14" s="1"/>
  <c r="T43" i="14" s="1" a="1"/>
  <c r="T43" i="14" s="1"/>
  <c r="T44" i="14" s="1" a="1"/>
  <c r="T44" i="14" s="1"/>
  <c r="T45" i="14" s="1" a="1"/>
  <c r="T45" i="14" s="1"/>
  <c r="T46" i="14" s="1" a="1"/>
  <c r="T46" i="14" s="1"/>
  <c r="T47" i="14" s="1" a="1"/>
  <c r="T47" i="14" s="1"/>
  <c r="F41" i="14" a="1"/>
  <c r="F41" i="14" s="1"/>
  <c r="U104" i="9"/>
  <c r="U105" i="9" s="1" a="1"/>
  <c r="U105" i="9" s="1"/>
  <c r="U106" i="9" s="1" a="1"/>
  <c r="U106" i="9" s="1"/>
  <c r="U107" i="9" s="1" a="1"/>
  <c r="U107" i="9" s="1"/>
  <c r="U108" i="9" s="1" a="1"/>
  <c r="U108" i="9" s="1"/>
  <c r="F105" i="9" a="1"/>
  <c r="F105" i="9" s="1"/>
  <c r="F106" i="9" s="1" a="1"/>
  <c r="F106" i="9" s="1"/>
  <c r="F107" i="9" s="1" a="1"/>
  <c r="F107" i="9" s="1"/>
  <c r="F108" i="9" s="1" a="1"/>
  <c r="F108" i="9" s="1"/>
  <c r="F200" i="29" a="1"/>
  <c r="F200" i="29" s="1"/>
  <c r="F37" i="13" a="1"/>
  <c r="F37" i="13" s="1"/>
  <c r="AB145" i="30"/>
  <c r="AB144" i="30"/>
  <c r="F124" i="28" a="1"/>
  <c r="F124" i="28" s="1"/>
  <c r="AN123" i="28"/>
  <c r="F65" i="19" a="1"/>
  <c r="F65" i="19" s="1"/>
  <c r="K64" i="19"/>
  <c r="AF40" i="32"/>
  <c r="F41" i="32"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F90" i="19" a="1"/>
  <c r="F90" i="19" s="1"/>
  <c r="K89" i="19"/>
  <c r="AB292" i="30" a="1"/>
  <c r="AB292" i="30" s="1"/>
  <c r="D293" i="30" a="1"/>
  <c r="D293" i="30" s="1"/>
  <c r="F95" i="26" a="1"/>
  <c r="F95" i="26" s="1"/>
  <c r="F96" i="26" s="1" a="1"/>
  <c r="F96" i="26" s="1"/>
  <c r="F97" i="26" s="1" a="1"/>
  <c r="F97" i="26" s="1"/>
  <c r="F98" i="26" s="1" a="1"/>
  <c r="F98" i="26" s="1"/>
  <c r="F99" i="26" s="1" a="1"/>
  <c r="F99" i="26" s="1"/>
  <c r="F100" i="26" s="1" a="1"/>
  <c r="F100" i="26" s="1"/>
  <c r="F101" i="26" s="1" a="1"/>
  <c r="F101" i="26" s="1"/>
  <c r="F102" i="26" s="1"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U46" i="9"/>
  <c r="F47" i="9" a="1"/>
  <c r="F47" i="9" s="1"/>
  <c r="AF60" i="35"/>
  <c r="AF30" i="35"/>
  <c r="AF50" i="35"/>
  <c r="AF31" i="35"/>
  <c r="AF68" i="35"/>
  <c r="K34" i="19"/>
  <c r="BO51" i="29" s="1"/>
  <c r="F35" i="19" a="1"/>
  <c r="F35" i="19" s="1"/>
  <c r="F66" i="19" l="1" a="1"/>
  <c r="F66" i="19" s="1"/>
  <c r="K65" i="19"/>
  <c r="F345" i="29" a="1"/>
  <c r="F345" i="29" s="1"/>
  <c r="T44" i="18"/>
  <c r="T45" i="18" s="1" a="1"/>
  <c r="T45" i="18" s="1"/>
  <c r="T46" i="18" s="1" a="1"/>
  <c r="T46" i="18" s="1"/>
  <c r="T47" i="18" s="1" a="1"/>
  <c r="T47" i="18" s="1"/>
  <c r="F45" i="18" a="1"/>
  <c r="F45" i="18" s="1"/>
  <c r="F36" i="19" a="1"/>
  <c r="F36" i="19" s="1"/>
  <c r="T35" i="19"/>
  <c r="T36" i="19" s="1" a="1"/>
  <c r="T36" i="19" s="1"/>
  <c r="T37" i="19" s="1" a="1"/>
  <c r="T37" i="19" s="1"/>
  <c r="K118" i="26"/>
  <c r="F119" i="26" a="1"/>
  <c r="F119" i="26" s="1"/>
  <c r="F51" i="22" a="1"/>
  <c r="F51" i="22" s="1"/>
  <c r="K50" i="22"/>
  <c r="F201" i="30" a="1"/>
  <c r="F201" i="30" s="1"/>
  <c r="F92" i="32"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AF91" i="32"/>
  <c r="F42" i="26" a="1"/>
  <c r="F42" i="26" s="1"/>
  <c r="AB437" i="29"/>
  <c r="D438" i="29"/>
  <c r="AN209" i="28"/>
  <c r="F210" i="28" a="1"/>
  <c r="F210" i="28" s="1"/>
  <c r="F143" i="32" a="1"/>
  <c r="F143" i="32" s="1"/>
  <c r="F144" i="32" s="1" a="1"/>
  <c r="F144" i="32" s="1"/>
  <c r="F145" i="32" s="1" a="1"/>
  <c r="F145" i="32" s="1"/>
  <c r="F146" i="32" s="1" a="1"/>
  <c r="F146" i="32" s="1"/>
  <c r="F147" i="32" s="1" a="1"/>
  <c r="F147" i="32" s="1"/>
  <c r="F148" i="32" s="1" a="1"/>
  <c r="F148" i="32" s="1"/>
  <c r="F149" i="32" s="1" a="1"/>
  <c r="F149" i="32" s="1"/>
  <c r="F150" i="32" s="1" a="1"/>
  <c r="F150" i="32" s="1"/>
  <c r="F151" i="32" s="1" a="1"/>
  <c r="F151" i="32" s="1"/>
  <c r="F152" i="32" s="1" a="1"/>
  <c r="F152" i="32" s="1"/>
  <c r="F153" i="32" s="1" a="1"/>
  <c r="F153" i="32" s="1"/>
  <c r="F154" i="32" s="1" a="1"/>
  <c r="F154" i="32" s="1"/>
  <c r="F155" i="32" s="1" a="1"/>
  <c r="F155" i="32" s="1"/>
  <c r="F156" i="32" s="1" a="1"/>
  <c r="F156" i="32" s="1"/>
  <c r="F157" i="32" s="1" a="1"/>
  <c r="F157" i="32" s="1"/>
  <c r="F158" i="32" s="1" a="1"/>
  <c r="F158" i="32" s="1"/>
  <c r="F159" i="32" s="1" a="1"/>
  <c r="F159" i="32" s="1"/>
  <c r="F160" i="32" s="1" a="1"/>
  <c r="F160" i="32" s="1"/>
  <c r="F161" i="32" s="1" a="1"/>
  <c r="F161" i="32" s="1"/>
  <c r="F162" i="32" s="1" a="1"/>
  <c r="F162" i="32" s="1"/>
  <c r="F163" i="32" s="1" a="1"/>
  <c r="F163" i="32" s="1"/>
  <c r="F164" i="32" s="1" a="1"/>
  <c r="F164" i="32" s="1"/>
  <c r="F165" i="32" s="1" a="1"/>
  <c r="F165" i="32" s="1"/>
  <c r="F166" i="32" s="1" a="1"/>
  <c r="F166" i="32" s="1"/>
  <c r="F167" i="32" s="1" a="1"/>
  <c r="F167" i="32" s="1"/>
  <c r="F168" i="32" s="1" a="1"/>
  <c r="F168" i="32" s="1"/>
  <c r="F169" i="32" s="1" a="1"/>
  <c r="F169" i="32" s="1"/>
  <c r="F170" i="32" s="1" a="1"/>
  <c r="F170" i="32" s="1"/>
  <c r="F171" i="32" s="1" a="1"/>
  <c r="F171" i="32" s="1"/>
  <c r="F172" i="32" s="1" a="1"/>
  <c r="F172" i="32" s="1"/>
  <c r="F173" i="32" s="1" a="1"/>
  <c r="F173" i="32" s="1"/>
  <c r="F174" i="32" s="1" a="1"/>
  <c r="F174" i="32" s="1"/>
  <c r="F175" i="32" s="1" a="1"/>
  <c r="F175" i="32" s="1"/>
  <c r="F176" i="32" s="1" a="1"/>
  <c r="F176" i="32" s="1"/>
  <c r="F177" i="32" s="1" a="1"/>
  <c r="F177" i="32" s="1"/>
  <c r="F178" i="32" s="1" a="1"/>
  <c r="F178" i="32" s="1"/>
  <c r="F179" i="32" s="1" a="1"/>
  <c r="F179" i="32" s="1"/>
  <c r="F180" i="32" s="1" a="1"/>
  <c r="F180" i="32" s="1"/>
  <c r="F181" i="32" s="1" a="1"/>
  <c r="F181" i="32" s="1"/>
  <c r="F182" i="32" s="1" a="1"/>
  <c r="F182" i="32" s="1"/>
  <c r="AF142" i="32"/>
  <c r="F206" i="18" a="1"/>
  <c r="F206" i="18" s="1"/>
  <c r="F207" i="18" s="1" a="1"/>
  <c r="F207" i="18" s="1"/>
  <c r="F208" i="18" s="1" a="1"/>
  <c r="F208" i="18" s="1"/>
  <c r="T205" i="18"/>
  <c r="T206" i="18" s="1" a="1"/>
  <c r="T206" i="18" s="1"/>
  <c r="AB149" i="29"/>
  <c r="D150" i="29"/>
  <c r="K36" i="22"/>
  <c r="F37" i="22" a="1"/>
  <c r="F37" i="22" s="1"/>
  <c r="F37" i="20" a="1"/>
  <c r="F37" i="20" s="1"/>
  <c r="K36" i="20"/>
  <c r="AB79" i="14" a="1"/>
  <c r="AB79" i="14" s="1"/>
  <c r="V79" i="14" a="1"/>
  <c r="V79" i="14" s="1"/>
  <c r="F48" i="9" a="1"/>
  <c r="F48" i="9" s="1"/>
  <c r="U47" i="9"/>
  <c r="U48" i="9" s="1" a="1"/>
  <c r="U48" i="9" s="1"/>
  <c r="D294" i="30"/>
  <c r="AB293" i="30"/>
  <c r="F201" i="29" a="1"/>
  <c r="F201" i="29" s="1"/>
  <c r="F42" i="14" a="1"/>
  <c r="F42" i="14" s="1"/>
  <c r="BO56" i="29"/>
  <c r="F57" i="29" a="1"/>
  <c r="F57" i="29" s="1"/>
  <c r="AB76" i="15" a="1"/>
  <c r="AB76" i="15" s="1"/>
  <c r="V76" i="15" a="1"/>
  <c r="V76" i="15" s="1"/>
  <c r="D150" i="30"/>
  <c r="AB149" i="30"/>
  <c r="AN124" i="28"/>
  <c r="F125" i="28" a="1"/>
  <c r="F125" i="28" s="1"/>
  <c r="F40" i="30" a="1"/>
  <c r="F40" i="30" s="1"/>
  <c r="F91" i="19" a="1"/>
  <c r="F91" i="19" s="1"/>
  <c r="K90" i="19"/>
  <c r="F38" i="13" a="1"/>
  <c r="F38" i="13" s="1"/>
  <c r="T37" i="13"/>
  <c r="T38" i="13" s="1" a="1"/>
  <c r="T38" i="13" s="1"/>
  <c r="T39" i="13" s="1" a="1"/>
  <c r="T39" i="13" s="1"/>
  <c r="K170" i="26"/>
  <c r="F171" i="26" a="1"/>
  <c r="F171" i="26" s="1"/>
  <c r="K74" i="20"/>
  <c r="F75" i="20" a="1"/>
  <c r="F75" i="20" s="1"/>
  <c r="D294" i="29"/>
  <c r="AB293" i="29"/>
  <c r="T124" i="18"/>
  <c r="T125" i="18" s="1" a="1"/>
  <c r="T125" i="18" s="1"/>
  <c r="T126" i="18" s="1" a="1"/>
  <c r="T126" i="18" s="1"/>
  <c r="T127" i="18" s="1" a="1"/>
  <c r="T127" i="18" s="1"/>
  <c r="F125" i="18" a="1"/>
  <c r="F125" i="18" s="1"/>
  <c r="F126" i="18" s="1" a="1"/>
  <c r="F126" i="18" s="1"/>
  <c r="F127" i="18" s="1" a="1"/>
  <c r="F127" i="18" s="1"/>
  <c r="F128" i="18" s="1" a="1"/>
  <c r="F128" i="18" s="1"/>
  <c r="F345" i="30" a="1"/>
  <c r="F345" i="30" s="1"/>
  <c r="K55" i="20"/>
  <c r="F56" i="20" a="1"/>
  <c r="F56" i="20" s="1"/>
  <c r="K64" i="22"/>
  <c r="F65" i="22" a="1"/>
  <c r="F65" i="22" s="1"/>
  <c r="F40" i="28" a="1"/>
  <c r="F40" i="28" s="1"/>
  <c r="AN39" i="28"/>
  <c r="AB437" i="30"/>
  <c r="D438" i="30"/>
  <c r="D439" i="30" l="1"/>
  <c r="AB438" i="30" a="1"/>
  <c r="AB438" i="30" s="1"/>
  <c r="K75" i="20"/>
  <c r="F76" i="20" a="1"/>
  <c r="F76" i="20" s="1"/>
  <c r="AB34" i="17" a="1"/>
  <c r="AB34" i="17" s="1"/>
  <c r="V34" i="17" a="1"/>
  <c r="V34" i="17" s="1"/>
  <c r="F43" i="14" a="1"/>
  <c r="F43" i="14" s="1"/>
  <c r="F49" i="9" a="1"/>
  <c r="F49" i="9" s="1"/>
  <c r="F120" i="26" a="1"/>
  <c r="F120" i="26" s="1"/>
  <c r="K119" i="26"/>
  <c r="F46" i="18" a="1"/>
  <c r="F46" i="18" s="1"/>
  <c r="F66" i="22" a="1"/>
  <c r="F66" i="22" s="1"/>
  <c r="K65" i="22"/>
  <c r="F41" i="28" a="1"/>
  <c r="F41" i="28" s="1"/>
  <c r="AN40" i="28"/>
  <c r="F57" i="20" a="1"/>
  <c r="F57" i="20" s="1"/>
  <c r="K56" i="20"/>
  <c r="K171" i="26"/>
  <c r="F172" i="26" a="1"/>
  <c r="F172" i="26" s="1"/>
  <c r="D151" i="30"/>
  <c r="AB150" i="30" a="1"/>
  <c r="AB150" i="30" s="1"/>
  <c r="F58" i="29" a="1"/>
  <c r="F58" i="29" s="1"/>
  <c r="BO57" i="29"/>
  <c r="D295" i="30"/>
  <c r="AB294" i="30" a="1"/>
  <c r="AB294" i="30" s="1"/>
  <c r="AB125" i="15" a="1"/>
  <c r="AB125" i="15" s="1"/>
  <c r="V125" i="15" a="1"/>
  <c r="V125" i="15" s="1"/>
  <c r="F202" i="30" a="1"/>
  <c r="F202" i="30" s="1"/>
  <c r="F346" i="29" a="1"/>
  <c r="F346" i="29" s="1"/>
  <c r="F346" i="30" a="1"/>
  <c r="F346" i="30" s="1"/>
  <c r="T128" i="18"/>
  <c r="T129" i="18" s="1" a="1"/>
  <c r="T129" i="18" s="1"/>
  <c r="F129" i="18" a="1"/>
  <c r="F129" i="18" s="1"/>
  <c r="F130" i="18" s="1" a="1"/>
  <c r="F130" i="18" s="1"/>
  <c r="F131" i="18" s="1" a="1"/>
  <c r="F131" i="18" s="1"/>
  <c r="D295" i="29"/>
  <c r="AB294" i="29" a="1"/>
  <c r="AB294" i="29" s="1"/>
  <c r="AN125" i="28"/>
  <c r="F126" i="28" a="1"/>
  <c r="F126" i="28" s="1"/>
  <c r="F38" i="20" a="1"/>
  <c r="F38" i="20" s="1"/>
  <c r="K37" i="20"/>
  <c r="F38" i="22" a="1"/>
  <c r="F38" i="22" s="1"/>
  <c r="K37" i="22"/>
  <c r="T208" i="18"/>
  <c r="T209" i="18" s="1" a="1"/>
  <c r="T209" i="18" s="1"/>
  <c r="T210" i="18" s="1" a="1"/>
  <c r="T210" i="18" s="1"/>
  <c r="T211" i="18" s="1" a="1"/>
  <c r="T211" i="18" s="1"/>
  <c r="F209" i="18" a="1"/>
  <c r="F209" i="18" s="1"/>
  <c r="F210" i="18" s="1" a="1"/>
  <c r="F210" i="18" s="1"/>
  <c r="F211" i="18" s="1" a="1"/>
  <c r="F211" i="18" s="1"/>
  <c r="F212" i="18" s="1" a="1"/>
  <c r="F212" i="18" s="1"/>
  <c r="F211" i="28" a="1"/>
  <c r="F211" i="28" s="1"/>
  <c r="AN210" i="28"/>
  <c r="F39" i="13" a="1"/>
  <c r="F39" i="13" s="1"/>
  <c r="T91" i="19"/>
  <c r="T92" i="19" s="1" a="1"/>
  <c r="T92" i="19" s="1"/>
  <c r="T93" i="19" s="1" a="1"/>
  <c r="T93" i="19" s="1"/>
  <c r="F92" i="19" a="1"/>
  <c r="F92" i="19" s="1"/>
  <c r="F93" i="19" s="1" a="1"/>
  <c r="F93" i="19" s="1"/>
  <c r="F94" i="19" s="1" a="1"/>
  <c r="F94" i="19" s="1"/>
  <c r="F41" i="30" a="1"/>
  <c r="F41" i="30" s="1"/>
  <c r="F202" i="29" a="1"/>
  <c r="F202" i="29" s="1"/>
  <c r="D151" i="29"/>
  <c r="AB150" i="29" a="1"/>
  <c r="AB150" i="29" s="1"/>
  <c r="D439" i="29"/>
  <c r="AB438" i="29" a="1"/>
  <c r="AB438" i="29" s="1"/>
  <c r="F43" i="26" a="1"/>
  <c r="F43" i="26" s="1"/>
  <c r="K51" i="22"/>
  <c r="F52" i="22" a="1"/>
  <c r="F52" i="22" s="1"/>
  <c r="F37" i="19" a="1"/>
  <c r="F37" i="19" s="1"/>
  <c r="T66" i="19"/>
  <c r="T67" i="19" s="1" a="1"/>
  <c r="T67" i="19" s="1"/>
  <c r="T68" i="19" s="1" a="1"/>
  <c r="T68" i="19" s="1"/>
  <c r="F67" i="19" a="1"/>
  <c r="F67" i="19" s="1"/>
  <c r="F68" i="19" s="1" a="1"/>
  <c r="F68" i="19" s="1"/>
  <c r="F69" i="19" s="1" a="1"/>
  <c r="F69" i="19" s="1"/>
  <c r="K52" i="22" l="1"/>
  <c r="F53" i="22" a="1"/>
  <c r="F53" i="22" s="1"/>
  <c r="F44" i="26" a="1"/>
  <c r="F44" i="26" s="1"/>
  <c r="F45" i="26" s="1" a="1"/>
  <c r="F45" i="26" s="1"/>
  <c r="D152" i="29" a="1"/>
  <c r="D152" i="29" s="1"/>
  <c r="AB151" i="29" a="1"/>
  <c r="AB151" i="29" s="1"/>
  <c r="T94" i="19"/>
  <c r="T95" i="19" s="1" a="1"/>
  <c r="T95" i="19" s="1"/>
  <c r="T96" i="19" s="1" a="1"/>
  <c r="T96" i="19" s="1"/>
  <c r="F95" i="19" a="1"/>
  <c r="F95" i="19" s="1"/>
  <c r="T212" i="18"/>
  <c r="T213" i="18" s="1" a="1"/>
  <c r="T213" i="18" s="1"/>
  <c r="T233" i="18" s="1" a="1"/>
  <c r="T233" i="18" s="1"/>
  <c r="T240" i="18" s="1" a="1"/>
  <c r="T240" i="18" s="1"/>
  <c r="T247" i="18" s="1" a="1"/>
  <c r="T247" i="18" s="1"/>
  <c r="F213" i="18" a="1"/>
  <c r="F213" i="18" s="1"/>
  <c r="F214" i="18" s="1" a="1"/>
  <c r="F214" i="18" s="1"/>
  <c r="F215" i="18" s="1" a="1"/>
  <c r="F215" i="18" s="1"/>
  <c r="K38" i="20"/>
  <c r="F39" i="20" a="1"/>
  <c r="F39" i="20" s="1"/>
  <c r="AB295" i="29" a="1"/>
  <c r="AB295" i="29" s="1"/>
  <c r="D296" i="29" a="1"/>
  <c r="D296" i="29" s="1"/>
  <c r="AB295" i="30" a="1"/>
  <c r="AB295" i="30" s="1"/>
  <c r="D296" i="30" a="1"/>
  <c r="D296" i="30" s="1"/>
  <c r="F59" i="29" a="1"/>
  <c r="F59" i="29" s="1"/>
  <c r="BO58" i="29"/>
  <c r="F58" i="20" a="1"/>
  <c r="F58" i="20" s="1"/>
  <c r="K57" i="20"/>
  <c r="AN41" i="28"/>
  <c r="F42" i="28" a="1"/>
  <c r="F42" i="28" s="1"/>
  <c r="F47" i="18" a="1"/>
  <c r="F47" i="18" s="1"/>
  <c r="F44" i="14" a="1"/>
  <c r="F44" i="14" s="1"/>
  <c r="F77" i="20" a="1"/>
  <c r="F77" i="20" s="1"/>
  <c r="K76" i="20"/>
  <c r="F212" i="28" a="1"/>
  <c r="F212" i="28" s="1"/>
  <c r="AN211" i="28"/>
  <c r="T131" i="18"/>
  <c r="T132" i="18" s="1" a="1"/>
  <c r="T132" i="18" s="1"/>
  <c r="T133" i="18" s="1" a="1"/>
  <c r="T133" i="18" s="1"/>
  <c r="T134" i="18" s="1" a="1"/>
  <c r="T134" i="18" s="1"/>
  <c r="F132" i="18" a="1"/>
  <c r="F132" i="18" s="1"/>
  <c r="F133" i="18" s="1" a="1"/>
  <c r="F133" i="18" s="1"/>
  <c r="F134" i="18" s="1" a="1"/>
  <c r="F134" i="18" s="1"/>
  <c r="F135" i="18" s="1" a="1"/>
  <c r="F135" i="18" s="1"/>
  <c r="F347" i="29" a="1"/>
  <c r="F347" i="29" s="1"/>
  <c r="F173" i="26" a="1"/>
  <c r="F173" i="26" s="1"/>
  <c r="K172" i="26"/>
  <c r="F203" i="29" a="1"/>
  <c r="F203" i="29" s="1"/>
  <c r="F38" i="19" a="1"/>
  <c r="F38" i="19" s="1"/>
  <c r="F203" i="30" a="1"/>
  <c r="F203" i="30" s="1"/>
  <c r="V41" i="17" a="1"/>
  <c r="V41" i="17" s="1"/>
  <c r="AB41" i="17" a="1"/>
  <c r="AB41" i="17" s="1"/>
  <c r="F67" i="22" a="1"/>
  <c r="F67" i="22" s="1"/>
  <c r="K66" i="22"/>
  <c r="F121" i="26" a="1"/>
  <c r="F121" i="26" s="1"/>
  <c r="K120" i="26"/>
  <c r="F50" i="9" a="1"/>
  <c r="F50" i="9" s="1"/>
  <c r="U49" i="9"/>
  <c r="V37" i="16" a="1"/>
  <c r="V37" i="16" s="1"/>
  <c r="AB37" i="16" a="1"/>
  <c r="AB37" i="16" s="1"/>
  <c r="AF56" i="35"/>
  <c r="AF47" i="35" s="1"/>
  <c r="AE56" i="35"/>
  <c r="AE47" i="35" s="1"/>
  <c r="D440" i="29" a="1"/>
  <c r="D440" i="29" s="1"/>
  <c r="AB439" i="29" a="1"/>
  <c r="AB439" i="29" s="1"/>
  <c r="T69" i="19"/>
  <c r="T70" i="19" s="1" a="1"/>
  <c r="T70" i="19" s="1"/>
  <c r="T71" i="19" s="1" a="1"/>
  <c r="T71" i="19" s="1"/>
  <c r="F70" i="19" a="1"/>
  <c r="F70" i="19" s="1"/>
  <c r="F42" i="30" a="1"/>
  <c r="F42" i="30" s="1"/>
  <c r="F40" i="13" a="1"/>
  <c r="F40" i="13" s="1"/>
  <c r="F39" i="22" a="1"/>
  <c r="F39" i="22" s="1"/>
  <c r="K38" i="22"/>
  <c r="F127" i="28" a="1"/>
  <c r="F127" i="28" s="1"/>
  <c r="AN126" i="28"/>
  <c r="F347" i="30" a="1"/>
  <c r="F347" i="30" s="1"/>
  <c r="AB151" i="30" a="1"/>
  <c r="AB151" i="30" s="1"/>
  <c r="D152" i="30" a="1"/>
  <c r="D152" i="30" s="1"/>
  <c r="D440" i="30" a="1"/>
  <c r="D440" i="30" s="1"/>
  <c r="AB439" i="30" a="1"/>
  <c r="AB439" i="30" s="1"/>
  <c r="D441" i="30" l="1" a="1"/>
  <c r="D441" i="30" s="1"/>
  <c r="AB440" i="30"/>
  <c r="F40" i="22" a="1"/>
  <c r="F40" i="22" s="1"/>
  <c r="T40" i="22" s="1"/>
  <c r="T39" i="22"/>
  <c r="D153" i="30" a="1"/>
  <c r="D153" i="30" s="1"/>
  <c r="AB152" i="30"/>
  <c r="F41" i="13" a="1"/>
  <c r="F41" i="13" s="1"/>
  <c r="T40" i="13"/>
  <c r="T41" i="13" s="1" a="1"/>
  <c r="T41" i="13" s="1"/>
  <c r="T42" i="13" s="1" a="1"/>
  <c r="T42" i="13" s="1"/>
  <c r="T43" i="13" s="1" a="1"/>
  <c r="T43" i="13" s="1"/>
  <c r="F43" i="30" a="1"/>
  <c r="F43" i="30" s="1"/>
  <c r="V95" i="18" a="1"/>
  <c r="V95" i="18" s="1"/>
  <c r="AB95" i="18" a="1"/>
  <c r="AB95" i="18" s="1"/>
  <c r="F51" i="9" a="1"/>
  <c r="F51" i="9" s="1"/>
  <c r="U50" i="9"/>
  <c r="U51" i="9" s="1" a="1"/>
  <c r="U51" i="9" s="1"/>
  <c r="U52" i="9" s="1" a="1"/>
  <c r="U52" i="9" s="1"/>
  <c r="U53" i="9" s="1" a="1"/>
  <c r="U53" i="9" s="1"/>
  <c r="U54" i="9" s="1" a="1"/>
  <c r="U54" i="9" s="1"/>
  <c r="F48" i="18" a="1"/>
  <c r="F48" i="18" s="1"/>
  <c r="AN42" i="28"/>
  <c r="F43" i="28" a="1"/>
  <c r="F43" i="28" s="1"/>
  <c r="F44" i="28" s="1" a="1"/>
  <c r="F44" i="28" s="1"/>
  <c r="F45" i="28" s="1" a="1"/>
  <c r="F45" i="28" s="1"/>
  <c r="D297" i="29" a="1"/>
  <c r="D297" i="29" s="1"/>
  <c r="AB296" i="29"/>
  <c r="T215" i="18"/>
  <c r="T216" i="18" s="1" a="1"/>
  <c r="T216" i="18" s="1"/>
  <c r="T217" i="18" s="1" a="1"/>
  <c r="T217" i="18" s="1"/>
  <c r="T218" i="18" s="1" a="1"/>
  <c r="T218" i="18" s="1"/>
  <c r="T219" i="18" s="1" a="1"/>
  <c r="T219" i="18" s="1"/>
  <c r="T220" i="18" s="1" a="1"/>
  <c r="T220" i="18" s="1"/>
  <c r="T221" i="18" s="1" a="1"/>
  <c r="T221" i="18" s="1"/>
  <c r="T222" i="18" s="1" a="1"/>
  <c r="T222" i="18" s="1"/>
  <c r="F216" i="18" a="1"/>
  <c r="F216" i="18" s="1"/>
  <c r="F217" i="18" s="1" a="1"/>
  <c r="F217" i="18" s="1"/>
  <c r="F218" i="18" s="1" a="1"/>
  <c r="F218" i="18" s="1"/>
  <c r="F219" i="18" s="1" a="1"/>
  <c r="F219" i="18" s="1"/>
  <c r="F220" i="18" s="1" a="1"/>
  <c r="F220" i="18" s="1"/>
  <c r="F221" i="18" s="1" a="1"/>
  <c r="F221" i="18" s="1"/>
  <c r="F222" i="18" s="1" a="1"/>
  <c r="F222" i="18" s="1"/>
  <c r="F223" i="18" s="1" a="1"/>
  <c r="F223" i="18" s="1"/>
  <c r="F224" i="18" s="1" a="1"/>
  <c r="F224" i="18" s="1"/>
  <c r="AB152" i="29"/>
  <c r="D153" i="29" a="1"/>
  <c r="D153" i="29" s="1"/>
  <c r="D441" i="29" a="1"/>
  <c r="D441" i="29" s="1"/>
  <c r="AB440" i="29"/>
  <c r="F68" i="22" a="1"/>
  <c r="F68" i="22" s="1"/>
  <c r="T67" i="22"/>
  <c r="F39" i="19" a="1"/>
  <c r="F39" i="19" s="1"/>
  <c r="T38" i="19"/>
  <c r="T39" i="19" s="1" a="1"/>
  <c r="T39" i="19" s="1"/>
  <c r="T40" i="19" s="1" a="1"/>
  <c r="T40" i="19" s="1"/>
  <c r="F174" i="26" a="1"/>
  <c r="F174" i="26" s="1"/>
  <c r="K173" i="26"/>
  <c r="F136" i="18" a="1"/>
  <c r="F136" i="18" s="1"/>
  <c r="F137" i="18" s="1" a="1"/>
  <c r="F137" i="18" s="1"/>
  <c r="F138" i="18" s="1" a="1"/>
  <c r="F138" i="18" s="1"/>
  <c r="T135" i="18"/>
  <c r="T136" i="18" s="1" a="1"/>
  <c r="T136" i="18" s="1"/>
  <c r="T156" i="18" s="1" a="1"/>
  <c r="T156" i="18" s="1"/>
  <c r="T163" i="18" s="1" a="1"/>
  <c r="T163" i="18" s="1"/>
  <c r="T170" i="18" s="1" a="1"/>
  <c r="T170" i="18" s="1"/>
  <c r="D297" i="30" a="1"/>
  <c r="D297" i="30" s="1"/>
  <c r="AB296" i="30"/>
  <c r="F96" i="19" a="1"/>
  <c r="F96" i="19" s="1"/>
  <c r="K95" i="19"/>
  <c r="F46" i="26" a="1"/>
  <c r="F46" i="26" s="1"/>
  <c r="F47" i="26" s="1" a="1"/>
  <c r="F47" i="26" s="1"/>
  <c r="F48" i="26" s="1" a="1"/>
  <c r="F48" i="26" s="1"/>
  <c r="F128" i="28" a="1"/>
  <c r="F128" i="28" s="1"/>
  <c r="F129" i="28" s="1" a="1"/>
  <c r="F129" i="28" s="1"/>
  <c r="F130" i="28" s="1" a="1"/>
  <c r="F130" i="28" s="1"/>
  <c r="AN127" i="28"/>
  <c r="K70" i="19"/>
  <c r="F71" i="19" a="1"/>
  <c r="F71" i="19" s="1"/>
  <c r="AE61" i="35"/>
  <c r="AE63" i="35"/>
  <c r="F78" i="20" a="1"/>
  <c r="F78" i="20" s="1"/>
  <c r="K77" i="20"/>
  <c r="F45" i="14" a="1"/>
  <c r="F45" i="14" s="1"/>
  <c r="K39" i="20"/>
  <c r="F40" i="20" a="1"/>
  <c r="F40" i="20" s="1"/>
  <c r="F348" i="30" a="1"/>
  <c r="F348" i="30" s="1"/>
  <c r="AF61" i="35"/>
  <c r="AF63" i="35"/>
  <c r="K121" i="26"/>
  <c r="F122" i="26" a="1"/>
  <c r="F122" i="26" s="1"/>
  <c r="V47" i="16" a="1"/>
  <c r="V47" i="16" s="1"/>
  <c r="AB47" i="16" a="1"/>
  <c r="AB47" i="16" s="1"/>
  <c r="AF75" i="35"/>
  <c r="AF66" i="35" s="1"/>
  <c r="AE75" i="35"/>
  <c r="AE66" i="35" s="1"/>
  <c r="F204" i="30" a="1"/>
  <c r="F204" i="30" s="1"/>
  <c r="F204" i="29" a="1"/>
  <c r="F204" i="29" s="1"/>
  <c r="F348" i="29" a="1"/>
  <c r="F348" i="29" s="1"/>
  <c r="AN212" i="28"/>
  <c r="F213" i="28" a="1"/>
  <c r="F213" i="28" s="1"/>
  <c r="F214" i="28" s="1" a="1"/>
  <c r="F214" i="28" s="1"/>
  <c r="F215" i="28" s="1" a="1"/>
  <c r="F215" i="28" s="1"/>
  <c r="K58" i="20"/>
  <c r="F59" i="20" a="1"/>
  <c r="F59" i="20" s="1"/>
  <c r="BO59" i="29"/>
  <c r="F60" i="29" a="1"/>
  <c r="F60" i="29" s="1"/>
  <c r="T53" i="22"/>
  <c r="F54" i="22" a="1"/>
  <c r="F54" i="22" s="1"/>
  <c r="T54" i="22" s="1"/>
  <c r="BO60" i="29" l="1"/>
  <c r="F61" i="29" a="1"/>
  <c r="F61" i="29" s="1"/>
  <c r="K59" i="20"/>
  <c r="F60" i="20" a="1"/>
  <c r="F60" i="20" s="1"/>
  <c r="AF80" i="35"/>
  <c r="AF82" i="35"/>
  <c r="F175" i="26" a="1"/>
  <c r="F175" i="26" s="1"/>
  <c r="K174" i="26"/>
  <c r="F205" i="30" a="1"/>
  <c r="F205" i="30" s="1"/>
  <c r="F349" i="30" a="1"/>
  <c r="F349" i="30" s="1"/>
  <c r="F49" i="26" a="1"/>
  <c r="F49" i="26" s="1"/>
  <c r="T138" i="18"/>
  <c r="T139" i="18" s="1" a="1"/>
  <c r="T139" i="18" s="1"/>
  <c r="T140" i="18" s="1" a="1"/>
  <c r="T140" i="18" s="1"/>
  <c r="T141" i="18" s="1" a="1"/>
  <c r="T141" i="18" s="1"/>
  <c r="T142" i="18" s="1" a="1"/>
  <c r="T142" i="18" s="1"/>
  <c r="T143" i="18" s="1" a="1"/>
  <c r="T143" i="18" s="1"/>
  <c r="T144" i="18" s="1" a="1"/>
  <c r="T144" i="18" s="1"/>
  <c r="T145" i="18" s="1" a="1"/>
  <c r="T145" i="18" s="1"/>
  <c r="F139" i="18" a="1"/>
  <c r="F139" i="18" s="1"/>
  <c r="F140" i="18" s="1" a="1"/>
  <c r="F140" i="18" s="1"/>
  <c r="F141" i="18" s="1" a="1"/>
  <c r="F141" i="18" s="1"/>
  <c r="F142" i="18" s="1" a="1"/>
  <c r="F142" i="18" s="1"/>
  <c r="F143" i="18" s="1" a="1"/>
  <c r="F143" i="18" s="1"/>
  <c r="F144" i="18" s="1" a="1"/>
  <c r="F144" i="18" s="1"/>
  <c r="F145" i="18" s="1" a="1"/>
  <c r="F145" i="18" s="1"/>
  <c r="F146" i="18" s="1" a="1"/>
  <c r="F146" i="18" s="1"/>
  <c r="F147" i="18" s="1" a="1"/>
  <c r="F147" i="18" s="1"/>
  <c r="D154" i="29"/>
  <c r="AB153" i="29"/>
  <c r="F52" i="9" a="1"/>
  <c r="F52" i="9" s="1"/>
  <c r="F44" i="30" a="1"/>
  <c r="F44" i="30" s="1"/>
  <c r="AB153" i="30"/>
  <c r="D154" i="30"/>
  <c r="D442" i="30"/>
  <c r="AB441" i="30"/>
  <c r="K122" i="26"/>
  <c r="F123" i="26" a="1"/>
  <c r="F123" i="26" s="1"/>
  <c r="F131" i="28" a="1"/>
  <c r="F131" i="28" s="1"/>
  <c r="F216" i="28" a="1"/>
  <c r="F216" i="28" s="1"/>
  <c r="F349" i="29" a="1"/>
  <c r="F349" i="29" s="1"/>
  <c r="AE80" i="35"/>
  <c r="AE82" i="35"/>
  <c r="F46" i="14" a="1"/>
  <c r="F46" i="14" s="1"/>
  <c r="F72" i="19" a="1"/>
  <c r="F72" i="19" s="1"/>
  <c r="K71" i="19"/>
  <c r="AB297" i="30"/>
  <c r="D298" i="30"/>
  <c r="T68" i="22"/>
  <c r="AF35" i="26"/>
  <c r="AG35" i="26"/>
  <c r="AN45" i="28"/>
  <c r="F46" i="28" a="1"/>
  <c r="F46" i="28" s="1"/>
  <c r="F49" i="18" a="1"/>
  <c r="F49" i="18" s="1"/>
  <c r="T48" i="18"/>
  <c r="T49" i="18" s="1" a="1"/>
  <c r="T49" i="18" s="1"/>
  <c r="V52" i="19" a="1"/>
  <c r="V52" i="19" s="1"/>
  <c r="AB52" i="19" a="1"/>
  <c r="AB52" i="19" s="1"/>
  <c r="F42" i="13" a="1"/>
  <c r="F42" i="13" s="1"/>
  <c r="K39" i="19"/>
  <c r="F40" i="19" a="1"/>
  <c r="F40" i="19" s="1"/>
  <c r="F205" i="29" a="1"/>
  <c r="F205" i="29" s="1"/>
  <c r="V177" i="18" a="1"/>
  <c r="V177" i="18" s="1"/>
  <c r="AB177" i="18" a="1"/>
  <c r="AB177" i="18" s="1"/>
  <c r="F41" i="20" a="1"/>
  <c r="F41" i="20" s="1"/>
  <c r="K40" i="20"/>
  <c r="K78" i="20"/>
  <c r="F79" i="20" a="1"/>
  <c r="F79" i="20" s="1"/>
  <c r="F97" i="19" a="1"/>
  <c r="F97" i="19" s="1"/>
  <c r="K96" i="19"/>
  <c r="D442" i="29"/>
  <c r="AB441" i="29"/>
  <c r="T224" i="18"/>
  <c r="T225" i="18" s="1" a="1"/>
  <c r="T225" i="18" s="1"/>
  <c r="T226" i="18" s="1" a="1"/>
  <c r="T226" i="18" s="1"/>
  <c r="T227" i="18" s="1" a="1"/>
  <c r="T227" i="18" s="1"/>
  <c r="T228" i="18" s="1" a="1"/>
  <c r="T228" i="18" s="1"/>
  <c r="T229" i="18" s="1" a="1"/>
  <c r="T229" i="18" s="1"/>
  <c r="T230" i="18" s="1" a="1"/>
  <c r="T230" i="18" s="1"/>
  <c r="T231" i="18" s="1" a="1"/>
  <c r="T231" i="18" s="1"/>
  <c r="F225" i="18" a="1"/>
  <c r="F225" i="18" s="1"/>
  <c r="F226" i="18" s="1" a="1"/>
  <c r="F226" i="18" s="1"/>
  <c r="F227" i="18" s="1" a="1"/>
  <c r="F227" i="18" s="1"/>
  <c r="F228" i="18" s="1" a="1"/>
  <c r="F228" i="18" s="1"/>
  <c r="F229" i="18" s="1" a="1"/>
  <c r="F229" i="18" s="1"/>
  <c r="F230" i="18" s="1" a="1"/>
  <c r="F230" i="18" s="1"/>
  <c r="F231" i="18" s="1" a="1"/>
  <c r="F231" i="18" s="1"/>
  <c r="F232" i="18" s="1" a="1"/>
  <c r="F232" i="18" s="1"/>
  <c r="AB297" i="29"/>
  <c r="D298" i="29"/>
  <c r="BO52" i="29" l="1"/>
  <c r="F47" i="14" a="1"/>
  <c r="F47" i="14" s="1"/>
  <c r="F350" i="29" a="1"/>
  <c r="F350" i="29" s="1"/>
  <c r="F351" i="29" s="1" a="1"/>
  <c r="F351" i="29" s="1"/>
  <c r="F217" i="28" a="1"/>
  <c r="F217" i="28" s="1"/>
  <c r="F218" i="28" s="1" a="1"/>
  <c r="F218" i="28" s="1"/>
  <c r="F219" i="28" s="1" a="1"/>
  <c r="F219" i="28" s="1"/>
  <c r="F220" i="28" s="1" a="1"/>
  <c r="F220" i="28" s="1"/>
  <c r="F221" i="28" s="1" a="1"/>
  <c r="F221" i="28" s="1"/>
  <c r="F222" i="28" s="1" a="1"/>
  <c r="F222" i="28" s="1"/>
  <c r="F223" i="28" s="1" a="1"/>
  <c r="F223" i="28" s="1"/>
  <c r="F224" i="28" s="1" a="1"/>
  <c r="F224" i="28" s="1"/>
  <c r="F132" i="28" a="1"/>
  <c r="F132" i="28" s="1"/>
  <c r="F133" i="28" s="1" a="1"/>
  <c r="F133" i="28" s="1"/>
  <c r="F134" i="28" s="1" a="1"/>
  <c r="F134" i="28" s="1"/>
  <c r="F135" i="28" s="1" a="1"/>
  <c r="F135" i="28" s="1"/>
  <c r="F136" i="28" s="1" a="1"/>
  <c r="F136" i="28" s="1"/>
  <c r="F137" i="28" s="1" a="1"/>
  <c r="F137" i="28" s="1"/>
  <c r="F138" i="28" s="1" a="1"/>
  <c r="F138" i="28" s="1"/>
  <c r="F139" i="28" s="1" a="1"/>
  <c r="F139" i="28" s="1"/>
  <c r="AB442" i="30" a="1"/>
  <c r="AB442" i="30" s="1"/>
  <c r="D443" i="30" a="1"/>
  <c r="D443" i="30" s="1"/>
  <c r="F53" i="9" a="1"/>
  <c r="F53" i="9" s="1"/>
  <c r="AB154" i="29" a="1"/>
  <c r="AB154" i="29" s="1"/>
  <c r="D155" i="29" a="1"/>
  <c r="D155" i="29" s="1"/>
  <c r="F350" i="30" a="1"/>
  <c r="F350" i="30" s="1"/>
  <c r="F351" i="30" s="1" a="1"/>
  <c r="F351" i="30" s="1"/>
  <c r="F62" i="29" a="1"/>
  <c r="F62" i="29" s="1"/>
  <c r="F63" i="29" s="1" a="1"/>
  <c r="F63" i="29" s="1"/>
  <c r="BO61" i="29"/>
  <c r="AB298" i="29" a="1"/>
  <c r="AB298" i="29" s="1"/>
  <c r="D299" i="29" a="1"/>
  <c r="D299" i="29" s="1"/>
  <c r="T97" i="19"/>
  <c r="T98" i="19" s="1" a="1"/>
  <c r="T98" i="19" s="1"/>
  <c r="T99" i="19" s="1" a="1"/>
  <c r="T99" i="19" s="1"/>
  <c r="F98" i="19" a="1"/>
  <c r="F98" i="19" s="1"/>
  <c r="F99" i="19" s="1" a="1"/>
  <c r="F99" i="19" s="1"/>
  <c r="F100" i="19" s="1" a="1"/>
  <c r="F100" i="19" s="1"/>
  <c r="F43" i="13" a="1"/>
  <c r="F43" i="13" s="1"/>
  <c r="T232" i="18"/>
  <c r="F233" i="18" a="1"/>
  <c r="F233" i="18" s="1"/>
  <c r="F234" i="18" s="1" a="1"/>
  <c r="F234" i="18" s="1"/>
  <c r="F235" i="18" s="1" a="1"/>
  <c r="F235" i="18" s="1"/>
  <c r="K79" i="20"/>
  <c r="F80" i="20" a="1"/>
  <c r="F80" i="20" s="1"/>
  <c r="V46" i="20" a="1"/>
  <c r="V46" i="20" s="1"/>
  <c r="AB46" i="20" a="1"/>
  <c r="AB46" i="20" s="1"/>
  <c r="K123" i="26"/>
  <c r="F124" i="26" a="1"/>
  <c r="F124" i="26" s="1"/>
  <c r="AB154" i="30" a="1"/>
  <c r="AB154" i="30" s="1"/>
  <c r="D155" i="30" a="1"/>
  <c r="D155" i="30" s="1"/>
  <c r="AB77" i="19" a="1"/>
  <c r="AB77" i="19" s="1"/>
  <c r="V77" i="19" a="1"/>
  <c r="V77" i="19" s="1"/>
  <c r="D443" i="29" a="1"/>
  <c r="D443" i="29" s="1"/>
  <c r="AB442" i="29" a="1"/>
  <c r="AB442" i="29" s="1"/>
  <c r="AB298" i="30" a="1"/>
  <c r="AB298" i="30" s="1"/>
  <c r="D299" i="30" a="1"/>
  <c r="D299" i="30" s="1"/>
  <c r="F73" i="19" a="1"/>
  <c r="F73" i="19" s="1"/>
  <c r="F74" i="19" s="1" a="1"/>
  <c r="F74" i="19" s="1"/>
  <c r="F75" i="19" s="1" a="1"/>
  <c r="F75" i="19" s="1"/>
  <c r="T72" i="19"/>
  <c r="T73" i="19" s="1" a="1"/>
  <c r="T73" i="19" s="1"/>
  <c r="T74" i="19" s="1" a="1"/>
  <c r="T74" i="19" s="1"/>
  <c r="F42" i="20" a="1"/>
  <c r="F42" i="20" s="1"/>
  <c r="K41" i="20"/>
  <c r="F206" i="29" a="1"/>
  <c r="F206" i="29" s="1"/>
  <c r="F207" i="29" s="1" a="1"/>
  <c r="F207" i="29" s="1"/>
  <c r="K40" i="19"/>
  <c r="F41" i="19" a="1"/>
  <c r="F41" i="19" s="1"/>
  <c r="AN46" i="28"/>
  <c r="F47" i="28" a="1"/>
  <c r="F47" i="28" s="1"/>
  <c r="F48" i="28" s="1" a="1"/>
  <c r="F48" i="28" s="1"/>
  <c r="F49" i="28" s="1" a="1"/>
  <c r="F49" i="28" s="1"/>
  <c r="F50" i="28" s="1" a="1"/>
  <c r="F50" i="28" s="1"/>
  <c r="F51" i="28" s="1" a="1"/>
  <c r="F51" i="28" s="1"/>
  <c r="F52" i="28" s="1" a="1"/>
  <c r="F52" i="28" s="1"/>
  <c r="F53" i="28" s="1" a="1"/>
  <c r="F53" i="28" s="1"/>
  <c r="F54" i="28" s="1" a="1"/>
  <c r="F54" i="28" s="1"/>
  <c r="F50" i="26" a="1"/>
  <c r="F50" i="26" s="1"/>
  <c r="F206" i="30" a="1"/>
  <c r="F206" i="30" s="1"/>
  <c r="F207" i="30" s="1" a="1"/>
  <c r="F207" i="30" s="1"/>
  <c r="F61" i="20" a="1"/>
  <c r="F61" i="20" s="1"/>
  <c r="K60" i="20"/>
  <c r="F50" i="18" a="1"/>
  <c r="F50" i="18" s="1"/>
  <c r="F45" i="30" a="1"/>
  <c r="F45" i="30" s="1"/>
  <c r="F148" i="18" a="1"/>
  <c r="F148" i="18" s="1"/>
  <c r="F149" i="18" s="1" a="1"/>
  <c r="F149" i="18" s="1"/>
  <c r="F150" i="18" s="1" a="1"/>
  <c r="F150" i="18" s="1"/>
  <c r="F151" i="18" s="1" a="1"/>
  <c r="F151" i="18" s="1"/>
  <c r="F152" i="18" s="1" a="1"/>
  <c r="F152" i="18" s="1"/>
  <c r="F153" i="18" s="1" a="1"/>
  <c r="F153" i="18" s="1"/>
  <c r="F154" i="18" s="1" a="1"/>
  <c r="F154" i="18" s="1"/>
  <c r="F155" i="18" s="1" a="1"/>
  <c r="F155" i="18" s="1"/>
  <c r="T147" i="18"/>
  <c r="T148" i="18" s="1" a="1"/>
  <c r="T148" i="18" s="1"/>
  <c r="T149" i="18" s="1" a="1"/>
  <c r="T149" i="18" s="1"/>
  <c r="T150" i="18" s="1" a="1"/>
  <c r="T150" i="18" s="1"/>
  <c r="T151" i="18" s="1" a="1"/>
  <c r="T151" i="18" s="1"/>
  <c r="T152" i="18" s="1" a="1"/>
  <c r="T152" i="18" s="1"/>
  <c r="T153" i="18" s="1" a="1"/>
  <c r="T153" i="18" s="1"/>
  <c r="T154" i="18" s="1" a="1"/>
  <c r="T154" i="18" s="1"/>
  <c r="K175" i="26"/>
  <c r="F176" i="26" a="1"/>
  <c r="F176" i="26" s="1"/>
  <c r="T155" i="18" l="1"/>
  <c r="F156" i="18" a="1"/>
  <c r="F156" i="18" s="1"/>
  <c r="F157" i="18" s="1" a="1"/>
  <c r="F157" i="18" s="1"/>
  <c r="F158" i="18" s="1" a="1"/>
  <c r="F158" i="18" s="1"/>
  <c r="F208" i="30" a="1"/>
  <c r="F208" i="30" s="1"/>
  <c r="F55" i="28" a="1"/>
  <c r="F55" i="28" s="1"/>
  <c r="T54" i="28"/>
  <c r="F43" i="20" a="1"/>
  <c r="F43" i="20" s="1"/>
  <c r="K42" i="20"/>
  <c r="AB65" i="20" a="1"/>
  <c r="AB65" i="20" s="1"/>
  <c r="V65" i="20" a="1"/>
  <c r="V65" i="20" s="1"/>
  <c r="V39" i="21" a="1"/>
  <c r="V39" i="21" s="1"/>
  <c r="AB39" i="21" a="1"/>
  <c r="AB39" i="21" s="1"/>
  <c r="F44" i="13" a="1"/>
  <c r="F44" i="13" s="1"/>
  <c r="F64" i="29" a="1"/>
  <c r="F64" i="29" s="1"/>
  <c r="BO63" i="29"/>
  <c r="F352" i="30" a="1"/>
  <c r="F352" i="30" s="1"/>
  <c r="F54" i="9" a="1"/>
  <c r="F54" i="9" s="1"/>
  <c r="AO48" i="24" s="1"/>
  <c r="T224" i="28"/>
  <c r="F225" i="28" a="1"/>
  <c r="F225" i="28" s="1"/>
  <c r="F42" i="19" a="1"/>
  <c r="F42" i="19" s="1"/>
  <c r="T41" i="19"/>
  <c r="T42" i="19" s="1" a="1"/>
  <c r="T42" i="19" s="1"/>
  <c r="T43" i="19" s="1" a="1"/>
  <c r="T43" i="19" s="1"/>
  <c r="K124" i="26"/>
  <c r="F125" i="26" a="1"/>
  <c r="F125" i="26" s="1"/>
  <c r="K80" i="20"/>
  <c r="F81" i="20" a="1"/>
  <c r="F81" i="20" s="1"/>
  <c r="T100" i="19"/>
  <c r="T101" i="19" s="1" a="1"/>
  <c r="T101" i="19" s="1"/>
  <c r="F101" i="19" a="1"/>
  <c r="F101" i="19" s="1"/>
  <c r="D444" i="30" a="1"/>
  <c r="D444" i="30" s="1"/>
  <c r="AB443" i="30"/>
  <c r="F48" i="14" a="1"/>
  <c r="F48" i="14" s="1"/>
  <c r="AJ39" i="32" s="1"/>
  <c r="F46" i="30" a="1"/>
  <c r="F46" i="30" s="1"/>
  <c r="F51" i="18" a="1"/>
  <c r="F51" i="18" s="1"/>
  <c r="K61" i="20"/>
  <c r="F62" i="20" a="1"/>
  <c r="F62" i="20" s="1"/>
  <c r="T75" i="19"/>
  <c r="T76" i="19" s="1" a="1"/>
  <c r="T76" i="19" s="1"/>
  <c r="F76" i="19" a="1"/>
  <c r="F76" i="19" s="1"/>
  <c r="D444" i="29" a="1"/>
  <c r="D444" i="29" s="1"/>
  <c r="AB443" i="29"/>
  <c r="T139" i="28"/>
  <c r="F140" i="28" a="1"/>
  <c r="F140" i="28" s="1"/>
  <c r="F352" i="29" a="1"/>
  <c r="F352" i="29" s="1"/>
  <c r="K176" i="26"/>
  <c r="F177" i="26" a="1"/>
  <c r="F177" i="26" s="1"/>
  <c r="F51" i="26"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F208" i="29" a="1"/>
  <c r="F208" i="29" s="1"/>
  <c r="AB299" i="30"/>
  <c r="D300" i="30" a="1"/>
  <c r="D300" i="30" s="1"/>
  <c r="AB155" i="30"/>
  <c r="D156" i="30" a="1"/>
  <c r="D156" i="30" s="1"/>
  <c r="F236" i="18" a="1"/>
  <c r="F236" i="18" s="1"/>
  <c r="F237" i="18" s="1" a="1"/>
  <c r="F237" i="18" s="1"/>
  <c r="F238" i="18" s="1" a="1"/>
  <c r="F238" i="18" s="1"/>
  <c r="F239" i="18" s="1" a="1"/>
  <c r="F239" i="18" s="1"/>
  <c r="T235" i="18"/>
  <c r="T236" i="18" s="1" a="1"/>
  <c r="T236" i="18" s="1"/>
  <c r="T237" i="18" s="1" a="1"/>
  <c r="T237" i="18" s="1"/>
  <c r="T238" i="18" s="1" a="1"/>
  <c r="T238" i="18" s="1"/>
  <c r="AB299" i="29"/>
  <c r="D300" i="29" a="1"/>
  <c r="D300" i="29" s="1"/>
  <c r="AB155" i="29"/>
  <c r="D156" i="29" a="1"/>
  <c r="D156" i="29" s="1"/>
  <c r="AV40" i="24" l="1"/>
  <c r="AY173" i="29"/>
  <c r="AP40" i="24"/>
  <c r="AO29" i="30"/>
  <c r="AJ39" i="19"/>
  <c r="AT32" i="24"/>
  <c r="AR48" i="24"/>
  <c r="AF39" i="19"/>
  <c r="BA317" i="30"/>
  <c r="AI39" i="19"/>
  <c r="BB29" i="29"/>
  <c r="AD140" i="32"/>
  <c r="AK29" i="30"/>
  <c r="AN29" i="29"/>
  <c r="AH39" i="19"/>
  <c r="AQ32" i="24"/>
  <c r="AU29" i="29"/>
  <c r="AO317" i="29"/>
  <c r="AG48" i="24"/>
  <c r="AW48" i="24"/>
  <c r="AR317" i="29"/>
  <c r="AE39" i="19"/>
  <c r="AD134" i="32"/>
  <c r="F68" i="26" a="1"/>
  <c r="F68" i="26" s="1"/>
  <c r="K67" i="26"/>
  <c r="F43" i="19" a="1"/>
  <c r="F43" i="19" s="1"/>
  <c r="T225" i="28"/>
  <c r="T226" i="28" s="1" a="1"/>
  <c r="T226" i="28" s="1"/>
  <c r="T227" i="28" s="1" a="1"/>
  <c r="T227" i="28" s="1"/>
  <c r="T228" i="28" s="1" a="1"/>
  <c r="T228" i="28" s="1"/>
  <c r="T229" i="28" s="1" a="1"/>
  <c r="T229" i="28" s="1"/>
  <c r="T230" i="28" s="1" a="1"/>
  <c r="T230" i="28" s="1"/>
  <c r="T231" i="28" s="1" a="1"/>
  <c r="T231" i="28" s="1"/>
  <c r="T232" i="28" s="1" a="1"/>
  <c r="T232" i="28" s="1"/>
  <c r="T233" i="28" s="1" a="1"/>
  <c r="T233" i="28" s="1"/>
  <c r="T234" i="28" s="1" a="1"/>
  <c r="T234" i="28" s="1"/>
  <c r="T235" i="28" s="1" a="1"/>
  <c r="T235" i="28" s="1"/>
  <c r="T236" i="28" s="1" a="1"/>
  <c r="T236" i="28" s="1"/>
  <c r="T237" i="28" s="1" a="1"/>
  <c r="T237" i="28" s="1"/>
  <c r="T238" i="28" s="1" a="1"/>
  <c r="T238" i="28" s="1"/>
  <c r="T239" i="28" s="1" a="1"/>
  <c r="T239" i="28" s="1"/>
  <c r="T240" i="28" s="1" a="1"/>
  <c r="T240" i="28" s="1"/>
  <c r="T241" i="28" s="1" a="1"/>
  <c r="T241" i="28" s="1"/>
  <c r="T242" i="28" s="1" a="1"/>
  <c r="T242" i="28" s="1"/>
  <c r="T243" i="28" s="1" a="1"/>
  <c r="T243" i="28" s="1"/>
  <c r="T244" i="28" s="1" a="1"/>
  <c r="T244" i="28" s="1"/>
  <c r="T245" i="28" s="1" a="1"/>
  <c r="T245" i="28" s="1"/>
  <c r="T246" i="28" s="1" a="1"/>
  <c r="T246" i="28" s="1"/>
  <c r="T247" i="28" s="1" a="1"/>
  <c r="T247" i="28" s="1"/>
  <c r="T248" i="28" s="1" a="1"/>
  <c r="T248" i="28" s="1"/>
  <c r="T249" i="28" s="1" a="1"/>
  <c r="T249" i="28" s="1"/>
  <c r="T250" i="28" s="1" a="1"/>
  <c r="T250" i="28" s="1"/>
  <c r="T251" i="28" s="1" a="1"/>
  <c r="T251" i="28" s="1"/>
  <c r="T252" i="28" s="1" a="1"/>
  <c r="T252" i="28" s="1"/>
  <c r="T253" i="28" s="1" a="1"/>
  <c r="T253" i="28" s="1"/>
  <c r="T254" i="28" s="1" a="1"/>
  <c r="T254" i="28" s="1"/>
  <c r="T255" i="28" s="1" a="1"/>
  <c r="T255" i="28" s="1"/>
  <c r="T256" i="28" s="1" a="1"/>
  <c r="T256" i="28" s="1"/>
  <c r="T257" i="28" s="1" a="1"/>
  <c r="T257" i="28" s="1"/>
  <c r="T258" i="28" s="1" a="1"/>
  <c r="T258" i="28" s="1"/>
  <c r="T259" i="28" s="1" a="1"/>
  <c r="T259" i="28" s="1"/>
  <c r="T260" i="28" s="1" a="1"/>
  <c r="T260" i="28" s="1"/>
  <c r="T261" i="28" s="1" a="1"/>
  <c r="T261" i="28" s="1"/>
  <c r="T262" i="28" s="1" a="1"/>
  <c r="T262" i="28" s="1"/>
  <c r="T263" i="28" s="1" a="1"/>
  <c r="T263" i="28" s="1"/>
  <c r="T264" i="28" s="1" a="1"/>
  <c r="T264" i="28" s="1"/>
  <c r="T265" i="28" s="1" a="1"/>
  <c r="T265" i="28" s="1"/>
  <c r="T266" i="28" s="1" a="1"/>
  <c r="T266" i="28" s="1"/>
  <c r="T267" i="28" s="1" a="1"/>
  <c r="T267" i="28" s="1"/>
  <c r="T268" i="28" s="1" a="1"/>
  <c r="T268" i="28" s="1"/>
  <c r="T269" i="28" s="1" a="1"/>
  <c r="T269" i="28" s="1"/>
  <c r="T270" i="28" s="1" a="1"/>
  <c r="T270" i="28" s="1"/>
  <c r="T271" i="28" s="1" a="1"/>
  <c r="T271" i="28" s="1"/>
  <c r="T272" i="28" s="1" a="1"/>
  <c r="T272" i="28" s="1"/>
  <c r="T273" i="28" s="1" a="1"/>
  <c r="T273" i="28" s="1"/>
  <c r="T274" i="28" s="1" a="1"/>
  <c r="T274" i="28" s="1"/>
  <c r="T275" i="28" s="1" a="1"/>
  <c r="T275" i="28" s="1"/>
  <c r="T276" i="28" s="1" a="1"/>
  <c r="T276" i="28" s="1"/>
  <c r="T277" i="28" s="1" a="1"/>
  <c r="T277" i="28" s="1"/>
  <c r="T278" i="28" s="1" a="1"/>
  <c r="T278" i="28" s="1"/>
  <c r="T279" i="28" s="1" a="1"/>
  <c r="T279" i="28" s="1"/>
  <c r="T280" i="28" s="1" a="1"/>
  <c r="T280" i="28" s="1"/>
  <c r="T281" i="28" s="1" a="1"/>
  <c r="T281" i="28" s="1"/>
  <c r="F226" i="28" a="1"/>
  <c r="F226" i="28" s="1"/>
  <c r="F227" i="28" s="1" a="1"/>
  <c r="F227" i="28" s="1"/>
  <c r="F228" i="28" s="1" a="1"/>
  <c r="F228" i="28" s="1"/>
  <c r="F229" i="28" s="1" a="1"/>
  <c r="F229" i="28" s="1"/>
  <c r="D301" i="29" a="1"/>
  <c r="D301" i="29" s="1"/>
  <c r="AB300" i="29"/>
  <c r="AB156" i="29"/>
  <c r="D157" i="29" a="1"/>
  <c r="D157" i="29" s="1"/>
  <c r="F209" i="29" a="1"/>
  <c r="F209" i="29" s="1"/>
  <c r="K76" i="19"/>
  <c r="AG76" i="19"/>
  <c r="AH76" i="19"/>
  <c r="AJ76" i="19"/>
  <c r="AF76" i="19"/>
  <c r="AE76" i="19"/>
  <c r="AI76" i="19"/>
  <c r="T51" i="18"/>
  <c r="T52" i="18" s="1" a="1"/>
  <c r="T52" i="18" s="1"/>
  <c r="T53" i="18" s="1" a="1"/>
  <c r="T53" i="18" s="1"/>
  <c r="T54" i="18" s="1" a="1"/>
  <c r="T54" i="18" s="1"/>
  <c r="F52" i="18" a="1"/>
  <c r="F52" i="18" s="1"/>
  <c r="K101" i="19"/>
  <c r="AG101" i="19"/>
  <c r="AJ101" i="19"/>
  <c r="AH101" i="19"/>
  <c r="AF101" i="19"/>
  <c r="AE101" i="19"/>
  <c r="AI101" i="19"/>
  <c r="AG39" i="19"/>
  <c r="F65" i="29" a="1"/>
  <c r="F65" i="29" s="1"/>
  <c r="T44" i="13"/>
  <c r="T45" i="13" s="1" a="1"/>
  <c r="T45" i="13" s="1"/>
  <c r="T46" i="13" s="1" a="1"/>
  <c r="T46" i="13" s="1"/>
  <c r="F45" i="13" a="1"/>
  <c r="F45" i="13" s="1"/>
  <c r="F46" i="13" s="1" a="1"/>
  <c r="F46" i="13" s="1"/>
  <c r="F47" i="13" s="1" a="1"/>
  <c r="F47" i="13" s="1"/>
  <c r="AF320" i="30" s="1"/>
  <c r="F44" i="20" a="1"/>
  <c r="F44" i="20" s="1"/>
  <c r="K43" i="20"/>
  <c r="F56" i="28" a="1"/>
  <c r="F56" i="28" s="1"/>
  <c r="F57" i="28" s="1" a="1"/>
  <c r="F57" i="28" s="1"/>
  <c r="F58" i="28" s="1" a="1"/>
  <c r="F58" i="28" s="1"/>
  <c r="F59" i="28" s="1" a="1"/>
  <c r="F59"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D157" i="30" a="1"/>
  <c r="D157" i="30" s="1"/>
  <c r="AB156" i="30"/>
  <c r="D301" i="30" a="1"/>
  <c r="D301" i="30" s="1"/>
  <c r="AB300" i="30"/>
  <c r="F209" i="30" a="1"/>
  <c r="F209" i="30" s="1"/>
  <c r="AI208" i="30"/>
  <c r="AI206" i="30" s="1"/>
  <c r="AI197" i="30" s="1"/>
  <c r="T158" i="18"/>
  <c r="T159" i="18" s="1" a="1"/>
  <c r="T159" i="18" s="1"/>
  <c r="T160" i="18" s="1" a="1"/>
  <c r="T160" i="18" s="1"/>
  <c r="T161" i="18" s="1" a="1"/>
  <c r="T161" i="18" s="1"/>
  <c r="F159" i="18" a="1"/>
  <c r="F159" i="18" s="1"/>
  <c r="F160" i="18" s="1" a="1"/>
  <c r="F160" i="18" s="1"/>
  <c r="F161" i="18" s="1" a="1"/>
  <c r="F161" i="18" s="1"/>
  <c r="F162" i="18" s="1" a="1"/>
  <c r="F162" i="18" s="1"/>
  <c r="F353" i="29" a="1"/>
  <c r="F353" i="29" s="1"/>
  <c r="T239" i="18"/>
  <c r="F240" i="18" a="1"/>
  <c r="F240" i="18" s="1"/>
  <c r="F241" i="18" s="1" a="1"/>
  <c r="F241" i="18" s="1"/>
  <c r="F242" i="18" s="1" a="1"/>
  <c r="F242" i="18" s="1"/>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F63" i="20" a="1"/>
  <c r="F63" i="20" s="1"/>
  <c r="K62" i="20"/>
  <c r="T48" i="14"/>
  <c r="AJ136" i="32"/>
  <c r="AI85" i="32"/>
  <c r="AK34" i="32"/>
  <c r="AG31" i="32"/>
  <c r="AJ135" i="32"/>
  <c r="AK136" i="32"/>
  <c r="AJ32" i="32"/>
  <c r="AH85" i="32"/>
  <c r="AK133" i="32"/>
  <c r="AJ33" i="32"/>
  <c r="AK32" i="32"/>
  <c r="AJ34" i="32"/>
  <c r="AH32" i="32"/>
  <c r="AJ31" i="32"/>
  <c r="AI33" i="32"/>
  <c r="AI34" i="32"/>
  <c r="AI82" i="32"/>
  <c r="AG34" i="32"/>
  <c r="AI83" i="32"/>
  <c r="AH31" i="32"/>
  <c r="AI32" i="32"/>
  <c r="AJ133" i="32"/>
  <c r="AJ134" i="32"/>
  <c r="AH83" i="32"/>
  <c r="AG32" i="32"/>
  <c r="AH34" i="32"/>
  <c r="AH33" i="32"/>
  <c r="AK135" i="32"/>
  <c r="AK33" i="32"/>
  <c r="AK134" i="32"/>
  <c r="AI31" i="32"/>
  <c r="AG33" i="32"/>
  <c r="AK31" i="32"/>
  <c r="AI89" i="32"/>
  <c r="AG87" i="32"/>
  <c r="AH35" i="32"/>
  <c r="AI84" i="32"/>
  <c r="AH82" i="32"/>
  <c r="AI86" i="32"/>
  <c r="AI35" i="32"/>
  <c r="AK137" i="32"/>
  <c r="AI36" i="32"/>
  <c r="AK139" i="32"/>
  <c r="AI37" i="32"/>
  <c r="AJ119" i="28"/>
  <c r="AF204" i="28"/>
  <c r="AI38" i="32"/>
  <c r="AJ204" i="28"/>
  <c r="AK138" i="32"/>
  <c r="AI119" i="28"/>
  <c r="AH87" i="32"/>
  <c r="AH86" i="32"/>
  <c r="AF34" i="28"/>
  <c r="AG35" i="32"/>
  <c r="AG36" i="32"/>
  <c r="AG138" i="32"/>
  <c r="AJ37" i="32"/>
  <c r="AG119" i="28"/>
  <c r="AJ138" i="32"/>
  <c r="AE34" i="28"/>
  <c r="AJ35" i="32"/>
  <c r="AI34" i="28"/>
  <c r="AI204" i="28"/>
  <c r="AK35" i="32"/>
  <c r="AK36" i="32"/>
  <c r="AJ137" i="32"/>
  <c r="AK34" i="28"/>
  <c r="AK37" i="32"/>
  <c r="AH89" i="32"/>
  <c r="AG89" i="32"/>
  <c r="AK119" i="28"/>
  <c r="AE119" i="28"/>
  <c r="AI88" i="32"/>
  <c r="AG37" i="32"/>
  <c r="AE204" i="28"/>
  <c r="AF119" i="28"/>
  <c r="AK204" i="28"/>
  <c r="AH36" i="32"/>
  <c r="AG34" i="28"/>
  <c r="AJ34" i="28"/>
  <c r="AK141" i="32"/>
  <c r="AJ36" i="32"/>
  <c r="AG204" i="28"/>
  <c r="AI39" i="32"/>
  <c r="AH37" i="32"/>
  <c r="AK140" i="32"/>
  <c r="AI87" i="32"/>
  <c r="AI90" i="32"/>
  <c r="AJ140" i="32"/>
  <c r="AG140" i="32"/>
  <c r="AJ38" i="32"/>
  <c r="AH38" i="32"/>
  <c r="AK38" i="32"/>
  <c r="AJ139" i="32"/>
  <c r="AG38" i="32"/>
  <c r="AG139" i="32"/>
  <c r="AH91" i="32"/>
  <c r="AH84" i="32"/>
  <c r="AI40" i="32"/>
  <c r="AH88" i="32"/>
  <c r="AG45" i="26"/>
  <c r="AG90" i="32"/>
  <c r="AK39" i="32"/>
  <c r="AH40" i="32"/>
  <c r="AJ40" i="32"/>
  <c r="AJ142" i="32"/>
  <c r="AG91" i="32"/>
  <c r="AG47" i="26"/>
  <c r="AG141" i="32"/>
  <c r="AK142" i="32"/>
  <c r="AK40" i="32"/>
  <c r="AG88" i="32"/>
  <c r="AG142" i="32"/>
  <c r="AH39" i="32"/>
  <c r="AG46" i="26"/>
  <c r="AI91" i="32"/>
  <c r="AG40" i="32"/>
  <c r="AJ141" i="32"/>
  <c r="AH90" i="32"/>
  <c r="AG39" i="32"/>
  <c r="K81" i="20"/>
  <c r="F82" i="20" a="1"/>
  <c r="F82" i="20" s="1"/>
  <c r="AU40" i="24"/>
  <c r="AU32" i="24"/>
  <c r="AP29" i="29"/>
  <c r="AO29" i="29"/>
  <c r="AV29" i="29"/>
  <c r="AT29" i="30"/>
  <c r="AK173" i="29"/>
  <c r="AU29" i="30"/>
  <c r="AM32" i="24"/>
  <c r="AY317" i="29"/>
  <c r="AW29" i="30"/>
  <c r="AJ40" i="24"/>
  <c r="AN173" i="30"/>
  <c r="AD83" i="32"/>
  <c r="AV29" i="30"/>
  <c r="AO317" i="30"/>
  <c r="AP32" i="24"/>
  <c r="BB317" i="29"/>
  <c r="AX29" i="29"/>
  <c r="AK317" i="30"/>
  <c r="AK316" i="30" s="1"/>
  <c r="AM40" i="24"/>
  <c r="AG40" i="24"/>
  <c r="AL29" i="30"/>
  <c r="BC317" i="30"/>
  <c r="AT48" i="24"/>
  <c r="AX173" i="30"/>
  <c r="AU173" i="30"/>
  <c r="AL173" i="29"/>
  <c r="AI48" i="24"/>
  <c r="AE40" i="24"/>
  <c r="AE41" i="24" s="1" a="1"/>
  <c r="AE41" i="24" s="1"/>
  <c r="AD34" i="32"/>
  <c r="AP317" i="29"/>
  <c r="AK317" i="29"/>
  <c r="AX317" i="29"/>
  <c r="AT40" i="24"/>
  <c r="BC173" i="29"/>
  <c r="AR173" i="29"/>
  <c r="AD82" i="32"/>
  <c r="AW29" i="29"/>
  <c r="AO32" i="24"/>
  <c r="AR32" i="24"/>
  <c r="AJ173" i="30"/>
  <c r="AR173" i="30"/>
  <c r="AJ33" i="19"/>
  <c r="AI32" i="24"/>
  <c r="BC29" i="30"/>
  <c r="AL40" i="24"/>
  <c r="BB29" i="30"/>
  <c r="AL317" i="30"/>
  <c r="AX173" i="29"/>
  <c r="AX48" i="24"/>
  <c r="BA29" i="29"/>
  <c r="AN317" i="29"/>
  <c r="AQ317" i="29"/>
  <c r="AN32" i="24"/>
  <c r="AW317" i="30"/>
  <c r="AN173" i="29"/>
  <c r="AP173" i="30"/>
  <c r="AM29" i="30"/>
  <c r="AZ173" i="30"/>
  <c r="AW317" i="29"/>
  <c r="AM29" i="29"/>
  <c r="AD31" i="32"/>
  <c r="AK48" i="24"/>
  <c r="BB173" i="29"/>
  <c r="AL317" i="29"/>
  <c r="AJ48" i="24"/>
  <c r="AG33" i="19"/>
  <c r="AJ64" i="19"/>
  <c r="AD139" i="32"/>
  <c r="AV317" i="30"/>
  <c r="AX317" i="30"/>
  <c r="AT317" i="30"/>
  <c r="AT316" i="30" s="1"/>
  <c r="AM317" i="30"/>
  <c r="AF48" i="24"/>
  <c r="AH40" i="24"/>
  <c r="AZ317" i="29"/>
  <c r="AV32" i="24"/>
  <c r="AR317" i="30"/>
  <c r="AD133" i="32"/>
  <c r="AS29" i="30"/>
  <c r="AQ40" i="24"/>
  <c r="AR29" i="29"/>
  <c r="AU48" i="24"/>
  <c r="AD33" i="32"/>
  <c r="AW173" i="30"/>
  <c r="AR40" i="24"/>
  <c r="AM173" i="30"/>
  <c r="BA173" i="29"/>
  <c r="AK173" i="30"/>
  <c r="AK172" i="30" s="1"/>
  <c r="AD87" i="32"/>
  <c r="BA173" i="30"/>
  <c r="AJ29" i="30"/>
  <c r="AI64" i="19"/>
  <c r="AD138" i="32"/>
  <c r="AS32" i="24"/>
  <c r="AD32" i="32"/>
  <c r="AO173" i="29"/>
  <c r="AX29" i="30"/>
  <c r="AE32" i="24"/>
  <c r="AE33" i="24" s="1" a="1"/>
  <c r="AE33" i="24" s="1"/>
  <c r="AU317" i="30"/>
  <c r="AV48" i="24"/>
  <c r="AR29" i="30"/>
  <c r="AV173" i="29"/>
  <c r="AF32" i="24"/>
  <c r="AM317" i="29"/>
  <c r="AL48" i="24"/>
  <c r="AO40" i="24"/>
  <c r="AM173" i="29"/>
  <c r="AW173" i="29"/>
  <c r="AV317" i="29"/>
  <c r="AS173" i="29"/>
  <c r="BB317" i="30"/>
  <c r="AS317" i="30"/>
  <c r="AS29" i="29"/>
  <c r="AZ317" i="30"/>
  <c r="AQ29" i="29"/>
  <c r="AQ317" i="30"/>
  <c r="AG83" i="19"/>
  <c r="AV173" i="30"/>
  <c r="AF325" i="30"/>
  <c r="AF323" i="30" s="1"/>
  <c r="AQ29" i="30"/>
  <c r="AF83" i="19"/>
  <c r="AH83" i="19"/>
  <c r="AN317" i="30"/>
  <c r="AG325" i="30"/>
  <c r="AE58" i="19"/>
  <c r="AH58" i="19"/>
  <c r="AI181" i="30"/>
  <c r="AI179" i="30" s="1"/>
  <c r="AI174" i="30" s="1"/>
  <c r="AN29" i="30"/>
  <c r="AG58" i="19"/>
  <c r="AI89" i="19"/>
  <c r="AF181" i="30"/>
  <c r="AJ89" i="19"/>
  <c r="AD88" i="32"/>
  <c r="AF58" i="19"/>
  <c r="AF37" i="30"/>
  <c r="AF35" i="30" s="1"/>
  <c r="AJ58" i="19"/>
  <c r="AD36" i="32"/>
  <c r="AY173" i="30"/>
  <c r="AI325" i="30"/>
  <c r="AI323" i="30" s="1"/>
  <c r="AI318" i="30" s="1"/>
  <c r="AE83" i="19"/>
  <c r="AG196" i="30"/>
  <c r="AF33" i="19"/>
  <c r="AD38" i="32"/>
  <c r="AG37" i="30"/>
  <c r="AH33" i="19"/>
  <c r="AI196" i="30"/>
  <c r="AG89" i="19"/>
  <c r="AF196" i="30"/>
  <c r="AF194" i="30" s="1"/>
  <c r="AF191" i="30" s="1"/>
  <c r="AE89" i="19"/>
  <c r="AE196" i="30"/>
  <c r="AE194" i="30" s="1"/>
  <c r="AE191" i="30" s="1"/>
  <c r="AI37" i="30"/>
  <c r="AI35" i="30" s="1"/>
  <c r="AI30" i="30" s="1"/>
  <c r="AE340" i="30"/>
  <c r="AE338" i="30" s="1"/>
  <c r="AE335" i="30" s="1"/>
  <c r="AE37" i="30"/>
  <c r="AE35" i="30" s="1"/>
  <c r="AG340" i="30"/>
  <c r="AD141" i="32"/>
  <c r="AI340" i="30"/>
  <c r="AE33" i="19"/>
  <c r="AF340" i="30"/>
  <c r="AF338" i="30" s="1"/>
  <c r="AF335" i="30" s="1"/>
  <c r="AF89" i="19"/>
  <c r="AF64" i="19"/>
  <c r="AI33" i="19"/>
  <c r="AD40" i="32"/>
  <c r="AD39" i="32"/>
  <c r="AG64" i="19"/>
  <c r="AD89" i="32"/>
  <c r="AE64" i="19"/>
  <c r="AD142" i="32"/>
  <c r="BC173" i="30"/>
  <c r="AD90" i="32"/>
  <c r="AD91" i="32"/>
  <c r="AH70" i="19"/>
  <c r="AI40" i="24"/>
  <c r="AU317" i="29"/>
  <c r="AG70" i="19"/>
  <c r="AK29" i="29"/>
  <c r="BA29" i="30"/>
  <c r="AX40" i="24"/>
  <c r="AS173" i="30"/>
  <c r="AI29" i="30"/>
  <c r="AX32" i="24"/>
  <c r="AW32" i="24"/>
  <c r="AD37" i="32"/>
  <c r="AN48" i="24"/>
  <c r="AH64" i="19"/>
  <c r="AJ95" i="19"/>
  <c r="AL29" i="29"/>
  <c r="AU173" i="29"/>
  <c r="AQ173" i="30"/>
  <c r="AZ173" i="29"/>
  <c r="AP48" i="24"/>
  <c r="AF70" i="19"/>
  <c r="AP317" i="30"/>
  <c r="BA317" i="29"/>
  <c r="AS48" i="24"/>
  <c r="AN40" i="24"/>
  <c r="BC317" i="29"/>
  <c r="AI83" i="19"/>
  <c r="AJ317" i="30"/>
  <c r="AE48" i="24"/>
  <c r="AE49" i="24" s="1" a="1"/>
  <c r="AE49" i="24" s="1"/>
  <c r="AQ173" i="29"/>
  <c r="AP173" i="29"/>
  <c r="AD35" i="32"/>
  <c r="AI58" i="19"/>
  <c r="BC29" i="29"/>
  <c r="AJ70" i="19"/>
  <c r="AK40" i="24"/>
  <c r="AG95" i="19"/>
  <c r="AL32" i="24"/>
  <c r="AY29" i="30"/>
  <c r="AE95" i="19"/>
  <c r="AE70" i="19"/>
  <c r="AF40" i="24"/>
  <c r="AH32" i="24"/>
  <c r="AP29" i="30"/>
  <c r="AY317" i="30"/>
  <c r="AH89" i="19"/>
  <c r="AI70" i="19"/>
  <c r="AZ29" i="29"/>
  <c r="AF95" i="19"/>
  <c r="AH95" i="19"/>
  <c r="AM48" i="24"/>
  <c r="AI95" i="19"/>
  <c r="AO173" i="30"/>
  <c r="AH48" i="24"/>
  <c r="AG32" i="24"/>
  <c r="AZ29" i="30"/>
  <c r="BB173" i="30"/>
  <c r="AS40" i="24"/>
  <c r="AK32" i="24"/>
  <c r="AY29" i="29"/>
  <c r="AJ32" i="24"/>
  <c r="AW40" i="24"/>
  <c r="AQ48" i="24"/>
  <c r="AT173" i="30"/>
  <c r="AT172" i="30" s="1"/>
  <c r="AJ83" i="19"/>
  <c r="AS317" i="29"/>
  <c r="F178" i="26" a="1"/>
  <c r="F178" i="26" s="1"/>
  <c r="K177" i="26"/>
  <c r="D445" i="29" a="1"/>
  <c r="D445" i="29" s="1"/>
  <c r="AB444" i="29"/>
  <c r="F47" i="30" a="1"/>
  <c r="F47" i="30" s="1"/>
  <c r="AB444" i="30"/>
  <c r="D445" i="30" a="1"/>
  <c r="D445" i="30" s="1"/>
  <c r="F126" i="26" a="1"/>
  <c r="F126" i="26" s="1"/>
  <c r="K125" i="26"/>
  <c r="AL173" i="30"/>
  <c r="F353" i="30" a="1"/>
  <c r="F353" i="30" s="1"/>
  <c r="AG352" i="30"/>
  <c r="AI352" i="30"/>
  <c r="AI350" i="30" s="1"/>
  <c r="AI341" i="30" s="1"/>
  <c r="AB41" i="22" a="1"/>
  <c r="AB41" i="22" s="1"/>
  <c r="V41" i="22" a="1"/>
  <c r="V41" i="22" s="1"/>
  <c r="V51" i="21" a="1"/>
  <c r="V51" i="21" s="1"/>
  <c r="AB51" i="21" a="1"/>
  <c r="AB51" i="21" s="1"/>
  <c r="AJ77" i="19" l="1"/>
  <c r="AF52" i="19"/>
  <c r="AH52" i="19"/>
  <c r="AH77" i="19"/>
  <c r="AI177" i="29"/>
  <c r="BD177" i="29" s="1"/>
  <c r="AH352" i="30"/>
  <c r="AG350" i="30"/>
  <c r="F127" i="26" a="1"/>
  <c r="F127" i="26" s="1"/>
  <c r="K126" i="26"/>
  <c r="AH119" i="28"/>
  <c r="AL119" i="28"/>
  <c r="AH37" i="30"/>
  <c r="AG35" i="30"/>
  <c r="AH35" i="30" s="1"/>
  <c r="AE77" i="19"/>
  <c r="AJ52" i="19"/>
  <c r="AH325" i="30"/>
  <c r="AG323" i="30"/>
  <c r="AH323" i="30" s="1"/>
  <c r="AL172" i="30"/>
  <c r="AE42" i="24"/>
  <c r="AF41" i="24"/>
  <c r="F354" i="29" a="1"/>
  <c r="F354" i="29" s="1"/>
  <c r="F163" i="18" a="1"/>
  <c r="F163" i="18" s="1"/>
  <c r="F164" i="18" s="1" a="1"/>
  <c r="F164" i="18" s="1"/>
  <c r="F165" i="18" s="1" a="1"/>
  <c r="F165" i="18" s="1"/>
  <c r="T162" i="18"/>
  <c r="AK30" i="28"/>
  <c r="AL316" i="30"/>
  <c r="V55" i="22" a="1"/>
  <c r="V55" i="22" s="1"/>
  <c r="AB55" i="22" a="1"/>
  <c r="AB55" i="22" s="1"/>
  <c r="F48" i="30" a="1"/>
  <c r="F48" i="30" s="1"/>
  <c r="AI52" i="19"/>
  <c r="AE50" i="24"/>
  <c r="AF49" i="24"/>
  <c r="AF179" i="30"/>
  <c r="AH179" i="30" s="1"/>
  <c r="AH181" i="30"/>
  <c r="BD316" i="30"/>
  <c r="AU316" i="30"/>
  <c r="BE316" i="30" s="1"/>
  <c r="F83" i="20" a="1"/>
  <c r="F83" i="20" s="1"/>
  <c r="K82" i="20"/>
  <c r="AH204" i="28"/>
  <c r="AH34" i="28"/>
  <c r="AL204" i="28"/>
  <c r="D158" i="30" a="1"/>
  <c r="D158" i="30" s="1"/>
  <c r="AB157" i="30"/>
  <c r="AN59" i="28"/>
  <c r="F60" i="28" a="1"/>
  <c r="F60" i="28" s="1"/>
  <c r="AT32" i="29"/>
  <c r="BO65" i="29"/>
  <c r="F66" i="29" a="1"/>
  <c r="F66" i="29" s="1"/>
  <c r="F53" i="18" a="1"/>
  <c r="F53" i="18" s="1"/>
  <c r="F210" i="29" a="1"/>
  <c r="F210" i="29" s="1"/>
  <c r="F230" i="28" a="1"/>
  <c r="F230" i="28" s="1"/>
  <c r="K68" i="26"/>
  <c r="F69" i="26" a="1"/>
  <c r="F69" i="26" s="1"/>
  <c r="F64" i="20" a="1"/>
  <c r="F64" i="20" s="1"/>
  <c r="K64" i="20" s="1"/>
  <c r="K63" i="20"/>
  <c r="T242" i="18"/>
  <c r="T243" i="18" s="1" a="1"/>
  <c r="T243" i="18" s="1"/>
  <c r="T244" i="18" s="1" a="1"/>
  <c r="T244" i="18" s="1"/>
  <c r="T245" i="18" s="1" a="1"/>
  <c r="T245" i="18" s="1"/>
  <c r="F243" i="18" a="1"/>
  <c r="F243" i="18" s="1"/>
  <c r="F244" i="18" s="1" a="1"/>
  <c r="F244" i="18" s="1"/>
  <c r="F245" i="18" s="1" a="1"/>
  <c r="F245" i="18" s="1"/>
  <c r="F246" i="18" s="1" a="1"/>
  <c r="F246" i="18" s="1"/>
  <c r="F210" i="30" a="1"/>
  <c r="F210" i="30" s="1"/>
  <c r="K44" i="20"/>
  <c r="F45" i="20" a="1"/>
  <c r="F45" i="20" s="1"/>
  <c r="BD172" i="30"/>
  <c r="AU172" i="30"/>
  <c r="BE172" i="30" s="1"/>
  <c r="AG338" i="30"/>
  <c r="AH340" i="30"/>
  <c r="AE34" i="24"/>
  <c r="AF33" i="24"/>
  <c r="AL34" i="28"/>
  <c r="V87" i="23" a="1"/>
  <c r="V87" i="23" s="1"/>
  <c r="AB87" i="23" a="1"/>
  <c r="AB87" i="23" s="1"/>
  <c r="F354" i="30" a="1"/>
  <c r="F354" i="30" s="1"/>
  <c r="AB445" i="30"/>
  <c r="D446" i="30" a="1"/>
  <c r="D446" i="30" s="1"/>
  <c r="D446" i="29" a="1"/>
  <c r="D446" i="29" s="1"/>
  <c r="AB445" i="29"/>
  <c r="F179" i="26" a="1"/>
  <c r="F179" i="26" s="1"/>
  <c r="K179" i="26" s="1"/>
  <c r="K178" i="26"/>
  <c r="AI77" i="19"/>
  <c r="AG194" i="30"/>
  <c r="AH196" i="30"/>
  <c r="AG52" i="19"/>
  <c r="AE52" i="19"/>
  <c r="AF77" i="19"/>
  <c r="AG77" i="19"/>
  <c r="AG44" i="26"/>
  <c r="F145" i="28" a="1"/>
  <c r="F145" i="28" s="1"/>
  <c r="D302" i="30" a="1"/>
  <c r="D302" i="30" s="1"/>
  <c r="AB301" i="30"/>
  <c r="T47" i="13"/>
  <c r="AK31" i="28"/>
  <c r="AI32" i="29"/>
  <c r="AI115" i="28"/>
  <c r="AT321" i="29"/>
  <c r="AI31" i="28"/>
  <c r="AL31" i="28" s="1"/>
  <c r="AG176" i="30"/>
  <c r="AF321" i="30"/>
  <c r="AF319" i="30" s="1"/>
  <c r="AF318" i="30" s="1"/>
  <c r="AF316" i="30" s="1"/>
  <c r="AK116" i="28"/>
  <c r="AG32" i="30"/>
  <c r="AG34" i="26"/>
  <c r="AJ31" i="28"/>
  <c r="AF115" i="28"/>
  <c r="AI176" i="29"/>
  <c r="AI201" i="28"/>
  <c r="AL201" i="28" s="1"/>
  <c r="AE200" i="28"/>
  <c r="AI30" i="28"/>
  <c r="AJ115" i="28"/>
  <c r="AJ320" i="29"/>
  <c r="AJ176" i="29"/>
  <c r="AG321" i="30"/>
  <c r="AG31" i="28"/>
  <c r="AF116" i="28"/>
  <c r="AF200" i="28"/>
  <c r="AG85" i="26"/>
  <c r="AK200" i="28"/>
  <c r="AE31" i="28"/>
  <c r="AE117" i="28"/>
  <c r="AJ202" i="28"/>
  <c r="AF31" i="28"/>
  <c r="AF32" i="29"/>
  <c r="AE33" i="30"/>
  <c r="AE30" i="28"/>
  <c r="AE321" i="30"/>
  <c r="AF33" i="30"/>
  <c r="AG30" i="28"/>
  <c r="AJ117" i="28"/>
  <c r="AK202" i="28"/>
  <c r="AJ200" i="28"/>
  <c r="AI202" i="28"/>
  <c r="AL202" i="28" s="1"/>
  <c r="AI32" i="28"/>
  <c r="AL32" i="28" s="1"/>
  <c r="AE176" i="30"/>
  <c r="AF32" i="28"/>
  <c r="AI200" i="28"/>
  <c r="AF176" i="30"/>
  <c r="AG117" i="28"/>
  <c r="AF176" i="29"/>
  <c r="AG32" i="28"/>
  <c r="AT33" i="29"/>
  <c r="AG320" i="30"/>
  <c r="AJ116" i="28"/>
  <c r="AI117" i="28"/>
  <c r="AL117" i="28" s="1"/>
  <c r="AF177" i="30"/>
  <c r="AK32" i="28"/>
  <c r="AJ201" i="28"/>
  <c r="AG32" i="29"/>
  <c r="AE32" i="28"/>
  <c r="AT320" i="29"/>
  <c r="AF117" i="28"/>
  <c r="AE115" i="28"/>
  <c r="AE32" i="29"/>
  <c r="AI116" i="28"/>
  <c r="AL116" i="28" s="1"/>
  <c r="AE176" i="29"/>
  <c r="AI33" i="29"/>
  <c r="BD33" i="29" s="1"/>
  <c r="AG116" i="28"/>
  <c r="AE177" i="29"/>
  <c r="AF177" i="29"/>
  <c r="AG202" i="28"/>
  <c r="AF320" i="29"/>
  <c r="AG200" i="28"/>
  <c r="AE116" i="28"/>
  <c r="AG176" i="29"/>
  <c r="AG177" i="29"/>
  <c r="AE320" i="29"/>
  <c r="AE201" i="28"/>
  <c r="AE177" i="30"/>
  <c r="AE32" i="30"/>
  <c r="AE202" i="28"/>
  <c r="AG33" i="30"/>
  <c r="AH33" i="30" s="1"/>
  <c r="AG33" i="29"/>
  <c r="AJ32" i="28"/>
  <c r="AF33" i="29"/>
  <c r="AJ177" i="29"/>
  <c r="AK117" i="28"/>
  <c r="AF202" i="28"/>
  <c r="AG321" i="29"/>
  <c r="AF321" i="29"/>
  <c r="AE33" i="29"/>
  <c r="AF201" i="28"/>
  <c r="AG320" i="29"/>
  <c r="AJ321" i="29"/>
  <c r="AG201" i="28"/>
  <c r="AI321" i="29"/>
  <c r="BD321" i="29" s="1"/>
  <c r="AG115" i="28"/>
  <c r="AF32" i="30"/>
  <c r="AF31" i="30" s="1"/>
  <c r="AF30" i="30" s="1"/>
  <c r="AE320" i="30"/>
  <c r="AK115" i="28"/>
  <c r="AT177" i="29"/>
  <c r="AE321" i="29"/>
  <c r="AG177" i="30"/>
  <c r="AF30" i="28"/>
  <c r="AJ30" i="28"/>
  <c r="AK201" i="28"/>
  <c r="AJ32" i="29"/>
  <c r="AI320" i="29"/>
  <c r="AT176" i="29"/>
  <c r="AT175" i="29" s="1"/>
  <c r="AJ33" i="29"/>
  <c r="AB157" i="29"/>
  <c r="D158" i="29" a="1"/>
  <c r="D158" i="29" s="1"/>
  <c r="AB301" i="29"/>
  <c r="D302" i="29" a="1"/>
  <c r="D302" i="29" s="1"/>
  <c r="F44" i="19" a="1"/>
  <c r="F44" i="19" s="1"/>
  <c r="AE319" i="30" l="1"/>
  <c r="AE318" i="30" s="1"/>
  <c r="AE316" i="30" s="1"/>
  <c r="AH177" i="30"/>
  <c r="AT204" i="29"/>
  <c r="AE175" i="29"/>
  <c r="AT319" i="29"/>
  <c r="AI200" i="29"/>
  <c r="BD200" i="29" s="1"/>
  <c r="AF349" i="29"/>
  <c r="AE60" i="29"/>
  <c r="AF29" i="28"/>
  <c r="AH116" i="28"/>
  <c r="AT202" i="29"/>
  <c r="AJ349" i="29"/>
  <c r="AG202" i="29"/>
  <c r="AH33" i="29"/>
  <c r="AH32" i="28"/>
  <c r="AF60" i="29"/>
  <c r="AF61" i="29"/>
  <c r="AE346" i="29"/>
  <c r="AI346" i="29"/>
  <c r="BD346" i="29" s="1"/>
  <c r="AG345" i="29"/>
  <c r="AI202" i="29"/>
  <c r="BD202" i="29" s="1"/>
  <c r="AJ346" i="29"/>
  <c r="AT61" i="29"/>
  <c r="AT349" i="29"/>
  <c r="AF200" i="29"/>
  <c r="AJ204" i="29"/>
  <c r="AT56" i="29"/>
  <c r="AI58" i="29"/>
  <c r="BD58" i="29" s="1"/>
  <c r="AG57" i="29"/>
  <c r="AJ61" i="29"/>
  <c r="AG200" i="29"/>
  <c r="AT58" i="29"/>
  <c r="AE61" i="29"/>
  <c r="AF57" i="29"/>
  <c r="AG353" i="29"/>
  <c r="AJ29" i="28"/>
  <c r="AE349" i="29"/>
  <c r="AI349" i="29"/>
  <c r="BD349" i="29" s="1"/>
  <c r="AG346" i="29"/>
  <c r="AG58" i="29"/>
  <c r="AG56" i="29"/>
  <c r="AF58" i="29"/>
  <c r="AT345" i="29"/>
  <c r="AF204" i="29"/>
  <c r="AG204" i="29"/>
  <c r="AJ56" i="29"/>
  <c r="AG349" i="29"/>
  <c r="AH349" i="29" s="1"/>
  <c r="AT346" i="29"/>
  <c r="AK114" i="28"/>
  <c r="AE31" i="30"/>
  <c r="AE30" i="30" s="1"/>
  <c r="AH321" i="30"/>
  <c r="AI61" i="29"/>
  <c r="BD61" i="29" s="1"/>
  <c r="AE56" i="29"/>
  <c r="AJ200" i="29"/>
  <c r="AE202" i="29"/>
  <c r="AI204" i="29"/>
  <c r="BD204" i="29" s="1"/>
  <c r="AF202" i="29"/>
  <c r="AF348" i="29"/>
  <c r="AJ202" i="29"/>
  <c r="AF56" i="29"/>
  <c r="AE203" i="29"/>
  <c r="AJ58" i="29"/>
  <c r="AF346" i="29"/>
  <c r="AF175" i="29"/>
  <c r="AJ199" i="28"/>
  <c r="AF31" i="29"/>
  <c r="AJ319" i="29"/>
  <c r="AH176" i="30"/>
  <c r="AG175" i="30"/>
  <c r="AI31" i="29"/>
  <c r="BD32" i="29"/>
  <c r="D303" i="30" a="1"/>
  <c r="D303" i="30" s="1"/>
  <c r="AB302" i="30"/>
  <c r="F146" i="28" a="1"/>
  <c r="F146" i="28" s="1"/>
  <c r="F147" i="28" s="1" a="1"/>
  <c r="F147" i="28" s="1"/>
  <c r="D447" i="29" a="1"/>
  <c r="D447" i="29" s="1"/>
  <c r="AB446" i="29"/>
  <c r="F355" i="30" a="1"/>
  <c r="F355" i="30" s="1"/>
  <c r="F231" i="28" a="1"/>
  <c r="F231" i="28" s="1"/>
  <c r="F232" i="28" s="1" a="1"/>
  <c r="F232" i="28" s="1"/>
  <c r="F211" i="29" a="1"/>
  <c r="F211" i="29" s="1"/>
  <c r="AT210" i="29"/>
  <c r="AG210" i="29"/>
  <c r="AI210" i="29"/>
  <c r="BD210" i="29" s="1"/>
  <c r="AE210" i="29"/>
  <c r="AF210" i="29"/>
  <c r="AJ210" i="29"/>
  <c r="AF65" i="29"/>
  <c r="F67" i="29" a="1"/>
  <c r="F67" i="29" s="1"/>
  <c r="AT66" i="29"/>
  <c r="AG66" i="29"/>
  <c r="AJ66" i="29"/>
  <c r="AF66" i="29"/>
  <c r="BO66" i="29"/>
  <c r="AI66" i="29"/>
  <c r="BD66" i="29" s="1"/>
  <c r="AE66" i="29"/>
  <c r="AT31" i="29"/>
  <c r="AI347" i="29"/>
  <c r="BD347" i="29" s="1"/>
  <c r="AF347" i="29"/>
  <c r="D159" i="30" a="1"/>
  <c r="D159" i="30" s="1"/>
  <c r="AB158" i="30"/>
  <c r="AV316" i="30"/>
  <c r="BF316" i="30" s="1"/>
  <c r="AB116" i="23" a="1"/>
  <c r="AB116" i="23" s="1"/>
  <c r="V116" i="23" a="1"/>
  <c r="V116" i="23" s="1"/>
  <c r="AI60" i="29"/>
  <c r="BD60" i="29" s="1"/>
  <c r="AJ60" i="29"/>
  <c r="AG41" i="24"/>
  <c r="AF42" i="24"/>
  <c r="AH350" i="30"/>
  <c r="AG341" i="30"/>
  <c r="AH341" i="30" s="1"/>
  <c r="F45" i="19" a="1"/>
  <c r="F45" i="19" s="1"/>
  <c r="T44" i="19"/>
  <c r="T45" i="19" s="1" a="1"/>
  <c r="T45" i="19" s="1"/>
  <c r="T46" i="19" s="1" a="1"/>
  <c r="T46" i="19" s="1"/>
  <c r="AH115" i="28"/>
  <c r="AG114" i="28"/>
  <c r="AH320" i="29"/>
  <c r="AG319" i="29"/>
  <c r="AH321" i="29"/>
  <c r="AE319" i="29"/>
  <c r="AG199" i="28"/>
  <c r="AH200" i="28"/>
  <c r="AH320" i="30"/>
  <c r="AG319" i="30"/>
  <c r="AH117" i="28"/>
  <c r="AE175" i="30"/>
  <c r="AE174" i="30" s="1"/>
  <c r="AE172" i="30" s="1"/>
  <c r="AK199" i="28"/>
  <c r="AH31" i="28"/>
  <c r="AJ114" i="28"/>
  <c r="BD176" i="29"/>
  <c r="AI175" i="29"/>
  <c r="AH32" i="30"/>
  <c r="AG31" i="30"/>
  <c r="AB446" i="30"/>
  <c r="D447" i="30" a="1"/>
  <c r="D447" i="30" s="1"/>
  <c r="AB35" i="24" a="1"/>
  <c r="AB35" i="24" s="1"/>
  <c r="V35" i="24" a="1"/>
  <c r="V35" i="24" s="1"/>
  <c r="AG33" i="24"/>
  <c r="AF34" i="24"/>
  <c r="AV172" i="30"/>
  <c r="BF172" i="30" s="1"/>
  <c r="K45" i="20"/>
  <c r="BO354" i="30" s="1"/>
  <c r="AJ345" i="29"/>
  <c r="AJ59" i="29"/>
  <c r="AE345" i="29"/>
  <c r="AE59" i="29"/>
  <c r="AE205" i="29"/>
  <c r="AG203" i="29"/>
  <c r="AG59" i="29"/>
  <c r="AJ347" i="29"/>
  <c r="AJ205" i="29"/>
  <c r="AI57" i="29"/>
  <c r="BD57" i="29" s="1"/>
  <c r="AI205" i="29"/>
  <c r="BD205" i="29" s="1"/>
  <c r="AJ348" i="29"/>
  <c r="AF203" i="29"/>
  <c r="AT347" i="29"/>
  <c r="AT60" i="29"/>
  <c r="AG205" i="29"/>
  <c r="AT203" i="29"/>
  <c r="AT59" i="29"/>
  <c r="AG60" i="29"/>
  <c r="AF59" i="29"/>
  <c r="AJ57" i="29"/>
  <c r="AT348" i="29"/>
  <c r="T246" i="18"/>
  <c r="F247" i="18" a="1"/>
  <c r="F247" i="18" s="1"/>
  <c r="F248" i="18" s="1" a="1"/>
  <c r="F248" i="18" s="1"/>
  <c r="F249" i="18" s="1" a="1"/>
  <c r="F249" i="18" s="1"/>
  <c r="K69" i="26"/>
  <c r="F70" i="26" a="1"/>
  <c r="F70" i="26" s="1"/>
  <c r="AG69" i="26"/>
  <c r="AI209" i="29"/>
  <c r="BD209" i="29" s="1"/>
  <c r="AF209" i="29"/>
  <c r="F54" i="18" a="1"/>
  <c r="F54" i="18" s="1"/>
  <c r="AJ65" i="29"/>
  <c r="AE65" i="29"/>
  <c r="AG347" i="29"/>
  <c r="AI345" i="29"/>
  <c r="BD345" i="29" s="1"/>
  <c r="AK29" i="28"/>
  <c r="AE353" i="29"/>
  <c r="AT353" i="29"/>
  <c r="BD320" i="29"/>
  <c r="AI319" i="29"/>
  <c r="AH177" i="29"/>
  <c r="AF319" i="29"/>
  <c r="AE31" i="29"/>
  <c r="AF175" i="30"/>
  <c r="AF174" i="30" s="1"/>
  <c r="AF172" i="30" s="1"/>
  <c r="AE29" i="28"/>
  <c r="AI29" i="28"/>
  <c r="AL30" i="28"/>
  <c r="AF114" i="28"/>
  <c r="AH194" i="30"/>
  <c r="AG191" i="30"/>
  <c r="AH191" i="30" s="1"/>
  <c r="AG61" i="29"/>
  <c r="AE58" i="29"/>
  <c r="AE204" i="29"/>
  <c r="AT209" i="29"/>
  <c r="AJ209" i="29"/>
  <c r="AG65" i="29"/>
  <c r="AI65" i="29"/>
  <c r="BD65" i="29" s="1"/>
  <c r="AG348" i="29"/>
  <c r="AG201" i="29"/>
  <c r="AE348" i="29"/>
  <c r="AG49" i="24"/>
  <c r="AF50" i="24"/>
  <c r="AM316" i="30"/>
  <c r="AI348" i="29"/>
  <c r="BD348" i="29" s="1"/>
  <c r="AI203" i="29"/>
  <c r="BD203" i="29" s="1"/>
  <c r="F166" i="18" a="1"/>
  <c r="F166" i="18" s="1"/>
  <c r="F167" i="18" s="1" a="1"/>
  <c r="F167" i="18" s="1"/>
  <c r="F168" i="18" s="1" a="1"/>
  <c r="F168" i="18" s="1"/>
  <c r="F169" i="18" s="1" a="1"/>
  <c r="F169" i="18" s="1"/>
  <c r="T165" i="18"/>
  <c r="T166" i="18" s="1" a="1"/>
  <c r="T166" i="18" s="1"/>
  <c r="T167" i="18" s="1" a="1"/>
  <c r="T167" i="18" s="1"/>
  <c r="T168" i="18" s="1" a="1"/>
  <c r="T168" i="18" s="1"/>
  <c r="AF353" i="29"/>
  <c r="F355" i="29" a="1"/>
  <c r="F355" i="29" s="1"/>
  <c r="AT354" i="29"/>
  <c r="AG354" i="29"/>
  <c r="AJ354" i="29"/>
  <c r="AF354" i="29"/>
  <c r="AI354" i="29"/>
  <c r="BD354" i="29" s="1"/>
  <c r="AE354" i="29"/>
  <c r="AM172" i="30"/>
  <c r="AB158" i="29"/>
  <c r="D159" i="29" a="1"/>
  <c r="D159" i="29" s="1"/>
  <c r="AB302" i="29"/>
  <c r="D303" i="29" a="1"/>
  <c r="D303" i="29" s="1"/>
  <c r="AJ31" i="29"/>
  <c r="AH201" i="28"/>
  <c r="AH176" i="29"/>
  <c r="AG175" i="29"/>
  <c r="AH202" i="28"/>
  <c r="AE114" i="28"/>
  <c r="AH32" i="29"/>
  <c r="AG31" i="29"/>
  <c r="AI199" i="28"/>
  <c r="AL200" i="28"/>
  <c r="AH30" i="28"/>
  <c r="AG29" i="28"/>
  <c r="AF199" i="28"/>
  <c r="AJ175" i="29"/>
  <c r="AE199" i="28"/>
  <c r="AL115" i="28"/>
  <c r="AI114" i="28"/>
  <c r="AH338" i="30"/>
  <c r="AG335" i="30"/>
  <c r="AH335" i="30" s="1"/>
  <c r="F211" i="30" a="1"/>
  <c r="F211" i="30" s="1"/>
  <c r="AG209" i="29"/>
  <c r="AE209" i="29"/>
  <c r="AT65" i="29"/>
  <c r="AJ203" i="29"/>
  <c r="AF205" i="29"/>
  <c r="F61" i="28" a="1"/>
  <c r="F61" i="28" s="1"/>
  <c r="F62" i="28" s="1" a="1"/>
  <c r="F62" i="28" s="1"/>
  <c r="AN60" i="28"/>
  <c r="K83" i="20"/>
  <c r="AT200" i="29"/>
  <c r="AT54" i="29"/>
  <c r="AE198" i="29"/>
  <c r="AG198" i="29"/>
  <c r="AT342" i="29"/>
  <c r="AI54" i="29"/>
  <c r="AE342" i="29"/>
  <c r="AF344" i="29"/>
  <c r="AF54" i="29"/>
  <c r="AG54" i="29"/>
  <c r="AJ54" i="29"/>
  <c r="AF198" i="29"/>
  <c r="AI342" i="29"/>
  <c r="AE343" i="29"/>
  <c r="AT198" i="29"/>
  <c r="AF342" i="29"/>
  <c r="AG342" i="29"/>
  <c r="AE55" i="29"/>
  <c r="AE344" i="29"/>
  <c r="AG55" i="29"/>
  <c r="AI55" i="29"/>
  <c r="BD55" i="29" s="1"/>
  <c r="AI199" i="29"/>
  <c r="BD199" i="29" s="1"/>
  <c r="AF55" i="29"/>
  <c r="AE54" i="29"/>
  <c r="AJ342" i="29"/>
  <c r="AT199" i="29"/>
  <c r="AI343" i="29"/>
  <c r="BD343" i="29" s="1"/>
  <c r="AJ198" i="29"/>
  <c r="AI198" i="29"/>
  <c r="AJ199" i="29"/>
  <c r="AT201" i="29"/>
  <c r="AF345" i="29"/>
  <c r="AI56" i="29"/>
  <c r="BD56" i="29" s="1"/>
  <c r="AJ201" i="29"/>
  <c r="AI344" i="29"/>
  <c r="BD344" i="29" s="1"/>
  <c r="AT57" i="29"/>
  <c r="AE201" i="29"/>
  <c r="AE199" i="29"/>
  <c r="AF343" i="29"/>
  <c r="AG343" i="29"/>
  <c r="AE57" i="29"/>
  <c r="AE200" i="29"/>
  <c r="AT343" i="29"/>
  <c r="AJ55" i="29"/>
  <c r="AT344" i="29"/>
  <c r="AI201" i="29"/>
  <c r="BD201" i="29" s="1"/>
  <c r="AG344" i="29"/>
  <c r="AF199" i="29"/>
  <c r="AF201" i="29"/>
  <c r="AG199" i="29"/>
  <c r="AT55" i="29"/>
  <c r="AJ343" i="29"/>
  <c r="AJ344" i="29"/>
  <c r="F49" i="30" a="1"/>
  <c r="F49" i="30" s="1"/>
  <c r="AE347" i="29"/>
  <c r="AT205" i="29"/>
  <c r="AI353" i="29"/>
  <c r="BD353" i="29" s="1"/>
  <c r="AJ353" i="29"/>
  <c r="F128" i="26" a="1"/>
  <c r="F128" i="26" s="1"/>
  <c r="K128" i="26" s="1"/>
  <c r="K127" i="26"/>
  <c r="AI59" i="29"/>
  <c r="BD59" i="29" s="1"/>
  <c r="AH209" i="29" l="1"/>
  <c r="AH353" i="29"/>
  <c r="AH200" i="29"/>
  <c r="AH202" i="29"/>
  <c r="BO354" i="29"/>
  <c r="BO205" i="30"/>
  <c r="AH61" i="29"/>
  <c r="BO346" i="30"/>
  <c r="BO205" i="29"/>
  <c r="BO348" i="29"/>
  <c r="BO202" i="30"/>
  <c r="BO347" i="30"/>
  <c r="BO348" i="30"/>
  <c r="BO204" i="30"/>
  <c r="AH347" i="29"/>
  <c r="BO203" i="29"/>
  <c r="BO210" i="30"/>
  <c r="BO202" i="29"/>
  <c r="BO204" i="29"/>
  <c r="BO203" i="30"/>
  <c r="AH59" i="29"/>
  <c r="AH204" i="29"/>
  <c r="AH343" i="29"/>
  <c r="AH345" i="29"/>
  <c r="AH55" i="29"/>
  <c r="AH60" i="29"/>
  <c r="AH203" i="29"/>
  <c r="AH66" i="29"/>
  <c r="AH56" i="29"/>
  <c r="AH57" i="29"/>
  <c r="AH354" i="29"/>
  <c r="AH58" i="29"/>
  <c r="AH348" i="29"/>
  <c r="AH65" i="29"/>
  <c r="AH346" i="29"/>
  <c r="F63" i="28" a="1"/>
  <c r="F63" i="28" s="1"/>
  <c r="F64" i="28" s="1" a="1"/>
  <c r="F64" i="28" s="1"/>
  <c r="AK62" i="28"/>
  <c r="AG62" i="28"/>
  <c r="AJ62" i="28"/>
  <c r="AF62" i="28"/>
  <c r="AN62" i="28"/>
  <c r="AI62" i="28"/>
  <c r="AE62" i="28"/>
  <c r="AB159" i="29"/>
  <c r="D160" i="29" a="1"/>
  <c r="D160" i="29" s="1"/>
  <c r="AN147" i="28"/>
  <c r="AI147" i="28"/>
  <c r="AE147" i="28"/>
  <c r="F148" i="28" a="1"/>
  <c r="F148" i="28" s="1"/>
  <c r="F149" i="28" s="1" a="1"/>
  <c r="F149" i="28" s="1"/>
  <c r="AK147" i="28"/>
  <c r="AG147" i="28"/>
  <c r="AJ147" i="28"/>
  <c r="AF147" i="28"/>
  <c r="AH344" i="29"/>
  <c r="D304" i="29" a="1"/>
  <c r="D304" i="29" s="1"/>
  <c r="AB303" i="29"/>
  <c r="AN316" i="30"/>
  <c r="AL29" i="28"/>
  <c r="AG70" i="26"/>
  <c r="F71" i="26" a="1"/>
  <c r="F71" i="26" s="1"/>
  <c r="K70" i="26"/>
  <c r="AW172" i="30"/>
  <c r="BG172" i="30" s="1"/>
  <c r="AG318" i="30"/>
  <c r="AH319" i="30"/>
  <c r="AH199" i="28"/>
  <c r="K45" i="19"/>
  <c r="F46" i="19" a="1"/>
  <c r="F46" i="19" s="1"/>
  <c r="AG45" i="19"/>
  <c r="AJ45" i="19"/>
  <c r="AI45" i="19"/>
  <c r="AE45" i="19"/>
  <c r="AH45" i="19"/>
  <c r="AF45" i="19"/>
  <c r="AH41" i="24"/>
  <c r="AG42" i="24"/>
  <c r="AW316" i="30"/>
  <c r="BG316" i="30" s="1"/>
  <c r="BO347" i="29"/>
  <c r="BO209" i="29"/>
  <c r="AJ211" i="29"/>
  <c r="AF211" i="29"/>
  <c r="AT211" i="29"/>
  <c r="AI211" i="29"/>
  <c r="BD211" i="29" s="1"/>
  <c r="F212" i="29" a="1"/>
  <c r="F212" i="29" s="1"/>
  <c r="AG211" i="29"/>
  <c r="AH211" i="29" s="1"/>
  <c r="BO211" i="29"/>
  <c r="AE211" i="29"/>
  <c r="BO355" i="30"/>
  <c r="F356" i="30" a="1"/>
  <c r="F356" i="30" s="1"/>
  <c r="AH49" i="24"/>
  <c r="AG50" i="24"/>
  <c r="AB447" i="29"/>
  <c r="D448" i="29" a="1"/>
  <c r="D448" i="29" s="1"/>
  <c r="F50" i="30" a="1"/>
  <c r="F50" i="30" s="1"/>
  <c r="F51" i="30" s="1" a="1"/>
  <c r="F51" i="30" s="1"/>
  <c r="AH199" i="29"/>
  <c r="AH54" i="29"/>
  <c r="BD54" i="29"/>
  <c r="AL114" i="28"/>
  <c r="AL199" i="28"/>
  <c r="AN172" i="30"/>
  <c r="F170" i="18" a="1"/>
  <c r="F170" i="18" s="1"/>
  <c r="F171" i="18" s="1" a="1"/>
  <c r="F171" i="18" s="1"/>
  <c r="F172" i="18" s="1" a="1"/>
  <c r="F172" i="18" s="1"/>
  <c r="T169" i="18"/>
  <c r="BD319" i="29"/>
  <c r="V29" i="25" a="1"/>
  <c r="V29" i="25" s="1"/>
  <c r="AB29" i="25" a="1"/>
  <c r="AB29" i="25" s="1"/>
  <c r="BD175" i="29"/>
  <c r="AH114" i="28"/>
  <c r="BO353" i="29"/>
  <c r="BO210" i="29"/>
  <c r="AJ232" i="28"/>
  <c r="AF232" i="28"/>
  <c r="AI232" i="28"/>
  <c r="F233" i="28" a="1"/>
  <c r="F233" i="28" s="1"/>
  <c r="F234" i="28" s="1" a="1"/>
  <c r="F234" i="28" s="1"/>
  <c r="AG232" i="28"/>
  <c r="AN232" i="28"/>
  <c r="AE232" i="28"/>
  <c r="AK232" i="28"/>
  <c r="BD31" i="29"/>
  <c r="AH198" i="29"/>
  <c r="BO342" i="30"/>
  <c r="BO198" i="29"/>
  <c r="BO198" i="30"/>
  <c r="BO342" i="29"/>
  <c r="BO200" i="30"/>
  <c r="BO343" i="29"/>
  <c r="BO343" i="30"/>
  <c r="BO199" i="30"/>
  <c r="BO199" i="29"/>
  <c r="BO201" i="30"/>
  <c r="BO344" i="29"/>
  <c r="BO344" i="30"/>
  <c r="BO349" i="30"/>
  <c r="BO345" i="30"/>
  <c r="BO200" i="29"/>
  <c r="BO345" i="29"/>
  <c r="BO201" i="29"/>
  <c r="BO346" i="29"/>
  <c r="F212" i="30" a="1"/>
  <c r="F212" i="30" s="1"/>
  <c r="BO211" i="30"/>
  <c r="AH33" i="24"/>
  <c r="AG34" i="24"/>
  <c r="AG30" i="30"/>
  <c r="AH31" i="30"/>
  <c r="AH319" i="29"/>
  <c r="D160" i="30" a="1"/>
  <c r="D160" i="30" s="1"/>
  <c r="AB159" i="30"/>
  <c r="AB303" i="30"/>
  <c r="D304" i="30" a="1"/>
  <c r="D304" i="30" s="1"/>
  <c r="BD198" i="29"/>
  <c r="AH342" i="29"/>
  <c r="BD342" i="29"/>
  <c r="AH29" i="28"/>
  <c r="AH31" i="29"/>
  <c r="AH175" i="29"/>
  <c r="AJ355" i="29"/>
  <c r="AF355" i="29"/>
  <c r="BO355" i="29"/>
  <c r="AI355" i="29"/>
  <c r="BD355" i="29" s="1"/>
  <c r="AE355" i="29"/>
  <c r="AT355" i="29"/>
  <c r="AG355" i="29"/>
  <c r="F356" i="29" a="1"/>
  <c r="F356" i="29" s="1"/>
  <c r="AH201" i="29"/>
  <c r="F55" i="18" a="1"/>
  <c r="F55" i="18" s="1"/>
  <c r="T249" i="18"/>
  <c r="T250" i="18" s="1" a="1"/>
  <c r="T250" i="18" s="1"/>
  <c r="T251" i="18" s="1" a="1"/>
  <c r="T251" i="18" s="1"/>
  <c r="T252" i="18" s="1" a="1"/>
  <c r="T252" i="18" s="1"/>
  <c r="F250" i="18" a="1"/>
  <c r="F250" i="18" s="1"/>
  <c r="F251" i="18" s="1" a="1"/>
  <c r="F251" i="18" s="1"/>
  <c r="F252" i="18" s="1" a="1"/>
  <c r="F252" i="18" s="1"/>
  <c r="F253" i="18" s="1" a="1"/>
  <c r="F253" i="18" s="1"/>
  <c r="AH205" i="29"/>
  <c r="BO353" i="30"/>
  <c r="BO209" i="30"/>
  <c r="D448" i="30" a="1"/>
  <c r="D448" i="30" s="1"/>
  <c r="AB447" i="30"/>
  <c r="AB43" i="24" a="1"/>
  <c r="AB43" i="24" s="1"/>
  <c r="V43" i="24" a="1"/>
  <c r="V43" i="24" s="1"/>
  <c r="F68" i="29" a="1"/>
  <c r="F68" i="29" s="1"/>
  <c r="AT67" i="29"/>
  <c r="AG67" i="29"/>
  <c r="AJ67" i="29"/>
  <c r="AF67" i="29"/>
  <c r="BO67" i="29"/>
  <c r="AI67" i="29"/>
  <c r="BD67" i="29" s="1"/>
  <c r="AE67" i="29"/>
  <c r="AH210" i="29"/>
  <c r="AH175" i="30"/>
  <c r="AG174" i="30"/>
  <c r="BO349" i="29"/>
  <c r="AH355" i="29" l="1"/>
  <c r="AJ68" i="29"/>
  <c r="AF68" i="29"/>
  <c r="BO68" i="29"/>
  <c r="AI68" i="29"/>
  <c r="BD68" i="29" s="1"/>
  <c r="AE68" i="29"/>
  <c r="AG68" i="29"/>
  <c r="AH68" i="29" s="1"/>
  <c r="F69" i="29" a="1"/>
  <c r="F69" i="29" s="1"/>
  <c r="AT68" i="29"/>
  <c r="AB160" i="30"/>
  <c r="D161" i="30"/>
  <c r="AH30" i="30"/>
  <c r="V78" i="26" a="1"/>
  <c r="V78" i="26" s="1"/>
  <c r="B30" i="25"/>
  <c r="B31" i="25" s="1" a="1"/>
  <c r="B31" i="25" s="1"/>
  <c r="AB78" i="26" a="1"/>
  <c r="AB78" i="26" s="1"/>
  <c r="AG120" i="26"/>
  <c r="AG121" i="26"/>
  <c r="T172" i="18"/>
  <c r="T173" i="18" s="1" a="1"/>
  <c r="T173" i="18" s="1"/>
  <c r="T174" i="18" s="1" a="1"/>
  <c r="T174" i="18" s="1"/>
  <c r="T175" i="18" s="1" a="1"/>
  <c r="T175" i="18" s="1"/>
  <c r="F173" i="18" a="1"/>
  <c r="F173" i="18" s="1"/>
  <c r="F174" i="18" s="1" a="1"/>
  <c r="F174" i="18" s="1"/>
  <c r="F175" i="18" s="1" a="1"/>
  <c r="F175" i="18" s="1"/>
  <c r="F176" i="18" s="1" a="1"/>
  <c r="F176" i="18" s="1"/>
  <c r="D449" i="29"/>
  <c r="AB448" i="29"/>
  <c r="AI49" i="24"/>
  <c r="AH50" i="24"/>
  <c r="BO212" i="29"/>
  <c r="AI212" i="29"/>
  <c r="BD212" i="29" s="1"/>
  <c r="AE212" i="29"/>
  <c r="F213" i="29" a="1"/>
  <c r="F213" i="29" s="1"/>
  <c r="AT212" i="29"/>
  <c r="AG212" i="29"/>
  <c r="AF212" i="29"/>
  <c r="AJ212" i="29"/>
  <c r="BO64" i="29"/>
  <c r="AH318" i="30"/>
  <c r="AG316" i="30"/>
  <c r="AH147" i="28"/>
  <c r="AL147" i="28"/>
  <c r="AN64" i="28"/>
  <c r="F65" i="28" a="1"/>
  <c r="F65" i="28" s="1"/>
  <c r="T55" i="18"/>
  <c r="T56" i="18" s="1" a="1"/>
  <c r="T56" i="18" s="1"/>
  <c r="F56" i="18" a="1"/>
  <c r="F56" i="18" s="1"/>
  <c r="F57" i="18" s="1" a="1"/>
  <c r="F57" i="18" s="1"/>
  <c r="F58" i="18" s="1" a="1"/>
  <c r="F58" i="18" s="1"/>
  <c r="BO356" i="29"/>
  <c r="AI356" i="29"/>
  <c r="BD356" i="29" s="1"/>
  <c r="AE356" i="29"/>
  <c r="F357" i="29" a="1"/>
  <c r="F357" i="29" s="1"/>
  <c r="AT356" i="29"/>
  <c r="AG356" i="29"/>
  <c r="AJ356" i="29"/>
  <c r="AF356" i="29"/>
  <c r="D305" i="30"/>
  <c r="AB304" i="30"/>
  <c r="BO212" i="30"/>
  <c r="F213" i="30" a="1"/>
  <c r="F213" i="30" s="1"/>
  <c r="AH232" i="28"/>
  <c r="AO172" i="30"/>
  <c r="AX316" i="30"/>
  <c r="BH316" i="30" s="1"/>
  <c r="AI41" i="24"/>
  <c r="AH42" i="24"/>
  <c r="AX172" i="30"/>
  <c r="F72" i="26" a="1"/>
  <c r="F72" i="26" s="1"/>
  <c r="K71" i="26"/>
  <c r="D305" i="29"/>
  <c r="AB304" i="29"/>
  <c r="AH174" i="30"/>
  <c r="AG172" i="30"/>
  <c r="AH67" i="29"/>
  <c r="D449" i="30"/>
  <c r="AB448" i="30"/>
  <c r="T253" i="18"/>
  <c r="AI33" i="24"/>
  <c r="AH34" i="24"/>
  <c r="F235" i="28" a="1"/>
  <c r="F235" i="28" s="1"/>
  <c r="F357" i="30" a="1"/>
  <c r="F357" i="30" s="1"/>
  <c r="BO356" i="30"/>
  <c r="AO316" i="30"/>
  <c r="F150" i="28" a="1"/>
  <c r="F150" i="28" s="1"/>
  <c r="AL62" i="28"/>
  <c r="AH62" i="28"/>
  <c r="V32" i="25" a="1"/>
  <c r="V32" i="25" s="1"/>
  <c r="AB32" i="25" a="1"/>
  <c r="AB32" i="25" s="1"/>
  <c r="AL232" i="28"/>
  <c r="BO51" i="30"/>
  <c r="F52" i="30" a="1"/>
  <c r="F52" i="30" s="1"/>
  <c r="K46" i="19"/>
  <c r="F47" i="19" a="1"/>
  <c r="F47" i="19" s="1"/>
  <c r="D161" i="29"/>
  <c r="AB160" i="29"/>
  <c r="AH356" i="29" l="1"/>
  <c r="AH212" i="29"/>
  <c r="F48" i="19" a="1"/>
  <c r="F48" i="19" s="1"/>
  <c r="T47" i="19"/>
  <c r="T48" i="19" s="1" a="1"/>
  <c r="T48" i="19" s="1"/>
  <c r="T49" i="19" s="1" a="1"/>
  <c r="T49" i="19" s="1"/>
  <c r="F151" i="28" a="1"/>
  <c r="F151" i="28" s="1"/>
  <c r="AN154" i="28"/>
  <c r="AI50" i="24"/>
  <c r="AJ49" i="24"/>
  <c r="BO69" i="29"/>
  <c r="AI69" i="29"/>
  <c r="BD69" i="29" s="1"/>
  <c r="AE69" i="29"/>
  <c r="F70" i="29" a="1"/>
  <c r="F70" i="29" s="1"/>
  <c r="AT69" i="29"/>
  <c r="AG69" i="29"/>
  <c r="AJ69" i="29"/>
  <c r="AF69" i="29"/>
  <c r="F53" i="30" a="1"/>
  <c r="F53" i="30" s="1"/>
  <c r="F54" i="30" s="1" a="1"/>
  <c r="F54" i="30" s="1"/>
  <c r="BO52" i="30"/>
  <c r="AE52" i="30"/>
  <c r="AE50" i="30" s="1"/>
  <c r="AE47" i="30" s="1"/>
  <c r="AF52" i="30"/>
  <c r="AF50" i="30" s="1"/>
  <c r="AF47" i="30" s="1"/>
  <c r="AG52" i="30"/>
  <c r="AI52" i="30"/>
  <c r="AB449" i="30" a="1"/>
  <c r="AB449" i="30" s="1"/>
  <c r="D450" i="30"/>
  <c r="AB305" i="29" a="1"/>
  <c r="AB305" i="29" s="1"/>
  <c r="D306" i="29"/>
  <c r="AY172" i="30"/>
  <c r="AI42" i="24"/>
  <c r="AJ41" i="24"/>
  <c r="AP172" i="30"/>
  <c r="D306" i="30"/>
  <c r="AB305" i="30" a="1"/>
  <c r="AB305" i="30" s="1"/>
  <c r="AH316" i="30"/>
  <c r="D162" i="30"/>
  <c r="AB161" i="30" a="1"/>
  <c r="AB161" i="30" s="1"/>
  <c r="AP316" i="30"/>
  <c r="BO357" i="30"/>
  <c r="F358" i="30" a="1"/>
  <c r="F358" i="30" s="1"/>
  <c r="AI34" i="24"/>
  <c r="AJ33" i="24"/>
  <c r="BH172" i="30"/>
  <c r="AY316" i="30"/>
  <c r="F214" i="30" a="1"/>
  <c r="F214" i="30" s="1"/>
  <c r="BO213" i="30"/>
  <c r="F358" i="29" a="1"/>
  <c r="F358" i="29" s="1"/>
  <c r="AT357" i="29"/>
  <c r="AG357" i="29"/>
  <c r="AJ357" i="29"/>
  <c r="AF357" i="29"/>
  <c r="BO357" i="29"/>
  <c r="AI357" i="29"/>
  <c r="BD357" i="29" s="1"/>
  <c r="AE357" i="29"/>
  <c r="T58" i="18"/>
  <c r="T59" i="18" s="1" a="1"/>
  <c r="T59" i="18" s="1"/>
  <c r="T60" i="18" s="1" a="1"/>
  <c r="T60" i="18" s="1"/>
  <c r="T61" i="18" s="1" a="1"/>
  <c r="T61" i="18" s="1"/>
  <c r="F59" i="18" a="1"/>
  <c r="F59" i="18" s="1"/>
  <c r="AN69" i="28"/>
  <c r="AN65" i="28"/>
  <c r="F66" i="28" a="1"/>
  <c r="F66" i="28" s="1"/>
  <c r="AB449" i="29" a="1"/>
  <c r="AB449" i="29" s="1"/>
  <c r="D450" i="29"/>
  <c r="AB161" i="29" a="1"/>
  <c r="AB161" i="29" s="1"/>
  <c r="D162" i="29"/>
  <c r="V129" i="26" a="1"/>
  <c r="V129" i="26" s="1"/>
  <c r="B33" i="25"/>
  <c r="B34" i="25" s="1" a="1"/>
  <c r="B34" i="25" s="1"/>
  <c r="AB129" i="26" a="1"/>
  <c r="AB129" i="26" s="1"/>
  <c r="AG171" i="26"/>
  <c r="AG172" i="26"/>
  <c r="AN239" i="28"/>
  <c r="F236" i="28" a="1"/>
  <c r="F236" i="28" s="1"/>
  <c r="AH172" i="30"/>
  <c r="F73" i="26" a="1"/>
  <c r="F73" i="26" s="1"/>
  <c r="K72" i="26"/>
  <c r="AJ213" i="29"/>
  <c r="AF213" i="29"/>
  <c r="AI213" i="29"/>
  <c r="BD213" i="29" s="1"/>
  <c r="F214" i="29" a="1"/>
  <c r="F214" i="29" s="1"/>
  <c r="AG213" i="29"/>
  <c r="BO213" i="29"/>
  <c r="AE213" i="29"/>
  <c r="AT213" i="29"/>
  <c r="T176" i="18"/>
  <c r="V92" i="27" a="1"/>
  <c r="V92" i="27" s="1"/>
  <c r="AD92" i="27" a="1"/>
  <c r="AD92" i="27" s="1"/>
  <c r="AH213" i="29" l="1"/>
  <c r="AH69" i="29"/>
  <c r="AH357" i="29"/>
  <c r="F215" i="29" a="1"/>
  <c r="F215" i="29" s="1"/>
  <c r="AT214" i="29"/>
  <c r="AG214" i="29"/>
  <c r="BO214" i="29"/>
  <c r="AI214" i="29"/>
  <c r="BD214" i="29" s="1"/>
  <c r="AE214" i="29"/>
  <c r="AJ214" i="29"/>
  <c r="AF214" i="29"/>
  <c r="AN236" i="28"/>
  <c r="AI236" i="28"/>
  <c r="AL236" i="28" s="1"/>
  <c r="AE236" i="28"/>
  <c r="F237" i="28" a="1"/>
  <c r="F237" i="28" s="1"/>
  <c r="AK236" i="28"/>
  <c r="AG236" i="28"/>
  <c r="AF236" i="28"/>
  <c r="AJ236" i="28"/>
  <c r="AD155" i="27" a="1"/>
  <c r="AD155" i="27" s="1"/>
  <c r="V155" i="27" a="1"/>
  <c r="V155" i="27" s="1"/>
  <c r="AZ172" i="30"/>
  <c r="BJ172" i="30" s="1"/>
  <c r="AG50" i="30"/>
  <c r="AH52" i="30"/>
  <c r="BO54" i="30"/>
  <c r="F55" i="30" a="1"/>
  <c r="F55" i="30" s="1"/>
  <c r="D163" i="29" a="1"/>
  <c r="D163" i="29" s="1"/>
  <c r="AB162" i="29" a="1"/>
  <c r="AB162" i="29" s="1"/>
  <c r="F67" i="28" a="1"/>
  <c r="F67" i="28" s="1"/>
  <c r="AK66" i="28"/>
  <c r="AG66" i="28"/>
  <c r="AJ66" i="28"/>
  <c r="AF66" i="28"/>
  <c r="AN66" i="28"/>
  <c r="AI66" i="28"/>
  <c r="AL66" i="28" s="1"/>
  <c r="AE66" i="28"/>
  <c r="BO214" i="30"/>
  <c r="F215" i="30" a="1"/>
  <c r="F215" i="30" s="1"/>
  <c r="AB162" i="30" a="1"/>
  <c r="AB162" i="30" s="1"/>
  <c r="D163" i="30" a="1"/>
  <c r="D163" i="30" s="1"/>
  <c r="AK41" i="24"/>
  <c r="AJ42" i="24"/>
  <c r="BI172" i="30"/>
  <c r="AB450" i="30" a="1"/>
  <c r="AB450" i="30" s="1"/>
  <c r="D451" i="30" a="1"/>
  <c r="D451" i="30" s="1"/>
  <c r="K73" i="26"/>
  <c r="F74" i="26" a="1"/>
  <c r="F74" i="26" s="1"/>
  <c r="F60" i="18" a="1"/>
  <c r="F60" i="18" s="1"/>
  <c r="AZ316" i="30"/>
  <c r="BJ316" i="30" s="1"/>
  <c r="AQ316" i="30"/>
  <c r="D307" i="30" a="1"/>
  <c r="D307" i="30" s="1"/>
  <c r="AB306" i="30" a="1"/>
  <c r="AB306" i="30" s="1"/>
  <c r="F71" i="29" a="1"/>
  <c r="F71" i="29" s="1"/>
  <c r="AT70" i="29"/>
  <c r="AG70" i="29"/>
  <c r="AJ70" i="29"/>
  <c r="AF70" i="29"/>
  <c r="BO70" i="29"/>
  <c r="AI70" i="29"/>
  <c r="BD70" i="29" s="1"/>
  <c r="AE70" i="29"/>
  <c r="AK49" i="24"/>
  <c r="AJ50" i="24"/>
  <c r="AJ151" i="28"/>
  <c r="AF151" i="28"/>
  <c r="AN151" i="28"/>
  <c r="AI151" i="28"/>
  <c r="AL151" i="28" s="1"/>
  <c r="AE151" i="28"/>
  <c r="F152" i="28" a="1"/>
  <c r="F152" i="28" s="1"/>
  <c r="AK151" i="28"/>
  <c r="AG151" i="28"/>
  <c r="F49" i="19" a="1"/>
  <c r="F49" i="19" s="1"/>
  <c r="AB112" i="28" a="1"/>
  <c r="AB112" i="28" s="1"/>
  <c r="V112" i="28" a="1"/>
  <c r="V112" i="28" s="1"/>
  <c r="AB93" i="27"/>
  <c r="AB450" i="29" a="1"/>
  <c r="AB450" i="29" s="1"/>
  <c r="D451" i="29" a="1"/>
  <c r="D451" i="29" s="1"/>
  <c r="F359" i="29" a="1"/>
  <c r="F359" i="29" s="1"/>
  <c r="AT358" i="29"/>
  <c r="AG358" i="29"/>
  <c r="AJ358" i="29"/>
  <c r="AF358" i="29"/>
  <c r="BO358" i="29"/>
  <c r="AI358" i="29"/>
  <c r="BD358" i="29" s="1"/>
  <c r="AE358" i="29"/>
  <c r="BI316" i="30"/>
  <c r="AK33" i="24"/>
  <c r="AJ34" i="24"/>
  <c r="F359" i="30" a="1"/>
  <c r="F359" i="30" s="1"/>
  <c r="BO358" i="30"/>
  <c r="AQ172" i="30"/>
  <c r="AB306" i="29" a="1"/>
  <c r="AB306" i="29" s="1"/>
  <c r="D307" i="29" a="1"/>
  <c r="D307" i="29" s="1"/>
  <c r="AH70" i="29" l="1"/>
  <c r="AH236" i="28"/>
  <c r="AH358" i="29"/>
  <c r="AH66" i="28"/>
  <c r="AL33" i="24"/>
  <c r="AK34" i="24"/>
  <c r="BO359" i="30"/>
  <c r="F360" i="30" a="1"/>
  <c r="F360" i="30" s="1"/>
  <c r="AB451" i="29"/>
  <c r="D452" i="29" a="1"/>
  <c r="D452" i="29" s="1"/>
  <c r="AB171" i="29" a="1"/>
  <c r="AB171" i="29" s="1"/>
  <c r="V171" i="29" a="1"/>
  <c r="V171" i="29" s="1"/>
  <c r="H171" i="28"/>
  <c r="H170" i="28"/>
  <c r="AL49" i="24"/>
  <c r="AK50" i="24"/>
  <c r="F72" i="29" a="1"/>
  <c r="F72" i="29" s="1"/>
  <c r="AT71" i="29"/>
  <c r="AG71" i="29"/>
  <c r="AJ71" i="29"/>
  <c r="AF71" i="29"/>
  <c r="BO71" i="29"/>
  <c r="AI71" i="29"/>
  <c r="BD71" i="29" s="1"/>
  <c r="AE71" i="29"/>
  <c r="AR316" i="30"/>
  <c r="F61" i="18" a="1"/>
  <c r="F61" i="18" s="1"/>
  <c r="D452" i="30" a="1"/>
  <c r="D452" i="30" s="1"/>
  <c r="AB451" i="30"/>
  <c r="AL41" i="24"/>
  <c r="AK42" i="24"/>
  <c r="F68" i="28" a="1"/>
  <c r="F68" i="28" s="1"/>
  <c r="AK67" i="28"/>
  <c r="AG67" i="28"/>
  <c r="AJ67" i="28"/>
  <c r="AF67" i="28"/>
  <c r="AN67" i="28"/>
  <c r="AI67" i="28"/>
  <c r="AL67" i="28" s="1"/>
  <c r="AE67" i="28"/>
  <c r="BA172" i="30"/>
  <c r="AJ237" i="28"/>
  <c r="AF237" i="28"/>
  <c r="AI237" i="28"/>
  <c r="AL237" i="28" s="1"/>
  <c r="F238" i="28" a="1"/>
  <c r="F238" i="28" s="1"/>
  <c r="AG237" i="28"/>
  <c r="AN237" i="28"/>
  <c r="AE237" i="28"/>
  <c r="AK237" i="28"/>
  <c r="AR172" i="30"/>
  <c r="AN152" i="28"/>
  <c r="AI152" i="28"/>
  <c r="AL152" i="28" s="1"/>
  <c r="AE152" i="28"/>
  <c r="F153" i="28" a="1"/>
  <c r="F153" i="28" s="1"/>
  <c r="AK152" i="28"/>
  <c r="AG152" i="28"/>
  <c r="AJ152" i="28"/>
  <c r="AF152" i="28"/>
  <c r="K74" i="26"/>
  <c r="F75" i="26" a="1"/>
  <c r="F75" i="26" s="1"/>
  <c r="AB163" i="30"/>
  <c r="D164" i="30" a="1"/>
  <c r="D164" i="30" s="1"/>
  <c r="AH214" i="29"/>
  <c r="D164" i="29" a="1"/>
  <c r="D164" i="29" s="1"/>
  <c r="AB163" i="29"/>
  <c r="AH50" i="30"/>
  <c r="AG47" i="30"/>
  <c r="F50" i="19" a="1"/>
  <c r="F50" i="19" s="1"/>
  <c r="D308" i="29" a="1"/>
  <c r="D308" i="29" s="1"/>
  <c r="AB307" i="29"/>
  <c r="AJ359" i="29"/>
  <c r="AF359" i="29"/>
  <c r="BO359" i="29"/>
  <c r="AI359" i="29"/>
  <c r="BD359" i="29" s="1"/>
  <c r="AE359" i="29"/>
  <c r="AG359" i="29"/>
  <c r="AH359" i="29" s="1"/>
  <c r="F360" i="29" a="1"/>
  <c r="F360" i="29" s="1"/>
  <c r="AT359" i="29"/>
  <c r="AH151" i="28"/>
  <c r="AB307" i="30"/>
  <c r="D308" i="30" a="1"/>
  <c r="D308" i="30" s="1"/>
  <c r="BA316" i="30"/>
  <c r="BK316" i="30" s="1"/>
  <c r="F216" i="30" a="1"/>
  <c r="F216" i="30" s="1"/>
  <c r="BO215" i="30"/>
  <c r="F56" i="30" a="1"/>
  <c r="F56" i="30" s="1"/>
  <c r="BO55" i="30"/>
  <c r="V197" i="28" a="1"/>
  <c r="V197" i="28" s="1"/>
  <c r="AB156" i="27"/>
  <c r="AB197" i="28" a="1"/>
  <c r="AB197" i="28" s="1"/>
  <c r="AJ215" i="29"/>
  <c r="AF215" i="29"/>
  <c r="F216" i="29" a="1"/>
  <c r="F216" i="29" s="1"/>
  <c r="AG215" i="29"/>
  <c r="BO215" i="29"/>
  <c r="AE215" i="29"/>
  <c r="AT215" i="29"/>
  <c r="AI215" i="29"/>
  <c r="BD215" i="29" s="1"/>
  <c r="AH237" i="28" l="1"/>
  <c r="AH152" i="28"/>
  <c r="AH67" i="28"/>
  <c r="F51" i="19" a="1"/>
  <c r="F51" i="19" s="1"/>
  <c r="AG181" i="29" s="1"/>
  <c r="T50" i="19"/>
  <c r="T51" i="19" s="1" a="1"/>
  <c r="T51" i="19" s="1"/>
  <c r="D165" i="29" a="1"/>
  <c r="D165" i="29" s="1"/>
  <c r="AB164" i="29"/>
  <c r="F76" i="26" a="1"/>
  <c r="F76" i="26" s="1"/>
  <c r="K75" i="26"/>
  <c r="F239" i="28" a="1"/>
  <c r="F239" i="28" s="1"/>
  <c r="AK238" i="28"/>
  <c r="AG238" i="28"/>
  <c r="AN238" i="28"/>
  <c r="AI238" i="28"/>
  <c r="AL238" i="28" s="1"/>
  <c r="AE238" i="28"/>
  <c r="AJ238" i="28"/>
  <c r="AF238" i="28"/>
  <c r="BB172" i="30"/>
  <c r="BL172" i="30" s="1"/>
  <c r="AM41" i="24"/>
  <c r="AL42" i="24"/>
  <c r="AJ72" i="29"/>
  <c r="AF72" i="29"/>
  <c r="BO72" i="29"/>
  <c r="AI72" i="29"/>
  <c r="BD72" i="29" s="1"/>
  <c r="AE72" i="29"/>
  <c r="F73" i="29" a="1"/>
  <c r="F73" i="29" s="1"/>
  <c r="AT72" i="29"/>
  <c r="AG72" i="29"/>
  <c r="AB171" i="30" a="1"/>
  <c r="AB171" i="30" s="1"/>
  <c r="V171" i="30" a="1"/>
  <c r="V171" i="30" s="1"/>
  <c r="BO216" i="30"/>
  <c r="F217" i="30" a="1"/>
  <c r="F217" i="30" s="1"/>
  <c r="F218" i="30" s="1" a="1"/>
  <c r="F218" i="30" s="1"/>
  <c r="F219" i="30" s="1" a="1"/>
  <c r="F219" i="30" s="1"/>
  <c r="F220" i="30" s="1" a="1"/>
  <c r="F220" i="30" s="1"/>
  <c r="D309" i="30" a="1"/>
  <c r="D309" i="30" s="1"/>
  <c r="AB308" i="30"/>
  <c r="AH215" i="29"/>
  <c r="V315" i="29" a="1"/>
  <c r="V315" i="29" s="1"/>
  <c r="AB315" i="29" a="1"/>
  <c r="AB315" i="29" s="1"/>
  <c r="H256" i="28"/>
  <c r="H255" i="28"/>
  <c r="BO56" i="30"/>
  <c r="F57" i="30" a="1"/>
  <c r="F57" i="30" s="1"/>
  <c r="BB316" i="30"/>
  <c r="BO360" i="29"/>
  <c r="AI360" i="29"/>
  <c r="BD360" i="29" s="1"/>
  <c r="AE360" i="29"/>
  <c r="F361" i="29" a="1"/>
  <c r="F361" i="29" s="1"/>
  <c r="AT360" i="29"/>
  <c r="AG360" i="29"/>
  <c r="AJ360" i="29"/>
  <c r="AF360" i="29"/>
  <c r="D309" i="29" a="1"/>
  <c r="D309" i="29" s="1"/>
  <c r="AB308" i="29"/>
  <c r="AH47" i="30"/>
  <c r="BK172" i="30"/>
  <c r="D453" i="29" a="1"/>
  <c r="D453" i="29" s="1"/>
  <c r="AB452" i="29"/>
  <c r="BO216" i="29"/>
  <c r="AI216" i="29"/>
  <c r="BD216" i="29" s="1"/>
  <c r="AE216" i="29"/>
  <c r="AT216" i="29"/>
  <c r="AG216" i="29"/>
  <c r="AJ216" i="29"/>
  <c r="F217" i="29" a="1"/>
  <c r="F217" i="29" s="1"/>
  <c r="AF216" i="29"/>
  <c r="AB164" i="30"/>
  <c r="D165" i="30" a="1"/>
  <c r="D165" i="30" s="1"/>
  <c r="F154" i="28" a="1"/>
  <c r="F154" i="28" s="1"/>
  <c r="AK153" i="28"/>
  <c r="AG153" i="28"/>
  <c r="AJ153" i="28"/>
  <c r="AF153" i="28"/>
  <c r="AN153" i="28"/>
  <c r="AI153" i="28"/>
  <c r="AL153" i="28" s="1"/>
  <c r="AE153" i="28"/>
  <c r="AS172" i="30"/>
  <c r="AJ68" i="28"/>
  <c r="AF68" i="28"/>
  <c r="AN68" i="28"/>
  <c r="AI68" i="28"/>
  <c r="AL68" i="28" s="1"/>
  <c r="AE68" i="28"/>
  <c r="F69" i="28" a="1"/>
  <c r="F69" i="28" s="1"/>
  <c r="AK68" i="28"/>
  <c r="AG68" i="28"/>
  <c r="D453" i="30" a="1"/>
  <c r="D453" i="30" s="1"/>
  <c r="AB452" i="30"/>
  <c r="F62" i="18" a="1"/>
  <c r="F62" i="18" s="1"/>
  <c r="AH71" i="29"/>
  <c r="AM49" i="24"/>
  <c r="AL50" i="24"/>
  <c r="AM33" i="24"/>
  <c r="AL34" i="24"/>
  <c r="AS316" i="30"/>
  <c r="F361" i="30" a="1"/>
  <c r="F361" i="30" s="1"/>
  <c r="F362" i="30" s="1" a="1"/>
  <c r="F362" i="30" s="1"/>
  <c r="F363" i="30" s="1" a="1"/>
  <c r="F363" i="30" s="1"/>
  <c r="F364" i="30" s="1" a="1"/>
  <c r="F364" i="30" s="1"/>
  <c r="BO360" i="30"/>
  <c r="AE325" i="29" l="1"/>
  <c r="AI195" i="29"/>
  <c r="AG230" i="28"/>
  <c r="AI230" i="28"/>
  <c r="AL230" i="28" s="1"/>
  <c r="AF47" i="20"/>
  <c r="AG234" i="28"/>
  <c r="AI60" i="28"/>
  <c r="AL60" i="28" s="1"/>
  <c r="AG65" i="28"/>
  <c r="AG43" i="21"/>
  <c r="AG39" i="21" s="1"/>
  <c r="AG229" i="28"/>
  <c r="AE195" i="29"/>
  <c r="AT339" i="29"/>
  <c r="AF149" i="28"/>
  <c r="AK60" i="28"/>
  <c r="AJ67" i="20"/>
  <c r="AE60" i="28"/>
  <c r="AG51" i="29"/>
  <c r="AG66" i="20"/>
  <c r="AF43" i="21"/>
  <c r="AF39" i="21" s="1"/>
  <c r="AF217" i="29" s="1"/>
  <c r="AE340" i="29"/>
  <c r="AH67" i="20"/>
  <c r="AI324" i="29"/>
  <c r="AI145" i="28"/>
  <c r="AL145" i="28" s="1"/>
  <c r="AG235" i="28"/>
  <c r="AG233" i="28" s="1"/>
  <c r="AF145" i="28"/>
  <c r="AG67" i="20"/>
  <c r="AG65" i="20" s="1"/>
  <c r="AF51" i="29"/>
  <c r="AG324" i="29"/>
  <c r="AJ28" i="20"/>
  <c r="AI48" i="20"/>
  <c r="AT208" i="29"/>
  <c r="AI67" i="20"/>
  <c r="AT180" i="29"/>
  <c r="AT196" i="29"/>
  <c r="AH68" i="28"/>
  <c r="AJ145" i="28"/>
  <c r="AG64" i="28"/>
  <c r="AJ339" i="29"/>
  <c r="AH28" i="20"/>
  <c r="AJ43" i="21"/>
  <c r="AJ39" i="21" s="1"/>
  <c r="AT217" i="29" s="1"/>
  <c r="AH43" i="21"/>
  <c r="AH39" i="21" s="1"/>
  <c r="AI217" i="29" s="1"/>
  <c r="BD217" i="29" s="1"/>
  <c r="AJ36" i="29"/>
  <c r="AI196" i="29"/>
  <c r="BD196" i="29" s="1"/>
  <c r="AF55" i="21"/>
  <c r="AF51" i="21" s="1"/>
  <c r="AF361" i="29" s="1"/>
  <c r="AF60" i="28"/>
  <c r="AH360" i="29"/>
  <c r="AH72" i="29"/>
  <c r="AI69" i="28"/>
  <c r="AL69" i="28" s="1"/>
  <c r="AE69" i="28"/>
  <c r="F70" i="28" a="1"/>
  <c r="F70" i="28" s="1"/>
  <c r="AK69" i="28"/>
  <c r="AG69" i="28"/>
  <c r="AJ69" i="28"/>
  <c r="AF69" i="28"/>
  <c r="AB165" i="30"/>
  <c r="D166" i="30" a="1"/>
  <c r="D166" i="30" s="1"/>
  <c r="AB309" i="29"/>
  <c r="D310" i="29" a="1"/>
  <c r="D310" i="29" s="1"/>
  <c r="F58" i="30" a="1"/>
  <c r="F58" i="30" s="1"/>
  <c r="BO57" i="30"/>
  <c r="V315" i="30" a="1"/>
  <c r="V315" i="30" s="1"/>
  <c r="AB315" i="30" a="1"/>
  <c r="AB315" i="30" s="1"/>
  <c r="D310" i="30" a="1"/>
  <c r="D310" i="30" s="1"/>
  <c r="AB309" i="30"/>
  <c r="V81" i="32" a="1"/>
  <c r="V81" i="32" s="1"/>
  <c r="AB81" i="32" a="1"/>
  <c r="AB81" i="32" s="1"/>
  <c r="F77" i="26" a="1"/>
  <c r="F77" i="26" s="1"/>
  <c r="K77" i="26" s="1"/>
  <c r="K76" i="26"/>
  <c r="D454" i="30" a="1"/>
  <c r="D454" i="30" s="1"/>
  <c r="AB453" i="30"/>
  <c r="AH153" i="28"/>
  <c r="AG217" i="29"/>
  <c r="F218" i="29" a="1"/>
  <c r="F218" i="29" s="1"/>
  <c r="F219" i="29" s="1" a="1"/>
  <c r="F219" i="29" s="1"/>
  <c r="AB453" i="29"/>
  <c r="D454" i="29" a="1"/>
  <c r="D454" i="29" s="1"/>
  <c r="F362" i="29" a="1"/>
  <c r="F362" i="29" s="1"/>
  <c r="F363" i="29" s="1" a="1"/>
  <c r="F363" i="29" s="1"/>
  <c r="BC316" i="30"/>
  <c r="T220" i="30"/>
  <c r="F221" i="30" a="1"/>
  <c r="F221" i="30" s="1"/>
  <c r="AJ239" i="28"/>
  <c r="AF239" i="28"/>
  <c r="F240" i="28" a="1"/>
  <c r="F240" i="28" s="1"/>
  <c r="AG239" i="28"/>
  <c r="AE239" i="28"/>
  <c r="AK239" i="28"/>
  <c r="AI239" i="28"/>
  <c r="AL239" i="28" s="1"/>
  <c r="AG228" i="28"/>
  <c r="BD324" i="29"/>
  <c r="BL316" i="30"/>
  <c r="AM42" i="24"/>
  <c r="AN41" i="24"/>
  <c r="D166" i="29" a="1"/>
  <c r="D166" i="29" s="1"/>
  <c r="AB165" i="29"/>
  <c r="BD195" i="29"/>
  <c r="K51" i="19"/>
  <c r="AJ51" i="19"/>
  <c r="AJ27" i="19" s="1"/>
  <c r="AG51" i="19"/>
  <c r="AG27" i="19" s="1"/>
  <c r="AH51" i="19"/>
  <c r="AH27" i="19" s="1"/>
  <c r="AF51" i="19"/>
  <c r="AF27" i="19" s="1"/>
  <c r="AI51" i="19"/>
  <c r="AI27" i="19" s="1"/>
  <c r="AE51" i="19"/>
  <c r="AE27" i="19" s="1"/>
  <c r="AJ130" i="28"/>
  <c r="AF215" i="28"/>
  <c r="AT37" i="29"/>
  <c r="AE37" i="29"/>
  <c r="AG37" i="29"/>
  <c r="AK216" i="28"/>
  <c r="AI37" i="29"/>
  <c r="BD37" i="29" s="1"/>
  <c r="AE130" i="28"/>
  <c r="AJ37" i="29"/>
  <c r="AF37" i="29"/>
  <c r="AK45" i="28"/>
  <c r="AE52" i="29"/>
  <c r="AK215" i="28"/>
  <c r="AJ215" i="28"/>
  <c r="AG131" i="28"/>
  <c r="AG130" i="28"/>
  <c r="AK130" i="28"/>
  <c r="AG45" i="28"/>
  <c r="AE215" i="28"/>
  <c r="AE131" i="28"/>
  <c r="AJ216" i="28"/>
  <c r="AI131" i="28"/>
  <c r="AL131" i="28" s="1"/>
  <c r="AF131" i="28"/>
  <c r="AJ131" i="28"/>
  <c r="AI215" i="28"/>
  <c r="AE216" i="28"/>
  <c r="AF45" i="28"/>
  <c r="AF216" i="28"/>
  <c r="AG216" i="28"/>
  <c r="AE45" i="28"/>
  <c r="AG215" i="28"/>
  <c r="AI130" i="28"/>
  <c r="AF130" i="28"/>
  <c r="AJ45" i="28"/>
  <c r="AK131" i="28"/>
  <c r="AK46" i="28"/>
  <c r="AI216" i="28"/>
  <c r="AL216" i="28" s="1"/>
  <c r="AI52" i="29"/>
  <c r="BD52" i="29" s="1"/>
  <c r="AI45" i="28"/>
  <c r="AT207" i="29"/>
  <c r="AT206" i="29" s="1"/>
  <c r="AT197" i="29" s="1"/>
  <c r="AI46" i="28"/>
  <c r="AL46" i="28" s="1"/>
  <c r="AF63" i="29"/>
  <c r="AE46" i="28"/>
  <c r="AF46" i="28"/>
  <c r="AG351" i="29"/>
  <c r="AF52" i="29"/>
  <c r="AI351" i="29"/>
  <c r="AG52" i="29"/>
  <c r="AG207" i="29"/>
  <c r="AE63" i="29"/>
  <c r="AJ207" i="29"/>
  <c r="AE351" i="29"/>
  <c r="AJ46" i="28"/>
  <c r="AG46" i="28"/>
  <c r="AI207" i="29"/>
  <c r="AG63" i="29"/>
  <c r="AT63" i="29"/>
  <c r="AJ351" i="29"/>
  <c r="AI63" i="29"/>
  <c r="AJ63" i="29"/>
  <c r="AT351" i="29"/>
  <c r="AT352" i="29"/>
  <c r="AE43" i="21"/>
  <c r="AE39" i="21" s="1"/>
  <c r="AE217" i="29" s="1"/>
  <c r="AJ324" i="29"/>
  <c r="AE181" i="29"/>
  <c r="AG47" i="20"/>
  <c r="AF59" i="28"/>
  <c r="AF195" i="29"/>
  <c r="AI28" i="20"/>
  <c r="AG352" i="29"/>
  <c r="AJ181" i="29"/>
  <c r="AT195" i="29"/>
  <c r="AE324" i="29"/>
  <c r="AE323" i="29" s="1"/>
  <c r="AE318" i="29" s="1"/>
  <c r="AJ195" i="29"/>
  <c r="AI59" i="28"/>
  <c r="AE229" i="28"/>
  <c r="AE144" i="28"/>
  <c r="AF351" i="29"/>
  <c r="AK229" i="28"/>
  <c r="AI150" i="28"/>
  <c r="AL150" i="28" s="1"/>
  <c r="AI65" i="28"/>
  <c r="AL65" i="28" s="1"/>
  <c r="AK235" i="28"/>
  <c r="AF230" i="28"/>
  <c r="AE150" i="28"/>
  <c r="AE64" i="29"/>
  <c r="AI234" i="28"/>
  <c r="AE145" i="28"/>
  <c r="AI64" i="28"/>
  <c r="AI64" i="29"/>
  <c r="BD64" i="29" s="1"/>
  <c r="AJ235" i="28"/>
  <c r="AH47" i="20"/>
  <c r="AK230" i="28"/>
  <c r="AI29" i="20"/>
  <c r="AK65" i="28"/>
  <c r="AF235" i="28"/>
  <c r="AH235" i="28" s="1"/>
  <c r="AJ196" i="29"/>
  <c r="AI229" i="28"/>
  <c r="AF28" i="20"/>
  <c r="AJ352" i="29"/>
  <c r="AE51" i="29"/>
  <c r="AH66" i="20"/>
  <c r="AI47" i="20"/>
  <c r="AJ47" i="20"/>
  <c r="AF48" i="20"/>
  <c r="AE36" i="29"/>
  <c r="AJ208" i="29"/>
  <c r="AI208" i="29"/>
  <c r="BD208" i="29" s="1"/>
  <c r="AF36" i="29"/>
  <c r="AG28" i="20"/>
  <c r="AI340" i="29"/>
  <c r="BD340" i="29" s="1"/>
  <c r="AG36" i="29"/>
  <c r="AF67" i="20"/>
  <c r="AG339" i="29"/>
  <c r="AT325" i="29"/>
  <c r="AE196" i="29"/>
  <c r="AH55" i="21"/>
  <c r="AH51" i="21" s="1"/>
  <c r="AI361" i="29" s="1"/>
  <c r="BD361" i="29" s="1"/>
  <c r="AG325" i="29"/>
  <c r="AE67" i="20"/>
  <c r="AI180" i="29"/>
  <c r="AJ52" i="29"/>
  <c r="AE234" i="28"/>
  <c r="AJ64" i="28"/>
  <c r="AJ59" i="28"/>
  <c r="AF31" i="21"/>
  <c r="AF27" i="21" s="1"/>
  <c r="AF73" i="29" s="1"/>
  <c r="AK234" i="28"/>
  <c r="AI235" i="28"/>
  <c r="AL235" i="28" s="1"/>
  <c r="AT52" i="29"/>
  <c r="AG145" i="28"/>
  <c r="AF234" i="28"/>
  <c r="AF64" i="28"/>
  <c r="AH64" i="28" s="1"/>
  <c r="AT64" i="29"/>
  <c r="AG144" i="28"/>
  <c r="AE55" i="21"/>
  <c r="AE51" i="21" s="1"/>
  <c r="AE361" i="29" s="1"/>
  <c r="AI325" i="29"/>
  <c r="BD325" i="29" s="1"/>
  <c r="AI36" i="29"/>
  <c r="AT51" i="29"/>
  <c r="AG60" i="28"/>
  <c r="AI181" i="29"/>
  <c r="BD181" i="29" s="1"/>
  <c r="AF229" i="28"/>
  <c r="AF324" i="29"/>
  <c r="AH324" i="29" s="1"/>
  <c r="AJ144" i="28"/>
  <c r="AJ143" i="28" s="1"/>
  <c r="AJ141" i="28" s="1"/>
  <c r="AJ340" i="29"/>
  <c r="AT324" i="29"/>
  <c r="AE48" i="20"/>
  <c r="AI144" i="28"/>
  <c r="AI66" i="20"/>
  <c r="AI65" i="20" s="1"/>
  <c r="AJ325" i="29"/>
  <c r="AG208" i="29"/>
  <c r="AG196" i="29"/>
  <c r="AG340" i="29"/>
  <c r="AJ51" i="29"/>
  <c r="AI339" i="29"/>
  <c r="AH48" i="20"/>
  <c r="AI352" i="29"/>
  <c r="BD352" i="29" s="1"/>
  <c r="AF208" i="29"/>
  <c r="AF180" i="29"/>
  <c r="AE207" i="29"/>
  <c r="AF64" i="29"/>
  <c r="AE29" i="20"/>
  <c r="AE64" i="28"/>
  <c r="AG29" i="20"/>
  <c r="AE149" i="28"/>
  <c r="AE65" i="28"/>
  <c r="AE59" i="28"/>
  <c r="AE58" i="28" s="1"/>
  <c r="AE56" i="28" s="1"/>
  <c r="AK150" i="28"/>
  <c r="AJ149" i="28"/>
  <c r="AF29" i="20"/>
  <c r="AE235" i="28"/>
  <c r="AE230" i="28"/>
  <c r="AG150" i="28"/>
  <c r="AK64" i="28"/>
  <c r="AJ180" i="29"/>
  <c r="AG195" i="29"/>
  <c r="AT36" i="29"/>
  <c r="AT35" i="29" s="1"/>
  <c r="AT30" i="29" s="1"/>
  <c r="AI51" i="29"/>
  <c r="AF196" i="29"/>
  <c r="AJ60" i="28"/>
  <c r="AJ229" i="28"/>
  <c r="AE28" i="20"/>
  <c r="AE27" i="20" s="1"/>
  <c r="AE180" i="29"/>
  <c r="AE208" i="29"/>
  <c r="AF340" i="29"/>
  <c r="AG59" i="28"/>
  <c r="AF66" i="20"/>
  <c r="AF65" i="20" s="1"/>
  <c r="AK144" i="28"/>
  <c r="AJ48" i="20"/>
  <c r="AE31" i="21"/>
  <c r="AE27" i="21" s="1"/>
  <c r="AE73" i="29" s="1"/>
  <c r="AF352" i="29"/>
  <c r="AE352" i="29"/>
  <c r="AG180" i="29"/>
  <c r="AG48" i="20"/>
  <c r="AE339" i="29"/>
  <c r="AE338" i="29" s="1"/>
  <c r="AE335" i="29" s="1"/>
  <c r="AI43" i="21"/>
  <c r="AI39" i="21" s="1"/>
  <c r="AJ217" i="29" s="1"/>
  <c r="AI31" i="21"/>
  <c r="AI27" i="21" s="1"/>
  <c r="AJ73" i="29" s="1"/>
  <c r="AE47" i="20"/>
  <c r="AK59" i="28"/>
  <c r="AK58" i="28" s="1"/>
  <c r="AK56" i="28" s="1"/>
  <c r="AJ55" i="21"/>
  <c r="AJ51" i="21" s="1"/>
  <c r="AT361" i="29" s="1"/>
  <c r="AK145" i="28"/>
  <c r="AJ150" i="28"/>
  <c r="AF181" i="29"/>
  <c r="AH181" i="29" s="1"/>
  <c r="AH29" i="20"/>
  <c r="AH27" i="20" s="1"/>
  <c r="AJ230" i="28"/>
  <c r="AF150" i="28"/>
  <c r="AJ64" i="29"/>
  <c r="AJ65" i="28"/>
  <c r="AF144" i="28"/>
  <c r="AF143" i="28" s="1"/>
  <c r="AF141" i="28" s="1"/>
  <c r="AG64" i="29"/>
  <c r="AI149" i="28"/>
  <c r="AF65" i="28"/>
  <c r="AH65" i="28" s="1"/>
  <c r="AF207" i="29"/>
  <c r="AJ29" i="20"/>
  <c r="AJ27" i="20" s="1"/>
  <c r="AJ234" i="28"/>
  <c r="AG149" i="28"/>
  <c r="AK149" i="28"/>
  <c r="AF339" i="29"/>
  <c r="AE66" i="20"/>
  <c r="AT181" i="29"/>
  <c r="AG55" i="21"/>
  <c r="AG51" i="21" s="1"/>
  <c r="AG361" i="29" s="1"/>
  <c r="AI55" i="21"/>
  <c r="AI51" i="21" s="1"/>
  <c r="AJ361" i="29" s="1"/>
  <c r="AT340" i="29"/>
  <c r="AT338" i="29" s="1"/>
  <c r="AT335" i="29" s="1"/>
  <c r="AF325" i="29"/>
  <c r="AJ66" i="20"/>
  <c r="AJ65" i="20" s="1"/>
  <c r="F365" i="30" a="1"/>
  <c r="F365" i="30" s="1"/>
  <c r="T364" i="30"/>
  <c r="AM50" i="24"/>
  <c r="AN49" i="24"/>
  <c r="AH230" i="28"/>
  <c r="AM34" i="24"/>
  <c r="AN33" i="24"/>
  <c r="F63" i="18" a="1"/>
  <c r="F63" i="18" s="1"/>
  <c r="T62" i="18"/>
  <c r="T63" i="18" s="1" a="1"/>
  <c r="T63" i="18" s="1"/>
  <c r="T74" i="18" s="1" a="1"/>
  <c r="T74" i="18" s="1"/>
  <c r="T81" i="18" s="1" a="1"/>
  <c r="T81" i="18" s="1"/>
  <c r="T88" i="18" s="1" a="1"/>
  <c r="T88" i="18" s="1"/>
  <c r="F155" i="28" a="1"/>
  <c r="F155" i="28" s="1"/>
  <c r="AK154" i="28"/>
  <c r="AG154" i="28"/>
  <c r="AJ154" i="28"/>
  <c r="AF154" i="28"/>
  <c r="AI154" i="28"/>
  <c r="AL154" i="28" s="1"/>
  <c r="AE154" i="28"/>
  <c r="AH216" i="29"/>
  <c r="F74" i="29" a="1"/>
  <c r="F74" i="29" s="1"/>
  <c r="F75" i="29" s="1" a="1"/>
  <c r="F75" i="29" s="1"/>
  <c r="BC172" i="30"/>
  <c r="BM172" i="30" s="1"/>
  <c r="AH238" i="28"/>
  <c r="AG323" i="29"/>
  <c r="AF35" i="29" l="1"/>
  <c r="AF30" i="29" s="1"/>
  <c r="AG63" i="28"/>
  <c r="AE179" i="29"/>
  <c r="AE174" i="29" s="1"/>
  <c r="AH145" i="28"/>
  <c r="AF46" i="20"/>
  <c r="AJ31" i="21"/>
  <c r="AJ27" i="21" s="1"/>
  <c r="AT73" i="29" s="1"/>
  <c r="AH51" i="29"/>
  <c r="AT179" i="29"/>
  <c r="AT174" i="29" s="1"/>
  <c r="AH60" i="28"/>
  <c r="AH65" i="20"/>
  <c r="AF148" i="28"/>
  <c r="AF58" i="28"/>
  <c r="AF56" i="28" s="1"/>
  <c r="AH361" i="29"/>
  <c r="AK148" i="28"/>
  <c r="AF206" i="29"/>
  <c r="AF197" i="29" s="1"/>
  <c r="AI194" i="29"/>
  <c r="BD194" i="29" s="1"/>
  <c r="AK233" i="28"/>
  <c r="AE35" i="29"/>
  <c r="AE30" i="29" s="1"/>
  <c r="AJ233" i="28"/>
  <c r="AJ179" i="29"/>
  <c r="AJ174" i="29" s="1"/>
  <c r="AE50" i="29"/>
  <c r="AE47" i="29" s="1"/>
  <c r="AG31" i="21"/>
  <c r="AG27" i="21" s="1"/>
  <c r="AG73" i="29" s="1"/>
  <c r="AH73" i="29" s="1"/>
  <c r="AF50" i="29"/>
  <c r="AF47" i="29" s="1"/>
  <c r="AK63" i="28"/>
  <c r="AE194" i="29"/>
  <c r="AE191" i="29" s="1"/>
  <c r="AE46" i="20"/>
  <c r="AJ50" i="29"/>
  <c r="AJ47" i="29" s="1"/>
  <c r="AT194" i="29"/>
  <c r="AT191" i="29" s="1"/>
  <c r="AT172" i="29" s="1"/>
  <c r="BE172" i="29" s="1"/>
  <c r="AJ35" i="29"/>
  <c r="AJ30" i="29" s="1"/>
  <c r="AE148" i="28"/>
  <c r="AJ338" i="29"/>
  <c r="AJ335" i="29" s="1"/>
  <c r="AI46" i="20"/>
  <c r="AF233" i="28"/>
  <c r="AH31" i="21"/>
  <c r="AH27" i="21" s="1"/>
  <c r="AI73" i="29" s="1"/>
  <c r="BD73" i="29" s="1"/>
  <c r="AE65" i="20"/>
  <c r="AE63" i="28"/>
  <c r="AH208" i="29"/>
  <c r="AT50" i="29"/>
  <c r="AT47" i="29" s="1"/>
  <c r="AH69" i="28"/>
  <c r="AH64" i="29"/>
  <c r="AF228" i="28"/>
  <c r="AF226" i="28" s="1"/>
  <c r="AF338" i="29"/>
  <c r="AF335" i="29" s="1"/>
  <c r="AT323" i="29"/>
  <c r="AT318" i="29" s="1"/>
  <c r="AH154" i="28"/>
  <c r="AE143" i="28"/>
  <c r="AE141" i="28" s="1"/>
  <c r="AH46" i="28"/>
  <c r="AJ214" i="28"/>
  <c r="AH216" i="28"/>
  <c r="AG318" i="29"/>
  <c r="F76" i="29" a="1"/>
  <c r="F76" i="29" s="1"/>
  <c r="T75" i="29"/>
  <c r="AJ155" i="28"/>
  <c r="AF155" i="28"/>
  <c r="AF146" i="28" s="1"/>
  <c r="AN155" i="28"/>
  <c r="AI155" i="28"/>
  <c r="AL155" i="28" s="1"/>
  <c r="AE155" i="28"/>
  <c r="F156" i="28" a="1"/>
  <c r="F156" i="28" s="1"/>
  <c r="AK155" i="28"/>
  <c r="AG155" i="28"/>
  <c r="F64" i="18" a="1"/>
  <c r="F64" i="18" s="1"/>
  <c r="AO49" i="24"/>
  <c r="AN50" i="24"/>
  <c r="AH180" i="29"/>
  <c r="AG179" i="29"/>
  <c r="AJ228" i="28"/>
  <c r="AJ226" i="28" s="1"/>
  <c r="AH150" i="28"/>
  <c r="AJ148" i="28"/>
  <c r="AH340" i="29"/>
  <c r="AF63" i="28"/>
  <c r="AJ63" i="28"/>
  <c r="AJ46" i="20"/>
  <c r="AH46" i="20"/>
  <c r="AK228" i="28"/>
  <c r="AK226" i="28" s="1"/>
  <c r="AE228" i="28"/>
  <c r="AE226" i="28" s="1"/>
  <c r="AF194" i="29"/>
  <c r="AF191" i="29" s="1"/>
  <c r="AT350" i="29"/>
  <c r="AT341" i="29" s="1"/>
  <c r="AT62" i="29"/>
  <c r="AT53" i="29" s="1"/>
  <c r="AH207" i="29"/>
  <c r="AG206" i="29"/>
  <c r="AH351" i="29"/>
  <c r="AG350" i="29"/>
  <c r="AF129" i="28"/>
  <c r="AI214" i="28"/>
  <c r="AL214" i="28" s="1"/>
  <c r="AL215" i="28"/>
  <c r="AK129" i="28"/>
  <c r="AK214" i="28"/>
  <c r="AH37" i="29"/>
  <c r="AJ129" i="28"/>
  <c r="AO41" i="24"/>
  <c r="AN42" i="24"/>
  <c r="AH229" i="28"/>
  <c r="AH239" i="28"/>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222" i="30" a="1"/>
  <c r="F222" i="30" s="1"/>
  <c r="F223" i="30" s="1" a="1"/>
  <c r="F223" i="30" s="1"/>
  <c r="F224" i="30" s="1" a="1"/>
  <c r="F224" i="30" s="1"/>
  <c r="D455" i="29"/>
  <c r="AB454" i="29"/>
  <c r="D455" i="30"/>
  <c r="AB454" i="30"/>
  <c r="AH149" i="28"/>
  <c r="AG148" i="28"/>
  <c r="AK143" i="28"/>
  <c r="AK141" i="28" s="1"/>
  <c r="AH195" i="29"/>
  <c r="AG194" i="29"/>
  <c r="AE206" i="29"/>
  <c r="AE197" i="29" s="1"/>
  <c r="AH196" i="29"/>
  <c r="AI143" i="28"/>
  <c r="AL144" i="28"/>
  <c r="AE233" i="28"/>
  <c r="AH325" i="29"/>
  <c r="AH339" i="29"/>
  <c r="AG338" i="29"/>
  <c r="AF27" i="20"/>
  <c r="AI233" i="28"/>
  <c r="AL234" i="28"/>
  <c r="AF350" i="29"/>
  <c r="AF341" i="29" s="1"/>
  <c r="AI58" i="28"/>
  <c r="AL59" i="28"/>
  <c r="AJ323" i="29"/>
  <c r="AJ318" i="29" s="1"/>
  <c r="AJ62" i="29"/>
  <c r="AJ53" i="29" s="1"/>
  <c r="AG62" i="29"/>
  <c r="AH63" i="29"/>
  <c r="AE350" i="29"/>
  <c r="AE341" i="29" s="1"/>
  <c r="AE316" i="29" s="1"/>
  <c r="AH52" i="29"/>
  <c r="AL130" i="28"/>
  <c r="AI129" i="28"/>
  <c r="AL129" i="28" s="1"/>
  <c r="AH130" i="28"/>
  <c r="AG129" i="28"/>
  <c r="AE129" i="28"/>
  <c r="AI323" i="29"/>
  <c r="AN240" i="28"/>
  <c r="AI240" i="28"/>
  <c r="AL240" i="28" s="1"/>
  <c r="AE240" i="28"/>
  <c r="F241" i="28" a="1"/>
  <c r="F241" i="28" s="1"/>
  <c r="AK240" i="28"/>
  <c r="AK231" i="28" s="1"/>
  <c r="AG240" i="28"/>
  <c r="AJ240" i="28"/>
  <c r="AJ231" i="28" s="1"/>
  <c r="AF240" i="28"/>
  <c r="AF231" i="28" s="1"/>
  <c r="T363" i="29"/>
  <c r="F364" i="29" a="1"/>
  <c r="F364" i="29" s="1"/>
  <c r="AH234" i="28"/>
  <c r="F71" i="28" a="1"/>
  <c r="F71" i="28" s="1"/>
  <c r="AK70" i="28"/>
  <c r="AG70" i="28"/>
  <c r="AJ70" i="28"/>
  <c r="AF70" i="28"/>
  <c r="AN70" i="28"/>
  <c r="AI70" i="28"/>
  <c r="AL70" i="28" s="1"/>
  <c r="AE70" i="28"/>
  <c r="AO33" i="24"/>
  <c r="AN34" i="24"/>
  <c r="AL149" i="28"/>
  <c r="AI148" i="28"/>
  <c r="AE172" i="29"/>
  <c r="AF179" i="29"/>
  <c r="AF174" i="29" s="1"/>
  <c r="BD339" i="29"/>
  <c r="AI338" i="29"/>
  <c r="AF323" i="29"/>
  <c r="AF318" i="29" s="1"/>
  <c r="AG143" i="28"/>
  <c r="AH144" i="28"/>
  <c r="AG27" i="20"/>
  <c r="AL229" i="28"/>
  <c r="AI228" i="28"/>
  <c r="AJ194" i="29"/>
  <c r="AJ191" i="29" s="1"/>
  <c r="AH352" i="29"/>
  <c r="AG46" i="20"/>
  <c r="AI62" i="29"/>
  <c r="BD63" i="29"/>
  <c r="BD207" i="29"/>
  <c r="AI206" i="29"/>
  <c r="AJ206" i="29"/>
  <c r="AJ197" i="29" s="1"/>
  <c r="AI350" i="29"/>
  <c r="BD351" i="29"/>
  <c r="AI44" i="28"/>
  <c r="AL44" i="28" s="1"/>
  <c r="AL45" i="28"/>
  <c r="AG214" i="28"/>
  <c r="AH215" i="28"/>
  <c r="AF44" i="28"/>
  <c r="AE214" i="28"/>
  <c r="AH131" i="28"/>
  <c r="AK44" i="28"/>
  <c r="AG50" i="29"/>
  <c r="D311" i="30"/>
  <c r="AB310" i="30"/>
  <c r="BO58" i="30"/>
  <c r="F59" i="30" a="1"/>
  <c r="F59" i="30" s="1"/>
  <c r="AH233" i="28"/>
  <c r="F366" i="30" a="1"/>
  <c r="F366" i="30" s="1"/>
  <c r="F367" i="30" s="1" a="1"/>
  <c r="F367" i="30" s="1"/>
  <c r="F368" i="30" s="1" a="1"/>
  <c r="F368" i="30" s="1"/>
  <c r="T365" i="30"/>
  <c r="T366" i="30" s="1" a="1"/>
  <c r="T366" i="30" s="1"/>
  <c r="T367" i="30" s="1" a="1"/>
  <c r="T367" i="30" s="1"/>
  <c r="T368" i="30" s="1" a="1"/>
  <c r="T368" i="30" s="1"/>
  <c r="T369" i="30" s="1" a="1"/>
  <c r="T369" i="30" s="1"/>
  <c r="T370" i="30" s="1" a="1"/>
  <c r="T370" i="30" s="1"/>
  <c r="T371" i="30" s="1" a="1"/>
  <c r="T371" i="30" s="1"/>
  <c r="T372" i="30" s="1" a="1"/>
  <c r="T372" i="30" s="1"/>
  <c r="T373" i="30" s="1" a="1"/>
  <c r="T373" i="30" s="1"/>
  <c r="T374" i="30" s="1" a="1"/>
  <c r="T374" i="30" s="1"/>
  <c r="T375" i="30" s="1" a="1"/>
  <c r="T375" i="30" s="1"/>
  <c r="T376" i="30" s="1" a="1"/>
  <c r="T376" i="30" s="1"/>
  <c r="T377" i="30" s="1" a="1"/>
  <c r="T377" i="30" s="1"/>
  <c r="T378" i="30" s="1" a="1"/>
  <c r="T378" i="30" s="1"/>
  <c r="T379" i="30" s="1" a="1"/>
  <c r="T379" i="30" s="1"/>
  <c r="T380" i="30" s="1" a="1"/>
  <c r="T380" i="30" s="1"/>
  <c r="T381" i="30" s="1" a="1"/>
  <c r="T381" i="30" s="1"/>
  <c r="T382" i="30" s="1" a="1"/>
  <c r="T382" i="30" s="1"/>
  <c r="T383" i="30" s="1" a="1"/>
  <c r="T383" i="30" s="1"/>
  <c r="T384" i="30" s="1" a="1"/>
  <c r="T384" i="30" s="1"/>
  <c r="T385" i="30" s="1" a="1"/>
  <c r="T385" i="30" s="1"/>
  <c r="T386" i="30" s="1" a="1"/>
  <c r="T386" i="30" s="1"/>
  <c r="T387" i="30" s="1" a="1"/>
  <c r="T387" i="30" s="1"/>
  <c r="T388" i="30" s="1" a="1"/>
  <c r="T388" i="30" s="1"/>
  <c r="T389" i="30" s="1" a="1"/>
  <c r="T389" i="30" s="1"/>
  <c r="T390" i="30" s="1" a="1"/>
  <c r="T390" i="30" s="1"/>
  <c r="T391" i="30" s="1" a="1"/>
  <c r="T391" i="30" s="1"/>
  <c r="T392" i="30" s="1" a="1"/>
  <c r="T392" i="30" s="1"/>
  <c r="T393" i="30" s="1" a="1"/>
  <c r="T393" i="30" s="1"/>
  <c r="T394" i="30" s="1" a="1"/>
  <c r="T394" i="30" s="1"/>
  <c r="T395" i="30" s="1" a="1"/>
  <c r="T395" i="30" s="1"/>
  <c r="T396" i="30" s="1" a="1"/>
  <c r="T396" i="30" s="1"/>
  <c r="T397" i="30" s="1" a="1"/>
  <c r="T397" i="30" s="1"/>
  <c r="T398" i="30" s="1" a="1"/>
  <c r="T398" i="30" s="1"/>
  <c r="T399" i="30" s="1" a="1"/>
  <c r="T399" i="30" s="1"/>
  <c r="T400" i="30" s="1" a="1"/>
  <c r="T400" i="30" s="1"/>
  <c r="T401" i="30" s="1" a="1"/>
  <c r="T401" i="30" s="1"/>
  <c r="T402" i="30" s="1" a="1"/>
  <c r="T402" i="30" s="1"/>
  <c r="T403" i="30" s="1" a="1"/>
  <c r="T403" i="30" s="1"/>
  <c r="T404" i="30" s="1" a="1"/>
  <c r="T404" i="30" s="1"/>
  <c r="T405" i="30" s="1" a="1"/>
  <c r="T405" i="30" s="1"/>
  <c r="T406" i="30" s="1" a="1"/>
  <c r="T406" i="30" s="1"/>
  <c r="T407" i="30" s="1" a="1"/>
  <c r="T407" i="30" s="1"/>
  <c r="T408" i="30" s="1" a="1"/>
  <c r="T408" i="30" s="1"/>
  <c r="T409" i="30" s="1" a="1"/>
  <c r="T409" i="30" s="1"/>
  <c r="T410" i="30" s="1" a="1"/>
  <c r="T410" i="30" s="1"/>
  <c r="T411" i="30" s="1" a="1"/>
  <c r="T411" i="30" s="1"/>
  <c r="T412" i="30" s="1" a="1"/>
  <c r="T412" i="30" s="1"/>
  <c r="T413" i="30" s="1" a="1"/>
  <c r="T413" i="30" s="1"/>
  <c r="T414" i="30" s="1" a="1"/>
  <c r="T414" i="30" s="1"/>
  <c r="T415" i="30" s="1" a="1"/>
  <c r="T415" i="30" s="1"/>
  <c r="T416" i="30" s="1" a="1"/>
  <c r="T416" i="30" s="1"/>
  <c r="T417" i="30" s="1" a="1"/>
  <c r="T417" i="30" s="1"/>
  <c r="T418" i="30" s="1" a="1"/>
  <c r="T418" i="30" s="1"/>
  <c r="T419" i="30" s="1" a="1"/>
  <c r="T419" i="30" s="1"/>
  <c r="T420" i="30" s="1" a="1"/>
  <c r="T420" i="30" s="1"/>
  <c r="T421" i="30" s="1" a="1"/>
  <c r="T421" i="30" s="1"/>
  <c r="T422" i="30" s="1" a="1"/>
  <c r="T422" i="30" s="1"/>
  <c r="T423" i="30" s="1" a="1"/>
  <c r="T423" i="30" s="1"/>
  <c r="T424" i="30" s="1" a="1"/>
  <c r="T424" i="30" s="1"/>
  <c r="T425" i="30" s="1" a="1"/>
  <c r="T425" i="30" s="1"/>
  <c r="T426" i="30" s="1" a="1"/>
  <c r="T426" i="30" s="1"/>
  <c r="T427" i="30" s="1" a="1"/>
  <c r="T427" i="30" s="1"/>
  <c r="T428" i="30" s="1" a="1"/>
  <c r="T428" i="30" s="1"/>
  <c r="T429" i="30" s="1" a="1"/>
  <c r="T429" i="30" s="1"/>
  <c r="T430" i="30" s="1" a="1"/>
  <c r="T430" i="30" s="1"/>
  <c r="T431" i="30" s="1" a="1"/>
  <c r="T431" i="30" s="1"/>
  <c r="T432" i="30" s="1" a="1"/>
  <c r="T432" i="30" s="1"/>
  <c r="T433" i="30" s="1" a="1"/>
  <c r="T433" i="30" s="1"/>
  <c r="T434" i="30" s="1" a="1"/>
  <c r="T434" i="30" s="1"/>
  <c r="T435" i="30" s="1" a="1"/>
  <c r="T435" i="30" s="1"/>
  <c r="T436" i="30" s="1" a="1"/>
  <c r="T436" i="30" s="1"/>
  <c r="T437" i="30" s="1" a="1"/>
  <c r="T437" i="30" s="1"/>
  <c r="T438" i="30" s="1" a="1"/>
  <c r="T438" i="30" s="1"/>
  <c r="T439" i="30" s="1" a="1"/>
  <c r="T439" i="30" s="1"/>
  <c r="T440" i="30" s="1" a="1"/>
  <c r="T440" i="30" s="1"/>
  <c r="T441" i="30" s="1" a="1"/>
  <c r="T441" i="30" s="1"/>
  <c r="T442" i="30" s="1" a="1"/>
  <c r="T442" i="30" s="1"/>
  <c r="T443" i="30" s="1" a="1"/>
  <c r="T443" i="30" s="1"/>
  <c r="T444" i="30" s="1" a="1"/>
  <c r="T444" i="30" s="1"/>
  <c r="T445" i="30" s="1" a="1"/>
  <c r="T445" i="30" s="1"/>
  <c r="T446" i="30" s="1" a="1"/>
  <c r="T446" i="30" s="1"/>
  <c r="T447" i="30" s="1" a="1"/>
  <c r="T447" i="30" s="1"/>
  <c r="T448" i="30" s="1" a="1"/>
  <c r="T448" i="30" s="1"/>
  <c r="T449" i="30" s="1" a="1"/>
  <c r="T449" i="30" s="1"/>
  <c r="T450" i="30" s="1" a="1"/>
  <c r="T450" i="30" s="1"/>
  <c r="T451" i="30" s="1" a="1"/>
  <c r="T451" i="30" s="1"/>
  <c r="T452" i="30" s="1" a="1"/>
  <c r="T452" i="30" s="1"/>
  <c r="T453" i="30" s="1" a="1"/>
  <c r="T453" i="30" s="1"/>
  <c r="T454" i="30" s="1" a="1"/>
  <c r="T454" i="30" s="1"/>
  <c r="T455" i="30" s="1" a="1"/>
  <c r="T455" i="30" s="1"/>
  <c r="T456" i="30" s="1" a="1"/>
  <c r="T456" i="30" s="1"/>
  <c r="T457" i="30" s="1" a="1"/>
  <c r="T457" i="30" s="1"/>
  <c r="T458" i="30" s="1" a="1"/>
  <c r="T458" i="30" s="1"/>
  <c r="AH59" i="28"/>
  <c r="AG58" i="28"/>
  <c r="AI50" i="29"/>
  <c r="BD51" i="29"/>
  <c r="AI35" i="29"/>
  <c r="BD36" i="29"/>
  <c r="AJ58" i="28"/>
  <c r="AJ56" i="28" s="1"/>
  <c r="BD180" i="29"/>
  <c r="AI179" i="29"/>
  <c r="AG35" i="29"/>
  <c r="AH36" i="29"/>
  <c r="AI63" i="28"/>
  <c r="AL64" i="28"/>
  <c r="AI27" i="20"/>
  <c r="AJ350" i="29"/>
  <c r="AJ341" i="29" s="1"/>
  <c r="AE62" i="29"/>
  <c r="AE53" i="29" s="1"/>
  <c r="AF62" i="29"/>
  <c r="AF53" i="29" s="1"/>
  <c r="AF28" i="29" s="1"/>
  <c r="AJ44" i="28"/>
  <c r="AE44" i="28"/>
  <c r="AH45" i="28"/>
  <c r="AG44" i="28"/>
  <c r="AF214" i="28"/>
  <c r="BO340" i="29"/>
  <c r="BO180" i="30"/>
  <c r="BO339" i="30"/>
  <c r="AN130" i="28"/>
  <c r="AN234" i="28"/>
  <c r="BO324" i="29"/>
  <c r="BO352" i="29"/>
  <c r="BO340" i="30"/>
  <c r="AN131" i="28"/>
  <c r="BO339" i="29"/>
  <c r="BO208" i="30"/>
  <c r="AN229" i="28"/>
  <c r="BO181" i="30"/>
  <c r="BO351" i="30"/>
  <c r="BO195" i="29"/>
  <c r="BO325" i="30"/>
  <c r="BO351" i="29"/>
  <c r="AN235" i="28"/>
  <c r="BO180" i="29"/>
  <c r="AN144" i="28"/>
  <c r="BO207" i="30"/>
  <c r="BO195" i="30"/>
  <c r="BO352" i="30"/>
  <c r="BO196" i="30"/>
  <c r="BO207" i="29"/>
  <c r="AN149" i="28"/>
  <c r="AN230" i="28"/>
  <c r="BO324" i="30"/>
  <c r="AN150" i="28"/>
  <c r="AN145" i="28"/>
  <c r="BO208" i="29"/>
  <c r="BO325" i="29"/>
  <c r="AN215" i="28"/>
  <c r="BO181" i="29"/>
  <c r="BO196" i="29"/>
  <c r="AN216" i="28"/>
  <c r="AB166" i="29"/>
  <c r="D167" i="29"/>
  <c r="AH228" i="28"/>
  <c r="AG226" i="28"/>
  <c r="AH226" i="28" s="1"/>
  <c r="BM316" i="30"/>
  <c r="T219" i="29"/>
  <c r="F220" i="29" a="1"/>
  <c r="F220" i="29" s="1"/>
  <c r="AH217" i="29"/>
  <c r="V81" i="33" a="1"/>
  <c r="V81" i="33" s="1"/>
  <c r="AB81" i="33" a="1"/>
  <c r="AB81" i="33" s="1"/>
  <c r="V132" i="32" a="1"/>
  <c r="V132" i="32" s="1"/>
  <c r="AB132" i="32" a="1"/>
  <c r="AB132" i="32" s="1"/>
  <c r="D311" i="29"/>
  <c r="AB310" i="29"/>
  <c r="D167" i="30"/>
  <c r="AB166" i="30"/>
  <c r="AT316" i="29" l="1"/>
  <c r="BE316" i="29" s="1"/>
  <c r="AJ146" i="28"/>
  <c r="AE28" i="29"/>
  <c r="AK146" i="28"/>
  <c r="AI191" i="29"/>
  <c r="BD191" i="29" s="1"/>
  <c r="AF172" i="29"/>
  <c r="AK61" i="28"/>
  <c r="AE146" i="28"/>
  <c r="AF316" i="29"/>
  <c r="AU172" i="29"/>
  <c r="BF172" i="29" s="1"/>
  <c r="AE61" i="28"/>
  <c r="AJ28" i="29"/>
  <c r="AK28" i="29" s="1"/>
  <c r="AT28" i="29"/>
  <c r="AU28" i="29" s="1"/>
  <c r="AH70" i="28"/>
  <c r="AH240" i="28"/>
  <c r="AH44" i="28"/>
  <c r="AJ61" i="28"/>
  <c r="AH155" i="28"/>
  <c r="AH214" i="28"/>
  <c r="AJ172" i="29"/>
  <c r="AK172" i="29" s="1"/>
  <c r="AL63" i="28"/>
  <c r="AI61" i="28"/>
  <c r="AL61" i="28" s="1"/>
  <c r="BD179" i="29"/>
  <c r="AI174" i="29"/>
  <c r="BD35" i="29"/>
  <c r="AI30" i="29"/>
  <c r="AI47" i="29"/>
  <c r="BD47" i="29" s="1"/>
  <c r="BD50" i="29"/>
  <c r="AH148" i="28"/>
  <c r="AG146" i="28"/>
  <c r="AH146" i="28" s="1"/>
  <c r="F65" i="18" a="1"/>
  <c r="F65" i="18" s="1"/>
  <c r="F77" i="29" a="1"/>
  <c r="F77" i="29" s="1"/>
  <c r="T76" i="29"/>
  <c r="V134" i="33" a="1"/>
  <c r="V134" i="33" s="1"/>
  <c r="AB134" i="33" a="1"/>
  <c r="AB134" i="33" s="1"/>
  <c r="AU316" i="29"/>
  <c r="AG56" i="28"/>
  <c r="AH56" i="28" s="1"/>
  <c r="AH58" i="28"/>
  <c r="AH50" i="29"/>
  <c r="AG47" i="29"/>
  <c r="AH47" i="29" s="1"/>
  <c r="BD206" i="29"/>
  <c r="AI197" i="29"/>
  <c r="BD197" i="29" s="1"/>
  <c r="AG141" i="28"/>
  <c r="AH141" i="28" s="1"/>
  <c r="AH143" i="28"/>
  <c r="AL148" i="28"/>
  <c r="AI146" i="28"/>
  <c r="AL146" i="28" s="1"/>
  <c r="AP33" i="24"/>
  <c r="AO34" i="24"/>
  <c r="F72" i="28" a="1"/>
  <c r="F72" i="28" s="1"/>
  <c r="AK71" i="28"/>
  <c r="AG71" i="28"/>
  <c r="AJ71" i="28"/>
  <c r="AF71" i="28"/>
  <c r="AN71" i="28"/>
  <c r="AI71" i="28"/>
  <c r="AL71" i="28" s="1"/>
  <c r="AE71" i="28"/>
  <c r="AJ241" i="28"/>
  <c r="AF241" i="28"/>
  <c r="AN241" i="28"/>
  <c r="AE241" i="28"/>
  <c r="AK241" i="28"/>
  <c r="AI241" i="28"/>
  <c r="AL241" i="28" s="1"/>
  <c r="F242" i="28" a="1"/>
  <c r="F242" i="28" s="1"/>
  <c r="AG241" i="28"/>
  <c r="BD323" i="29"/>
  <c r="AI318" i="29"/>
  <c r="AL233" i="28"/>
  <c r="AI231" i="28"/>
  <c r="AL231" i="28" s="1"/>
  <c r="AH194" i="29"/>
  <c r="AG191" i="29"/>
  <c r="AH191" i="29" s="1"/>
  <c r="AB455" i="29" a="1"/>
  <c r="AB455" i="29" s="1"/>
  <c r="D456" i="29" a="1"/>
  <c r="D456" i="29" s="1"/>
  <c r="AH350" i="29"/>
  <c r="AG341" i="29"/>
  <c r="AH341" i="29" s="1"/>
  <c r="AF61" i="28"/>
  <c r="AG61" i="28"/>
  <c r="AH318" i="29"/>
  <c r="AJ316" i="29"/>
  <c r="AH179" i="29"/>
  <c r="AG174" i="29"/>
  <c r="AP49" i="24"/>
  <c r="AO50" i="24"/>
  <c r="AB167" i="30" a="1"/>
  <c r="AB167" i="30" s="1"/>
  <c r="D168" i="30" a="1"/>
  <c r="D168" i="30" s="1"/>
  <c r="T220" i="29"/>
  <c r="F221" i="29" a="1"/>
  <c r="F221" i="29" s="1"/>
  <c r="AG231" i="28"/>
  <c r="AH231" i="28" s="1"/>
  <c r="AH62" i="29"/>
  <c r="AG53" i="29"/>
  <c r="AH53" i="29" s="1"/>
  <c r="AL58" i="28"/>
  <c r="AI56" i="28"/>
  <c r="AL56" i="28" s="1"/>
  <c r="AE231" i="28"/>
  <c r="AI141" i="28"/>
  <c r="AL141" i="28" s="1"/>
  <c r="AL143" i="28"/>
  <c r="F225" i="30" a="1"/>
  <c r="F225" i="30" s="1"/>
  <c r="BE28" i="29"/>
  <c r="AH63" i="28"/>
  <c r="AH323" i="29"/>
  <c r="D312" i="29" a="1"/>
  <c r="D312" i="29" s="1"/>
  <c r="AB311" i="29" a="1"/>
  <c r="AB311" i="29" s="1"/>
  <c r="F369" i="30" a="1"/>
  <c r="F369" i="30" s="1"/>
  <c r="F60" i="30" a="1"/>
  <c r="F60" i="30" s="1"/>
  <c r="BO59" i="30"/>
  <c r="BD62" i="29"/>
  <c r="AI53" i="29"/>
  <c r="BD53" i="29" s="1"/>
  <c r="AL228" i="28"/>
  <c r="AI226" i="28"/>
  <c r="AL226" i="28" s="1"/>
  <c r="AB116" i="34" a="1"/>
  <c r="AB116" i="34" s="1"/>
  <c r="V116" i="34" a="1"/>
  <c r="V116" i="34" s="1"/>
  <c r="D168" i="29" a="1"/>
  <c r="D168" i="29" s="1"/>
  <c r="AB167" i="29" a="1"/>
  <c r="AB167" i="29" s="1"/>
  <c r="AH35" i="29"/>
  <c r="AG30" i="29"/>
  <c r="AB311" i="30" a="1"/>
  <c r="AB311" i="30" s="1"/>
  <c r="D312" i="30" a="1"/>
  <c r="D312" i="30" s="1"/>
  <c r="BD350" i="29"/>
  <c r="AI341" i="29"/>
  <c r="BD341" i="29" s="1"/>
  <c r="BD338" i="29"/>
  <c r="AI335" i="29"/>
  <c r="BD335" i="29" s="1"/>
  <c r="T364" i="29"/>
  <c r="F365" i="29" a="1"/>
  <c r="F365" i="29" s="1"/>
  <c r="AH129" i="28"/>
  <c r="AH338" i="29"/>
  <c r="AG335" i="29"/>
  <c r="AH335" i="29" s="1"/>
  <c r="AB455" i="30" a="1"/>
  <c r="AB455" i="30" s="1"/>
  <c r="D456" i="30" a="1"/>
  <c r="D456" i="30" s="1"/>
  <c r="AP41" i="24"/>
  <c r="AO42" i="24"/>
  <c r="AH206" i="29"/>
  <c r="AG197" i="29"/>
  <c r="AH197" i="29" s="1"/>
  <c r="AN156" i="28"/>
  <c r="AI156" i="28"/>
  <c r="AL156" i="28" s="1"/>
  <c r="AE156" i="28"/>
  <c r="F157" i="28" a="1"/>
  <c r="F157" i="28" s="1"/>
  <c r="AK156" i="28"/>
  <c r="AG156" i="28"/>
  <c r="AJ156" i="28"/>
  <c r="AF156" i="28"/>
  <c r="AV172" i="29"/>
  <c r="AH156" i="28" l="1"/>
  <c r="AH61" i="28"/>
  <c r="AH241" i="28"/>
  <c r="AW172" i="29"/>
  <c r="BG172" i="29"/>
  <c r="AJ72" i="28"/>
  <c r="AF72" i="28"/>
  <c r="AN72" i="28"/>
  <c r="AI72" i="28"/>
  <c r="AL72" i="28" s="1"/>
  <c r="AE72" i="28"/>
  <c r="F73" i="28" a="1"/>
  <c r="F73" i="28" s="1"/>
  <c r="AK72" i="28"/>
  <c r="AG72" i="28"/>
  <c r="F78" i="29" a="1"/>
  <c r="F78" i="29" s="1"/>
  <c r="T77" i="29"/>
  <c r="AH30" i="29"/>
  <c r="AG28" i="29"/>
  <c r="BO60" i="30"/>
  <c r="F61" i="30" a="1"/>
  <c r="F61" i="30" s="1"/>
  <c r="F222" i="29" a="1"/>
  <c r="F222" i="29" s="1"/>
  <c r="T221" i="29"/>
  <c r="AK316" i="29"/>
  <c r="AB456" i="29"/>
  <c r="D457" i="29" a="1"/>
  <c r="D457" i="29" s="1"/>
  <c r="V205" i="34" a="1"/>
  <c r="V205" i="34" s="1"/>
  <c r="AB205" i="34" a="1"/>
  <c r="AB205" i="34" s="1"/>
  <c r="BD174" i="29"/>
  <c r="AI172" i="29"/>
  <c r="D313" i="29" a="1"/>
  <c r="D313" i="29" s="1"/>
  <c r="AB312" i="29"/>
  <c r="AB46" i="35" a="1"/>
  <c r="AB46" i="35" s="1"/>
  <c r="V46" i="35" a="1"/>
  <c r="V46" i="35" s="1"/>
  <c r="F370" i="30" a="1"/>
  <c r="F370" i="30" s="1"/>
  <c r="BO369" i="30"/>
  <c r="AQ49" i="24"/>
  <c r="AP50" i="24"/>
  <c r="AG316" i="29"/>
  <c r="F243" i="28" a="1"/>
  <c r="F243" i="28" s="1"/>
  <c r="AK242" i="28"/>
  <c r="AG242" i="28"/>
  <c r="AN242" i="28"/>
  <c r="AI242" i="28"/>
  <c r="AL242" i="28" s="1"/>
  <c r="AE242" i="28"/>
  <c r="AF242" i="28"/>
  <c r="AJ242" i="28"/>
  <c r="AH71" i="28"/>
  <c r="AQ33" i="24"/>
  <c r="AP34" i="24"/>
  <c r="AV316" i="29"/>
  <c r="BF316" i="29"/>
  <c r="T65" i="18"/>
  <c r="T66" i="18" s="1" a="1"/>
  <c r="T66" i="18" s="1"/>
  <c r="T67" i="18" s="1" a="1"/>
  <c r="T67" i="18" s="1"/>
  <c r="T68" i="18" s="1" a="1"/>
  <c r="T68" i="18" s="1"/>
  <c r="T69" i="18" s="1" a="1"/>
  <c r="T69" i="18" s="1"/>
  <c r="T70" i="18" s="1" a="1"/>
  <c r="T70" i="18" s="1"/>
  <c r="T71" i="18" s="1" a="1"/>
  <c r="T71" i="18" s="1"/>
  <c r="T72" i="18" s="1" a="1"/>
  <c r="T72" i="18" s="1"/>
  <c r="F66" i="18" a="1"/>
  <c r="F66" i="18" s="1"/>
  <c r="AL28" i="29"/>
  <c r="AL172" i="29"/>
  <c r="AB456" i="30"/>
  <c r="D457" i="30" a="1"/>
  <c r="D457" i="30" s="1"/>
  <c r="D169" i="29" a="1"/>
  <c r="D169" i="29" s="1"/>
  <c r="AB168" i="29"/>
  <c r="BF28" i="29"/>
  <c r="AV28" i="29"/>
  <c r="F366" i="29" a="1"/>
  <c r="F366" i="29" s="1"/>
  <c r="T365" i="29"/>
  <c r="F158" i="28" a="1"/>
  <c r="F158" i="28" s="1"/>
  <c r="AK157" i="28"/>
  <c r="AG157" i="28"/>
  <c r="AJ157" i="28"/>
  <c r="AF157" i="28"/>
  <c r="AN157" i="28"/>
  <c r="AI157" i="28"/>
  <c r="AL157" i="28" s="1"/>
  <c r="AE157" i="28"/>
  <c r="AQ41" i="24"/>
  <c r="AP42" i="24"/>
  <c r="D313" i="30" a="1"/>
  <c r="D313" i="30" s="1"/>
  <c r="AB312" i="30"/>
  <c r="BO225" i="30"/>
  <c r="F226" i="30" a="1"/>
  <c r="F226" i="30" s="1"/>
  <c r="AB168" i="30"/>
  <c r="D169" i="30" a="1"/>
  <c r="D169" i="30" s="1"/>
  <c r="AH174" i="29"/>
  <c r="AG172" i="29"/>
  <c r="BD318" i="29"/>
  <c r="AI316" i="29"/>
  <c r="BD30" i="29"/>
  <c r="AI28" i="29"/>
  <c r="AH72" i="28" l="1"/>
  <c r="AH157" i="28"/>
  <c r="D314" i="30" a="1"/>
  <c r="D314" i="30" s="1"/>
  <c r="AB314" i="30" s="1"/>
  <c r="AB313" i="30"/>
  <c r="G367" i="29" a="1"/>
  <c r="G367" i="29" s="1"/>
  <c r="F367" i="29" a="1"/>
  <c r="F367" i="29" s="1"/>
  <c r="F368" i="29" s="1" a="1"/>
  <c r="F368" i="29" s="1"/>
  <c r="T366" i="29"/>
  <c r="T367" i="29" s="1" a="1"/>
  <c r="T367" i="29" s="1"/>
  <c r="T368" i="29" s="1" a="1"/>
  <c r="T368" i="29" s="1"/>
  <c r="T369" i="29" s="1" a="1"/>
  <c r="T369" i="29" s="1"/>
  <c r="T370" i="29" s="1" a="1"/>
  <c r="T370" i="29" s="1"/>
  <c r="T371" i="29" s="1" a="1"/>
  <c r="T371" i="29" s="1"/>
  <c r="T372" i="29" s="1" a="1"/>
  <c r="T372" i="29" s="1"/>
  <c r="T373" i="29" s="1" a="1"/>
  <c r="T373" i="29" s="1"/>
  <c r="T374" i="29" s="1" a="1"/>
  <c r="T374" i="29" s="1"/>
  <c r="T375" i="29" s="1" a="1"/>
  <c r="T375" i="29" s="1"/>
  <c r="T376" i="29" s="1" a="1"/>
  <c r="T376" i="29" s="1"/>
  <c r="T377" i="29" s="1" a="1"/>
  <c r="T377" i="29" s="1"/>
  <c r="T378" i="29" s="1" a="1"/>
  <c r="T378" i="29" s="1"/>
  <c r="T379" i="29" s="1" a="1"/>
  <c r="T379" i="29" s="1"/>
  <c r="T380" i="29" s="1" a="1"/>
  <c r="T380" i="29" s="1"/>
  <c r="T381" i="29" s="1" a="1"/>
  <c r="T381" i="29" s="1"/>
  <c r="T382" i="29" s="1" a="1"/>
  <c r="T382" i="29" s="1"/>
  <c r="T383" i="29" s="1" a="1"/>
  <c r="T383" i="29" s="1"/>
  <c r="T384" i="29" s="1" a="1"/>
  <c r="T384" i="29" s="1"/>
  <c r="T385" i="29" s="1" a="1"/>
  <c r="T385" i="29" s="1"/>
  <c r="T386" i="29" s="1" a="1"/>
  <c r="T386" i="29" s="1"/>
  <c r="T387" i="29" s="1" a="1"/>
  <c r="T387" i="29" s="1"/>
  <c r="T388" i="29" s="1" a="1"/>
  <c r="T388" i="29" s="1"/>
  <c r="T389" i="29" s="1" a="1"/>
  <c r="T389" i="29" s="1"/>
  <c r="T390" i="29" s="1" a="1"/>
  <c r="T390" i="29" s="1"/>
  <c r="T391" i="29" s="1" a="1"/>
  <c r="T391" i="29" s="1"/>
  <c r="T392" i="29" s="1" a="1"/>
  <c r="T392" i="29" s="1"/>
  <c r="T393" i="29" s="1" a="1"/>
  <c r="T393" i="29" s="1"/>
  <c r="T394" i="29" s="1" a="1"/>
  <c r="T394" i="29" s="1"/>
  <c r="T395" i="29" s="1" a="1"/>
  <c r="T395" i="29" s="1"/>
  <c r="T396" i="29" s="1" a="1"/>
  <c r="T396" i="29" s="1"/>
  <c r="T397" i="29" s="1" a="1"/>
  <c r="T397" i="29" s="1"/>
  <c r="T398" i="29" s="1" a="1"/>
  <c r="T398" i="29" s="1"/>
  <c r="T399" i="29" s="1" a="1"/>
  <c r="T399" i="29" s="1"/>
  <c r="T400" i="29" s="1" a="1"/>
  <c r="T400" i="29" s="1"/>
  <c r="T401" i="29" s="1" a="1"/>
  <c r="T401" i="29" s="1"/>
  <c r="T402" i="29" s="1" a="1"/>
  <c r="T402" i="29" s="1"/>
  <c r="T403" i="29" s="1" a="1"/>
  <c r="T403" i="29" s="1"/>
  <c r="T404" i="29" s="1" a="1"/>
  <c r="T404" i="29" s="1"/>
  <c r="T405" i="29" s="1" a="1"/>
  <c r="T405" i="29" s="1"/>
  <c r="T406" i="29" s="1" a="1"/>
  <c r="T406" i="29" s="1"/>
  <c r="T407" i="29" s="1" a="1"/>
  <c r="T407" i="29" s="1"/>
  <c r="T408" i="29" s="1" a="1"/>
  <c r="T408" i="29" s="1"/>
  <c r="T409" i="29" s="1" a="1"/>
  <c r="T409" i="29" s="1"/>
  <c r="T410" i="29" s="1" a="1"/>
  <c r="T410" i="29" s="1"/>
  <c r="T411" i="29" s="1" a="1"/>
  <c r="T411" i="29" s="1"/>
  <c r="T412" i="29" s="1" a="1"/>
  <c r="T412" i="29" s="1"/>
  <c r="T413" i="29" s="1" a="1"/>
  <c r="T413" i="29" s="1"/>
  <c r="T414" i="29" s="1" a="1"/>
  <c r="T414" i="29" s="1"/>
  <c r="T415" i="29" s="1" a="1"/>
  <c r="T415" i="29" s="1"/>
  <c r="T416" i="29" s="1" a="1"/>
  <c r="T416" i="29" s="1"/>
  <c r="T417" i="29" s="1" a="1"/>
  <c r="T417" i="29" s="1"/>
  <c r="T418" i="29" s="1" a="1"/>
  <c r="T418" i="29" s="1"/>
  <c r="T419" i="29" s="1" a="1"/>
  <c r="T419" i="29" s="1"/>
  <c r="T420" i="29" s="1" a="1"/>
  <c r="T420" i="29" s="1"/>
  <c r="T421" i="29" s="1" a="1"/>
  <c r="T421" i="29" s="1"/>
  <c r="T422" i="29" s="1" a="1"/>
  <c r="T422" i="29" s="1"/>
  <c r="T423" i="29" s="1" a="1"/>
  <c r="T423" i="29" s="1"/>
  <c r="T424" i="29" s="1" a="1"/>
  <c r="T424" i="29" s="1"/>
  <c r="T425" i="29" s="1" a="1"/>
  <c r="T425" i="29" s="1"/>
  <c r="T426" i="29" s="1" a="1"/>
  <c r="T426" i="29" s="1"/>
  <c r="T427" i="29" s="1" a="1"/>
  <c r="T427" i="29" s="1"/>
  <c r="T428" i="29" s="1" a="1"/>
  <c r="T428" i="29" s="1"/>
  <c r="T429" i="29" s="1" a="1"/>
  <c r="T429" i="29" s="1"/>
  <c r="T430" i="29" s="1" a="1"/>
  <c r="T430" i="29" s="1"/>
  <c r="T431" i="29" s="1" a="1"/>
  <c r="T431" i="29" s="1"/>
  <c r="T432" i="29" s="1" a="1"/>
  <c r="T432" i="29" s="1"/>
  <c r="T433" i="29" s="1" a="1"/>
  <c r="T433" i="29" s="1"/>
  <c r="T434" i="29" s="1" a="1"/>
  <c r="T434" i="29" s="1"/>
  <c r="T435" i="29" s="1" a="1"/>
  <c r="T435" i="29" s="1"/>
  <c r="T436" i="29" s="1" a="1"/>
  <c r="T436" i="29" s="1"/>
  <c r="T437" i="29" s="1" a="1"/>
  <c r="T437" i="29" s="1"/>
  <c r="T438" i="29" s="1" a="1"/>
  <c r="T438" i="29" s="1"/>
  <c r="T439" i="29" s="1" a="1"/>
  <c r="T439" i="29" s="1"/>
  <c r="T440" i="29" s="1" a="1"/>
  <c r="T440" i="29" s="1"/>
  <c r="T441" i="29" s="1" a="1"/>
  <c r="T441" i="29" s="1"/>
  <c r="T442" i="29" s="1" a="1"/>
  <c r="T442" i="29" s="1"/>
  <c r="T443" i="29" s="1" a="1"/>
  <c r="T443" i="29" s="1"/>
  <c r="T444" i="29" s="1" a="1"/>
  <c r="T444" i="29" s="1"/>
  <c r="T445" i="29" s="1" a="1"/>
  <c r="T445" i="29" s="1"/>
  <c r="T446" i="29" s="1" a="1"/>
  <c r="T446" i="29" s="1"/>
  <c r="T447" i="29" s="1" a="1"/>
  <c r="T447" i="29" s="1"/>
  <c r="T448" i="29" s="1" a="1"/>
  <c r="T448" i="29" s="1"/>
  <c r="T449" i="29" s="1" a="1"/>
  <c r="T449" i="29" s="1"/>
  <c r="T450" i="29" s="1" a="1"/>
  <c r="T450" i="29" s="1"/>
  <c r="T451" i="29" s="1" a="1"/>
  <c r="T451" i="29" s="1"/>
  <c r="T452" i="29" s="1" a="1"/>
  <c r="T452" i="29" s="1"/>
  <c r="T453" i="29" s="1" a="1"/>
  <c r="T453" i="29" s="1"/>
  <c r="T454" i="29" s="1" a="1"/>
  <c r="T454" i="29" s="1"/>
  <c r="T455" i="29" s="1" a="1"/>
  <c r="T455" i="29" s="1"/>
  <c r="T456" i="29" s="1" a="1"/>
  <c r="T456" i="29" s="1"/>
  <c r="T457" i="29" s="1" a="1"/>
  <c r="T457" i="29" s="1"/>
  <c r="T458" i="29" s="1" a="1"/>
  <c r="T458" i="29" s="1"/>
  <c r="AM172" i="29"/>
  <c r="F67" i="18" a="1"/>
  <c r="F67" i="18" s="1"/>
  <c r="AH316" i="29"/>
  <c r="F371" i="30" a="1"/>
  <c r="F371" i="30" s="1"/>
  <c r="BO370" i="30"/>
  <c r="D314" i="29" a="1"/>
  <c r="D314" i="29" s="1"/>
  <c r="AB314" i="29" s="1"/>
  <c r="AB313" i="29"/>
  <c r="AL316" i="29"/>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79" i="29" a="1"/>
  <c r="G79" i="29" s="1"/>
  <c r="F79" i="29" a="1"/>
  <c r="F79" i="29" s="1"/>
  <c r="F80" i="29" s="1" a="1"/>
  <c r="F80" i="29" s="1"/>
  <c r="AW28" i="29"/>
  <c r="BG28" i="29"/>
  <c r="D170" i="29" a="1"/>
  <c r="D170" i="29" s="1"/>
  <c r="AB170" i="29" s="1"/>
  <c r="AB169" i="29"/>
  <c r="AH242" i="28"/>
  <c r="BD172" i="29"/>
  <c r="AB457" i="29"/>
  <c r="D458" i="29" a="1"/>
  <c r="D458" i="29" s="1"/>
  <c r="AB458" i="29" s="1"/>
  <c r="AH28" i="29"/>
  <c r="BD28" i="29"/>
  <c r="AH172" i="29"/>
  <c r="BO226" i="30"/>
  <c r="F227" i="30" a="1"/>
  <c r="F227" i="30" s="1"/>
  <c r="AQ42" i="24"/>
  <c r="AR41" i="24"/>
  <c r="AK158" i="28"/>
  <c r="AG158" i="28"/>
  <c r="AJ158" i="28"/>
  <c r="AF158" i="28"/>
  <c r="AN158" i="28"/>
  <c r="AI158" i="28"/>
  <c r="AL158" i="28" s="1"/>
  <c r="AE158" i="28"/>
  <c r="F159" i="28" a="1"/>
  <c r="F159" i="28" s="1"/>
  <c r="D458" i="30" a="1"/>
  <c r="D458" i="30" s="1"/>
  <c r="AB458" i="30" s="1"/>
  <c r="AB457" i="30"/>
  <c r="AQ34" i="24"/>
  <c r="AR33" i="24"/>
  <c r="AQ50" i="24"/>
  <c r="AR49" i="24"/>
  <c r="G223" i="29" a="1"/>
  <c r="G223" i="29" s="1"/>
  <c r="F223" i="29" a="1"/>
  <c r="F223" i="29" s="1"/>
  <c r="F224" i="29" s="1" a="1"/>
  <c r="F224" i="29" s="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AX172" i="29"/>
  <c r="BH172" i="29"/>
  <c r="BD316" i="29"/>
  <c r="AB169" i="30"/>
  <c r="D170" i="30" a="1"/>
  <c r="D170" i="30" s="1"/>
  <c r="AB170" i="30" s="1"/>
  <c r="AM28" i="29"/>
  <c r="AW316" i="29"/>
  <c r="BG316" i="29"/>
  <c r="AJ243" i="28"/>
  <c r="AF243" i="28"/>
  <c r="F244" i="28" a="1"/>
  <c r="F244" i="28" s="1"/>
  <c r="AK243" i="28"/>
  <c r="AI243" i="28"/>
  <c r="AL243" i="28" s="1"/>
  <c r="AG243" i="28"/>
  <c r="AN243" i="28"/>
  <c r="AE243" i="28"/>
  <c r="AB65" i="35" a="1"/>
  <c r="AB65" i="35" s="1"/>
  <c r="V65" i="35" a="1"/>
  <c r="V65" i="35" s="1"/>
  <c r="F62" i="30" a="1"/>
  <c r="F62" i="30" s="1"/>
  <c r="F63" i="30" s="1" a="1"/>
  <c r="F63" i="30" s="1"/>
  <c r="BO61" i="30"/>
  <c r="AN73" i="28"/>
  <c r="AI73" i="28"/>
  <c r="AL73" i="28" s="1"/>
  <c r="AE73" i="28"/>
  <c r="F74" i="28" a="1"/>
  <c r="F74" i="28" s="1"/>
  <c r="AK73" i="28"/>
  <c r="AG73" i="28"/>
  <c r="AJ73" i="28"/>
  <c r="AF73" i="28"/>
  <c r="AH243" i="28" l="1"/>
  <c r="AN28" i="29"/>
  <c r="BI172" i="29"/>
  <c r="AY172" i="29"/>
  <c r="AS33" i="24"/>
  <c r="AR34" i="24"/>
  <c r="AI159" i="28"/>
  <c r="AL159" i="28" s="1"/>
  <c r="AE159" i="28"/>
  <c r="AK159" i="28"/>
  <c r="AG159" i="28"/>
  <c r="F160" i="28" a="1"/>
  <c r="F160" i="28" s="1"/>
  <c r="AJ159" i="28"/>
  <c r="AF159" i="28"/>
  <c r="AS41" i="24"/>
  <c r="AR42" i="24"/>
  <c r="AX28" i="29"/>
  <c r="BH28" i="29"/>
  <c r="F68" i="18" a="1"/>
  <c r="F68" i="18" s="1"/>
  <c r="F369" i="29" a="1"/>
  <c r="F369" i="29" s="1"/>
  <c r="BO368" i="29"/>
  <c r="AK74" i="28"/>
  <c r="AG74" i="28"/>
  <c r="F75" i="28" a="1"/>
  <c r="F75" i="28" s="1"/>
  <c r="AJ74" i="28"/>
  <c r="AF74" i="28"/>
  <c r="AI74" i="28"/>
  <c r="AL74" i="28" s="1"/>
  <c r="AE74" i="28"/>
  <c r="AH73" i="28"/>
  <c r="AM316" i="29"/>
  <c r="AN172" i="29"/>
  <c r="F64" i="30" a="1"/>
  <c r="F64" i="30" s="1"/>
  <c r="BO63" i="30"/>
  <c r="F245" i="28" a="1"/>
  <c r="F245" i="28" s="1"/>
  <c r="AJ244" i="28"/>
  <c r="AF244" i="28"/>
  <c r="AK244" i="28"/>
  <c r="AI244" i="28"/>
  <c r="AL244" i="28" s="1"/>
  <c r="AG244" i="28"/>
  <c r="AE244" i="28"/>
  <c r="BO224" i="29"/>
  <c r="F225" i="29" a="1"/>
  <c r="F225" i="29" s="1"/>
  <c r="AS49" i="24"/>
  <c r="AR50" i="24"/>
  <c r="AH158" i="28"/>
  <c r="BO80" i="29"/>
  <c r="F81" i="29" a="1"/>
  <c r="F81" i="29" s="1"/>
  <c r="F372" i="30" a="1"/>
  <c r="F372" i="30" s="1"/>
  <c r="BO371" i="30"/>
  <c r="BH316" i="29"/>
  <c r="AX316" i="29"/>
  <c r="F228" i="30" a="1"/>
  <c r="F228" i="30" s="1"/>
  <c r="AH244" i="28" l="1"/>
  <c r="AN316" i="29"/>
  <c r="AH74" i="28"/>
  <c r="F69" i="18" a="1"/>
  <c r="F69" i="18" s="1"/>
  <c r="AN160" i="28"/>
  <c r="AI160" i="28"/>
  <c r="AE160" i="28"/>
  <c r="F161" i="28" a="1"/>
  <c r="F161" i="28" s="1"/>
  <c r="AK160" i="28"/>
  <c r="AG160" i="28"/>
  <c r="AJ160" i="28"/>
  <c r="AF160" i="28"/>
  <c r="BO228" i="30"/>
  <c r="F229" i="30" a="1"/>
  <c r="F229" i="30" s="1"/>
  <c r="F230" i="30" s="1" a="1"/>
  <c r="F230" i="30" s="1"/>
  <c r="F231" i="30" s="1" a="1"/>
  <c r="F231" i="30" s="1"/>
  <c r="BI316" i="29"/>
  <c r="AY316" i="29"/>
  <c r="F373" i="30" a="1"/>
  <c r="F373" i="30" s="1"/>
  <c r="F374" i="30" s="1" a="1"/>
  <c r="F374" i="30" s="1"/>
  <c r="F375" i="30" s="1" a="1"/>
  <c r="F375" i="30" s="1"/>
  <c r="BO372" i="30"/>
  <c r="BO64" i="30"/>
  <c r="F65" i="30" a="1"/>
  <c r="F65" i="30" s="1"/>
  <c r="AE64" i="30"/>
  <c r="AE62" i="30" s="1"/>
  <c r="AE53" i="30" s="1"/>
  <c r="AE28" i="30" s="1"/>
  <c r="AI64" i="30"/>
  <c r="AI62" i="30" s="1"/>
  <c r="AI53" i="30" s="1"/>
  <c r="AG64" i="30"/>
  <c r="AF64" i="30"/>
  <c r="AF62" i="30" s="1"/>
  <c r="AF53" i="30" s="1"/>
  <c r="AF28" i="30" s="1"/>
  <c r="F370" i="29" a="1"/>
  <c r="F370" i="29" s="1"/>
  <c r="BO369" i="29"/>
  <c r="AT41" i="24"/>
  <c r="AS42" i="24"/>
  <c r="AH159" i="28"/>
  <c r="AT49" i="24"/>
  <c r="AS50" i="24"/>
  <c r="BO225" i="29"/>
  <c r="F226" i="29" a="1"/>
  <c r="F226" i="29" s="1"/>
  <c r="AO172" i="29"/>
  <c r="BI28" i="29"/>
  <c r="AY28" i="29"/>
  <c r="AT33" i="24"/>
  <c r="AS34" i="24"/>
  <c r="AO28" i="29"/>
  <c r="BO81" i="29"/>
  <c r="F82" i="29" a="1"/>
  <c r="F82" i="29" s="1"/>
  <c r="AJ245" i="28"/>
  <c r="AF245" i="28"/>
  <c r="F246" i="28" a="1"/>
  <c r="F246" i="28" s="1"/>
  <c r="AG245" i="28"/>
  <c r="AN245" i="28"/>
  <c r="AE245" i="28"/>
  <c r="AK245" i="28"/>
  <c r="AI245" i="28"/>
  <c r="F76" i="28" a="1"/>
  <c r="F76" i="28" s="1"/>
  <c r="AK75" i="28"/>
  <c r="AG75" i="28"/>
  <c r="AJ75" i="28"/>
  <c r="AF75" i="28"/>
  <c r="AN75" i="28"/>
  <c r="AI75" i="28"/>
  <c r="AL75" i="28" s="1"/>
  <c r="AE75" i="28"/>
  <c r="BJ172" i="29"/>
  <c r="AZ172" i="29"/>
  <c r="AL245" i="28" l="1"/>
  <c r="AH160" i="28"/>
  <c r="BA172" i="29"/>
  <c r="BK172" i="29"/>
  <c r="AH75" i="28"/>
  <c r="AK246" i="28"/>
  <c r="AG246" i="28"/>
  <c r="AI246" i="28"/>
  <c r="AL246" i="28" s="1"/>
  <c r="AE246" i="28"/>
  <c r="AJ246" i="28"/>
  <c r="F247" i="28" a="1"/>
  <c r="F247" i="28" s="1"/>
  <c r="AF246" i="28"/>
  <c r="BO82" i="29"/>
  <c r="F83" i="29" a="1"/>
  <c r="F83" i="29" s="1"/>
  <c r="AU33" i="24"/>
  <c r="AT34" i="24"/>
  <c r="AP172" i="29"/>
  <c r="AU41" i="24"/>
  <c r="AT42" i="24"/>
  <c r="F371" i="29" a="1"/>
  <c r="F371" i="29" s="1"/>
  <c r="BO370" i="29"/>
  <c r="AH64" i="30"/>
  <c r="AG62" i="30"/>
  <c r="F232" i="30" a="1"/>
  <c r="F232" i="30" s="1"/>
  <c r="BO231" i="30"/>
  <c r="AK161" i="28"/>
  <c r="AG161" i="28"/>
  <c r="F162" i="28" a="1"/>
  <c r="F162" i="28" s="1"/>
  <c r="AJ161" i="28"/>
  <c r="AF161" i="28"/>
  <c r="AI161" i="28"/>
  <c r="AL161" i="28" s="1"/>
  <c r="AE161" i="28"/>
  <c r="F70" i="18" a="1"/>
  <c r="F70" i="18" s="1"/>
  <c r="AP28" i="29"/>
  <c r="BJ28" i="29"/>
  <c r="AZ28" i="29"/>
  <c r="BO226" i="29"/>
  <c r="F227" i="29" a="1"/>
  <c r="F227" i="29" s="1"/>
  <c r="AU49" i="24"/>
  <c r="AT50" i="24"/>
  <c r="F77" i="28" a="1"/>
  <c r="F77" i="28" s="1"/>
  <c r="AJ76" i="28"/>
  <c r="AF76" i="28"/>
  <c r="AI76" i="28"/>
  <c r="AL76" i="28" s="1"/>
  <c r="AE76" i="28"/>
  <c r="AK76" i="28"/>
  <c r="AG76" i="28"/>
  <c r="AH76" i="28" s="1"/>
  <c r="AI28" i="30"/>
  <c r="AL160" i="28"/>
  <c r="AO316" i="29"/>
  <c r="AH245" i="28"/>
  <c r="F66" i="30" a="1"/>
  <c r="F66" i="30" s="1"/>
  <c r="BO65" i="30"/>
  <c r="F376" i="30" a="1"/>
  <c r="F376" i="30" s="1"/>
  <c r="BO375" i="30"/>
  <c r="AZ316" i="29"/>
  <c r="BJ316" i="29"/>
  <c r="F163" i="28" l="1" a="1"/>
  <c r="F163" i="28" s="1"/>
  <c r="AK162" i="28"/>
  <c r="AG162" i="28"/>
  <c r="AJ162" i="28"/>
  <c r="AF162" i="28"/>
  <c r="AN162" i="28"/>
  <c r="AI162" i="28"/>
  <c r="AL162" i="28" s="1"/>
  <c r="AE162" i="28"/>
  <c r="AQ172" i="29"/>
  <c r="BO83" i="29"/>
  <c r="F84" i="29" a="1"/>
  <c r="F84" i="29" s="1"/>
  <c r="AJ77" i="28"/>
  <c r="AF77" i="28"/>
  <c r="AN77" i="28"/>
  <c r="AI77" i="28"/>
  <c r="AL77" i="28" s="1"/>
  <c r="AE77" i="28"/>
  <c r="F78" i="28" a="1"/>
  <c r="F78" i="28" s="1"/>
  <c r="AK77" i="28"/>
  <c r="AG77" i="28"/>
  <c r="AH77" i="28" s="1"/>
  <c r="AQ28" i="29"/>
  <c r="AH161" i="28"/>
  <c r="AG53" i="30"/>
  <c r="AH62" i="30"/>
  <c r="BA316" i="29"/>
  <c r="BK316" i="29"/>
  <c r="F377" i="30" a="1"/>
  <c r="F377" i="30" s="1"/>
  <c r="BO376" i="30"/>
  <c r="AP316" i="29"/>
  <c r="AT28" i="30"/>
  <c r="BD28" i="30"/>
  <c r="AJ28" i="30"/>
  <c r="BO66" i="30"/>
  <c r="F67" i="30" a="1"/>
  <c r="F67" i="30" s="1"/>
  <c r="F233" i="30" a="1"/>
  <c r="F233" i="30" s="1"/>
  <c r="BO232" i="30"/>
  <c r="F372" i="29" a="1"/>
  <c r="F372" i="29" s="1"/>
  <c r="BO371" i="29"/>
  <c r="AU42" i="24"/>
  <c r="AV41" i="24"/>
  <c r="AU34" i="24"/>
  <c r="AV33" i="24"/>
  <c r="F248" i="28" a="1"/>
  <c r="F248" i="28" s="1"/>
  <c r="AK247" i="28"/>
  <c r="AG247" i="28"/>
  <c r="AN247" i="28"/>
  <c r="AI247" i="28"/>
  <c r="AE247" i="28"/>
  <c r="AF247" i="28"/>
  <c r="AJ247" i="28"/>
  <c r="AH246" i="28"/>
  <c r="BL172" i="29"/>
  <c r="BB172" i="29"/>
  <c r="AU50" i="24"/>
  <c r="AV49" i="24"/>
  <c r="BO227" i="29"/>
  <c r="F228" i="29" a="1"/>
  <c r="F228" i="29" s="1"/>
  <c r="BA28" i="29"/>
  <c r="BK28" i="29"/>
  <c r="F71" i="18" a="1"/>
  <c r="F71" i="18" s="1"/>
  <c r="AH162" i="28" l="1"/>
  <c r="BO228" i="29"/>
  <c r="F229" i="29" a="1"/>
  <c r="F229" i="29" s="1"/>
  <c r="F230" i="29" s="1" a="1"/>
  <c r="F230" i="29" s="1"/>
  <c r="F231" i="29" s="1" a="1"/>
  <c r="F231" i="29" s="1"/>
  <c r="AL247" i="28"/>
  <c r="AJ248" i="28"/>
  <c r="AF248" i="28"/>
  <c r="AI248" i="28"/>
  <c r="F249" i="28" a="1"/>
  <c r="F249" i="28" s="1"/>
  <c r="F250" i="28" s="1" a="1"/>
  <c r="F250" i="28" s="1"/>
  <c r="AG248" i="28"/>
  <c r="AN248" i="28"/>
  <c r="AE248" i="28"/>
  <c r="AK248" i="28"/>
  <c r="AW41" i="24"/>
  <c r="AV42" i="24"/>
  <c r="F68" i="30" a="1"/>
  <c r="F68" i="30" s="1"/>
  <c r="BO67" i="30"/>
  <c r="BE28" i="30"/>
  <c r="AU28" i="30"/>
  <c r="F378" i="30" a="1"/>
  <c r="F378" i="30" s="1"/>
  <c r="BO377" i="30"/>
  <c r="BL316" i="29"/>
  <c r="BB316" i="29"/>
  <c r="F164" i="28" a="1"/>
  <c r="F164" i="28" s="1"/>
  <c r="F165" i="28" s="1" a="1"/>
  <c r="F165" i="28" s="1"/>
  <c r="AK163" i="28"/>
  <c r="AG163" i="28"/>
  <c r="AJ163" i="28"/>
  <c r="AF163" i="28"/>
  <c r="AN163" i="28"/>
  <c r="AI163" i="28"/>
  <c r="AE163" i="28"/>
  <c r="F72" i="18" a="1"/>
  <c r="F72" i="18" s="1"/>
  <c r="BM172" i="29"/>
  <c r="BC172" i="29"/>
  <c r="F234" i="30" a="1"/>
  <c r="F234" i="30" s="1"/>
  <c r="BO233" i="30"/>
  <c r="AR28" i="29"/>
  <c r="AN78" i="28"/>
  <c r="AI78" i="28"/>
  <c r="AL78" i="28" s="1"/>
  <c r="AE78" i="28"/>
  <c r="F79" i="28" a="1"/>
  <c r="F79" i="28" s="1"/>
  <c r="F80" i="28" s="1" a="1"/>
  <c r="F80" i="28" s="1"/>
  <c r="AK78" i="28"/>
  <c r="AG78" i="28"/>
  <c r="AJ78" i="28"/>
  <c r="AF78" i="28"/>
  <c r="AH247" i="28"/>
  <c r="AW33" i="24"/>
  <c r="AV34" i="24"/>
  <c r="F373" i="29" a="1"/>
  <c r="F373" i="29" s="1"/>
  <c r="F374" i="29" s="1" a="1"/>
  <c r="F374" i="29" s="1"/>
  <c r="F375" i="29" s="1" a="1"/>
  <c r="F375" i="29" s="1"/>
  <c r="BO372" i="29"/>
  <c r="AK28" i="30"/>
  <c r="AQ316" i="29"/>
  <c r="AH53" i="30"/>
  <c r="AG28" i="30"/>
  <c r="BO84" i="29"/>
  <c r="F85" i="29" a="1"/>
  <c r="F85" i="29" s="1"/>
  <c r="F86" i="29" s="1" a="1"/>
  <c r="F86" i="29" s="1"/>
  <c r="F87" i="29" s="1" a="1"/>
  <c r="F87" i="29" s="1"/>
  <c r="AR172" i="29"/>
  <c r="BB28" i="29"/>
  <c r="BL28" i="29"/>
  <c r="AW49" i="24"/>
  <c r="AV50" i="24"/>
  <c r="AH78" i="28" l="1"/>
  <c r="BM28" i="29"/>
  <c r="BC28" i="29"/>
  <c r="AH28" i="30"/>
  <c r="AL28" i="30"/>
  <c r="BO375" i="29"/>
  <c r="F376" i="29" a="1"/>
  <c r="F376" i="29" s="1"/>
  <c r="F235" i="30" a="1"/>
  <c r="F235" i="30" s="1"/>
  <c r="BO234" i="30"/>
  <c r="AJ165" i="28"/>
  <c r="AF165" i="28"/>
  <c r="AN165" i="28"/>
  <c r="AI165" i="28"/>
  <c r="AE165" i="28"/>
  <c r="F166" i="28" a="1"/>
  <c r="F166" i="28" s="1"/>
  <c r="AK165" i="28"/>
  <c r="AG165" i="28"/>
  <c r="BF28" i="30"/>
  <c r="AV28" i="30"/>
  <c r="AH248" i="28"/>
  <c r="AX33" i="24"/>
  <c r="AX34" i="24" s="1"/>
  <c r="AW34" i="24"/>
  <c r="F81" i="28" a="1"/>
  <c r="F81" i="28" s="1"/>
  <c r="AK80" i="28"/>
  <c r="AG80" i="28"/>
  <c r="AJ80" i="28"/>
  <c r="AF80" i="28"/>
  <c r="AN80" i="28"/>
  <c r="AI80" i="28"/>
  <c r="AE80" i="28"/>
  <c r="BM316" i="29"/>
  <c r="BC316" i="29"/>
  <c r="BO68" i="30"/>
  <c r="F69" i="30" a="1"/>
  <c r="F69" i="30" s="1"/>
  <c r="AN250" i="28"/>
  <c r="AI250" i="28"/>
  <c r="AE250" i="28"/>
  <c r="F251" i="28" a="1"/>
  <c r="F251" i="28" s="1"/>
  <c r="AK250" i="28"/>
  <c r="AG250" i="28"/>
  <c r="AF250" i="28"/>
  <c r="AJ250" i="28"/>
  <c r="F88" i="29" a="1"/>
  <c r="F88" i="29" s="1"/>
  <c r="BO87" i="29"/>
  <c r="AS172" i="29"/>
  <c r="AR316" i="29"/>
  <c r="AS28" i="29"/>
  <c r="AL163" i="28"/>
  <c r="AH163" i="28"/>
  <c r="F379" i="30" a="1"/>
  <c r="F379" i="30" s="1"/>
  <c r="BO378" i="30"/>
  <c r="AL248" i="28"/>
  <c r="F232" i="29" a="1"/>
  <c r="F232" i="29" s="1"/>
  <c r="BO231" i="29"/>
  <c r="AX49" i="24"/>
  <c r="AX50" i="24" s="1"/>
  <c r="AW50" i="24"/>
  <c r="F73" i="18" a="1"/>
  <c r="F73" i="18" s="1"/>
  <c r="AX41" i="24"/>
  <c r="AX42" i="24" s="1"/>
  <c r="AW42" i="24"/>
  <c r="AJ251" i="28" l="1"/>
  <c r="AJ249" i="28" s="1"/>
  <c r="AF251" i="28"/>
  <c r="AF249" i="28" s="1"/>
  <c r="AK251" i="28"/>
  <c r="AI251" i="28"/>
  <c r="AL251" i="28" s="1"/>
  <c r="F252" i="28" a="1"/>
  <c r="F252" i="28" s="1"/>
  <c r="F253" i="28" s="1" a="1"/>
  <c r="F253" i="28" s="1"/>
  <c r="F254" i="28" s="1" a="1"/>
  <c r="F254" i="28" s="1"/>
  <c r="F255" i="28" s="1" a="1"/>
  <c r="F255" i="28" s="1"/>
  <c r="AG251" i="28"/>
  <c r="AH251" i="28" s="1"/>
  <c r="AN251" i="28"/>
  <c r="AE251" i="28"/>
  <c r="AE249" i="28" s="1"/>
  <c r="F70" i="30" a="1"/>
  <c r="F70" i="30" s="1"/>
  <c r="BO69" i="30"/>
  <c r="AW28" i="30"/>
  <c r="BG28" i="30"/>
  <c r="AM28" i="30"/>
  <c r="F233" i="29" a="1"/>
  <c r="F233" i="29" s="1"/>
  <c r="BO232" i="29"/>
  <c r="F82" i="28" a="1"/>
  <c r="F82" i="28" s="1"/>
  <c r="F83" i="28" s="1" a="1"/>
  <c r="F83" i="28" s="1"/>
  <c r="F84" i="28" s="1" a="1"/>
  <c r="F84" i="28" s="1"/>
  <c r="F85" i="28" s="1" a="1"/>
  <c r="F85" i="28" s="1"/>
  <c r="AK81" i="28"/>
  <c r="AK79" i="28" s="1"/>
  <c r="AG81" i="28"/>
  <c r="AJ81" i="28"/>
  <c r="AJ79" i="28" s="1"/>
  <c r="AF81" i="28"/>
  <c r="AF79" i="28" s="1"/>
  <c r="AN81" i="28"/>
  <c r="AI81" i="28"/>
  <c r="AL81" i="28" s="1"/>
  <c r="AE81" i="28"/>
  <c r="AE79" i="28" s="1"/>
  <c r="AN166" i="28"/>
  <c r="AI166" i="28"/>
  <c r="AL166" i="28" s="1"/>
  <c r="AE166" i="28"/>
  <c r="F167" i="28" a="1"/>
  <c r="F167" i="28" s="1"/>
  <c r="F168" i="28" s="1" a="1"/>
  <c r="F168" i="28" s="1"/>
  <c r="F169" i="28" s="1" a="1"/>
  <c r="F169" i="28" s="1"/>
  <c r="F170" i="28" s="1" a="1"/>
  <c r="F170" i="28" s="1"/>
  <c r="AK166" i="28"/>
  <c r="AK164" i="28" s="1"/>
  <c r="AG166" i="28"/>
  <c r="AJ166" i="28"/>
  <c r="AF166" i="28"/>
  <c r="AF164" i="28" s="1"/>
  <c r="F380" i="30" a="1"/>
  <c r="F380" i="30" s="1"/>
  <c r="F381" i="30" s="1" a="1"/>
  <c r="F381" i="30" s="1"/>
  <c r="BC379" i="30"/>
  <c r="AY379" i="30"/>
  <c r="BJ379" i="30" s="1"/>
  <c r="AU379" i="30"/>
  <c r="BF379" i="30" s="1"/>
  <c r="AQ379" i="30"/>
  <c r="AM379" i="30"/>
  <c r="AI379" i="30"/>
  <c r="AE379" i="30"/>
  <c r="AZ379" i="30"/>
  <c r="BK379" i="30" s="1"/>
  <c r="AT379" i="30"/>
  <c r="AO379" i="30"/>
  <c r="AJ379" i="30"/>
  <c r="AX379" i="30"/>
  <c r="BI379" i="30" s="1"/>
  <c r="AS379" i="30"/>
  <c r="AN379" i="30"/>
  <c r="BB379" i="30"/>
  <c r="BM379" i="30" s="1"/>
  <c r="AW379" i="30"/>
  <c r="BH379" i="30" s="1"/>
  <c r="AR379" i="30"/>
  <c r="AL379" i="30"/>
  <c r="AG379" i="30"/>
  <c r="AK379" i="30"/>
  <c r="BA379" i="30"/>
  <c r="BL379" i="30" s="1"/>
  <c r="AF379" i="30"/>
  <c r="AV379" i="30"/>
  <c r="BG379" i="30" s="1"/>
  <c r="AP379" i="30"/>
  <c r="AS316" i="29"/>
  <c r="AH250" i="28"/>
  <c r="AL250" i="28"/>
  <c r="AE164" i="28"/>
  <c r="AJ164" i="28"/>
  <c r="T73" i="18"/>
  <c r="F74" i="18" a="1"/>
  <c r="F74" i="18" s="1"/>
  <c r="F89" i="29" a="1"/>
  <c r="F89" i="29" s="1"/>
  <c r="BO88" i="29"/>
  <c r="AK249" i="28"/>
  <c r="AL80" i="28"/>
  <c r="AI79" i="28"/>
  <c r="AL79" i="28" s="1"/>
  <c r="AH80" i="28"/>
  <c r="AG79" i="28"/>
  <c r="AH165" i="28"/>
  <c r="AG164" i="28"/>
  <c r="AL165" i="28"/>
  <c r="BA235" i="30"/>
  <c r="BL235" i="30" s="1"/>
  <c r="AW235" i="30"/>
  <c r="BH235" i="30" s="1"/>
  <c r="AS235" i="30"/>
  <c r="AO235" i="30"/>
  <c r="AK235" i="30"/>
  <c r="AG235" i="30"/>
  <c r="AZ235" i="30"/>
  <c r="BK235" i="30" s="1"/>
  <c r="AV235" i="30"/>
  <c r="BG235" i="30" s="1"/>
  <c r="AR235" i="30"/>
  <c r="AN235" i="30"/>
  <c r="AJ235" i="30"/>
  <c r="AF235" i="30"/>
  <c r="F236" i="30" a="1"/>
  <c r="F236" i="30" s="1"/>
  <c r="F237" i="30" s="1" a="1"/>
  <c r="F237" i="30" s="1"/>
  <c r="BC235" i="30"/>
  <c r="AY235" i="30"/>
  <c r="BJ235" i="30" s="1"/>
  <c r="AU235" i="30"/>
  <c r="BF235" i="30" s="1"/>
  <c r="AQ235" i="30"/>
  <c r="AM235" i="30"/>
  <c r="AI235" i="30"/>
  <c r="AE235" i="30"/>
  <c r="AP235" i="30"/>
  <c r="BB235" i="30"/>
  <c r="BM235" i="30" s="1"/>
  <c r="AL235" i="30"/>
  <c r="AX235" i="30"/>
  <c r="BI235" i="30" s="1"/>
  <c r="AT235" i="30"/>
  <c r="BO376" i="29"/>
  <c r="F377" i="29" a="1"/>
  <c r="F377" i="29" s="1"/>
  <c r="AG249" i="28" l="1"/>
  <c r="AH249" i="28" s="1"/>
  <c r="AI164" i="28"/>
  <c r="AL164" i="28" s="1"/>
  <c r="BE235" i="30"/>
  <c r="BE379" i="30"/>
  <c r="AH166" i="28"/>
  <c r="AI249" i="28"/>
  <c r="AL249" i="28" s="1"/>
  <c r="BD235" i="30"/>
  <c r="AH81" i="28"/>
  <c r="AH235" i="30"/>
  <c r="AH164" i="28"/>
  <c r="F90" i="29" a="1"/>
  <c r="F90" i="29" s="1"/>
  <c r="BO89" i="29"/>
  <c r="BA381" i="30"/>
  <c r="AW381" i="30"/>
  <c r="AS381" i="30"/>
  <c r="AO381" i="30"/>
  <c r="AK381" i="30"/>
  <c r="AG381" i="30"/>
  <c r="BB381" i="30"/>
  <c r="AV381" i="30"/>
  <c r="AQ381" i="30"/>
  <c r="AL381" i="30"/>
  <c r="AF381" i="30"/>
  <c r="F382" i="30" a="1"/>
  <c r="F382" i="30" s="1"/>
  <c r="AZ381" i="30"/>
  <c r="AU381" i="30"/>
  <c r="AP381" i="30"/>
  <c r="AJ381" i="30"/>
  <c r="AE381" i="30"/>
  <c r="AY381" i="30"/>
  <c r="AT381" i="30"/>
  <c r="AN381" i="30"/>
  <c r="AI381" i="30"/>
  <c r="BO381" i="30"/>
  <c r="AR381" i="30"/>
  <c r="AM381" i="30"/>
  <c r="BC381" i="30"/>
  <c r="AX381" i="30"/>
  <c r="AK170" i="28"/>
  <c r="F171" i="28" a="1"/>
  <c r="F171" i="28" s="1"/>
  <c r="AN28" i="30"/>
  <c r="F378" i="29" a="1"/>
  <c r="F378" i="29" s="1"/>
  <c r="BO377" i="29"/>
  <c r="BC237" i="30"/>
  <c r="AY237" i="30"/>
  <c r="AU237" i="30"/>
  <c r="AQ237" i="30"/>
  <c r="AM237" i="30"/>
  <c r="AI237" i="30"/>
  <c r="AE237" i="30"/>
  <c r="BO237" i="30"/>
  <c r="BB237" i="30"/>
  <c r="AX237" i="30"/>
  <c r="AT237" i="30"/>
  <c r="AP237" i="30"/>
  <c r="AL237" i="30"/>
  <c r="BA237" i="30"/>
  <c r="AW237" i="30"/>
  <c r="AS237" i="30"/>
  <c r="AO237" i="30"/>
  <c r="AK237" i="30"/>
  <c r="AG237" i="30"/>
  <c r="AR237" i="30"/>
  <c r="AN237" i="30"/>
  <c r="F238" i="30" a="1"/>
  <c r="F238" i="30" s="1"/>
  <c r="AZ237" i="30"/>
  <c r="AJ237" i="30"/>
  <c r="AV237" i="30"/>
  <c r="AF237" i="30"/>
  <c r="F75" i="18" a="1"/>
  <c r="F75" i="18" s="1"/>
  <c r="AH379" i="30"/>
  <c r="AK85" i="28"/>
  <c r="F86" i="28" a="1"/>
  <c r="F86" i="28" s="1"/>
  <c r="F234" i="29" a="1"/>
  <c r="F234" i="29" s="1"/>
  <c r="BO233" i="29"/>
  <c r="BO70" i="30"/>
  <c r="F71" i="30" a="1"/>
  <c r="F71" i="30" s="1"/>
  <c r="BD379" i="30"/>
  <c r="AX28" i="30"/>
  <c r="BH28" i="30"/>
  <c r="F256" i="28" a="1"/>
  <c r="F256" i="28" s="1"/>
  <c r="AK255" i="28"/>
  <c r="AH79" i="28"/>
  <c r="F76" i="18" l="1" a="1"/>
  <c r="F76" i="18" s="1"/>
  <c r="BK237" i="30"/>
  <c r="AH237" i="30"/>
  <c r="BH237" i="30"/>
  <c r="BE237" i="30"/>
  <c r="BF237" i="30"/>
  <c r="F379" i="29" a="1"/>
  <c r="F379" i="29" s="1"/>
  <c r="BO378" i="29"/>
  <c r="BE381" i="30"/>
  <c r="BM381" i="30"/>
  <c r="BI28" i="30"/>
  <c r="AY28" i="30"/>
  <c r="F72" i="30" a="1"/>
  <c r="F72" i="30" s="1"/>
  <c r="BO71" i="30"/>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BC238" i="30"/>
  <c r="AY238" i="30"/>
  <c r="BJ238" i="30" s="1"/>
  <c r="AU238" i="30"/>
  <c r="BF238" i="30" s="1"/>
  <c r="AQ238" i="30"/>
  <c r="AM238" i="30"/>
  <c r="AI238" i="30"/>
  <c r="BD238" i="30" s="1"/>
  <c r="AE238" i="30"/>
  <c r="BO238" i="30"/>
  <c r="BB238" i="30"/>
  <c r="BM238" i="30" s="1"/>
  <c r="AX238" i="30"/>
  <c r="BI238" i="30" s="1"/>
  <c r="AT238" i="30"/>
  <c r="BE238" i="30" s="1"/>
  <c r="AP238" i="30"/>
  <c r="AL238" i="30"/>
  <c r="BA238" i="30"/>
  <c r="BL238" i="30" s="1"/>
  <c r="AW238" i="30"/>
  <c r="BH238" i="30" s="1"/>
  <c r="AS238" i="30"/>
  <c r="AO238" i="30"/>
  <c r="AK238" i="30"/>
  <c r="AG238" i="30"/>
  <c r="F239" i="30" a="1"/>
  <c r="F239" i="30" s="1"/>
  <c r="AZ238" i="30"/>
  <c r="BK238" i="30" s="1"/>
  <c r="AJ238" i="30"/>
  <c r="AV238" i="30"/>
  <c r="BG238" i="30" s="1"/>
  <c r="AF238" i="30"/>
  <c r="AR238" i="30"/>
  <c r="AN238" i="30"/>
  <c r="BL237" i="30"/>
  <c r="BI237" i="30"/>
  <c r="BD237" i="30"/>
  <c r="BJ237" i="30"/>
  <c r="BI381" i="30"/>
  <c r="BJ381" i="30"/>
  <c r="BF381" i="30"/>
  <c r="AH381" i="30"/>
  <c r="BH381" i="30"/>
  <c r="F257" i="28" a="1"/>
  <c r="F257" i="28" s="1"/>
  <c r="F258" i="28" s="1" a="1"/>
  <c r="F258" i="28" s="1"/>
  <c r="F259" i="28" s="1" a="1"/>
  <c r="F259" i="28" s="1"/>
  <c r="F260" i="28" s="1" a="1"/>
  <c r="F260" i="28" s="1"/>
  <c r="F261" i="28" s="1" a="1"/>
  <c r="F261" i="28" s="1"/>
  <c r="F262" i="28" s="1" a="1"/>
  <c r="F262" i="28" s="1"/>
  <c r="F263" i="28" s="1" a="1"/>
  <c r="F263" i="28" s="1"/>
  <c r="F264" i="28" s="1" a="1"/>
  <c r="F264" i="28" s="1"/>
  <c r="F265" i="28" s="1" a="1"/>
  <c r="F265" i="28" s="1"/>
  <c r="F266" i="28" s="1" a="1"/>
  <c r="F266" i="28" s="1"/>
  <c r="AK256" i="28"/>
  <c r="F235" i="29" a="1"/>
  <c r="F235" i="29" s="1"/>
  <c r="BO234" i="29"/>
  <c r="BG237" i="30"/>
  <c r="BM237" i="30"/>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BD381" i="30"/>
  <c r="BK381" i="30"/>
  <c r="BL381" i="30"/>
  <c r="F91" i="29" a="1"/>
  <c r="F91" i="29" s="1"/>
  <c r="BO90" i="29"/>
  <c r="AO28" i="30"/>
  <c r="BA382" i="30"/>
  <c r="BL382" i="30" s="1"/>
  <c r="AW382" i="30"/>
  <c r="BH382" i="30" s="1"/>
  <c r="AS382" i="30"/>
  <c r="AO382" i="30"/>
  <c r="AK382" i="30"/>
  <c r="AG382" i="30"/>
  <c r="AY382" i="30"/>
  <c r="BJ382" i="30" s="1"/>
  <c r="AT382" i="30"/>
  <c r="BE382" i="30" s="1"/>
  <c r="AN382" i="30"/>
  <c r="AI382" i="30"/>
  <c r="BD382" i="30" s="1"/>
  <c r="BO382" i="30"/>
  <c r="BC382" i="30"/>
  <c r="AX382" i="30"/>
  <c r="BI382" i="30" s="1"/>
  <c r="AR382" i="30"/>
  <c r="AM382" i="30"/>
  <c r="BB382" i="30"/>
  <c r="BM382" i="30" s="1"/>
  <c r="AV382" i="30"/>
  <c r="BG382" i="30" s="1"/>
  <c r="AQ382" i="30"/>
  <c r="AL382" i="30"/>
  <c r="AF382" i="30"/>
  <c r="F383" i="30" a="1"/>
  <c r="F383" i="30" s="1"/>
  <c r="AU382" i="30"/>
  <c r="BF382" i="30" s="1"/>
  <c r="AP382" i="30"/>
  <c r="AJ382" i="30"/>
  <c r="AZ382" i="30"/>
  <c r="BK382" i="30" s="1"/>
  <c r="AE382" i="30"/>
  <c r="BG381" i="30"/>
  <c r="AH238" i="30" l="1"/>
  <c r="AH382" i="30"/>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K96" i="28"/>
  <c r="AG96" i="28"/>
  <c r="AJ96" i="28"/>
  <c r="AF96" i="28"/>
  <c r="BO72" i="30"/>
  <c r="F73" i="30" a="1"/>
  <c r="F73" i="30" s="1"/>
  <c r="F74" i="30" s="1" a="1"/>
  <c r="F74" i="30" s="1"/>
  <c r="F75" i="30" s="1" a="1"/>
  <c r="F75" i="30" s="1"/>
  <c r="F76" i="30" s="1" a="1"/>
  <c r="F76" i="30" s="1"/>
  <c r="BO383" i="30"/>
  <c r="BB383" i="30"/>
  <c r="BM383" i="30" s="1"/>
  <c r="AX383" i="30"/>
  <c r="BI383" i="30" s="1"/>
  <c r="AT383" i="30"/>
  <c r="BE383" i="30" s="1"/>
  <c r="AP383" i="30"/>
  <c r="AL383" i="30"/>
  <c r="BA383" i="30"/>
  <c r="BL383" i="30" s="1"/>
  <c r="AW383" i="30"/>
  <c r="BH383" i="30" s="1"/>
  <c r="AS383" i="30"/>
  <c r="AO383" i="30"/>
  <c r="AK383" i="30"/>
  <c r="AG383" i="30"/>
  <c r="AY383" i="30"/>
  <c r="BJ383" i="30" s="1"/>
  <c r="AQ383" i="30"/>
  <c r="AI383" i="30"/>
  <c r="BD383" i="30" s="1"/>
  <c r="AV383" i="30"/>
  <c r="AN383" i="30"/>
  <c r="AF383" i="30"/>
  <c r="BC383" i="30"/>
  <c r="AU383" i="30"/>
  <c r="BF383" i="30" s="1"/>
  <c r="AM383" i="30"/>
  <c r="AE383" i="30"/>
  <c r="AZ383" i="30"/>
  <c r="BK383" i="30" s="1"/>
  <c r="AR383" i="30"/>
  <c r="F384" i="30" a="1"/>
  <c r="F384" i="30" s="1"/>
  <c r="AJ383" i="30"/>
  <c r="AP28" i="30"/>
  <c r="AK181" i="28"/>
  <c r="AG181" i="28"/>
  <c r="AJ181" i="28"/>
  <c r="AF181" i="28"/>
  <c r="F182" i="28" a="1"/>
  <c r="F182" i="28" s="1"/>
  <c r="F183" i="28" s="1" a="1"/>
  <c r="F183" i="28" s="1"/>
  <c r="F184" i="28" s="1" a="1"/>
  <c r="F184" i="28" s="1"/>
  <c r="F185" i="28" s="1" a="1"/>
  <c r="F185" i="28" s="1"/>
  <c r="F186" i="28" s="1" a="1"/>
  <c r="F186" i="28" s="1"/>
  <c r="F187" i="28" s="1" a="1"/>
  <c r="F187" i="28" s="1"/>
  <c r="F188" i="28" s="1" a="1"/>
  <c r="F188" i="28" s="1"/>
  <c r="F189" i="28" s="1" a="1"/>
  <c r="F189" i="28" s="1"/>
  <c r="AI181" i="28"/>
  <c r="AE181" i="28"/>
  <c r="BC235" i="29"/>
  <c r="AY235" i="29"/>
  <c r="BJ235" i="29" s="1"/>
  <c r="AU235" i="29"/>
  <c r="BF235" i="29" s="1"/>
  <c r="AQ235" i="29"/>
  <c r="AM235" i="29"/>
  <c r="AI235" i="29"/>
  <c r="AE235" i="29"/>
  <c r="BA235" i="29"/>
  <c r="BL235" i="29" s="1"/>
  <c r="AW235" i="29"/>
  <c r="BH235" i="29" s="1"/>
  <c r="AS235" i="29"/>
  <c r="AO235" i="29"/>
  <c r="AK235" i="29"/>
  <c r="AG235" i="29"/>
  <c r="BB235" i="29"/>
  <c r="BM235" i="29" s="1"/>
  <c r="AT235" i="29"/>
  <c r="AL235" i="29"/>
  <c r="F236" i="29" a="1"/>
  <c r="F236" i="29" s="1"/>
  <c r="AZ235" i="29"/>
  <c r="BK235" i="29" s="1"/>
  <c r="AR235" i="29"/>
  <c r="AJ235" i="29"/>
  <c r="BO235" i="29"/>
  <c r="AX235" i="29"/>
  <c r="BI235" i="29" s="1"/>
  <c r="AP235" i="29"/>
  <c r="AV235" i="29"/>
  <c r="BG235" i="29" s="1"/>
  <c r="AN235" i="29"/>
  <c r="AF235" i="29"/>
  <c r="BC239" i="30"/>
  <c r="AY239" i="30"/>
  <c r="AU239" i="30"/>
  <c r="BF239" i="30" s="1"/>
  <c r="AQ239" i="30"/>
  <c r="AM239" i="30"/>
  <c r="AI239" i="30"/>
  <c r="AE239" i="30"/>
  <c r="BO239" i="30"/>
  <c r="BB239" i="30"/>
  <c r="AX239" i="30"/>
  <c r="AT239" i="30"/>
  <c r="BE239" i="30" s="1"/>
  <c r="AP239" i="30"/>
  <c r="AL239" i="30"/>
  <c r="BA239" i="30"/>
  <c r="AW239" i="30"/>
  <c r="BH239" i="30" s="1"/>
  <c r="AS239" i="30"/>
  <c r="AO239" i="30"/>
  <c r="AK239" i="30"/>
  <c r="AG239" i="30"/>
  <c r="AR239" i="30"/>
  <c r="AN239" i="30"/>
  <c r="F240" i="30" a="1"/>
  <c r="F240" i="30" s="1"/>
  <c r="AZ239" i="30"/>
  <c r="BK239" i="30" s="1"/>
  <c r="AJ239" i="30"/>
  <c r="AV239" i="30"/>
  <c r="AF239" i="30"/>
  <c r="BJ28" i="30"/>
  <c r="AZ28" i="30"/>
  <c r="F92" i="29" a="1"/>
  <c r="F92" i="29" s="1"/>
  <c r="AZ91" i="29"/>
  <c r="BK91" i="29" s="1"/>
  <c r="AV91" i="29"/>
  <c r="BG91" i="29" s="1"/>
  <c r="AR91" i="29"/>
  <c r="AN91" i="29"/>
  <c r="AJ91" i="29"/>
  <c r="AF91" i="29"/>
  <c r="BC91" i="29"/>
  <c r="AY91" i="29"/>
  <c r="BJ91" i="29" s="1"/>
  <c r="AU91" i="29"/>
  <c r="BF91" i="29" s="1"/>
  <c r="AQ91" i="29"/>
  <c r="AM91" i="29"/>
  <c r="AI91" i="29"/>
  <c r="BD91" i="29" s="1"/>
  <c r="AE91" i="29"/>
  <c r="BO91" i="29"/>
  <c r="BB91" i="29"/>
  <c r="BM91" i="29" s="1"/>
  <c r="AX91" i="29"/>
  <c r="BI91" i="29" s="1"/>
  <c r="AT91" i="29"/>
  <c r="BE91" i="29" s="1"/>
  <c r="AP91" i="29"/>
  <c r="AL91" i="29"/>
  <c r="BA91" i="29"/>
  <c r="BL91" i="29" s="1"/>
  <c r="AW91" i="29"/>
  <c r="BH91" i="29" s="1"/>
  <c r="AS91" i="29"/>
  <c r="AO91" i="29"/>
  <c r="AK91" i="29"/>
  <c r="AG91" i="29"/>
  <c r="AH91" i="29" s="1"/>
  <c r="AJ266" i="28"/>
  <c r="AF266" i="28"/>
  <c r="AI266" i="28"/>
  <c r="AG266" i="28"/>
  <c r="F267" i="28" a="1"/>
  <c r="F267" i="28" s="1"/>
  <c r="F268" i="28" s="1" a="1"/>
  <c r="F268" i="28" s="1"/>
  <c r="F269" i="28" s="1" a="1"/>
  <c r="F269" i="28" s="1"/>
  <c r="F270" i="28" s="1" a="1"/>
  <c r="F270" i="28" s="1"/>
  <c r="F271" i="28" s="1" a="1"/>
  <c r="F271" i="28" s="1"/>
  <c r="F272" i="28" s="1" a="1"/>
  <c r="F272" i="28" s="1"/>
  <c r="F273" i="28" s="1" a="1"/>
  <c r="F273" i="28" s="1"/>
  <c r="F274" i="28" s="1" a="1"/>
  <c r="F274" i="28" s="1"/>
  <c r="AE266" i="28"/>
  <c r="AK266" i="28"/>
  <c r="BA379" i="29"/>
  <c r="BL379" i="29" s="1"/>
  <c r="AW379" i="29"/>
  <c r="BH379" i="29" s="1"/>
  <c r="AS379" i="29"/>
  <c r="AO379" i="29"/>
  <c r="AK379" i="29"/>
  <c r="AG379" i="29"/>
  <c r="F380" i="29" a="1"/>
  <c r="F380" i="29" s="1"/>
  <c r="AZ379" i="29"/>
  <c r="BK379" i="29" s="1"/>
  <c r="AV379" i="29"/>
  <c r="BG379" i="29" s="1"/>
  <c r="AR379" i="29"/>
  <c r="AN379" i="29"/>
  <c r="AJ379" i="29"/>
  <c r="AF379" i="29"/>
  <c r="BC379" i="29"/>
  <c r="AU379" i="29"/>
  <c r="BF379" i="29" s="1"/>
  <c r="AM379" i="29"/>
  <c r="AE379" i="29"/>
  <c r="BB379" i="29"/>
  <c r="BM379" i="29" s="1"/>
  <c r="AT379" i="29"/>
  <c r="BE379" i="29" s="1"/>
  <c r="AL379" i="29"/>
  <c r="AY379" i="29"/>
  <c r="BJ379" i="29" s="1"/>
  <c r="AQ379" i="29"/>
  <c r="AI379" i="29"/>
  <c r="BD379" i="29" s="1"/>
  <c r="AX379" i="29"/>
  <c r="BI379" i="29" s="1"/>
  <c r="AP379" i="29"/>
  <c r="BO379" i="29"/>
  <c r="T76" i="18"/>
  <c r="T77" i="18" s="1" a="1"/>
  <c r="T77" i="18" s="1"/>
  <c r="T78" i="18" s="1" a="1"/>
  <c r="T78" i="18" s="1"/>
  <c r="T79" i="18" s="1" a="1"/>
  <c r="T79" i="18" s="1"/>
  <c r="F77" i="18" a="1"/>
  <c r="F77" i="18" s="1"/>
  <c r="BE235" i="29" l="1"/>
  <c r="AH383" i="30"/>
  <c r="AH239" i="30"/>
  <c r="AK267" i="28"/>
  <c r="AK269" i="28" s="1"/>
  <c r="AI267" i="28"/>
  <c r="AI269" i="28" s="1"/>
  <c r="F93" i="29" a="1"/>
  <c r="F93" i="29" s="1"/>
  <c r="BO92" i="29"/>
  <c r="AE182" i="28"/>
  <c r="AE184" i="28" s="1"/>
  <c r="AJ182" i="28"/>
  <c r="AJ184" i="28" s="1"/>
  <c r="AQ28" i="30"/>
  <c r="BG383" i="30"/>
  <c r="AJ102" i="28"/>
  <c r="AJ103" i="28"/>
  <c r="AJ97" i="28"/>
  <c r="AJ99" i="28" s="1"/>
  <c r="AJ100" i="28" s="1"/>
  <c r="AI102" i="28"/>
  <c r="AI97" i="28"/>
  <c r="AI99" i="28" s="1"/>
  <c r="AI100" i="28" s="1"/>
  <c r="AI103" i="28"/>
  <c r="AL103" i="28" s="1"/>
  <c r="F381" i="29" a="1"/>
  <c r="F381" i="29" s="1"/>
  <c r="BO380" i="29"/>
  <c r="AE267" i="28"/>
  <c r="AE269" i="28" s="1"/>
  <c r="AF267" i="28"/>
  <c r="AF269" i="28" s="1"/>
  <c r="F241" i="30" a="1"/>
  <c r="F241" i="30" s="1"/>
  <c r="BC240" i="30"/>
  <c r="AY240" i="30"/>
  <c r="BJ240" i="30" s="1"/>
  <c r="AU240" i="30"/>
  <c r="AQ240" i="30"/>
  <c r="AM240" i="30"/>
  <c r="AI240" i="30"/>
  <c r="AE240" i="30"/>
  <c r="BB240" i="30"/>
  <c r="BM240" i="30" s="1"/>
  <c r="AX240" i="30"/>
  <c r="BI240" i="30" s="1"/>
  <c r="AT240" i="30"/>
  <c r="AP240" i="30"/>
  <c r="AL240" i="30"/>
  <c r="BA240" i="30"/>
  <c r="BL240" i="30" s="1"/>
  <c r="AW240" i="30"/>
  <c r="BH240" i="30" s="1"/>
  <c r="AS240" i="30"/>
  <c r="AO240" i="30"/>
  <c r="AK240" i="30"/>
  <c r="AG240" i="30"/>
  <c r="AZ240" i="30"/>
  <c r="AJ240" i="30"/>
  <c r="AV240" i="30"/>
  <c r="BG240" i="30" s="1"/>
  <c r="AF240" i="30"/>
  <c r="AR240" i="30"/>
  <c r="AN240" i="30"/>
  <c r="BL239" i="30"/>
  <c r="BI239" i="30"/>
  <c r="BD239" i="30"/>
  <c r="BJ239" i="30"/>
  <c r="AI182" i="28"/>
  <c r="AI184" i="28" s="1"/>
  <c r="AH181" i="28"/>
  <c r="AG182" i="28"/>
  <c r="AG184" i="28" s="1"/>
  <c r="T76" i="30"/>
  <c r="F77" i="30" a="1"/>
  <c r="F77" i="30" s="1"/>
  <c r="AG103" i="28"/>
  <c r="AH96" i="28"/>
  <c r="AG102" i="28"/>
  <c r="AG97" i="28"/>
  <c r="AG99" i="28" s="1"/>
  <c r="AK104" i="28"/>
  <c r="AG104" i="28"/>
  <c r="AJ104" i="28"/>
  <c r="AF104" i="28"/>
  <c r="F105" i="28" a="1"/>
  <c r="F105" i="28" s="1"/>
  <c r="F106" i="28" s="1" a="1"/>
  <c r="F106" i="28" s="1"/>
  <c r="F107" i="28" s="1" a="1"/>
  <c r="F107" i="28" s="1"/>
  <c r="F108" i="28" s="1" a="1"/>
  <c r="F108" i="28" s="1"/>
  <c r="F109" i="28" s="1" a="1"/>
  <c r="F109" i="28" s="1"/>
  <c r="F110" i="28" s="1" a="1"/>
  <c r="F110" i="28" s="1"/>
  <c r="F111" i="28" s="1" a="1"/>
  <c r="F111" i="28" s="1"/>
  <c r="AI104" i="28"/>
  <c r="AE104" i="28"/>
  <c r="AH379" i="29"/>
  <c r="AJ274" i="28"/>
  <c r="AF274" i="28"/>
  <c r="AI274" i="28"/>
  <c r="AG274" i="28"/>
  <c r="F275" i="28" a="1"/>
  <c r="F275" i="28" s="1"/>
  <c r="F276" i="28" s="1" a="1"/>
  <c r="F276" i="28" s="1"/>
  <c r="F277" i="28" s="1" a="1"/>
  <c r="F277" i="28" s="1"/>
  <c r="F278" i="28" s="1" a="1"/>
  <c r="F278" i="28" s="1"/>
  <c r="F279" i="28" s="1" a="1"/>
  <c r="F279" i="28" s="1"/>
  <c r="F280" i="28" s="1" a="1"/>
  <c r="F280" i="28" s="1"/>
  <c r="F281" i="28" s="1" a="1"/>
  <c r="F281" i="28" s="1"/>
  <c r="AE274" i="28"/>
  <c r="AK274" i="28"/>
  <c r="AJ267" i="28"/>
  <c r="AJ269" i="28" s="1"/>
  <c r="BA28" i="30"/>
  <c r="BK28" i="30"/>
  <c r="BG239" i="30"/>
  <c r="BM239" i="30"/>
  <c r="BD235" i="29"/>
  <c r="AJ189" i="28"/>
  <c r="AF189" i="28"/>
  <c r="AK189" i="28"/>
  <c r="AI189" i="28"/>
  <c r="AG189" i="28"/>
  <c r="F190" i="28" a="1"/>
  <c r="F190" i="28" s="1"/>
  <c r="F191" i="28" s="1" a="1"/>
  <c r="F191" i="28" s="1"/>
  <c r="F192" i="28" s="1" a="1"/>
  <c r="F192" i="28" s="1"/>
  <c r="F193" i="28" s="1" a="1"/>
  <c r="F193" i="28" s="1"/>
  <c r="F194" i="28" s="1" a="1"/>
  <c r="F194" i="28" s="1"/>
  <c r="F195" i="28" s="1" a="1"/>
  <c r="F195" i="28" s="1"/>
  <c r="F196" i="28" s="1" a="1"/>
  <c r="F196" i="28" s="1"/>
  <c r="AE189" i="28"/>
  <c r="AK182" i="28"/>
  <c r="AK184" i="28" s="1"/>
  <c r="AK103" i="28"/>
  <c r="AK102" i="28"/>
  <c r="AK97" i="28"/>
  <c r="AK99" i="28" s="1"/>
  <c r="AK100" i="28" s="1"/>
  <c r="F78" i="18" a="1"/>
  <c r="F78" i="18" s="1"/>
  <c r="AH266" i="28"/>
  <c r="AG267" i="28"/>
  <c r="F237" i="29" a="1"/>
  <c r="F237" i="29" s="1"/>
  <c r="BO236" i="29"/>
  <c r="AH235" i="29"/>
  <c r="AF182" i="28"/>
  <c r="AF184" i="28" s="1"/>
  <c r="BO384" i="30"/>
  <c r="BB384" i="30"/>
  <c r="AX384" i="30"/>
  <c r="AT384" i="30"/>
  <c r="AP384" i="30"/>
  <c r="AL384" i="30"/>
  <c r="BA384" i="30"/>
  <c r="AW384" i="30"/>
  <c r="AS384" i="30"/>
  <c r="AO384" i="30"/>
  <c r="AK384" i="30"/>
  <c r="AG384" i="30"/>
  <c r="AY384" i="30"/>
  <c r="AQ384" i="30"/>
  <c r="AI384" i="30"/>
  <c r="AV384" i="30"/>
  <c r="BG384" i="30" s="1"/>
  <c r="AN384" i="30"/>
  <c r="AF384" i="30"/>
  <c r="BC384" i="30"/>
  <c r="AU384" i="30"/>
  <c r="AM384" i="30"/>
  <c r="AE384" i="30"/>
  <c r="AZ384" i="30"/>
  <c r="AR384" i="30"/>
  <c r="F385" i="30" a="1"/>
  <c r="F385" i="30" s="1"/>
  <c r="AJ384" i="30"/>
  <c r="AF102" i="28"/>
  <c r="AF103" i="28"/>
  <c r="AF97" i="28"/>
  <c r="AF99" i="28" s="1"/>
  <c r="AF100" i="28" s="1"/>
  <c r="AE102" i="28"/>
  <c r="AE97" i="28"/>
  <c r="AE99" i="28" s="1"/>
  <c r="AE100" i="28" s="1"/>
  <c r="AE103" i="28"/>
  <c r="AH267" i="28" l="1"/>
  <c r="AG269" i="28"/>
  <c r="AH184" i="28"/>
  <c r="BI384" i="30"/>
  <c r="BC237" i="29"/>
  <c r="AY237" i="29"/>
  <c r="AU237" i="29"/>
  <c r="AQ237" i="29"/>
  <c r="AM237" i="29"/>
  <c r="AI237" i="29"/>
  <c r="AE237" i="29"/>
  <c r="BA237" i="29"/>
  <c r="AW237" i="29"/>
  <c r="AS237" i="29"/>
  <c r="AO237" i="29"/>
  <c r="AK237" i="29"/>
  <c r="AG237" i="29"/>
  <c r="BB237" i="29"/>
  <c r="AT237" i="29"/>
  <c r="AL237" i="29"/>
  <c r="F238" i="29" a="1"/>
  <c r="F238" i="29" s="1"/>
  <c r="AZ237" i="29"/>
  <c r="AR237" i="29"/>
  <c r="AJ237" i="29"/>
  <c r="BO237" i="29"/>
  <c r="AX237" i="29"/>
  <c r="AP237" i="29"/>
  <c r="AV237" i="29"/>
  <c r="AN237" i="29"/>
  <c r="AF237" i="29"/>
  <c r="AE191" i="28"/>
  <c r="AE190" i="28"/>
  <c r="AE192" i="28" s="1"/>
  <c r="AK191" i="28"/>
  <c r="AK190" i="28"/>
  <c r="AK192" i="28" s="1"/>
  <c r="AK276" i="28"/>
  <c r="AK275" i="28"/>
  <c r="AK277" i="28" s="1"/>
  <c r="AI276" i="28"/>
  <c r="AI275" i="28"/>
  <c r="AI277" i="28" s="1"/>
  <c r="AE106" i="28"/>
  <c r="AE108" i="28"/>
  <c r="AE105" i="28"/>
  <c r="AE107" i="28" s="1"/>
  <c r="AJ108" i="28"/>
  <c r="AJ106" i="28"/>
  <c r="AJ105" i="28"/>
  <c r="AJ107" i="28" s="1"/>
  <c r="AG100" i="28"/>
  <c r="AH100" i="28" s="1"/>
  <c r="AH99" i="28"/>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F78" i="30" a="1"/>
  <c r="F78" i="30" s="1"/>
  <c r="F79" i="30" s="1" a="1"/>
  <c r="F79" i="30" s="1"/>
  <c r="F80" i="30" s="1" a="1"/>
  <c r="F80" i="30" s="1"/>
  <c r="F242" i="30" a="1"/>
  <c r="F242" i="30" s="1"/>
  <c r="AZ241" i="30"/>
  <c r="BK241" i="30" s="1"/>
  <c r="AV241" i="30"/>
  <c r="AR241" i="30"/>
  <c r="AN241" i="30"/>
  <c r="AJ241" i="30"/>
  <c r="AF241" i="30"/>
  <c r="BC241" i="30"/>
  <c r="AY241" i="30"/>
  <c r="AU241" i="30"/>
  <c r="BF241" i="30" s="1"/>
  <c r="AQ241" i="30"/>
  <c r="AM241" i="30"/>
  <c r="AI241" i="30"/>
  <c r="AE241" i="30"/>
  <c r="BO241" i="30"/>
  <c r="BB241" i="30"/>
  <c r="AX241" i="30"/>
  <c r="AT241" i="30"/>
  <c r="BE241" i="30" s="1"/>
  <c r="AP241" i="30"/>
  <c r="AL241" i="30"/>
  <c r="AS241" i="30"/>
  <c r="AO241" i="30"/>
  <c r="BA241" i="30"/>
  <c r="AK241" i="30"/>
  <c r="AW241" i="30"/>
  <c r="BH241" i="30" s="1"/>
  <c r="AG241" i="30"/>
  <c r="BD384" i="30"/>
  <c r="BL384" i="30"/>
  <c r="BO385" i="30"/>
  <c r="BB385" i="30"/>
  <c r="BM385" i="30" s="1"/>
  <c r="AX385" i="30"/>
  <c r="BI385" i="30" s="1"/>
  <c r="AT385" i="30"/>
  <c r="BE385" i="30" s="1"/>
  <c r="AP385" i="30"/>
  <c r="AL385" i="30"/>
  <c r="BA385" i="30"/>
  <c r="BL385" i="30" s="1"/>
  <c r="AW385" i="30"/>
  <c r="BH385" i="30" s="1"/>
  <c r="AS385" i="30"/>
  <c r="AO385" i="30"/>
  <c r="AK385" i="30"/>
  <c r="AG385" i="30"/>
  <c r="BC385" i="30"/>
  <c r="AY385" i="30"/>
  <c r="BJ385" i="30" s="1"/>
  <c r="AQ385" i="30"/>
  <c r="AI385" i="30"/>
  <c r="BD385" i="30" s="1"/>
  <c r="AV385" i="30"/>
  <c r="BG385" i="30" s="1"/>
  <c r="AN385" i="30"/>
  <c r="AF385" i="30"/>
  <c r="AU385" i="30"/>
  <c r="BF385" i="30" s="1"/>
  <c r="AM385" i="30"/>
  <c r="AE385" i="30"/>
  <c r="AR385" i="30"/>
  <c r="AJ385" i="30"/>
  <c r="F386" i="30" a="1"/>
  <c r="F386" i="30" s="1"/>
  <c r="AZ385" i="30"/>
  <c r="BK385" i="30" s="1"/>
  <c r="AH269" i="28"/>
  <c r="AF191" i="28"/>
  <c r="AF190" i="28"/>
  <c r="AF192" i="28" s="1"/>
  <c r="AE276" i="28"/>
  <c r="AE275" i="28"/>
  <c r="AE277" i="28" s="1"/>
  <c r="AF276" i="28"/>
  <c r="AF275" i="28"/>
  <c r="AF277" i="28" s="1"/>
  <c r="AI106" i="28"/>
  <c r="AI108" i="28"/>
  <c r="AI105" i="28"/>
  <c r="AI107" i="28" s="1"/>
  <c r="AG108" i="28"/>
  <c r="AG106" i="28"/>
  <c r="AH104" i="28"/>
  <c r="AG105" i="28"/>
  <c r="AG107" i="28" s="1"/>
  <c r="AH102" i="28"/>
  <c r="BK240" i="30"/>
  <c r="BF240" i="30"/>
  <c r="BK384" i="30"/>
  <c r="BM384" i="30"/>
  <c r="BJ384" i="30"/>
  <c r="BF384" i="30"/>
  <c r="AH384" i="30"/>
  <c r="BH384" i="30"/>
  <c r="BE384" i="30"/>
  <c r="F79" i="18" a="1"/>
  <c r="F79" i="18" s="1"/>
  <c r="AH189" i="28"/>
  <c r="AG191" i="28"/>
  <c r="AG190" i="28"/>
  <c r="AJ191" i="28"/>
  <c r="AJ190" i="28"/>
  <c r="AJ192" i="28" s="1"/>
  <c r="BB28" i="30"/>
  <c r="BL28" i="30"/>
  <c r="AJ276" i="28"/>
  <c r="AJ275" i="28"/>
  <c r="AJ277" i="28" s="1"/>
  <c r="AK108" i="28"/>
  <c r="AK106" i="28"/>
  <c r="AK105" i="28"/>
  <c r="AK107" i="28" s="1"/>
  <c r="AH182" i="28"/>
  <c r="AH240" i="30"/>
  <c r="BE240" i="30"/>
  <c r="BD240" i="30"/>
  <c r="F94" i="29" a="1"/>
  <c r="F94" i="29" s="1"/>
  <c r="AZ93" i="29"/>
  <c r="AV93" i="29"/>
  <c r="AR93" i="29"/>
  <c r="AN93" i="29"/>
  <c r="AJ93" i="29"/>
  <c r="AF93" i="29"/>
  <c r="BC93" i="29"/>
  <c r="AY93" i="29"/>
  <c r="AU93" i="29"/>
  <c r="AQ93" i="29"/>
  <c r="AM93" i="29"/>
  <c r="AI93" i="29"/>
  <c r="AE93" i="29"/>
  <c r="BO93" i="29"/>
  <c r="BB93" i="29"/>
  <c r="AX93" i="29"/>
  <c r="AT93" i="29"/>
  <c r="AP93" i="29"/>
  <c r="AL93" i="29"/>
  <c r="BA93" i="29"/>
  <c r="AW93" i="29"/>
  <c r="AS93" i="29"/>
  <c r="AO93" i="29"/>
  <c r="AK93" i="29"/>
  <c r="AG93" i="29"/>
  <c r="AI191" i="28"/>
  <c r="AI190" i="28"/>
  <c r="AI192" i="28" s="1"/>
  <c r="AH274" i="28"/>
  <c r="AG276" i="28"/>
  <c r="AG275" i="28"/>
  <c r="AF108" i="28"/>
  <c r="AF106" i="28"/>
  <c r="AF105" i="28"/>
  <c r="AF107" i="28" s="1"/>
  <c r="AH97" i="28"/>
  <c r="BA381" i="29"/>
  <c r="AW381" i="29"/>
  <c r="AS381" i="29"/>
  <c r="AO381" i="29"/>
  <c r="AK381" i="29"/>
  <c r="AG381" i="29"/>
  <c r="F382" i="29" a="1"/>
  <c r="F382" i="29" s="1"/>
  <c r="AZ381" i="29"/>
  <c r="AV381" i="29"/>
  <c r="AR381" i="29"/>
  <c r="AN381" i="29"/>
  <c r="AJ381" i="29"/>
  <c r="AF381" i="29"/>
  <c r="BC381" i="29"/>
  <c r="AU381" i="29"/>
  <c r="AM381" i="29"/>
  <c r="AE381" i="29"/>
  <c r="BB381" i="29"/>
  <c r="AT381" i="29"/>
  <c r="AL381" i="29"/>
  <c r="AY381" i="29"/>
  <c r="AQ381" i="29"/>
  <c r="AI381" i="29"/>
  <c r="BO381" i="29"/>
  <c r="AX381" i="29"/>
  <c r="AP381" i="29"/>
  <c r="AR28" i="30"/>
  <c r="AH191" i="28" l="1"/>
  <c r="AH275" i="28"/>
  <c r="AH276" i="28"/>
  <c r="AH241" i="30"/>
  <c r="AH190" i="28"/>
  <c r="AH385" i="30"/>
  <c r="BL381" i="29"/>
  <c r="AH93" i="29"/>
  <c r="BH93" i="29"/>
  <c r="BE93" i="29"/>
  <c r="BF93" i="29"/>
  <c r="BK93" i="29"/>
  <c r="BM28" i="30"/>
  <c r="BC28" i="30"/>
  <c r="AH107" i="28"/>
  <c r="BG237" i="29"/>
  <c r="BL237" i="29"/>
  <c r="BJ381" i="29"/>
  <c r="BG381" i="29"/>
  <c r="BK381" i="29"/>
  <c r="BL93" i="29"/>
  <c r="BI93" i="29"/>
  <c r="BD93" i="29"/>
  <c r="BJ93" i="29"/>
  <c r="F95" i="29" a="1"/>
  <c r="F95" i="29" s="1"/>
  <c r="AZ94" i="29"/>
  <c r="BK94" i="29" s="1"/>
  <c r="AV94" i="29"/>
  <c r="BG94" i="29" s="1"/>
  <c r="AR94" i="29"/>
  <c r="AN94" i="29"/>
  <c r="AJ94" i="29"/>
  <c r="AF94" i="29"/>
  <c r="BC94" i="29"/>
  <c r="AY94" i="29"/>
  <c r="BJ94" i="29" s="1"/>
  <c r="AU94" i="29"/>
  <c r="BF94" i="29" s="1"/>
  <c r="AQ94" i="29"/>
  <c r="AM94" i="29"/>
  <c r="AI94" i="29"/>
  <c r="BD94" i="29" s="1"/>
  <c r="AE94" i="29"/>
  <c r="BO94" i="29"/>
  <c r="BB94" i="29"/>
  <c r="BM94" i="29" s="1"/>
  <c r="AX94" i="29"/>
  <c r="BI94" i="29" s="1"/>
  <c r="AT94" i="29"/>
  <c r="BE94" i="29" s="1"/>
  <c r="AP94" i="29"/>
  <c r="AL94" i="29"/>
  <c r="BA94" i="29"/>
  <c r="BL94" i="29" s="1"/>
  <c r="AW94" i="29"/>
  <c r="BH94" i="29" s="1"/>
  <c r="AS94" i="29"/>
  <c r="AO94" i="29"/>
  <c r="AK94" i="29"/>
  <c r="AG94" i="29"/>
  <c r="F80" i="18" a="1"/>
  <c r="F80" i="18" s="1"/>
  <c r="AH106" i="28"/>
  <c r="BI241" i="30"/>
  <c r="BD241" i="30"/>
  <c r="BJ241" i="30"/>
  <c r="F243" i="30" a="1"/>
  <c r="F243" i="30" s="1"/>
  <c r="AZ242" i="30"/>
  <c r="AV242" i="30"/>
  <c r="BG242" i="30" s="1"/>
  <c r="AR242" i="30"/>
  <c r="AN242" i="30"/>
  <c r="AJ242" i="30"/>
  <c r="AF242" i="30"/>
  <c r="BC242" i="30"/>
  <c r="AY242" i="30"/>
  <c r="BJ242" i="30" s="1"/>
  <c r="AU242" i="30"/>
  <c r="AQ242" i="30"/>
  <c r="AM242" i="30"/>
  <c r="AI242" i="30"/>
  <c r="BD242" i="30" s="1"/>
  <c r="AE242" i="30"/>
  <c r="BO242" i="30"/>
  <c r="BB242" i="30"/>
  <c r="BM242" i="30" s="1"/>
  <c r="AX242" i="30"/>
  <c r="BI242" i="30" s="1"/>
  <c r="AT242" i="30"/>
  <c r="AP242" i="30"/>
  <c r="AL242" i="30"/>
  <c r="BA242" i="30"/>
  <c r="BL242" i="30" s="1"/>
  <c r="AK242" i="30"/>
  <c r="AW242" i="30"/>
  <c r="AG242" i="30"/>
  <c r="AS242" i="30"/>
  <c r="AO242" i="30"/>
  <c r="BE237" i="29"/>
  <c r="BF237" i="29"/>
  <c r="BI381" i="29"/>
  <c r="AS28" i="30"/>
  <c r="BD381" i="29"/>
  <c r="BE381" i="29"/>
  <c r="BF381" i="29"/>
  <c r="BA382" i="29"/>
  <c r="BL382" i="29" s="1"/>
  <c r="AW382" i="29"/>
  <c r="BH382" i="29" s="1"/>
  <c r="AS382" i="29"/>
  <c r="AO382" i="29"/>
  <c r="AK382" i="29"/>
  <c r="AG382" i="29"/>
  <c r="F383" i="29" a="1"/>
  <c r="F383" i="29" s="1"/>
  <c r="AZ382" i="29"/>
  <c r="BK382" i="29" s="1"/>
  <c r="AV382" i="29"/>
  <c r="BG382" i="29" s="1"/>
  <c r="AR382" i="29"/>
  <c r="AN382" i="29"/>
  <c r="AJ382" i="29"/>
  <c r="AF382" i="29"/>
  <c r="BC382" i="29"/>
  <c r="AU382" i="29"/>
  <c r="BF382" i="29" s="1"/>
  <c r="AM382" i="29"/>
  <c r="AE382" i="29"/>
  <c r="BB382" i="29"/>
  <c r="BM382" i="29" s="1"/>
  <c r="AT382" i="29"/>
  <c r="BE382" i="29" s="1"/>
  <c r="AL382" i="29"/>
  <c r="AY382" i="29"/>
  <c r="BJ382" i="29" s="1"/>
  <c r="AQ382" i="29"/>
  <c r="AI382" i="29"/>
  <c r="BD382" i="29" s="1"/>
  <c r="AX382" i="29"/>
  <c r="BI382" i="29" s="1"/>
  <c r="AP382" i="29"/>
  <c r="BO382" i="29"/>
  <c r="AG277" i="28"/>
  <c r="AH277" i="28" s="1"/>
  <c r="BM93" i="29"/>
  <c r="AG192" i="28"/>
  <c r="AH192" i="28" s="1"/>
  <c r="AH105" i="28"/>
  <c r="AH108" i="28"/>
  <c r="BO386" i="30"/>
  <c r="BB386" i="30"/>
  <c r="AX386" i="30"/>
  <c r="BI386" i="30" s="1"/>
  <c r="AT386" i="30"/>
  <c r="AP386" i="30"/>
  <c r="AL386" i="30"/>
  <c r="BA386" i="30"/>
  <c r="AW386" i="30"/>
  <c r="AS386" i="30"/>
  <c r="AO386" i="30"/>
  <c r="AK386" i="30"/>
  <c r="AG386" i="30"/>
  <c r="BC386" i="30"/>
  <c r="AY386" i="30"/>
  <c r="AU386" i="30"/>
  <c r="BF386" i="30" s="1"/>
  <c r="AQ386" i="30"/>
  <c r="AM386" i="30"/>
  <c r="AI386" i="30"/>
  <c r="BD386" i="30" s="1"/>
  <c r="AE386" i="30"/>
  <c r="AN386" i="30"/>
  <c r="F387" i="30" a="1"/>
  <c r="F387" i="30" s="1"/>
  <c r="AZ386" i="30"/>
  <c r="BK386" i="30" s="1"/>
  <c r="AJ386" i="30"/>
  <c r="AV386" i="30"/>
  <c r="AF386" i="30"/>
  <c r="AR386" i="30"/>
  <c r="BM241" i="30"/>
  <c r="F81" i="30" a="1"/>
  <c r="F81" i="30" s="1"/>
  <c r="BO80" i="30"/>
  <c r="BI237" i="29"/>
  <c r="BK237" i="29"/>
  <c r="BM237" i="29"/>
  <c r="BD237" i="29"/>
  <c r="BJ237" i="29"/>
  <c r="BM381" i="29"/>
  <c r="AH381" i="29"/>
  <c r="BH381" i="29"/>
  <c r="BG93" i="29"/>
  <c r="BL241" i="30"/>
  <c r="BG241" i="30"/>
  <c r="BC238" i="29"/>
  <c r="AY238" i="29"/>
  <c r="BJ238" i="29" s="1"/>
  <c r="AU238" i="29"/>
  <c r="BF238" i="29" s="1"/>
  <c r="AQ238" i="29"/>
  <c r="AM238" i="29"/>
  <c r="AI238" i="29"/>
  <c r="BD238" i="29" s="1"/>
  <c r="AE238" i="29"/>
  <c r="BA238" i="29"/>
  <c r="BL238" i="29" s="1"/>
  <c r="AW238" i="29"/>
  <c r="BH238" i="29" s="1"/>
  <c r="AS238" i="29"/>
  <c r="AO238" i="29"/>
  <c r="AK238" i="29"/>
  <c r="AG238" i="29"/>
  <c r="BB238" i="29"/>
  <c r="BM238" i="29" s="1"/>
  <c r="AT238" i="29"/>
  <c r="BE238" i="29" s="1"/>
  <c r="AL238" i="29"/>
  <c r="F239" i="29" a="1"/>
  <c r="F239" i="29" s="1"/>
  <c r="AZ238" i="29"/>
  <c r="BK238" i="29" s="1"/>
  <c r="AR238" i="29"/>
  <c r="AJ238" i="29"/>
  <c r="BO238" i="29"/>
  <c r="AX238" i="29"/>
  <c r="BI238" i="29" s="1"/>
  <c r="AP238" i="29"/>
  <c r="AV238" i="29"/>
  <c r="BG238" i="29" s="1"/>
  <c r="AN238" i="29"/>
  <c r="AF238" i="29"/>
  <c r="AH237" i="29"/>
  <c r="BH237" i="29"/>
  <c r="AH94" i="29" l="1"/>
  <c r="AH242" i="30"/>
  <c r="AH382" i="29"/>
  <c r="AH238" i="29"/>
  <c r="BG386" i="30"/>
  <c r="AH386" i="30"/>
  <c r="BH386" i="30"/>
  <c r="BE386" i="30"/>
  <c r="BH242" i="30"/>
  <c r="BL386" i="30"/>
  <c r="AH103" i="28"/>
  <c r="BE242" i="30"/>
  <c r="BF242" i="30"/>
  <c r="BK242" i="30"/>
  <c r="T80" i="18"/>
  <c r="F81" i="18" a="1"/>
  <c r="F81" i="18" s="1"/>
  <c r="BC239" i="29"/>
  <c r="AY239" i="29"/>
  <c r="BJ239" i="29" s="1"/>
  <c r="AU239" i="29"/>
  <c r="BF239" i="29" s="1"/>
  <c r="AQ239" i="29"/>
  <c r="AM239" i="29"/>
  <c r="AI239" i="29"/>
  <c r="BD239" i="29" s="1"/>
  <c r="AE239" i="29"/>
  <c r="BA239" i="29"/>
  <c r="BL239" i="29" s="1"/>
  <c r="AW239" i="29"/>
  <c r="AS239" i="29"/>
  <c r="AO239" i="29"/>
  <c r="AK239" i="29"/>
  <c r="AG239" i="29"/>
  <c r="BB239" i="29"/>
  <c r="BM239" i="29" s="1"/>
  <c r="AT239" i="29"/>
  <c r="BE239" i="29" s="1"/>
  <c r="AL239" i="29"/>
  <c r="F240" i="29" a="1"/>
  <c r="F240" i="29" s="1"/>
  <c r="AZ239" i="29"/>
  <c r="BK239" i="29" s="1"/>
  <c r="AR239" i="29"/>
  <c r="AJ239" i="29"/>
  <c r="BO239" i="29"/>
  <c r="AX239" i="29"/>
  <c r="BI239" i="29" s="1"/>
  <c r="AP239" i="29"/>
  <c r="AV239" i="29"/>
  <c r="BG239" i="29" s="1"/>
  <c r="AN239" i="29"/>
  <c r="AF239" i="29"/>
  <c r="F82" i="30" a="1"/>
  <c r="F82" i="30" s="1"/>
  <c r="BO81" i="30"/>
  <c r="BJ386" i="30"/>
  <c r="BM386" i="30"/>
  <c r="F244" i="30" a="1"/>
  <c r="F244" i="30" s="1"/>
  <c r="AZ243" i="30"/>
  <c r="BK243" i="30" s="1"/>
  <c r="AV243" i="30"/>
  <c r="AR243" i="30"/>
  <c r="AN243" i="30"/>
  <c r="AJ243" i="30"/>
  <c r="AF243" i="30"/>
  <c r="BC243" i="30"/>
  <c r="AY243" i="30"/>
  <c r="AU243" i="30"/>
  <c r="BF243" i="30" s="1"/>
  <c r="AQ243" i="30"/>
  <c r="AM243" i="30"/>
  <c r="AI243" i="30"/>
  <c r="BD243" i="30" s="1"/>
  <c r="AE243" i="30"/>
  <c r="BO243" i="30"/>
  <c r="BB243" i="30"/>
  <c r="AX243" i="30"/>
  <c r="AT243" i="30"/>
  <c r="BE243" i="30" s="1"/>
  <c r="AP243" i="30"/>
  <c r="AL243" i="30"/>
  <c r="AS243" i="30"/>
  <c r="AO243" i="30"/>
  <c r="BA243" i="30"/>
  <c r="AK243" i="30"/>
  <c r="AW243" i="30"/>
  <c r="BH243" i="30" s="1"/>
  <c r="AG243" i="30"/>
  <c r="AZ387" i="30"/>
  <c r="BK387" i="30" s="1"/>
  <c r="AV387" i="30"/>
  <c r="BG387" i="30" s="1"/>
  <c r="AR387" i="30"/>
  <c r="AN387" i="30"/>
  <c r="AJ387" i="30"/>
  <c r="F388" i="30" a="1"/>
  <c r="F388" i="30" s="1"/>
  <c r="BC387" i="30"/>
  <c r="AY387" i="30"/>
  <c r="BJ387" i="30" s="1"/>
  <c r="AU387" i="30"/>
  <c r="BF387" i="30" s="1"/>
  <c r="AQ387" i="30"/>
  <c r="AM387" i="30"/>
  <c r="BA387" i="30"/>
  <c r="BL387" i="30" s="1"/>
  <c r="AW387" i="30"/>
  <c r="BH387" i="30" s="1"/>
  <c r="AS387" i="30"/>
  <c r="AO387" i="30"/>
  <c r="AK387" i="30"/>
  <c r="AF387" i="30"/>
  <c r="AX387" i="30"/>
  <c r="BI387" i="30" s="1"/>
  <c r="AG387" i="30"/>
  <c r="AT387" i="30"/>
  <c r="AP387" i="30"/>
  <c r="BB387" i="30"/>
  <c r="BM387" i="30" s="1"/>
  <c r="AL387" i="30"/>
  <c r="BA383" i="29"/>
  <c r="BL383" i="29" s="1"/>
  <c r="AW383" i="29"/>
  <c r="AS383" i="29"/>
  <c r="AO383" i="29"/>
  <c r="AK383" i="29"/>
  <c r="AG383" i="29"/>
  <c r="F384" i="29" a="1"/>
  <c r="F384" i="29" s="1"/>
  <c r="AZ383" i="29"/>
  <c r="BK383" i="29" s="1"/>
  <c r="AV383" i="29"/>
  <c r="BG383" i="29" s="1"/>
  <c r="AR383" i="29"/>
  <c r="AN383" i="29"/>
  <c r="AJ383" i="29"/>
  <c r="AF383" i="29"/>
  <c r="BC383" i="29"/>
  <c r="AU383" i="29"/>
  <c r="BF383" i="29" s="1"/>
  <c r="AM383" i="29"/>
  <c r="AE383" i="29"/>
  <c r="BB383" i="29"/>
  <c r="AT383" i="29"/>
  <c r="BE383" i="29" s="1"/>
  <c r="AL383" i="29"/>
  <c r="AY383" i="29"/>
  <c r="BJ383" i="29" s="1"/>
  <c r="AQ383" i="29"/>
  <c r="AI383" i="29"/>
  <c r="BD383" i="29" s="1"/>
  <c r="AX383" i="29"/>
  <c r="BI383" i="29" s="1"/>
  <c r="AP383" i="29"/>
  <c r="BO383" i="29"/>
  <c r="F96" i="29" a="1"/>
  <c r="F96" i="29" s="1"/>
  <c r="AZ95" i="29"/>
  <c r="BK95" i="29" s="1"/>
  <c r="AV95" i="29"/>
  <c r="AR95" i="29"/>
  <c r="AN95" i="29"/>
  <c r="AJ95" i="29"/>
  <c r="AF95" i="29"/>
  <c r="BC95" i="29"/>
  <c r="AY95" i="29"/>
  <c r="BJ95" i="29" s="1"/>
  <c r="AU95" i="29"/>
  <c r="BF95" i="29" s="1"/>
  <c r="AQ95" i="29"/>
  <c r="AM95" i="29"/>
  <c r="AI95" i="29"/>
  <c r="BD95" i="29" s="1"/>
  <c r="AE95" i="29"/>
  <c r="BO95" i="29"/>
  <c r="BB95" i="29"/>
  <c r="AX95" i="29"/>
  <c r="BI95" i="29" s="1"/>
  <c r="AT95" i="29"/>
  <c r="BE95" i="29" s="1"/>
  <c r="AP95" i="29"/>
  <c r="AL95" i="29"/>
  <c r="BA95" i="29"/>
  <c r="BL95" i="29" s="1"/>
  <c r="AW95" i="29"/>
  <c r="BH95" i="29" s="1"/>
  <c r="AS95" i="29"/>
  <c r="AO95" i="29"/>
  <c r="AK95" i="29"/>
  <c r="AG95" i="29"/>
  <c r="AH95" i="29" l="1"/>
  <c r="AH243" i="30"/>
  <c r="BG95" i="29"/>
  <c r="BA384" i="29"/>
  <c r="BL384" i="29" s="1"/>
  <c r="AW384" i="29"/>
  <c r="BH384" i="29" s="1"/>
  <c r="AS384" i="29"/>
  <c r="AO384" i="29"/>
  <c r="AK384" i="29"/>
  <c r="AG384" i="29"/>
  <c r="F385" i="29" a="1"/>
  <c r="F385" i="29" s="1"/>
  <c r="AZ384" i="29"/>
  <c r="BK384" i="29" s="1"/>
  <c r="AV384" i="29"/>
  <c r="BG384" i="29" s="1"/>
  <c r="AR384" i="29"/>
  <c r="AN384" i="29"/>
  <c r="AJ384" i="29"/>
  <c r="AF384" i="29"/>
  <c r="BC384" i="29"/>
  <c r="AU384" i="29"/>
  <c r="BF384" i="29" s="1"/>
  <c r="AM384" i="29"/>
  <c r="AE384" i="29"/>
  <c r="BB384" i="29"/>
  <c r="BM384" i="29" s="1"/>
  <c r="AT384" i="29"/>
  <c r="BE384" i="29" s="1"/>
  <c r="AL384" i="29"/>
  <c r="AY384" i="29"/>
  <c r="BJ384" i="29" s="1"/>
  <c r="AQ384" i="29"/>
  <c r="AI384" i="29"/>
  <c r="AP384" i="29"/>
  <c r="BO384" i="29"/>
  <c r="AX384" i="29"/>
  <c r="BI384" i="29" s="1"/>
  <c r="BA388" i="30"/>
  <c r="BL388" i="30" s="1"/>
  <c r="AW388" i="30"/>
  <c r="BH388" i="30" s="1"/>
  <c r="AS388" i="30"/>
  <c r="AO388" i="30"/>
  <c r="AK388" i="30"/>
  <c r="AG388" i="30"/>
  <c r="AZ388" i="30"/>
  <c r="BK388" i="30" s="1"/>
  <c r="AV388" i="30"/>
  <c r="BG388" i="30" s="1"/>
  <c r="AR388" i="30"/>
  <c r="AN388" i="30"/>
  <c r="AJ388" i="30"/>
  <c r="AF388" i="30"/>
  <c r="BB388" i="30"/>
  <c r="BM388" i="30" s="1"/>
  <c r="AX388" i="30"/>
  <c r="BI388" i="30" s="1"/>
  <c r="AT388" i="30"/>
  <c r="AP388" i="30"/>
  <c r="AL388" i="30"/>
  <c r="AQ388" i="30"/>
  <c r="BC388" i="30"/>
  <c r="AM388" i="30"/>
  <c r="F389" i="30" a="1"/>
  <c r="F389" i="30" s="1"/>
  <c r="AY388" i="30"/>
  <c r="BJ388" i="30" s="1"/>
  <c r="AI388" i="30"/>
  <c r="BD388" i="30" s="1"/>
  <c r="AU388" i="30"/>
  <c r="BF388" i="30" s="1"/>
  <c r="AE388" i="30"/>
  <c r="BC240" i="29"/>
  <c r="AY240" i="29"/>
  <c r="AU240" i="29"/>
  <c r="AQ240" i="29"/>
  <c r="AM240" i="29"/>
  <c r="AI240" i="29"/>
  <c r="AE240" i="29"/>
  <c r="BA240" i="29"/>
  <c r="AW240" i="29"/>
  <c r="BH240" i="29" s="1"/>
  <c r="AS240" i="29"/>
  <c r="AO240" i="29"/>
  <c r="AK240" i="29"/>
  <c r="AG240" i="29"/>
  <c r="BB240" i="29"/>
  <c r="AT240" i="29"/>
  <c r="BE240" i="29" s="1"/>
  <c r="AL240" i="29"/>
  <c r="F241" i="29" a="1"/>
  <c r="F241" i="29" s="1"/>
  <c r="AZ240" i="29"/>
  <c r="BK240" i="29" s="1"/>
  <c r="AR240" i="29"/>
  <c r="AJ240" i="29"/>
  <c r="BO240" i="29"/>
  <c r="AX240" i="29"/>
  <c r="AP240" i="29"/>
  <c r="AV240" i="29"/>
  <c r="AN240" i="29"/>
  <c r="AF240" i="29"/>
  <c r="AH239" i="29"/>
  <c r="BH239" i="29"/>
  <c r="BM383" i="29"/>
  <c r="AH383" i="29"/>
  <c r="BH383" i="29"/>
  <c r="BI243" i="30"/>
  <c r="BJ243" i="30"/>
  <c r="AZ244" i="30"/>
  <c r="BK244" i="30" s="1"/>
  <c r="AV244" i="30"/>
  <c r="BG244" i="30" s="1"/>
  <c r="AR244" i="30"/>
  <c r="AN244" i="30"/>
  <c r="AJ244" i="30"/>
  <c r="AF244" i="30"/>
  <c r="F245" i="30" a="1"/>
  <c r="F245" i="30" s="1"/>
  <c r="BC244" i="30"/>
  <c r="AY244" i="30"/>
  <c r="BJ244" i="30" s="1"/>
  <c r="AU244" i="30"/>
  <c r="BF244" i="30" s="1"/>
  <c r="AQ244" i="30"/>
  <c r="AM244" i="30"/>
  <c r="AI244" i="30"/>
  <c r="AE244" i="30"/>
  <c r="BB244" i="30"/>
  <c r="BM244" i="30" s="1"/>
  <c r="AX244" i="30"/>
  <c r="BI244" i="30" s="1"/>
  <c r="AT244" i="30"/>
  <c r="AP244" i="30"/>
  <c r="AL244" i="30"/>
  <c r="BA244" i="30"/>
  <c r="BL244" i="30" s="1"/>
  <c r="AK244" i="30"/>
  <c r="AW244" i="30"/>
  <c r="BH244" i="30" s="1"/>
  <c r="AG244" i="30"/>
  <c r="AS244" i="30"/>
  <c r="AO244" i="30"/>
  <c r="F97" i="29" a="1"/>
  <c r="F97" i="29" s="1"/>
  <c r="AZ96" i="29"/>
  <c r="BK96" i="29" s="1"/>
  <c r="AV96" i="29"/>
  <c r="BG96" i="29" s="1"/>
  <c r="AR96" i="29"/>
  <c r="AN96" i="29"/>
  <c r="AJ96" i="29"/>
  <c r="AF96" i="29"/>
  <c r="BC96" i="29"/>
  <c r="AY96" i="29"/>
  <c r="BJ96" i="29" s="1"/>
  <c r="AU96" i="29"/>
  <c r="AQ96" i="29"/>
  <c r="AM96" i="29"/>
  <c r="AI96" i="29"/>
  <c r="AE96" i="29"/>
  <c r="BO96" i="29"/>
  <c r="BB96" i="29"/>
  <c r="BM96" i="29" s="1"/>
  <c r="AX96" i="29"/>
  <c r="BI96" i="29" s="1"/>
  <c r="AT96" i="29"/>
  <c r="BE96" i="29" s="1"/>
  <c r="AP96" i="29"/>
  <c r="AL96" i="29"/>
  <c r="BA96" i="29"/>
  <c r="BL96" i="29" s="1"/>
  <c r="AW96" i="29"/>
  <c r="BH96" i="29" s="1"/>
  <c r="AS96" i="29"/>
  <c r="AO96" i="29"/>
  <c r="AK96" i="29"/>
  <c r="AG96" i="29"/>
  <c r="BD387" i="30"/>
  <c r="BE387" i="30"/>
  <c r="BM243" i="30"/>
  <c r="F83" i="30" a="1"/>
  <c r="F83" i="30" s="1"/>
  <c r="BO82" i="30"/>
  <c r="F82" i="18" a="1"/>
  <c r="F82" i="18" s="1"/>
  <c r="BM95" i="29"/>
  <c r="AH387" i="30"/>
  <c r="BL243" i="30"/>
  <c r="BG243" i="30"/>
  <c r="BE244" i="30" l="1"/>
  <c r="AH244" i="30"/>
  <c r="AH96" i="29"/>
  <c r="BD240" i="29"/>
  <c r="BE388" i="30"/>
  <c r="AH388" i="30"/>
  <c r="F84" i="30" a="1"/>
  <c r="F84" i="30" s="1"/>
  <c r="BO83" i="30"/>
  <c r="BF240" i="29"/>
  <c r="BD384" i="29"/>
  <c r="BA385" i="29"/>
  <c r="AW385" i="29"/>
  <c r="AS385" i="29"/>
  <c r="AO385" i="29"/>
  <c r="AK385" i="29"/>
  <c r="AG385" i="29"/>
  <c r="F386" i="29" a="1"/>
  <c r="F386" i="29" s="1"/>
  <c r="AZ385" i="29"/>
  <c r="AV385" i="29"/>
  <c r="AR385" i="29"/>
  <c r="AN385" i="29"/>
  <c r="AJ385" i="29"/>
  <c r="AF385" i="29"/>
  <c r="BC385" i="29"/>
  <c r="AU385" i="29"/>
  <c r="AM385" i="29"/>
  <c r="AE385" i="29"/>
  <c r="BB385" i="29"/>
  <c r="AT385" i="29"/>
  <c r="AL385" i="29"/>
  <c r="AY385" i="29"/>
  <c r="AQ385" i="29"/>
  <c r="AI385" i="29"/>
  <c r="BD385" i="29" s="1"/>
  <c r="BO385" i="29"/>
  <c r="AX385" i="29"/>
  <c r="AP385" i="29"/>
  <c r="F83" i="18" a="1"/>
  <c r="F83" i="18" s="1"/>
  <c r="BF96" i="29"/>
  <c r="BA245" i="30"/>
  <c r="AW245" i="30"/>
  <c r="BH245" i="30" s="1"/>
  <c r="AS245" i="30"/>
  <c r="AO245" i="30"/>
  <c r="AK245" i="30"/>
  <c r="AG245" i="30"/>
  <c r="F246" i="30" a="1"/>
  <c r="F246" i="30" s="1"/>
  <c r="AZ245" i="30"/>
  <c r="BK245" i="30" s="1"/>
  <c r="AV245" i="30"/>
  <c r="AR245" i="30"/>
  <c r="AN245" i="30"/>
  <c r="AJ245" i="30"/>
  <c r="AF245" i="30"/>
  <c r="BC245" i="30"/>
  <c r="AY245" i="30"/>
  <c r="BJ245" i="30" s="1"/>
  <c r="AU245" i="30"/>
  <c r="BF245" i="30" s="1"/>
  <c r="AQ245" i="30"/>
  <c r="AM245" i="30"/>
  <c r="AI245" i="30"/>
  <c r="BD245" i="30" s="1"/>
  <c r="AE245" i="30"/>
  <c r="AT245" i="30"/>
  <c r="BE245" i="30" s="1"/>
  <c r="AP245" i="30"/>
  <c r="BB245" i="30"/>
  <c r="AL245" i="30"/>
  <c r="BO245" i="30"/>
  <c r="AX245" i="30"/>
  <c r="BI245" i="30" s="1"/>
  <c r="BI240" i="29"/>
  <c r="BM240" i="29"/>
  <c r="BJ240" i="29"/>
  <c r="AH384" i="29"/>
  <c r="BD96" i="29"/>
  <c r="F98" i="29" a="1"/>
  <c r="F98" i="29" s="1"/>
  <c r="AZ97" i="29"/>
  <c r="BK97" i="29" s="1"/>
  <c r="AV97" i="29"/>
  <c r="BG97" i="29" s="1"/>
  <c r="AR97" i="29"/>
  <c r="AN97" i="29"/>
  <c r="AJ97" i="29"/>
  <c r="AF97" i="29"/>
  <c r="BC97" i="29"/>
  <c r="AY97" i="29"/>
  <c r="AU97" i="29"/>
  <c r="BF97" i="29" s="1"/>
  <c r="AQ97" i="29"/>
  <c r="AM97" i="29"/>
  <c r="AI97" i="29"/>
  <c r="BD97" i="29" s="1"/>
  <c r="AE97" i="29"/>
  <c r="BO97" i="29"/>
  <c r="BB97" i="29"/>
  <c r="AX97" i="29"/>
  <c r="BI97" i="29" s="1"/>
  <c r="AT97" i="29"/>
  <c r="BE97" i="29" s="1"/>
  <c r="AP97" i="29"/>
  <c r="AL97" i="29"/>
  <c r="BA97" i="29"/>
  <c r="BL97" i="29" s="1"/>
  <c r="AW97" i="29"/>
  <c r="BH97" i="29" s="1"/>
  <c r="AS97" i="29"/>
  <c r="AO97" i="29"/>
  <c r="AK97" i="29"/>
  <c r="AG97" i="29"/>
  <c r="BC241" i="29"/>
  <c r="AY241" i="29"/>
  <c r="BJ241" i="29" s="1"/>
  <c r="AU241" i="29"/>
  <c r="BF241" i="29" s="1"/>
  <c r="AQ241" i="29"/>
  <c r="AM241" i="29"/>
  <c r="AI241" i="29"/>
  <c r="AE241" i="29"/>
  <c r="BA241" i="29"/>
  <c r="BL241" i="29" s="1"/>
  <c r="AW241" i="29"/>
  <c r="AS241" i="29"/>
  <c r="AO241" i="29"/>
  <c r="AK241" i="29"/>
  <c r="AG241" i="29"/>
  <c r="BB241" i="29"/>
  <c r="BM241" i="29" s="1"/>
  <c r="AT241" i="29"/>
  <c r="AL241" i="29"/>
  <c r="F242" i="29" a="1"/>
  <c r="F242" i="29" s="1"/>
  <c r="AZ241" i="29"/>
  <c r="AR241" i="29"/>
  <c r="AJ241" i="29"/>
  <c r="BO241" i="29"/>
  <c r="AX241" i="29"/>
  <c r="BI241" i="29" s="1"/>
  <c r="AP241" i="29"/>
  <c r="AV241" i="29"/>
  <c r="BG241" i="29" s="1"/>
  <c r="AN241" i="29"/>
  <c r="AF241" i="29"/>
  <c r="AH240" i="29"/>
  <c r="BD244" i="30"/>
  <c r="BG240" i="29"/>
  <c r="BL240" i="29"/>
  <c r="BO389" i="30"/>
  <c r="BB389" i="30"/>
  <c r="BM389" i="30" s="1"/>
  <c r="AX389" i="30"/>
  <c r="BI389" i="30" s="1"/>
  <c r="AT389" i="30"/>
  <c r="BE389" i="30" s="1"/>
  <c r="AP389" i="30"/>
  <c r="AL389" i="30"/>
  <c r="BA389" i="30"/>
  <c r="BL389" i="30" s="1"/>
  <c r="AW389" i="30"/>
  <c r="BH389" i="30" s="1"/>
  <c r="AS389" i="30"/>
  <c r="AO389" i="30"/>
  <c r="AK389" i="30"/>
  <c r="AG389" i="30"/>
  <c r="BC389" i="30"/>
  <c r="AY389" i="30"/>
  <c r="BJ389" i="30" s="1"/>
  <c r="AU389" i="30"/>
  <c r="BF389" i="30" s="1"/>
  <c r="AQ389" i="30"/>
  <c r="AM389" i="30"/>
  <c r="AI389" i="30"/>
  <c r="BD389" i="30" s="1"/>
  <c r="AE389" i="30"/>
  <c r="F390" i="30" a="1"/>
  <c r="F390" i="30" s="1"/>
  <c r="AZ389" i="30"/>
  <c r="BK389" i="30" s="1"/>
  <c r="AJ389" i="30"/>
  <c r="AV389" i="30"/>
  <c r="BG389" i="30" s="1"/>
  <c r="AF389" i="30"/>
  <c r="AR389" i="30"/>
  <c r="AN389" i="30"/>
  <c r="AH97" i="29" l="1"/>
  <c r="BO390" i="30"/>
  <c r="BB390" i="30"/>
  <c r="AX390" i="30"/>
  <c r="AT390" i="30"/>
  <c r="AP390" i="30"/>
  <c r="AP380" i="30" s="1"/>
  <c r="AL390" i="30"/>
  <c r="AL380" i="30" s="1"/>
  <c r="BA390" i="30"/>
  <c r="AW390" i="30"/>
  <c r="AS390" i="30"/>
  <c r="AS380" i="30" s="1"/>
  <c r="AO390" i="30"/>
  <c r="AO380" i="30" s="1"/>
  <c r="AK390" i="30"/>
  <c r="AK380" i="30" s="1"/>
  <c r="AG390" i="30"/>
  <c r="BC390" i="30"/>
  <c r="BC380" i="30" s="1"/>
  <c r="AY390" i="30"/>
  <c r="AU390" i="30"/>
  <c r="AQ390" i="30"/>
  <c r="AQ380" i="30" s="1"/>
  <c r="AM390" i="30"/>
  <c r="AM380" i="30" s="1"/>
  <c r="AI390" i="30"/>
  <c r="AE390" i="30"/>
  <c r="AE380" i="30" s="1"/>
  <c r="AR390" i="30"/>
  <c r="AR380" i="30" s="1"/>
  <c r="AN390" i="30"/>
  <c r="AN380" i="30" s="1"/>
  <c r="F391" i="30" a="1"/>
  <c r="F391" i="30" s="1"/>
  <c r="F392" i="30" s="1" a="1"/>
  <c r="F392" i="30" s="1"/>
  <c r="AZ390" i="30"/>
  <c r="AJ390" i="30"/>
  <c r="AJ380" i="30" s="1"/>
  <c r="AF390" i="30"/>
  <c r="AF380" i="30" s="1"/>
  <c r="AV390" i="30"/>
  <c r="T83" i="18"/>
  <c r="T84" i="18" s="1" a="1"/>
  <c r="T84" i="18" s="1"/>
  <c r="T85" i="18" s="1" a="1"/>
  <c r="T85" i="18" s="1"/>
  <c r="T86" i="18" s="1" a="1"/>
  <c r="T86" i="18" s="1"/>
  <c r="F84" i="18" a="1"/>
  <c r="F84" i="18" s="1"/>
  <c r="BE385" i="29"/>
  <c r="BF385" i="29"/>
  <c r="BA386" i="29"/>
  <c r="BL386" i="29" s="1"/>
  <c r="AW386" i="29"/>
  <c r="BH386" i="29" s="1"/>
  <c r="AS386" i="29"/>
  <c r="AO386" i="29"/>
  <c r="AK386" i="29"/>
  <c r="AG386" i="29"/>
  <c r="F387" i="29" a="1"/>
  <c r="F387" i="29" s="1"/>
  <c r="AZ386" i="29"/>
  <c r="BK386" i="29" s="1"/>
  <c r="AV386" i="29"/>
  <c r="BG386" i="29" s="1"/>
  <c r="AR386" i="29"/>
  <c r="AN386" i="29"/>
  <c r="AJ386" i="29"/>
  <c r="AF386" i="29"/>
  <c r="BC386" i="29"/>
  <c r="AU386" i="29"/>
  <c r="BF386" i="29" s="1"/>
  <c r="AM386" i="29"/>
  <c r="AE386" i="29"/>
  <c r="BB386" i="29"/>
  <c r="BM386" i="29" s="1"/>
  <c r="AT386" i="29"/>
  <c r="BE386" i="29" s="1"/>
  <c r="AL386" i="29"/>
  <c r="AY386" i="29"/>
  <c r="BJ386" i="29" s="1"/>
  <c r="AQ386" i="29"/>
  <c r="AI386" i="29"/>
  <c r="BD386" i="29" s="1"/>
  <c r="AX386" i="29"/>
  <c r="BI386" i="29" s="1"/>
  <c r="AP386" i="29"/>
  <c r="BO386" i="29"/>
  <c r="F85" i="30" a="1"/>
  <c r="F85" i="30" s="1"/>
  <c r="F86" i="30" s="1" a="1"/>
  <c r="F86" i="30" s="1"/>
  <c r="F87" i="30" s="1" a="1"/>
  <c r="F87" i="30" s="1"/>
  <c r="BO84" i="30"/>
  <c r="BE241" i="29"/>
  <c r="BM245" i="30"/>
  <c r="BA246" i="30"/>
  <c r="BL246" i="30" s="1"/>
  <c r="AW246" i="30"/>
  <c r="AS246" i="30"/>
  <c r="AS236" i="30" s="1"/>
  <c r="AO246" i="30"/>
  <c r="AO236" i="30" s="1"/>
  <c r="AK246" i="30"/>
  <c r="AK236" i="30" s="1"/>
  <c r="AG246" i="30"/>
  <c r="F247" i="30" a="1"/>
  <c r="F247" i="30" s="1"/>
  <c r="F248" i="30" s="1" a="1"/>
  <c r="F248" i="30" s="1"/>
  <c r="AZ246" i="30"/>
  <c r="AV246" i="30"/>
  <c r="BG246" i="30" s="1"/>
  <c r="AR246" i="30"/>
  <c r="AR236" i="30" s="1"/>
  <c r="AN246" i="30"/>
  <c r="AN236" i="30" s="1"/>
  <c r="AJ246" i="30"/>
  <c r="AJ236" i="30" s="1"/>
  <c r="AF246" i="30"/>
  <c r="AF236" i="30" s="1"/>
  <c r="BC246" i="30"/>
  <c r="BC236" i="30" s="1"/>
  <c r="AY246" i="30"/>
  <c r="AU246" i="30"/>
  <c r="AQ246" i="30"/>
  <c r="AQ236" i="30" s="1"/>
  <c r="AM246" i="30"/>
  <c r="AM236" i="30" s="1"/>
  <c r="AI246" i="30"/>
  <c r="AE246" i="30"/>
  <c r="AE236" i="30" s="1"/>
  <c r="BB246" i="30"/>
  <c r="BM246" i="30" s="1"/>
  <c r="AL246" i="30"/>
  <c r="AL236" i="30" s="1"/>
  <c r="BO246" i="30"/>
  <c r="AX246" i="30"/>
  <c r="AT246" i="30"/>
  <c r="AP246" i="30"/>
  <c r="AP236" i="30" s="1"/>
  <c r="BM385" i="29"/>
  <c r="AH385" i="29"/>
  <c r="BH385" i="29"/>
  <c r="AH389" i="30"/>
  <c r="BK241" i="29"/>
  <c r="BD241" i="29"/>
  <c r="BJ97" i="29"/>
  <c r="F99" i="29" a="1"/>
  <c r="F99" i="29" s="1"/>
  <c r="AZ98" i="29"/>
  <c r="BK98" i="29" s="1"/>
  <c r="AV98" i="29"/>
  <c r="AR98" i="29"/>
  <c r="AN98" i="29"/>
  <c r="AJ98" i="29"/>
  <c r="AF98" i="29"/>
  <c r="BC98" i="29"/>
  <c r="AY98" i="29"/>
  <c r="BJ98" i="29" s="1"/>
  <c r="AU98" i="29"/>
  <c r="BF98" i="29" s="1"/>
  <c r="AQ98" i="29"/>
  <c r="AM98" i="29"/>
  <c r="AI98" i="29"/>
  <c r="BD98" i="29" s="1"/>
  <c r="AE98" i="29"/>
  <c r="BO98" i="29"/>
  <c r="BB98" i="29"/>
  <c r="BM98" i="29" s="1"/>
  <c r="AX98" i="29"/>
  <c r="BI98" i="29" s="1"/>
  <c r="AT98" i="29"/>
  <c r="BE98" i="29" s="1"/>
  <c r="AP98" i="29"/>
  <c r="AL98" i="29"/>
  <c r="BA98" i="29"/>
  <c r="AW98" i="29"/>
  <c r="BH98" i="29" s="1"/>
  <c r="AS98" i="29"/>
  <c r="AO98" i="29"/>
  <c r="AK98" i="29"/>
  <c r="AG98" i="29"/>
  <c r="AH245" i="30"/>
  <c r="BI385" i="29"/>
  <c r="BJ385" i="29"/>
  <c r="BG385" i="29"/>
  <c r="BL385" i="29"/>
  <c r="BC242" i="29"/>
  <c r="AY242" i="29"/>
  <c r="BJ242" i="29" s="1"/>
  <c r="AU242" i="29"/>
  <c r="BF242" i="29" s="1"/>
  <c r="AQ242" i="29"/>
  <c r="AM242" i="29"/>
  <c r="AI242" i="29"/>
  <c r="BD242" i="29" s="1"/>
  <c r="AE242" i="29"/>
  <c r="BA242" i="29"/>
  <c r="AW242" i="29"/>
  <c r="BH242" i="29" s="1"/>
  <c r="AS242" i="29"/>
  <c r="AO242" i="29"/>
  <c r="AK242" i="29"/>
  <c r="AG242" i="29"/>
  <c r="BB242" i="29"/>
  <c r="BM242" i="29" s="1"/>
  <c r="AT242" i="29"/>
  <c r="BE242" i="29" s="1"/>
  <c r="AL242" i="29"/>
  <c r="F243" i="29" a="1"/>
  <c r="F243" i="29" s="1"/>
  <c r="AZ242" i="29"/>
  <c r="BK242" i="29" s="1"/>
  <c r="AR242" i="29"/>
  <c r="AJ242" i="29"/>
  <c r="BO242" i="29"/>
  <c r="AX242" i="29"/>
  <c r="BI242" i="29" s="1"/>
  <c r="AP242" i="29"/>
  <c r="AV242" i="29"/>
  <c r="AN242" i="29"/>
  <c r="AF242" i="29"/>
  <c r="AH241" i="29"/>
  <c r="BH241" i="29"/>
  <c r="BM97" i="29"/>
  <c r="BG245" i="30"/>
  <c r="AV236" i="30"/>
  <c r="BG236" i="30" s="1"/>
  <c r="BL245" i="30"/>
  <c r="BA236" i="30"/>
  <c r="BL236" i="30" s="1"/>
  <c r="BK385" i="29"/>
  <c r="AH98" i="29" l="1"/>
  <c r="AH386" i="29"/>
  <c r="BB236" i="30"/>
  <c r="BM236" i="30" s="1"/>
  <c r="BL242" i="29"/>
  <c r="BC243" i="29"/>
  <c r="AY243" i="29"/>
  <c r="BJ243" i="29" s="1"/>
  <c r="AU243" i="29"/>
  <c r="AQ243" i="29"/>
  <c r="AM243" i="29"/>
  <c r="AI243" i="29"/>
  <c r="AE243" i="29"/>
  <c r="BA243" i="29"/>
  <c r="BL243" i="29" s="1"/>
  <c r="AW243" i="29"/>
  <c r="AS243" i="29"/>
  <c r="AO243" i="29"/>
  <c r="AK243" i="29"/>
  <c r="AG243" i="29"/>
  <c r="BB243" i="29"/>
  <c r="BM243" i="29" s="1"/>
  <c r="AT243" i="29"/>
  <c r="BE243" i="29" s="1"/>
  <c r="AL243" i="29"/>
  <c r="F244" i="29" a="1"/>
  <c r="F244" i="29" s="1"/>
  <c r="AZ243" i="29"/>
  <c r="BK243" i="29" s="1"/>
  <c r="AR243" i="29"/>
  <c r="AJ243" i="29"/>
  <c r="BO243" i="29"/>
  <c r="AX243" i="29"/>
  <c r="BI243" i="29" s="1"/>
  <c r="AP243" i="29"/>
  <c r="AV243" i="29"/>
  <c r="BG243" i="29" s="1"/>
  <c r="AN243" i="29"/>
  <c r="AF243" i="29"/>
  <c r="AH242" i="29"/>
  <c r="BG98" i="29"/>
  <c r="BE246" i="30"/>
  <c r="AT236" i="30"/>
  <c r="F85" i="18" a="1"/>
  <c r="F85" i="18" s="1"/>
  <c r="BK390" i="30"/>
  <c r="AZ380" i="30"/>
  <c r="BK380" i="30" s="1"/>
  <c r="BF390" i="30"/>
  <c r="AU380" i="30"/>
  <c r="BF380" i="30" s="1"/>
  <c r="BL390" i="30"/>
  <c r="BA380" i="30"/>
  <c r="BL380" i="30" s="1"/>
  <c r="BI390" i="30"/>
  <c r="AX380" i="30"/>
  <c r="BI380" i="30" s="1"/>
  <c r="BG390" i="30"/>
  <c r="AV380" i="30"/>
  <c r="BG380" i="30" s="1"/>
  <c r="BC392" i="30"/>
  <c r="AY392" i="30"/>
  <c r="BJ392" i="30" s="1"/>
  <c r="AU392" i="30"/>
  <c r="BF392" i="30" s="1"/>
  <c r="AQ392" i="30"/>
  <c r="AM392" i="30"/>
  <c r="AI392" i="30"/>
  <c r="AE392" i="30"/>
  <c r="BB392" i="30"/>
  <c r="BM392" i="30" s="1"/>
  <c r="AX392" i="30"/>
  <c r="BI392" i="30" s="1"/>
  <c r="AT392" i="30"/>
  <c r="AP392" i="30"/>
  <c r="AL392" i="30"/>
  <c r="F393" i="30" a="1"/>
  <c r="F393" i="30" s="1"/>
  <c r="F394" i="30" s="1" a="1"/>
  <c r="F394" i="30" s="1"/>
  <c r="AZ392" i="30"/>
  <c r="BK392" i="30" s="1"/>
  <c r="AV392" i="30"/>
  <c r="BG392" i="30" s="1"/>
  <c r="AR392" i="30"/>
  <c r="AN392" i="30"/>
  <c r="AJ392" i="30"/>
  <c r="AF392" i="30"/>
  <c r="BA392" i="30"/>
  <c r="BL392" i="30" s="1"/>
  <c r="AK392" i="30"/>
  <c r="AW392" i="30"/>
  <c r="BH392" i="30" s="1"/>
  <c r="AG392" i="30"/>
  <c r="AH392" i="30" s="1"/>
  <c r="AS392" i="30"/>
  <c r="AO392" i="30"/>
  <c r="BD390" i="30"/>
  <c r="AI380" i="30"/>
  <c r="BJ390" i="30"/>
  <c r="AY380" i="30"/>
  <c r="BJ380" i="30" s="1"/>
  <c r="BM390" i="30"/>
  <c r="BB380" i="30"/>
  <c r="BM380" i="30" s="1"/>
  <c r="BG242" i="29"/>
  <c r="BI246" i="30"/>
  <c r="AX236" i="30"/>
  <c r="BI236" i="30" s="1"/>
  <c r="BF246" i="30"/>
  <c r="AU236" i="30"/>
  <c r="BF236" i="30" s="1"/>
  <c r="BK246" i="30"/>
  <c r="AZ236" i="30"/>
  <c r="BK236" i="30" s="1"/>
  <c r="BL98" i="29"/>
  <c r="F100" i="29" a="1"/>
  <c r="F100" i="29" s="1"/>
  <c r="AZ99" i="29"/>
  <c r="BK99" i="29" s="1"/>
  <c r="AV99" i="29"/>
  <c r="BG99" i="29" s="1"/>
  <c r="AR99" i="29"/>
  <c r="AN99" i="29"/>
  <c r="AJ99" i="29"/>
  <c r="AF99" i="29"/>
  <c r="BC99" i="29"/>
  <c r="AY99" i="29"/>
  <c r="AU99" i="29"/>
  <c r="BF99" i="29" s="1"/>
  <c r="AQ99" i="29"/>
  <c r="AM99" i="29"/>
  <c r="AI99" i="29"/>
  <c r="AE99" i="29"/>
  <c r="BO99" i="29"/>
  <c r="BB99" i="29"/>
  <c r="AX99" i="29"/>
  <c r="BI99" i="29" s="1"/>
  <c r="AT99" i="29"/>
  <c r="BE99" i="29" s="1"/>
  <c r="AP99" i="29"/>
  <c r="AL99" i="29"/>
  <c r="BA99" i="29"/>
  <c r="BL99" i="29" s="1"/>
  <c r="AW99" i="29"/>
  <c r="BH99" i="29" s="1"/>
  <c r="AS99" i="29"/>
  <c r="AO99" i="29"/>
  <c r="AK99" i="29"/>
  <c r="AG99" i="29"/>
  <c r="AH99" i="29" s="1"/>
  <c r="BD246" i="30"/>
  <c r="AI236" i="30"/>
  <c r="BJ246" i="30"/>
  <c r="AY236" i="30"/>
  <c r="BJ236" i="30" s="1"/>
  <c r="BB248" i="30"/>
  <c r="BM248" i="30" s="1"/>
  <c r="AX248" i="30"/>
  <c r="BI248" i="30" s="1"/>
  <c r="AT248" i="30"/>
  <c r="AP248" i="30"/>
  <c r="AL248" i="30"/>
  <c r="BA248" i="30"/>
  <c r="BL248" i="30" s="1"/>
  <c r="AW248" i="30"/>
  <c r="BH248" i="30" s="1"/>
  <c r="AS248" i="30"/>
  <c r="AO248" i="30"/>
  <c r="AK248" i="30"/>
  <c r="AG248" i="30"/>
  <c r="F249" i="30" a="1"/>
  <c r="F249" i="30" s="1"/>
  <c r="F250" i="30" s="1" a="1"/>
  <c r="F250" i="30" s="1"/>
  <c r="AZ248" i="30"/>
  <c r="BK248" i="30" s="1"/>
  <c r="AV248" i="30"/>
  <c r="BG248" i="30" s="1"/>
  <c r="AR248" i="30"/>
  <c r="AN248" i="30"/>
  <c r="AJ248" i="30"/>
  <c r="AF248" i="30"/>
  <c r="AQ248" i="30"/>
  <c r="BC248" i="30"/>
  <c r="AM248" i="30"/>
  <c r="AY248" i="30"/>
  <c r="BJ248" i="30" s="1"/>
  <c r="AI248" i="30"/>
  <c r="BD248" i="30" s="1"/>
  <c r="AU248" i="30"/>
  <c r="BF248" i="30" s="1"/>
  <c r="AE248" i="30"/>
  <c r="BA387" i="29"/>
  <c r="AW387" i="29"/>
  <c r="AS387" i="29"/>
  <c r="AO387" i="29"/>
  <c r="AK387" i="29"/>
  <c r="AG387" i="29"/>
  <c r="F388" i="29" a="1"/>
  <c r="F388" i="29" s="1"/>
  <c r="AZ387" i="29"/>
  <c r="AV387" i="29"/>
  <c r="AR387" i="29"/>
  <c r="AN387" i="29"/>
  <c r="AJ387" i="29"/>
  <c r="AF387" i="29"/>
  <c r="BC387" i="29"/>
  <c r="AU387" i="29"/>
  <c r="AM387" i="29"/>
  <c r="AE387" i="29"/>
  <c r="BB387" i="29"/>
  <c r="AT387" i="29"/>
  <c r="AL387" i="29"/>
  <c r="AY387" i="29"/>
  <c r="AQ387" i="29"/>
  <c r="AI387" i="29"/>
  <c r="AX387" i="29"/>
  <c r="AP387" i="29"/>
  <c r="BO387" i="29"/>
  <c r="AH246" i="30"/>
  <c r="AG236" i="30"/>
  <c r="AH236" i="30" s="1"/>
  <c r="BH246" i="30"/>
  <c r="AW236" i="30"/>
  <c r="BH236" i="30" s="1"/>
  <c r="BO87" i="30"/>
  <c r="F88" i="30" a="1"/>
  <c r="F88" i="30" s="1"/>
  <c r="AH390" i="30"/>
  <c r="AG380" i="30"/>
  <c r="AH380" i="30" s="1"/>
  <c r="BH390" i="30"/>
  <c r="AW380" i="30"/>
  <c r="BH380" i="30" s="1"/>
  <c r="BE390" i="30"/>
  <c r="AT380" i="30"/>
  <c r="BE380" i="30" s="1"/>
  <c r="BE392" i="30" l="1"/>
  <c r="BD236" i="30"/>
  <c r="BD387" i="29"/>
  <c r="BE387" i="29"/>
  <c r="BF387" i="29"/>
  <c r="BA388" i="29"/>
  <c r="BL388" i="29" s="1"/>
  <c r="AW388" i="29"/>
  <c r="BH388" i="29" s="1"/>
  <c r="AS388" i="29"/>
  <c r="AO388" i="29"/>
  <c r="AK388" i="29"/>
  <c r="AG388" i="29"/>
  <c r="F389" i="29" a="1"/>
  <c r="F389" i="29" s="1"/>
  <c r="AZ388" i="29"/>
  <c r="BK388" i="29" s="1"/>
  <c r="AV388" i="29"/>
  <c r="BG388" i="29" s="1"/>
  <c r="AR388" i="29"/>
  <c r="AN388" i="29"/>
  <c r="AJ388" i="29"/>
  <c r="AF388" i="29"/>
  <c r="BC388" i="29"/>
  <c r="AU388" i="29"/>
  <c r="BF388" i="29" s="1"/>
  <c r="AM388" i="29"/>
  <c r="AE388" i="29"/>
  <c r="BB388" i="29"/>
  <c r="BM388" i="29" s="1"/>
  <c r="AT388" i="29"/>
  <c r="BE388" i="29" s="1"/>
  <c r="AL388" i="29"/>
  <c r="AY388" i="29"/>
  <c r="BJ388" i="29" s="1"/>
  <c r="AQ388" i="29"/>
  <c r="AI388" i="29"/>
  <c r="BD388" i="29" s="1"/>
  <c r="AP388" i="29"/>
  <c r="BO388" i="29"/>
  <c r="AX388" i="29"/>
  <c r="BI388" i="29" s="1"/>
  <c r="BO250" i="30"/>
  <c r="F251" i="30" a="1"/>
  <c r="F251" i="30" s="1"/>
  <c r="BD243" i="29"/>
  <c r="BO88" i="30"/>
  <c r="F89" i="30" a="1"/>
  <c r="F89" i="30" s="1"/>
  <c r="BM387" i="29"/>
  <c r="AH387" i="29"/>
  <c r="BH387" i="29"/>
  <c r="AH248" i="30"/>
  <c r="BE248" i="30"/>
  <c r="BD380" i="30"/>
  <c r="BC244" i="29"/>
  <c r="AY244" i="29"/>
  <c r="BJ244" i="29" s="1"/>
  <c r="AU244" i="29"/>
  <c r="BF244" i="29" s="1"/>
  <c r="AQ244" i="29"/>
  <c r="AM244" i="29"/>
  <c r="AI244" i="29"/>
  <c r="AE244" i="29"/>
  <c r="BA244" i="29"/>
  <c r="BL244" i="29" s="1"/>
  <c r="AW244" i="29"/>
  <c r="BH244" i="29" s="1"/>
  <c r="AS244" i="29"/>
  <c r="AO244" i="29"/>
  <c r="AK244" i="29"/>
  <c r="AG244" i="29"/>
  <c r="BB244" i="29"/>
  <c r="BM244" i="29" s="1"/>
  <c r="AT244" i="29"/>
  <c r="BE244" i="29" s="1"/>
  <c r="AL244" i="29"/>
  <c r="F245" i="29" a="1"/>
  <c r="F245" i="29" s="1"/>
  <c r="AZ244" i="29"/>
  <c r="BK244" i="29" s="1"/>
  <c r="AR244" i="29"/>
  <c r="AJ244" i="29"/>
  <c r="BO244" i="29"/>
  <c r="AX244" i="29"/>
  <c r="BI244" i="29" s="1"/>
  <c r="AP244" i="29"/>
  <c r="AV244" i="29"/>
  <c r="AN244" i="29"/>
  <c r="AF244" i="29"/>
  <c r="AH243" i="29"/>
  <c r="BH243" i="29"/>
  <c r="BJ387" i="29"/>
  <c r="BG387" i="29"/>
  <c r="BL387" i="29"/>
  <c r="BD99" i="29"/>
  <c r="BJ99" i="29"/>
  <c r="F101" i="29" a="1"/>
  <c r="F101" i="29" s="1"/>
  <c r="AZ100" i="29"/>
  <c r="BK100" i="29" s="1"/>
  <c r="AV100" i="29"/>
  <c r="BG100" i="29" s="1"/>
  <c r="AR100" i="29"/>
  <c r="AN100" i="29"/>
  <c r="AJ100" i="29"/>
  <c r="AF100" i="29"/>
  <c r="BC100" i="29"/>
  <c r="AY100" i="29"/>
  <c r="BJ100" i="29" s="1"/>
  <c r="AU100" i="29"/>
  <c r="BF100" i="29" s="1"/>
  <c r="AQ100" i="29"/>
  <c r="AM100" i="29"/>
  <c r="AI100" i="29"/>
  <c r="BD100" i="29" s="1"/>
  <c r="AE100" i="29"/>
  <c r="BO100" i="29"/>
  <c r="BB100" i="29"/>
  <c r="BM100" i="29" s="1"/>
  <c r="AX100" i="29"/>
  <c r="BI100" i="29" s="1"/>
  <c r="AT100" i="29"/>
  <c r="BE100" i="29" s="1"/>
  <c r="AP100" i="29"/>
  <c r="AL100" i="29"/>
  <c r="BA100" i="29"/>
  <c r="BL100" i="29" s="1"/>
  <c r="AW100" i="29"/>
  <c r="BH100" i="29" s="1"/>
  <c r="AS100" i="29"/>
  <c r="AO100" i="29"/>
  <c r="AK100" i="29"/>
  <c r="AG100" i="29"/>
  <c r="BD392" i="30"/>
  <c r="F86" i="18" a="1"/>
  <c r="F86" i="18" s="1"/>
  <c r="BI387" i="29"/>
  <c r="BK387" i="29"/>
  <c r="BM99" i="29"/>
  <c r="BO394" i="30"/>
  <c r="F395" i="30" a="1"/>
  <c r="F395" i="30" s="1"/>
  <c r="BE236" i="30"/>
  <c r="BF243" i="29"/>
  <c r="AH100" i="29" l="1"/>
  <c r="F102" i="29" a="1"/>
  <c r="F102" i="29" s="1"/>
  <c r="AZ101" i="29"/>
  <c r="BK101" i="29" s="1"/>
  <c r="AV101" i="29"/>
  <c r="BG101" i="29" s="1"/>
  <c r="AR101" i="29"/>
  <c r="AN101" i="29"/>
  <c r="AJ101" i="29"/>
  <c r="AF101" i="29"/>
  <c r="BC101" i="29"/>
  <c r="AY101" i="29"/>
  <c r="BJ101" i="29" s="1"/>
  <c r="AU101" i="29"/>
  <c r="BF101" i="29" s="1"/>
  <c r="AQ101" i="29"/>
  <c r="AM101" i="29"/>
  <c r="AI101" i="29"/>
  <c r="BD101" i="29" s="1"/>
  <c r="AE101" i="29"/>
  <c r="BO101" i="29"/>
  <c r="BB101" i="29"/>
  <c r="AX101" i="29"/>
  <c r="BI101" i="29" s="1"/>
  <c r="AT101" i="29"/>
  <c r="BE101" i="29" s="1"/>
  <c r="AP101" i="29"/>
  <c r="AL101" i="29"/>
  <c r="BA101" i="29"/>
  <c r="BL101" i="29" s="1"/>
  <c r="AW101" i="29"/>
  <c r="BH101" i="29" s="1"/>
  <c r="AS101" i="29"/>
  <c r="AO101" i="29"/>
  <c r="AK101" i="29"/>
  <c r="AG101" i="29"/>
  <c r="BG244" i="29"/>
  <c r="BO89" i="30"/>
  <c r="F90" i="30" a="1"/>
  <c r="F90" i="30" s="1"/>
  <c r="AH388" i="29"/>
  <c r="F87" i="18" a="1"/>
  <c r="F87" i="18" s="1"/>
  <c r="BD244" i="29"/>
  <c r="BB251" i="30"/>
  <c r="BM251" i="30" s="1"/>
  <c r="AX251" i="30"/>
  <c r="BI251" i="30" s="1"/>
  <c r="AT251" i="30"/>
  <c r="BE251" i="30" s="1"/>
  <c r="AP251" i="30"/>
  <c r="AL251" i="30"/>
  <c r="BA251" i="30"/>
  <c r="BL251" i="30" s="1"/>
  <c r="AW251" i="30"/>
  <c r="BH251" i="30" s="1"/>
  <c r="AS251" i="30"/>
  <c r="AO251" i="30"/>
  <c r="AK251" i="30"/>
  <c r="AZ251" i="30"/>
  <c r="BK251" i="30" s="1"/>
  <c r="AV251" i="30"/>
  <c r="BG251" i="30" s="1"/>
  <c r="AR251" i="30"/>
  <c r="AN251" i="30"/>
  <c r="AJ251" i="30"/>
  <c r="AU251" i="30"/>
  <c r="BF251" i="30" s="1"/>
  <c r="AQ251" i="30"/>
  <c r="F252" i="30" a="1"/>
  <c r="F252" i="30" s="1"/>
  <c r="F253" i="30" s="1" a="1"/>
  <c r="F253" i="30" s="1"/>
  <c r="F254" i="30" s="1" a="1"/>
  <c r="F254" i="30" s="1"/>
  <c r="F255" i="30" s="1" a="1"/>
  <c r="F255" i="30" s="1"/>
  <c r="F256" i="30" s="1" a="1"/>
  <c r="F256" i="30" s="1"/>
  <c r="F257" i="30" s="1" a="1"/>
  <c r="F257" i="30" s="1"/>
  <c r="F258" i="30" s="1" a="1"/>
  <c r="F258" i="30" s="1"/>
  <c r="BC251" i="30"/>
  <c r="AM251" i="30"/>
  <c r="AY251" i="30"/>
  <c r="BJ251" i="30" s="1"/>
  <c r="F396" i="30" a="1"/>
  <c r="F396" i="30" s="1"/>
  <c r="F397" i="30" s="1" a="1"/>
  <c r="F397" i="30" s="1"/>
  <c r="F398" i="30" s="1" a="1"/>
  <c r="F398" i="30" s="1"/>
  <c r="F399" i="30" s="1" a="1"/>
  <c r="F399" i="30" s="1"/>
  <c r="F400" i="30" s="1" a="1"/>
  <c r="F400" i="30" s="1"/>
  <c r="F401" i="30" s="1" a="1"/>
  <c r="F401" i="30" s="1"/>
  <c r="F402" i="30" s="1" a="1"/>
  <c r="F402" i="30" s="1"/>
  <c r="BC395" i="30"/>
  <c r="AY395" i="30"/>
  <c r="BJ395" i="30" s="1"/>
  <c r="AU395" i="30"/>
  <c r="BF395" i="30" s="1"/>
  <c r="AQ395" i="30"/>
  <c r="AM395" i="30"/>
  <c r="BB395" i="30"/>
  <c r="BM395" i="30" s="1"/>
  <c r="AX395" i="30"/>
  <c r="BI395" i="30" s="1"/>
  <c r="AT395" i="30"/>
  <c r="BE395" i="30" s="1"/>
  <c r="AP395" i="30"/>
  <c r="AL395" i="30"/>
  <c r="AZ395" i="30"/>
  <c r="BK395" i="30" s="1"/>
  <c r="AV395" i="30"/>
  <c r="BG395" i="30" s="1"/>
  <c r="AR395" i="30"/>
  <c r="AN395" i="30"/>
  <c r="AJ395" i="30"/>
  <c r="BA395" i="30"/>
  <c r="BL395" i="30" s="1"/>
  <c r="AK395" i="30"/>
  <c r="AW395" i="30"/>
  <c r="BH395" i="30" s="1"/>
  <c r="AS395" i="30"/>
  <c r="AO395" i="30"/>
  <c r="BC245" i="29"/>
  <c r="AY245" i="29"/>
  <c r="BJ245" i="29" s="1"/>
  <c r="AU245" i="29"/>
  <c r="BF245" i="29" s="1"/>
  <c r="AQ245" i="29"/>
  <c r="AM245" i="29"/>
  <c r="AI245" i="29"/>
  <c r="BD245" i="29" s="1"/>
  <c r="AE245" i="29"/>
  <c r="BA245" i="29"/>
  <c r="BL245" i="29" s="1"/>
  <c r="AW245" i="29"/>
  <c r="AS245" i="29"/>
  <c r="AO245" i="29"/>
  <c r="AK245" i="29"/>
  <c r="AG245" i="29"/>
  <c r="BB245" i="29"/>
  <c r="BM245" i="29" s="1"/>
  <c r="AT245" i="29"/>
  <c r="BE245" i="29" s="1"/>
  <c r="AL245" i="29"/>
  <c r="F246" i="29" a="1"/>
  <c r="F246" i="29" s="1"/>
  <c r="AZ245" i="29"/>
  <c r="BK245" i="29" s="1"/>
  <c r="AR245" i="29"/>
  <c r="AJ245" i="29"/>
  <c r="BO245" i="29"/>
  <c r="AX245" i="29"/>
  <c r="BI245" i="29" s="1"/>
  <c r="AP245" i="29"/>
  <c r="AV245" i="29"/>
  <c r="BG245" i="29" s="1"/>
  <c r="AN245" i="29"/>
  <c r="AF245" i="29"/>
  <c r="AH244" i="29"/>
  <c r="BA389" i="29"/>
  <c r="BL389" i="29" s="1"/>
  <c r="AW389" i="29"/>
  <c r="AS389" i="29"/>
  <c r="AO389" i="29"/>
  <c r="AK389" i="29"/>
  <c r="AG389" i="29"/>
  <c r="F390" i="29" a="1"/>
  <c r="F390" i="29" s="1"/>
  <c r="AZ389" i="29"/>
  <c r="BK389" i="29" s="1"/>
  <c r="AV389" i="29"/>
  <c r="BG389" i="29" s="1"/>
  <c r="AR389" i="29"/>
  <c r="AN389" i="29"/>
  <c r="AJ389" i="29"/>
  <c r="AF389" i="29"/>
  <c r="BC389" i="29"/>
  <c r="AU389" i="29"/>
  <c r="BF389" i="29" s="1"/>
  <c r="AM389" i="29"/>
  <c r="AE389" i="29"/>
  <c r="BB389" i="29"/>
  <c r="AT389" i="29"/>
  <c r="BE389" i="29" s="1"/>
  <c r="AL389" i="29"/>
  <c r="AY389" i="29"/>
  <c r="BJ389" i="29" s="1"/>
  <c r="AQ389" i="29"/>
  <c r="AI389" i="29"/>
  <c r="BD389" i="29" s="1"/>
  <c r="BO389" i="29"/>
  <c r="AX389" i="29"/>
  <c r="BI389" i="29" s="1"/>
  <c r="AP389" i="29"/>
  <c r="AH101" i="29" l="1"/>
  <c r="BC246" i="29"/>
  <c r="BC236" i="29" s="1"/>
  <c r="AY246" i="29"/>
  <c r="AU246" i="29"/>
  <c r="AQ246" i="29"/>
  <c r="AQ236" i="29" s="1"/>
  <c r="AM246" i="29"/>
  <c r="AM236" i="29" s="1"/>
  <c r="AI246" i="29"/>
  <c r="AE246" i="29"/>
  <c r="AE236" i="29" s="1"/>
  <c r="BA246" i="29"/>
  <c r="AW246" i="29"/>
  <c r="BH246" i="29" s="1"/>
  <c r="AS246" i="29"/>
  <c r="AS236" i="29" s="1"/>
  <c r="AO246" i="29"/>
  <c r="AO236" i="29" s="1"/>
  <c r="AK246" i="29"/>
  <c r="AK236" i="29" s="1"/>
  <c r="AG246" i="29"/>
  <c r="BB246" i="29"/>
  <c r="AT246" i="29"/>
  <c r="AL246" i="29"/>
  <c r="AL236" i="29" s="1"/>
  <c r="F247" i="29" a="1"/>
  <c r="F247" i="29" s="1"/>
  <c r="F248" i="29" s="1" a="1"/>
  <c r="F248" i="29" s="1"/>
  <c r="AZ246" i="29"/>
  <c r="AR246" i="29"/>
  <c r="AR236" i="29" s="1"/>
  <c r="AJ246" i="29"/>
  <c r="AJ236" i="29" s="1"/>
  <c r="BO246" i="29"/>
  <c r="AX246" i="29"/>
  <c r="AP246" i="29"/>
  <c r="AP236" i="29" s="1"/>
  <c r="AV246" i="29"/>
  <c r="AN246" i="29"/>
  <c r="AN236" i="29" s="1"/>
  <c r="AF246" i="29"/>
  <c r="AF236" i="29" s="1"/>
  <c r="AH245" i="29"/>
  <c r="BH245" i="29"/>
  <c r="AW236" i="29"/>
  <c r="BH236" i="29" s="1"/>
  <c r="BO90" i="30"/>
  <c r="F91" i="30" a="1"/>
  <c r="F91" i="30" s="1"/>
  <c r="F103" i="29" a="1"/>
  <c r="F103" i="29" s="1"/>
  <c r="F104" i="29" s="1" a="1"/>
  <c r="F104" i="29" s="1"/>
  <c r="AZ102" i="29"/>
  <c r="AV102" i="29"/>
  <c r="AR102" i="29"/>
  <c r="AR92" i="29" s="1"/>
  <c r="AN102" i="29"/>
  <c r="AN92" i="29" s="1"/>
  <c r="AJ102" i="29"/>
  <c r="AJ92" i="29" s="1"/>
  <c r="AF102" i="29"/>
  <c r="AF92" i="29" s="1"/>
  <c r="BC102" i="29"/>
  <c r="BC92" i="29" s="1"/>
  <c r="AY102" i="29"/>
  <c r="AU102" i="29"/>
  <c r="AQ102" i="29"/>
  <c r="AQ92" i="29" s="1"/>
  <c r="AM102" i="29"/>
  <c r="AM92" i="29" s="1"/>
  <c r="AI102" i="29"/>
  <c r="AE102" i="29"/>
  <c r="AE92" i="29" s="1"/>
  <c r="BO102" i="29"/>
  <c r="BB102" i="29"/>
  <c r="BM102" i="29" s="1"/>
  <c r="AX102" i="29"/>
  <c r="AT102" i="29"/>
  <c r="AP102" i="29"/>
  <c r="AP92" i="29" s="1"/>
  <c r="AL102" i="29"/>
  <c r="AL92" i="29" s="1"/>
  <c r="BA102" i="29"/>
  <c r="AW102" i="29"/>
  <c r="AS102" i="29"/>
  <c r="AS92" i="29" s="1"/>
  <c r="AO102" i="29"/>
  <c r="AO92" i="29" s="1"/>
  <c r="AK102" i="29"/>
  <c r="AK92" i="29" s="1"/>
  <c r="AG102" i="29"/>
  <c r="BA390" i="29"/>
  <c r="AW390" i="29"/>
  <c r="BH390" i="29" s="1"/>
  <c r="AS390" i="29"/>
  <c r="AS380" i="29" s="1"/>
  <c r="AO390" i="29"/>
  <c r="AO380" i="29" s="1"/>
  <c r="AK390" i="29"/>
  <c r="AK380" i="29" s="1"/>
  <c r="AG390" i="29"/>
  <c r="AG380" i="29" s="1"/>
  <c r="F391" i="29" a="1"/>
  <c r="F391" i="29" s="1"/>
  <c r="F392" i="29" s="1" a="1"/>
  <c r="F392" i="29" s="1"/>
  <c r="AZ390" i="29"/>
  <c r="AV390" i="29"/>
  <c r="AR390" i="29"/>
  <c r="AR380" i="29" s="1"/>
  <c r="AN390" i="29"/>
  <c r="AN380" i="29" s="1"/>
  <c r="AJ390" i="29"/>
  <c r="AJ380" i="29" s="1"/>
  <c r="AF390" i="29"/>
  <c r="AF380" i="29" s="1"/>
  <c r="BC390" i="29"/>
  <c r="BC380" i="29" s="1"/>
  <c r="AU390" i="29"/>
  <c r="AM390" i="29"/>
  <c r="AM380" i="29" s="1"/>
  <c r="AE390" i="29"/>
  <c r="AE380" i="29" s="1"/>
  <c r="BB390" i="29"/>
  <c r="BM390" i="29" s="1"/>
  <c r="AT390" i="29"/>
  <c r="AL390" i="29"/>
  <c r="AL380" i="29" s="1"/>
  <c r="AY390" i="29"/>
  <c r="AQ390" i="29"/>
  <c r="AQ380" i="29" s="1"/>
  <c r="AI390" i="29"/>
  <c r="AX390" i="29"/>
  <c r="AP390" i="29"/>
  <c r="AP380" i="29" s="1"/>
  <c r="BO390" i="29"/>
  <c r="F88" i="18" a="1"/>
  <c r="F88" i="18" s="1"/>
  <c r="T87" i="18"/>
  <c r="BM101" i="29"/>
  <c r="BB92" i="29"/>
  <c r="BM92" i="29" s="1"/>
  <c r="BM389" i="29"/>
  <c r="AH389" i="29"/>
  <c r="BH389" i="29"/>
  <c r="BB402" i="30"/>
  <c r="BM402" i="30" s="1"/>
  <c r="AX402" i="30"/>
  <c r="BI402" i="30" s="1"/>
  <c r="AT402" i="30"/>
  <c r="AP402" i="30"/>
  <c r="AL402" i="30"/>
  <c r="BA402" i="30"/>
  <c r="BL402" i="30" s="1"/>
  <c r="AW402" i="30"/>
  <c r="BH402" i="30" s="1"/>
  <c r="AS402" i="30"/>
  <c r="AO402" i="30"/>
  <c r="AK402" i="30"/>
  <c r="AG402" i="30"/>
  <c r="BC402" i="30"/>
  <c r="AY402" i="30"/>
  <c r="BJ402" i="30" s="1"/>
  <c r="AU402" i="30"/>
  <c r="BF402" i="30" s="1"/>
  <c r="AQ402" i="30"/>
  <c r="AM402" i="30"/>
  <c r="AI402" i="30"/>
  <c r="AE402" i="30"/>
  <c r="F403" i="30" a="1"/>
  <c r="F403" i="30" s="1"/>
  <c r="AN402" i="30"/>
  <c r="AZ402" i="30"/>
  <c r="BK402" i="30" s="1"/>
  <c r="AJ402" i="30"/>
  <c r="AV402" i="30"/>
  <c r="BG402" i="30" s="1"/>
  <c r="AF402" i="30"/>
  <c r="AR402" i="30"/>
  <c r="BA258" i="30"/>
  <c r="BL258" i="30" s="1"/>
  <c r="AW258" i="30"/>
  <c r="BH258" i="30" s="1"/>
  <c r="AS258" i="30"/>
  <c r="AO258" i="30"/>
  <c r="AK258" i="30"/>
  <c r="AG258" i="30"/>
  <c r="F259" i="30" a="1"/>
  <c r="F259" i="30" s="1"/>
  <c r="AZ258" i="30"/>
  <c r="BK258" i="30" s="1"/>
  <c r="AV258" i="30"/>
  <c r="BG258" i="30" s="1"/>
  <c r="AR258" i="30"/>
  <c r="AN258" i="30"/>
  <c r="AJ258" i="30"/>
  <c r="AF258" i="30"/>
  <c r="BC258" i="30"/>
  <c r="AY258" i="30"/>
  <c r="BJ258" i="30" s="1"/>
  <c r="AU258" i="30"/>
  <c r="BF258" i="30" s="1"/>
  <c r="AQ258" i="30"/>
  <c r="AM258" i="30"/>
  <c r="AI258" i="30"/>
  <c r="AE258" i="30"/>
  <c r="AT258" i="30"/>
  <c r="AP258" i="30"/>
  <c r="BB258" i="30"/>
  <c r="BM258" i="30" s="1"/>
  <c r="AL258" i="30"/>
  <c r="AX258" i="30"/>
  <c r="BI258" i="30" s="1"/>
  <c r="AH380" i="29" l="1"/>
  <c r="AW380" i="29"/>
  <c r="BH380" i="29" s="1"/>
  <c r="BB380" i="29"/>
  <c r="BM380" i="29" s="1"/>
  <c r="AH258" i="30"/>
  <c r="AH402" i="30"/>
  <c r="BE402" i="30"/>
  <c r="AH390" i="29"/>
  <c r="BB403" i="30"/>
  <c r="BM403" i="30" s="1"/>
  <c r="AX403" i="30"/>
  <c r="BI403" i="30" s="1"/>
  <c r="AT403" i="30"/>
  <c r="AP403" i="30"/>
  <c r="AL403" i="30"/>
  <c r="F404" i="30" a="1"/>
  <c r="F404" i="30" s="1"/>
  <c r="BA403" i="30"/>
  <c r="BL403" i="30" s="1"/>
  <c r="AW403" i="30"/>
  <c r="BH403" i="30" s="1"/>
  <c r="AS403" i="30"/>
  <c r="AO403" i="30"/>
  <c r="AK403" i="30"/>
  <c r="AG403" i="30"/>
  <c r="BC403" i="30"/>
  <c r="AY403" i="30"/>
  <c r="BJ403" i="30" s="1"/>
  <c r="AU403" i="30"/>
  <c r="BF403" i="30" s="1"/>
  <c r="AQ403" i="30"/>
  <c r="AM403" i="30"/>
  <c r="AI403" i="30"/>
  <c r="AE403" i="30"/>
  <c r="AR403" i="30"/>
  <c r="AN403" i="30"/>
  <c r="AZ403" i="30"/>
  <c r="BK403" i="30" s="1"/>
  <c r="AJ403" i="30"/>
  <c r="AF403" i="30"/>
  <c r="AV403" i="30"/>
  <c r="BG403" i="30" s="1"/>
  <c r="BI390" i="29"/>
  <c r="AX380" i="29"/>
  <c r="BI380" i="29" s="1"/>
  <c r="BK390" i="29"/>
  <c r="AZ380" i="29"/>
  <c r="BK380" i="29" s="1"/>
  <c r="AH102" i="29"/>
  <c r="AG92" i="29"/>
  <c r="AH92" i="29" s="1"/>
  <c r="BH102" i="29"/>
  <c r="AW92" i="29"/>
  <c r="BH92" i="29" s="1"/>
  <c r="BE102" i="29"/>
  <c r="AT92" i="29"/>
  <c r="BE92" i="29" s="1"/>
  <c r="BF102" i="29"/>
  <c r="AU92" i="29"/>
  <c r="BF92" i="29" s="1"/>
  <c r="BK102" i="29"/>
  <c r="AZ92" i="29"/>
  <c r="BK92" i="29" s="1"/>
  <c r="BG246" i="29"/>
  <c r="AV236" i="29"/>
  <c r="BG236" i="29" s="1"/>
  <c r="BL246" i="29"/>
  <c r="BA236" i="29"/>
  <c r="BL236" i="29" s="1"/>
  <c r="BE258" i="30"/>
  <c r="F89" i="18" a="1"/>
  <c r="F89" i="18" s="1"/>
  <c r="BD390" i="29"/>
  <c r="AI380" i="29"/>
  <c r="BE390" i="29"/>
  <c r="AT380" i="29"/>
  <c r="BF390" i="29"/>
  <c r="AU380" i="29"/>
  <c r="BF380" i="29" s="1"/>
  <c r="BO392" i="29"/>
  <c r="BB392" i="29"/>
  <c r="BM392" i="29" s="1"/>
  <c r="AX392" i="29"/>
  <c r="BI392" i="29" s="1"/>
  <c r="AT392" i="29"/>
  <c r="AP392" i="29"/>
  <c r="AL392" i="29"/>
  <c r="F393" i="29" a="1"/>
  <c r="F393" i="29" s="1"/>
  <c r="F394" i="29" s="1" a="1"/>
  <c r="F394" i="29" s="1"/>
  <c r="BA392" i="29"/>
  <c r="BL392" i="29" s="1"/>
  <c r="AW392" i="29"/>
  <c r="BH392" i="29" s="1"/>
  <c r="AS392" i="29"/>
  <c r="AO392" i="29"/>
  <c r="AK392" i="29"/>
  <c r="AG392" i="29"/>
  <c r="AZ392" i="29"/>
  <c r="BK392" i="29" s="1"/>
  <c r="AR392" i="29"/>
  <c r="AJ392" i="29"/>
  <c r="AY392" i="29"/>
  <c r="BJ392" i="29" s="1"/>
  <c r="AQ392" i="29"/>
  <c r="AI392" i="29"/>
  <c r="AV392" i="29"/>
  <c r="BG392" i="29" s="1"/>
  <c r="AN392" i="29"/>
  <c r="AF392" i="29"/>
  <c r="BC392" i="29"/>
  <c r="AU392" i="29"/>
  <c r="BF392" i="29" s="1"/>
  <c r="AM392" i="29"/>
  <c r="AE392" i="29"/>
  <c r="BL102" i="29"/>
  <c r="BA92" i="29"/>
  <c r="BL92" i="29" s="1"/>
  <c r="BI102" i="29"/>
  <c r="AX92" i="29"/>
  <c r="BI92" i="29" s="1"/>
  <c r="BD102" i="29"/>
  <c r="AI92" i="29"/>
  <c r="BD92" i="29" s="1"/>
  <c r="BJ102" i="29"/>
  <c r="AY92" i="29"/>
  <c r="BJ92" i="29" s="1"/>
  <c r="F105" i="29" a="1"/>
  <c r="F105" i="29" s="1"/>
  <c r="F106" i="29" s="1" a="1"/>
  <c r="F106" i="29" s="1"/>
  <c r="BA104" i="29"/>
  <c r="BL104" i="29" s="1"/>
  <c r="AW104" i="29"/>
  <c r="BH104" i="29" s="1"/>
  <c r="AS104" i="29"/>
  <c r="AO104" i="29"/>
  <c r="AK104" i="29"/>
  <c r="AG104" i="29"/>
  <c r="AZ104" i="29"/>
  <c r="BK104" i="29" s="1"/>
  <c r="AV104" i="29"/>
  <c r="BG104" i="29" s="1"/>
  <c r="AR104" i="29"/>
  <c r="AN104" i="29"/>
  <c r="AJ104" i="29"/>
  <c r="AF104" i="29"/>
  <c r="BC104" i="29"/>
  <c r="AY104" i="29"/>
  <c r="BJ104" i="29" s="1"/>
  <c r="AU104" i="29"/>
  <c r="BF104" i="29" s="1"/>
  <c r="AQ104" i="29"/>
  <c r="AM104" i="29"/>
  <c r="AI104" i="29"/>
  <c r="BD104" i="29" s="1"/>
  <c r="AE104" i="29"/>
  <c r="BO104" i="29"/>
  <c r="BB104" i="29"/>
  <c r="BM104" i="29" s="1"/>
  <c r="AX104" i="29"/>
  <c r="BI104" i="29" s="1"/>
  <c r="AT104" i="29"/>
  <c r="BE104" i="29" s="1"/>
  <c r="AP104" i="29"/>
  <c r="AL104" i="29"/>
  <c r="BE246" i="29"/>
  <c r="AT236" i="29"/>
  <c r="BF246" i="29"/>
  <c r="AU236" i="29"/>
  <c r="BF236" i="29" s="1"/>
  <c r="BD402" i="30"/>
  <c r="BI246" i="29"/>
  <c r="AX236" i="29"/>
  <c r="BI236" i="29" s="1"/>
  <c r="BK246" i="29"/>
  <c r="AZ236" i="29"/>
  <c r="BK236" i="29" s="1"/>
  <c r="BM246" i="29"/>
  <c r="BB236" i="29"/>
  <c r="BM236" i="29" s="1"/>
  <c r="BD246" i="29"/>
  <c r="AI236" i="29"/>
  <c r="BJ246" i="29"/>
  <c r="AY236" i="29"/>
  <c r="BJ236" i="29" s="1"/>
  <c r="BD258" i="30"/>
  <c r="F260" i="30" a="1"/>
  <c r="F260" i="30" s="1"/>
  <c r="BA259" i="30"/>
  <c r="BL259" i="30" s="1"/>
  <c r="AW259" i="30"/>
  <c r="BH259" i="30" s="1"/>
  <c r="AS259" i="30"/>
  <c r="AO259" i="30"/>
  <c r="AK259" i="30"/>
  <c r="AG259" i="30"/>
  <c r="AZ259" i="30"/>
  <c r="BK259" i="30" s="1"/>
  <c r="AV259" i="30"/>
  <c r="BG259" i="30" s="1"/>
  <c r="AR259" i="30"/>
  <c r="AN259" i="30"/>
  <c r="AJ259" i="30"/>
  <c r="AF259" i="30"/>
  <c r="BC259" i="30"/>
  <c r="AY259" i="30"/>
  <c r="BJ259" i="30" s="1"/>
  <c r="AU259" i="30"/>
  <c r="BF259" i="30" s="1"/>
  <c r="AQ259" i="30"/>
  <c r="AM259" i="30"/>
  <c r="AI259" i="30"/>
  <c r="AE259" i="30"/>
  <c r="BB259" i="30"/>
  <c r="BM259" i="30" s="1"/>
  <c r="AL259" i="30"/>
  <c r="AX259" i="30"/>
  <c r="BI259" i="30" s="1"/>
  <c r="AT259" i="30"/>
  <c r="BE259" i="30" s="1"/>
  <c r="AP259" i="30"/>
  <c r="BJ390" i="29"/>
  <c r="AY380" i="29"/>
  <c r="BJ380" i="29" s="1"/>
  <c r="BG390" i="29"/>
  <c r="AV380" i="29"/>
  <c r="BG380" i="29" s="1"/>
  <c r="BL390" i="29"/>
  <c r="BA380" i="29"/>
  <c r="BL380" i="29" s="1"/>
  <c r="BG102" i="29"/>
  <c r="AV92" i="29"/>
  <c r="BG92" i="29" s="1"/>
  <c r="BO91" i="30"/>
  <c r="BB91" i="30"/>
  <c r="BM91" i="30" s="1"/>
  <c r="AX91" i="30"/>
  <c r="BI91" i="30" s="1"/>
  <c r="AT91" i="30"/>
  <c r="BE91" i="30" s="1"/>
  <c r="AP91" i="30"/>
  <c r="AL91" i="30"/>
  <c r="BA91" i="30"/>
  <c r="BL91" i="30" s="1"/>
  <c r="AW91" i="30"/>
  <c r="BH91" i="30" s="1"/>
  <c r="AS91" i="30"/>
  <c r="AO91" i="30"/>
  <c r="AK91" i="30"/>
  <c r="AG91" i="30"/>
  <c r="BC91" i="30"/>
  <c r="AY91" i="30"/>
  <c r="BJ91" i="30" s="1"/>
  <c r="AU91" i="30"/>
  <c r="BF91" i="30" s="1"/>
  <c r="AQ91" i="30"/>
  <c r="AM91" i="30"/>
  <c r="AI91" i="30"/>
  <c r="BD91" i="30" s="1"/>
  <c r="AE91" i="30"/>
  <c r="AN91" i="30"/>
  <c r="F92" i="30" a="1"/>
  <c r="F92" i="30" s="1"/>
  <c r="AZ91" i="30"/>
  <c r="BK91" i="30" s="1"/>
  <c r="AJ91" i="30"/>
  <c r="AV91" i="30"/>
  <c r="BG91" i="30" s="1"/>
  <c r="AF91" i="30"/>
  <c r="AR91" i="30"/>
  <c r="AZ248" i="29"/>
  <c r="BK248" i="29" s="1"/>
  <c r="AV248" i="29"/>
  <c r="BG248" i="29" s="1"/>
  <c r="AR248" i="29"/>
  <c r="AN248" i="29"/>
  <c r="AJ248" i="29"/>
  <c r="AF248" i="29"/>
  <c r="BC248" i="29"/>
  <c r="BO248" i="29"/>
  <c r="BB248" i="29"/>
  <c r="BM248" i="29" s="1"/>
  <c r="AX248" i="29"/>
  <c r="BI248" i="29" s="1"/>
  <c r="AT248" i="29"/>
  <c r="AP248" i="29"/>
  <c r="AL248" i="29"/>
  <c r="AY248" i="29"/>
  <c r="BJ248" i="29" s="1"/>
  <c r="AQ248" i="29"/>
  <c r="AI248" i="29"/>
  <c r="AW248" i="29"/>
  <c r="BH248" i="29" s="1"/>
  <c r="AO248" i="29"/>
  <c r="AG248" i="29"/>
  <c r="F249" i="29" a="1"/>
  <c r="F249" i="29" s="1"/>
  <c r="F250" i="29" s="1" a="1"/>
  <c r="F250" i="29" s="1"/>
  <c r="AU248" i="29"/>
  <c r="BF248" i="29" s="1"/>
  <c r="AM248" i="29"/>
  <c r="AE248" i="29"/>
  <c r="BA248" i="29"/>
  <c r="BL248" i="29" s="1"/>
  <c r="AS248" i="29"/>
  <c r="AK248" i="29"/>
  <c r="AH246" i="29"/>
  <c r="AG236" i="29"/>
  <c r="AH236" i="29" s="1"/>
  <c r="BD403" i="30" l="1"/>
  <c r="BE236" i="29"/>
  <c r="BE380" i="29"/>
  <c r="AH91" i="30"/>
  <c r="BD236" i="29"/>
  <c r="BD248" i="29"/>
  <c r="AH259" i="30"/>
  <c r="AI250" i="29"/>
  <c r="AE250" i="29"/>
  <c r="AE249" i="29" s="1" a="1"/>
  <c r="AE249" i="29" s="1"/>
  <c r="F251" i="29" a="1"/>
  <c r="F251" i="29" s="1"/>
  <c r="AT250" i="29"/>
  <c r="AG250" i="29"/>
  <c r="AF250" i="29"/>
  <c r="AF249" i="29" s="1" a="1"/>
  <c r="AF249" i="29" s="1"/>
  <c r="BO250" i="29"/>
  <c r="AJ250" i="29"/>
  <c r="AJ249" i="29" s="1" a="1"/>
  <c r="AJ249" i="29" s="1"/>
  <c r="AH248" i="29"/>
  <c r="BE248" i="29"/>
  <c r="AZ260" i="30"/>
  <c r="BK260" i="30" s="1"/>
  <c r="AV260" i="30"/>
  <c r="BG260" i="30" s="1"/>
  <c r="AR260" i="30"/>
  <c r="AN260" i="30"/>
  <c r="AJ260" i="30"/>
  <c r="AF260" i="30"/>
  <c r="BC260" i="30"/>
  <c r="AY260" i="30"/>
  <c r="BJ260" i="30" s="1"/>
  <c r="AU260" i="30"/>
  <c r="BF260" i="30" s="1"/>
  <c r="AQ260" i="30"/>
  <c r="AM260" i="30"/>
  <c r="AI260" i="30"/>
  <c r="BD260" i="30" s="1"/>
  <c r="AE260" i="30"/>
  <c r="BB260" i="30"/>
  <c r="BM260" i="30" s="1"/>
  <c r="AX260" i="30"/>
  <c r="BI260" i="30" s="1"/>
  <c r="AT260" i="30"/>
  <c r="BE260" i="30" s="1"/>
  <c r="AP260" i="30"/>
  <c r="AL260" i="30"/>
  <c r="AS260" i="30"/>
  <c r="AO260" i="30"/>
  <c r="F261" i="30" a="1"/>
  <c r="F261" i="30" s="1"/>
  <c r="F262" i="30" s="1" a="1"/>
  <c r="F262" i="30" s="1"/>
  <c r="BA260" i="30"/>
  <c r="BL260" i="30" s="1"/>
  <c r="AK260" i="30"/>
  <c r="AW260" i="30"/>
  <c r="BH260" i="30" s="1"/>
  <c r="AG260" i="30"/>
  <c r="AT106" i="29"/>
  <c r="AG106" i="29"/>
  <c r="BO106" i="29"/>
  <c r="AI106" i="29"/>
  <c r="AF106" i="29"/>
  <c r="AF105" i="29" s="1" a="1"/>
  <c r="AF105" i="29" s="1"/>
  <c r="F107" i="29" a="1"/>
  <c r="F107" i="29" s="1"/>
  <c r="AJ106" i="29"/>
  <c r="AJ105" i="29" s="1" a="1"/>
  <c r="AJ105" i="29" s="1"/>
  <c r="AE106" i="29"/>
  <c r="AE105" i="29" s="1" a="1"/>
  <c r="AE105" i="29" s="1"/>
  <c r="BD392" i="29"/>
  <c r="AT394" i="29"/>
  <c r="AG394" i="29"/>
  <c r="BO394" i="29"/>
  <c r="AJ394" i="29"/>
  <c r="AJ393" i="29" s="1" a="1"/>
  <c r="AJ393" i="29" s="1"/>
  <c r="AF394" i="29"/>
  <c r="AF393" i="29" s="1" a="1"/>
  <c r="AF393" i="29" s="1"/>
  <c r="AI394" i="29"/>
  <c r="F395" i="29" a="1"/>
  <c r="F395" i="29" s="1"/>
  <c r="AE394" i="29"/>
  <c r="AE393" i="29" s="1" a="1"/>
  <c r="AE393" i="29" s="1"/>
  <c r="BE403" i="30"/>
  <c r="F90" i="18" a="1"/>
  <c r="F90" i="18" s="1"/>
  <c r="F405" i="30" a="1"/>
  <c r="F405" i="30" s="1"/>
  <c r="F406" i="30" s="1" a="1"/>
  <c r="F406" i="30" s="1"/>
  <c r="BA404" i="30"/>
  <c r="BL404" i="30" s="1"/>
  <c r="AW404" i="30"/>
  <c r="BH404" i="30" s="1"/>
  <c r="AS404" i="30"/>
  <c r="AO404" i="30"/>
  <c r="AK404" i="30"/>
  <c r="AG404" i="30"/>
  <c r="AZ404" i="30"/>
  <c r="BK404" i="30" s="1"/>
  <c r="AV404" i="30"/>
  <c r="BG404" i="30" s="1"/>
  <c r="AR404" i="30"/>
  <c r="AN404" i="30"/>
  <c r="AJ404" i="30"/>
  <c r="AF404" i="30"/>
  <c r="BC404" i="30"/>
  <c r="AY404" i="30"/>
  <c r="BJ404" i="30" s="1"/>
  <c r="AU404" i="30"/>
  <c r="BF404" i="30" s="1"/>
  <c r="AQ404" i="30"/>
  <c r="AM404" i="30"/>
  <c r="AI404" i="30"/>
  <c r="BD404" i="30" s="1"/>
  <c r="BB404" i="30"/>
  <c r="BM404" i="30" s="1"/>
  <c r="AX404" i="30"/>
  <c r="BI404" i="30" s="1"/>
  <c r="AT404" i="30"/>
  <c r="BE404" i="30" s="1"/>
  <c r="AP404" i="30"/>
  <c r="AL404" i="30"/>
  <c r="AE404" i="30"/>
  <c r="BO92" i="30"/>
  <c r="F93" i="30" a="1"/>
  <c r="F93" i="30" s="1"/>
  <c r="BD259" i="30"/>
  <c r="AH104" i="29"/>
  <c r="AH392" i="29"/>
  <c r="BE392" i="29"/>
  <c r="BD380" i="29"/>
  <c r="AH403" i="30"/>
  <c r="AH260" i="30" l="1"/>
  <c r="BC406" i="30"/>
  <c r="AY406" i="30"/>
  <c r="AU406" i="30"/>
  <c r="AQ406" i="30"/>
  <c r="AM406" i="30"/>
  <c r="AI406" i="30"/>
  <c r="AE406" i="30"/>
  <c r="F407" i="30" a="1"/>
  <c r="F407" i="30" s="1"/>
  <c r="BO406" i="30"/>
  <c r="BB406" i="30"/>
  <c r="AX406" i="30"/>
  <c r="AT406" i="30"/>
  <c r="AP406" i="30"/>
  <c r="AL406" i="30"/>
  <c r="BA406" i="30"/>
  <c r="AW406" i="30"/>
  <c r="AS406" i="30"/>
  <c r="AO406" i="30"/>
  <c r="AK406" i="30"/>
  <c r="AG406" i="30"/>
  <c r="AZ406" i="30"/>
  <c r="AV406" i="30"/>
  <c r="AR406" i="30"/>
  <c r="AN406" i="30"/>
  <c r="AJ406" i="30"/>
  <c r="AF406" i="30"/>
  <c r="F396" i="29" a="1"/>
  <c r="F396" i="29" s="1"/>
  <c r="F397" i="29" s="1" a="1"/>
  <c r="F397" i="29" s="1"/>
  <c r="F398" i="29" s="1" a="1"/>
  <c r="F398" i="29" s="1"/>
  <c r="F399" i="29" s="1" a="1"/>
  <c r="F399" i="29" s="1"/>
  <c r="F400" i="29" s="1" a="1"/>
  <c r="F400" i="29" s="1"/>
  <c r="F401" i="29" s="1" a="1"/>
  <c r="F401" i="29" s="1"/>
  <c r="F402" i="29" s="1" a="1"/>
  <c r="F402" i="29" s="1"/>
  <c r="BC395" i="29"/>
  <c r="AY395" i="29"/>
  <c r="BJ395" i="29" s="1"/>
  <c r="AU395" i="29"/>
  <c r="BF395" i="29" s="1"/>
  <c r="AQ395" i="29"/>
  <c r="AM395" i="29"/>
  <c r="BB395" i="29"/>
  <c r="BM395" i="29" s="1"/>
  <c r="AX395" i="29"/>
  <c r="BI395" i="29" s="1"/>
  <c r="AT395" i="29"/>
  <c r="BE395" i="29" s="1"/>
  <c r="AP395" i="29"/>
  <c r="AL395" i="29"/>
  <c r="AV395" i="29"/>
  <c r="BG395" i="29" s="1"/>
  <c r="AN395" i="29"/>
  <c r="BA395" i="29"/>
  <c r="BL395" i="29" s="1"/>
  <c r="AS395" i="29"/>
  <c r="AK395" i="29"/>
  <c r="AZ395" i="29"/>
  <c r="BK395" i="29" s="1"/>
  <c r="AR395" i="29"/>
  <c r="AJ395" i="29"/>
  <c r="AW395" i="29"/>
  <c r="BH395" i="29" s="1"/>
  <c r="AO395" i="29"/>
  <c r="AI105" i="29" a="1"/>
  <c r="AI105" i="29" s="1"/>
  <c r="BD105" i="29" s="1"/>
  <c r="BD106" i="29"/>
  <c r="F263" i="30" a="1"/>
  <c r="F263" i="30" s="1"/>
  <c r="BO262" i="30"/>
  <c r="BB262" i="30"/>
  <c r="AX262" i="30"/>
  <c r="AT262" i="30"/>
  <c r="AP262" i="30"/>
  <c r="AL262" i="30"/>
  <c r="BA262" i="30"/>
  <c r="AW262" i="30"/>
  <c r="AS262" i="30"/>
  <c r="AO262" i="30"/>
  <c r="AK262" i="30"/>
  <c r="AG262" i="30"/>
  <c r="AZ262" i="30"/>
  <c r="AV262" i="30"/>
  <c r="AR262" i="30"/>
  <c r="AN262" i="30"/>
  <c r="AJ262" i="30"/>
  <c r="AF262" i="30"/>
  <c r="AQ262" i="30"/>
  <c r="BC262" i="30"/>
  <c r="AM262" i="30"/>
  <c r="AY262" i="30"/>
  <c r="AI262" i="30"/>
  <c r="AU262" i="30"/>
  <c r="AE262" i="30"/>
  <c r="BA251" i="29"/>
  <c r="BL251" i="29" s="1"/>
  <c r="AW251" i="29"/>
  <c r="BH251" i="29" s="1"/>
  <c r="AS251" i="29"/>
  <c r="AO251" i="29"/>
  <c r="AK251" i="29"/>
  <c r="AZ251" i="29"/>
  <c r="BK251" i="29" s="1"/>
  <c r="AV251" i="29"/>
  <c r="BG251" i="29" s="1"/>
  <c r="AR251" i="29"/>
  <c r="AN251" i="29"/>
  <c r="AJ251" i="29"/>
  <c r="F252" i="29" a="1"/>
  <c r="F252" i="29" s="1"/>
  <c r="F253" i="29" s="1" a="1"/>
  <c r="F253" i="29" s="1"/>
  <c r="F254" i="29" s="1" a="1"/>
  <c r="F254" i="29" s="1"/>
  <c r="F255" i="29" s="1" a="1"/>
  <c r="F255" i="29" s="1"/>
  <c r="F256" i="29" s="1" a="1"/>
  <c r="F256" i="29" s="1"/>
  <c r="F257" i="29" s="1" a="1"/>
  <c r="F257" i="29" s="1"/>
  <c r="F258" i="29" s="1" a="1"/>
  <c r="F258" i="29" s="1"/>
  <c r="BC251" i="29"/>
  <c r="AY251" i="29"/>
  <c r="BJ251" i="29" s="1"/>
  <c r="AU251" i="29"/>
  <c r="BF251" i="29" s="1"/>
  <c r="AQ251" i="29"/>
  <c r="AM251" i="29"/>
  <c r="AX251" i="29"/>
  <c r="BI251" i="29" s="1"/>
  <c r="AT251" i="29"/>
  <c r="BE251" i="29" s="1"/>
  <c r="AP251" i="29"/>
  <c r="BB251" i="29"/>
  <c r="BM251" i="29" s="1"/>
  <c r="AL251" i="29"/>
  <c r="AI393" i="29" a="1"/>
  <c r="AI393" i="29" s="1"/>
  <c r="BD393" i="29" s="1"/>
  <c r="BD394" i="29"/>
  <c r="AG393" i="29" a="1"/>
  <c r="AG393" i="29" s="1"/>
  <c r="AH393" i="29" s="1"/>
  <c r="AH394" i="29"/>
  <c r="BO93" i="30"/>
  <c r="BB93" i="30"/>
  <c r="AX93" i="30"/>
  <c r="AT93" i="30"/>
  <c r="AP93" i="30"/>
  <c r="AL93" i="30"/>
  <c r="BA93" i="30"/>
  <c r="AW93" i="30"/>
  <c r="AS93" i="30"/>
  <c r="AO93" i="30"/>
  <c r="AK93" i="30"/>
  <c r="AG93" i="30"/>
  <c r="BC93" i="30"/>
  <c r="AY93" i="30"/>
  <c r="AU93" i="30"/>
  <c r="AQ93" i="30"/>
  <c r="AM93" i="30"/>
  <c r="AI93" i="30"/>
  <c r="AE93" i="30"/>
  <c r="AN93" i="30"/>
  <c r="F94" i="30" a="1"/>
  <c r="F94" i="30" s="1"/>
  <c r="AZ93" i="30"/>
  <c r="AJ93" i="30"/>
  <c r="AV93" i="30"/>
  <c r="AF93" i="30"/>
  <c r="AR93" i="30"/>
  <c r="AH404" i="30"/>
  <c r="F91" i="18" a="1"/>
  <c r="F91" i="18" s="1"/>
  <c r="T90" i="18"/>
  <c r="T91" i="18" s="1" a="1"/>
  <c r="T91" i="18" s="1"/>
  <c r="T92" i="18" s="1" a="1"/>
  <c r="T92" i="18" s="1"/>
  <c r="T93" i="18" s="1" a="1"/>
  <c r="T93" i="18" s="1"/>
  <c r="AT393" i="29" a="1"/>
  <c r="AT393" i="29" s="1"/>
  <c r="BE393" i="29" s="1"/>
  <c r="BE394" i="29"/>
  <c r="F108" i="29" a="1"/>
  <c r="F108" i="29" s="1"/>
  <c r="F109" i="29" s="1" a="1"/>
  <c r="F109" i="29" s="1"/>
  <c r="F110" i="29" s="1" a="1"/>
  <c r="F110" i="29" s="1"/>
  <c r="F111" i="29" s="1" a="1"/>
  <c r="F111" i="29" s="1"/>
  <c r="F112" i="29" s="1" a="1"/>
  <c r="F112" i="29" s="1"/>
  <c r="F113" i="29" s="1" a="1"/>
  <c r="F113" i="29" s="1"/>
  <c r="F114" i="29" s="1" a="1"/>
  <c r="F114" i="29" s="1"/>
  <c r="BC107" i="29"/>
  <c r="AY107" i="29"/>
  <c r="BJ107" i="29" s="1"/>
  <c r="AU107" i="29"/>
  <c r="BF107" i="29" s="1"/>
  <c r="AQ107" i="29"/>
  <c r="AM107" i="29"/>
  <c r="AX107" i="29"/>
  <c r="BI107" i="29" s="1"/>
  <c r="AS107" i="29"/>
  <c r="AN107" i="29"/>
  <c r="BB107" i="29"/>
  <c r="BM107" i="29" s="1"/>
  <c r="AW107" i="29"/>
  <c r="BH107" i="29" s="1"/>
  <c r="AR107" i="29"/>
  <c r="AL107" i="29"/>
  <c r="BA107" i="29"/>
  <c r="BL107" i="29" s="1"/>
  <c r="AV107" i="29"/>
  <c r="BG107" i="29" s="1"/>
  <c r="AP107" i="29"/>
  <c r="AK107" i="29"/>
  <c r="AZ107" i="29"/>
  <c r="BK107" i="29" s="1"/>
  <c r="AT107" i="29"/>
  <c r="BE107" i="29" s="1"/>
  <c r="AO107" i="29"/>
  <c r="AJ107" i="29"/>
  <c r="AG105" i="29" a="1"/>
  <c r="AG105" i="29" s="1"/>
  <c r="AH105" i="29" s="1"/>
  <c r="AH106" i="29"/>
  <c r="AH250" i="29"/>
  <c r="AG249" i="29" a="1"/>
  <c r="AG249" i="29" s="1"/>
  <c r="AH249" i="29" s="1"/>
  <c r="AI249" i="29" a="1"/>
  <c r="AI249" i="29" s="1"/>
  <c r="BD249" i="29" s="1"/>
  <c r="BD250" i="29"/>
  <c r="BE106" i="29"/>
  <c r="AT105" i="29" a="1"/>
  <c r="AT105" i="29" s="1"/>
  <c r="BE105" i="29" s="1"/>
  <c r="BE250" i="29"/>
  <c r="AT249" i="29" a="1"/>
  <c r="AT249" i="29" s="1"/>
  <c r="BE249" i="29" s="1"/>
  <c r="BF93" i="30" l="1"/>
  <c r="BL93" i="30"/>
  <c r="BI93" i="30"/>
  <c r="BK262" i="30"/>
  <c r="BB402" i="29"/>
  <c r="BM402" i="29" s="1"/>
  <c r="AX402" i="29"/>
  <c r="BI402" i="29" s="1"/>
  <c r="AT402" i="29"/>
  <c r="AP402" i="29"/>
  <c r="AL402" i="29"/>
  <c r="BA402" i="29"/>
  <c r="BL402" i="29" s="1"/>
  <c r="AW402" i="29"/>
  <c r="BH402" i="29" s="1"/>
  <c r="AS402" i="29"/>
  <c r="AO402" i="29"/>
  <c r="AK402" i="29"/>
  <c r="AG402" i="29"/>
  <c r="F403" i="29" a="1"/>
  <c r="F403" i="29" s="1"/>
  <c r="AZ402" i="29"/>
  <c r="BK402" i="29" s="1"/>
  <c r="AV402" i="29"/>
  <c r="BG402" i="29" s="1"/>
  <c r="AR402" i="29"/>
  <c r="AN402" i="29"/>
  <c r="AJ402" i="29"/>
  <c r="AF402" i="29"/>
  <c r="AQ402" i="29"/>
  <c r="BC402" i="29"/>
  <c r="AM402" i="29"/>
  <c r="AY402" i="29"/>
  <c r="BJ402" i="29" s="1"/>
  <c r="AI402" i="29"/>
  <c r="BD402" i="29" s="1"/>
  <c r="AU402" i="29"/>
  <c r="BF402" i="29" s="1"/>
  <c r="AE402" i="29"/>
  <c r="BL406" i="30"/>
  <c r="BI406" i="30"/>
  <c r="BF406" i="30"/>
  <c r="BK93" i="30"/>
  <c r="BD93" i="30"/>
  <c r="BJ93" i="30"/>
  <c r="BM93" i="30"/>
  <c r="F259" i="29" a="1"/>
  <c r="F259" i="29" s="1"/>
  <c r="AZ258" i="29"/>
  <c r="BK258" i="29" s="1"/>
  <c r="AV258" i="29"/>
  <c r="BG258" i="29" s="1"/>
  <c r="AR258" i="29"/>
  <c r="AN258" i="29"/>
  <c r="AJ258" i="29"/>
  <c r="AF258" i="29"/>
  <c r="BC258" i="29"/>
  <c r="AY258" i="29"/>
  <c r="BJ258" i="29" s="1"/>
  <c r="AU258" i="29"/>
  <c r="BF258" i="29" s="1"/>
  <c r="AQ258" i="29"/>
  <c r="AM258" i="29"/>
  <c r="AI258" i="29"/>
  <c r="AE258" i="29"/>
  <c r="BB258" i="29"/>
  <c r="BM258" i="29" s="1"/>
  <c r="AX258" i="29"/>
  <c r="BI258" i="29" s="1"/>
  <c r="AT258" i="29"/>
  <c r="AP258" i="29"/>
  <c r="AL258" i="29"/>
  <c r="AW258" i="29"/>
  <c r="BH258" i="29" s="1"/>
  <c r="AG258" i="29"/>
  <c r="AS258" i="29"/>
  <c r="AO258" i="29"/>
  <c r="BA258" i="29"/>
  <c r="BL258" i="29" s="1"/>
  <c r="AK258" i="29"/>
  <c r="BF262" i="30"/>
  <c r="AH262" i="30"/>
  <c r="BH262" i="30"/>
  <c r="BE262" i="30"/>
  <c r="AZ263" i="30"/>
  <c r="BK263" i="30" s="1"/>
  <c r="AV263" i="30"/>
  <c r="BG263" i="30" s="1"/>
  <c r="AR263" i="30"/>
  <c r="AN263" i="30"/>
  <c r="AJ263" i="30"/>
  <c r="AF263" i="30"/>
  <c r="BC263" i="30"/>
  <c r="AY263" i="30"/>
  <c r="BJ263" i="30" s="1"/>
  <c r="AU263" i="30"/>
  <c r="BF263" i="30" s="1"/>
  <c r="AQ263" i="30"/>
  <c r="AM263" i="30"/>
  <c r="AI263" i="30"/>
  <c r="BD263" i="30" s="1"/>
  <c r="AE263" i="30"/>
  <c r="F264" i="30" a="1"/>
  <c r="F264" i="30" s="1"/>
  <c r="BO263" i="30"/>
  <c r="BB263" i="30"/>
  <c r="BM263" i="30" s="1"/>
  <c r="AX263" i="30"/>
  <c r="BI263" i="30" s="1"/>
  <c r="AT263" i="30"/>
  <c r="BE263" i="30" s="1"/>
  <c r="AP263" i="30"/>
  <c r="AL263" i="30"/>
  <c r="AW263" i="30"/>
  <c r="BH263" i="30" s="1"/>
  <c r="AG263" i="30"/>
  <c r="AS263" i="30"/>
  <c r="AO263" i="30"/>
  <c r="BA263" i="30"/>
  <c r="BL263" i="30" s="1"/>
  <c r="AK263" i="30"/>
  <c r="BG406" i="30"/>
  <c r="BM406" i="30"/>
  <c r="BD406" i="30"/>
  <c r="BJ406" i="30"/>
  <c r="BO114" i="29"/>
  <c r="BB114" i="29"/>
  <c r="BM114" i="29" s="1"/>
  <c r="AX114" i="29"/>
  <c r="BI114" i="29" s="1"/>
  <c r="AT114" i="29"/>
  <c r="BE114" i="29" s="1"/>
  <c r="AP114" i="29"/>
  <c r="AL114" i="29"/>
  <c r="AZ114" i="29"/>
  <c r="BK114" i="29" s="1"/>
  <c r="F115" i="29" a="1"/>
  <c r="F115" i="29" s="1"/>
  <c r="BA114" i="29"/>
  <c r="BL114" i="29" s="1"/>
  <c r="AU114" i="29"/>
  <c r="BF114" i="29" s="1"/>
  <c r="AO114" i="29"/>
  <c r="AJ114" i="29"/>
  <c r="AE114" i="29"/>
  <c r="AY114" i="29"/>
  <c r="BJ114" i="29" s="1"/>
  <c r="AS114" i="29"/>
  <c r="AN114" i="29"/>
  <c r="AI114" i="29"/>
  <c r="BD114" i="29" s="1"/>
  <c r="AW114" i="29"/>
  <c r="BH114" i="29" s="1"/>
  <c r="AR114" i="29"/>
  <c r="AM114" i="29"/>
  <c r="AG114" i="29"/>
  <c r="BC114" i="29"/>
  <c r="AV114" i="29"/>
  <c r="BG114" i="29" s="1"/>
  <c r="AQ114" i="29"/>
  <c r="AK114" i="29"/>
  <c r="AF114" i="29"/>
  <c r="BO94" i="30"/>
  <c r="BB94" i="30"/>
  <c r="BM94" i="30" s="1"/>
  <c r="AX94" i="30"/>
  <c r="BI94" i="30" s="1"/>
  <c r="AT94" i="30"/>
  <c r="BE94" i="30" s="1"/>
  <c r="AP94" i="30"/>
  <c r="AL94" i="30"/>
  <c r="BA94" i="30"/>
  <c r="BL94" i="30" s="1"/>
  <c r="AW94" i="30"/>
  <c r="BH94" i="30" s="1"/>
  <c r="AS94" i="30"/>
  <c r="AO94" i="30"/>
  <c r="AK94" i="30"/>
  <c r="AG94" i="30"/>
  <c r="BC94" i="30"/>
  <c r="AY94" i="30"/>
  <c r="BJ94" i="30" s="1"/>
  <c r="AU94" i="30"/>
  <c r="BF94" i="30" s="1"/>
  <c r="AQ94" i="30"/>
  <c r="AM94" i="30"/>
  <c r="AI94" i="30"/>
  <c r="BD94" i="30" s="1"/>
  <c r="AE94" i="30"/>
  <c r="AV94" i="30"/>
  <c r="BG94" i="30" s="1"/>
  <c r="AF94" i="30"/>
  <c r="AR94" i="30"/>
  <c r="AN94" i="30"/>
  <c r="F95" i="30" a="1"/>
  <c r="F95" i="30" s="1"/>
  <c r="AZ94" i="30"/>
  <c r="BK94" i="30" s="1"/>
  <c r="AJ94" i="30"/>
  <c r="BD262" i="30"/>
  <c r="BL262" i="30"/>
  <c r="BI262" i="30"/>
  <c r="BK406" i="30"/>
  <c r="F92" i="18" a="1"/>
  <c r="F92" i="18" s="1"/>
  <c r="BG93" i="30"/>
  <c r="AH93" i="30"/>
  <c r="BH93" i="30"/>
  <c r="BE93" i="30"/>
  <c r="BJ262" i="30"/>
  <c r="BG262" i="30"/>
  <c r="BM262" i="30"/>
  <c r="AH406" i="30"/>
  <c r="BH406" i="30"/>
  <c r="BE406" i="30"/>
  <c r="BA407" i="30"/>
  <c r="BL407" i="30" s="1"/>
  <c r="AW407" i="30"/>
  <c r="BH407" i="30" s="1"/>
  <c r="AS407" i="30"/>
  <c r="AO407" i="30"/>
  <c r="AK407" i="30"/>
  <c r="AG407" i="30"/>
  <c r="AZ407" i="30"/>
  <c r="BK407" i="30" s="1"/>
  <c r="AV407" i="30"/>
  <c r="BG407" i="30" s="1"/>
  <c r="AR407" i="30"/>
  <c r="AN407" i="30"/>
  <c r="AJ407" i="30"/>
  <c r="AF407" i="30"/>
  <c r="BC407" i="30"/>
  <c r="AY407" i="30"/>
  <c r="BJ407" i="30" s="1"/>
  <c r="AU407" i="30"/>
  <c r="BF407" i="30" s="1"/>
  <c r="AQ407" i="30"/>
  <c r="AM407" i="30"/>
  <c r="AI407" i="30"/>
  <c r="BD407" i="30" s="1"/>
  <c r="AE407" i="30"/>
  <c r="F408" i="30" a="1"/>
  <c r="F408" i="30" s="1"/>
  <c r="BO407" i="30"/>
  <c r="BB407" i="30"/>
  <c r="BM407" i="30" s="1"/>
  <c r="AX407" i="30"/>
  <c r="BI407" i="30" s="1"/>
  <c r="AT407" i="30"/>
  <c r="BE407" i="30" s="1"/>
  <c r="AP407" i="30"/>
  <c r="AL407" i="30"/>
  <c r="AH258" i="29" l="1"/>
  <c r="BE258" i="29"/>
  <c r="AH263" i="30"/>
  <c r="AH407" i="30"/>
  <c r="F93" i="18" a="1"/>
  <c r="F93" i="18" s="1"/>
  <c r="AH402" i="29"/>
  <c r="BE402" i="29"/>
  <c r="AH114" i="29"/>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264" i="30"/>
  <c r="BB264" i="30"/>
  <c r="AX264" i="30"/>
  <c r="AT264" i="30"/>
  <c r="BE264" i="30" s="1"/>
  <c r="AP264" i="30"/>
  <c r="AP261" i="30" s="1"/>
  <c r="AL264" i="30"/>
  <c r="AL261" i="30" s="1"/>
  <c r="BA264" i="30"/>
  <c r="AW264" i="30"/>
  <c r="BH264" i="30" s="1"/>
  <c r="AS264" i="30"/>
  <c r="AS261" i="30" s="1"/>
  <c r="AO264" i="30"/>
  <c r="AO261" i="30" s="1"/>
  <c r="AK264" i="30"/>
  <c r="AK261" i="30" s="1"/>
  <c r="AG264" i="30"/>
  <c r="AZ264" i="30"/>
  <c r="BK264" i="30" s="1"/>
  <c r="AV264" i="30"/>
  <c r="AR264" i="30"/>
  <c r="AR261" i="30" s="1"/>
  <c r="AN264" i="30"/>
  <c r="AN261" i="30" s="1"/>
  <c r="AJ264" i="30"/>
  <c r="AJ261" i="30" s="1"/>
  <c r="AF264" i="30"/>
  <c r="AF261" i="30" s="1"/>
  <c r="BC264" i="30"/>
  <c r="BC261" i="30" s="1"/>
  <c r="AM264" i="30"/>
  <c r="AM261" i="30" s="1"/>
  <c r="AY264" i="30"/>
  <c r="AI264" i="30"/>
  <c r="AU264" i="30"/>
  <c r="BF264" i="30" s="1"/>
  <c r="AE264" i="30"/>
  <c r="AE261" i="30" s="1"/>
  <c r="AQ264" i="30"/>
  <c r="AQ261" i="30" s="1"/>
  <c r="AW261" i="30"/>
  <c r="BH261" i="30" s="1"/>
  <c r="BD258" i="29"/>
  <c r="AZ259" i="29"/>
  <c r="BK259" i="29" s="1"/>
  <c r="AV259" i="29"/>
  <c r="BG259" i="29" s="1"/>
  <c r="AR259" i="29"/>
  <c r="AN259" i="29"/>
  <c r="AJ259" i="29"/>
  <c r="AF259" i="29"/>
  <c r="BC259" i="29"/>
  <c r="AY259" i="29"/>
  <c r="BJ259" i="29" s="1"/>
  <c r="AU259" i="29"/>
  <c r="BF259" i="29" s="1"/>
  <c r="AQ259" i="29"/>
  <c r="AM259" i="29"/>
  <c r="AI259" i="29"/>
  <c r="AE259" i="29"/>
  <c r="BB259" i="29"/>
  <c r="BM259" i="29" s="1"/>
  <c r="AX259" i="29"/>
  <c r="BI259" i="29" s="1"/>
  <c r="AT259" i="29"/>
  <c r="AP259" i="29"/>
  <c r="AL259" i="29"/>
  <c r="BA259" i="29"/>
  <c r="BL259" i="29" s="1"/>
  <c r="AK259" i="29"/>
  <c r="AW259" i="29"/>
  <c r="BH259" i="29" s="1"/>
  <c r="AG259" i="29"/>
  <c r="AH259" i="29" s="1"/>
  <c r="AS259" i="29"/>
  <c r="F260" i="29" a="1"/>
  <c r="F260" i="29" s="1"/>
  <c r="AO259" i="29"/>
  <c r="BC408" i="30"/>
  <c r="BC405" i="30" s="1"/>
  <c r="AY408" i="30"/>
  <c r="BJ408" i="30" s="1"/>
  <c r="AU408" i="30"/>
  <c r="BF408" i="30" s="1"/>
  <c r="AQ408" i="30"/>
  <c r="AQ405" i="30" s="1"/>
  <c r="AM408" i="30"/>
  <c r="AM405" i="30" s="1"/>
  <c r="AI408" i="30"/>
  <c r="BD408" i="30" s="1"/>
  <c r="AE408" i="30"/>
  <c r="AE405" i="30" s="1"/>
  <c r="F409" i="30" a="1"/>
  <c r="F409" i="30" s="1"/>
  <c r="F410" i="30" s="1" a="1"/>
  <c r="F410" i="30" s="1"/>
  <c r="F411" i="30" s="1" a="1"/>
  <c r="F411" i="30" s="1"/>
  <c r="F412" i="30" s="1" a="1"/>
  <c r="F412" i="30" s="1"/>
  <c r="F413" i="30" s="1" a="1"/>
  <c r="F413" i="30" s="1"/>
  <c r="F414" i="30" s="1" a="1"/>
  <c r="F414" i="30" s="1"/>
  <c r="F415" i="30" s="1" a="1"/>
  <c r="F415" i="30" s="1"/>
  <c r="F416" i="30" s="1" a="1"/>
  <c r="F416" i="30" s="1"/>
  <c r="F417" i="30" s="1" a="1"/>
  <c r="F417" i="30" s="1"/>
  <c r="F418" i="30" s="1" a="1"/>
  <c r="F418" i="30" s="1"/>
  <c r="F419" i="30" s="1" a="1"/>
  <c r="F419" i="30" s="1"/>
  <c r="F420" i="30" s="1" a="1"/>
  <c r="F420" i="30" s="1"/>
  <c r="F421" i="30" s="1" a="1"/>
  <c r="F421" i="30" s="1"/>
  <c r="F422" i="30" s="1" a="1"/>
  <c r="F422" i="30" s="1"/>
  <c r="F423" i="30" s="1" a="1"/>
  <c r="F423" i="30" s="1"/>
  <c r="BO408" i="30"/>
  <c r="BB408" i="30"/>
  <c r="BM408" i="30" s="1"/>
  <c r="AX408" i="30"/>
  <c r="BI408" i="30" s="1"/>
  <c r="AT408" i="30"/>
  <c r="BE408" i="30" s="1"/>
  <c r="AP408" i="30"/>
  <c r="AP405" i="30" s="1"/>
  <c r="AL408" i="30"/>
  <c r="AL405" i="30" s="1"/>
  <c r="BA408" i="30"/>
  <c r="BL408" i="30" s="1"/>
  <c r="AW408" i="30"/>
  <c r="BH408" i="30" s="1"/>
  <c r="AS408" i="30"/>
  <c r="AS405" i="30" s="1"/>
  <c r="AO408" i="30"/>
  <c r="AO405" i="30" s="1"/>
  <c r="AK408" i="30"/>
  <c r="AK405" i="30" s="1"/>
  <c r="AG408" i="30"/>
  <c r="AG405" i="30" s="1"/>
  <c r="AZ408" i="30"/>
  <c r="BK408" i="30" s="1"/>
  <c r="AV408" i="30"/>
  <c r="BG408" i="30" s="1"/>
  <c r="AR408" i="30"/>
  <c r="AR405" i="30" s="1"/>
  <c r="AN408" i="30"/>
  <c r="AN405" i="30" s="1"/>
  <c r="AJ408" i="30"/>
  <c r="AJ405" i="30" s="1"/>
  <c r="AF408" i="30"/>
  <c r="AF405" i="30" s="1"/>
  <c r="BA115" i="29"/>
  <c r="BL115" i="29" s="1"/>
  <c r="AW115" i="29"/>
  <c r="BH115" i="29" s="1"/>
  <c r="AS115" i="29"/>
  <c r="AO115" i="29"/>
  <c r="AK115" i="29"/>
  <c r="AG115" i="29"/>
  <c r="BC115" i="29"/>
  <c r="AY115" i="29"/>
  <c r="BJ115" i="29" s="1"/>
  <c r="AU115" i="29"/>
  <c r="BF115" i="29" s="1"/>
  <c r="AQ115" i="29"/>
  <c r="AM115" i="29"/>
  <c r="AI115" i="29"/>
  <c r="BD115" i="29" s="1"/>
  <c r="AE115" i="29"/>
  <c r="AZ115" i="29"/>
  <c r="BK115" i="29" s="1"/>
  <c r="AR115" i="29"/>
  <c r="AJ115" i="29"/>
  <c r="BO115" i="29"/>
  <c r="AX115" i="29"/>
  <c r="BI115" i="29" s="1"/>
  <c r="AP115" i="29"/>
  <c r="AV115" i="29"/>
  <c r="BG115" i="29" s="1"/>
  <c r="AN115" i="29"/>
  <c r="AF115" i="29"/>
  <c r="F116" i="29" a="1"/>
  <c r="F116" i="29" s="1"/>
  <c r="BB115" i="29"/>
  <c r="BM115" i="29" s="1"/>
  <c r="AT115" i="29"/>
  <c r="BE115" i="29" s="1"/>
  <c r="AL115" i="29"/>
  <c r="AY405" i="30"/>
  <c r="BJ405" i="30" s="1"/>
  <c r="BB405" i="30"/>
  <c r="BM405" i="30" s="1"/>
  <c r="AZ261" i="30"/>
  <c r="BK261" i="30" s="1"/>
  <c r="BO95" i="30"/>
  <c r="BB95" i="30"/>
  <c r="BM95" i="30" s="1"/>
  <c r="AX95" i="30"/>
  <c r="BI95" i="30" s="1"/>
  <c r="AT95" i="30"/>
  <c r="AP95" i="30"/>
  <c r="AL95" i="30"/>
  <c r="BA95" i="30"/>
  <c r="BL95" i="30" s="1"/>
  <c r="AW95" i="30"/>
  <c r="AS95" i="30"/>
  <c r="AO95" i="30"/>
  <c r="AK95" i="30"/>
  <c r="AG95" i="30"/>
  <c r="BC95" i="30"/>
  <c r="AY95" i="30"/>
  <c r="BJ95" i="30" s="1"/>
  <c r="AU95" i="30"/>
  <c r="BF95" i="30" s="1"/>
  <c r="AQ95" i="30"/>
  <c r="AM95" i="30"/>
  <c r="AI95" i="30"/>
  <c r="BD95" i="30" s="1"/>
  <c r="AE95" i="30"/>
  <c r="AN95" i="30"/>
  <c r="F96" i="30" a="1"/>
  <c r="F96" i="30" s="1"/>
  <c r="AZ95" i="30"/>
  <c r="BK95" i="30" s="1"/>
  <c r="AJ95" i="30"/>
  <c r="AV95" i="30"/>
  <c r="AF95" i="30"/>
  <c r="AR95" i="30"/>
  <c r="AH94" i="30"/>
  <c r="AT261" i="30"/>
  <c r="BE261" i="30" s="1"/>
  <c r="AG261" i="30"/>
  <c r="AH261" i="30" s="1"/>
  <c r="BB403" i="29"/>
  <c r="BM403" i="29" s="1"/>
  <c r="AX403" i="29"/>
  <c r="BI403" i="29" s="1"/>
  <c r="AT403" i="29"/>
  <c r="AP403" i="29"/>
  <c r="AL403" i="29"/>
  <c r="F404" i="29" a="1"/>
  <c r="F404" i="29" s="1"/>
  <c r="BA403" i="29"/>
  <c r="BL403" i="29" s="1"/>
  <c r="AW403" i="29"/>
  <c r="BH403" i="29" s="1"/>
  <c r="AS403" i="29"/>
  <c r="AO403" i="29"/>
  <c r="AK403" i="29"/>
  <c r="AG403" i="29"/>
  <c r="AZ403" i="29"/>
  <c r="BK403" i="29" s="1"/>
  <c r="AV403" i="29"/>
  <c r="BG403" i="29" s="1"/>
  <c r="AR403" i="29"/>
  <c r="AN403" i="29"/>
  <c r="AJ403" i="29"/>
  <c r="AF403" i="29"/>
  <c r="AU403" i="29"/>
  <c r="BF403" i="29" s="1"/>
  <c r="AE403" i="29"/>
  <c r="AQ403" i="29"/>
  <c r="BC403" i="29"/>
  <c r="AM403" i="29"/>
  <c r="AY403" i="29"/>
  <c r="BJ403" i="29" s="1"/>
  <c r="AI403" i="29"/>
  <c r="AV405" i="30" l="1"/>
  <c r="BG405" i="30" s="1"/>
  <c r="AU261" i="30"/>
  <c r="BF261" i="30" s="1"/>
  <c r="BD403" i="29"/>
  <c r="BA405" i="30"/>
  <c r="BL405" i="30" s="1"/>
  <c r="BE259" i="29"/>
  <c r="AT405" i="30"/>
  <c r="BE405" i="30" s="1"/>
  <c r="F405" i="29" a="1"/>
  <c r="F405" i="29" s="1"/>
  <c r="F406" i="29" s="1" a="1"/>
  <c r="F406" i="29" s="1"/>
  <c r="BA404" i="29"/>
  <c r="BL404" i="29" s="1"/>
  <c r="AW404" i="29"/>
  <c r="BH404" i="29" s="1"/>
  <c r="AS404" i="29"/>
  <c r="AO404" i="29"/>
  <c r="AK404" i="29"/>
  <c r="AG404" i="29"/>
  <c r="AZ404" i="29"/>
  <c r="BK404" i="29" s="1"/>
  <c r="AV404" i="29"/>
  <c r="BG404" i="29" s="1"/>
  <c r="AR404" i="29"/>
  <c r="AN404" i="29"/>
  <c r="AJ404" i="29"/>
  <c r="AF404" i="29"/>
  <c r="BC404" i="29"/>
  <c r="AY404" i="29"/>
  <c r="BJ404" i="29" s="1"/>
  <c r="AU404" i="29"/>
  <c r="BF404" i="29" s="1"/>
  <c r="AQ404" i="29"/>
  <c r="AM404" i="29"/>
  <c r="AI404" i="29"/>
  <c r="BD404" i="29" s="1"/>
  <c r="AE404" i="29"/>
  <c r="BB404" i="29"/>
  <c r="BM404" i="29" s="1"/>
  <c r="AL404" i="29"/>
  <c r="AX404" i="29"/>
  <c r="BI404" i="29" s="1"/>
  <c r="AT404" i="29"/>
  <c r="BE404" i="29" s="1"/>
  <c r="AP404" i="29"/>
  <c r="BO96" i="30"/>
  <c r="BB96" i="30"/>
  <c r="AX96" i="30"/>
  <c r="AT96" i="30"/>
  <c r="BE96" i="30" s="1"/>
  <c r="AP96" i="30"/>
  <c r="AL96" i="30"/>
  <c r="BA96" i="30"/>
  <c r="BL96" i="30" s="1"/>
  <c r="AW96" i="30"/>
  <c r="BH96" i="30" s="1"/>
  <c r="AS96" i="30"/>
  <c r="AO96" i="30"/>
  <c r="AK96" i="30"/>
  <c r="AG96" i="30"/>
  <c r="BC96" i="30"/>
  <c r="AY96" i="30"/>
  <c r="AU96" i="30"/>
  <c r="AQ96" i="30"/>
  <c r="AM96" i="30"/>
  <c r="AI96" i="30"/>
  <c r="BD96" i="30" s="1"/>
  <c r="AE96" i="30"/>
  <c r="AV96" i="30"/>
  <c r="BG96" i="30" s="1"/>
  <c r="AF96" i="30"/>
  <c r="AR96" i="30"/>
  <c r="AN96" i="30"/>
  <c r="F97" i="30" a="1"/>
  <c r="F97" i="30" s="1"/>
  <c r="AZ96" i="30"/>
  <c r="BK96" i="30" s="1"/>
  <c r="AJ96" i="30"/>
  <c r="AH115" i="29"/>
  <c r="BJ264" i="30"/>
  <c r="AY261" i="30"/>
  <c r="BJ261" i="30" s="1"/>
  <c r="AZ405" i="30"/>
  <c r="BK405" i="30" s="1"/>
  <c r="F94" i="18" a="1"/>
  <c r="F94" i="18" s="1"/>
  <c r="BA89" i="30" s="1"/>
  <c r="BL89" i="30" s="1"/>
  <c r="BG95" i="30"/>
  <c r="AH95" i="30"/>
  <c r="BH95" i="30"/>
  <c r="BE95" i="30"/>
  <c r="AH264" i="30"/>
  <c r="F280" i="30" a="1"/>
  <c r="F280" i="30" s="1"/>
  <c r="F281" i="30" s="1" a="1"/>
  <c r="F281" i="30" s="1"/>
  <c r="BO279" i="30"/>
  <c r="AW405" i="30"/>
  <c r="BH405" i="30" s="1"/>
  <c r="AH403" i="29"/>
  <c r="AH405" i="30"/>
  <c r="AH408" i="30"/>
  <c r="F424" i="30" a="1"/>
  <c r="F424" i="30" s="1"/>
  <c r="F425" i="30" s="1" a="1"/>
  <c r="F425" i="30" s="1"/>
  <c r="BO423" i="30"/>
  <c r="BC260" i="29"/>
  <c r="AY260" i="29"/>
  <c r="BJ260" i="29" s="1"/>
  <c r="AU260" i="29"/>
  <c r="BF260" i="29" s="1"/>
  <c r="AQ260" i="29"/>
  <c r="AM260" i="29"/>
  <c r="AI260" i="29"/>
  <c r="BD260" i="29" s="1"/>
  <c r="AE260" i="29"/>
  <c r="BB260" i="29"/>
  <c r="BM260" i="29" s="1"/>
  <c r="AX260" i="29"/>
  <c r="BI260" i="29" s="1"/>
  <c r="AT260" i="29"/>
  <c r="BE260" i="29" s="1"/>
  <c r="AP260" i="29"/>
  <c r="AL260" i="29"/>
  <c r="F261" i="29" a="1"/>
  <c r="F261" i="29" s="1"/>
  <c r="F262" i="29" s="1" a="1"/>
  <c r="F262" i="29" s="1"/>
  <c r="BA260" i="29"/>
  <c r="BL260" i="29" s="1"/>
  <c r="AW260" i="29"/>
  <c r="BH260" i="29" s="1"/>
  <c r="AS260" i="29"/>
  <c r="AO260" i="29"/>
  <c r="AK260" i="29"/>
  <c r="AG260" i="29"/>
  <c r="AN260" i="29"/>
  <c r="AZ260" i="29"/>
  <c r="BK260" i="29" s="1"/>
  <c r="AJ260" i="29"/>
  <c r="AV260" i="29"/>
  <c r="BG260" i="29" s="1"/>
  <c r="AF260" i="29"/>
  <c r="AR260" i="29"/>
  <c r="BD259" i="29"/>
  <c r="BL264" i="30"/>
  <c r="BA261" i="30"/>
  <c r="BL261" i="30" s="1"/>
  <c r="BI264" i="30"/>
  <c r="AX261" i="30"/>
  <c r="BI261" i="30" s="1"/>
  <c r="AI405" i="30"/>
  <c r="BD405" i="30" s="1"/>
  <c r="BE403" i="29"/>
  <c r="BC116" i="29"/>
  <c r="AY116" i="29"/>
  <c r="BJ116" i="29" s="1"/>
  <c r="AU116" i="29"/>
  <c r="BF116" i="29" s="1"/>
  <c r="AQ116" i="29"/>
  <c r="AM116" i="29"/>
  <c r="AI116" i="29"/>
  <c r="BD116" i="29" s="1"/>
  <c r="AE116" i="29"/>
  <c r="F117" i="29" a="1"/>
  <c r="F117" i="29" s="1"/>
  <c r="F118" i="29" s="1" a="1"/>
  <c r="F118" i="29" s="1"/>
  <c r="BA116" i="29"/>
  <c r="BL116" i="29" s="1"/>
  <c r="AW116" i="29"/>
  <c r="BH116" i="29" s="1"/>
  <c r="AS116" i="29"/>
  <c r="AO116" i="29"/>
  <c r="AK116" i="29"/>
  <c r="AG116" i="29"/>
  <c r="AX116" i="29"/>
  <c r="BI116" i="29" s="1"/>
  <c r="AP116" i="29"/>
  <c r="AV116" i="29"/>
  <c r="BG116" i="29" s="1"/>
  <c r="AN116" i="29"/>
  <c r="AF116" i="29"/>
  <c r="BB116" i="29"/>
  <c r="BM116" i="29" s="1"/>
  <c r="AT116" i="29"/>
  <c r="BE116" i="29" s="1"/>
  <c r="AL116" i="29"/>
  <c r="AZ116" i="29"/>
  <c r="BK116" i="29" s="1"/>
  <c r="AR116" i="29"/>
  <c r="AJ116" i="29"/>
  <c r="AU405" i="30"/>
  <c r="BF405" i="30" s="1"/>
  <c r="BD264" i="30"/>
  <c r="AI261" i="30"/>
  <c r="BD261" i="30" s="1"/>
  <c r="BG264" i="30"/>
  <c r="AV261" i="30"/>
  <c r="BG261" i="30" s="1"/>
  <c r="BM264" i="30"/>
  <c r="BB261" i="30"/>
  <c r="BM261" i="30" s="1"/>
  <c r="AX405" i="30"/>
  <c r="BI405" i="30" s="1"/>
  <c r="AQ89" i="30" l="1"/>
  <c r="AE90" i="30"/>
  <c r="AT89" i="30"/>
  <c r="BE89" i="30" s="1"/>
  <c r="AN89" i="30"/>
  <c r="AX90" i="30"/>
  <c r="BI90" i="30" s="1"/>
  <c r="AK89" i="30"/>
  <c r="AJ89" i="30"/>
  <c r="AX89" i="30"/>
  <c r="BI89" i="30" s="1"/>
  <c r="AE89" i="30"/>
  <c r="AU89" i="30"/>
  <c r="BF89" i="30" s="1"/>
  <c r="AV89" i="30"/>
  <c r="BG89" i="30" s="1"/>
  <c r="AN90" i="30"/>
  <c r="AW89" i="30"/>
  <c r="BH89" i="30" s="1"/>
  <c r="BA90" i="30"/>
  <c r="BL90" i="30" s="1"/>
  <c r="AK90" i="30"/>
  <c r="AG89" i="30"/>
  <c r="AH116" i="29"/>
  <c r="AH260" i="29"/>
  <c r="T94" i="18"/>
  <c r="AE212" i="28"/>
  <c r="AJ212" i="28"/>
  <c r="AG212" i="28"/>
  <c r="AF127" i="28"/>
  <c r="AG127" i="28"/>
  <c r="AH127" i="28" s="1"/>
  <c r="AE42" i="28"/>
  <c r="AJ127" i="28"/>
  <c r="AJ42" i="28"/>
  <c r="AE127" i="28"/>
  <c r="AI212" i="28"/>
  <c r="AL212" i="28" s="1"/>
  <c r="AK42" i="28"/>
  <c r="AF42" i="28"/>
  <c r="AF126" i="28"/>
  <c r="AG41" i="28"/>
  <c r="AF120" i="28"/>
  <c r="AI127" i="28"/>
  <c r="AL127" i="28" s="1"/>
  <c r="AE39" i="28"/>
  <c r="AE208" i="28"/>
  <c r="AE122" i="28"/>
  <c r="AJ123" i="28"/>
  <c r="AE120" i="28"/>
  <c r="AF39" i="28"/>
  <c r="AG207" i="28"/>
  <c r="AK36" i="28"/>
  <c r="AJ41" i="28"/>
  <c r="AE205" i="28"/>
  <c r="AE121" i="28"/>
  <c r="AI36" i="28"/>
  <c r="AL36" i="28" s="1"/>
  <c r="AJ40" i="28"/>
  <c r="AK124" i="28"/>
  <c r="AI210" i="28"/>
  <c r="AL210" i="28" s="1"/>
  <c r="AI205" i="28"/>
  <c r="AE123" i="28"/>
  <c r="AF207" i="28"/>
  <c r="AE40" i="28"/>
  <c r="AG126" i="28"/>
  <c r="AG210" i="28"/>
  <c r="AI42" i="28"/>
  <c r="AL42" i="28" s="1"/>
  <c r="AJ122" i="28"/>
  <c r="AI207" i="28"/>
  <c r="AL207" i="28" s="1"/>
  <c r="AI121" i="28"/>
  <c r="AL121" i="28" s="1"/>
  <c r="AG123" i="28"/>
  <c r="AE35" i="28"/>
  <c r="AK39" i="28"/>
  <c r="AK41" i="28"/>
  <c r="AF36" i="28"/>
  <c r="AE36" i="28"/>
  <c r="AI120" i="28"/>
  <c r="AK206" i="28"/>
  <c r="AI39" i="28"/>
  <c r="AL39" i="28" s="1"/>
  <c r="AE207" i="28"/>
  <c r="AK207" i="28"/>
  <c r="AK122" i="28"/>
  <c r="AF121" i="28"/>
  <c r="AF37" i="28"/>
  <c r="AE38" i="28"/>
  <c r="AI41" i="28"/>
  <c r="AL41" i="28" s="1"/>
  <c r="AF212" i="28"/>
  <c r="AK121" i="28"/>
  <c r="AK210" i="28"/>
  <c r="AI40" i="28"/>
  <c r="AL40" i="28" s="1"/>
  <c r="AI125" i="28"/>
  <c r="AL125" i="28" s="1"/>
  <c r="AF211" i="28"/>
  <c r="AG35" i="28"/>
  <c r="AE37" i="28"/>
  <c r="AJ37" i="28"/>
  <c r="AI124" i="28"/>
  <c r="AL124" i="28" s="1"/>
  <c r="AJ207" i="28"/>
  <c r="AG38" i="28"/>
  <c r="AF206" i="28"/>
  <c r="AJ126" i="28"/>
  <c r="AG205" i="28"/>
  <c r="AG122" i="28"/>
  <c r="AJ209" i="28"/>
  <c r="AK205" i="28"/>
  <c r="AE210" i="28"/>
  <c r="AG124" i="28"/>
  <c r="AI123" i="28"/>
  <c r="AK208" i="28"/>
  <c r="AG125" i="28"/>
  <c r="AJ36" i="28"/>
  <c r="AJ120" i="28"/>
  <c r="AI208" i="28"/>
  <c r="AL208" i="28" s="1"/>
  <c r="AE211" i="28"/>
  <c r="AF124" i="28"/>
  <c r="AF208" i="28"/>
  <c r="AG121" i="28"/>
  <c r="AH121" i="28" s="1"/>
  <c r="AI122" i="28"/>
  <c r="AL122" i="28" s="1"/>
  <c r="AG209" i="28"/>
  <c r="AE125" i="28"/>
  <c r="AG42" i="28"/>
  <c r="AH42" i="28" s="1"/>
  <c r="AI209" i="28"/>
  <c r="AL209" i="28" s="1"/>
  <c r="AJ125" i="28"/>
  <c r="AE126" i="28"/>
  <c r="AK209" i="28"/>
  <c r="AK120" i="28"/>
  <c r="AK38" i="28"/>
  <c r="AJ121" i="28"/>
  <c r="AG120" i="28"/>
  <c r="AG37" i="28"/>
  <c r="AK125" i="28"/>
  <c r="AF205" i="28"/>
  <c r="AJ38" i="28"/>
  <c r="AJ39" i="28"/>
  <c r="AE124" i="28"/>
  <c r="AF209" i="28"/>
  <c r="AF38" i="28"/>
  <c r="AF35" i="28"/>
  <c r="AE209" i="28"/>
  <c r="AG33" i="26"/>
  <c r="AJ211" i="28"/>
  <c r="AE206" i="28"/>
  <c r="AJ35" i="28"/>
  <c r="AF33" i="26"/>
  <c r="AF32" i="26" s="1"/>
  <c r="AF30" i="26" s="1"/>
  <c r="AF28" i="26" s="1"/>
  <c r="AF77" i="26" s="1"/>
  <c r="AF40" i="28"/>
  <c r="AJ124" i="28"/>
  <c r="AG40" i="28"/>
  <c r="AI126" i="28"/>
  <c r="AL126" i="28" s="1"/>
  <c r="AI35" i="28"/>
  <c r="AG206" i="28"/>
  <c r="AH206" i="28" s="1"/>
  <c r="AF210" i="28"/>
  <c r="AG208" i="28"/>
  <c r="AH208" i="28" s="1"/>
  <c r="AG39" i="28"/>
  <c r="AH39" i="28" s="1"/>
  <c r="AF125" i="28"/>
  <c r="AI211" i="28"/>
  <c r="AL211" i="28" s="1"/>
  <c r="AF123" i="28"/>
  <c r="AK37" i="28"/>
  <c r="AJ205" i="28"/>
  <c r="AF41" i="28"/>
  <c r="AJ208" i="28"/>
  <c r="AG36" i="28"/>
  <c r="AH36" i="28" s="1"/>
  <c r="AK211" i="28"/>
  <c r="AJ210" i="28"/>
  <c r="AK212" i="28"/>
  <c r="AI206" i="28"/>
  <c r="AL206" i="28" s="1"/>
  <c r="AK126" i="28"/>
  <c r="AK123" i="28"/>
  <c r="AJ206" i="28"/>
  <c r="AK35" i="28"/>
  <c r="AI37" i="28"/>
  <c r="AL37" i="28" s="1"/>
  <c r="AG211" i="28"/>
  <c r="AK127" i="28"/>
  <c r="AF122" i="28"/>
  <c r="AK40" i="28"/>
  <c r="AI38" i="28"/>
  <c r="AL38" i="28" s="1"/>
  <c r="AE41" i="28"/>
  <c r="BA227" i="30"/>
  <c r="BL227" i="30" s="1"/>
  <c r="AN368" i="30"/>
  <c r="AJ368" i="30"/>
  <c r="AE224" i="30"/>
  <c r="AS224" i="30"/>
  <c r="AS369" i="30"/>
  <c r="AT225" i="30"/>
  <c r="BE225" i="30" s="1"/>
  <c r="AZ225" i="30"/>
  <c r="BK225" i="30" s="1"/>
  <c r="AO224" i="30"/>
  <c r="AG224" i="30"/>
  <c r="BA224" i="30"/>
  <c r="AN225" i="30"/>
  <c r="AZ368" i="30"/>
  <c r="BC224" i="30"/>
  <c r="AF369" i="30"/>
  <c r="AU225" i="30"/>
  <c r="BF225" i="30" s="1"/>
  <c r="AZ228" i="30"/>
  <c r="BK228" i="30" s="1"/>
  <c r="BC225" i="30"/>
  <c r="AQ224" i="29"/>
  <c r="AF225" i="30"/>
  <c r="AF368" i="30"/>
  <c r="AP369" i="30"/>
  <c r="AQ369" i="30"/>
  <c r="AY368" i="30"/>
  <c r="AO368" i="30"/>
  <c r="AI368" i="30"/>
  <c r="AT368" i="30"/>
  <c r="AM369" i="30"/>
  <c r="AE369" i="30"/>
  <c r="AP368" i="30"/>
  <c r="AW368" i="30"/>
  <c r="AR224" i="30"/>
  <c r="AK368" i="30"/>
  <c r="AM368" i="30"/>
  <c r="AO225" i="30"/>
  <c r="AE225" i="30"/>
  <c r="AM225" i="30"/>
  <c r="AI225" i="30"/>
  <c r="BD225" i="30" s="1"/>
  <c r="AV225" i="30"/>
  <c r="BG225" i="30" s="1"/>
  <c r="BC370" i="30"/>
  <c r="AT224" i="30"/>
  <c r="AP224" i="30"/>
  <c r="AX368" i="30"/>
  <c r="AG369" i="30"/>
  <c r="AX369" i="30"/>
  <c r="BI369" i="30" s="1"/>
  <c r="AU368" i="30"/>
  <c r="AL224" i="30"/>
  <c r="AL369" i="30"/>
  <c r="AI224" i="30"/>
  <c r="AI369" i="30"/>
  <c r="BD369" i="30" s="1"/>
  <c r="AX224" i="30"/>
  <c r="AQ368" i="30"/>
  <c r="AW369" i="30"/>
  <c r="BH369" i="30" s="1"/>
  <c r="BC369" i="30"/>
  <c r="AL368" i="30"/>
  <c r="AT370" i="30"/>
  <c r="BE370" i="30" s="1"/>
  <c r="AY225" i="30"/>
  <c r="BJ225" i="30" s="1"/>
  <c r="AJ225" i="30"/>
  <c r="AG368" i="30"/>
  <c r="AJ369" i="30"/>
  <c r="BB224" i="30"/>
  <c r="AY369" i="30"/>
  <c r="BJ369" i="30" s="1"/>
  <c r="BB368" i="30"/>
  <c r="AJ224" i="30"/>
  <c r="AN369" i="30"/>
  <c r="AQ224" i="30"/>
  <c r="BA368" i="30"/>
  <c r="AU369" i="30"/>
  <c r="BF369" i="30" s="1"/>
  <c r="AM224" i="30"/>
  <c r="AY224" i="30"/>
  <c r="AZ369" i="30"/>
  <c r="BK369" i="30" s="1"/>
  <c r="AS368" i="30"/>
  <c r="AZ224" i="30"/>
  <c r="AT369" i="30"/>
  <c r="BE369" i="30" s="1"/>
  <c r="AP225" i="30"/>
  <c r="AW226" i="30"/>
  <c r="BH226" i="30" s="1"/>
  <c r="AL225" i="30"/>
  <c r="BB225" i="30"/>
  <c r="BM225" i="30" s="1"/>
  <c r="AG225" i="30"/>
  <c r="AH225" i="30" s="1"/>
  <c r="AW224" i="30"/>
  <c r="AU224" i="30"/>
  <c r="AK369" i="30"/>
  <c r="AO369" i="30"/>
  <c r="BB369" i="30"/>
  <c r="BM369" i="30" s="1"/>
  <c r="AK224" i="30"/>
  <c r="AN224" i="30"/>
  <c r="BA369" i="30"/>
  <c r="BL369" i="30" s="1"/>
  <c r="AE368" i="30"/>
  <c r="AR368" i="30"/>
  <c r="AR369" i="30"/>
  <c r="AV368" i="30"/>
  <c r="AV369" i="30"/>
  <c r="BG369" i="30" s="1"/>
  <c r="AF224" i="30"/>
  <c r="AV224" i="30"/>
  <c r="BC368" i="30"/>
  <c r="AV231" i="30"/>
  <c r="BG231" i="30" s="1"/>
  <c r="AM224" i="29"/>
  <c r="BB224" i="29"/>
  <c r="AK368" i="29"/>
  <c r="AO371" i="30"/>
  <c r="AJ224" i="29"/>
  <c r="AZ227" i="30"/>
  <c r="BK227" i="30" s="1"/>
  <c r="AV371" i="30"/>
  <c r="BG371" i="30" s="1"/>
  <c r="AE368" i="29"/>
  <c r="AM80" i="29"/>
  <c r="AN371" i="30"/>
  <c r="AT370" i="29"/>
  <c r="BE370" i="29" s="1"/>
  <c r="AT368" i="29"/>
  <c r="AP368" i="29"/>
  <c r="BC82" i="29"/>
  <c r="AJ371" i="30"/>
  <c r="BA370" i="29"/>
  <c r="BL370" i="29" s="1"/>
  <c r="AE227" i="30"/>
  <c r="AL368" i="29"/>
  <c r="AW225" i="30"/>
  <c r="BH225" i="30" s="1"/>
  <c r="AW224" i="29"/>
  <c r="AQ225" i="30"/>
  <c r="AG80" i="29"/>
  <c r="AF368" i="29"/>
  <c r="BA224" i="29"/>
  <c r="BB80" i="29"/>
  <c r="BC368" i="29"/>
  <c r="AJ80" i="29"/>
  <c r="AS80" i="29"/>
  <c r="AO368" i="29"/>
  <c r="AN227" i="30"/>
  <c r="AG224" i="29"/>
  <c r="AS82" i="29"/>
  <c r="AG368" i="29"/>
  <c r="AN368" i="29"/>
  <c r="AM370" i="30"/>
  <c r="AP370" i="29"/>
  <c r="AT227" i="30"/>
  <c r="AI224" i="29"/>
  <c r="AX371" i="30"/>
  <c r="BI371" i="30" s="1"/>
  <c r="AU224" i="29"/>
  <c r="AJ227" i="30"/>
  <c r="AP227" i="30"/>
  <c r="AS225" i="30"/>
  <c r="AI227" i="30"/>
  <c r="AQ226" i="30"/>
  <c r="BA368" i="29"/>
  <c r="AQ368" i="29"/>
  <c r="AV370" i="30"/>
  <c r="BG370" i="30" s="1"/>
  <c r="AU80" i="29"/>
  <c r="AQ227" i="30"/>
  <c r="AY227" i="30"/>
  <c r="BJ227" i="30" s="1"/>
  <c r="AU368" i="29"/>
  <c r="AK224" i="29"/>
  <c r="AS371" i="30"/>
  <c r="AF226" i="30"/>
  <c r="AQ370" i="30"/>
  <c r="AI368" i="29"/>
  <c r="BB228" i="30"/>
  <c r="BM228" i="30" s="1"/>
  <c r="AZ371" i="30"/>
  <c r="BK371" i="30" s="1"/>
  <c r="BB227" i="30"/>
  <c r="BM227" i="30" s="1"/>
  <c r="AL227" i="30"/>
  <c r="AU227" i="30"/>
  <c r="BF227" i="30" s="1"/>
  <c r="AR80" i="29"/>
  <c r="AZ224" i="29"/>
  <c r="AX227" i="30"/>
  <c r="BI227" i="30" s="1"/>
  <c r="AX80" i="29"/>
  <c r="BC224" i="29"/>
  <c r="AR368" i="29"/>
  <c r="AL371" i="30"/>
  <c r="AK225" i="30"/>
  <c r="AV368" i="29"/>
  <c r="BB370" i="30"/>
  <c r="BM370" i="30" s="1"/>
  <c r="BA371" i="30"/>
  <c r="BL371" i="30" s="1"/>
  <c r="AX82" i="29"/>
  <c r="BI82" i="29" s="1"/>
  <c r="AP80" i="29"/>
  <c r="AK371" i="30"/>
  <c r="AU371" i="30"/>
  <c r="BF371" i="30" s="1"/>
  <c r="AF371" i="30"/>
  <c r="AE80" i="29"/>
  <c r="AG371" i="30"/>
  <c r="AJ226" i="30"/>
  <c r="AV226" i="30"/>
  <c r="BG226" i="30" s="1"/>
  <c r="AQ371" i="30"/>
  <c r="AZ231" i="30"/>
  <c r="BK231" i="30" s="1"/>
  <c r="AS227" i="30"/>
  <c r="AR371" i="30"/>
  <c r="BB368" i="29"/>
  <c r="AI371" i="30"/>
  <c r="BD371" i="30" s="1"/>
  <c r="AL80" i="29"/>
  <c r="AK80" i="29"/>
  <c r="BC227" i="30"/>
  <c r="AN80" i="29"/>
  <c r="AO80" i="29"/>
  <c r="AM227" i="30"/>
  <c r="AV227" i="30"/>
  <c r="BG227" i="30" s="1"/>
  <c r="AW368" i="29"/>
  <c r="AX225" i="30"/>
  <c r="BI225" i="30" s="1"/>
  <c r="BA225" i="30"/>
  <c r="BL225" i="30" s="1"/>
  <c r="AR225" i="30"/>
  <c r="AS226" i="30"/>
  <c r="BB371" i="30"/>
  <c r="BM371" i="30" s="1"/>
  <c r="AZ80" i="29"/>
  <c r="AX231" i="30"/>
  <c r="BI231" i="30" s="1"/>
  <c r="AP224" i="29"/>
  <c r="AE224" i="29"/>
  <c r="AF82" i="29"/>
  <c r="AR82" i="29"/>
  <c r="BA80" i="29"/>
  <c r="AE225" i="29"/>
  <c r="AV83" i="29"/>
  <c r="BG83" i="29" s="1"/>
  <c r="AE375" i="30"/>
  <c r="AN231" i="30"/>
  <c r="AO226" i="30"/>
  <c r="BC226" i="30"/>
  <c r="AQ370" i="29"/>
  <c r="AU226" i="30"/>
  <c r="BF226" i="30" s="1"/>
  <c r="AF370" i="30"/>
  <c r="AI376" i="30"/>
  <c r="BD376" i="30" s="1"/>
  <c r="AS375" i="30"/>
  <c r="AE232" i="30"/>
  <c r="AR225" i="29"/>
  <c r="AV371" i="29"/>
  <c r="BG371" i="29" s="1"/>
  <c r="AO228" i="30"/>
  <c r="AK375" i="30"/>
  <c r="AR81" i="29"/>
  <c r="AS226" i="29"/>
  <c r="AY370" i="30"/>
  <c r="BJ370" i="30" s="1"/>
  <c r="AI226" i="30"/>
  <c r="BD226" i="30" s="1"/>
  <c r="AP370" i="30"/>
  <c r="AJ370" i="30"/>
  <c r="AE370" i="30"/>
  <c r="AN226" i="30"/>
  <c r="AN370" i="30"/>
  <c r="AK226" i="30"/>
  <c r="AI375" i="30"/>
  <c r="BD375" i="30" s="1"/>
  <c r="AS372" i="30"/>
  <c r="AN375" i="30"/>
  <c r="AY226" i="29"/>
  <c r="BJ226" i="29" s="1"/>
  <c r="AT372" i="30"/>
  <c r="BE372" i="30" s="1"/>
  <c r="AJ372" i="30"/>
  <c r="AF226" i="29"/>
  <c r="AJ376" i="30"/>
  <c r="AK83" i="29"/>
  <c r="AL228" i="30"/>
  <c r="AP371" i="29"/>
  <c r="AR376" i="30"/>
  <c r="AX81" i="29"/>
  <c r="BI81" i="29" s="1"/>
  <c r="AG226" i="30"/>
  <c r="AK370" i="30"/>
  <c r="AX370" i="30"/>
  <c r="BI370" i="30" s="1"/>
  <c r="AR370" i="30"/>
  <c r="AL226" i="30"/>
  <c r="AP226" i="30"/>
  <c r="AS370" i="30"/>
  <c r="AE226" i="30"/>
  <c r="AY226" i="30"/>
  <c r="BJ226" i="30" s="1"/>
  <c r="AU370" i="30"/>
  <c r="BF370" i="30" s="1"/>
  <c r="AW370" i="30"/>
  <c r="BH370" i="30" s="1"/>
  <c r="BA370" i="30"/>
  <c r="BL370" i="30" s="1"/>
  <c r="AI370" i="30"/>
  <c r="BD370" i="30" s="1"/>
  <c r="AZ226" i="30"/>
  <c r="BK226" i="30" s="1"/>
  <c r="AY375" i="30"/>
  <c r="BJ375" i="30" s="1"/>
  <c r="AP375" i="30"/>
  <c r="AO225" i="29"/>
  <c r="AP232" i="30"/>
  <c r="AF83" i="29"/>
  <c r="AX371" i="29"/>
  <c r="BI371" i="29" s="1"/>
  <c r="AG231" i="30"/>
  <c r="AK371" i="29"/>
  <c r="AF371" i="29"/>
  <c r="AR226" i="29"/>
  <c r="AU226" i="29"/>
  <c r="BF226" i="29" s="1"/>
  <c r="AE226" i="29"/>
  <c r="AU375" i="30"/>
  <c r="BF375" i="30" s="1"/>
  <c r="AY376" i="30"/>
  <c r="BJ376" i="30" s="1"/>
  <c r="AF227" i="29"/>
  <c r="AM226" i="29"/>
  <c r="AM227" i="29"/>
  <c r="AJ375" i="30"/>
  <c r="AL370" i="30"/>
  <c r="AM226" i="30"/>
  <c r="AZ370" i="30"/>
  <c r="BK370" i="30" s="1"/>
  <c r="BA226" i="30"/>
  <c r="BL226" i="30" s="1"/>
  <c r="AX226" i="30"/>
  <c r="BI226" i="30" s="1"/>
  <c r="AO370" i="30"/>
  <c r="AT226" i="30"/>
  <c r="BE226" i="30" s="1"/>
  <c r="BB226" i="30"/>
  <c r="BM226" i="30" s="1"/>
  <c r="AR226" i="30"/>
  <c r="AG370" i="30"/>
  <c r="AH370" i="30" s="1"/>
  <c r="AZ370" i="29"/>
  <c r="BK370" i="29" s="1"/>
  <c r="BC226" i="29"/>
  <c r="AU225" i="29"/>
  <c r="BF225" i="29" s="1"/>
  <c r="AF375" i="30"/>
  <c r="AR375" i="30"/>
  <c r="BA372" i="30"/>
  <c r="BL372" i="30" s="1"/>
  <c r="AM371" i="30"/>
  <c r="BC228" i="30"/>
  <c r="AU370" i="29"/>
  <c r="BF370" i="29" s="1"/>
  <c r="AV224" i="29"/>
  <c r="AV82" i="29"/>
  <c r="BG82" i="29" s="1"/>
  <c r="AT80" i="29"/>
  <c r="AP226" i="29"/>
  <c r="AM368" i="29"/>
  <c r="AT371" i="30"/>
  <c r="BE371" i="30" s="1"/>
  <c r="AG82" i="29"/>
  <c r="AH82" i="29" s="1"/>
  <c r="AY370" i="29"/>
  <c r="BJ370" i="29" s="1"/>
  <c r="AW80" i="29"/>
  <c r="AR227" i="30"/>
  <c r="AQ80" i="29"/>
  <c r="AV80" i="29"/>
  <c r="AJ370" i="29"/>
  <c r="AX368" i="29"/>
  <c r="AS231" i="30"/>
  <c r="AS370" i="29"/>
  <c r="AF231" i="30"/>
  <c r="AL231" i="30"/>
  <c r="AP231" i="30"/>
  <c r="AO369" i="29"/>
  <c r="AR372" i="30"/>
  <c r="AN372" i="30"/>
  <c r="AY228" i="29"/>
  <c r="BJ228" i="29" s="1"/>
  <c r="AP81" i="29"/>
  <c r="AM370" i="29"/>
  <c r="BB372" i="30"/>
  <c r="BM372" i="30" s="1"/>
  <c r="AN81" i="29"/>
  <c r="AL82" i="29"/>
  <c r="AU81" i="29"/>
  <c r="BF81" i="29" s="1"/>
  <c r="BB225" i="29"/>
  <c r="BM225" i="29" s="1"/>
  <c r="BA228" i="29"/>
  <c r="BL228" i="29" s="1"/>
  <c r="AK227" i="30"/>
  <c r="AR224" i="29"/>
  <c r="AY224" i="29"/>
  <c r="AK82" i="29"/>
  <c r="AN82" i="29"/>
  <c r="AU82" i="29"/>
  <c r="BF82" i="29" s="1"/>
  <c r="AS224" i="29"/>
  <c r="AZ232" i="30"/>
  <c r="BK232" i="30" s="1"/>
  <c r="AL224" i="29"/>
  <c r="AX224" i="29"/>
  <c r="AJ231" i="30"/>
  <c r="AK231" i="30"/>
  <c r="AK370" i="29"/>
  <c r="AI231" i="30"/>
  <c r="BD231" i="30" s="1"/>
  <c r="AJ232" i="30"/>
  <c r="AW375" i="30"/>
  <c r="BH375" i="30" s="1"/>
  <c r="AY80" i="29"/>
  <c r="AF224" i="29"/>
  <c r="AQ82" i="29"/>
  <c r="AI370" i="29"/>
  <c r="BD370" i="29" s="1"/>
  <c r="AG227" i="30"/>
  <c r="AP82" i="29"/>
  <c r="AZ226" i="29"/>
  <c r="BK226" i="29" s="1"/>
  <c r="AP369" i="29"/>
  <c r="AJ369" i="29"/>
  <c r="BC369" i="29"/>
  <c r="BB369" i="29"/>
  <c r="BM369" i="29" s="1"/>
  <c r="AU228" i="30"/>
  <c r="BF228" i="30" s="1"/>
  <c r="AK228" i="30"/>
  <c r="AG228" i="30"/>
  <c r="AW228" i="30"/>
  <c r="BH228" i="30" s="1"/>
  <c r="AL370" i="29"/>
  <c r="AF81" i="29"/>
  <c r="AF80" i="29"/>
  <c r="AE370" i="29"/>
  <c r="AW82" i="29"/>
  <c r="BH82" i="29" s="1"/>
  <c r="AS227" i="29"/>
  <c r="AI226" i="29"/>
  <c r="BD226" i="29" s="1"/>
  <c r="AS368" i="29"/>
  <c r="AZ368" i="29"/>
  <c r="BA82" i="29"/>
  <c r="BL82" i="29" s="1"/>
  <c r="AY82" i="29"/>
  <c r="BJ82" i="29" s="1"/>
  <c r="AO231" i="30"/>
  <c r="BC371" i="30"/>
  <c r="AJ368" i="29"/>
  <c r="AY231" i="30"/>
  <c r="BJ231" i="30" s="1"/>
  <c r="AO370" i="29"/>
  <c r="AX83" i="29"/>
  <c r="BI83" i="29" s="1"/>
  <c r="AL375" i="30"/>
  <c r="AN224" i="29"/>
  <c r="BC80" i="29"/>
  <c r="AI80" i="29"/>
  <c r="AU231" i="30"/>
  <c r="BF231" i="30" s="1"/>
  <c r="AY371" i="30"/>
  <c r="BJ371" i="30" s="1"/>
  <c r="AP228" i="29"/>
  <c r="AY228" i="30"/>
  <c r="BJ228" i="30" s="1"/>
  <c r="AQ228" i="30"/>
  <c r="AZ81" i="29"/>
  <c r="BK81" i="29" s="1"/>
  <c r="AG377" i="30"/>
  <c r="BC370" i="29"/>
  <c r="AU369" i="29"/>
  <c r="BF369" i="29" s="1"/>
  <c r="AG372" i="30"/>
  <c r="AY81" i="29"/>
  <c r="BJ81" i="29" s="1"/>
  <c r="AX372" i="30"/>
  <c r="BI372" i="30" s="1"/>
  <c r="AW371" i="30"/>
  <c r="BH371" i="30" s="1"/>
  <c r="BB370" i="29"/>
  <c r="BM370" i="29" s="1"/>
  <c r="AE371" i="30"/>
  <c r="AT82" i="29"/>
  <c r="BE82" i="29" s="1"/>
  <c r="AV370" i="29"/>
  <c r="BG370" i="29" s="1"/>
  <c r="AN370" i="29"/>
  <c r="AO232" i="30"/>
  <c r="AO227" i="30"/>
  <c r="AF370" i="29"/>
  <c r="AP371" i="30"/>
  <c r="BA231" i="30"/>
  <c r="BL231" i="30" s="1"/>
  <c r="AT224" i="29"/>
  <c r="AW227" i="30"/>
  <c r="BH227" i="30" s="1"/>
  <c r="AE231" i="30"/>
  <c r="AY368" i="29"/>
  <c r="AX227" i="29"/>
  <c r="BI227" i="29" s="1"/>
  <c r="AF227" i="30"/>
  <c r="AO224" i="29"/>
  <c r="AI82" i="29"/>
  <c r="BD82" i="29" s="1"/>
  <c r="AQ231" i="30"/>
  <c r="AY225" i="29"/>
  <c r="BJ225" i="29" s="1"/>
  <c r="BA81" i="29"/>
  <c r="BL81" i="29" s="1"/>
  <c r="AI377" i="30"/>
  <c r="BD377" i="30" s="1"/>
  <c r="AK225" i="29"/>
  <c r="AM369" i="29"/>
  <c r="AT228" i="30"/>
  <c r="BE228" i="30" s="1"/>
  <c r="AQ372" i="30"/>
  <c r="AN228" i="30"/>
  <c r="AI369" i="29"/>
  <c r="BD369" i="29" s="1"/>
  <c r="AT81" i="29"/>
  <c r="BE81" i="29" s="1"/>
  <c r="BA369" i="29"/>
  <c r="BL369" i="29" s="1"/>
  <c r="AT369" i="29"/>
  <c r="BE369" i="29" s="1"/>
  <c r="BB377" i="30"/>
  <c r="BM377" i="30" s="1"/>
  <c r="BA377" i="30"/>
  <c r="BL377" i="30" s="1"/>
  <c r="AX228" i="30"/>
  <c r="BI228" i="30" s="1"/>
  <c r="AM82" i="29"/>
  <c r="BC225" i="29"/>
  <c r="BC372" i="30"/>
  <c r="BC231" i="30"/>
  <c r="AV81" i="29"/>
  <c r="BG81" i="29" s="1"/>
  <c r="AQ371" i="29"/>
  <c r="AJ377" i="30"/>
  <c r="AQ377" i="30"/>
  <c r="AM228" i="30"/>
  <c r="AT225" i="29"/>
  <c r="BE225" i="29" s="1"/>
  <c r="AN225" i="29"/>
  <c r="AX370" i="29"/>
  <c r="BI370" i="29" s="1"/>
  <c r="AT377" i="30"/>
  <c r="BE377" i="30" s="1"/>
  <c r="BB81" i="29"/>
  <c r="BM81" i="29" s="1"/>
  <c r="AF369" i="29"/>
  <c r="AZ225" i="29"/>
  <c r="BK225" i="29" s="1"/>
  <c r="AT231" i="30"/>
  <c r="BE231" i="30" s="1"/>
  <c r="AF228" i="30"/>
  <c r="AU232" i="30"/>
  <c r="BF232" i="30" s="1"/>
  <c r="AI225" i="29"/>
  <c r="BD225" i="29" s="1"/>
  <c r="AQ369" i="29"/>
  <c r="AW231" i="30"/>
  <c r="BH231" i="30" s="1"/>
  <c r="AJ81" i="29"/>
  <c r="AO82" i="29"/>
  <c r="AZ82" i="29"/>
  <c r="BK82" i="29" s="1"/>
  <c r="AX225" i="29"/>
  <c r="BI225" i="29" s="1"/>
  <c r="AP228" i="30"/>
  <c r="AM228" i="29"/>
  <c r="AV376" i="30"/>
  <c r="BG376" i="30" s="1"/>
  <c r="BB82" i="29"/>
  <c r="BM82" i="29" s="1"/>
  <c r="AJ228" i="30"/>
  <c r="AI81" i="29"/>
  <c r="BD81" i="29" s="1"/>
  <c r="AJ225" i="29"/>
  <c r="AM231" i="30"/>
  <c r="AS228" i="30"/>
  <c r="AU228" i="29"/>
  <c r="BF228" i="29" s="1"/>
  <c r="AN377" i="30"/>
  <c r="AN376" i="30"/>
  <c r="AS225" i="29"/>
  <c r="AW225" i="29"/>
  <c r="BH225" i="29" s="1"/>
  <c r="AQ225" i="29"/>
  <c r="AE82" i="29"/>
  <c r="AL369" i="29"/>
  <c r="AP372" i="30"/>
  <c r="AP225" i="29"/>
  <c r="AL372" i="30"/>
  <c r="BB231" i="30"/>
  <c r="BM231" i="30" s="1"/>
  <c r="AG81" i="29"/>
  <c r="AH81" i="29" s="1"/>
  <c r="AU372" i="30"/>
  <c r="BF372" i="30" s="1"/>
  <c r="AW369" i="29"/>
  <c r="BH369" i="29" s="1"/>
  <c r="AI228" i="30"/>
  <c r="BD228" i="30" s="1"/>
  <c r="AY372" i="30"/>
  <c r="BJ372" i="30" s="1"/>
  <c r="BA225" i="29"/>
  <c r="BL225" i="29" s="1"/>
  <c r="AV372" i="30"/>
  <c r="BG372" i="30" s="1"/>
  <c r="AL225" i="29"/>
  <c r="AF372" i="30"/>
  <c r="AR369" i="29"/>
  <c r="AS369" i="29"/>
  <c r="BC377" i="30"/>
  <c r="AK369" i="29"/>
  <c r="AG370" i="29"/>
  <c r="BC81" i="29"/>
  <c r="AZ372" i="30"/>
  <c r="BK372" i="30" s="1"/>
  <c r="AY369" i="29"/>
  <c r="BJ369" i="29" s="1"/>
  <c r="AK377" i="30"/>
  <c r="AZ377" i="30"/>
  <c r="BK377" i="30" s="1"/>
  <c r="AO372" i="30"/>
  <c r="AS81" i="29"/>
  <c r="AV228" i="30"/>
  <c r="BG228" i="30" s="1"/>
  <c r="AE228" i="30"/>
  <c r="AI372" i="30"/>
  <c r="BD372" i="30" s="1"/>
  <c r="AF225" i="29"/>
  <c r="AV225" i="29"/>
  <c r="BG225" i="29" s="1"/>
  <c r="BA83" i="29"/>
  <c r="BL83" i="29" s="1"/>
  <c r="AG369" i="29"/>
  <c r="AH369" i="29" s="1"/>
  <c r="AE83" i="29"/>
  <c r="AJ82" i="29"/>
  <c r="AE228" i="29"/>
  <c r="BC228" i="29"/>
  <c r="AW370" i="29"/>
  <c r="BH370" i="29" s="1"/>
  <c r="AM225" i="29"/>
  <c r="AN369" i="29"/>
  <c r="AW81" i="29"/>
  <c r="BH81" i="29" s="1"/>
  <c r="AQ81" i="29"/>
  <c r="AL377" i="30"/>
  <c r="AE81" i="29"/>
  <c r="AR228" i="30"/>
  <c r="AX369" i="29"/>
  <c r="BI369" i="29" s="1"/>
  <c r="AR231" i="30"/>
  <c r="AK81" i="29"/>
  <c r="AM81" i="29"/>
  <c r="AW372" i="30"/>
  <c r="BH372" i="30" s="1"/>
  <c r="AZ228" i="29"/>
  <c r="BK228" i="29" s="1"/>
  <c r="AZ369" i="29"/>
  <c r="BK369" i="29" s="1"/>
  <c r="AG225" i="29"/>
  <c r="BA371" i="29"/>
  <c r="BL371" i="29" s="1"/>
  <c r="AR228" i="29"/>
  <c r="AE369" i="29"/>
  <c r="AM372" i="30"/>
  <c r="AE372" i="30"/>
  <c r="BC227" i="29"/>
  <c r="AX377" i="30"/>
  <c r="BI377" i="30" s="1"/>
  <c r="AO228" i="29"/>
  <c r="AY375" i="29"/>
  <c r="BJ375" i="29" s="1"/>
  <c r="AV369" i="29"/>
  <c r="BG369" i="29" s="1"/>
  <c r="AK372" i="30"/>
  <c r="BA228" i="30"/>
  <c r="BL228" i="30" s="1"/>
  <c r="AR370" i="29"/>
  <c r="AO81" i="29"/>
  <c r="BB228" i="29"/>
  <c r="BM228" i="29" s="1"/>
  <c r="AL81" i="29"/>
  <c r="AN232" i="30"/>
  <c r="AS376" i="30"/>
  <c r="AP83" i="29"/>
  <c r="BB371" i="29"/>
  <c r="BM371" i="29" s="1"/>
  <c r="AR371" i="29"/>
  <c r="AM377" i="30"/>
  <c r="BC375" i="30"/>
  <c r="BB376" i="30"/>
  <c r="BM376" i="30" s="1"/>
  <c r="AV232" i="30"/>
  <c r="BG232" i="30" s="1"/>
  <c r="AT83" i="29"/>
  <c r="BE83" i="29" s="1"/>
  <c r="AV375" i="30"/>
  <c r="BG375" i="30" s="1"/>
  <c r="AS371" i="29"/>
  <c r="AQ226" i="29"/>
  <c r="AN83" i="29"/>
  <c r="AG227" i="29"/>
  <c r="AH227" i="29" s="1"/>
  <c r="AO375" i="30"/>
  <c r="AU227" i="29"/>
  <c r="BF227" i="29" s="1"/>
  <c r="AK227" i="29"/>
  <c r="AG378" i="30"/>
  <c r="AI232" i="30"/>
  <c r="BD232" i="30" s="1"/>
  <c r="AZ375" i="30"/>
  <c r="BK375" i="30" s="1"/>
  <c r="AL371" i="29"/>
  <c r="AL376" i="30"/>
  <c r="AT227" i="29"/>
  <c r="AF376" i="30"/>
  <c r="AK232" i="30"/>
  <c r="AE376" i="30"/>
  <c r="AE87" i="29"/>
  <c r="AN371" i="29"/>
  <c r="AX232" i="30"/>
  <c r="BI232" i="30" s="1"/>
  <c r="AS228" i="29"/>
  <c r="BB83" i="29"/>
  <c r="BM83" i="29" s="1"/>
  <c r="AZ227" i="29"/>
  <c r="BK227" i="29" s="1"/>
  <c r="AP377" i="30"/>
  <c r="AM375" i="30"/>
  <c r="AU371" i="29"/>
  <c r="BF371" i="29" s="1"/>
  <c r="AS375" i="29"/>
  <c r="AM87" i="29"/>
  <c r="AI83" i="29"/>
  <c r="BD83" i="29" s="1"/>
  <c r="AT371" i="29"/>
  <c r="BE371" i="29" s="1"/>
  <c r="AJ83" i="29"/>
  <c r="BC371" i="29"/>
  <c r="AN226" i="29"/>
  <c r="AY371" i="29"/>
  <c r="BJ371" i="29" s="1"/>
  <c r="AO227" i="29"/>
  <c r="AU378" i="30"/>
  <c r="BF378" i="30" s="1"/>
  <c r="AQ375" i="30"/>
  <c r="AI371" i="29"/>
  <c r="BD371" i="29" s="1"/>
  <c r="AO83" i="29"/>
  <c r="BA226" i="29"/>
  <c r="BL226" i="29" s="1"/>
  <c r="AQ232" i="30"/>
  <c r="AK228" i="29"/>
  <c r="BB227" i="29"/>
  <c r="BM227" i="29" s="1"/>
  <c r="AW377" i="30"/>
  <c r="BH377" i="30" s="1"/>
  <c r="AS232" i="30"/>
  <c r="BC231" i="29"/>
  <c r="AM371" i="29"/>
  <c r="AW376" i="30"/>
  <c r="BH376" i="30" s="1"/>
  <c r="AF228" i="29"/>
  <c r="AY377" i="30"/>
  <c r="BJ377" i="30" s="1"/>
  <c r="AX376" i="30"/>
  <c r="BI376" i="30" s="1"/>
  <c r="AL227" i="29"/>
  <c r="AY227" i="29"/>
  <c r="BJ227" i="29" s="1"/>
  <c r="AZ378" i="30"/>
  <c r="BK378" i="30" s="1"/>
  <c r="BA232" i="30"/>
  <c r="BL232" i="30" s="1"/>
  <c r="AN227" i="29"/>
  <c r="BB375" i="30"/>
  <c r="BM375" i="30" s="1"/>
  <c r="AR232" i="30"/>
  <c r="AM376" i="30"/>
  <c r="AJ371" i="29"/>
  <c r="AG376" i="30"/>
  <c r="AK226" i="29"/>
  <c r="AZ83" i="29"/>
  <c r="BK83" i="29" s="1"/>
  <c r="AG234" i="30"/>
  <c r="AV87" i="29"/>
  <c r="BG87" i="29" s="1"/>
  <c r="AG83" i="29"/>
  <c r="AH83" i="29" s="1"/>
  <c r="BC83" i="29"/>
  <c r="AG371" i="29"/>
  <c r="AH371" i="29" s="1"/>
  <c r="AZ371" i="29"/>
  <c r="BK371" i="29" s="1"/>
  <c r="AT376" i="30"/>
  <c r="BE376" i="30" s="1"/>
  <c r="AR83" i="29"/>
  <c r="BA375" i="30"/>
  <c r="BL375" i="30" s="1"/>
  <c r="AG226" i="29"/>
  <c r="AY232" i="30"/>
  <c r="BJ232" i="30" s="1"/>
  <c r="BB226" i="29"/>
  <c r="BM226" i="29" s="1"/>
  <c r="AF232" i="30"/>
  <c r="AV226" i="29"/>
  <c r="BG226" i="29" s="1"/>
  <c r="AK376" i="30"/>
  <c r="AZ231" i="29"/>
  <c r="BK231" i="29" s="1"/>
  <c r="AE375" i="29"/>
  <c r="AX226" i="29"/>
  <c r="BI226" i="29" s="1"/>
  <c r="AV227" i="29"/>
  <c r="BG227" i="29" s="1"/>
  <c r="AO226" i="29"/>
  <c r="AV377" i="30"/>
  <c r="BG377" i="30" s="1"/>
  <c r="AG375" i="30"/>
  <c r="BB232" i="30"/>
  <c r="BM232" i="30" s="1"/>
  <c r="AL83" i="29"/>
  <c r="AI227" i="29"/>
  <c r="AS87" i="29"/>
  <c r="AJ375" i="29"/>
  <c r="AY378" i="30"/>
  <c r="BJ378" i="30" s="1"/>
  <c r="AP227" i="29"/>
  <c r="AI228" i="29"/>
  <c r="BD228" i="29" s="1"/>
  <c r="AW232" i="30"/>
  <c r="BH232" i="30" s="1"/>
  <c r="BA376" i="30"/>
  <c r="BL376" i="30" s="1"/>
  <c r="AX234" i="30"/>
  <c r="BI234" i="30" s="1"/>
  <c r="AY231" i="29"/>
  <c r="BJ231" i="29" s="1"/>
  <c r="AT226" i="29"/>
  <c r="BE226" i="29" s="1"/>
  <c r="AP376" i="30"/>
  <c r="AQ227" i="29"/>
  <c r="AM232" i="30"/>
  <c r="AE227" i="29"/>
  <c r="AW226" i="29"/>
  <c r="BH226" i="29" s="1"/>
  <c r="AT375" i="30"/>
  <c r="BE375" i="30" s="1"/>
  <c r="AQ376" i="30"/>
  <c r="AF234" i="30"/>
  <c r="AV228" i="29"/>
  <c r="BG228" i="29" s="1"/>
  <c r="AO376" i="30"/>
  <c r="AJ226" i="29"/>
  <c r="AJ227" i="29"/>
  <c r="AR227" i="29"/>
  <c r="AZ376" i="30"/>
  <c r="BK376" i="30" s="1"/>
  <c r="AU376" i="30"/>
  <c r="BF376" i="30" s="1"/>
  <c r="AT228" i="29"/>
  <c r="BE228" i="29" s="1"/>
  <c r="AT232" i="30"/>
  <c r="BE232" i="30" s="1"/>
  <c r="AO371" i="29"/>
  <c r="BC376" i="30"/>
  <c r="AW83" i="29"/>
  <c r="BH83" i="29" s="1"/>
  <c r="AG232" i="30"/>
  <c r="BA227" i="29"/>
  <c r="BL227" i="29" s="1"/>
  <c r="BC232" i="30"/>
  <c r="AE371" i="29"/>
  <c r="AS83" i="29"/>
  <c r="AQ83" i="29"/>
  <c r="AW227" i="29"/>
  <c r="BH227" i="29" s="1"/>
  <c r="AX375" i="30"/>
  <c r="BI375" i="30" s="1"/>
  <c r="AU83" i="29"/>
  <c r="BF83" i="29" s="1"/>
  <c r="AY83" i="29"/>
  <c r="BJ83" i="29" s="1"/>
  <c r="AL226" i="29"/>
  <c r="AJ228" i="29"/>
  <c r="AL232" i="30"/>
  <c r="AW371" i="29"/>
  <c r="BH371" i="29" s="1"/>
  <c r="AM83" i="29"/>
  <c r="AG375" i="29"/>
  <c r="AO377" i="30"/>
  <c r="AP378" i="30"/>
  <c r="AX378" i="30"/>
  <c r="BI378" i="30" s="1"/>
  <c r="AV378" i="30"/>
  <c r="BG378" i="30" s="1"/>
  <c r="AW231" i="29"/>
  <c r="BH231" i="29" s="1"/>
  <c r="BC87" i="29"/>
  <c r="AT378" i="30"/>
  <c r="BE378" i="30" s="1"/>
  <c r="AO234" i="30"/>
  <c r="AQ87" i="29"/>
  <c r="AT375" i="29"/>
  <c r="BE375" i="29" s="1"/>
  <c r="AP375" i="29"/>
  <c r="AS231" i="29"/>
  <c r="AF377" i="30"/>
  <c r="AE234" i="30"/>
  <c r="AE377" i="30"/>
  <c r="AM231" i="29"/>
  <c r="AG87" i="29"/>
  <c r="AL228" i="29"/>
  <c r="AR234" i="30"/>
  <c r="AW234" i="30"/>
  <c r="BH234" i="30" s="1"/>
  <c r="AE378" i="30"/>
  <c r="AF231" i="29"/>
  <c r="BB378" i="30"/>
  <c r="BM378" i="30" s="1"/>
  <c r="AM234" i="30"/>
  <c r="AL87" i="29"/>
  <c r="AZ87" i="29"/>
  <c r="BK87" i="29" s="1"/>
  <c r="AW87" i="29"/>
  <c r="BH87" i="29" s="1"/>
  <c r="BB231" i="29"/>
  <c r="BM231" i="29" s="1"/>
  <c r="AR377" i="30"/>
  <c r="BB234" i="30"/>
  <c r="BM234" i="30" s="1"/>
  <c r="AQ231" i="29"/>
  <c r="AQ228" i="29"/>
  <c r="AN375" i="29"/>
  <c r="AW228" i="29"/>
  <c r="BH228" i="29" s="1"/>
  <c r="BB87" i="29"/>
  <c r="BM87" i="29" s="1"/>
  <c r="AS377" i="30"/>
  <c r="AX231" i="29"/>
  <c r="BI231" i="29" s="1"/>
  <c r="AJ87" i="29"/>
  <c r="AN378" i="30"/>
  <c r="AU375" i="29"/>
  <c r="BF375" i="29" s="1"/>
  <c r="AP87" i="29"/>
  <c r="AV375" i="29"/>
  <c r="BG375" i="29" s="1"/>
  <c r="AJ378" i="30"/>
  <c r="AN231" i="29"/>
  <c r="AR378" i="30"/>
  <c r="AN228" i="29"/>
  <c r="AK234" i="30"/>
  <c r="AU87" i="29"/>
  <c r="BF87" i="29" s="1"/>
  <c r="AQ234" i="30"/>
  <c r="AT87" i="29"/>
  <c r="BE87" i="29" s="1"/>
  <c r="BC234" i="30"/>
  <c r="AR87" i="29"/>
  <c r="AG228" i="29"/>
  <c r="AH228" i="29" s="1"/>
  <c r="AQ375" i="29"/>
  <c r="AI378" i="30"/>
  <c r="BD378" i="30" s="1"/>
  <c r="AG231" i="29"/>
  <c r="AV234" i="30"/>
  <c r="BG234" i="30" s="1"/>
  <c r="BA234" i="30"/>
  <c r="BL234" i="30" s="1"/>
  <c r="AL378" i="30"/>
  <c r="BA375" i="29"/>
  <c r="BL375" i="29" s="1"/>
  <c r="AU377" i="30"/>
  <c r="BF377" i="30" s="1"/>
  <c r="AL234" i="30"/>
  <c r="AW375" i="29"/>
  <c r="BH375" i="29" s="1"/>
  <c r="AI231" i="29"/>
  <c r="BD231" i="29" s="1"/>
  <c r="AK378" i="30"/>
  <c r="AQ378" i="30"/>
  <c r="AO87" i="29"/>
  <c r="BA231" i="29"/>
  <c r="BL231" i="29" s="1"/>
  <c r="AF87" i="29"/>
  <c r="AX228" i="29"/>
  <c r="BI228" i="29" s="1"/>
  <c r="AO375" i="29"/>
  <c r="AM372" i="29"/>
  <c r="AW378" i="30"/>
  <c r="BH378" i="30" s="1"/>
  <c r="AI84" i="29"/>
  <c r="BD84" i="29" s="1"/>
  <c r="AS234" i="30"/>
  <c r="AU231" i="29"/>
  <c r="BF231" i="29" s="1"/>
  <c r="AP233" i="30"/>
  <c r="AF375" i="29"/>
  <c r="AY234" i="30"/>
  <c r="BJ234" i="30" s="1"/>
  <c r="AK84" i="29"/>
  <c r="AR233" i="30"/>
  <c r="AF378" i="30"/>
  <c r="AX233" i="30"/>
  <c r="BI233" i="30" s="1"/>
  <c r="AW84" i="29"/>
  <c r="BH84" i="29" s="1"/>
  <c r="AY372" i="29"/>
  <c r="BJ372" i="29" s="1"/>
  <c r="AK87" i="29"/>
  <c r="AP234" i="30"/>
  <c r="AZ234" i="30"/>
  <c r="BK234" i="30" s="1"/>
  <c r="AP231" i="29"/>
  <c r="AY84" i="29"/>
  <c r="BJ84" i="29" s="1"/>
  <c r="AP84" i="29"/>
  <c r="AV231" i="29"/>
  <c r="BG231" i="29" s="1"/>
  <c r="AE233" i="30"/>
  <c r="AN87" i="29"/>
  <c r="AI87" i="29"/>
  <c r="BD87" i="29" s="1"/>
  <c r="AX375" i="29"/>
  <c r="BI375" i="29" s="1"/>
  <c r="AY232" i="29"/>
  <c r="BJ232" i="29" s="1"/>
  <c r="AE84" i="29"/>
  <c r="AU84" i="29"/>
  <c r="BF84" i="29" s="1"/>
  <c r="AG84" i="29"/>
  <c r="BA87" i="29"/>
  <c r="BL87" i="29" s="1"/>
  <c r="AX372" i="29"/>
  <c r="BI372" i="29" s="1"/>
  <c r="BB232" i="29"/>
  <c r="BM232" i="29" s="1"/>
  <c r="AV233" i="30"/>
  <c r="BG233" i="30" s="1"/>
  <c r="AF84" i="29"/>
  <c r="AS84" i="29"/>
  <c r="AY87" i="29"/>
  <c r="BJ87" i="29" s="1"/>
  <c r="AQ233" i="30"/>
  <c r="BA372" i="29"/>
  <c r="BL372" i="29" s="1"/>
  <c r="AX87" i="29"/>
  <c r="BI87" i="29" s="1"/>
  <c r="AK375" i="29"/>
  <c r="AQ84" i="29"/>
  <c r="AI232" i="29"/>
  <c r="BD232" i="29" s="1"/>
  <c r="AI375" i="29"/>
  <c r="BD375" i="29" s="1"/>
  <c r="AS372" i="29"/>
  <c r="AX232" i="29"/>
  <c r="BI232" i="29" s="1"/>
  <c r="AL375" i="29"/>
  <c r="AV372" i="29"/>
  <c r="BG372" i="29" s="1"/>
  <c r="AM233" i="30"/>
  <c r="AQ372" i="29"/>
  <c r="AO378" i="30"/>
  <c r="AS232" i="29"/>
  <c r="AW233" i="30"/>
  <c r="BH233" i="30" s="1"/>
  <c r="AN233" i="30"/>
  <c r="AS233" i="30"/>
  <c r="AT84" i="29"/>
  <c r="BE84" i="29" s="1"/>
  <c r="AU233" i="30"/>
  <c r="BF233" i="30" s="1"/>
  <c r="AZ233" i="30"/>
  <c r="BK233" i="30" s="1"/>
  <c r="AT372" i="29"/>
  <c r="BE372" i="29" s="1"/>
  <c r="AR84" i="29"/>
  <c r="AI372" i="29"/>
  <c r="BD372" i="29" s="1"/>
  <c r="AO231" i="29"/>
  <c r="AR375" i="29"/>
  <c r="AM375" i="29"/>
  <c r="AJ233" i="30"/>
  <c r="BA84" i="29"/>
  <c r="BL84" i="29" s="1"/>
  <c r="AZ375" i="29"/>
  <c r="BK375" i="29" s="1"/>
  <c r="AE372" i="29"/>
  <c r="AT234" i="30"/>
  <c r="BE234" i="30" s="1"/>
  <c r="AU234" i="30"/>
  <c r="BF234" i="30" s="1"/>
  <c r="AY233" i="30"/>
  <c r="BJ233" i="30" s="1"/>
  <c r="BB84" i="29"/>
  <c r="BM84" i="29" s="1"/>
  <c r="BA233" i="30"/>
  <c r="BL233" i="30" s="1"/>
  <c r="AJ372" i="29"/>
  <c r="AV84" i="29"/>
  <c r="BG84" i="29" s="1"/>
  <c r="BA378" i="30"/>
  <c r="BL378" i="30" s="1"/>
  <c r="AK372" i="29"/>
  <c r="AK233" i="30"/>
  <c r="AE231" i="29"/>
  <c r="AN372" i="29"/>
  <c r="BB375" i="29"/>
  <c r="BM375" i="29" s="1"/>
  <c r="AM84" i="29"/>
  <c r="AO372" i="29"/>
  <c r="AF372" i="29"/>
  <c r="AG233" i="30"/>
  <c r="AT233" i="30"/>
  <c r="BE233" i="30" s="1"/>
  <c r="AG372" i="29"/>
  <c r="AW372" i="29"/>
  <c r="BH372" i="29" s="1"/>
  <c r="AJ84" i="29"/>
  <c r="AI234" i="30"/>
  <c r="BD234" i="30" s="1"/>
  <c r="AJ234" i="30"/>
  <c r="AN234" i="30"/>
  <c r="AM378" i="30"/>
  <c r="AU372" i="29"/>
  <c r="BF372" i="29" s="1"/>
  <c r="AZ372" i="29"/>
  <c r="BK372" i="29" s="1"/>
  <c r="AL84" i="29"/>
  <c r="AF232" i="29"/>
  <c r="AZ84" i="29"/>
  <c r="BK84" i="29" s="1"/>
  <c r="AF233" i="30"/>
  <c r="AN84" i="29"/>
  <c r="BC375" i="29"/>
  <c r="BB372" i="29"/>
  <c r="BM372" i="29" s="1"/>
  <c r="AO233" i="30"/>
  <c r="AL372" i="29"/>
  <c r="BC378" i="30"/>
  <c r="AS378" i="30"/>
  <c r="AT231" i="29"/>
  <c r="BE231" i="29" s="1"/>
  <c r="BC84" i="29"/>
  <c r="AR231" i="29"/>
  <c r="AP372" i="29"/>
  <c r="AR372" i="29"/>
  <c r="AL231" i="29"/>
  <c r="AX84" i="29"/>
  <c r="BI84" i="29" s="1"/>
  <c r="BC372" i="29"/>
  <c r="BB233" i="30"/>
  <c r="BM233" i="30" s="1"/>
  <c r="AO84" i="29"/>
  <c r="AZ232" i="29"/>
  <c r="BK232" i="29" s="1"/>
  <c r="BC233" i="30"/>
  <c r="AI233" i="30"/>
  <c r="BD233" i="30" s="1"/>
  <c r="AL233" i="30"/>
  <c r="AP232" i="29"/>
  <c r="AW232" i="29"/>
  <c r="BH232" i="29" s="1"/>
  <c r="BC232" i="29"/>
  <c r="AK231" i="29"/>
  <c r="AM232" i="29"/>
  <c r="AE232" i="29"/>
  <c r="AJ231" i="29"/>
  <c r="AO232" i="29"/>
  <c r="AN232" i="29"/>
  <c r="AT232" i="29"/>
  <c r="BE232" i="29" s="1"/>
  <c r="AU232" i="29"/>
  <c r="BF232" i="29" s="1"/>
  <c r="AR232" i="29"/>
  <c r="AG232" i="29"/>
  <c r="AH232" i="29" s="1"/>
  <c r="BA232" i="29"/>
  <c r="BL232" i="29" s="1"/>
  <c r="AL232" i="29"/>
  <c r="AV232" i="29"/>
  <c r="BG232" i="29" s="1"/>
  <c r="AG88" i="29"/>
  <c r="AK232" i="29"/>
  <c r="AJ232" i="29"/>
  <c r="AQ232" i="29"/>
  <c r="AE89" i="29"/>
  <c r="AG89" i="29"/>
  <c r="AM89" i="29"/>
  <c r="AL88" i="29"/>
  <c r="AX88" i="29"/>
  <c r="BI88" i="29" s="1"/>
  <c r="AF376" i="29"/>
  <c r="AL233" i="29"/>
  <c r="AX376" i="29"/>
  <c r="BI376" i="29" s="1"/>
  <c r="AK376" i="29"/>
  <c r="AZ88" i="29"/>
  <c r="BK88" i="29" s="1"/>
  <c r="AW88" i="29"/>
  <c r="BH88" i="29" s="1"/>
  <c r="AK89" i="29"/>
  <c r="AZ377" i="29"/>
  <c r="BK377" i="29" s="1"/>
  <c r="AQ376" i="29"/>
  <c r="AI88" i="29"/>
  <c r="BD88" i="29" s="1"/>
  <c r="AP89" i="29"/>
  <c r="AS88" i="29"/>
  <c r="AS89" i="29"/>
  <c r="AU88" i="29"/>
  <c r="BF88" i="29" s="1"/>
  <c r="AJ376" i="29"/>
  <c r="AQ377" i="29"/>
  <c r="AO377" i="29"/>
  <c r="AY376" i="29"/>
  <c r="BJ376" i="29" s="1"/>
  <c r="AW89" i="29"/>
  <c r="BH89" i="29" s="1"/>
  <c r="AY377" i="29"/>
  <c r="BJ377" i="29" s="1"/>
  <c r="AI377" i="29"/>
  <c r="BD377" i="29" s="1"/>
  <c r="AT88" i="29"/>
  <c r="BE88" i="29" s="1"/>
  <c r="AU376" i="29"/>
  <c r="BF376" i="29" s="1"/>
  <c r="AP88" i="29"/>
  <c r="BB89" i="29"/>
  <c r="BM89" i="29" s="1"/>
  <c r="AG376" i="29"/>
  <c r="AZ376" i="29"/>
  <c r="BK376" i="29" s="1"/>
  <c r="AP376" i="29"/>
  <c r="BC377" i="29"/>
  <c r="AR89" i="29"/>
  <c r="AT376" i="29"/>
  <c r="BE376" i="29" s="1"/>
  <c r="AN89" i="29"/>
  <c r="AO88" i="29"/>
  <c r="AU89" i="29"/>
  <c r="BF89" i="29" s="1"/>
  <c r="BA376" i="29"/>
  <c r="BL376" i="29" s="1"/>
  <c r="AK88" i="29"/>
  <c r="AM88" i="29"/>
  <c r="AN376" i="29"/>
  <c r="BA377" i="29"/>
  <c r="BL377" i="29" s="1"/>
  <c r="BB376" i="29"/>
  <c r="BM376" i="29" s="1"/>
  <c r="BA89" i="29"/>
  <c r="BL89" i="29" s="1"/>
  <c r="AP377" i="29"/>
  <c r="AO376" i="29"/>
  <c r="AF377" i="29"/>
  <c r="AR376" i="29"/>
  <c r="AW377" i="29"/>
  <c r="BH377" i="29" s="1"/>
  <c r="AG377" i="29"/>
  <c r="AZ89" i="29"/>
  <c r="BK89" i="29" s="1"/>
  <c r="BB377" i="29"/>
  <c r="BM377" i="29" s="1"/>
  <c r="AJ89" i="29"/>
  <c r="AW376" i="29"/>
  <c r="BH376" i="29" s="1"/>
  <c r="AL377" i="29"/>
  <c r="AQ89" i="29"/>
  <c r="AT377" i="29"/>
  <c r="BE377" i="29" s="1"/>
  <c r="AN377" i="29"/>
  <c r="AL89" i="29"/>
  <c r="AE88" i="29"/>
  <c r="AR377" i="29"/>
  <c r="AY89" i="29"/>
  <c r="BJ89" i="29" s="1"/>
  <c r="AJ377" i="29"/>
  <c r="BC89" i="29"/>
  <c r="AN88" i="29"/>
  <c r="AE376" i="29"/>
  <c r="AX89" i="29"/>
  <c r="BI89" i="29" s="1"/>
  <c r="AR88" i="29"/>
  <c r="AF89" i="29"/>
  <c r="BA88" i="29"/>
  <c r="BL88" i="29" s="1"/>
  <c r="AO89" i="29"/>
  <c r="AV89" i="29"/>
  <c r="BG89" i="29" s="1"/>
  <c r="AF88" i="29"/>
  <c r="AE377" i="29"/>
  <c r="AV377" i="29"/>
  <c r="BG377" i="29" s="1"/>
  <c r="AI376" i="29"/>
  <c r="BD376" i="29" s="1"/>
  <c r="AM377" i="29"/>
  <c r="AU377" i="29"/>
  <c r="BF377" i="29" s="1"/>
  <c r="AL376" i="29"/>
  <c r="AS377" i="29"/>
  <c r="AJ88" i="29"/>
  <c r="AQ88" i="29"/>
  <c r="AX377" i="29"/>
  <c r="BI377" i="29" s="1"/>
  <c r="AI89" i="29"/>
  <c r="BD89" i="29" s="1"/>
  <c r="AK377" i="29"/>
  <c r="AY88" i="29"/>
  <c r="BJ88" i="29" s="1"/>
  <c r="BC376" i="29"/>
  <c r="BC88" i="29"/>
  <c r="AT89" i="29"/>
  <c r="BE89" i="29" s="1"/>
  <c r="BB88" i="29"/>
  <c r="BM88" i="29" s="1"/>
  <c r="AS376" i="29"/>
  <c r="AM376" i="29"/>
  <c r="AV376" i="29"/>
  <c r="BG376" i="29" s="1"/>
  <c r="AV88" i="29"/>
  <c r="BG88" i="29" s="1"/>
  <c r="AF233" i="29"/>
  <c r="AP233" i="29"/>
  <c r="AQ233" i="29"/>
  <c r="AX233" i="29"/>
  <c r="BI233" i="29" s="1"/>
  <c r="BC233" i="29"/>
  <c r="AY233" i="29"/>
  <c r="BJ233" i="29" s="1"/>
  <c r="BA233" i="29"/>
  <c r="BL233" i="29" s="1"/>
  <c r="BB90" i="29"/>
  <c r="BM90" i="29" s="1"/>
  <c r="BC234" i="29"/>
  <c r="BB233" i="29"/>
  <c r="BM233" i="29" s="1"/>
  <c r="AS233" i="29"/>
  <c r="AR233" i="29"/>
  <c r="AM233" i="29"/>
  <c r="AK233" i="29"/>
  <c r="AT233" i="29"/>
  <c r="BE233" i="29" s="1"/>
  <c r="AO90" i="29"/>
  <c r="AJ233" i="29"/>
  <c r="AW233" i="29"/>
  <c r="BH233" i="29" s="1"/>
  <c r="AN233" i="29"/>
  <c r="AO233" i="29"/>
  <c r="AU233" i="29"/>
  <c r="BF233" i="29" s="1"/>
  <c r="AG233" i="29"/>
  <c r="BA90" i="29"/>
  <c r="BL90" i="29" s="1"/>
  <c r="AE233" i="29"/>
  <c r="AI233" i="29"/>
  <c r="BD233" i="29" s="1"/>
  <c r="AV233" i="29"/>
  <c r="BG233" i="29" s="1"/>
  <c r="AZ233" i="29"/>
  <c r="BK233" i="29" s="1"/>
  <c r="AS378" i="29"/>
  <c r="AT90" i="29"/>
  <c r="BE90" i="29" s="1"/>
  <c r="AX90" i="29"/>
  <c r="BI90" i="29" s="1"/>
  <c r="AE234" i="29"/>
  <c r="BA234" i="29"/>
  <c r="BL234" i="29" s="1"/>
  <c r="AE90" i="29"/>
  <c r="AZ378" i="29"/>
  <c r="BK378" i="29" s="1"/>
  <c r="AU378" i="29"/>
  <c r="BF378" i="29" s="1"/>
  <c r="AM234" i="29"/>
  <c r="AO234" i="29"/>
  <c r="AJ234" i="29"/>
  <c r="AS90" i="29"/>
  <c r="AL378" i="29"/>
  <c r="AT378" i="29"/>
  <c r="BE378" i="29" s="1"/>
  <c r="AW378" i="29"/>
  <c r="BH378" i="29" s="1"/>
  <c r="AE378" i="29"/>
  <c r="AX378" i="29"/>
  <c r="BI378" i="29" s="1"/>
  <c r="AQ378" i="29"/>
  <c r="AY90" i="29"/>
  <c r="BJ90" i="29" s="1"/>
  <c r="AV234" i="29"/>
  <c r="BG234" i="29" s="1"/>
  <c r="AS234" i="29"/>
  <c r="AR378" i="29"/>
  <c r="AI378" i="29"/>
  <c r="BD378" i="29" s="1"/>
  <c r="AI234" i="29"/>
  <c r="BD234" i="29" s="1"/>
  <c r="AZ234" i="29"/>
  <c r="BK234" i="29" s="1"/>
  <c r="AV378" i="29"/>
  <c r="BG378" i="29" s="1"/>
  <c r="AU234" i="29"/>
  <c r="BF234" i="29" s="1"/>
  <c r="AF234" i="29"/>
  <c r="AK378" i="29"/>
  <c r="AL90" i="29"/>
  <c r="AQ234" i="29"/>
  <c r="AP378" i="29"/>
  <c r="AL234" i="29"/>
  <c r="AW234" i="29"/>
  <c r="BH234" i="29" s="1"/>
  <c r="AF378" i="29"/>
  <c r="AK90" i="29"/>
  <c r="AN234" i="29"/>
  <c r="AX234" i="29"/>
  <c r="BI234" i="29" s="1"/>
  <c r="AZ90" i="29"/>
  <c r="BK90" i="29" s="1"/>
  <c r="AG378" i="29"/>
  <c r="AK234" i="29"/>
  <c r="AP234" i="29"/>
  <c r="AQ90" i="29"/>
  <c r="BC90" i="29"/>
  <c r="AM90" i="29"/>
  <c r="BA378" i="29"/>
  <c r="BL378" i="29" s="1"/>
  <c r="AG234" i="29"/>
  <c r="AN90" i="29"/>
  <c r="AJ378" i="29"/>
  <c r="AU90" i="29"/>
  <c r="BF90" i="29" s="1"/>
  <c r="AP90" i="29"/>
  <c r="AM378" i="29"/>
  <c r="BB378" i="29"/>
  <c r="BM378" i="29" s="1"/>
  <c r="AI90" i="29"/>
  <c r="BD90" i="29" s="1"/>
  <c r="AN378" i="29"/>
  <c r="AT234" i="29"/>
  <c r="BE234" i="29" s="1"/>
  <c r="AY234" i="29"/>
  <c r="BJ234" i="29" s="1"/>
  <c r="AY378" i="29"/>
  <c r="BJ378" i="29" s="1"/>
  <c r="AW90" i="29"/>
  <c r="BH90" i="29" s="1"/>
  <c r="AO378" i="29"/>
  <c r="AR90" i="29"/>
  <c r="AJ90" i="29"/>
  <c r="AV90" i="29"/>
  <c r="BG90" i="29" s="1"/>
  <c r="AR234" i="29"/>
  <c r="BB234" i="29"/>
  <c r="BM234" i="29" s="1"/>
  <c r="AG90" i="29"/>
  <c r="BC378" i="29"/>
  <c r="AF90" i="29"/>
  <c r="AN82" i="30"/>
  <c r="AT80" i="30"/>
  <c r="AW80" i="30"/>
  <c r="AR80" i="30"/>
  <c r="AK80" i="30"/>
  <c r="AS80" i="30"/>
  <c r="AY80" i="30"/>
  <c r="AU80" i="30"/>
  <c r="AZ80" i="30"/>
  <c r="AL82" i="30"/>
  <c r="AM80" i="30"/>
  <c r="AG80" i="30"/>
  <c r="AQ80" i="30"/>
  <c r="BB80" i="30"/>
  <c r="AI80" i="30"/>
  <c r="AY82" i="30"/>
  <c r="BJ82" i="30" s="1"/>
  <c r="AV80" i="30"/>
  <c r="AS82" i="30"/>
  <c r="AJ81" i="30"/>
  <c r="AL80" i="30"/>
  <c r="AO80" i="30"/>
  <c r="AF80" i="30"/>
  <c r="AI82" i="30"/>
  <c r="BD82" i="30" s="1"/>
  <c r="AP80" i="30"/>
  <c r="AJ80" i="30"/>
  <c r="AS81" i="30"/>
  <c r="AN80" i="30"/>
  <c r="BB82" i="30"/>
  <c r="BM82" i="30" s="1"/>
  <c r="AX80" i="30"/>
  <c r="AE80" i="30"/>
  <c r="BC80" i="30"/>
  <c r="BA80" i="30"/>
  <c r="AZ82" i="30"/>
  <c r="BK82" i="30" s="1"/>
  <c r="BC82" i="30"/>
  <c r="BA82" i="30"/>
  <c r="BL82" i="30" s="1"/>
  <c r="AO82" i="30"/>
  <c r="AJ82" i="30"/>
  <c r="AK82" i="30"/>
  <c r="AV82" i="30"/>
  <c r="BG82" i="30" s="1"/>
  <c r="AX82" i="30"/>
  <c r="BI82" i="30" s="1"/>
  <c r="AW82" i="30"/>
  <c r="BH82" i="30" s="1"/>
  <c r="AT82" i="30"/>
  <c r="BE82" i="30" s="1"/>
  <c r="AF82" i="30"/>
  <c r="AP81" i="30"/>
  <c r="AU82" i="30"/>
  <c r="BF82" i="30" s="1"/>
  <c r="AW81" i="30"/>
  <c r="BH81" i="30" s="1"/>
  <c r="AN81" i="30"/>
  <c r="AX81" i="30"/>
  <c r="BI81" i="30" s="1"/>
  <c r="AR81" i="30"/>
  <c r="AG81" i="30"/>
  <c r="AY81" i="30"/>
  <c r="BJ81" i="30" s="1"/>
  <c r="AP82" i="30"/>
  <c r="AZ81" i="30"/>
  <c r="BK81" i="30" s="1"/>
  <c r="AO81" i="30"/>
  <c r="AQ81" i="30"/>
  <c r="AQ82" i="30"/>
  <c r="AE82" i="30"/>
  <c r="AM81" i="30"/>
  <c r="AM82" i="30"/>
  <c r="AE81" i="30"/>
  <c r="AF81" i="30"/>
  <c r="AL81" i="30"/>
  <c r="AK81" i="30"/>
  <c r="AU81" i="30"/>
  <c r="BF81" i="30" s="1"/>
  <c r="AT81" i="30"/>
  <c r="BE81" i="30" s="1"/>
  <c r="AV81" i="30"/>
  <c r="BG81" i="30" s="1"/>
  <c r="BC81" i="30"/>
  <c r="AI81" i="30"/>
  <c r="BD81" i="30" s="1"/>
  <c r="AR82" i="30"/>
  <c r="BB81" i="30"/>
  <c r="BM81" i="30" s="1"/>
  <c r="BA81" i="30"/>
  <c r="BL81" i="30" s="1"/>
  <c r="AG82" i="30"/>
  <c r="AS83" i="30"/>
  <c r="AG83" i="30"/>
  <c r="AQ83" i="30"/>
  <c r="AW83" i="30"/>
  <c r="BH83" i="30" s="1"/>
  <c r="AE83" i="30"/>
  <c r="AT88" i="30"/>
  <c r="BE88" i="30" s="1"/>
  <c r="AR83" i="30"/>
  <c r="AI83" i="30"/>
  <c r="BD83" i="30" s="1"/>
  <c r="AP83" i="30"/>
  <c r="AF83" i="30"/>
  <c r="AM83" i="30"/>
  <c r="AY83" i="30"/>
  <c r="BJ83" i="30" s="1"/>
  <c r="AN83" i="30"/>
  <c r="BA83" i="30"/>
  <c r="BL83" i="30" s="1"/>
  <c r="AT83" i="30"/>
  <c r="BE83" i="30" s="1"/>
  <c r="AU83" i="30"/>
  <c r="BF83" i="30" s="1"/>
  <c r="BB83" i="30"/>
  <c r="BM83" i="30" s="1"/>
  <c r="AJ83" i="30"/>
  <c r="BC83" i="30"/>
  <c r="AG88" i="30"/>
  <c r="AX83" i="30"/>
  <c r="BI83" i="30" s="1"/>
  <c r="AV83" i="30"/>
  <c r="BG83" i="30" s="1"/>
  <c r="AK83" i="30"/>
  <c r="AL83" i="30"/>
  <c r="AZ83" i="30"/>
  <c r="BK83" i="30" s="1"/>
  <c r="AO83" i="30"/>
  <c r="AI89" i="30"/>
  <c r="BD89" i="30" s="1"/>
  <c r="AK88" i="30"/>
  <c r="AN88" i="30"/>
  <c r="AU90" i="30"/>
  <c r="BF90" i="30" s="1"/>
  <c r="AP89" i="30"/>
  <c r="AF88" i="30"/>
  <c r="AP84" i="30"/>
  <c r="AI84" i="30"/>
  <c r="BD84" i="30" s="1"/>
  <c r="AV88" i="30"/>
  <c r="BG88" i="30" s="1"/>
  <c r="AR88" i="30"/>
  <c r="AY84" i="30"/>
  <c r="BJ84" i="30" s="1"/>
  <c r="AV84" i="30"/>
  <c r="BG84" i="30" s="1"/>
  <c r="AN84" i="30"/>
  <c r="AO88" i="30"/>
  <c r="AP87" i="30"/>
  <c r="BB84" i="30"/>
  <c r="BM84" i="30" s="1"/>
  <c r="AF84" i="30"/>
  <c r="BA84" i="30"/>
  <c r="BL84" i="30" s="1"/>
  <c r="BB89" i="30"/>
  <c r="BM89" i="30" s="1"/>
  <c r="AX84" i="30"/>
  <c r="BI84" i="30" s="1"/>
  <c r="AU84" i="30"/>
  <c r="BF84" i="30" s="1"/>
  <c r="AX87" i="30"/>
  <c r="BI87" i="30" s="1"/>
  <c r="AL84" i="30"/>
  <c r="AM84" i="30"/>
  <c r="AU87" i="30"/>
  <c r="BF87" i="30" s="1"/>
  <c r="BC84" i="30"/>
  <c r="AY87" i="30"/>
  <c r="BJ87" i="30" s="1"/>
  <c r="AK84" i="30"/>
  <c r="AT87" i="30"/>
  <c r="BE87" i="30" s="1"/>
  <c r="AG84" i="30"/>
  <c r="AQ87" i="30"/>
  <c r="AQ88" i="30"/>
  <c r="AJ84" i="30"/>
  <c r="AE84" i="30"/>
  <c r="AZ84" i="30"/>
  <c r="BK84" i="30" s="1"/>
  <c r="AQ84" i="30"/>
  <c r="AM87" i="30"/>
  <c r="AO84" i="30"/>
  <c r="AR84" i="30"/>
  <c r="AM89" i="30"/>
  <c r="AS84" i="30"/>
  <c r="AT84" i="30"/>
  <c r="BE84" i="30" s="1"/>
  <c r="BB87" i="30"/>
  <c r="BM87" i="30" s="1"/>
  <c r="AW84" i="30"/>
  <c r="BH84" i="30" s="1"/>
  <c r="AJ88" i="30"/>
  <c r="AE88" i="30"/>
  <c r="AF90" i="30"/>
  <c r="AI88" i="30"/>
  <c r="BD88" i="30" s="1"/>
  <c r="AI90" i="30"/>
  <c r="BD90" i="30" s="1"/>
  <c r="AQ90" i="30"/>
  <c r="AF87" i="30"/>
  <c r="AM90" i="30"/>
  <c r="BB88" i="30"/>
  <c r="BM88" i="30" s="1"/>
  <c r="BA88" i="30"/>
  <c r="BL88" i="30" s="1"/>
  <c r="AO90" i="30"/>
  <c r="AS87" i="30"/>
  <c r="AS89" i="30"/>
  <c r="AY90" i="30"/>
  <c r="BJ90" i="30" s="1"/>
  <c r="AG90" i="30"/>
  <c r="AH90" i="30" s="1"/>
  <c r="AL89" i="30"/>
  <c r="AY89" i="30"/>
  <c r="BJ89" i="30" s="1"/>
  <c r="BC87" i="30"/>
  <c r="AV90" i="30"/>
  <c r="BG90" i="30" s="1"/>
  <c r="AJ90" i="30"/>
  <c r="AW87" i="30"/>
  <c r="BH87" i="30" s="1"/>
  <c r="AZ87" i="30"/>
  <c r="BK87" i="30" s="1"/>
  <c r="AF89" i="30"/>
  <c r="AH89" i="30" s="1"/>
  <c r="AU88" i="30"/>
  <c r="BF88" i="30" s="1"/>
  <c r="AR89" i="30"/>
  <c r="AK87" i="30"/>
  <c r="AG87" i="30"/>
  <c r="AH87" i="30" s="1"/>
  <c r="AO89" i="30"/>
  <c r="AE87" i="30"/>
  <c r="BC89" i="30"/>
  <c r="AN87" i="30"/>
  <c r="AL90" i="30"/>
  <c r="BC90" i="30"/>
  <c r="AP90" i="30"/>
  <c r="AW88" i="30"/>
  <c r="BH88" i="30" s="1"/>
  <c r="BB90" i="30"/>
  <c r="BM90" i="30" s="1"/>
  <c r="AL87" i="30"/>
  <c r="AS90" i="30"/>
  <c r="BC88" i="30"/>
  <c r="AM88" i="30"/>
  <c r="AR87" i="30"/>
  <c r="AP88" i="30"/>
  <c r="AL88" i="30"/>
  <c r="AY88" i="30"/>
  <c r="BJ88" i="30" s="1"/>
  <c r="BA87" i="30"/>
  <c r="BL87" i="30" s="1"/>
  <c r="AJ87" i="30"/>
  <c r="AZ90" i="30"/>
  <c r="BK90" i="30" s="1"/>
  <c r="AV87" i="30"/>
  <c r="BG87" i="30" s="1"/>
  <c r="AO87" i="30"/>
  <c r="AT90" i="30"/>
  <c r="BE90" i="30" s="1"/>
  <c r="AZ88" i="30"/>
  <c r="BK88" i="30" s="1"/>
  <c r="AX88" i="30"/>
  <c r="BI88" i="30" s="1"/>
  <c r="AI87" i="30"/>
  <c r="BD87" i="30" s="1"/>
  <c r="AW90" i="30"/>
  <c r="BH90" i="30" s="1"/>
  <c r="AS88" i="30"/>
  <c r="AZ89" i="30"/>
  <c r="BK89" i="30" s="1"/>
  <c r="AR90" i="30"/>
  <c r="BO97" i="30"/>
  <c r="BB97" i="30"/>
  <c r="BM97" i="30" s="1"/>
  <c r="AX97" i="30"/>
  <c r="BI97" i="30" s="1"/>
  <c r="AT97" i="30"/>
  <c r="AP97" i="30"/>
  <c r="AL97" i="30"/>
  <c r="BA97" i="30"/>
  <c r="AW97" i="30"/>
  <c r="AS97" i="30"/>
  <c r="AO97" i="30"/>
  <c r="AK97" i="30"/>
  <c r="AG97" i="30"/>
  <c r="BC97" i="30"/>
  <c r="AY97" i="30"/>
  <c r="BJ97" i="30" s="1"/>
  <c r="AU97" i="30"/>
  <c r="BF97" i="30" s="1"/>
  <c r="AQ97" i="30"/>
  <c r="AM97" i="30"/>
  <c r="AI97" i="30"/>
  <c r="BD97" i="30" s="1"/>
  <c r="AE97" i="30"/>
  <c r="AN97" i="30"/>
  <c r="F98" i="30" a="1"/>
  <c r="F98" i="30" s="1"/>
  <c r="AZ97" i="30"/>
  <c r="AJ97" i="30"/>
  <c r="AV97" i="30"/>
  <c r="AF97" i="30"/>
  <c r="AR97" i="30"/>
  <c r="AH96" i="30"/>
  <c r="BC406" i="29"/>
  <c r="AY406" i="29"/>
  <c r="AU406" i="29"/>
  <c r="AQ406" i="29"/>
  <c r="AM406" i="29"/>
  <c r="AI406" i="29"/>
  <c r="AE406" i="29"/>
  <c r="F407" i="29" a="1"/>
  <c r="F407" i="29" s="1"/>
  <c r="BO406" i="29"/>
  <c r="BB406" i="29"/>
  <c r="AX406" i="29"/>
  <c r="AT406" i="29"/>
  <c r="AP406" i="29"/>
  <c r="AL406" i="29"/>
  <c r="BA406" i="29"/>
  <c r="AW406" i="29"/>
  <c r="AS406" i="29"/>
  <c r="AO406" i="29"/>
  <c r="AK406" i="29"/>
  <c r="AG406" i="29"/>
  <c r="AZ406" i="29"/>
  <c r="AJ406" i="29"/>
  <c r="AV406" i="29"/>
  <c r="AF406" i="29"/>
  <c r="AR406" i="29"/>
  <c r="AN406" i="29"/>
  <c r="AT425" i="30"/>
  <c r="AJ425" i="30"/>
  <c r="F426" i="30" a="1"/>
  <c r="F426" i="30" s="1"/>
  <c r="BO425" i="30"/>
  <c r="BF96" i="30"/>
  <c r="BI96" i="30"/>
  <c r="BA118" i="29"/>
  <c r="AW118" i="29"/>
  <c r="AS118" i="29"/>
  <c r="AO118" i="29"/>
  <c r="AK118" i="29"/>
  <c r="AG118" i="29"/>
  <c r="BC118" i="29"/>
  <c r="AY118" i="29"/>
  <c r="AU118" i="29"/>
  <c r="AQ118" i="29"/>
  <c r="AM118" i="29"/>
  <c r="AI118" i="29"/>
  <c r="AE118" i="29"/>
  <c r="AV118" i="29"/>
  <c r="AN118" i="29"/>
  <c r="AF118" i="29"/>
  <c r="F119" i="29" a="1"/>
  <c r="F119" i="29" s="1"/>
  <c r="BB118" i="29"/>
  <c r="AT118" i="29"/>
  <c r="AL118" i="29"/>
  <c r="AZ118" i="29"/>
  <c r="AR118" i="29"/>
  <c r="AJ118" i="29"/>
  <c r="BO118" i="29"/>
  <c r="AX118" i="29"/>
  <c r="AP118" i="29"/>
  <c r="BA262" i="29"/>
  <c r="AW262" i="29"/>
  <c r="AS262" i="29"/>
  <c r="AO262" i="29"/>
  <c r="AK262" i="29"/>
  <c r="AG262" i="29"/>
  <c r="AZ262" i="29"/>
  <c r="AV262" i="29"/>
  <c r="AR262" i="29"/>
  <c r="AN262" i="29"/>
  <c r="AJ262" i="29"/>
  <c r="AF262" i="29"/>
  <c r="BC262" i="29"/>
  <c r="AY262" i="29"/>
  <c r="AU262" i="29"/>
  <c r="AQ262" i="29"/>
  <c r="AM262" i="29"/>
  <c r="AI262" i="29"/>
  <c r="AE262" i="29"/>
  <c r="F263" i="29" a="1"/>
  <c r="F263" i="29" s="1"/>
  <c r="BB262" i="29"/>
  <c r="AL262" i="29"/>
  <c r="BO262" i="29"/>
  <c r="AX262" i="29"/>
  <c r="AT262" i="29"/>
  <c r="AP262" i="29"/>
  <c r="BJ96" i="30"/>
  <c r="BM96" i="30"/>
  <c r="AH404" i="29"/>
  <c r="AJ281" i="30"/>
  <c r="F282" i="30" a="1"/>
  <c r="F282" i="30" s="1"/>
  <c r="BO281" i="30"/>
  <c r="AT281" i="30"/>
  <c r="AH226" i="30" l="1"/>
  <c r="AH234" i="29"/>
  <c r="AH231" i="29"/>
  <c r="AH225" i="29"/>
  <c r="AH376" i="30"/>
  <c r="AH211" i="28"/>
  <c r="AH40" i="28"/>
  <c r="AH375" i="30"/>
  <c r="AH226" i="29"/>
  <c r="AH37" i="28"/>
  <c r="AH232" i="30"/>
  <c r="AH84" i="29"/>
  <c r="BE227" i="29"/>
  <c r="AH90" i="29"/>
  <c r="AH233" i="30"/>
  <c r="AH233" i="29"/>
  <c r="AH89" i="29"/>
  <c r="AH375" i="29"/>
  <c r="AJ33" i="28"/>
  <c r="AJ28" i="28" s="1"/>
  <c r="AJ93" i="28" s="1"/>
  <c r="AH378" i="30"/>
  <c r="AH126" i="28"/>
  <c r="AK79" i="30"/>
  <c r="AH377" i="29"/>
  <c r="AK33" i="28"/>
  <c r="AK28" i="28" s="1"/>
  <c r="AK93" i="28" s="1"/>
  <c r="AH369" i="30"/>
  <c r="BD227" i="29"/>
  <c r="AH234" i="30"/>
  <c r="AH370" i="29"/>
  <c r="BE224" i="29"/>
  <c r="AT223" i="29"/>
  <c r="BD80" i="29"/>
  <c r="AI79" i="29"/>
  <c r="AZ367" i="29"/>
  <c r="BK368" i="29"/>
  <c r="AQ79" i="29"/>
  <c r="AQ78" i="29" s="1"/>
  <c r="BE80" i="29"/>
  <c r="AT79" i="29"/>
  <c r="AE223" i="29"/>
  <c r="AE222" i="29" s="1"/>
  <c r="AO79" i="29"/>
  <c r="AO78" i="29" s="1"/>
  <c r="AL79" i="29"/>
  <c r="AL78" i="29" s="1"/>
  <c r="BD368" i="29"/>
  <c r="AI367" i="29"/>
  <c r="AK223" i="29"/>
  <c r="AK222" i="29" s="1"/>
  <c r="BF80" i="29"/>
  <c r="AU79" i="29"/>
  <c r="BE227" i="30"/>
  <c r="AH368" i="29"/>
  <c r="AG367" i="29"/>
  <c r="AO367" i="29"/>
  <c r="AO366" i="29" s="1"/>
  <c r="BM80" i="29"/>
  <c r="BB79" i="29"/>
  <c r="AP367" i="29"/>
  <c r="AP366" i="29" s="1"/>
  <c r="AM79" i="29"/>
  <c r="AM78" i="29" s="1"/>
  <c r="AJ223" i="29"/>
  <c r="AJ222" i="29" s="1"/>
  <c r="AM223" i="29"/>
  <c r="AM222" i="29" s="1"/>
  <c r="AF223" i="30"/>
  <c r="AF222" i="30" s="1"/>
  <c r="AF294" i="30" s="1"/>
  <c r="AR367" i="30"/>
  <c r="AR366" i="30" s="1"/>
  <c r="AR438" i="30" s="1"/>
  <c r="AK223" i="30"/>
  <c r="AK222" i="30" s="1"/>
  <c r="AK294" i="30" s="1"/>
  <c r="AU223" i="30"/>
  <c r="BF224" i="30"/>
  <c r="AZ223" i="30"/>
  <c r="BK224" i="30"/>
  <c r="AM223" i="30"/>
  <c r="AM222" i="30" s="1"/>
  <c r="AM294" i="30" s="1"/>
  <c r="BM224" i="30"/>
  <c r="BB223" i="30"/>
  <c r="BD224" i="30"/>
  <c r="AI223" i="30"/>
  <c r="BE224" i="30"/>
  <c r="AT223" i="30"/>
  <c r="AK367" i="30"/>
  <c r="AK366" i="30" s="1"/>
  <c r="AK438" i="30" s="1"/>
  <c r="AO367" i="30"/>
  <c r="AO366" i="30" s="1"/>
  <c r="AO438" i="30" s="1"/>
  <c r="AF367" i="30"/>
  <c r="AF366" i="30" s="1"/>
  <c r="AF438" i="30" s="1"/>
  <c r="BK368" i="30"/>
  <c r="AZ367" i="30"/>
  <c r="AO223" i="30"/>
  <c r="AO222" i="30" s="1"/>
  <c r="AO294" i="30" s="1"/>
  <c r="AS223" i="30"/>
  <c r="AS222" i="30" s="1"/>
  <c r="AS294" i="30" s="1"/>
  <c r="AL35" i="28"/>
  <c r="AI33" i="28"/>
  <c r="AH120" i="28"/>
  <c r="AG118" i="28"/>
  <c r="AK203" i="28"/>
  <c r="AK198" i="28" s="1"/>
  <c r="AK263" i="28" s="1"/>
  <c r="AE33" i="28"/>
  <c r="AE28" i="28" s="1"/>
  <c r="AE93" i="28" s="1"/>
  <c r="AH207" i="28"/>
  <c r="AF118" i="28"/>
  <c r="AF113" i="28" s="1"/>
  <c r="AF178" i="28" s="1"/>
  <c r="AH212" i="28"/>
  <c r="BJ118" i="29"/>
  <c r="BJ406" i="29"/>
  <c r="AJ79" i="30"/>
  <c r="AQ79" i="30"/>
  <c r="AT282" i="30"/>
  <c r="AJ282" i="30"/>
  <c r="F283" i="30" a="1"/>
  <c r="F283" i="30" s="1"/>
  <c r="F284" i="30" s="1" a="1"/>
  <c r="F284" i="30" s="1"/>
  <c r="BO282" i="30"/>
  <c r="BE262" i="29"/>
  <c r="BM262" i="29"/>
  <c r="BL262" i="29"/>
  <c r="BE118" i="29"/>
  <c r="F427" i="30" a="1"/>
  <c r="F427" i="30" s="1"/>
  <c r="BO426" i="30"/>
  <c r="AT426" i="30"/>
  <c r="AJ426" i="30"/>
  <c r="BK406" i="29"/>
  <c r="BG97" i="30"/>
  <c r="AH97" i="30"/>
  <c r="BH97" i="30"/>
  <c r="BE97" i="30"/>
  <c r="AH84" i="30"/>
  <c r="AH88" i="30"/>
  <c r="AH82" i="30"/>
  <c r="BL80" i="30"/>
  <c r="BA79" i="30"/>
  <c r="AP79" i="30"/>
  <c r="AL79" i="30"/>
  <c r="AH80" i="30"/>
  <c r="AG79" i="30"/>
  <c r="AU79" i="30"/>
  <c r="BF80" i="30"/>
  <c r="AR79" i="30"/>
  <c r="AH378" i="29"/>
  <c r="AH376" i="29"/>
  <c r="AH372" i="29"/>
  <c r="AH87" i="29"/>
  <c r="AY367" i="29"/>
  <c r="BJ368" i="29"/>
  <c r="AH377" i="30"/>
  <c r="BC79" i="29"/>
  <c r="BC78" i="29" s="1"/>
  <c r="AS367" i="29"/>
  <c r="AS366" i="29" s="1"/>
  <c r="AS223" i="29"/>
  <c r="AS222" i="29" s="1"/>
  <c r="BJ224" i="29"/>
  <c r="AY223" i="29"/>
  <c r="BI368" i="29"/>
  <c r="AX367" i="29"/>
  <c r="AH231" i="30"/>
  <c r="BA79" i="29"/>
  <c r="BL80" i="29"/>
  <c r="AP223" i="29"/>
  <c r="AP222" i="29" s="1"/>
  <c r="BH368" i="29"/>
  <c r="AW367" i="29"/>
  <c r="AN79" i="29"/>
  <c r="AN78" i="29" s="1"/>
  <c r="AH371" i="30"/>
  <c r="AR367" i="29"/>
  <c r="AR366" i="29" s="1"/>
  <c r="AZ223" i="29"/>
  <c r="BK224" i="29"/>
  <c r="AU367" i="29"/>
  <c r="BF368" i="29"/>
  <c r="BD227" i="30"/>
  <c r="BF224" i="29"/>
  <c r="AU223" i="29"/>
  <c r="AS79" i="29"/>
  <c r="AS78" i="29" s="1"/>
  <c r="BL224" i="29"/>
  <c r="BA223" i="29"/>
  <c r="AW223" i="29"/>
  <c r="BH224" i="29"/>
  <c r="BE368" i="29"/>
  <c r="AT367" i="29"/>
  <c r="AE367" i="29"/>
  <c r="AE366" i="29" s="1"/>
  <c r="AE367" i="30"/>
  <c r="AE366" i="30" s="1"/>
  <c r="AE438" i="30" s="1"/>
  <c r="BH224" i="30"/>
  <c r="AW223" i="30"/>
  <c r="AS367" i="30"/>
  <c r="AS366" i="30" s="1"/>
  <c r="AS438" i="30" s="1"/>
  <c r="AJ223" i="30"/>
  <c r="AJ222" i="30" s="1"/>
  <c r="AJ294" i="30" s="1"/>
  <c r="AQ367" i="30"/>
  <c r="AQ366" i="30" s="1"/>
  <c r="AQ438" i="30" s="1"/>
  <c r="AR223" i="30"/>
  <c r="AR222" i="30" s="1"/>
  <c r="AR294" i="30" s="1"/>
  <c r="BJ368" i="30"/>
  <c r="AY367" i="30"/>
  <c r="AE223" i="30"/>
  <c r="AE222" i="30" s="1"/>
  <c r="AE294" i="30" s="1"/>
  <c r="AF203" i="28"/>
  <c r="AF198" i="28" s="1"/>
  <c r="AF263" i="28" s="1"/>
  <c r="AJ118" i="28"/>
  <c r="AJ113" i="28" s="1"/>
  <c r="AJ178" i="28" s="1"/>
  <c r="AL123" i="28"/>
  <c r="AH123" i="28"/>
  <c r="AE203" i="28"/>
  <c r="AE198" i="28" s="1"/>
  <c r="AE263" i="28" s="1"/>
  <c r="AH41" i="28"/>
  <c r="BD262" i="29"/>
  <c r="AH262" i="29"/>
  <c r="BM406" i="29"/>
  <c r="BO98" i="30"/>
  <c r="BB98" i="30"/>
  <c r="AX98" i="30"/>
  <c r="AT98" i="30"/>
  <c r="BE98" i="30" s="1"/>
  <c r="AP98" i="30"/>
  <c r="AL98" i="30"/>
  <c r="BA98" i="30"/>
  <c r="BL98" i="30" s="1"/>
  <c r="AW98" i="30"/>
  <c r="BH98" i="30" s="1"/>
  <c r="AS98" i="30"/>
  <c r="AO98" i="30"/>
  <c r="AK98" i="30"/>
  <c r="AG98" i="30"/>
  <c r="BC98" i="30"/>
  <c r="AY98" i="30"/>
  <c r="AU98" i="30"/>
  <c r="AQ98" i="30"/>
  <c r="AM98" i="30"/>
  <c r="AI98" i="30"/>
  <c r="BD98" i="30" s="1"/>
  <c r="AE98" i="30"/>
  <c r="AV98" i="30"/>
  <c r="BG98" i="30" s="1"/>
  <c r="AF98" i="30"/>
  <c r="AR98" i="30"/>
  <c r="AN98" i="30"/>
  <c r="F99" i="30" a="1"/>
  <c r="F99" i="30" s="1"/>
  <c r="AZ98" i="30"/>
  <c r="BK98" i="30" s="1"/>
  <c r="AJ98" i="30"/>
  <c r="BG80" i="30"/>
  <c r="AV79" i="30"/>
  <c r="BC263" i="29"/>
  <c r="AY263" i="29"/>
  <c r="BJ263" i="29" s="1"/>
  <c r="AU263" i="29"/>
  <c r="BF263" i="29" s="1"/>
  <c r="AQ263" i="29"/>
  <c r="AM263" i="29"/>
  <c r="AI263" i="29"/>
  <c r="BD263" i="29" s="1"/>
  <c r="AE263" i="29"/>
  <c r="F264" i="29" a="1"/>
  <c r="F264" i="29" s="1"/>
  <c r="BO263" i="29"/>
  <c r="BB263" i="29"/>
  <c r="BM263" i="29" s="1"/>
  <c r="AX263" i="29"/>
  <c r="BI263" i="29" s="1"/>
  <c r="AT263" i="29"/>
  <c r="BE263" i="29" s="1"/>
  <c r="AP263" i="29"/>
  <c r="AL263" i="29"/>
  <c r="BA263" i="29"/>
  <c r="BL263" i="29" s="1"/>
  <c r="AW263" i="29"/>
  <c r="BH263" i="29" s="1"/>
  <c r="AS263" i="29"/>
  <c r="AO263" i="29"/>
  <c r="AK263" i="29"/>
  <c r="AG263" i="29"/>
  <c r="AR263" i="29"/>
  <c r="AN263" i="29"/>
  <c r="AZ263" i="29"/>
  <c r="BK263" i="29" s="1"/>
  <c r="AJ263" i="29"/>
  <c r="AV263" i="29"/>
  <c r="BG263" i="29" s="1"/>
  <c r="AF263" i="29"/>
  <c r="BG118" i="29"/>
  <c r="AH118" i="29"/>
  <c r="BH118" i="29"/>
  <c r="BH406" i="29"/>
  <c r="BL97" i="30"/>
  <c r="AN79" i="30"/>
  <c r="AM79" i="30"/>
  <c r="BJ80" i="30"/>
  <c r="AY79" i="30"/>
  <c r="BH80" i="30"/>
  <c r="AW79" i="30"/>
  <c r="AO223" i="29"/>
  <c r="AO222" i="29" s="1"/>
  <c r="AH372" i="30"/>
  <c r="AN223" i="29"/>
  <c r="AN222" i="29" s="1"/>
  <c r="AF79" i="29"/>
  <c r="AF78" i="29" s="1"/>
  <c r="AH228" i="30"/>
  <c r="AF223" i="29"/>
  <c r="AF222" i="29" s="1"/>
  <c r="BI224" i="29"/>
  <c r="AX223" i="29"/>
  <c r="AR223" i="29"/>
  <c r="AR222" i="29" s="1"/>
  <c r="AW79" i="29"/>
  <c r="BH80" i="29"/>
  <c r="AM367" i="29"/>
  <c r="AM366" i="29" s="1"/>
  <c r="AV223" i="29"/>
  <c r="BG224" i="29"/>
  <c r="BM368" i="29"/>
  <c r="BB367" i="29"/>
  <c r="AE79" i="29"/>
  <c r="AE78" i="29" s="1"/>
  <c r="AP79" i="29"/>
  <c r="AP78" i="29" s="1"/>
  <c r="AV367" i="29"/>
  <c r="BG368" i="29"/>
  <c r="BC223" i="29"/>
  <c r="BC222" i="29" s="1"/>
  <c r="AR79" i="29"/>
  <c r="AR78" i="29" s="1"/>
  <c r="AQ367" i="29"/>
  <c r="AQ366" i="29" s="1"/>
  <c r="AH224" i="29"/>
  <c r="AG223" i="29"/>
  <c r="AJ79" i="29"/>
  <c r="AJ78" i="29" s="1"/>
  <c r="AF367" i="29"/>
  <c r="AF366" i="29" s="1"/>
  <c r="AK367" i="29"/>
  <c r="AK366" i="29" s="1"/>
  <c r="BC367" i="30"/>
  <c r="BC366" i="30" s="1"/>
  <c r="BC438" i="30" s="1"/>
  <c r="BG368" i="30"/>
  <c r="AV367" i="30"/>
  <c r="BA367" i="30"/>
  <c r="BL368" i="30"/>
  <c r="BB367" i="30"/>
  <c r="BM368" i="30"/>
  <c r="AH368" i="30"/>
  <c r="AG367" i="30"/>
  <c r="AL367" i="30"/>
  <c r="AL366" i="30" s="1"/>
  <c r="AL438" i="30" s="1"/>
  <c r="BI224" i="30"/>
  <c r="AX223" i="30"/>
  <c r="AL223" i="30"/>
  <c r="AL222" i="30" s="1"/>
  <c r="AL294" i="30" s="1"/>
  <c r="AX367" i="30"/>
  <c r="BI368" i="30"/>
  <c r="AW367" i="30"/>
  <c r="BH368" i="30"/>
  <c r="AT367" i="30"/>
  <c r="BE368" i="30"/>
  <c r="AQ223" i="29"/>
  <c r="AQ222" i="29" s="1"/>
  <c r="BL224" i="30"/>
  <c r="BA223" i="30"/>
  <c r="AJ367" i="30"/>
  <c r="AJ366" i="30" s="1"/>
  <c r="AJ438" i="30" s="1"/>
  <c r="AH209" i="28"/>
  <c r="AH124" i="28"/>
  <c r="AH122" i="28"/>
  <c r="AH38" i="28"/>
  <c r="AH210" i="28"/>
  <c r="AE118" i="28"/>
  <c r="AE113" i="28" s="1"/>
  <c r="AE178" i="28" s="1"/>
  <c r="BJ262" i="29"/>
  <c r="BH262" i="29"/>
  <c r="BD118" i="29"/>
  <c r="BD406" i="29"/>
  <c r="BI80" i="30"/>
  <c r="AX79" i="30"/>
  <c r="AO79" i="30"/>
  <c r="BK80" i="30"/>
  <c r="AZ79" i="30"/>
  <c r="BI262" i="29"/>
  <c r="BG262" i="29"/>
  <c r="BM118" i="29"/>
  <c r="AH406" i="29"/>
  <c r="BE406" i="29"/>
  <c r="BA407" i="29"/>
  <c r="BL407" i="29" s="1"/>
  <c r="AW407" i="29"/>
  <c r="BH407" i="29" s="1"/>
  <c r="AS407" i="29"/>
  <c r="AO407" i="29"/>
  <c r="AK407" i="29"/>
  <c r="AG407" i="29"/>
  <c r="AZ407" i="29"/>
  <c r="BK407" i="29" s="1"/>
  <c r="AV407" i="29"/>
  <c r="BG407" i="29" s="1"/>
  <c r="AR407" i="29"/>
  <c r="AN407" i="29"/>
  <c r="AJ407" i="29"/>
  <c r="AF407" i="29"/>
  <c r="BC407" i="29"/>
  <c r="AY407" i="29"/>
  <c r="BJ407" i="29" s="1"/>
  <c r="AU407" i="29"/>
  <c r="BF407" i="29" s="1"/>
  <c r="AQ407" i="29"/>
  <c r="AM407" i="29"/>
  <c r="AI407" i="29"/>
  <c r="BD407" i="29" s="1"/>
  <c r="AE407" i="29"/>
  <c r="AP407" i="29"/>
  <c r="F408" i="29" a="1"/>
  <c r="F408" i="29" s="1"/>
  <c r="BB407" i="29"/>
  <c r="BM407" i="29" s="1"/>
  <c r="AL407" i="29"/>
  <c r="BO407" i="29"/>
  <c r="AX407" i="29"/>
  <c r="BI407" i="29" s="1"/>
  <c r="AT407" i="29"/>
  <c r="BE407" i="29" s="1"/>
  <c r="BC79" i="30"/>
  <c r="BD80" i="30"/>
  <c r="AI79" i="30"/>
  <c r="BF262" i="29"/>
  <c r="BK262" i="29"/>
  <c r="BI118" i="29"/>
  <c r="BK118" i="29"/>
  <c r="BC119" i="29"/>
  <c r="AY119" i="29"/>
  <c r="BJ119" i="29" s="1"/>
  <c r="AU119" i="29"/>
  <c r="BF119" i="29" s="1"/>
  <c r="AQ119" i="29"/>
  <c r="AM119" i="29"/>
  <c r="AI119" i="29"/>
  <c r="BD119" i="29" s="1"/>
  <c r="AE119" i="29"/>
  <c r="BA119" i="29"/>
  <c r="BL119" i="29" s="1"/>
  <c r="AW119" i="29"/>
  <c r="BH119" i="29" s="1"/>
  <c r="AS119" i="29"/>
  <c r="AO119" i="29"/>
  <c r="AK119" i="29"/>
  <c r="AG119" i="29"/>
  <c r="F120" i="29" a="1"/>
  <c r="F120" i="29" s="1"/>
  <c r="BB119" i="29"/>
  <c r="BM119" i="29" s="1"/>
  <c r="AT119" i="29"/>
  <c r="BE119" i="29" s="1"/>
  <c r="AL119" i="29"/>
  <c r="AZ119" i="29"/>
  <c r="BK119" i="29" s="1"/>
  <c r="AR119" i="29"/>
  <c r="AJ119" i="29"/>
  <c r="BO119" i="29"/>
  <c r="AX119" i="29"/>
  <c r="BI119" i="29" s="1"/>
  <c r="AP119" i="29"/>
  <c r="AV119" i="29"/>
  <c r="BG119" i="29" s="1"/>
  <c r="AN119" i="29"/>
  <c r="AF119" i="29"/>
  <c r="BF118" i="29"/>
  <c r="BL118" i="29"/>
  <c r="BG406" i="29"/>
  <c r="BL406" i="29"/>
  <c r="BI406" i="29"/>
  <c r="BF406" i="29"/>
  <c r="BK97" i="30"/>
  <c r="AH83" i="30"/>
  <c r="AH81" i="30"/>
  <c r="AE79" i="30"/>
  <c r="AF79" i="30"/>
  <c r="BM80" i="30"/>
  <c r="BB79" i="30"/>
  <c r="AS79" i="30"/>
  <c r="BE80" i="30"/>
  <c r="AT79" i="30"/>
  <c r="AH88" i="29"/>
  <c r="AJ367" i="29"/>
  <c r="AJ366" i="29" s="1"/>
  <c r="AH227" i="30"/>
  <c r="BJ80" i="29"/>
  <c r="AY79" i="29"/>
  <c r="AL223" i="29"/>
  <c r="AL222" i="29" s="1"/>
  <c r="AV79" i="29"/>
  <c r="BG80" i="29"/>
  <c r="AZ79" i="29"/>
  <c r="BK80" i="29"/>
  <c r="AK79" i="29"/>
  <c r="AK78" i="29" s="1"/>
  <c r="BI80" i="29"/>
  <c r="AX79" i="29"/>
  <c r="BL368" i="29"/>
  <c r="BA367" i="29"/>
  <c r="BD224" i="29"/>
  <c r="AI223" i="29"/>
  <c r="AN367" i="29"/>
  <c r="AN366" i="29" s="1"/>
  <c r="BC367" i="29"/>
  <c r="BC366" i="29" s="1"/>
  <c r="AH80" i="29"/>
  <c r="AG79" i="29"/>
  <c r="AL367" i="29"/>
  <c r="AL366" i="29" s="1"/>
  <c r="BM224" i="29"/>
  <c r="BB223" i="29"/>
  <c r="AV223" i="30"/>
  <c r="BG224" i="30"/>
  <c r="AN223" i="30"/>
  <c r="AN222" i="30" s="1"/>
  <c r="AN294" i="30" s="1"/>
  <c r="AY223" i="30"/>
  <c r="BJ224" i="30"/>
  <c r="AQ223" i="30"/>
  <c r="AQ222" i="30" s="1"/>
  <c r="AQ294" i="30" s="1"/>
  <c r="BF368" i="30"/>
  <c r="AU367" i="30"/>
  <c r="AP223" i="30"/>
  <c r="AP222" i="30" s="1"/>
  <c r="AP294" i="30" s="1"/>
  <c r="AM367" i="30"/>
  <c r="AM366" i="30" s="1"/>
  <c r="AM438" i="30" s="1"/>
  <c r="AP367" i="30"/>
  <c r="AP366" i="30" s="1"/>
  <c r="AP438" i="30" s="1"/>
  <c r="AI367" i="30"/>
  <c r="BD368" i="30"/>
  <c r="BC223" i="30"/>
  <c r="BC222" i="30" s="1"/>
  <c r="BC294" i="30" s="1"/>
  <c r="AG223" i="30"/>
  <c r="AH224" i="30"/>
  <c r="AN367" i="30"/>
  <c r="AN366" i="30" s="1"/>
  <c r="AN438" i="30" s="1"/>
  <c r="AJ203" i="28"/>
  <c r="AJ198" i="28" s="1"/>
  <c r="AJ263" i="28" s="1"/>
  <c r="AF33" i="28"/>
  <c r="AF28" i="28" s="1"/>
  <c r="AF93" i="28" s="1"/>
  <c r="AK118" i="28"/>
  <c r="AK113" i="28" s="1"/>
  <c r="AK178" i="28" s="1"/>
  <c r="AH125" i="28"/>
  <c r="AH205" i="28"/>
  <c r="AG203" i="28"/>
  <c r="AH35" i="28"/>
  <c r="AG33" i="28"/>
  <c r="AL120" i="28"/>
  <c r="AI118" i="28"/>
  <c r="AL205" i="28"/>
  <c r="AI203" i="28"/>
  <c r="BC293" i="30" l="1"/>
  <c r="BC295" i="30"/>
  <c r="AQ293" i="30"/>
  <c r="AQ295" i="30"/>
  <c r="BD79" i="30"/>
  <c r="BC408" i="29"/>
  <c r="BC405" i="29" s="1"/>
  <c r="BC438" i="29" s="1"/>
  <c r="AY408" i="29"/>
  <c r="BJ408" i="29" s="1"/>
  <c r="AU408" i="29"/>
  <c r="AQ408" i="29"/>
  <c r="AQ405" i="29" s="1"/>
  <c r="AQ438" i="29" s="1"/>
  <c r="AM408" i="29"/>
  <c r="AM405" i="29" s="1"/>
  <c r="AM438" i="29" s="1"/>
  <c r="AI408" i="29"/>
  <c r="BD408" i="29" s="1"/>
  <c r="AE408" i="29"/>
  <c r="AE405" i="29" s="1"/>
  <c r="AE438" i="29" s="1"/>
  <c r="F409" i="29" a="1"/>
  <c r="F409" i="29" s="1"/>
  <c r="F410" i="29" s="1" a="1"/>
  <c r="F410" i="29" s="1"/>
  <c r="F411" i="29" s="1" a="1"/>
  <c r="F411" i="29" s="1"/>
  <c r="F412" i="29" s="1" a="1"/>
  <c r="F412" i="29" s="1"/>
  <c r="F413" i="29" s="1" a="1"/>
  <c r="F413" i="29" s="1"/>
  <c r="F414" i="29" s="1" a="1"/>
  <c r="F414" i="29" s="1"/>
  <c r="F415" i="29" s="1" a="1"/>
  <c r="F415" i="29" s="1"/>
  <c r="F416" i="29" s="1" a="1"/>
  <c r="F416" i="29" s="1"/>
  <c r="F417" i="29" s="1" a="1"/>
  <c r="F417" i="29" s="1"/>
  <c r="F418" i="29" s="1" a="1"/>
  <c r="F418" i="29" s="1"/>
  <c r="F419" i="29" s="1" a="1"/>
  <c r="F419" i="29" s="1"/>
  <c r="F420" i="29" s="1" a="1"/>
  <c r="F420" i="29" s="1"/>
  <c r="F421" i="29" s="1" a="1"/>
  <c r="F421" i="29" s="1"/>
  <c r="F422" i="29" s="1" a="1"/>
  <c r="F422" i="29" s="1"/>
  <c r="F423" i="29" s="1" a="1"/>
  <c r="F423" i="29" s="1"/>
  <c r="BO408" i="29"/>
  <c r="BB408" i="29"/>
  <c r="BM408" i="29" s="1"/>
  <c r="AX408" i="29"/>
  <c r="AT408" i="29"/>
  <c r="BE408" i="29" s="1"/>
  <c r="AP408" i="29"/>
  <c r="AP405" i="29" s="1"/>
  <c r="AP438" i="29" s="1"/>
  <c r="AL408" i="29"/>
  <c r="AL405" i="29" s="1"/>
  <c r="AL438" i="29" s="1"/>
  <c r="BA408" i="29"/>
  <c r="AW408" i="29"/>
  <c r="AS408" i="29"/>
  <c r="AS405" i="29" s="1"/>
  <c r="AS438" i="29" s="1"/>
  <c r="AO408" i="29"/>
  <c r="AO405" i="29" s="1"/>
  <c r="AO438" i="29" s="1"/>
  <c r="AK408" i="29"/>
  <c r="AK405" i="29" s="1"/>
  <c r="AK438" i="29" s="1"/>
  <c r="AG408" i="29"/>
  <c r="AV408" i="29"/>
  <c r="AF408" i="29"/>
  <c r="AF405" i="29" s="1"/>
  <c r="AF438" i="29" s="1"/>
  <c r="AR408" i="29"/>
  <c r="AR405" i="29" s="1"/>
  <c r="AR438" i="29" s="1"/>
  <c r="AN408" i="29"/>
  <c r="AN405" i="29" s="1"/>
  <c r="AN438" i="29" s="1"/>
  <c r="AZ408" i="29"/>
  <c r="BK408" i="29" s="1"/>
  <c r="AJ408" i="29"/>
  <c r="AJ405" i="29" s="1"/>
  <c r="AJ438" i="29" s="1"/>
  <c r="AW366" i="30"/>
  <c r="BH367" i="30"/>
  <c r="AX222" i="30"/>
  <c r="BI223" i="30"/>
  <c r="BA366" i="30"/>
  <c r="BL367" i="30"/>
  <c r="BM367" i="29"/>
  <c r="BB366" i="29"/>
  <c r="AX222" i="29"/>
  <c r="BI223" i="29"/>
  <c r="BH79" i="30"/>
  <c r="BF98" i="30"/>
  <c r="BI98" i="30"/>
  <c r="AJ187" i="28"/>
  <c r="AJ188" i="28"/>
  <c r="AJ185" i="28"/>
  <c r="AJ193" i="28" s="1"/>
  <c r="BJ367" i="30"/>
  <c r="AY366" i="30"/>
  <c r="AE439" i="30"/>
  <c r="AE437" i="30"/>
  <c r="F428" i="30" a="1"/>
  <c r="F428" i="30" s="1"/>
  <c r="AJ427" i="30"/>
  <c r="AK272" i="28"/>
  <c r="AK273" i="28"/>
  <c r="AK270" i="28"/>
  <c r="AK278" i="28" s="1"/>
  <c r="AT222" i="30"/>
  <c r="BE223" i="30"/>
  <c r="BB222" i="30"/>
  <c r="BM223" i="30"/>
  <c r="BK223" i="30"/>
  <c r="AZ222" i="30"/>
  <c r="AR439" i="30"/>
  <c r="AR437" i="30"/>
  <c r="BF79" i="29"/>
  <c r="AU78" i="29"/>
  <c r="BE79" i="29"/>
  <c r="AT78" i="29"/>
  <c r="BK367" i="29"/>
  <c r="AZ366" i="29"/>
  <c r="AJ273" i="28"/>
  <c r="AJ272" i="28"/>
  <c r="AJ270" i="28"/>
  <c r="AJ278" i="28" s="1"/>
  <c r="AM439" i="30"/>
  <c r="AM437" i="30"/>
  <c r="AL203" i="28"/>
  <c r="AI198" i="28"/>
  <c r="AH33" i="28"/>
  <c r="AG28" i="28"/>
  <c r="AN439" i="30"/>
  <c r="AN437" i="30"/>
  <c r="AP295" i="30"/>
  <c r="AP293" i="30"/>
  <c r="BG223" i="30"/>
  <c r="AV222" i="30"/>
  <c r="AG78" i="29"/>
  <c r="AH79" i="29"/>
  <c r="BD223" i="29"/>
  <c r="AI222" i="29"/>
  <c r="BI79" i="29"/>
  <c r="AX78" i="29"/>
  <c r="BK79" i="29"/>
  <c r="AZ78" i="29"/>
  <c r="BJ79" i="29"/>
  <c r="AY78" i="29"/>
  <c r="BM79" i="30"/>
  <c r="AT405" i="29"/>
  <c r="BE405" i="29" s="1"/>
  <c r="AI405" i="29"/>
  <c r="BD405" i="29" s="1"/>
  <c r="AV366" i="30"/>
  <c r="BG367" i="30"/>
  <c r="BG367" i="29"/>
  <c r="AV366" i="29"/>
  <c r="BG79" i="30"/>
  <c r="BJ98" i="30"/>
  <c r="BM98" i="30"/>
  <c r="AE273" i="28"/>
  <c r="AE272" i="28"/>
  <c r="AE270" i="28"/>
  <c r="AE278" i="28" s="1"/>
  <c r="AF272" i="28"/>
  <c r="AF273" i="28"/>
  <c r="AF270" i="28"/>
  <c r="AF278" i="28" s="1"/>
  <c r="AS437" i="30"/>
  <c r="AS439" i="30"/>
  <c r="BH223" i="29"/>
  <c r="AW222" i="29"/>
  <c r="BF223" i="29"/>
  <c r="AU222" i="29"/>
  <c r="BF367" i="29"/>
  <c r="AU366" i="29"/>
  <c r="AX366" i="29"/>
  <c r="BI367" i="29"/>
  <c r="BF79" i="30"/>
  <c r="AF187" i="28"/>
  <c r="AF188" i="28"/>
  <c r="AF185" i="28"/>
  <c r="AF193" i="28" s="1"/>
  <c r="AH118" i="28"/>
  <c r="AG113" i="28"/>
  <c r="AS295" i="30"/>
  <c r="AS293" i="30"/>
  <c r="AF439" i="30"/>
  <c r="AF437" i="30"/>
  <c r="AF293" i="30"/>
  <c r="AF295" i="30"/>
  <c r="AG366" i="29"/>
  <c r="AH367" i="29"/>
  <c r="BD79" i="29"/>
  <c r="AI78" i="29"/>
  <c r="BF367" i="30"/>
  <c r="AU366" i="30"/>
  <c r="BM223" i="29"/>
  <c r="BB222" i="29"/>
  <c r="BE79" i="30"/>
  <c r="BA120" i="29"/>
  <c r="AW120" i="29"/>
  <c r="BH120" i="29" s="1"/>
  <c r="AS120" i="29"/>
  <c r="AS117" i="29" s="1"/>
  <c r="AS150" i="29" s="1"/>
  <c r="AO120" i="29"/>
  <c r="AO117" i="29" s="1"/>
  <c r="AO150" i="29" s="1"/>
  <c r="AK120" i="29"/>
  <c r="AK117" i="29" s="1"/>
  <c r="AG120" i="29"/>
  <c r="BC120" i="29"/>
  <c r="BC117" i="29" s="1"/>
  <c r="BC150" i="29" s="1"/>
  <c r="AY120" i="29"/>
  <c r="BJ120" i="29" s="1"/>
  <c r="AU120" i="29"/>
  <c r="AQ120" i="29"/>
  <c r="AQ117" i="29" s="1"/>
  <c r="AQ150" i="29" s="1"/>
  <c r="AM120" i="29"/>
  <c r="AM117" i="29" s="1"/>
  <c r="AM150" i="29" s="1"/>
  <c r="AI120" i="29"/>
  <c r="BD120" i="29" s="1"/>
  <c r="AE120" i="29"/>
  <c r="AE117" i="29" s="1"/>
  <c r="AE150" i="29" s="1"/>
  <c r="AZ120" i="29"/>
  <c r="BK120" i="29" s="1"/>
  <c r="AR120" i="29"/>
  <c r="AR117" i="29" s="1"/>
  <c r="AR150" i="29" s="1"/>
  <c r="AJ120" i="29"/>
  <c r="AJ117" i="29" s="1"/>
  <c r="AJ150" i="29" s="1"/>
  <c r="BO120" i="29"/>
  <c r="AX120" i="29"/>
  <c r="BI120" i="29" s="1"/>
  <c r="AP120" i="29"/>
  <c r="AP117" i="29" s="1"/>
  <c r="AP150" i="29" s="1"/>
  <c r="AV120" i="29"/>
  <c r="BG120" i="29" s="1"/>
  <c r="AN120" i="29"/>
  <c r="AN117" i="29" s="1"/>
  <c r="AN150" i="29" s="1"/>
  <c r="AF120" i="29"/>
  <c r="AF117" i="29" s="1"/>
  <c r="AF150" i="29" s="1"/>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B120" i="29"/>
  <c r="BM120" i="29" s="1"/>
  <c r="AT120" i="29"/>
  <c r="BE120" i="29" s="1"/>
  <c r="AL120" i="29"/>
  <c r="AL117" i="29" s="1"/>
  <c r="AL150" i="29" s="1"/>
  <c r="BI79" i="30"/>
  <c r="BL223" i="30"/>
  <c r="BA222" i="30"/>
  <c r="BE367" i="30"/>
  <c r="AT366" i="30"/>
  <c r="BI367" i="30"/>
  <c r="AX366" i="30"/>
  <c r="AL437" i="30"/>
  <c r="AL439" i="30"/>
  <c r="BM367" i="30"/>
  <c r="BB366" i="30"/>
  <c r="BH79" i="29"/>
  <c r="AW78" i="29"/>
  <c r="BJ79" i="30"/>
  <c r="AR293" i="30"/>
  <c r="AR295" i="30"/>
  <c r="BH223" i="30"/>
  <c r="AW222" i="30"/>
  <c r="BE367" i="29"/>
  <c r="AT366" i="29"/>
  <c r="BL223" i="29"/>
  <c r="BA222" i="29"/>
  <c r="BJ367" i="29"/>
  <c r="AY366" i="29"/>
  <c r="AH79" i="30"/>
  <c r="BL79" i="30"/>
  <c r="AZ405" i="29"/>
  <c r="BK405" i="29" s="1"/>
  <c r="AO295" i="30"/>
  <c r="AO293" i="30"/>
  <c r="AO437" i="30"/>
  <c r="AO439" i="30"/>
  <c r="BD223" i="30"/>
  <c r="AI222" i="30"/>
  <c r="AM293" i="30"/>
  <c r="AM295" i="30"/>
  <c r="AU222" i="30"/>
  <c r="BF223" i="30"/>
  <c r="BM79" i="29"/>
  <c r="BB78" i="29"/>
  <c r="AK187" i="28"/>
  <c r="AK188" i="28"/>
  <c r="AK185" i="28"/>
  <c r="AK193" i="28" s="1"/>
  <c r="BD367" i="30"/>
  <c r="AI366" i="30"/>
  <c r="AY222" i="30"/>
  <c r="BJ223" i="30"/>
  <c r="AL118" i="28"/>
  <c r="AI113" i="28"/>
  <c r="AH203" i="28"/>
  <c r="AG198" i="28"/>
  <c r="AH223" i="30"/>
  <c r="AG222" i="30"/>
  <c r="AP437" i="30"/>
  <c r="AP439" i="30"/>
  <c r="AN293" i="30"/>
  <c r="AN295" i="30"/>
  <c r="BL367" i="29"/>
  <c r="BA366" i="29"/>
  <c r="AK150" i="29"/>
  <c r="BG79" i="29"/>
  <c r="AV78" i="29"/>
  <c r="AH119" i="29"/>
  <c r="AH407" i="29"/>
  <c r="AG405" i="29"/>
  <c r="BK79" i="30"/>
  <c r="AE188" i="28"/>
  <c r="AE187" i="28"/>
  <c r="AE185" i="28"/>
  <c r="AE193" i="28" s="1"/>
  <c r="AL295" i="30"/>
  <c r="AL293" i="30"/>
  <c r="AH367" i="30"/>
  <c r="AG366" i="30"/>
  <c r="BC439" i="30"/>
  <c r="BC437" i="30"/>
  <c r="AG222" i="29"/>
  <c r="AH223" i="29"/>
  <c r="AV222" i="29"/>
  <c r="BG223" i="29"/>
  <c r="AG117" i="29"/>
  <c r="AH263" i="29"/>
  <c r="BA264" i="29"/>
  <c r="BL264" i="29" s="1"/>
  <c r="AW264" i="29"/>
  <c r="AS264" i="29"/>
  <c r="AS261" i="29" s="1"/>
  <c r="AS294" i="29" s="1"/>
  <c r="AO264" i="29"/>
  <c r="AO261" i="29" s="1"/>
  <c r="AO294" i="29" s="1"/>
  <c r="AK264" i="29"/>
  <c r="AK261" i="29" s="1"/>
  <c r="AK294" i="29" s="1"/>
  <c r="AG264" i="29"/>
  <c r="AZ264" i="29"/>
  <c r="AV264" i="29"/>
  <c r="AR264" i="29"/>
  <c r="AR261" i="29" s="1"/>
  <c r="AR294" i="29" s="1"/>
  <c r="AN264" i="29"/>
  <c r="AN261" i="29" s="1"/>
  <c r="AN294" i="29" s="1"/>
  <c r="AJ264" i="29"/>
  <c r="AJ261" i="29" s="1"/>
  <c r="AF264" i="29"/>
  <c r="AF261" i="29" s="1"/>
  <c r="AF294" i="29" s="1"/>
  <c r="BC264" i="29"/>
  <c r="BC261" i="29" s="1"/>
  <c r="BC294" i="29" s="1"/>
  <c r="AY264" i="29"/>
  <c r="AU264" i="29"/>
  <c r="AQ264" i="29"/>
  <c r="AQ261" i="29" s="1"/>
  <c r="AQ294" i="29" s="1"/>
  <c r="AM264" i="29"/>
  <c r="AM261" i="29" s="1"/>
  <c r="AM294" i="29" s="1"/>
  <c r="AI264" i="29"/>
  <c r="BD264" i="29" s="1"/>
  <c r="AE264" i="29"/>
  <c r="AE261" i="29" s="1"/>
  <c r="AE294" i="29" s="1"/>
  <c r="BO264" i="29"/>
  <c r="AX264" i="29"/>
  <c r="AT264" i="29"/>
  <c r="BE264" i="29" s="1"/>
  <c r="AP264" i="29"/>
  <c r="AP261" i="29" s="1"/>
  <c r="AP294"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BB264" i="29"/>
  <c r="BM264" i="29" s="1"/>
  <c r="AL264" i="29"/>
  <c r="AL261" i="29" s="1"/>
  <c r="AL294" i="29" s="1"/>
  <c r="BO99" i="30"/>
  <c r="BB99" i="30"/>
  <c r="BM99" i="30" s="1"/>
  <c r="AX99" i="30"/>
  <c r="BI99" i="30" s="1"/>
  <c r="AT99" i="30"/>
  <c r="AP99" i="30"/>
  <c r="AL99" i="30"/>
  <c r="BA99" i="30"/>
  <c r="AW99" i="30"/>
  <c r="BH99" i="30" s="1"/>
  <c r="AS99" i="30"/>
  <c r="AO99" i="30"/>
  <c r="AK99" i="30"/>
  <c r="AG99" i="30"/>
  <c r="BC99" i="30"/>
  <c r="AY99" i="30"/>
  <c r="BJ99" i="30" s="1"/>
  <c r="AU99" i="30"/>
  <c r="BF99" i="30" s="1"/>
  <c r="AQ99" i="30"/>
  <c r="AM99" i="30"/>
  <c r="AI99" i="30"/>
  <c r="BD99" i="30" s="1"/>
  <c r="AE99" i="30"/>
  <c r="AN99" i="30"/>
  <c r="F100" i="30" a="1"/>
  <c r="F100" i="30" s="1"/>
  <c r="AZ99" i="30"/>
  <c r="AJ99" i="30"/>
  <c r="AV99" i="30"/>
  <c r="BG99" i="30" s="1"/>
  <c r="AF99" i="30"/>
  <c r="AR99" i="30"/>
  <c r="AH98" i="30"/>
  <c r="BB405" i="29"/>
  <c r="BM405" i="29" s="1"/>
  <c r="AE293" i="30"/>
  <c r="AE295" i="30"/>
  <c r="AQ439" i="30"/>
  <c r="AQ437" i="30"/>
  <c r="BK223" i="29"/>
  <c r="AZ222" i="29"/>
  <c r="BH367" i="29"/>
  <c r="AW366" i="29"/>
  <c r="BL79" i="29"/>
  <c r="BA78" i="29"/>
  <c r="BJ223" i="29"/>
  <c r="AY222" i="29"/>
  <c r="AT284" i="30"/>
  <c r="F285" i="30" a="1"/>
  <c r="F285" i="30" s="1"/>
  <c r="AJ284" i="30"/>
  <c r="BO284" i="30"/>
  <c r="AL33" i="28"/>
  <c r="AI28" i="28"/>
  <c r="AZ366" i="30"/>
  <c r="BK367" i="30"/>
  <c r="AK437" i="30"/>
  <c r="AK439" i="30"/>
  <c r="AK295" i="30"/>
  <c r="AK293" i="30"/>
  <c r="AJ294" i="29"/>
  <c r="BD367" i="29"/>
  <c r="AI366" i="29"/>
  <c r="BE223" i="29"/>
  <c r="AT222" i="29"/>
  <c r="AY405" i="29" l="1"/>
  <c r="BJ405" i="29" s="1"/>
  <c r="BB117" i="29"/>
  <c r="BM117" i="29" s="1"/>
  <c r="AY117" i="29"/>
  <c r="BJ117" i="29" s="1"/>
  <c r="AX117" i="29"/>
  <c r="BI117" i="29" s="1"/>
  <c r="AS295" i="29"/>
  <c r="AS293" i="29"/>
  <c r="AR151" i="29"/>
  <c r="AR149" i="29"/>
  <c r="BC151" i="29"/>
  <c r="BC149" i="29"/>
  <c r="AR439" i="29"/>
  <c r="AR437" i="29"/>
  <c r="AL295" i="29"/>
  <c r="AL293" i="29"/>
  <c r="AN293" i="29"/>
  <c r="AN295" i="29"/>
  <c r="AL149" i="29"/>
  <c r="AL151" i="29"/>
  <c r="AF151" i="29"/>
  <c r="AF149" i="29"/>
  <c r="AQ151" i="29"/>
  <c r="AQ149" i="29"/>
  <c r="AF439" i="29"/>
  <c r="AF437" i="29"/>
  <c r="AO439" i="29"/>
  <c r="AO437" i="29"/>
  <c r="AL437" i="29"/>
  <c r="AL439" i="29"/>
  <c r="AM151" i="29"/>
  <c r="AM149" i="29"/>
  <c r="AS151" i="29"/>
  <c r="AS149" i="29"/>
  <c r="AM293" i="29"/>
  <c r="AM295" i="29"/>
  <c r="BC293" i="29"/>
  <c r="BC295" i="29"/>
  <c r="AR293" i="29"/>
  <c r="AR295" i="29"/>
  <c r="AK295" i="29"/>
  <c r="AK293" i="29"/>
  <c r="AN151" i="29"/>
  <c r="AN149" i="29"/>
  <c r="AE151" i="29"/>
  <c r="AE149" i="29"/>
  <c r="AS439" i="29"/>
  <c r="AS437" i="29"/>
  <c r="AP437" i="29"/>
  <c r="AP439" i="29"/>
  <c r="AM437" i="29"/>
  <c r="AM439" i="29"/>
  <c r="BC437" i="29"/>
  <c r="BC439" i="29"/>
  <c r="AP295" i="29"/>
  <c r="AP293" i="29"/>
  <c r="AP149" i="29"/>
  <c r="AP151" i="29"/>
  <c r="AQ293" i="29"/>
  <c r="AQ295" i="29"/>
  <c r="AF293" i="29"/>
  <c r="AF295" i="29"/>
  <c r="AO295" i="29"/>
  <c r="AO293" i="29"/>
  <c r="AJ149" i="29"/>
  <c r="AO149" i="29"/>
  <c r="AO151" i="29"/>
  <c r="AN439" i="29"/>
  <c r="AN437" i="29"/>
  <c r="AQ437" i="29"/>
  <c r="AQ439" i="29"/>
  <c r="AE293" i="29"/>
  <c r="AE295" i="29"/>
  <c r="AJ285" i="30"/>
  <c r="F286" i="30" a="1"/>
  <c r="F286" i="30" s="1"/>
  <c r="F287" i="30" s="1" a="1"/>
  <c r="F287" i="30" s="1"/>
  <c r="BO285" i="30"/>
  <c r="AT285" i="30"/>
  <c r="BJ222" i="29"/>
  <c r="BH366" i="29"/>
  <c r="AH99" i="30"/>
  <c r="BE99" i="30"/>
  <c r="BJ264" i="29"/>
  <c r="AY261" i="29"/>
  <c r="BJ261" i="29" s="1"/>
  <c r="AH264" i="29"/>
  <c r="BH264" i="29"/>
  <c r="AW261" i="29"/>
  <c r="BH261" i="29" s="1"/>
  <c r="AH405" i="29"/>
  <c r="BG78" i="29"/>
  <c r="AG263" i="28"/>
  <c r="AH198" i="28"/>
  <c r="BB261" i="29"/>
  <c r="BM261" i="29" s="1"/>
  <c r="BM366" i="30"/>
  <c r="BB438" i="30"/>
  <c r="BI366" i="30"/>
  <c r="AX438" i="30"/>
  <c r="BL222" i="30"/>
  <c r="BA294" i="30"/>
  <c r="BF366" i="30"/>
  <c r="AU438" i="30"/>
  <c r="AW117" i="29"/>
  <c r="BH117" i="29" s="1"/>
  <c r="BG366" i="30"/>
  <c r="AV438" i="30"/>
  <c r="BJ78" i="29"/>
  <c r="BI78" i="29"/>
  <c r="AX150" i="29"/>
  <c r="AG93" i="28"/>
  <c r="AH93" i="28" s="1"/>
  <c r="AH28" i="28"/>
  <c r="BE222" i="30"/>
  <c r="AT294" i="30"/>
  <c r="F429" i="30" a="1"/>
  <c r="F429" i="30" s="1"/>
  <c r="AT428" i="30"/>
  <c r="AJ428" i="30"/>
  <c r="BI222" i="29"/>
  <c r="AK439" i="29"/>
  <c r="AK437" i="29"/>
  <c r="BI222" i="30"/>
  <c r="AX294" i="30"/>
  <c r="AI117" i="29"/>
  <c r="BD117" i="29" s="1"/>
  <c r="BL408" i="29"/>
  <c r="BA405" i="29"/>
  <c r="BL405" i="29" s="1"/>
  <c r="BI408" i="29"/>
  <c r="AX405" i="29"/>
  <c r="BI405" i="29" s="1"/>
  <c r="BF408" i="29"/>
  <c r="AU405" i="29"/>
  <c r="BF405" i="29" s="1"/>
  <c r="BL99" i="30"/>
  <c r="BI264" i="29"/>
  <c r="AX261" i="29"/>
  <c r="BI261" i="29" s="1"/>
  <c r="BJ222" i="30"/>
  <c r="AY294" i="30"/>
  <c r="AI294" i="30"/>
  <c r="BD222" i="30"/>
  <c r="BE366" i="29"/>
  <c r="AT438" i="29"/>
  <c r="F136" i="29" a="1"/>
  <c r="F136" i="29" s="1"/>
  <c r="F137" i="29" s="1" a="1"/>
  <c r="F137" i="29" s="1"/>
  <c r="BO135" i="29"/>
  <c r="AJ135" i="29"/>
  <c r="AJ151" i="29" s="1"/>
  <c r="BI366" i="29"/>
  <c r="BF222" i="29"/>
  <c r="AE437" i="29"/>
  <c r="AE439" i="29"/>
  <c r="AH78" i="29"/>
  <c r="AG150" i="29"/>
  <c r="BK366" i="29"/>
  <c r="AZ438" i="29"/>
  <c r="BF78" i="29"/>
  <c r="AT261" i="29"/>
  <c r="BE261" i="29" s="1"/>
  <c r="BJ366" i="30"/>
  <c r="AY438" i="30"/>
  <c r="AZ117" i="29"/>
  <c r="BK117" i="29" s="1"/>
  <c r="BD366" i="29"/>
  <c r="AI438" i="29"/>
  <c r="BK366" i="30"/>
  <c r="AZ438" i="30"/>
  <c r="BE222" i="29"/>
  <c r="AI93" i="28"/>
  <c r="AL93" i="28" s="1"/>
  <c r="AL28" i="28"/>
  <c r="BL78" i="29"/>
  <c r="BK222" i="29"/>
  <c r="BK99" i="30"/>
  <c r="F280" i="29" a="1"/>
  <c r="F280" i="29" s="1"/>
  <c r="F281" i="29" s="1" a="1"/>
  <c r="F281" i="29" s="1"/>
  <c r="BO279" i="29"/>
  <c r="AJ279" i="29"/>
  <c r="AJ293" i="29" s="1"/>
  <c r="BG264" i="29"/>
  <c r="AV261" i="29"/>
  <c r="BG261" i="29" s="1"/>
  <c r="AH366" i="30"/>
  <c r="AG438" i="30"/>
  <c r="AK151" i="29"/>
  <c r="AK149" i="29"/>
  <c r="AH222" i="30"/>
  <c r="AG294" i="30"/>
  <c r="AI178" i="28"/>
  <c r="AL113" i="28"/>
  <c r="AI438" i="30"/>
  <c r="BD366" i="30"/>
  <c r="BM78" i="29"/>
  <c r="BB150" i="29"/>
  <c r="BF222" i="30"/>
  <c r="AU294" i="30"/>
  <c r="BE366" i="30"/>
  <c r="AT438" i="30"/>
  <c r="AH120" i="29"/>
  <c r="BM222" i="29"/>
  <c r="BD78" i="29"/>
  <c r="AH366" i="29"/>
  <c r="AG438" i="29"/>
  <c r="AH113" i="28"/>
  <c r="AG178" i="28"/>
  <c r="BK78" i="29"/>
  <c r="AZ150" i="29"/>
  <c r="BD222" i="29"/>
  <c r="BG222" i="30"/>
  <c r="AV294" i="30"/>
  <c r="AL198" i="28"/>
  <c r="AI263" i="28"/>
  <c r="BM222" i="30"/>
  <c r="BB294" i="30"/>
  <c r="BA261" i="29"/>
  <c r="BL261" i="29" s="1"/>
  <c r="AV117" i="29"/>
  <c r="BG117" i="29" s="1"/>
  <c r="BM366" i="29"/>
  <c r="BB438" i="29"/>
  <c r="BL366" i="30"/>
  <c r="BA438" i="30"/>
  <c r="BH366" i="30"/>
  <c r="AW438" i="30"/>
  <c r="BG408" i="29"/>
  <c r="AV405" i="29"/>
  <c r="BG405" i="29" s="1"/>
  <c r="BO100" i="30"/>
  <c r="BB100" i="30"/>
  <c r="BM100" i="30" s="1"/>
  <c r="AX100" i="30"/>
  <c r="BI100" i="30" s="1"/>
  <c r="AT100" i="30"/>
  <c r="BE100" i="30" s="1"/>
  <c r="AP100" i="30"/>
  <c r="AL100" i="30"/>
  <c r="BA100" i="30"/>
  <c r="BL100" i="30" s="1"/>
  <c r="AW100" i="30"/>
  <c r="BH100" i="30" s="1"/>
  <c r="AS100" i="30"/>
  <c r="AO100" i="30"/>
  <c r="AK100" i="30"/>
  <c r="AG100" i="30"/>
  <c r="BC100" i="30"/>
  <c r="AY100" i="30"/>
  <c r="BJ100" i="30" s="1"/>
  <c r="AU100" i="30"/>
  <c r="BF100" i="30" s="1"/>
  <c r="AQ100" i="30"/>
  <c r="AM100" i="30"/>
  <c r="AI100" i="30"/>
  <c r="BD100" i="30" s="1"/>
  <c r="AE100" i="30"/>
  <c r="AV100" i="30"/>
  <c r="BG100" i="30" s="1"/>
  <c r="AF100" i="30"/>
  <c r="AR100" i="30"/>
  <c r="AN100" i="30"/>
  <c r="F101" i="30" a="1"/>
  <c r="F101" i="30" s="1"/>
  <c r="AZ100" i="30"/>
  <c r="BK100" i="30" s="1"/>
  <c r="AJ100" i="30"/>
  <c r="BF264" i="29"/>
  <c r="AU261" i="29"/>
  <c r="BF261" i="29" s="1"/>
  <c r="BK264" i="29"/>
  <c r="AZ261" i="29"/>
  <c r="BK261" i="29" s="1"/>
  <c r="AH117" i="29"/>
  <c r="BG222" i="29"/>
  <c r="AV294" i="29"/>
  <c r="AH222" i="29"/>
  <c r="BL366" i="29"/>
  <c r="BJ366" i="29"/>
  <c r="AY438" i="29"/>
  <c r="BL222" i="29"/>
  <c r="BH222" i="30"/>
  <c r="AW294" i="30"/>
  <c r="AI261" i="29"/>
  <c r="BD261" i="29" s="1"/>
  <c r="BH78" i="29"/>
  <c r="AW150" i="29"/>
  <c r="BF120" i="29"/>
  <c r="AU117" i="29"/>
  <c r="BF117" i="29" s="1"/>
  <c r="BL120" i="29"/>
  <c r="BA117" i="29"/>
  <c r="BL117" i="29" s="1"/>
  <c r="AT117" i="29"/>
  <c r="BE117" i="29" s="1"/>
  <c r="BF366" i="29"/>
  <c r="AU438" i="29"/>
  <c r="BH222" i="29"/>
  <c r="BG366" i="29"/>
  <c r="AV438" i="29"/>
  <c r="BE78" i="29"/>
  <c r="BK222" i="30"/>
  <c r="AZ294" i="30"/>
  <c r="AH408" i="29"/>
  <c r="BH408" i="29"/>
  <c r="AW405" i="29"/>
  <c r="BH405" i="29" s="1"/>
  <c r="F424" i="29" a="1"/>
  <c r="F424" i="29" s="1"/>
  <c r="F425" i="29" s="1" a="1"/>
  <c r="F425" i="29" s="1"/>
  <c r="BO423" i="29"/>
  <c r="AJ423" i="29"/>
  <c r="AJ439" i="29" s="1"/>
  <c r="AG261" i="29"/>
  <c r="AH261" i="29" s="1"/>
  <c r="AT150" i="29" l="1"/>
  <c r="AI150" i="29"/>
  <c r="AW294" i="29"/>
  <c r="AY150" i="29"/>
  <c r="BJ150" i="29" s="1"/>
  <c r="BB294" i="29"/>
  <c r="BB295" i="29" s="1"/>
  <c r="BM295" i="29" s="1"/>
  <c r="AT294" i="29"/>
  <c r="BA438" i="29"/>
  <c r="BL438" i="29" s="1"/>
  <c r="AX294" i="29"/>
  <c r="AX295" i="29" s="1"/>
  <c r="BI295" i="29" s="1"/>
  <c r="AW437" i="30"/>
  <c r="BH438" i="30"/>
  <c r="AW439" i="30"/>
  <c r="BB437" i="29"/>
  <c r="BM438" i="29"/>
  <c r="BB439" i="29"/>
  <c r="BM439" i="29" s="1"/>
  <c r="AH178" i="28"/>
  <c r="AG187" i="28"/>
  <c r="AH187" i="28" s="1"/>
  <c r="AG188" i="28"/>
  <c r="AG185" i="28"/>
  <c r="BD150" i="29"/>
  <c r="AI151" i="29"/>
  <c r="BD151" i="29" s="1"/>
  <c r="AI149" i="29"/>
  <c r="AU293" i="30"/>
  <c r="BF294" i="30"/>
  <c r="AU295" i="30"/>
  <c r="AG295" i="30"/>
  <c r="AH294" i="30"/>
  <c r="AH295" i="30" s="1"/>
  <c r="AG293" i="30"/>
  <c r="AH293" i="30" s="1"/>
  <c r="AH438" i="30"/>
  <c r="AH439" i="30" s="1"/>
  <c r="AG437" i="30"/>
  <c r="AH437" i="30" s="1"/>
  <c r="AG439" i="30"/>
  <c r="BL294" i="30"/>
  <c r="BA295" i="30"/>
  <c r="BA293" i="30"/>
  <c r="BB437" i="30"/>
  <c r="BM438" i="30"/>
  <c r="BB439" i="30"/>
  <c r="BM439" i="30" s="1"/>
  <c r="AH263" i="28"/>
  <c r="AG272" i="28"/>
  <c r="AH272" i="28" s="1"/>
  <c r="AG273" i="28"/>
  <c r="AG270" i="28"/>
  <c r="AW438" i="29"/>
  <c r="AJ437" i="29"/>
  <c r="AX295" i="30"/>
  <c r="AX293" i="30"/>
  <c r="BI294" i="30"/>
  <c r="AZ293" i="30"/>
  <c r="BK294" i="30"/>
  <c r="AZ295" i="30"/>
  <c r="BK295" i="30" s="1"/>
  <c r="AU437" i="29"/>
  <c r="BF438" i="29"/>
  <c r="AU439" i="29"/>
  <c r="BF439" i="29" s="1"/>
  <c r="BA439" i="29"/>
  <c r="BL439" i="29" s="1"/>
  <c r="AV293" i="29"/>
  <c r="BG294" i="29"/>
  <c r="AV295" i="29"/>
  <c r="BG295" i="29" s="1"/>
  <c r="BB295" i="30"/>
  <c r="BM295" i="30" s="1"/>
  <c r="BB293" i="30"/>
  <c r="BM294" i="30"/>
  <c r="AV293" i="30"/>
  <c r="BG294" i="30"/>
  <c r="AV295" i="30"/>
  <c r="AZ151" i="29"/>
  <c r="BK151" i="29" s="1"/>
  <c r="AZ149" i="29"/>
  <c r="BK150" i="29"/>
  <c r="BE438" i="30"/>
  <c r="AI439" i="30"/>
  <c r="BD438" i="30"/>
  <c r="AI437" i="30"/>
  <c r="BK438" i="29"/>
  <c r="AZ439" i="29"/>
  <c r="BK439" i="29" s="1"/>
  <c r="AZ437" i="29"/>
  <c r="AX438" i="29"/>
  <c r="F430" i="30" a="1"/>
  <c r="F430" i="30" s="1"/>
  <c r="F431" i="30" s="1" a="1"/>
  <c r="F431" i="30" s="1"/>
  <c r="BO429" i="30"/>
  <c r="AT429" i="30"/>
  <c r="AJ429" i="30"/>
  <c r="AV150" i="29"/>
  <c r="BG438" i="29"/>
  <c r="AV439" i="29"/>
  <c r="BG439" i="29" s="1"/>
  <c r="AV437" i="29"/>
  <c r="BA294" i="29"/>
  <c r="BO101" i="30"/>
  <c r="BB101" i="30"/>
  <c r="BM101" i="30" s="1"/>
  <c r="AX101" i="30"/>
  <c r="BI101" i="30" s="1"/>
  <c r="AT101" i="30"/>
  <c r="BE101" i="30" s="1"/>
  <c r="AP101" i="30"/>
  <c r="AL101" i="30"/>
  <c r="BA101" i="30"/>
  <c r="BL101" i="30" s="1"/>
  <c r="AW101" i="30"/>
  <c r="BH101" i="30" s="1"/>
  <c r="AS101" i="30"/>
  <c r="AO101" i="30"/>
  <c r="AK101" i="30"/>
  <c r="AG101" i="30"/>
  <c r="BC101" i="30"/>
  <c r="AY101" i="30"/>
  <c r="BJ101" i="30" s="1"/>
  <c r="AU101" i="30"/>
  <c r="BF101" i="30" s="1"/>
  <c r="AQ101" i="30"/>
  <c r="AM101" i="30"/>
  <c r="AI101" i="30"/>
  <c r="BD101" i="30" s="1"/>
  <c r="AE101" i="30"/>
  <c r="AN101" i="30"/>
  <c r="F102" i="30" a="1"/>
  <c r="F102" i="30" s="1"/>
  <c r="AZ101" i="30"/>
  <c r="BK101" i="30" s="1"/>
  <c r="AJ101" i="30"/>
  <c r="AV101" i="30"/>
  <c r="BG101" i="30" s="1"/>
  <c r="AF101" i="30"/>
  <c r="AR101" i="30"/>
  <c r="AH100" i="30"/>
  <c r="BA437" i="30"/>
  <c r="BL438" i="30"/>
  <c r="BA439" i="30"/>
  <c r="BL439" i="30" s="1"/>
  <c r="AG439" i="29"/>
  <c r="AH438" i="29"/>
  <c r="AH439" i="29" s="1"/>
  <c r="AG437" i="29"/>
  <c r="AH437" i="29" s="1"/>
  <c r="BB149" i="29"/>
  <c r="BB151" i="29"/>
  <c r="BM151" i="29" s="1"/>
  <c r="BM150" i="29"/>
  <c r="AZ294" i="29"/>
  <c r="AZ439" i="30"/>
  <c r="AZ437" i="30"/>
  <c r="BK438" i="30"/>
  <c r="AT137" i="29"/>
  <c r="F138" i="29" a="1"/>
  <c r="F138" i="29" s="1"/>
  <c r="BO137" i="29"/>
  <c r="AJ137" i="29"/>
  <c r="BD294" i="30"/>
  <c r="AI293" i="30"/>
  <c r="AI295" i="30"/>
  <c r="BE294" i="30"/>
  <c r="AX149" i="29"/>
  <c r="AX151" i="29"/>
  <c r="BI151" i="29" s="1"/>
  <c r="BI150" i="29"/>
  <c r="AV439" i="30"/>
  <c r="BG439" i="30" s="1"/>
  <c r="AV437" i="30"/>
  <c r="BG438" i="30"/>
  <c r="BF438" i="30"/>
  <c r="AU439" i="30"/>
  <c r="AU437" i="30"/>
  <c r="AX437" i="30"/>
  <c r="BI438" i="30"/>
  <c r="AX439" i="30"/>
  <c r="AY294" i="29"/>
  <c r="F288" i="30" a="1"/>
  <c r="F288" i="30" s="1"/>
  <c r="F289" i="30" s="1" a="1"/>
  <c r="F289" i="30" s="1"/>
  <c r="BO287" i="30"/>
  <c r="AJ295" i="29"/>
  <c r="BH150" i="29"/>
  <c r="AW149" i="29"/>
  <c r="AW151" i="29"/>
  <c r="BH151" i="29" s="1"/>
  <c r="BA150" i="29"/>
  <c r="AI437" i="29"/>
  <c r="AI439" i="29"/>
  <c r="BD438" i="29"/>
  <c r="F426" i="29" a="1"/>
  <c r="F426" i="29" s="1"/>
  <c r="BO425" i="29"/>
  <c r="AT425" i="29"/>
  <c r="AJ425" i="29"/>
  <c r="AT149" i="29"/>
  <c r="BE150" i="29"/>
  <c r="BH294" i="29"/>
  <c r="AW295" i="29"/>
  <c r="BH295" i="29" s="1"/>
  <c r="AW293" i="29"/>
  <c r="BH294" i="30"/>
  <c r="AW295" i="30"/>
  <c r="BH295" i="30" s="1"/>
  <c r="AW293" i="30"/>
  <c r="AY437" i="29"/>
  <c r="BJ438" i="29"/>
  <c r="AY439" i="29"/>
  <c r="BJ439" i="29" s="1"/>
  <c r="AG294" i="29"/>
  <c r="AL263" i="28"/>
  <c r="AI272" i="28"/>
  <c r="AI273" i="28"/>
  <c r="AL273" i="28" s="1"/>
  <c r="AI270" i="28"/>
  <c r="AI278" i="28" s="1"/>
  <c r="AI294" i="29"/>
  <c r="AL178" i="28"/>
  <c r="AI187" i="28"/>
  <c r="AI188" i="28"/>
  <c r="AL188" i="28" s="1"/>
  <c r="AI185" i="28"/>
  <c r="AI193" i="28" s="1"/>
  <c r="AT281" i="29"/>
  <c r="AJ281" i="29"/>
  <c r="F282" i="29" a="1"/>
  <c r="F282" i="29" s="1"/>
  <c r="BO281" i="29"/>
  <c r="BJ438" i="30"/>
  <c r="AY439" i="30"/>
  <c r="BJ439" i="30" s="1"/>
  <c r="AY437" i="30"/>
  <c r="AU150" i="29"/>
  <c r="AH150" i="29"/>
  <c r="AH151" i="29" s="1"/>
  <c r="AG149" i="29"/>
  <c r="AH149" i="29" s="1"/>
  <c r="AG151" i="29"/>
  <c r="AU294" i="29"/>
  <c r="BE294" i="29" s="1"/>
  <c r="BE438" i="29"/>
  <c r="AY293" i="30"/>
  <c r="BJ294" i="30"/>
  <c r="AY295" i="30"/>
  <c r="BJ295" i="30" s="1"/>
  <c r="AY149" i="29" l="1"/>
  <c r="AY151" i="29"/>
  <c r="BJ151" i="29" s="1"/>
  <c r="BM294" i="29"/>
  <c r="BB293" i="29"/>
  <c r="BA437" i="29"/>
  <c r="BI294" i="29"/>
  <c r="BF439" i="30"/>
  <c r="AX293" i="29"/>
  <c r="F283" i="29" a="1"/>
  <c r="F283" i="29" s="1"/>
  <c r="BO282" i="29"/>
  <c r="AT282" i="29"/>
  <c r="AJ282" i="29"/>
  <c r="AG295" i="29"/>
  <c r="AH294" i="29"/>
  <c r="AH295" i="29" s="1"/>
  <c r="AG293" i="29"/>
  <c r="AH293" i="29" s="1"/>
  <c r="AJ426" i="29"/>
  <c r="F427" i="29" a="1"/>
  <c r="F427" i="29" s="1"/>
  <c r="BO426" i="29"/>
  <c r="AT426" i="29"/>
  <c r="AZ293" i="29"/>
  <c r="BK294" i="29"/>
  <c r="AZ295" i="29"/>
  <c r="BK295" i="29" s="1"/>
  <c r="AH101" i="30"/>
  <c r="BL294" i="29"/>
  <c r="BA295" i="29"/>
  <c r="BL295" i="29" s="1"/>
  <c r="BA293" i="29"/>
  <c r="AW439" i="29"/>
  <c r="BH439" i="29" s="1"/>
  <c r="AW437" i="29"/>
  <c r="BH438" i="29"/>
  <c r="BF295" i="30"/>
  <c r="F290" i="30" a="1"/>
  <c r="F290" i="30" s="1"/>
  <c r="BO289" i="30"/>
  <c r="AT289" i="30"/>
  <c r="AJ289" i="30"/>
  <c r="AV151" i="29"/>
  <c r="BG151" i="29" s="1"/>
  <c r="AV149" i="29"/>
  <c r="BG150" i="29"/>
  <c r="F432" i="30" a="1"/>
  <c r="F432" i="30" s="1"/>
  <c r="F433" i="30" s="1" a="1"/>
  <c r="F433" i="30" s="1"/>
  <c r="BO431" i="30"/>
  <c r="AH270" i="28"/>
  <c r="AG278" i="28"/>
  <c r="AH278" i="28" s="1"/>
  <c r="AH273" i="28" s="1"/>
  <c r="BL295" i="30"/>
  <c r="BH439" i="30"/>
  <c r="AY293" i="29"/>
  <c r="BJ294" i="29"/>
  <c r="AY295" i="29"/>
  <c r="BJ295" i="29" s="1"/>
  <c r="AX437" i="29"/>
  <c r="BI438" i="29"/>
  <c r="AX439" i="29"/>
  <c r="BI439" i="29" s="1"/>
  <c r="BI295" i="30"/>
  <c r="AH185" i="28"/>
  <c r="AG193" i="28"/>
  <c r="AH193" i="28" s="1"/>
  <c r="AH188" i="28" s="1"/>
  <c r="AU293" i="29"/>
  <c r="BF294" i="29"/>
  <c r="AU295" i="29"/>
  <c r="BF295" i="29" s="1"/>
  <c r="BF150" i="29"/>
  <c r="AU151" i="29"/>
  <c r="BF151" i="29" s="1"/>
  <c r="AU149" i="29"/>
  <c r="BD294" i="29"/>
  <c r="AI293" i="29"/>
  <c r="AI295" i="29"/>
  <c r="BL150" i="29"/>
  <c r="BA151" i="29"/>
  <c r="BL151" i="29" s="1"/>
  <c r="BA149" i="29"/>
  <c r="BI439" i="30"/>
  <c r="F139" i="29" a="1"/>
  <c r="F139" i="29" s="1"/>
  <c r="BO138" i="29"/>
  <c r="AJ138" i="29"/>
  <c r="AT138" i="29"/>
  <c r="BK439" i="30"/>
  <c r="BO102" i="30"/>
  <c r="BB102" i="30"/>
  <c r="AX102" i="30"/>
  <c r="AT102" i="30"/>
  <c r="AP102" i="30"/>
  <c r="AP92" i="30" s="1"/>
  <c r="AL102" i="30"/>
  <c r="AL92" i="30" s="1"/>
  <c r="BA102" i="30"/>
  <c r="AW102" i="30"/>
  <c r="AS102" i="30"/>
  <c r="AS92" i="30" s="1"/>
  <c r="AO102" i="30"/>
  <c r="AO92" i="30" s="1"/>
  <c r="AK102" i="30"/>
  <c r="AK92" i="30" s="1"/>
  <c r="AG102" i="30"/>
  <c r="BC102" i="30"/>
  <c r="BC92" i="30" s="1"/>
  <c r="AY102" i="30"/>
  <c r="AU102" i="30"/>
  <c r="AQ102" i="30"/>
  <c r="AQ92" i="30" s="1"/>
  <c r="AM102" i="30"/>
  <c r="AM92" i="30" s="1"/>
  <c r="AI102" i="30"/>
  <c r="AE102" i="30"/>
  <c r="AE92" i="30" s="1"/>
  <c r="AV102" i="30"/>
  <c r="AF102" i="30"/>
  <c r="AF92" i="30" s="1"/>
  <c r="AR102" i="30"/>
  <c r="AR92" i="30" s="1"/>
  <c r="AN102" i="30"/>
  <c r="AN92" i="30" s="1"/>
  <c r="F103" i="30" a="1"/>
  <c r="F103" i="30" s="1"/>
  <c r="F104" i="30" s="1" a="1"/>
  <c r="F104" i="30" s="1"/>
  <c r="AZ102" i="30"/>
  <c r="AJ102" i="30"/>
  <c r="AJ92" i="30" s="1"/>
  <c r="BG295" i="30"/>
  <c r="BM102" i="30" l="1"/>
  <c r="BB92" i="30"/>
  <c r="AJ290" i="30"/>
  <c r="F291" i="30" a="1"/>
  <c r="F291" i="30" s="1"/>
  <c r="BO290" i="30"/>
  <c r="AT290" i="30"/>
  <c r="BJ102" i="30"/>
  <c r="AY92" i="30"/>
  <c r="F434" i="30" a="1"/>
  <c r="F434" i="30" s="1"/>
  <c r="BO433" i="30"/>
  <c r="AT433" i="30"/>
  <c r="AJ433" i="30"/>
  <c r="BD102" i="30"/>
  <c r="AI92" i="30"/>
  <c r="BC104" i="30"/>
  <c r="AY104" i="30"/>
  <c r="BJ104" i="30" s="1"/>
  <c r="AU104" i="30"/>
  <c r="BF104" i="30" s="1"/>
  <c r="AQ104" i="30"/>
  <c r="AM104" i="30"/>
  <c r="AI104" i="30"/>
  <c r="BD104" i="30" s="1"/>
  <c r="AE104" i="30"/>
  <c r="BO104" i="30"/>
  <c r="BB104" i="30"/>
  <c r="BM104" i="30" s="1"/>
  <c r="AX104" i="30"/>
  <c r="BI104" i="30" s="1"/>
  <c r="AT104" i="30"/>
  <c r="BE104" i="30" s="1"/>
  <c r="AP104" i="30"/>
  <c r="AL104" i="30"/>
  <c r="AZ104" i="30"/>
  <c r="BK104" i="30" s="1"/>
  <c r="AV104" i="30"/>
  <c r="BG104" i="30" s="1"/>
  <c r="AR104" i="30"/>
  <c r="AN104" i="30"/>
  <c r="AJ104" i="30"/>
  <c r="AF104" i="30"/>
  <c r="AF78" i="30" s="1"/>
  <c r="F105" i="30" a="1"/>
  <c r="F105" i="30" s="1"/>
  <c r="F106" i="30" s="1" a="1"/>
  <c r="F106" i="30" s="1"/>
  <c r="AO104" i="30"/>
  <c r="BA104" i="30"/>
  <c r="BL104" i="30" s="1"/>
  <c r="AK104" i="30"/>
  <c r="AW104" i="30"/>
  <c r="BH104" i="30" s="1"/>
  <c r="AG104" i="30"/>
  <c r="AS104" i="30"/>
  <c r="BG102" i="30"/>
  <c r="AV92" i="30"/>
  <c r="AH102" i="30"/>
  <c r="AG92" i="30"/>
  <c r="BH102" i="30"/>
  <c r="AW92" i="30"/>
  <c r="BE102" i="30"/>
  <c r="AT92" i="30"/>
  <c r="F140" i="29" a="1"/>
  <c r="F140" i="29" s="1"/>
  <c r="AJ139" i="29"/>
  <c r="BK102" i="30"/>
  <c r="AZ92" i="30"/>
  <c r="AE78" i="30"/>
  <c r="BF102" i="30"/>
  <c r="AU92" i="30"/>
  <c r="BL102" i="30"/>
  <c r="BA92" i="30"/>
  <c r="BI102" i="30"/>
  <c r="AX92" i="30"/>
  <c r="AJ427" i="29"/>
  <c r="F428" i="29" a="1"/>
  <c r="F428" i="29" s="1"/>
  <c r="F284" i="29" a="1"/>
  <c r="F284" i="29" s="1"/>
  <c r="AJ283" i="29"/>
  <c r="AH104" i="30" l="1"/>
  <c r="BF92" i="30"/>
  <c r="F285" i="29" a="1"/>
  <c r="F285" i="29" s="1"/>
  <c r="AJ284" i="29"/>
  <c r="BO284" i="29"/>
  <c r="AT284" i="29"/>
  <c r="BO428" i="29"/>
  <c r="AT428" i="29"/>
  <c r="F429" i="29" a="1"/>
  <c r="F429" i="29" s="1"/>
  <c r="AJ428" i="29"/>
  <c r="BI92" i="30"/>
  <c r="BE92" i="30"/>
  <c r="AH92" i="30"/>
  <c r="AG78" i="30"/>
  <c r="BD92" i="30"/>
  <c r="AI78" i="30"/>
  <c r="BJ92" i="30"/>
  <c r="F292" i="30" a="1"/>
  <c r="F292" i="30" s="1"/>
  <c r="F293" i="30" s="1" a="1"/>
  <c r="F293" i="30" s="1"/>
  <c r="F294" i="30" s="1" a="1"/>
  <c r="F294" i="30" s="1"/>
  <c r="F295" i="30" s="1" a="1"/>
  <c r="F295" i="30" s="1"/>
  <c r="F296" i="30" s="1" a="1"/>
  <c r="F296" i="30" s="1"/>
  <c r="F297" i="30" s="1" a="1"/>
  <c r="F297" i="30" s="1"/>
  <c r="F298" i="30" s="1" a="1"/>
  <c r="F298" i="30" s="1"/>
  <c r="AT291" i="30"/>
  <c r="AJ291" i="30"/>
  <c r="AJ279" i="30" s="1"/>
  <c r="BO291" i="30"/>
  <c r="BL92" i="30"/>
  <c r="BK92" i="30"/>
  <c r="F141" i="29" a="1"/>
  <c r="F141" i="29" s="1"/>
  <c r="AJ140" i="29"/>
  <c r="BO140" i="29"/>
  <c r="AT140" i="29"/>
  <c r="BH92" i="30"/>
  <c r="AJ434" i="30"/>
  <c r="F435" i="30" a="1"/>
  <c r="F435" i="30" s="1"/>
  <c r="BO434" i="30"/>
  <c r="AT434" i="30"/>
  <c r="BG92" i="30"/>
  <c r="BO106" i="30"/>
  <c r="F107" i="30" a="1"/>
  <c r="F107" i="30" s="1"/>
  <c r="BM92" i="30"/>
  <c r="BB107" i="30" l="1"/>
  <c r="AX107" i="30"/>
  <c r="AT107" i="30"/>
  <c r="AP107" i="30"/>
  <c r="AP78" i="30" s="1"/>
  <c r="AL107" i="30"/>
  <c r="AL78" i="30" s="1"/>
  <c r="BA107" i="30"/>
  <c r="AW107" i="30"/>
  <c r="AS107" i="30"/>
  <c r="AS78" i="30" s="1"/>
  <c r="AO107" i="30"/>
  <c r="AO78" i="30" s="1"/>
  <c r="AK107" i="30"/>
  <c r="AK78" i="30" s="1"/>
  <c r="F108" i="30" a="1"/>
  <c r="F108" i="30" s="1"/>
  <c r="F109" i="30" s="1" a="1"/>
  <c r="F109" i="30" s="1"/>
  <c r="F110" i="30" s="1" a="1"/>
  <c r="F110" i="30" s="1"/>
  <c r="F111" i="30" s="1" a="1"/>
  <c r="F111" i="30" s="1"/>
  <c r="F112" i="30" s="1" a="1"/>
  <c r="F112" i="30" s="1"/>
  <c r="F113" i="30" s="1" a="1"/>
  <c r="F113" i="30" s="1"/>
  <c r="F114" i="30" s="1" a="1"/>
  <c r="F114" i="30" s="1"/>
  <c r="BC107" i="30"/>
  <c r="BC78" i="30" s="1"/>
  <c r="AY107" i="30"/>
  <c r="AU107" i="30"/>
  <c r="AQ107" i="30"/>
  <c r="AQ78" i="30" s="1"/>
  <c r="AM107" i="30"/>
  <c r="AM78" i="30" s="1"/>
  <c r="AN107" i="30"/>
  <c r="AN78" i="30" s="1"/>
  <c r="AZ107" i="30"/>
  <c r="AJ107" i="30"/>
  <c r="AJ78" i="30" s="1"/>
  <c r="AV107" i="30"/>
  <c r="AR107" i="30"/>
  <c r="AR78" i="30" s="1"/>
  <c r="AT141" i="29"/>
  <c r="BO141" i="29"/>
  <c r="AJ141" i="29"/>
  <c r="F142" i="29" a="1"/>
  <c r="F142" i="29" s="1"/>
  <c r="BB298" i="30"/>
  <c r="AX298" i="30"/>
  <c r="AT298" i="30"/>
  <c r="AP298" i="30"/>
  <c r="AL298" i="30"/>
  <c r="BA298" i="30"/>
  <c r="AW298" i="30"/>
  <c r="AS298" i="30"/>
  <c r="AO298" i="30"/>
  <c r="AK298" i="30"/>
  <c r="AG298" i="30"/>
  <c r="AZ298" i="30"/>
  <c r="AV298" i="30"/>
  <c r="AR298" i="30"/>
  <c r="AN298" i="30"/>
  <c r="AJ298" i="30"/>
  <c r="AF298" i="30"/>
  <c r="F299" i="30" a="1"/>
  <c r="F299" i="30" s="1"/>
  <c r="F300" i="30" s="1" a="1"/>
  <c r="F300" i="30" s="1"/>
  <c r="F301" i="30" s="1" a="1"/>
  <c r="F301" i="30" s="1"/>
  <c r="F302" i="30" s="1" a="1"/>
  <c r="F302" i="30" s="1"/>
  <c r="F303" i="30" s="1" a="1"/>
  <c r="F303" i="30" s="1"/>
  <c r="F304" i="30" s="1" a="1"/>
  <c r="F304" i="30" s="1"/>
  <c r="F305" i="30" s="1" a="1"/>
  <c r="F305" i="30" s="1"/>
  <c r="F306" i="30" s="1" a="1"/>
  <c r="F306" i="30" s="1"/>
  <c r="AQ298" i="30"/>
  <c r="BC298" i="30"/>
  <c r="AM298" i="30"/>
  <c r="AY298" i="30"/>
  <c r="AI298" i="30"/>
  <c r="AI301" i="30" s="1"/>
  <c r="AU298" i="30"/>
  <c r="AE298" i="30"/>
  <c r="AE301" i="30" s="1"/>
  <c r="AT429" i="29"/>
  <c r="AJ429" i="29"/>
  <c r="F430" i="29" a="1"/>
  <c r="F430" i="29" s="1"/>
  <c r="BO429" i="29"/>
  <c r="AH78" i="30"/>
  <c r="F436" i="30" a="1"/>
  <c r="F436" i="30" s="1"/>
  <c r="F437" i="30" s="1" a="1"/>
  <c r="F437" i="30" s="1"/>
  <c r="F438" i="30" s="1" a="1"/>
  <c r="F438" i="30" s="1"/>
  <c r="F439" i="30" s="1" a="1"/>
  <c r="F439" i="30" s="1"/>
  <c r="F440" i="30" s="1" a="1"/>
  <c r="F440" i="30" s="1"/>
  <c r="F441" i="30" s="1" a="1"/>
  <c r="F441" i="30" s="1"/>
  <c r="F442" i="30" s="1" a="1"/>
  <c r="F442" i="30" s="1"/>
  <c r="AT435" i="30"/>
  <c r="AJ435" i="30"/>
  <c r="AJ423" i="30" s="1"/>
  <c r="BO435" i="30"/>
  <c r="AJ295" i="30"/>
  <c r="AJ293" i="30"/>
  <c r="F286" i="29" a="1"/>
  <c r="F286" i="29" s="1"/>
  <c r="BO285" i="29"/>
  <c r="AT285" i="29"/>
  <c r="AJ285" i="29"/>
  <c r="BD78" i="30"/>
  <c r="AJ286" i="29" l="1"/>
  <c r="F287" i="29" a="1"/>
  <c r="F287" i="29" s="1"/>
  <c r="BO286" i="29"/>
  <c r="AT286" i="29"/>
  <c r="AQ305" i="30"/>
  <c r="AQ304" i="30"/>
  <c r="AQ299" i="30"/>
  <c r="AQ301" i="30" s="1"/>
  <c r="AQ302" i="30" s="1"/>
  <c r="AN301" i="30"/>
  <c r="AN302" i="30" s="1"/>
  <c r="AN304" i="30"/>
  <c r="AN305" i="30"/>
  <c r="AN299" i="30"/>
  <c r="AH298" i="30"/>
  <c r="AG304" i="30"/>
  <c r="AG299" i="30"/>
  <c r="AG301" i="30" s="1"/>
  <c r="AW304" i="30"/>
  <c r="AW305" i="30"/>
  <c r="BH305" i="30" s="1"/>
  <c r="AW299" i="30"/>
  <c r="AW301" i="30" s="1"/>
  <c r="AW302" i="30" s="1"/>
  <c r="AX300" i="30" s="1" a="1"/>
  <c r="AX300" i="30" s="1"/>
  <c r="AX303" i="30" s="1"/>
  <c r="AT299" i="30"/>
  <c r="AT301" i="30" s="1"/>
  <c r="BG107" i="30"/>
  <c r="AV78" i="30"/>
  <c r="AJ439" i="30"/>
  <c r="AJ437" i="30"/>
  <c r="AY305" i="30"/>
  <c r="BJ305" i="30" s="1"/>
  <c r="AY304" i="30"/>
  <c r="AY299" i="30"/>
  <c r="AY301" i="30" s="1"/>
  <c r="AY302" i="30" s="1"/>
  <c r="AZ300" i="30" s="1" a="1"/>
  <c r="AZ300" i="30" s="1"/>
  <c r="AZ303" i="30" s="1"/>
  <c r="BA306" i="30"/>
  <c r="AW306" i="30"/>
  <c r="AS306" i="30"/>
  <c r="AO306" i="30"/>
  <c r="AK306" i="30"/>
  <c r="AG306" i="30"/>
  <c r="AZ306" i="30"/>
  <c r="AV306" i="30"/>
  <c r="AR306" i="30"/>
  <c r="AN306" i="30"/>
  <c r="AJ306" i="30"/>
  <c r="AJ305" i="30" s="1"/>
  <c r="AF306" i="30"/>
  <c r="BB306" i="30"/>
  <c r="AT306" i="30"/>
  <c r="AL306" i="30"/>
  <c r="F307" i="30" a="1"/>
  <c r="F307" i="30" s="1"/>
  <c r="F308" i="30" s="1" a="1"/>
  <c r="F308" i="30" s="1"/>
  <c r="F309" i="30" s="1" a="1"/>
  <c r="F309" i="30" s="1"/>
  <c r="F310" i="30" s="1" a="1"/>
  <c r="F310" i="30" s="1"/>
  <c r="F311" i="30" s="1" a="1"/>
  <c r="F311" i="30" s="1"/>
  <c r="F312" i="30" s="1" a="1"/>
  <c r="F312" i="30" s="1"/>
  <c r="F313" i="30" s="1" a="1"/>
  <c r="F313" i="30" s="1"/>
  <c r="F314" i="30" s="1" a="1"/>
  <c r="F314" i="30" s="1"/>
  <c r="AY306" i="30"/>
  <c r="AQ306" i="30"/>
  <c r="AI306" i="30"/>
  <c r="AI309" i="30" s="1"/>
  <c r="AX306" i="30"/>
  <c r="AP306" i="30"/>
  <c r="AE306" i="30"/>
  <c r="AE309" i="30" s="1"/>
  <c r="BC306" i="30"/>
  <c r="AU306" i="30"/>
  <c r="AM306" i="30"/>
  <c r="AR304" i="30"/>
  <c r="AR305" i="30"/>
  <c r="AR299" i="30"/>
  <c r="AR301" i="30" s="1"/>
  <c r="AR302" i="30" s="1"/>
  <c r="AK304" i="30"/>
  <c r="AK305" i="30"/>
  <c r="AK299" i="30"/>
  <c r="AK301" i="30" s="1"/>
  <c r="AK302" i="30" s="1"/>
  <c r="BA304" i="30"/>
  <c r="BA305" i="30"/>
  <c r="BL305" i="30" s="1"/>
  <c r="BA299" i="30"/>
  <c r="BA301" i="30" s="1"/>
  <c r="BA302" i="30" s="1"/>
  <c r="BB300" i="30" s="1" a="1"/>
  <c r="BB300" i="30" s="1"/>
  <c r="BB303" i="30" s="1"/>
  <c r="AX305" i="30"/>
  <c r="BI305" i="30" s="1"/>
  <c r="AX304" i="30"/>
  <c r="AX299" i="30"/>
  <c r="AX301" i="30" s="1"/>
  <c r="AX302" i="30" s="1"/>
  <c r="AY300" i="30" s="1" a="1"/>
  <c r="AY300" i="30" s="1"/>
  <c r="AY303" i="30" s="1"/>
  <c r="F115" i="30" a="1"/>
  <c r="F115" i="30" s="1"/>
  <c r="BA114" i="30"/>
  <c r="BL114" i="30" s="1"/>
  <c r="AW114" i="30"/>
  <c r="BH114" i="30" s="1"/>
  <c r="AS114" i="30"/>
  <c r="AO114" i="30"/>
  <c r="AK114" i="30"/>
  <c r="AG114" i="30"/>
  <c r="AZ114" i="30"/>
  <c r="BK114" i="30" s="1"/>
  <c r="AV114" i="30"/>
  <c r="BG114" i="30" s="1"/>
  <c r="AR114" i="30"/>
  <c r="AN114" i="30"/>
  <c r="AJ114" i="30"/>
  <c r="AF114" i="30"/>
  <c r="BO114" i="30"/>
  <c r="BB114" i="30"/>
  <c r="BM114" i="30" s="1"/>
  <c r="AX114" i="30"/>
  <c r="BI114" i="30" s="1"/>
  <c r="AT114" i="30"/>
  <c r="BE114" i="30" s="1"/>
  <c r="AP114" i="30"/>
  <c r="AL114" i="30"/>
  <c r="AQ114" i="30"/>
  <c r="BC114" i="30"/>
  <c r="AM114" i="30"/>
  <c r="AY114" i="30"/>
  <c r="BJ114" i="30" s="1"/>
  <c r="AI114" i="30"/>
  <c r="AU114" i="30"/>
  <c r="BF114" i="30" s="1"/>
  <c r="AE114" i="30"/>
  <c r="BH107" i="30"/>
  <c r="AW78" i="30"/>
  <c r="BE107" i="30"/>
  <c r="AT78" i="30"/>
  <c r="AM305" i="30"/>
  <c r="AM304" i="30"/>
  <c r="AM299" i="30"/>
  <c r="AM301" i="30" s="1"/>
  <c r="AM302" i="30" s="1"/>
  <c r="AF304" i="30"/>
  <c r="AF305" i="30"/>
  <c r="AF299" i="30"/>
  <c r="AF301" i="30" s="1"/>
  <c r="AF302" i="30" s="1"/>
  <c r="AF303" i="30" s="1"/>
  <c r="AV304" i="30"/>
  <c r="AV305" i="30"/>
  <c r="BG305" i="30" s="1"/>
  <c r="AV299" i="30"/>
  <c r="AV301" i="30" s="1"/>
  <c r="AV302" i="30" s="1"/>
  <c r="AW300" i="30" s="1" a="1"/>
  <c r="AW300" i="30" s="1"/>
  <c r="AW303" i="30" s="1"/>
  <c r="AO304" i="30"/>
  <c r="AO305" i="30"/>
  <c r="AO299" i="30"/>
  <c r="AO301" i="30" s="1"/>
  <c r="AO302" i="30" s="1"/>
  <c r="AL305" i="30"/>
  <c r="AL304" i="30"/>
  <c r="AL299" i="30"/>
  <c r="AL301" i="30" s="1"/>
  <c r="AL302" i="30" s="1"/>
  <c r="BB305" i="30"/>
  <c r="BM305" i="30" s="1"/>
  <c r="BB304" i="30"/>
  <c r="BB299" i="30"/>
  <c r="BB301" i="30" s="1"/>
  <c r="BB302" i="30" s="1"/>
  <c r="BC300" i="30" s="1" a="1"/>
  <c r="BC300" i="30" s="1"/>
  <c r="BC303" i="30" s="1"/>
  <c r="BK107" i="30"/>
  <c r="AZ78" i="30"/>
  <c r="BF107" i="30"/>
  <c r="AU78" i="30"/>
  <c r="BL107" i="30"/>
  <c r="BA78" i="30"/>
  <c r="BI107" i="30"/>
  <c r="AX78" i="30"/>
  <c r="AZ442" i="30"/>
  <c r="AV442" i="30"/>
  <c r="AR442" i="30"/>
  <c r="AN442" i="30"/>
  <c r="AJ442" i="30"/>
  <c r="AF442" i="30"/>
  <c r="F443" i="30" a="1"/>
  <c r="F443" i="30" s="1"/>
  <c r="F444" i="30" s="1" a="1"/>
  <c r="F444" i="30" s="1"/>
  <c r="F445" i="30" s="1" a="1"/>
  <c r="F445" i="30" s="1"/>
  <c r="F446" i="30" s="1" a="1"/>
  <c r="F446" i="30" s="1"/>
  <c r="F447" i="30" s="1" a="1"/>
  <c r="F447" i="30" s="1"/>
  <c r="F448" i="30" s="1" a="1"/>
  <c r="F448" i="30" s="1"/>
  <c r="F449" i="30" s="1" a="1"/>
  <c r="F449" i="30" s="1"/>
  <c r="F450" i="30" s="1" a="1"/>
  <c r="F450" i="30" s="1"/>
  <c r="BC442" i="30"/>
  <c r="AY442" i="30"/>
  <c r="AU442" i="30"/>
  <c r="AQ442" i="30"/>
  <c r="AM442" i="30"/>
  <c r="AI442" i="30"/>
  <c r="AI445" i="30" s="1"/>
  <c r="AE442" i="30"/>
  <c r="AE445" i="30" s="1"/>
  <c r="BB442" i="30"/>
  <c r="AX442" i="30"/>
  <c r="AT442" i="30"/>
  <c r="AP442" i="30"/>
  <c r="AL442" i="30"/>
  <c r="BA442" i="30"/>
  <c r="AW442" i="30"/>
  <c r="AS442" i="30"/>
  <c r="AO442" i="30"/>
  <c r="AK442" i="30"/>
  <c r="AG442" i="30"/>
  <c r="F431" i="29" a="1"/>
  <c r="F431" i="29" s="1"/>
  <c r="BO430" i="29"/>
  <c r="AT430" i="29"/>
  <c r="AJ430" i="29"/>
  <c r="AU305" i="30"/>
  <c r="BF305" i="30" s="1"/>
  <c r="AU304" i="30"/>
  <c r="AU299" i="30"/>
  <c r="AU301" i="30" s="1"/>
  <c r="AU302" i="30" s="1"/>
  <c r="AV300" i="30" s="1" a="1"/>
  <c r="AV300" i="30" s="1"/>
  <c r="AV303" i="30" s="1"/>
  <c r="BC305" i="30"/>
  <c r="BC304" i="30"/>
  <c r="BC299" i="30"/>
  <c r="BC301" i="30" s="1"/>
  <c r="BC302" i="30" s="1"/>
  <c r="AJ304" i="30"/>
  <c r="AJ299" i="30"/>
  <c r="AJ301" i="30" s="1"/>
  <c r="AJ302" i="30" s="1"/>
  <c r="AJ303" i="30" s="1"/>
  <c r="AZ304" i="30"/>
  <c r="AZ305" i="30"/>
  <c r="BK305" i="30" s="1"/>
  <c r="AZ299" i="30"/>
  <c r="AZ301" i="30" s="1"/>
  <c r="AZ302" i="30" s="1"/>
  <c r="BA300" i="30" s="1" a="1"/>
  <c r="BA300" i="30" s="1"/>
  <c r="BA303" i="30" s="1"/>
  <c r="AS304" i="30"/>
  <c r="AS305" i="30"/>
  <c r="AS299" i="30"/>
  <c r="AS301" i="30" s="1"/>
  <c r="AS302" i="30" s="1"/>
  <c r="AP305" i="30"/>
  <c r="AP304" i="30"/>
  <c r="AP299" i="30"/>
  <c r="AP301" i="30" s="1"/>
  <c r="AP302" i="30" s="1"/>
  <c r="AJ142" i="29"/>
  <c r="F143" i="29" a="1"/>
  <c r="F143" i="29" s="1"/>
  <c r="BO142" i="29"/>
  <c r="AT142" i="29"/>
  <c r="BJ107" i="30"/>
  <c r="AY78" i="30"/>
  <c r="BM107" i="30"/>
  <c r="BB78" i="30"/>
  <c r="AG302" i="30" l="1"/>
  <c r="AH301" i="30"/>
  <c r="BM78" i="30"/>
  <c r="BJ78" i="30"/>
  <c r="AG448" i="30"/>
  <c r="AH442" i="30"/>
  <c r="AG443" i="30"/>
  <c r="AG445" i="30" s="1"/>
  <c r="AW449" i="30"/>
  <c r="BH449" i="30" s="1"/>
  <c r="AW448" i="30"/>
  <c r="AW443" i="30"/>
  <c r="AW445" i="30" s="1"/>
  <c r="AW446" i="30" s="1"/>
  <c r="AX444" i="30" s="1" a="1"/>
  <c r="AX444" i="30" s="1"/>
  <c r="AX447" i="30" s="1"/>
  <c r="AT443" i="30"/>
  <c r="AT445" i="30" s="1"/>
  <c r="AY448" i="30"/>
  <c r="AY449" i="30"/>
  <c r="BJ449" i="30" s="1"/>
  <c r="AY443" i="30"/>
  <c r="AY445" i="30" s="1"/>
  <c r="AY446" i="30" s="1"/>
  <c r="AZ444" i="30" s="1" a="1"/>
  <c r="AZ444" i="30" s="1"/>
  <c r="AZ447" i="30" s="1"/>
  <c r="AJ448" i="30"/>
  <c r="AJ443" i="30"/>
  <c r="AJ445" i="30" s="1"/>
  <c r="AJ446" i="30" s="1"/>
  <c r="AJ447" i="30" s="1"/>
  <c r="AZ449" i="30"/>
  <c r="BK449" i="30" s="1"/>
  <c r="AZ448" i="30"/>
  <c r="AZ443" i="30"/>
  <c r="AZ445" i="30" s="1"/>
  <c r="AZ446" i="30" s="1"/>
  <c r="BA444" i="30" s="1" a="1"/>
  <c r="BA444" i="30" s="1"/>
  <c r="BA447" i="30" s="1"/>
  <c r="BK78" i="30"/>
  <c r="BH78" i="30"/>
  <c r="BD114" i="30"/>
  <c r="BC310" i="30"/>
  <c r="BC308" i="30"/>
  <c r="BC307" i="30"/>
  <c r="BC309" i="30" s="1"/>
  <c r="AL310" i="30"/>
  <c r="AL308" i="30"/>
  <c r="AL307" i="30"/>
  <c r="AL309" i="30" s="1"/>
  <c r="AJ308" i="30"/>
  <c r="AJ310" i="30"/>
  <c r="AJ307" i="30"/>
  <c r="AJ309" i="30" s="1"/>
  <c r="AZ308" i="30"/>
  <c r="AZ310" i="30"/>
  <c r="AZ307" i="30"/>
  <c r="AZ309" i="30" s="1"/>
  <c r="AS308" i="30"/>
  <c r="AS310" i="30"/>
  <c r="AS307" i="30"/>
  <c r="AS309" i="30" s="1"/>
  <c r="AK449" i="30"/>
  <c r="AK448" i="30"/>
  <c r="AK443" i="30"/>
  <c r="AK445" i="30" s="1"/>
  <c r="AK446" i="30" s="1"/>
  <c r="BA449" i="30"/>
  <c r="BL449" i="30" s="1"/>
  <c r="BA448" i="30"/>
  <c r="BA443" i="30"/>
  <c r="BA445" i="30" s="1"/>
  <c r="BA446" i="30" s="1"/>
  <c r="BB444" i="30" s="1" a="1"/>
  <c r="BB444" i="30" s="1"/>
  <c r="BB447" i="30" s="1"/>
  <c r="AX448" i="30"/>
  <c r="AX449" i="30"/>
  <c r="BI449" i="30" s="1"/>
  <c r="AX443" i="30"/>
  <c r="AX445" i="30" s="1"/>
  <c r="AX446" i="30" s="1"/>
  <c r="AY444" i="30" s="1" a="1"/>
  <c r="AY444" i="30" s="1"/>
  <c r="AY447" i="30" s="1"/>
  <c r="AM448" i="30"/>
  <c r="AM449" i="30"/>
  <c r="AM443" i="30"/>
  <c r="AM445" i="30" s="1"/>
  <c r="AM446" i="30" s="1"/>
  <c r="BC448" i="30"/>
  <c r="BC449" i="30"/>
  <c r="BC443" i="30"/>
  <c r="BC445" i="30" s="1"/>
  <c r="BC446" i="30" s="1"/>
  <c r="AN449" i="30"/>
  <c r="AN448" i="30"/>
  <c r="AN443" i="30"/>
  <c r="AN445" i="30" s="1"/>
  <c r="AN446" i="30" s="1"/>
  <c r="BI78" i="30"/>
  <c r="AH114" i="30"/>
  <c r="AQ310" i="30"/>
  <c r="AQ308" i="30"/>
  <c r="AQ307" i="30"/>
  <c r="AQ309" i="30" s="1"/>
  <c r="AT307" i="30"/>
  <c r="AT309" i="30" s="1"/>
  <c r="AN308" i="30"/>
  <c r="AN310" i="30"/>
  <c r="AN307" i="30"/>
  <c r="AN309" i="30" s="1"/>
  <c r="AG310" i="30"/>
  <c r="AG308" i="30"/>
  <c r="AH306" i="30"/>
  <c r="AG307" i="30"/>
  <c r="AW308" i="30"/>
  <c r="AW310" i="30"/>
  <c r="AW307" i="30"/>
  <c r="AW309" i="30" s="1"/>
  <c r="BG78" i="30"/>
  <c r="AH304" i="30"/>
  <c r="AO449" i="30"/>
  <c r="AO448" i="30"/>
  <c r="AO443" i="30"/>
  <c r="AO445" i="30" s="1"/>
  <c r="AO446" i="30" s="1"/>
  <c r="AL448" i="30"/>
  <c r="AL449" i="30"/>
  <c r="AL443" i="30"/>
  <c r="AL445" i="30" s="1"/>
  <c r="AL446" i="30" s="1"/>
  <c r="BB448" i="30"/>
  <c r="BB449" i="30"/>
  <c r="BM449" i="30" s="1"/>
  <c r="BB443" i="30"/>
  <c r="BB445" i="30" s="1"/>
  <c r="BB446" i="30" s="1"/>
  <c r="BC444" i="30" s="1" a="1"/>
  <c r="BC444" i="30" s="1"/>
  <c r="BC447" i="30" s="1"/>
  <c r="AQ448" i="30"/>
  <c r="AQ449" i="30"/>
  <c r="AQ443" i="30"/>
  <c r="AQ445" i="30" s="1"/>
  <c r="AQ446" i="30" s="1"/>
  <c r="F451" i="30" a="1"/>
  <c r="F451" i="30" s="1"/>
  <c r="F452" i="30" s="1" a="1"/>
  <c r="F452" i="30" s="1"/>
  <c r="F453" i="30" s="1" a="1"/>
  <c r="F453" i="30" s="1"/>
  <c r="F454" i="30" s="1" a="1"/>
  <c r="F454" i="30" s="1"/>
  <c r="F455" i="30" s="1" a="1"/>
  <c r="F455" i="30" s="1"/>
  <c r="F456" i="30" s="1" a="1"/>
  <c r="F456" i="30" s="1"/>
  <c r="F457" i="30" s="1" a="1"/>
  <c r="F457" i="30" s="1"/>
  <c r="F458" i="30" s="1" a="1"/>
  <c r="F458" i="30" s="1"/>
  <c r="BC450" i="30"/>
  <c r="AY450" i="30"/>
  <c r="AU450" i="30"/>
  <c r="AQ450" i="30"/>
  <c r="AM450" i="30"/>
  <c r="AI450" i="30"/>
  <c r="AI453" i="30" s="1"/>
  <c r="AE450" i="30"/>
  <c r="AE453" i="30" s="1"/>
  <c r="BB450" i="30"/>
  <c r="AX450" i="30"/>
  <c r="AT450" i="30"/>
  <c r="AP450" i="30"/>
  <c r="AL450" i="30"/>
  <c r="BA450" i="30"/>
  <c r="AW450" i="30"/>
  <c r="AS450" i="30"/>
  <c r="AO450" i="30"/>
  <c r="AK450" i="30"/>
  <c r="AG450" i="30"/>
  <c r="AZ450" i="30"/>
  <c r="AV450" i="30"/>
  <c r="AR450" i="30"/>
  <c r="AN450" i="30"/>
  <c r="AJ450" i="30"/>
  <c r="AJ449" i="30" s="1"/>
  <c r="AF450" i="30"/>
  <c r="AR449" i="30"/>
  <c r="AR448" i="30"/>
  <c r="AR443" i="30"/>
  <c r="AR445" i="30" s="1"/>
  <c r="AR446" i="30" s="1"/>
  <c r="BF78" i="30"/>
  <c r="BE78" i="30"/>
  <c r="AM310" i="30"/>
  <c r="AM308" i="30"/>
  <c r="AM307" i="30"/>
  <c r="AM309" i="30" s="1"/>
  <c r="AP310" i="30"/>
  <c r="AP308" i="30"/>
  <c r="AP307" i="30"/>
  <c r="AP309" i="30" s="1"/>
  <c r="AY310" i="30"/>
  <c r="AY308" i="30"/>
  <c r="AY307" i="30"/>
  <c r="AY309" i="30" s="1"/>
  <c r="BB310" i="30"/>
  <c r="BB308" i="30"/>
  <c r="BB307" i="30"/>
  <c r="BB309" i="30" s="1"/>
  <c r="AR308" i="30"/>
  <c r="AR310" i="30"/>
  <c r="AR307" i="30"/>
  <c r="AR309" i="30" s="1"/>
  <c r="AK308" i="30"/>
  <c r="AK310" i="30"/>
  <c r="AK307" i="30"/>
  <c r="AK309" i="30" s="1"/>
  <c r="BA308" i="30"/>
  <c r="BA310" i="30"/>
  <c r="BA307" i="30"/>
  <c r="BA309" i="30" s="1"/>
  <c r="F288" i="29" a="1"/>
  <c r="F288" i="29" s="1"/>
  <c r="BO287" i="29"/>
  <c r="AT287" i="29"/>
  <c r="AJ287" i="29"/>
  <c r="AT143" i="29"/>
  <c r="BE143" i="29" s="1"/>
  <c r="BO143" i="29"/>
  <c r="AJ143" i="29"/>
  <c r="F144" i="29" a="1"/>
  <c r="F144" i="29" s="1"/>
  <c r="AJ431" i="29"/>
  <c r="BO431" i="29"/>
  <c r="AT431" i="29"/>
  <c r="F432" i="29" a="1"/>
  <c r="F432" i="29" s="1"/>
  <c r="AS449" i="30"/>
  <c r="AS448" i="30"/>
  <c r="AS443" i="30"/>
  <c r="AS445" i="30" s="1"/>
  <c r="AS446" i="30" s="1"/>
  <c r="AP448" i="30"/>
  <c r="AP449" i="30"/>
  <c r="AP443" i="30"/>
  <c r="AP445" i="30" s="1"/>
  <c r="AP446" i="30" s="1"/>
  <c r="AU448" i="30"/>
  <c r="AU449" i="30"/>
  <c r="BF449" i="30" s="1"/>
  <c r="AU443" i="30"/>
  <c r="AU445" i="30" s="1"/>
  <c r="AU446" i="30" s="1"/>
  <c r="AV444" i="30" s="1" a="1"/>
  <c r="AV444" i="30" s="1"/>
  <c r="AV447" i="30" s="1"/>
  <c r="AF449" i="30"/>
  <c r="AF448" i="30"/>
  <c r="AF443" i="30"/>
  <c r="AF445" i="30" s="1"/>
  <c r="AF446" i="30" s="1"/>
  <c r="AF447" i="30" s="1"/>
  <c r="AV449" i="30"/>
  <c r="BG449" i="30" s="1"/>
  <c r="AV448" i="30"/>
  <c r="AV443" i="30"/>
  <c r="AV445" i="30" s="1"/>
  <c r="AV446" i="30" s="1"/>
  <c r="AW444" i="30" s="1" a="1"/>
  <c r="AW444" i="30" s="1"/>
  <c r="AW447" i="30" s="1"/>
  <c r="BL78" i="30"/>
  <c r="AZ115" i="30"/>
  <c r="BK115" i="30" s="1"/>
  <c r="AV115" i="30"/>
  <c r="BG115" i="30" s="1"/>
  <c r="AR115" i="30"/>
  <c r="AN115" i="30"/>
  <c r="AJ115" i="30"/>
  <c r="AF115" i="30"/>
  <c r="BC115" i="30"/>
  <c r="AY115" i="30"/>
  <c r="BJ115" i="30" s="1"/>
  <c r="AU115" i="30"/>
  <c r="BF115" i="30" s="1"/>
  <c r="AQ115" i="30"/>
  <c r="AM115" i="30"/>
  <c r="AI115" i="30"/>
  <c r="BD115" i="30" s="1"/>
  <c r="AE115" i="30"/>
  <c r="BA115" i="30"/>
  <c r="BL115" i="30" s="1"/>
  <c r="AW115" i="30"/>
  <c r="BH115" i="30" s="1"/>
  <c r="AS115" i="30"/>
  <c r="AO115" i="30"/>
  <c r="AK115" i="30"/>
  <c r="AG115" i="30"/>
  <c r="AH115" i="30" s="1"/>
  <c r="BO115" i="30"/>
  <c r="AX115" i="30"/>
  <c r="BI115" i="30" s="1"/>
  <c r="AT115" i="30"/>
  <c r="BE115" i="30" s="1"/>
  <c r="AP115" i="30"/>
  <c r="F116" i="30" a="1"/>
  <c r="F116" i="30" s="1"/>
  <c r="BB115" i="30"/>
  <c r="BM115" i="30" s="1"/>
  <c r="AL115" i="30"/>
  <c r="AU310" i="30"/>
  <c r="AU308" i="30"/>
  <c r="AU307" i="30"/>
  <c r="AU309" i="30" s="1"/>
  <c r="AX310" i="30"/>
  <c r="AX308" i="30"/>
  <c r="AX307" i="30"/>
  <c r="AX309" i="30" s="1"/>
  <c r="AF308" i="30"/>
  <c r="AF310" i="30"/>
  <c r="AF307" i="30"/>
  <c r="AF309" i="30" s="1"/>
  <c r="AV308" i="30"/>
  <c r="AV310" i="30"/>
  <c r="AV307" i="30"/>
  <c r="AV309" i="30" s="1"/>
  <c r="AO308" i="30"/>
  <c r="AO310" i="30"/>
  <c r="AO307" i="30"/>
  <c r="AO309" i="30" s="1"/>
  <c r="AH299" i="30"/>
  <c r="AG305" i="30"/>
  <c r="F433" i="29" l="1" a="1"/>
  <c r="F433" i="29" s="1"/>
  <c r="AT432" i="29"/>
  <c r="AJ432" i="29"/>
  <c r="F145" i="29" a="1"/>
  <c r="F145" i="29" s="1"/>
  <c r="BO144" i="29"/>
  <c r="AJ144" i="29"/>
  <c r="AT144" i="29"/>
  <c r="AR454" i="30"/>
  <c r="AR452" i="30"/>
  <c r="AR451" i="30"/>
  <c r="AR453" i="30" s="1"/>
  <c r="AK454" i="30"/>
  <c r="AK452" i="30"/>
  <c r="AK451" i="30"/>
  <c r="AK453" i="30" s="1"/>
  <c r="BA454" i="30"/>
  <c r="BA452" i="30"/>
  <c r="BA451" i="30"/>
  <c r="BA453" i="30" s="1"/>
  <c r="AX454" i="30"/>
  <c r="AX452" i="30"/>
  <c r="AX451" i="30"/>
  <c r="AX453" i="30" s="1"/>
  <c r="AM452" i="30"/>
  <c r="AM454" i="30"/>
  <c r="AM451" i="30"/>
  <c r="AM453" i="30" s="1"/>
  <c r="BC452" i="30"/>
  <c r="BC454" i="30"/>
  <c r="BC451" i="30"/>
  <c r="BC453" i="30" s="1"/>
  <c r="AH310" i="30"/>
  <c r="AG303" i="30"/>
  <c r="AH302" i="30"/>
  <c r="BB116" i="30"/>
  <c r="BM116" i="30" s="1"/>
  <c r="AX116" i="30"/>
  <c r="BI116" i="30" s="1"/>
  <c r="AT116" i="30"/>
  <c r="BE116" i="30" s="1"/>
  <c r="AP116" i="30"/>
  <c r="AL116" i="30"/>
  <c r="F117" i="30" a="1"/>
  <c r="F117" i="30" s="1"/>
  <c r="F118" i="30" s="1" a="1"/>
  <c r="F118" i="30" s="1"/>
  <c r="BA116" i="30"/>
  <c r="BL116" i="30" s="1"/>
  <c r="AW116" i="30"/>
  <c r="BH116" i="30" s="1"/>
  <c r="AS116" i="30"/>
  <c r="AO116" i="30"/>
  <c r="AK116" i="30"/>
  <c r="AG116" i="30"/>
  <c r="BC116" i="30"/>
  <c r="AY116" i="30"/>
  <c r="BJ116" i="30" s="1"/>
  <c r="AU116" i="30"/>
  <c r="BF116" i="30" s="1"/>
  <c r="AQ116" i="30"/>
  <c r="AM116" i="30"/>
  <c r="AI116" i="30"/>
  <c r="BD116" i="30" s="1"/>
  <c r="AE116" i="30"/>
  <c r="AN116" i="30"/>
  <c r="AZ116" i="30"/>
  <c r="BK116" i="30" s="1"/>
  <c r="AJ116" i="30"/>
  <c r="AV116" i="30"/>
  <c r="BG116" i="30" s="1"/>
  <c r="AF116" i="30"/>
  <c r="AR116" i="30"/>
  <c r="BE431" i="29"/>
  <c r="BD431" i="29"/>
  <c r="BE287" i="29"/>
  <c r="BD287" i="29"/>
  <c r="AF454" i="30"/>
  <c r="AF452" i="30"/>
  <c r="AF451" i="30"/>
  <c r="AF453" i="30" s="1"/>
  <c r="AV454" i="30"/>
  <c r="AV452" i="30"/>
  <c r="AV451" i="30"/>
  <c r="AV453" i="30" s="1"/>
  <c r="AO454" i="30"/>
  <c r="AO452" i="30"/>
  <c r="AO451" i="30"/>
  <c r="AO453" i="30" s="1"/>
  <c r="AL454" i="30"/>
  <c r="AL452" i="30"/>
  <c r="AL451" i="30"/>
  <c r="AL453" i="30" s="1"/>
  <c r="BB454" i="30"/>
  <c r="BB452" i="30"/>
  <c r="BB451" i="30"/>
  <c r="BB453" i="30" s="1"/>
  <c r="AQ454" i="30"/>
  <c r="AQ452" i="30"/>
  <c r="AQ451" i="30"/>
  <c r="AQ453" i="30" s="1"/>
  <c r="AH307" i="30"/>
  <c r="AG309" i="30"/>
  <c r="AH309" i="30" s="1"/>
  <c r="AH445" i="30"/>
  <c r="AG446" i="30"/>
  <c r="AG454" i="30" s="1"/>
  <c r="AJ454" i="30"/>
  <c r="AJ452" i="30"/>
  <c r="AJ451" i="30"/>
  <c r="AJ453" i="30" s="1"/>
  <c r="AZ454" i="30"/>
  <c r="AZ452" i="30"/>
  <c r="AZ451" i="30"/>
  <c r="AZ453" i="30" s="1"/>
  <c r="AS454" i="30"/>
  <c r="AS452" i="30"/>
  <c r="AS451" i="30"/>
  <c r="AS453" i="30" s="1"/>
  <c r="AP454" i="30"/>
  <c r="AP452" i="30"/>
  <c r="AP451" i="30"/>
  <c r="AP453" i="30" s="1"/>
  <c r="AU452" i="30"/>
  <c r="AU454" i="30"/>
  <c r="AU451" i="30"/>
  <c r="AU453" i="30" s="1"/>
  <c r="AH443" i="30"/>
  <c r="AH448" i="30"/>
  <c r="AJ288" i="29"/>
  <c r="F289" i="29" a="1"/>
  <c r="F289" i="29" s="1"/>
  <c r="BO288" i="29"/>
  <c r="AT288" i="29"/>
  <c r="AN454" i="30"/>
  <c r="AN452" i="30"/>
  <c r="AN451" i="30"/>
  <c r="AN453" i="30" s="1"/>
  <c r="AG452" i="30"/>
  <c r="AH450" i="30"/>
  <c r="AG451" i="30"/>
  <c r="AW452" i="30"/>
  <c r="AW454" i="30"/>
  <c r="AW451" i="30"/>
  <c r="AW453" i="30" s="1"/>
  <c r="AT451" i="30"/>
  <c r="AT453" i="30" s="1"/>
  <c r="AY454" i="30"/>
  <c r="AY452" i="30"/>
  <c r="AY451" i="30"/>
  <c r="AY453" i="30" s="1"/>
  <c r="AH308" i="30"/>
  <c r="AG449" i="30"/>
  <c r="AH451" i="30" l="1"/>
  <c r="AH452" i="30"/>
  <c r="AH454" i="30"/>
  <c r="AJ433" i="29"/>
  <c r="F434" i="29" a="1"/>
  <c r="F434" i="29" s="1"/>
  <c r="BO433" i="29"/>
  <c r="AT433" i="29"/>
  <c r="AG453" i="30"/>
  <c r="AH453" i="30" s="1"/>
  <c r="AH449" i="30" s="1"/>
  <c r="AH446" i="30"/>
  <c r="AG447" i="30"/>
  <c r="AH305" i="30"/>
  <c r="AZ118" i="30"/>
  <c r="AV118" i="30"/>
  <c r="AR118" i="30"/>
  <c r="AN118" i="30"/>
  <c r="AJ118" i="30"/>
  <c r="AF118" i="30"/>
  <c r="BC118" i="30"/>
  <c r="AY118" i="30"/>
  <c r="AU118" i="30"/>
  <c r="AQ118" i="30"/>
  <c r="AM118" i="30"/>
  <c r="AI118" i="30"/>
  <c r="AE118" i="30"/>
  <c r="BA118" i="30"/>
  <c r="AW118" i="30"/>
  <c r="AS118" i="30"/>
  <c r="AO118" i="30"/>
  <c r="AK118" i="30"/>
  <c r="AG118" i="30"/>
  <c r="F119" i="30" a="1"/>
  <c r="F119" i="30" s="1"/>
  <c r="BB118" i="30"/>
  <c r="AL118" i="30"/>
  <c r="BO118" i="30"/>
  <c r="AX118" i="30"/>
  <c r="AT118" i="30"/>
  <c r="AP118" i="30"/>
  <c r="AT145" i="29"/>
  <c r="BO145" i="29"/>
  <c r="AJ145" i="29"/>
  <c r="F146" i="29" a="1"/>
  <c r="F146" i="29" s="1"/>
  <c r="AT289" i="29"/>
  <c r="AJ289" i="29"/>
  <c r="F290" i="29" a="1"/>
  <c r="F290" i="29" s="1"/>
  <c r="BO289" i="29"/>
  <c r="AH116" i="30"/>
  <c r="BI118" i="30" l="1"/>
  <c r="F120" i="30" a="1"/>
  <c r="F120" i="30" s="1"/>
  <c r="BO119" i="30"/>
  <c r="BB119" i="30"/>
  <c r="BM119" i="30" s="1"/>
  <c r="AX119" i="30"/>
  <c r="BI119" i="30" s="1"/>
  <c r="AT119" i="30"/>
  <c r="BE119" i="30" s="1"/>
  <c r="AP119" i="30"/>
  <c r="AL119" i="30"/>
  <c r="BA119" i="30"/>
  <c r="BL119" i="30" s="1"/>
  <c r="AW119" i="30"/>
  <c r="BH119" i="30" s="1"/>
  <c r="AS119" i="30"/>
  <c r="AO119" i="30"/>
  <c r="AK119" i="30"/>
  <c r="AG119" i="30"/>
  <c r="BC119" i="30"/>
  <c r="AY119" i="30"/>
  <c r="BJ119" i="30" s="1"/>
  <c r="AU119" i="30"/>
  <c r="BF119" i="30" s="1"/>
  <c r="AQ119" i="30"/>
  <c r="AM119" i="30"/>
  <c r="AI119" i="30"/>
  <c r="BD119" i="30" s="1"/>
  <c r="AE119" i="30"/>
  <c r="AR119" i="30"/>
  <c r="AN119" i="30"/>
  <c r="AZ119" i="30"/>
  <c r="BK119" i="30" s="1"/>
  <c r="AJ119" i="30"/>
  <c r="AV119" i="30"/>
  <c r="BG119" i="30" s="1"/>
  <c r="AF119" i="30"/>
  <c r="BD118" i="30"/>
  <c r="BJ118" i="30"/>
  <c r="BE118" i="30"/>
  <c r="AH118" i="30"/>
  <c r="BH118" i="30"/>
  <c r="F291" i="29" a="1"/>
  <c r="F291" i="29" s="1"/>
  <c r="BO290" i="29"/>
  <c r="AT290" i="29"/>
  <c r="AJ290" i="29"/>
  <c r="AJ146" i="29"/>
  <c r="F147" i="29" a="1"/>
  <c r="F147" i="29" s="1"/>
  <c r="BO146" i="29"/>
  <c r="AT146" i="29"/>
  <c r="BL118" i="30"/>
  <c r="BG118" i="30"/>
  <c r="AT434" i="29"/>
  <c r="AJ434" i="29"/>
  <c r="F435" i="29" a="1"/>
  <c r="F435" i="29" s="1"/>
  <c r="BO434" i="29"/>
  <c r="BM118" i="30"/>
  <c r="BF118" i="30"/>
  <c r="BK118" i="30"/>
  <c r="AH119" i="30" l="1"/>
  <c r="AZ120" i="30"/>
  <c r="AV120" i="30"/>
  <c r="AR120" i="30"/>
  <c r="AR117" i="30" s="1"/>
  <c r="AR150" i="30" s="1"/>
  <c r="AN120" i="30"/>
  <c r="AN117" i="30" s="1"/>
  <c r="AN150" i="30" s="1"/>
  <c r="AJ120" i="30"/>
  <c r="AJ117" i="30" s="1"/>
  <c r="AJ150" i="30" s="1"/>
  <c r="AF120" i="30"/>
  <c r="AF117" i="30" s="1"/>
  <c r="AF150" i="30" s="1"/>
  <c r="BC120" i="30"/>
  <c r="BC117" i="30" s="1"/>
  <c r="BC150" i="30" s="1"/>
  <c r="AY120" i="30"/>
  <c r="AU120" i="30"/>
  <c r="AQ120" i="30"/>
  <c r="AQ117" i="30" s="1"/>
  <c r="AQ150" i="30" s="1"/>
  <c r="AM120" i="30"/>
  <c r="AM117" i="30" s="1"/>
  <c r="AM150" i="30" s="1"/>
  <c r="AI120" i="30"/>
  <c r="AE120" i="30"/>
  <c r="AE117" i="30" s="1"/>
  <c r="BA120" i="30"/>
  <c r="AW120" i="30"/>
  <c r="AS120" i="30"/>
  <c r="AS117" i="30" s="1"/>
  <c r="AS150" i="30" s="1"/>
  <c r="AO120" i="30"/>
  <c r="AO117" i="30" s="1"/>
  <c r="AO150" i="30" s="1"/>
  <c r="AK120" i="30"/>
  <c r="AK117" i="30" s="1"/>
  <c r="AK150" i="30" s="1"/>
  <c r="AG120" i="30"/>
  <c r="BO120" i="30"/>
  <c r="AX120" i="30"/>
  <c r="BI120" i="30" s="1"/>
  <c r="AT120" i="30"/>
  <c r="AP120" i="30"/>
  <c r="AP117" i="30" s="1"/>
  <c r="AP150" i="30" s="1"/>
  <c r="F121" i="30" a="1"/>
  <c r="F121" i="30" s="1"/>
  <c r="BB120" i="30"/>
  <c r="AL120" i="30"/>
  <c r="AL117" i="30" s="1"/>
  <c r="AL150" i="30" s="1"/>
  <c r="BO435" i="29"/>
  <c r="F436" i="29" a="1"/>
  <c r="F436" i="29" s="1"/>
  <c r="F437" i="29" s="1" a="1"/>
  <c r="F437" i="29" s="1"/>
  <c r="F438" i="29" s="1" a="1"/>
  <c r="F438" i="29" s="1"/>
  <c r="F439" i="29" s="1" a="1"/>
  <c r="F439" i="29" s="1"/>
  <c r="F440" i="29" s="1" a="1"/>
  <c r="F440" i="29" s="1"/>
  <c r="F441" i="29" s="1" a="1"/>
  <c r="F441" i="29" s="1"/>
  <c r="F442" i="29" s="1" a="1"/>
  <c r="F442" i="29" s="1"/>
  <c r="AT435" i="29"/>
  <c r="AJ435" i="29"/>
  <c r="F148" i="29" a="1"/>
  <c r="F148" i="29" s="1"/>
  <c r="F149" i="29" s="1" a="1"/>
  <c r="F149" i="29" s="1"/>
  <c r="F150" i="29" s="1" a="1"/>
  <c r="F150" i="29" s="1"/>
  <c r="F151" i="29" s="1" a="1"/>
  <c r="F151" i="29" s="1"/>
  <c r="F152" i="29" s="1" a="1"/>
  <c r="F152" i="29" s="1"/>
  <c r="F153" i="29" s="1" a="1"/>
  <c r="F153" i="29" s="1"/>
  <c r="F154" i="29" s="1" a="1"/>
  <c r="F154" i="29" s="1"/>
  <c r="AT147" i="29"/>
  <c r="BO147" i="29"/>
  <c r="AJ147" i="29"/>
  <c r="BO291" i="29"/>
  <c r="F292" i="29" a="1"/>
  <c r="F292" i="29" s="1"/>
  <c r="F293" i="29" s="1" a="1"/>
  <c r="F293" i="29" s="1"/>
  <c r="F294" i="29" s="1" a="1"/>
  <c r="F294" i="29" s="1"/>
  <c r="F295" i="29" s="1" a="1"/>
  <c r="F295" i="29" s="1"/>
  <c r="F296" i="29" s="1" a="1"/>
  <c r="F296" i="29" s="1"/>
  <c r="F297" i="29" s="1" a="1"/>
  <c r="F297" i="29" s="1"/>
  <c r="F298" i="29" s="1" a="1"/>
  <c r="F298" i="29" s="1"/>
  <c r="AT291" i="29"/>
  <c r="AJ291" i="29"/>
  <c r="AX117" i="30" l="1"/>
  <c r="BI117" i="30" s="1"/>
  <c r="AZ154" i="29"/>
  <c r="AV154" i="29"/>
  <c r="AR154" i="29"/>
  <c r="AN154" i="29"/>
  <c r="AJ154" i="29"/>
  <c r="AF154" i="29"/>
  <c r="BB154" i="29"/>
  <c r="AX154" i="29"/>
  <c r="AT154" i="29"/>
  <c r="AP154" i="29"/>
  <c r="AL154" i="29"/>
  <c r="BC154" i="29"/>
  <c r="AU154" i="29"/>
  <c r="AM154" i="29"/>
  <c r="AE154" i="29"/>
  <c r="BA154" i="29"/>
  <c r="AS154" i="29"/>
  <c r="AK154" i="29"/>
  <c r="F155" i="29" a="1"/>
  <c r="F155" i="29" s="1"/>
  <c r="F156" i="29" s="1" a="1"/>
  <c r="F156" i="29" s="1"/>
  <c r="F157" i="29" s="1" a="1"/>
  <c r="F157" i="29" s="1"/>
  <c r="F158" i="29" s="1" a="1"/>
  <c r="F158" i="29" s="1"/>
  <c r="F159" i="29" s="1" a="1"/>
  <c r="F159" i="29" s="1"/>
  <c r="F160" i="29" s="1" a="1"/>
  <c r="F160" i="29" s="1"/>
  <c r="F161" i="29" s="1" a="1"/>
  <c r="F161" i="29" s="1"/>
  <c r="F162" i="29" s="1" a="1"/>
  <c r="F162" i="29" s="1"/>
  <c r="AY154" i="29"/>
  <c r="AQ154" i="29"/>
  <c r="AI154" i="29"/>
  <c r="AW154" i="29"/>
  <c r="AO154" i="29"/>
  <c r="AG154" i="29"/>
  <c r="AP151" i="30"/>
  <c r="AP149" i="30"/>
  <c r="AH120" i="30"/>
  <c r="AG117" i="30"/>
  <c r="BH120" i="30"/>
  <c r="AW117" i="30"/>
  <c r="AM151" i="30"/>
  <c r="AM149" i="30"/>
  <c r="BC151" i="30"/>
  <c r="BC149" i="30"/>
  <c r="AR149" i="30"/>
  <c r="AR151" i="30"/>
  <c r="AL151" i="30"/>
  <c r="AL149" i="30"/>
  <c r="BE120" i="30"/>
  <c r="AT117" i="30"/>
  <c r="AK149" i="30"/>
  <c r="AK151" i="30"/>
  <c r="BL120" i="30"/>
  <c r="BA117" i="30"/>
  <c r="AQ151" i="30"/>
  <c r="AQ149" i="30"/>
  <c r="AF149" i="30"/>
  <c r="AF151" i="30"/>
  <c r="BG120" i="30"/>
  <c r="AV117" i="30"/>
  <c r="BB298" i="29"/>
  <c r="AX298" i="29"/>
  <c r="AT298" i="29"/>
  <c r="AP298" i="29"/>
  <c r="AL298" i="29"/>
  <c r="BA298" i="29"/>
  <c r="AW298" i="29"/>
  <c r="AS298" i="29"/>
  <c r="AO298" i="29"/>
  <c r="AK298" i="29"/>
  <c r="AG298" i="29"/>
  <c r="AZ298" i="29"/>
  <c r="AV298" i="29"/>
  <c r="AR298" i="29"/>
  <c r="AN298" i="29"/>
  <c r="AJ298" i="29"/>
  <c r="AF298" i="29"/>
  <c r="AU298" i="29"/>
  <c r="AE298" i="29"/>
  <c r="AE301" i="29" s="1"/>
  <c r="F299" i="29" a="1"/>
  <c r="F299" i="29" s="1"/>
  <c r="F300" i="29" s="1" a="1"/>
  <c r="F300" i="29" s="1"/>
  <c r="F301" i="29" s="1" a="1"/>
  <c r="F301" i="29" s="1"/>
  <c r="F302" i="29" s="1" a="1"/>
  <c r="F302" i="29" s="1"/>
  <c r="F303" i="29" s="1" a="1"/>
  <c r="F303" i="29" s="1"/>
  <c r="F304" i="29" s="1" a="1"/>
  <c r="F304" i="29" s="1"/>
  <c r="F305" i="29" s="1" a="1"/>
  <c r="F305" i="29" s="1"/>
  <c r="F306" i="29" s="1" a="1"/>
  <c r="F306" i="29" s="1"/>
  <c r="AQ298" i="29"/>
  <c r="BC298" i="29"/>
  <c r="AM298" i="29"/>
  <c r="AY298" i="29"/>
  <c r="AI298" i="29"/>
  <c r="AI301" i="29" s="1"/>
  <c r="BM120" i="30"/>
  <c r="BB117" i="30"/>
  <c r="AO149" i="30"/>
  <c r="AO151" i="30"/>
  <c r="AE150" i="30"/>
  <c r="BF120" i="30"/>
  <c r="AU117" i="30"/>
  <c r="AJ149" i="30"/>
  <c r="BK120" i="30"/>
  <c r="AZ117" i="30"/>
  <c r="BA442" i="29"/>
  <c r="AW442" i="29"/>
  <c r="AS442" i="29"/>
  <c r="AO442" i="29"/>
  <c r="AK442" i="29"/>
  <c r="AG442" i="29"/>
  <c r="AZ442" i="29"/>
  <c r="AV442" i="29"/>
  <c r="AR442" i="29"/>
  <c r="AN442" i="29"/>
  <c r="AJ442" i="29"/>
  <c r="AF442" i="29"/>
  <c r="F443" i="29" a="1"/>
  <c r="F443" i="29" s="1"/>
  <c r="F444" i="29" s="1" a="1"/>
  <c r="F444" i="29" s="1"/>
  <c r="F445" i="29" s="1" a="1"/>
  <c r="F445" i="29" s="1"/>
  <c r="F446" i="29" s="1" a="1"/>
  <c r="F446" i="29" s="1"/>
  <c r="F447" i="29" s="1" a="1"/>
  <c r="F447" i="29" s="1"/>
  <c r="F448" i="29" s="1" a="1"/>
  <c r="F448" i="29" s="1"/>
  <c r="F449" i="29" s="1" a="1"/>
  <c r="F449" i="29" s="1"/>
  <c r="F450" i="29" s="1" a="1"/>
  <c r="F450" i="29" s="1"/>
  <c r="BC442" i="29"/>
  <c r="AY442" i="29"/>
  <c r="AU442" i="29"/>
  <c r="AQ442" i="29"/>
  <c r="AM442" i="29"/>
  <c r="AI442" i="29"/>
  <c r="AI445" i="29" s="1"/>
  <c r="AE442" i="29"/>
  <c r="AE445" i="29" s="1"/>
  <c r="AP442" i="29"/>
  <c r="BB442" i="29"/>
  <c r="AL442" i="29"/>
  <c r="AX442" i="29"/>
  <c r="AT442" i="29"/>
  <c r="F122" i="30"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AS149" i="30"/>
  <c r="AS151" i="30"/>
  <c r="BD120" i="30"/>
  <c r="AI117" i="30"/>
  <c r="BJ120" i="30"/>
  <c r="AY117" i="30"/>
  <c r="AN149" i="30"/>
  <c r="AN151" i="30"/>
  <c r="AX150" i="30" l="1"/>
  <c r="BJ117" i="30"/>
  <c r="AY150" i="30"/>
  <c r="F136" i="30" a="1"/>
  <c r="F136" i="30" s="1"/>
  <c r="BO135" i="30"/>
  <c r="AJ135" i="30"/>
  <c r="AJ151" i="30" s="1"/>
  <c r="BB448" i="29"/>
  <c r="BB449" i="29"/>
  <c r="BM449" i="29" s="1"/>
  <c r="BB443" i="29"/>
  <c r="BB445" i="29" s="1"/>
  <c r="BB446" i="29" s="1"/>
  <c r="BC444" i="29" s="1" a="1"/>
  <c r="BC444" i="29" s="1"/>
  <c r="BC447" i="29" s="1"/>
  <c r="AM449" i="29"/>
  <c r="AM448" i="29"/>
  <c r="AM443" i="29"/>
  <c r="AM445" i="29" s="1"/>
  <c r="AM446" i="29" s="1"/>
  <c r="BC449" i="29"/>
  <c r="BC448" i="29"/>
  <c r="BC443" i="29"/>
  <c r="BC445" i="29" s="1"/>
  <c r="BC446" i="29" s="1"/>
  <c r="AN449" i="29"/>
  <c r="AN448" i="29"/>
  <c r="AN443" i="29"/>
  <c r="AN445" i="29" s="1"/>
  <c r="AN446" i="29" s="1"/>
  <c r="AG448" i="29"/>
  <c r="AH442" i="29"/>
  <c r="AG443" i="29"/>
  <c r="AG445" i="29" s="1"/>
  <c r="AW448" i="29"/>
  <c r="AW449" i="29"/>
  <c r="BH449" i="29" s="1"/>
  <c r="AW443" i="29"/>
  <c r="AW445" i="29" s="1"/>
  <c r="AW446" i="29" s="1"/>
  <c r="AX444" i="29" s="1" a="1"/>
  <c r="AX444" i="29" s="1"/>
  <c r="AX447" i="29" s="1"/>
  <c r="BM117" i="30"/>
  <c r="BB150" i="30"/>
  <c r="AM304" i="29"/>
  <c r="AM305" i="29"/>
  <c r="AM299" i="29"/>
  <c r="AM301" i="29" s="1"/>
  <c r="AM302" i="29" s="1"/>
  <c r="AN305" i="29"/>
  <c r="AN304" i="29"/>
  <c r="AN299" i="29"/>
  <c r="AN301" i="29" s="1"/>
  <c r="AN302" i="29" s="1"/>
  <c r="AH298" i="29"/>
  <c r="AG304" i="29"/>
  <c r="AG299" i="29"/>
  <c r="AG301" i="29" s="1"/>
  <c r="AW305" i="29"/>
  <c r="BH305" i="29" s="1"/>
  <c r="AW304" i="29"/>
  <c r="AW299" i="29"/>
  <c r="AW301" i="29" s="1"/>
  <c r="AW302" i="29" s="1"/>
  <c r="AX300" i="29" s="1" a="1"/>
  <c r="AX300" i="29" s="1"/>
  <c r="AX303" i="29" s="1"/>
  <c r="AT299" i="29"/>
  <c r="AT301" i="29" s="1"/>
  <c r="AI161" i="29"/>
  <c r="BD161" i="29" s="1"/>
  <c r="AI160" i="29"/>
  <c r="AI155" i="29"/>
  <c r="AI157" i="29" s="1"/>
  <c r="AI158" i="29" s="1"/>
  <c r="AK161" i="29"/>
  <c r="AK160" i="29"/>
  <c r="AK155" i="29"/>
  <c r="AK157" i="29" s="1"/>
  <c r="AK158" i="29" s="1"/>
  <c r="AM161" i="29"/>
  <c r="AM160" i="29"/>
  <c r="AM155" i="29"/>
  <c r="AM157" i="29" s="1"/>
  <c r="AM158" i="29" s="1"/>
  <c r="AP161" i="29"/>
  <c r="AP160" i="29"/>
  <c r="AP155" i="29"/>
  <c r="AP157" i="29" s="1"/>
  <c r="AP158" i="29" s="1"/>
  <c r="AF161" i="29"/>
  <c r="AF160" i="29"/>
  <c r="AF155" i="29"/>
  <c r="AF157" i="29" s="1"/>
  <c r="AF158" i="29" s="1"/>
  <c r="AV161" i="29"/>
  <c r="BG161" i="29" s="1"/>
  <c r="AV160" i="29"/>
  <c r="AV155" i="29"/>
  <c r="AV157" i="29" s="1"/>
  <c r="AV158" i="29" s="1"/>
  <c r="AW156" i="29" s="1" a="1"/>
  <c r="AW156" i="29" s="1"/>
  <c r="AW159" i="29" s="1"/>
  <c r="AT443" i="29"/>
  <c r="AT445" i="29" s="1"/>
  <c r="AP448" i="29"/>
  <c r="AP449" i="29"/>
  <c r="AP443" i="29"/>
  <c r="AP445" i="29" s="1"/>
  <c r="AP446" i="29" s="1"/>
  <c r="AQ449" i="29"/>
  <c r="AQ448" i="29"/>
  <c r="AQ443" i="29"/>
  <c r="AQ445" i="29" s="1"/>
  <c r="AQ446" i="29" s="1"/>
  <c r="BB450" i="29"/>
  <c r="AX450" i="29"/>
  <c r="AT450" i="29"/>
  <c r="AP450" i="29"/>
  <c r="AL450" i="29"/>
  <c r="BA450" i="29"/>
  <c r="AW450" i="29"/>
  <c r="AS450" i="29"/>
  <c r="AO450" i="29"/>
  <c r="AK450" i="29"/>
  <c r="AG450" i="29"/>
  <c r="AZ450" i="29"/>
  <c r="AV450" i="29"/>
  <c r="AR450" i="29"/>
  <c r="AN450" i="29"/>
  <c r="AJ450" i="29"/>
  <c r="AF450" i="29"/>
  <c r="AF449" i="29" s="1"/>
  <c r="AU450" i="29"/>
  <c r="AE450" i="29"/>
  <c r="AE453" i="29" s="1"/>
  <c r="F451" i="29" a="1"/>
  <c r="F451" i="29" s="1"/>
  <c r="F452" i="29" s="1" a="1"/>
  <c r="F452" i="29" s="1"/>
  <c r="F453" i="29" s="1" a="1"/>
  <c r="F453" i="29" s="1"/>
  <c r="F454" i="29" s="1" a="1"/>
  <c r="F454" i="29" s="1"/>
  <c r="F455" i="29" s="1" a="1"/>
  <c r="F455" i="29" s="1"/>
  <c r="F456" i="29" s="1" a="1"/>
  <c r="F456" i="29" s="1"/>
  <c r="F457" i="29" s="1" a="1"/>
  <c r="F457" i="29" s="1"/>
  <c r="F458" i="29" s="1" a="1"/>
  <c r="F458" i="29" s="1"/>
  <c r="AQ450" i="29"/>
  <c r="BC450" i="29"/>
  <c r="AM450" i="29"/>
  <c r="AY450" i="29"/>
  <c r="AI450" i="29"/>
  <c r="AI453" i="29" s="1"/>
  <c r="AR449" i="29"/>
  <c r="AR448" i="29"/>
  <c r="AR443" i="29"/>
  <c r="AR445" i="29" s="1"/>
  <c r="AR446" i="29" s="1"/>
  <c r="AK448" i="29"/>
  <c r="AK449" i="29"/>
  <c r="AK443" i="29"/>
  <c r="AK445" i="29" s="1"/>
  <c r="AK446" i="29" s="1"/>
  <c r="BA448" i="29"/>
  <c r="BA449" i="29"/>
  <c r="BL449" i="29" s="1"/>
  <c r="BA443" i="29"/>
  <c r="BA445" i="29" s="1"/>
  <c r="BA446" i="29" s="1"/>
  <c r="BB444" i="29" s="1" a="1"/>
  <c r="BB444" i="29" s="1"/>
  <c r="BB447" i="29" s="1"/>
  <c r="AE151" i="30"/>
  <c r="AE149" i="30"/>
  <c r="BC304" i="29"/>
  <c r="BC305" i="29"/>
  <c r="BC299" i="29"/>
  <c r="BC301" i="29" s="1"/>
  <c r="BC302" i="29" s="1"/>
  <c r="AU304" i="29"/>
  <c r="AU305" i="29"/>
  <c r="BF305" i="29" s="1"/>
  <c r="AU299" i="29"/>
  <c r="AU301" i="29" s="1"/>
  <c r="AU302" i="29" s="1"/>
  <c r="AV300" i="29" s="1" a="1"/>
  <c r="AV300" i="29" s="1"/>
  <c r="AV303" i="29" s="1"/>
  <c r="AR305" i="29"/>
  <c r="AR304" i="29"/>
  <c r="AR299" i="29"/>
  <c r="AR301" i="29" s="1"/>
  <c r="AR302" i="29" s="1"/>
  <c r="AK305" i="29"/>
  <c r="AK304" i="29"/>
  <c r="AK299" i="29"/>
  <c r="AK301" i="29" s="1"/>
  <c r="AK302" i="29" s="1"/>
  <c r="BA305" i="29"/>
  <c r="BL305" i="29" s="1"/>
  <c r="BA304" i="29"/>
  <c r="BA299" i="29"/>
  <c r="BA301" i="29" s="1"/>
  <c r="BA302" i="29" s="1"/>
  <c r="BB300" i="29" s="1" a="1"/>
  <c r="BB300" i="29" s="1"/>
  <c r="BB303" i="29" s="1"/>
  <c r="AX304" i="29"/>
  <c r="AX305" i="29"/>
  <c r="BI305" i="29" s="1"/>
  <c r="AX299" i="29"/>
  <c r="AX301" i="29" s="1"/>
  <c r="AX302" i="29" s="1"/>
  <c r="AY300" i="29" s="1" a="1"/>
  <c r="AY300" i="29" s="1"/>
  <c r="AY303" i="29" s="1"/>
  <c r="BL117" i="30"/>
  <c r="BA150" i="30"/>
  <c r="BE117" i="30"/>
  <c r="AT150" i="30"/>
  <c r="AH117" i="30"/>
  <c r="AG150" i="30"/>
  <c r="AG161" i="29"/>
  <c r="AG160" i="29"/>
  <c r="AH154" i="29"/>
  <c r="AG155" i="29"/>
  <c r="AH155" i="29" s="1"/>
  <c r="AQ161" i="29"/>
  <c r="AQ160" i="29"/>
  <c r="AQ155" i="29"/>
  <c r="AQ157" i="29" s="1"/>
  <c r="AQ158" i="29" s="1"/>
  <c r="AS161" i="29"/>
  <c r="AS160" i="29"/>
  <c r="AS155" i="29"/>
  <c r="AS157" i="29" s="1"/>
  <c r="AS158" i="29" s="1"/>
  <c r="AU161" i="29"/>
  <c r="BF161" i="29" s="1"/>
  <c r="AU160" i="29"/>
  <c r="AU155" i="29"/>
  <c r="AU157" i="29" s="1"/>
  <c r="AU158" i="29" s="1"/>
  <c r="AV156" i="29" s="1" a="1"/>
  <c r="AV156" i="29" s="1"/>
  <c r="AV159" i="29" s="1"/>
  <c r="AT161" i="29"/>
  <c r="BE161" i="29" s="1"/>
  <c r="AT160" i="29"/>
  <c r="AT155" i="29"/>
  <c r="AT157" i="29" s="1"/>
  <c r="AT158" i="29" s="1"/>
  <c r="AU156" i="29" s="1" a="1"/>
  <c r="AU156" i="29" s="1"/>
  <c r="AU159" i="29" s="1"/>
  <c r="AJ161" i="29"/>
  <c r="AJ160" i="29"/>
  <c r="AJ155" i="29"/>
  <c r="AJ157" i="29" s="1"/>
  <c r="AJ158" i="29" s="1"/>
  <c r="AZ161" i="29"/>
  <c r="BK161" i="29" s="1"/>
  <c r="AZ160" i="29"/>
  <c r="AZ155" i="29"/>
  <c r="AZ157" i="29" s="1"/>
  <c r="AZ158" i="29" s="1"/>
  <c r="BA156" i="29" s="1" a="1"/>
  <c r="BA156" i="29" s="1"/>
  <c r="BA159" i="29" s="1"/>
  <c r="AX448" i="29"/>
  <c r="AX449" i="29"/>
  <c r="BI449" i="29" s="1"/>
  <c r="AX443" i="29"/>
  <c r="AX445" i="29" s="1"/>
  <c r="AX446" i="29" s="1"/>
  <c r="AY444" i="29" s="1" a="1"/>
  <c r="AY444" i="29" s="1"/>
  <c r="AY447" i="29" s="1"/>
  <c r="AU449" i="29"/>
  <c r="BF449" i="29" s="1"/>
  <c r="AU448" i="29"/>
  <c r="AU443" i="29"/>
  <c r="AU445" i="29" s="1"/>
  <c r="AU446" i="29" s="1"/>
  <c r="AV444" i="29" s="1" a="1"/>
  <c r="AV444" i="29" s="1"/>
  <c r="AV447" i="29" s="1"/>
  <c r="AF448" i="29"/>
  <c r="AF443" i="29"/>
  <c r="AF445" i="29" s="1"/>
  <c r="AF446" i="29" s="1"/>
  <c r="AV449" i="29"/>
  <c r="BG449" i="29" s="1"/>
  <c r="AV448" i="29"/>
  <c r="AV443" i="29"/>
  <c r="AV445" i="29" s="1"/>
  <c r="AV446" i="29" s="1"/>
  <c r="AW444" i="29" s="1" a="1"/>
  <c r="AW444" i="29" s="1"/>
  <c r="AW447" i="29" s="1"/>
  <c r="AO448" i="29"/>
  <c r="AO449" i="29"/>
  <c r="AO443" i="29"/>
  <c r="AO445" i="29" s="1"/>
  <c r="AO446" i="29" s="1"/>
  <c r="BK117" i="30"/>
  <c r="AZ150" i="30"/>
  <c r="BF117" i="30"/>
  <c r="AU150" i="30"/>
  <c r="AQ304" i="29"/>
  <c r="AQ305" i="29"/>
  <c r="AQ299" i="29"/>
  <c r="AQ301" i="29" s="1"/>
  <c r="AQ302" i="29" s="1"/>
  <c r="AF304" i="29"/>
  <c r="AF299" i="29"/>
  <c r="AF301" i="29" s="1"/>
  <c r="AF302" i="29" s="1"/>
  <c r="AV305" i="29"/>
  <c r="BG305" i="29" s="1"/>
  <c r="AV304" i="29"/>
  <c r="AV299" i="29"/>
  <c r="AV301" i="29" s="1"/>
  <c r="AV302" i="29" s="1"/>
  <c r="AW300" i="29" s="1" a="1"/>
  <c r="AW300" i="29" s="1"/>
  <c r="AW303" i="29" s="1"/>
  <c r="AO305" i="29"/>
  <c r="AO304" i="29"/>
  <c r="AO299" i="29"/>
  <c r="AO301" i="29" s="1"/>
  <c r="AO302" i="29" s="1"/>
  <c r="AL304" i="29"/>
  <c r="AL305" i="29"/>
  <c r="AL299" i="29"/>
  <c r="AL301" i="29" s="1"/>
  <c r="AL302" i="29" s="1"/>
  <c r="BB304" i="29"/>
  <c r="BB305" i="29"/>
  <c r="BM305" i="29" s="1"/>
  <c r="BB299" i="29"/>
  <c r="BB301" i="29" s="1"/>
  <c r="BB302" i="29" s="1"/>
  <c r="BC300" i="29" s="1" a="1"/>
  <c r="BC300" i="29" s="1"/>
  <c r="BC303" i="29" s="1"/>
  <c r="AO161" i="29"/>
  <c r="AO160" i="29"/>
  <c r="AO155" i="29"/>
  <c r="AO157" i="29" s="1"/>
  <c r="AO158" i="29" s="1"/>
  <c r="AY161" i="29"/>
  <c r="BJ161" i="29" s="1"/>
  <c r="AY160" i="29"/>
  <c r="AY155" i="29"/>
  <c r="AY157" i="29" s="1"/>
  <c r="AY158" i="29" s="1"/>
  <c r="AZ156" i="29" s="1" a="1"/>
  <c r="AZ156" i="29" s="1"/>
  <c r="AZ159" i="29" s="1"/>
  <c r="BA161" i="29"/>
  <c r="BL161" i="29" s="1"/>
  <c r="BA160" i="29"/>
  <c r="BA155" i="29"/>
  <c r="BA157" i="29" s="1"/>
  <c r="BA158" i="29" s="1"/>
  <c r="BB156" i="29" s="1" a="1"/>
  <c r="BB156" i="29" s="1"/>
  <c r="BB159" i="29" s="1"/>
  <c r="BC161" i="29"/>
  <c r="BC160" i="29"/>
  <c r="BC155" i="29"/>
  <c r="BC157" i="29" s="1"/>
  <c r="BC158" i="29" s="1"/>
  <c r="AX161" i="29"/>
  <c r="BI161" i="29" s="1"/>
  <c r="AX160" i="29"/>
  <c r="AX155" i="29"/>
  <c r="AX157" i="29" s="1"/>
  <c r="AX158" i="29" s="1"/>
  <c r="AY156" i="29" s="1" a="1"/>
  <c r="AY156" i="29" s="1"/>
  <c r="AY159" i="29" s="1"/>
  <c r="AN161" i="29"/>
  <c r="AN160" i="29"/>
  <c r="AN155" i="29"/>
  <c r="AN157" i="29" s="1"/>
  <c r="AN158" i="29" s="1"/>
  <c r="BI150" i="30"/>
  <c r="AX151" i="30"/>
  <c r="BI151" i="30" s="1"/>
  <c r="AX149" i="30"/>
  <c r="BD117" i="30"/>
  <c r="AI150" i="30"/>
  <c r="AL448" i="29"/>
  <c r="AL449" i="29"/>
  <c r="AL443" i="29"/>
  <c r="AL445" i="29" s="1"/>
  <c r="AL446" i="29" s="1"/>
  <c r="AY449" i="29"/>
  <c r="BJ449" i="29" s="1"/>
  <c r="AY448" i="29"/>
  <c r="AY443" i="29"/>
  <c r="AY445" i="29" s="1"/>
  <c r="AY446" i="29" s="1"/>
  <c r="AZ444" i="29" s="1" a="1"/>
  <c r="AZ444" i="29" s="1"/>
  <c r="AZ447" i="29" s="1"/>
  <c r="AJ449" i="29"/>
  <c r="AJ448" i="29"/>
  <c r="AJ443" i="29"/>
  <c r="AJ445" i="29" s="1"/>
  <c r="AJ446" i="29" s="1"/>
  <c r="AZ449" i="29"/>
  <c r="BK449" i="29" s="1"/>
  <c r="AZ448" i="29"/>
  <c r="AZ443" i="29"/>
  <c r="AZ445" i="29" s="1"/>
  <c r="AZ446" i="29" s="1"/>
  <c r="BA444" i="29" s="1" a="1"/>
  <c r="BA444" i="29" s="1"/>
  <c r="BA447" i="29" s="1"/>
  <c r="AS448" i="29"/>
  <c r="AS449" i="29"/>
  <c r="AS443" i="29"/>
  <c r="AS445" i="29" s="1"/>
  <c r="AS446" i="29" s="1"/>
  <c r="AY304" i="29"/>
  <c r="AY305" i="29"/>
  <c r="BJ305" i="29" s="1"/>
  <c r="AY299" i="29"/>
  <c r="AY301" i="29" s="1"/>
  <c r="AY302" i="29" s="1"/>
  <c r="AZ300" i="29" s="1" a="1"/>
  <c r="AZ300" i="29" s="1"/>
  <c r="AZ303" i="29" s="1"/>
  <c r="F307" i="29" a="1"/>
  <c r="F307" i="29" s="1"/>
  <c r="F308" i="29" s="1" a="1"/>
  <c r="F308" i="29" s="1"/>
  <c r="F309" i="29" s="1" a="1"/>
  <c r="F309" i="29" s="1"/>
  <c r="F310" i="29" s="1" a="1"/>
  <c r="F310" i="29" s="1"/>
  <c r="F311" i="29" s="1" a="1"/>
  <c r="F311" i="29" s="1"/>
  <c r="F312" i="29" s="1" a="1"/>
  <c r="F312" i="29" s="1"/>
  <c r="F313" i="29" s="1" a="1"/>
  <c r="F313" i="29" s="1"/>
  <c r="F314" i="29" s="1" a="1"/>
  <c r="F314" i="29" s="1"/>
  <c r="BC306" i="29"/>
  <c r="AY306" i="29"/>
  <c r="AU306" i="29"/>
  <c r="AQ306" i="29"/>
  <c r="AM306" i="29"/>
  <c r="AI306" i="29"/>
  <c r="AI309" i="29" s="1"/>
  <c r="AE306" i="29"/>
  <c r="AE309" i="29" s="1"/>
  <c r="BB306" i="29"/>
  <c r="AX306" i="29"/>
  <c r="AT306" i="29"/>
  <c r="AP306" i="29"/>
  <c r="AL306" i="29"/>
  <c r="BA306" i="29"/>
  <c r="AW306" i="29"/>
  <c r="AS306" i="29"/>
  <c r="AO306" i="29"/>
  <c r="AK306" i="29"/>
  <c r="AG306" i="29"/>
  <c r="AZ306" i="29"/>
  <c r="AJ306" i="29"/>
  <c r="AJ305" i="29" s="1"/>
  <c r="AV306" i="29"/>
  <c r="AF306" i="29"/>
  <c r="AR306" i="29"/>
  <c r="AN306" i="29"/>
  <c r="AJ304" i="29"/>
  <c r="AJ299" i="29"/>
  <c r="AJ301" i="29" s="1"/>
  <c r="AJ302" i="29" s="1"/>
  <c r="AZ305" i="29"/>
  <c r="BK305" i="29" s="1"/>
  <c r="AZ304" i="29"/>
  <c r="AZ299" i="29"/>
  <c r="AZ301" i="29" s="1"/>
  <c r="AZ302" i="29" s="1"/>
  <c r="BA300" i="29" s="1" a="1"/>
  <c r="BA300" i="29" s="1"/>
  <c r="BA303" i="29" s="1"/>
  <c r="AS305" i="29"/>
  <c r="AS304" i="29"/>
  <c r="AS299" i="29"/>
  <c r="AS301" i="29" s="1"/>
  <c r="AS302" i="29" s="1"/>
  <c r="AP304" i="29"/>
  <c r="AP305" i="29"/>
  <c r="AP299" i="29"/>
  <c r="AP301" i="29" s="1"/>
  <c r="AP302" i="29" s="1"/>
  <c r="BG117" i="30"/>
  <c r="AV150" i="30"/>
  <c r="BH117" i="30"/>
  <c r="AW150" i="30"/>
  <c r="AW161" i="29"/>
  <c r="BH161" i="29" s="1"/>
  <c r="AW160" i="29"/>
  <c r="AW155" i="29"/>
  <c r="AW157" i="29" s="1"/>
  <c r="AW158" i="29" s="1"/>
  <c r="AX156" i="29" s="1" a="1"/>
  <c r="AX156" i="29" s="1"/>
  <c r="AX159" i="29" s="1"/>
  <c r="BA162" i="29"/>
  <c r="AW162" i="29"/>
  <c r="AS162" i="29"/>
  <c r="AO162" i="29"/>
  <c r="AK162" i="29"/>
  <c r="AG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BB162" i="29"/>
  <c r="AT162" i="29"/>
  <c r="AL162" i="29"/>
  <c r="AZ162" i="29"/>
  <c r="AR162" i="29"/>
  <c r="AJ162" i="29"/>
  <c r="AX162" i="29"/>
  <c r="AP162" i="29"/>
  <c r="AV162" i="29"/>
  <c r="AN162" i="29"/>
  <c r="AF162" i="29"/>
  <c r="AE161" i="29"/>
  <c r="AE160" i="29"/>
  <c r="AE155" i="29"/>
  <c r="AE157" i="29" s="1"/>
  <c r="AE158" i="29" s="1"/>
  <c r="AL161" i="29"/>
  <c r="AL160" i="29"/>
  <c r="AL155" i="29"/>
  <c r="AL157" i="29" s="1"/>
  <c r="AL158" i="29" s="1"/>
  <c r="BB161" i="29"/>
  <c r="BM161" i="29" s="1"/>
  <c r="BB160" i="29"/>
  <c r="BB155" i="29"/>
  <c r="BB157" i="29" s="1"/>
  <c r="BB158" i="29" s="1"/>
  <c r="BC156" i="29" s="1" a="1"/>
  <c r="BC156" i="29" s="1"/>
  <c r="BC159" i="29" s="1"/>
  <c r="AR161" i="29"/>
  <c r="AR160" i="29"/>
  <c r="AR155" i="29"/>
  <c r="AR157" i="29" s="1"/>
  <c r="AR158" i="29" s="1"/>
  <c r="AH160" i="29" l="1"/>
  <c r="AG157" i="29"/>
  <c r="AF166" i="29"/>
  <c r="AF164" i="29"/>
  <c r="AF163" i="29"/>
  <c r="AF165" i="29" s="1"/>
  <c r="AJ166" i="29"/>
  <c r="AJ164" i="29"/>
  <c r="AJ163" i="29"/>
  <c r="AJ165" i="29" s="1"/>
  <c r="AM166" i="29"/>
  <c r="AM164" i="29"/>
  <c r="AM163" i="29"/>
  <c r="AM165" i="29" s="1"/>
  <c r="BC166" i="29"/>
  <c r="BC164" i="29"/>
  <c r="BC163" i="29"/>
  <c r="BC165" i="29" s="1"/>
  <c r="AO166" i="29"/>
  <c r="AO164" i="29"/>
  <c r="AO163" i="29"/>
  <c r="AO165" i="29" s="1"/>
  <c r="AW149" i="30"/>
  <c r="BH150" i="30"/>
  <c r="AW151" i="30"/>
  <c r="BH151" i="30" s="1"/>
  <c r="AN310" i="29"/>
  <c r="AN308" i="29"/>
  <c r="AN307" i="29"/>
  <c r="AN309" i="29" s="1"/>
  <c r="AJ310" i="29"/>
  <c r="AJ308" i="29"/>
  <c r="AJ307" i="29"/>
  <c r="AJ309" i="29" s="1"/>
  <c r="AO310" i="29"/>
  <c r="AO308" i="29"/>
  <c r="AO307" i="29"/>
  <c r="AO309" i="29" s="1"/>
  <c r="AL308" i="29"/>
  <c r="AL310" i="29"/>
  <c r="AL307" i="29"/>
  <c r="AL309" i="29" s="1"/>
  <c r="BB308" i="29"/>
  <c r="BB310" i="29"/>
  <c r="BB307" i="29"/>
  <c r="BB309" i="29" s="1"/>
  <c r="AQ308" i="29"/>
  <c r="AQ310" i="29"/>
  <c r="AQ307" i="29"/>
  <c r="AQ309" i="29" s="1"/>
  <c r="AH157" i="29"/>
  <c r="AG158" i="29"/>
  <c r="AH158" i="29" s="1"/>
  <c r="AG149" i="30"/>
  <c r="AH149" i="30" s="1"/>
  <c r="AG151" i="30"/>
  <c r="AH150" i="30"/>
  <c r="AH151" i="30" s="1"/>
  <c r="BA149" i="30"/>
  <c r="BL150" i="30"/>
  <c r="BA151" i="30"/>
  <c r="BL151" i="30" s="1"/>
  <c r="AQ454" i="29"/>
  <c r="AQ452" i="29"/>
  <c r="AQ451" i="29"/>
  <c r="AQ453" i="29" s="1"/>
  <c r="AF452" i="29"/>
  <c r="AF454" i="29"/>
  <c r="AF451" i="29"/>
  <c r="AF453" i="29" s="1"/>
  <c r="AV454" i="29"/>
  <c r="AV452" i="29"/>
  <c r="AV451" i="29"/>
  <c r="AV453" i="29" s="1"/>
  <c r="AO452" i="29"/>
  <c r="AO454" i="29"/>
  <c r="AO451" i="29"/>
  <c r="AO453" i="29" s="1"/>
  <c r="AL452" i="29"/>
  <c r="AL454" i="29"/>
  <c r="AL451" i="29"/>
  <c r="AL453" i="29" s="1"/>
  <c r="BB452" i="29"/>
  <c r="BB454" i="29"/>
  <c r="BB451" i="29"/>
  <c r="BB453" i="29" s="1"/>
  <c r="AH304" i="29"/>
  <c r="AG446" i="29"/>
  <c r="AH446" i="29" s="1"/>
  <c r="AH445" i="29"/>
  <c r="AN166" i="29"/>
  <c r="AN164" i="29"/>
  <c r="AN163" i="29"/>
  <c r="AN165" i="29" s="1"/>
  <c r="AT166" i="29"/>
  <c r="AT164" i="29"/>
  <c r="AT163" i="29"/>
  <c r="AT165" i="29" s="1"/>
  <c r="AV166" i="29"/>
  <c r="AV164" i="29"/>
  <c r="AV163" i="29"/>
  <c r="AV165" i="29" s="1"/>
  <c r="AR166" i="29"/>
  <c r="AR164" i="29"/>
  <c r="AR163" i="29"/>
  <c r="AR165" i="29" s="1"/>
  <c r="BB166" i="29"/>
  <c r="BB164" i="29"/>
  <c r="BB163" i="29"/>
  <c r="BB165" i="29" s="1"/>
  <c r="AQ166" i="29"/>
  <c r="AQ164" i="29"/>
  <c r="AQ163" i="29"/>
  <c r="AQ165" i="29" s="1"/>
  <c r="AS166" i="29"/>
  <c r="AS164" i="29"/>
  <c r="AS163" i="29"/>
  <c r="AS165" i="29" s="1"/>
  <c r="AR310" i="29"/>
  <c r="AR308" i="29"/>
  <c r="AR307" i="29"/>
  <c r="AR309" i="29" s="1"/>
  <c r="AZ310" i="29"/>
  <c r="AZ308" i="29"/>
  <c r="AZ307" i="29"/>
  <c r="AZ309" i="29" s="1"/>
  <c r="AS310" i="29"/>
  <c r="AS308" i="29"/>
  <c r="AS307" i="29"/>
  <c r="AS309" i="29" s="1"/>
  <c r="AP308" i="29"/>
  <c r="AP310" i="29"/>
  <c r="AP307" i="29"/>
  <c r="AP309" i="29" s="1"/>
  <c r="AU308" i="29"/>
  <c r="AU310" i="29"/>
  <c r="AU307" i="29"/>
  <c r="AU309" i="29" s="1"/>
  <c r="AZ149" i="30"/>
  <c r="BK150" i="30"/>
  <c r="AZ151" i="30"/>
  <c r="BK151" i="30" s="1"/>
  <c r="AY454" i="29"/>
  <c r="AY452" i="29"/>
  <c r="AY451" i="29"/>
  <c r="AY453" i="29" s="1"/>
  <c r="AJ454" i="29"/>
  <c r="AJ452" i="29"/>
  <c r="AJ451" i="29"/>
  <c r="AJ453" i="29" s="1"/>
  <c r="AZ454" i="29"/>
  <c r="AZ452" i="29"/>
  <c r="AZ451" i="29"/>
  <c r="AZ453" i="29" s="1"/>
  <c r="AS452" i="29"/>
  <c r="AS454" i="29"/>
  <c r="AS451" i="29"/>
  <c r="AS453" i="29" s="1"/>
  <c r="AP452" i="29"/>
  <c r="AP454" i="29"/>
  <c r="AP451" i="29"/>
  <c r="AP453" i="29" s="1"/>
  <c r="AH299" i="29"/>
  <c r="AH443" i="29"/>
  <c r="AH448" i="29"/>
  <c r="F137" i="30" a="1"/>
  <c r="F137" i="30" s="1"/>
  <c r="AP166" i="29"/>
  <c r="AP164" i="29"/>
  <c r="AP163" i="29"/>
  <c r="AP165" i="29" s="1"/>
  <c r="AZ166" i="29"/>
  <c r="AZ164" i="29"/>
  <c r="AZ163" i="29"/>
  <c r="AZ165" i="29" s="1"/>
  <c r="AE166" i="29"/>
  <c r="AE164" i="29"/>
  <c r="AE163" i="29"/>
  <c r="AE165" i="29" s="1"/>
  <c r="AU166" i="29"/>
  <c r="AU164" i="29"/>
  <c r="AU163" i="29"/>
  <c r="AU165" i="29" s="1"/>
  <c r="AG166" i="29"/>
  <c r="AH166" i="29" s="1"/>
  <c r="AG164" i="29"/>
  <c r="AH162" i="29"/>
  <c r="AG163" i="29"/>
  <c r="AH163" i="29" s="1"/>
  <c r="AW166" i="29"/>
  <c r="AW164" i="29"/>
  <c r="AW163" i="29"/>
  <c r="AW165" i="29" s="1"/>
  <c r="AV149" i="30"/>
  <c r="BG150" i="30"/>
  <c r="AV151" i="30"/>
  <c r="BG151" i="30" s="1"/>
  <c r="AF310" i="29"/>
  <c r="AF308" i="29"/>
  <c r="AF307" i="29"/>
  <c r="AF309" i="29" s="1"/>
  <c r="AG308" i="29"/>
  <c r="AH306" i="29"/>
  <c r="AG307" i="29"/>
  <c r="AW310" i="29"/>
  <c r="AW308" i="29"/>
  <c r="AW307" i="29"/>
  <c r="AW309" i="29" s="1"/>
  <c r="AT308" i="29"/>
  <c r="AT307" i="29"/>
  <c r="AT309" i="29" s="1"/>
  <c r="AY308" i="29"/>
  <c r="AY310" i="29"/>
  <c r="AY307" i="29"/>
  <c r="AY309" i="29" s="1"/>
  <c r="AI151" i="30"/>
  <c r="BD151" i="30" s="1"/>
  <c r="BD150" i="30"/>
  <c r="AI149" i="30"/>
  <c r="AF305" i="29"/>
  <c r="BE150" i="30"/>
  <c r="AT149" i="30"/>
  <c r="AM454" i="29"/>
  <c r="AM452" i="29"/>
  <c r="AM451" i="29"/>
  <c r="AM453" i="29" s="1"/>
  <c r="AN454" i="29"/>
  <c r="AN452" i="29"/>
  <c r="AN451" i="29"/>
  <c r="AN453" i="29" s="1"/>
  <c r="AG452" i="29"/>
  <c r="AH452" i="29" s="1"/>
  <c r="AH450" i="29"/>
  <c r="AG454" i="29"/>
  <c r="AH454" i="29" s="1"/>
  <c r="AG451" i="29"/>
  <c r="AW452" i="29"/>
  <c r="AW454" i="29"/>
  <c r="AW451" i="29"/>
  <c r="AW453" i="29" s="1"/>
  <c r="AT452" i="29"/>
  <c r="AT451" i="29"/>
  <c r="AT453" i="29" s="1"/>
  <c r="AG305" i="29"/>
  <c r="BM150" i="30"/>
  <c r="BB151" i="30"/>
  <c r="BM151" i="30" s="1"/>
  <c r="BB149" i="30"/>
  <c r="AY151" i="30"/>
  <c r="BJ151" i="30" s="1"/>
  <c r="AY149" i="30"/>
  <c r="BJ150" i="30"/>
  <c r="AX166" i="29"/>
  <c r="AX164" i="29"/>
  <c r="AX163" i="29"/>
  <c r="AX165" i="29" s="1"/>
  <c r="AL166" i="29"/>
  <c r="AL164" i="29"/>
  <c r="AL163" i="29"/>
  <c r="AL165" i="29" s="1"/>
  <c r="AI166" i="29"/>
  <c r="AI164" i="29"/>
  <c r="AI163" i="29"/>
  <c r="AI165" i="29" s="1"/>
  <c r="AY166" i="29"/>
  <c r="AY164" i="29"/>
  <c r="AY163" i="29"/>
  <c r="AY165" i="29" s="1"/>
  <c r="AK166" i="29"/>
  <c r="AK164" i="29"/>
  <c r="AK163" i="29"/>
  <c r="AK165" i="29" s="1"/>
  <c r="BA166" i="29"/>
  <c r="BA164" i="29"/>
  <c r="BA163" i="29"/>
  <c r="BA165" i="29" s="1"/>
  <c r="AV310" i="29"/>
  <c r="AV308" i="29"/>
  <c r="AV307" i="29"/>
  <c r="AV309" i="29" s="1"/>
  <c r="AK310" i="29"/>
  <c r="AK308" i="29"/>
  <c r="AK307" i="29"/>
  <c r="AK309" i="29" s="1"/>
  <c r="BA310" i="29"/>
  <c r="BA308" i="29"/>
  <c r="BA307" i="29"/>
  <c r="BA309" i="29" s="1"/>
  <c r="AX308" i="29"/>
  <c r="AX310" i="29"/>
  <c r="AX307" i="29"/>
  <c r="AX309" i="29" s="1"/>
  <c r="AM308" i="29"/>
  <c r="AM310" i="29"/>
  <c r="AM307" i="29"/>
  <c r="AM309" i="29" s="1"/>
  <c r="BC308" i="29"/>
  <c r="BC310" i="29"/>
  <c r="BC307" i="29"/>
  <c r="BC309" i="29" s="1"/>
  <c r="AU151" i="30"/>
  <c r="BF151" i="30" s="1"/>
  <c r="AU149" i="30"/>
  <c r="BF150" i="30"/>
  <c r="BC454" i="29"/>
  <c r="BC452" i="29"/>
  <c r="BC451" i="29"/>
  <c r="BC453" i="29" s="1"/>
  <c r="AU454" i="29"/>
  <c r="AU452" i="29"/>
  <c r="AU451" i="29"/>
  <c r="AU453" i="29" s="1"/>
  <c r="AR454" i="29"/>
  <c r="AR452" i="29"/>
  <c r="AR451" i="29"/>
  <c r="AR453" i="29" s="1"/>
  <c r="AK452" i="29"/>
  <c r="AK454" i="29"/>
  <c r="AK451" i="29"/>
  <c r="AK453" i="29" s="1"/>
  <c r="BA452" i="29"/>
  <c r="BA454" i="29"/>
  <c r="BA451" i="29"/>
  <c r="BA453" i="29" s="1"/>
  <c r="AX452" i="29"/>
  <c r="AX454" i="29"/>
  <c r="AX451" i="29"/>
  <c r="AX453" i="29" s="1"/>
  <c r="AH301" i="29"/>
  <c r="AG302" i="29"/>
  <c r="AH302" i="29" s="1"/>
  <c r="AG449" i="29"/>
  <c r="AH164" i="29" l="1"/>
  <c r="AH451" i="29"/>
  <c r="AG310" i="29"/>
  <c r="AH310" i="29" s="1"/>
  <c r="AH308" i="29"/>
  <c r="AG165" i="29"/>
  <c r="AH165" i="29" s="1"/>
  <c r="AH307" i="29"/>
  <c r="AJ137" i="30"/>
  <c r="AT137" i="30"/>
  <c r="BO137" i="30"/>
  <c r="F138" i="30" a="1"/>
  <c r="F138" i="30" s="1"/>
  <c r="AG453" i="29"/>
  <c r="AH453" i="29" s="1"/>
  <c r="AH449" i="29" s="1"/>
  <c r="AG309" i="29"/>
  <c r="AH309" i="29" s="1"/>
  <c r="AH161" i="29" l="1"/>
  <c r="AT138" i="30"/>
  <c r="AJ138" i="30"/>
  <c r="F139" i="30" a="1"/>
  <c r="F139" i="30" s="1"/>
  <c r="BO138" i="30"/>
  <c r="AH305" i="29"/>
  <c r="F140" i="30" l="1" a="1"/>
  <c r="F140" i="30" s="1"/>
  <c r="AJ139" i="30"/>
  <c r="BO140" i="30" l="1"/>
  <c r="AT140" i="30"/>
  <c r="F141" i="30" a="1"/>
  <c r="F141" i="30" s="1"/>
  <c r="AJ140" i="30"/>
  <c r="F142" i="30" l="1" a="1"/>
  <c r="F142" i="30" s="1"/>
  <c r="BO141" i="30"/>
  <c r="AT141" i="30"/>
  <c r="AJ141" i="30"/>
  <c r="F143" i="30" l="1" a="1"/>
  <c r="F143" i="30" s="1"/>
  <c r="BO142" i="30"/>
  <c r="AT142" i="30"/>
  <c r="AJ142" i="30"/>
  <c r="AJ143" i="30" l="1"/>
  <c r="F144" i="30" a="1"/>
  <c r="F144" i="30" s="1"/>
  <c r="BO143" i="30"/>
  <c r="AT143" i="30"/>
  <c r="BE143" i="30" s="1"/>
  <c r="AT144" i="30" l="1"/>
  <c r="AJ144" i="30"/>
  <c r="F145" i="30" a="1"/>
  <c r="F145" i="30" s="1"/>
  <c r="BO144" i="30"/>
  <c r="F146" i="30" l="1" a="1"/>
  <c r="F146" i="30" s="1"/>
  <c r="BO145" i="30"/>
  <c r="AT145" i="30"/>
  <c r="AJ145" i="30"/>
  <c r="F147" i="30" l="1" a="1"/>
  <c r="F147" i="30" s="1"/>
  <c r="BO146" i="30"/>
  <c r="AT146" i="30"/>
  <c r="AJ146" i="30"/>
  <c r="AJ147" i="30" l="1"/>
  <c r="BO147" i="30"/>
  <c r="F148" i="30" a="1"/>
  <c r="F148" i="30" s="1"/>
  <c r="F149" i="30" s="1" a="1"/>
  <c r="F149" i="30" s="1"/>
  <c r="F150" i="30" s="1" a="1"/>
  <c r="F150" i="30" s="1"/>
  <c r="F151" i="30" s="1" a="1"/>
  <c r="F151" i="30" s="1"/>
  <c r="F152" i="30" s="1" a="1"/>
  <c r="F152" i="30" s="1"/>
  <c r="F153" i="30" s="1" a="1"/>
  <c r="F153" i="30" s="1"/>
  <c r="F154" i="30" s="1" a="1"/>
  <c r="F154" i="30" s="1"/>
  <c r="AT147" i="30"/>
  <c r="F155" i="30" l="1" a="1"/>
  <c r="F155" i="30" s="1"/>
  <c r="F156" i="30" s="1" a="1"/>
  <c r="F156" i="30" s="1"/>
  <c r="F157" i="30" s="1" a="1"/>
  <c r="F157" i="30" s="1"/>
  <c r="F158" i="30" s="1" a="1"/>
  <c r="F158" i="30" s="1"/>
  <c r="F159" i="30" s="1" a="1"/>
  <c r="F159" i="30" s="1"/>
  <c r="F160" i="30" s="1" a="1"/>
  <c r="F160" i="30" s="1"/>
  <c r="F161" i="30" s="1" a="1"/>
  <c r="F161" i="30" s="1"/>
  <c r="F162" i="30" s="1" a="1"/>
  <c r="F162" i="30" s="1"/>
  <c r="BC154" i="30"/>
  <c r="AY154" i="30"/>
  <c r="AU154" i="30"/>
  <c r="AQ154" i="30"/>
  <c r="AM154" i="30"/>
  <c r="AI154" i="30"/>
  <c r="AE154" i="30"/>
  <c r="BB154" i="30"/>
  <c r="AX154" i="30"/>
  <c r="AT154" i="30"/>
  <c r="AP154" i="30"/>
  <c r="AL154" i="30"/>
  <c r="BA154" i="30"/>
  <c r="AW154" i="30"/>
  <c r="AS154" i="30"/>
  <c r="AO154" i="30"/>
  <c r="AK154" i="30"/>
  <c r="AG154" i="30"/>
  <c r="AZ154" i="30"/>
  <c r="AV154" i="30"/>
  <c r="AR154" i="30"/>
  <c r="AN154" i="30"/>
  <c r="AJ154" i="30"/>
  <c r="AF154" i="30"/>
  <c r="AJ161" i="30" l="1"/>
  <c r="AJ160" i="30"/>
  <c r="AJ155" i="30"/>
  <c r="AJ157" i="30" s="1"/>
  <c r="AJ158" i="30" s="1"/>
  <c r="AZ161" i="30"/>
  <c r="BK161" i="30" s="1"/>
  <c r="AZ160" i="30"/>
  <c r="AZ155" i="30"/>
  <c r="AZ157" i="30" s="1"/>
  <c r="AZ158" i="30" s="1"/>
  <c r="BA156" i="30" s="1" a="1"/>
  <c r="BA156" i="30" s="1"/>
  <c r="BA159" i="30" s="1"/>
  <c r="AS161" i="30"/>
  <c r="AS160" i="30"/>
  <c r="AS155" i="30"/>
  <c r="AS157" i="30" s="1"/>
  <c r="AS158" i="30" s="1"/>
  <c r="AP161" i="30"/>
  <c r="AP160" i="30"/>
  <c r="AP155" i="30"/>
  <c r="AP157" i="30" s="1"/>
  <c r="AP158" i="30" s="1"/>
  <c r="AE161" i="30"/>
  <c r="AE160" i="30"/>
  <c r="AE155" i="30"/>
  <c r="AE157" i="30" s="1"/>
  <c r="AE158" i="30" s="1"/>
  <c r="AU161" i="30"/>
  <c r="BF161" i="30" s="1"/>
  <c r="AU160" i="30"/>
  <c r="AU155" i="30"/>
  <c r="AU157" i="30" s="1"/>
  <c r="AU158" i="30" s="1"/>
  <c r="AV156" i="30" s="1" a="1"/>
  <c r="AV156" i="30" s="1"/>
  <c r="AV159" i="30" s="1"/>
  <c r="AN161" i="30"/>
  <c r="AN160" i="30"/>
  <c r="AN155" i="30"/>
  <c r="AN157" i="30" s="1"/>
  <c r="AN158" i="30" s="1"/>
  <c r="AG161" i="30"/>
  <c r="AG160" i="30"/>
  <c r="AH154" i="30"/>
  <c r="AG155" i="30"/>
  <c r="AW161" i="30"/>
  <c r="BH161" i="30" s="1"/>
  <c r="AW160" i="30"/>
  <c r="AW155" i="30"/>
  <c r="AW157" i="30" s="1"/>
  <c r="AW158" i="30" s="1"/>
  <c r="AX156" i="30" s="1" a="1"/>
  <c r="AX156" i="30" s="1"/>
  <c r="AX159" i="30" s="1"/>
  <c r="AT161" i="30"/>
  <c r="BE161" i="30" s="1"/>
  <c r="AT160" i="30"/>
  <c r="AT155" i="30"/>
  <c r="AT157" i="30" s="1"/>
  <c r="AT158" i="30" s="1"/>
  <c r="AU156" i="30" s="1" a="1"/>
  <c r="AU156" i="30" s="1"/>
  <c r="AU159" i="30" s="1"/>
  <c r="AI161" i="30"/>
  <c r="BD161" i="30" s="1"/>
  <c r="AI160" i="30"/>
  <c r="AI155" i="30"/>
  <c r="AI157" i="30" s="1"/>
  <c r="AI158" i="30" s="1"/>
  <c r="AY161" i="30"/>
  <c r="BJ161" i="30" s="1"/>
  <c r="AY160" i="30"/>
  <c r="AY155" i="30"/>
  <c r="AY157" i="30" s="1"/>
  <c r="AY158" i="30" s="1"/>
  <c r="AZ156" i="30" s="1" a="1"/>
  <c r="AZ156" i="30" s="1"/>
  <c r="AZ159" i="30" s="1"/>
  <c r="AR161" i="30"/>
  <c r="AR160" i="30"/>
  <c r="AR155" i="30"/>
  <c r="AR157" i="30" s="1"/>
  <c r="AR158" i="30" s="1"/>
  <c r="AK161" i="30"/>
  <c r="AK160" i="30"/>
  <c r="AK155" i="30"/>
  <c r="AK157" i="30" s="1"/>
  <c r="AK158" i="30" s="1"/>
  <c r="BA161" i="30"/>
  <c r="BL161" i="30" s="1"/>
  <c r="BA160" i="30"/>
  <c r="BA155" i="30"/>
  <c r="BA157" i="30" s="1"/>
  <c r="BA158" i="30" s="1"/>
  <c r="BB156" i="30" s="1" a="1"/>
  <c r="BB156" i="30" s="1"/>
  <c r="BB159" i="30" s="1"/>
  <c r="AX161" i="30"/>
  <c r="BI161" i="30" s="1"/>
  <c r="AX160" i="30"/>
  <c r="AX155" i="30"/>
  <c r="AX157" i="30" s="1"/>
  <c r="AX158" i="30" s="1"/>
  <c r="AY156" i="30" s="1" a="1"/>
  <c r="AY156" i="30" s="1"/>
  <c r="AY159" i="30" s="1"/>
  <c r="AM161" i="30"/>
  <c r="AM160" i="30"/>
  <c r="AM155" i="30"/>
  <c r="AM157" i="30" s="1"/>
  <c r="AM158" i="30" s="1"/>
  <c r="BC161" i="30"/>
  <c r="BC160" i="30"/>
  <c r="BC155" i="30"/>
  <c r="BC157" i="30" s="1"/>
  <c r="BC158" i="30" s="1"/>
  <c r="AF161" i="30"/>
  <c r="AF160" i="30"/>
  <c r="AF155" i="30"/>
  <c r="AF157" i="30" s="1"/>
  <c r="AF158" i="30" s="1"/>
  <c r="AV161" i="30"/>
  <c r="BG161" i="30" s="1"/>
  <c r="AV160" i="30"/>
  <c r="AV155" i="30"/>
  <c r="AV157" i="30" s="1"/>
  <c r="AV158" i="30" s="1"/>
  <c r="AW156" i="30" s="1" a="1"/>
  <c r="AW156" i="30" s="1"/>
  <c r="AW159" i="30" s="1"/>
  <c r="AO161" i="30"/>
  <c r="AO160" i="30"/>
  <c r="AO155" i="30"/>
  <c r="AO157" i="30" s="1"/>
  <c r="AO158" i="30" s="1"/>
  <c r="AL161" i="30"/>
  <c r="AL160" i="30"/>
  <c r="AL155" i="30"/>
  <c r="AL157" i="30" s="1"/>
  <c r="AL158" i="30" s="1"/>
  <c r="BB161" i="30"/>
  <c r="BM161" i="30" s="1"/>
  <c r="BB160" i="30"/>
  <c r="BB155" i="30"/>
  <c r="BB157" i="30" s="1"/>
  <c r="BB158" i="30" s="1"/>
  <c r="BC156" i="30" s="1" a="1"/>
  <c r="BC156" i="30" s="1"/>
  <c r="BC159" i="30" s="1"/>
  <c r="AQ161" i="30"/>
  <c r="AQ160" i="30"/>
  <c r="AQ155" i="30"/>
  <c r="AQ157" i="30" s="1"/>
  <c r="AQ158" i="30" s="1"/>
  <c r="AZ162" i="30"/>
  <c r="AV162" i="30"/>
  <c r="AR162" i="30"/>
  <c r="AN162" i="30"/>
  <c r="AJ162" i="30"/>
  <c r="AF162" i="30"/>
  <c r="F163" i="30" a="1"/>
  <c r="F163" i="30" s="1"/>
  <c r="F164" i="30" s="1" a="1"/>
  <c r="F164" i="30" s="1"/>
  <c r="F165" i="30" s="1" a="1"/>
  <c r="F165" i="30" s="1"/>
  <c r="F166" i="30" s="1" a="1"/>
  <c r="F166" i="30" s="1"/>
  <c r="F167" i="30" s="1" a="1"/>
  <c r="F167" i="30" s="1"/>
  <c r="F168" i="30" s="1" a="1"/>
  <c r="F168" i="30" s="1"/>
  <c r="F169" i="30" s="1" a="1"/>
  <c r="F169" i="30" s="1"/>
  <c r="F170" i="30" s="1" a="1"/>
  <c r="F170" i="30" s="1"/>
  <c r="BC162" i="30"/>
  <c r="AY162" i="30"/>
  <c r="AU162" i="30"/>
  <c r="AQ162" i="30"/>
  <c r="AM162" i="30"/>
  <c r="AI162" i="30"/>
  <c r="AE162" i="30"/>
  <c r="BB162" i="30"/>
  <c r="AX162" i="30"/>
  <c r="AT162" i="30"/>
  <c r="AP162" i="30"/>
  <c r="AL162" i="30"/>
  <c r="BA162" i="30"/>
  <c r="AW162" i="30"/>
  <c r="AS162" i="30"/>
  <c r="AO162" i="30"/>
  <c r="AK162" i="30"/>
  <c r="AG162" i="30"/>
  <c r="AK166" i="30" l="1"/>
  <c r="AK164" i="30"/>
  <c r="AK163" i="30"/>
  <c r="AK165" i="30" s="1"/>
  <c r="AG68" i="27" s="1"/>
  <c r="AO166" i="30"/>
  <c r="AO164" i="30"/>
  <c r="AO163" i="30"/>
  <c r="AO165" i="30" s="1"/>
  <c r="AS68" i="27" s="1"/>
  <c r="AL166" i="30"/>
  <c r="AL164" i="30"/>
  <c r="AL163" i="30"/>
  <c r="AL165" i="30" s="1"/>
  <c r="AJ68" i="27" s="1"/>
  <c r="BB166" i="30"/>
  <c r="BB164" i="30"/>
  <c r="BB163" i="30"/>
  <c r="BB165" i="30" s="1"/>
  <c r="BC68" i="27" s="1"/>
  <c r="BC66" i="27" s="1"/>
  <c r="AQ166" i="30"/>
  <c r="AQ164" i="30"/>
  <c r="AQ163" i="30"/>
  <c r="AQ165" i="30" s="1"/>
  <c r="AY68" i="27" s="1"/>
  <c r="AQ100" i="27"/>
  <c r="AK56" i="27"/>
  <c r="AK54" i="27" s="1"/>
  <c r="AH104" i="27"/>
  <c r="AV165" i="27"/>
  <c r="AX165" i="27" s="1"/>
  <c r="AS50" i="27"/>
  <c r="BE34" i="27"/>
  <c r="AT182" i="27"/>
  <c r="AT180" i="27" s="1"/>
  <c r="AJ161" i="27"/>
  <c r="AL161" i="27" s="1"/>
  <c r="AG90" i="26"/>
  <c r="AP164" i="27"/>
  <c r="AK160" i="27"/>
  <c r="AK162" i="27" s="1"/>
  <c r="AG88" i="27"/>
  <c r="AI88" i="27" s="1"/>
  <c r="AS148" i="27"/>
  <c r="AZ212" i="27"/>
  <c r="AP151" i="27"/>
  <c r="AR151" i="27" s="1"/>
  <c r="AZ102" i="27"/>
  <c r="AT119" i="27"/>
  <c r="AT117" i="27" s="1"/>
  <c r="AG161" i="27"/>
  <c r="AI161" i="27" s="1"/>
  <c r="AJ50" i="27"/>
  <c r="AV148" i="27"/>
  <c r="BF149" i="27"/>
  <c r="AY88" i="27"/>
  <c r="BA88" i="27" s="1"/>
  <c r="BB102" i="27"/>
  <c r="BD102" i="27" s="1"/>
  <c r="AV34" i="27"/>
  <c r="BE148" i="27"/>
  <c r="AN86" i="27"/>
  <c r="AY188" i="27"/>
  <c r="AZ194" i="27"/>
  <c r="AZ192" i="27" s="1"/>
  <c r="AH125" i="27"/>
  <c r="AH123" i="27" s="1"/>
  <c r="AJ104" i="27"/>
  <c r="AL104" i="27" s="1"/>
  <c r="AZ98" i="27"/>
  <c r="AP131" i="27"/>
  <c r="BB113" i="27"/>
  <c r="AM98" i="27"/>
  <c r="AO98" i="27" s="1"/>
  <c r="AW176" i="27"/>
  <c r="AW174" i="27" s="1"/>
  <c r="AD97" i="27"/>
  <c r="AD41" i="27"/>
  <c r="AF41" i="27" s="1"/>
  <c r="BE50" i="27"/>
  <c r="BF50" i="27"/>
  <c r="BF48" i="27" s="1"/>
  <c r="BE98" i="27"/>
  <c r="BG98" i="27" s="1"/>
  <c r="AJ211" i="27"/>
  <c r="AJ56" i="27"/>
  <c r="BC41" i="27"/>
  <c r="BE151" i="27"/>
  <c r="BG151" i="27" s="1"/>
  <c r="AW163" i="27"/>
  <c r="AV100" i="27"/>
  <c r="AX100" i="27" s="1"/>
  <c r="AG144" i="26"/>
  <c r="AZ163" i="27"/>
  <c r="BF188" i="27"/>
  <c r="BF186" i="27" s="1"/>
  <c r="AJ102" i="27"/>
  <c r="AL102" i="27" s="1"/>
  <c r="AH88" i="27"/>
  <c r="AY151" i="27"/>
  <c r="BA151" i="27" s="1"/>
  <c r="AV101" i="27"/>
  <c r="AS34" i="27"/>
  <c r="AC31" i="32"/>
  <c r="AY164" i="27"/>
  <c r="AM160" i="27"/>
  <c r="AQ113" i="27"/>
  <c r="AQ111" i="27" s="1"/>
  <c r="AY38" i="27"/>
  <c r="AY86" i="27"/>
  <c r="BA86" i="27" s="1"/>
  <c r="AP163" i="27"/>
  <c r="AR163" i="27" s="1"/>
  <c r="BE119" i="27"/>
  <c r="AM164" i="27"/>
  <c r="AS214" i="27"/>
  <c r="AU214" i="27" s="1"/>
  <c r="BF165" i="27"/>
  <c r="AS88" i="27"/>
  <c r="AU88" i="27" s="1"/>
  <c r="AZ101" i="27"/>
  <c r="AZ103" i="27" s="1"/>
  <c r="AT86" i="27"/>
  <c r="AM151" i="27"/>
  <c r="AO151" i="27" s="1"/>
  <c r="AN113" i="27"/>
  <c r="AN111" i="27" s="1"/>
  <c r="AE101" i="27"/>
  <c r="AQ88" i="27"/>
  <c r="AH182" i="27"/>
  <c r="AH180" i="27" s="1"/>
  <c r="AV211" i="27"/>
  <c r="AW149" i="27"/>
  <c r="AJ131" i="27"/>
  <c r="AP188" i="27"/>
  <c r="BC148" i="27"/>
  <c r="BC150" i="27" s="1"/>
  <c r="AM97" i="27"/>
  <c r="AY165" i="27"/>
  <c r="BA165" i="27" s="1"/>
  <c r="AY119" i="27"/>
  <c r="BE165" i="27"/>
  <c r="BG165" i="27" s="1"/>
  <c r="AV161" i="27"/>
  <c r="AX161" i="27" s="1"/>
  <c r="AE211" i="27"/>
  <c r="BE56" i="27"/>
  <c r="AQ85" i="27"/>
  <c r="AQ87" i="27" s="1"/>
  <c r="AZ131" i="27"/>
  <c r="AZ129" i="27" s="1"/>
  <c r="AT163" i="27"/>
  <c r="AD125" i="27"/>
  <c r="BF176" i="27"/>
  <c r="BF174" i="27" s="1"/>
  <c r="AZ211" i="27"/>
  <c r="AZ213" i="27" s="1"/>
  <c r="AH149" i="27"/>
  <c r="AM167" i="27"/>
  <c r="AO167" i="27" s="1"/>
  <c r="AN163" i="27"/>
  <c r="AQ104" i="27"/>
  <c r="AY98" i="27"/>
  <c r="BA98" i="27" s="1"/>
  <c r="AD214" i="27"/>
  <c r="AP98" i="27"/>
  <c r="AR98" i="27" s="1"/>
  <c r="AE34" i="27"/>
  <c r="AE36" i="27" s="1"/>
  <c r="BF163" i="27"/>
  <c r="AH35" i="27"/>
  <c r="AG145" i="26"/>
  <c r="AK113" i="27"/>
  <c r="AK111" i="27" s="1"/>
  <c r="AW148" i="27"/>
  <c r="AW150" i="27" s="1"/>
  <c r="AY125" i="27"/>
  <c r="BC86" i="27"/>
  <c r="AN167" i="27"/>
  <c r="AM188" i="27"/>
  <c r="AP56" i="27"/>
  <c r="AZ125" i="27"/>
  <c r="AZ123" i="27" s="1"/>
  <c r="AZ88" i="27"/>
  <c r="AH101" i="27"/>
  <c r="AH103" i="27" s="1"/>
  <c r="AH37" i="27"/>
  <c r="BC104" i="27"/>
  <c r="AY131" i="27"/>
  <c r="AS104" i="27"/>
  <c r="AU104" i="27" s="1"/>
  <c r="AK119" i="27"/>
  <c r="AK117" i="27" s="1"/>
  <c r="AS176" i="27"/>
  <c r="AQ165" i="27"/>
  <c r="AT88" i="27"/>
  <c r="AK211" i="27"/>
  <c r="AK213" i="27" s="1"/>
  <c r="BF98" i="27"/>
  <c r="AE151" i="27"/>
  <c r="AG165" i="27"/>
  <c r="AI165" i="27" s="1"/>
  <c r="AT164" i="27"/>
  <c r="AT166" i="27" s="1"/>
  <c r="AJ164" i="27"/>
  <c r="AD88" i="27"/>
  <c r="AF88" i="27" s="1"/>
  <c r="AK98" i="27"/>
  <c r="AP37" i="27"/>
  <c r="AR37" i="27" s="1"/>
  <c r="AH163" i="27"/>
  <c r="AG119" i="27"/>
  <c r="BE164" i="27"/>
  <c r="AH86" i="27"/>
  <c r="AT102" i="27"/>
  <c r="AQ194" i="27"/>
  <c r="AQ192" i="27" s="1"/>
  <c r="AS149" i="27"/>
  <c r="AU149" i="27" s="1"/>
  <c r="AQ151" i="27"/>
  <c r="AT167" i="27"/>
  <c r="AN212" i="27"/>
  <c r="AQ188" i="27"/>
  <c r="AQ186" i="27" s="1"/>
  <c r="BC212" i="27"/>
  <c r="AG176" i="27"/>
  <c r="AQ163" i="27"/>
  <c r="AD131" i="27"/>
  <c r="AZ35" i="27"/>
  <c r="AN148" i="27"/>
  <c r="AN150" i="27" s="1"/>
  <c r="BC211" i="27"/>
  <c r="BC213" i="27" s="1"/>
  <c r="AK194" i="27"/>
  <c r="AK192" i="27" s="1"/>
  <c r="AW194" i="27"/>
  <c r="AW192" i="27" s="1"/>
  <c r="AQ176" i="27"/>
  <c r="AQ174" i="27" s="1"/>
  <c r="AD188" i="27"/>
  <c r="AG160" i="27"/>
  <c r="AH98" i="27"/>
  <c r="AP165" i="27"/>
  <c r="AR165" i="27" s="1"/>
  <c r="AJ97" i="27"/>
  <c r="AG97" i="27"/>
  <c r="AY176" i="27"/>
  <c r="AZ214" i="27"/>
  <c r="BE102" i="27"/>
  <c r="BG102" i="27" s="1"/>
  <c r="AG91" i="26"/>
  <c r="AK35" i="27"/>
  <c r="AN161" i="27"/>
  <c r="AD149" i="27"/>
  <c r="BF97" i="27"/>
  <c r="BF99" i="27" s="1"/>
  <c r="AP194" i="27"/>
  <c r="AK86" i="27"/>
  <c r="AG92" i="26"/>
  <c r="AG40" i="26"/>
  <c r="BB163" i="27"/>
  <c r="BD163" i="27" s="1"/>
  <c r="AK41" i="27"/>
  <c r="AK164" i="27"/>
  <c r="AK166" i="27" s="1"/>
  <c r="AZ148" i="27"/>
  <c r="AZ150" i="27" s="1"/>
  <c r="AT85" i="27"/>
  <c r="AT87" i="27" s="1"/>
  <c r="AE119" i="27"/>
  <c r="AE117" i="27" s="1"/>
  <c r="AG211" i="27"/>
  <c r="AN56" i="27"/>
  <c r="AN54" i="27" s="1"/>
  <c r="AD176" i="27"/>
  <c r="AZ104" i="27"/>
  <c r="AJ176" i="27"/>
  <c r="AT160" i="27"/>
  <c r="AT162" i="27" s="1"/>
  <c r="AM131" i="27"/>
  <c r="AY212" i="27"/>
  <c r="BA212" i="27" s="1"/>
  <c r="AT35" i="27"/>
  <c r="AN182" i="27"/>
  <c r="AN180" i="27" s="1"/>
  <c r="AD165" i="27"/>
  <c r="AM212" i="27"/>
  <c r="AO212" i="27" s="1"/>
  <c r="AY149" i="27"/>
  <c r="BA149" i="27" s="1"/>
  <c r="AH161" i="27"/>
  <c r="BF125" i="27"/>
  <c r="BF123" i="27" s="1"/>
  <c r="BF88" i="27"/>
  <c r="BC62" i="27"/>
  <c r="BC60" i="27" s="1"/>
  <c r="BB164" i="27"/>
  <c r="AY101" i="27"/>
  <c r="AE85" i="27"/>
  <c r="AE87" i="27" s="1"/>
  <c r="AG194" i="27"/>
  <c r="AP35" i="27"/>
  <c r="AR35" i="27" s="1"/>
  <c r="AV149" i="27"/>
  <c r="AX149" i="27" s="1"/>
  <c r="AK167" i="27"/>
  <c r="AQ211" i="27"/>
  <c r="AQ213" i="27" s="1"/>
  <c r="AE97" i="27"/>
  <c r="AV151" i="27"/>
  <c r="AX151" i="27" s="1"/>
  <c r="AH119" i="27"/>
  <c r="AH117" i="27" s="1"/>
  <c r="BF161" i="27"/>
  <c r="AY182" i="27"/>
  <c r="AG86" i="27"/>
  <c r="AI86" i="27" s="1"/>
  <c r="AG104" i="27"/>
  <c r="AI104" i="27" s="1"/>
  <c r="AH188" i="27"/>
  <c r="AH186" i="27" s="1"/>
  <c r="AZ37" i="27"/>
  <c r="AS113" i="27"/>
  <c r="AG85" i="27"/>
  <c r="AN211" i="27"/>
  <c r="AN213" i="27" s="1"/>
  <c r="AE163" i="27"/>
  <c r="AM37" i="27"/>
  <c r="AO37" i="27" s="1"/>
  <c r="AH100" i="27"/>
  <c r="AN125" i="27"/>
  <c r="AN123" i="27" s="1"/>
  <c r="AV97" i="27"/>
  <c r="BB37" i="27"/>
  <c r="BD37" i="27" s="1"/>
  <c r="BB176" i="27"/>
  <c r="AG56" i="27"/>
  <c r="AJ35" i="27"/>
  <c r="AL35" i="27" s="1"/>
  <c r="AT131" i="27"/>
  <c r="AT129" i="27" s="1"/>
  <c r="AW211" i="27"/>
  <c r="AW213" i="27" s="1"/>
  <c r="AJ188" i="27"/>
  <c r="AK88" i="27"/>
  <c r="BE101" i="27"/>
  <c r="AN102" i="27"/>
  <c r="AZ149" i="27"/>
  <c r="AE167" i="27"/>
  <c r="AJ88" i="27"/>
  <c r="AL88" i="27" s="1"/>
  <c r="AJ98" i="27"/>
  <c r="AL98" i="27" s="1"/>
  <c r="AY214" i="27"/>
  <c r="BA214" i="27" s="1"/>
  <c r="AQ131" i="27"/>
  <c r="AQ129" i="27" s="1"/>
  <c r="AH164" i="27"/>
  <c r="AH166" i="27" s="1"/>
  <c r="BF160" i="27"/>
  <c r="BF162" i="27" s="1"/>
  <c r="BF56" i="27"/>
  <c r="BF54" i="27" s="1"/>
  <c r="AY56" i="27"/>
  <c r="AV212" i="27"/>
  <c r="AX212" i="27" s="1"/>
  <c r="BF37" i="27"/>
  <c r="AW161" i="27"/>
  <c r="AG131" i="27"/>
  <c r="AG140" i="26"/>
  <c r="AM34" i="27"/>
  <c r="AK214" i="27"/>
  <c r="AV119" i="27"/>
  <c r="AG37" i="26"/>
  <c r="AP34" i="27"/>
  <c r="AH194" i="27"/>
  <c r="AH192" i="27" s="1"/>
  <c r="AY62" i="27"/>
  <c r="AG41" i="26"/>
  <c r="AV182" i="27"/>
  <c r="AZ164" i="27"/>
  <c r="AZ166" i="27" s="1"/>
  <c r="BC151" i="27"/>
  <c r="AS212" i="27"/>
  <c r="AU212" i="27" s="1"/>
  <c r="AQ148" i="27"/>
  <c r="AQ150" i="27" s="1"/>
  <c r="AP50" i="27"/>
  <c r="AS98" i="27"/>
  <c r="AU98" i="27" s="1"/>
  <c r="BC125" i="27"/>
  <c r="BC123" i="27" s="1"/>
  <c r="AW182" i="27"/>
  <c r="AW180" i="27" s="1"/>
  <c r="AG100" i="27"/>
  <c r="AI100" i="27" s="1"/>
  <c r="AS41" i="27"/>
  <c r="AU41" i="27" s="1"/>
  <c r="AV131" i="27"/>
  <c r="BF102" i="27"/>
  <c r="AQ97" i="27"/>
  <c r="AQ99" i="27" s="1"/>
  <c r="BE211" i="27"/>
  <c r="BF211" i="27"/>
  <c r="BF213" i="27" s="1"/>
  <c r="BC35" i="27"/>
  <c r="AZ167" i="27"/>
  <c r="AW113" i="27"/>
  <c r="AW111" i="27" s="1"/>
  <c r="BE88" i="27"/>
  <c r="BG88" i="27" s="1"/>
  <c r="AS37" i="27"/>
  <c r="AU37" i="27" s="1"/>
  <c r="AY104" i="27"/>
  <c r="BA104" i="27" s="1"/>
  <c r="AQ86" i="27"/>
  <c r="AZ113" i="27"/>
  <c r="AZ111" i="27" s="1"/>
  <c r="AZ176" i="27"/>
  <c r="AZ174" i="27" s="1"/>
  <c r="BE41" i="27"/>
  <c r="BG41" i="27" s="1"/>
  <c r="BE163" i="27"/>
  <c r="BG163" i="27" s="1"/>
  <c r="BC188" i="27"/>
  <c r="BC186" i="27" s="1"/>
  <c r="AH56" i="27"/>
  <c r="AH54" i="27" s="1"/>
  <c r="AG167" i="27"/>
  <c r="AI167" i="27" s="1"/>
  <c r="AW85" i="27"/>
  <c r="AW87" i="27" s="1"/>
  <c r="AQ182" i="27"/>
  <c r="AQ180" i="27" s="1"/>
  <c r="BB41" i="27"/>
  <c r="BD41" i="27" s="1"/>
  <c r="AS165" i="27"/>
  <c r="AU165" i="27" s="1"/>
  <c r="AV188" i="27"/>
  <c r="AQ125" i="27"/>
  <c r="AQ123" i="27" s="1"/>
  <c r="AK182" i="27"/>
  <c r="AK180" i="27" s="1"/>
  <c r="BF212" i="27"/>
  <c r="AJ41" i="27"/>
  <c r="AL41" i="27" s="1"/>
  <c r="AN194" i="27"/>
  <c r="AN192" i="27" s="1"/>
  <c r="AK102" i="27"/>
  <c r="AN85" i="27"/>
  <c r="AN87" i="27" s="1"/>
  <c r="AM86" i="27"/>
  <c r="AO86" i="27" s="1"/>
  <c r="BF214" i="27"/>
  <c r="AN37" i="27"/>
  <c r="AW125" i="27"/>
  <c r="AW123" i="27" s="1"/>
  <c r="BF131" i="27"/>
  <c r="BF129" i="27" s="1"/>
  <c r="AK149" i="27"/>
  <c r="AG62" i="27"/>
  <c r="AS97" i="27"/>
  <c r="AD102" i="27"/>
  <c r="AW88" i="27"/>
  <c r="AW97" i="27"/>
  <c r="AW99" i="27" s="1"/>
  <c r="AS62" i="27"/>
  <c r="AV104" i="27"/>
  <c r="AX104" i="27" s="1"/>
  <c r="AG163" i="27"/>
  <c r="AI163" i="27" s="1"/>
  <c r="AW86" i="27"/>
  <c r="AP119" i="27"/>
  <c r="BB50" i="27"/>
  <c r="AK97" i="27"/>
  <c r="AK99" i="27" s="1"/>
  <c r="AE35" i="27"/>
  <c r="AD160" i="27"/>
  <c r="AG34" i="27"/>
  <c r="AS100" i="27"/>
  <c r="AU100" i="27" s="1"/>
  <c r="AM56" i="27"/>
  <c r="AM35" i="27"/>
  <c r="AO35" i="27" s="1"/>
  <c r="AQ160" i="27"/>
  <c r="AQ162" i="27" s="1"/>
  <c r="AY211" i="27"/>
  <c r="BB100" i="27"/>
  <c r="BD100" i="27" s="1"/>
  <c r="AJ125" i="27"/>
  <c r="AH214" i="27"/>
  <c r="AG38" i="27"/>
  <c r="BF182" i="27"/>
  <c r="BF180" i="27" s="1"/>
  <c r="BC98" i="27"/>
  <c r="AN149" i="27"/>
  <c r="BC34" i="27"/>
  <c r="BC36" i="27" s="1"/>
  <c r="AQ167" i="27"/>
  <c r="AW188" i="27"/>
  <c r="AW186" i="27" s="1"/>
  <c r="AD119" i="27"/>
  <c r="AW167" i="27"/>
  <c r="AK188" i="27"/>
  <c r="AK186" i="27" s="1"/>
  <c r="BB104" i="27"/>
  <c r="BD104" i="27" s="1"/>
  <c r="AS160" i="27"/>
  <c r="AV35" i="27"/>
  <c r="AX35" i="27" s="1"/>
  <c r="AG143" i="26"/>
  <c r="AG113" i="27"/>
  <c r="AT176" i="27"/>
  <c r="AT174" i="27" s="1"/>
  <c r="AN164" i="27"/>
  <c r="AN166" i="27" s="1"/>
  <c r="BC88" i="27"/>
  <c r="AZ119" i="27"/>
  <c r="AZ117" i="27" s="1"/>
  <c r="AV194" i="27"/>
  <c r="AT41" i="27"/>
  <c r="BF113" i="27"/>
  <c r="BF111" i="27" s="1"/>
  <c r="AK101" i="27"/>
  <c r="AK103" i="27" s="1"/>
  <c r="BE131" i="27"/>
  <c r="BC165" i="27"/>
  <c r="AK212" i="27"/>
  <c r="AQ214" i="27"/>
  <c r="AS167" i="27"/>
  <c r="AU167" i="27" s="1"/>
  <c r="AK131" i="27"/>
  <c r="AK129" i="27" s="1"/>
  <c r="AJ148" i="27"/>
  <c r="AH167" i="27"/>
  <c r="AT165" i="27"/>
  <c r="AK34" i="27"/>
  <c r="AK36" i="27" s="1"/>
  <c r="AH212" i="27"/>
  <c r="AP104" i="27"/>
  <c r="AR104" i="27" s="1"/>
  <c r="AM165" i="27"/>
  <c r="AO165" i="27" s="1"/>
  <c r="BE214" i="27"/>
  <c r="BG214" i="27" s="1"/>
  <c r="AS119" i="27"/>
  <c r="BB125" i="27"/>
  <c r="BC163" i="27"/>
  <c r="AV113" i="27"/>
  <c r="AD86" i="27"/>
  <c r="AF86" i="27" s="1"/>
  <c r="AS86" i="27"/>
  <c r="AU86" i="27" s="1"/>
  <c r="AH151" i="27"/>
  <c r="BF167" i="27"/>
  <c r="AV41" i="27"/>
  <c r="AX41" i="27" s="1"/>
  <c r="AM88" i="27"/>
  <c r="AO88" i="27" s="1"/>
  <c r="AG35" i="27"/>
  <c r="AI35" i="27" s="1"/>
  <c r="BB165" i="27"/>
  <c r="BD165" i="27" s="1"/>
  <c r="AW212" i="27"/>
  <c r="AD85" i="27"/>
  <c r="AD104" i="27"/>
  <c r="AZ100" i="27"/>
  <c r="AE86" i="27"/>
  <c r="AJ37" i="27"/>
  <c r="AL37" i="27" s="1"/>
  <c r="AT194" i="27"/>
  <c r="AT192" i="27" s="1"/>
  <c r="AM41" i="27"/>
  <c r="AO41" i="27" s="1"/>
  <c r="AK104" i="27"/>
  <c r="AM211" i="27"/>
  <c r="BC194" i="27"/>
  <c r="BC192" i="27" s="1"/>
  <c r="AK148" i="27"/>
  <c r="AK150" i="27" s="1"/>
  <c r="AV37" i="27"/>
  <c r="AX37" i="27" s="1"/>
  <c r="AT148" i="27"/>
  <c r="AT150" i="27" s="1"/>
  <c r="AE148" i="27"/>
  <c r="AD182" i="27"/>
  <c r="BE97" i="27"/>
  <c r="AW131" i="27"/>
  <c r="AW129" i="27" s="1"/>
  <c r="AM194" i="27"/>
  <c r="AN160" i="27"/>
  <c r="AN162" i="27" s="1"/>
  <c r="AW119" i="27"/>
  <c r="AW117" i="27" s="1"/>
  <c r="AQ149" i="27"/>
  <c r="BE188" i="27"/>
  <c r="AM113" i="27"/>
  <c r="BF151" i="27"/>
  <c r="AS39" i="27"/>
  <c r="AU39" i="27" s="1"/>
  <c r="BC113" i="27"/>
  <c r="BC111" i="27" s="1"/>
  <c r="AT214" i="27"/>
  <c r="AT101" i="27"/>
  <c r="AT103" i="27" s="1"/>
  <c r="BF34" i="27"/>
  <c r="BF36" i="27" s="1"/>
  <c r="AD163" i="27"/>
  <c r="AF163" i="27" s="1"/>
  <c r="AV86" i="27"/>
  <c r="AX86" i="27" s="1"/>
  <c r="AG142" i="26"/>
  <c r="AK125" i="27"/>
  <c r="AK123" i="27" s="1"/>
  <c r="BE37" i="27"/>
  <c r="BG37" i="27" s="1"/>
  <c r="AE56" i="27"/>
  <c r="AE54" i="27" s="1"/>
  <c r="AV214" i="27"/>
  <c r="AX214" i="27" s="1"/>
  <c r="BF35" i="27"/>
  <c r="AQ161" i="27"/>
  <c r="AH131" i="27"/>
  <c r="AH129" i="27" s="1"/>
  <c r="AE131" i="27"/>
  <c r="AE129" i="27" s="1"/>
  <c r="AM182" i="27"/>
  <c r="BF119" i="27"/>
  <c r="BF117" i="27" s="1"/>
  <c r="AE113" i="27"/>
  <c r="AE111" i="27" s="1"/>
  <c r="AS131" i="27"/>
  <c r="AT56" i="27"/>
  <c r="AT54" i="27" s="1"/>
  <c r="BC101" i="27"/>
  <c r="BC103" i="27" s="1"/>
  <c r="AE182" i="27"/>
  <c r="AE180" i="27" s="1"/>
  <c r="AS161" i="27"/>
  <c r="AU161" i="27" s="1"/>
  <c r="AD161" i="27"/>
  <c r="AG141" i="26"/>
  <c r="AT104" i="27"/>
  <c r="AP176" i="27"/>
  <c r="AN188" i="27"/>
  <c r="AN186" i="27" s="1"/>
  <c r="AY39" i="27"/>
  <c r="BA39" i="27" s="1"/>
  <c r="AZ165" i="27"/>
  <c r="AY167" i="27"/>
  <c r="BA167" i="27" s="1"/>
  <c r="AE88" i="27"/>
  <c r="BF100" i="27"/>
  <c r="AH113" i="27"/>
  <c r="AH111" i="27" s="1"/>
  <c r="AN100" i="27"/>
  <c r="AG41" i="27"/>
  <c r="AI41" i="27" s="1"/>
  <c r="AM50" i="27"/>
  <c r="AY148" i="27"/>
  <c r="AG42" i="26"/>
  <c r="BE160" i="27"/>
  <c r="AV102" i="27"/>
  <c r="AX102" i="27" s="1"/>
  <c r="AH85" i="27"/>
  <c r="AH87" i="27" s="1"/>
  <c r="BC100" i="27"/>
  <c r="BB149" i="27"/>
  <c r="BD149" i="27" s="1"/>
  <c r="AN34" i="27"/>
  <c r="AN36" i="27" s="1"/>
  <c r="AG188" i="27"/>
  <c r="AZ160" i="27"/>
  <c r="AZ162" i="27" s="1"/>
  <c r="AE37" i="27"/>
  <c r="BB98" i="27"/>
  <c r="BD98" i="27" s="1"/>
  <c r="AN131" i="27"/>
  <c r="AN129" i="27" s="1"/>
  <c r="BB85" i="27"/>
  <c r="AV125" i="27"/>
  <c r="AP161" i="27"/>
  <c r="AR161" i="27" s="1"/>
  <c r="AG102" i="27"/>
  <c r="AI102" i="27" s="1"/>
  <c r="AG38" i="26"/>
  <c r="AG37" i="27"/>
  <c r="AI37" i="27" s="1"/>
  <c r="AT98" i="27"/>
  <c r="AT100" i="27"/>
  <c r="AD34" i="27"/>
  <c r="BE176" i="27"/>
  <c r="BB56" i="27"/>
  <c r="AJ38" i="27"/>
  <c r="AT151" i="27"/>
  <c r="AP100" i="27"/>
  <c r="AR100" i="27" s="1"/>
  <c r="AY161" i="27"/>
  <c r="BA161" i="27" s="1"/>
  <c r="AG43" i="26"/>
  <c r="BC167" i="27"/>
  <c r="AG212" i="27"/>
  <c r="AI212" i="27" s="1"/>
  <c r="AN97" i="27"/>
  <c r="AN99" i="27" s="1"/>
  <c r="AN101" i="27"/>
  <c r="AN103" i="27" s="1"/>
  <c r="AS102" i="27"/>
  <c r="AU102" i="27" s="1"/>
  <c r="BB167" i="27"/>
  <c r="BD167" i="27" s="1"/>
  <c r="AP148" i="27"/>
  <c r="BF85" i="27"/>
  <c r="BF87" i="27" s="1"/>
  <c r="BE104" i="27"/>
  <c r="BG104" i="27" s="1"/>
  <c r="AN98" i="27"/>
  <c r="AJ101" i="27"/>
  <c r="AN151" i="27"/>
  <c r="AP97" i="27"/>
  <c r="AJ182" i="27"/>
  <c r="AG89" i="26"/>
  <c r="AD50" i="27"/>
  <c r="AW214" i="27"/>
  <c r="AW34" i="27"/>
  <c r="AW36" i="27" s="1"/>
  <c r="BC161" i="27"/>
  <c r="AG164" i="27"/>
  <c r="AS164" i="27"/>
  <c r="AJ163" i="27"/>
  <c r="AL163" i="27" s="1"/>
  <c r="AG50" i="27"/>
  <c r="AG149" i="27"/>
  <c r="AI149" i="27" s="1"/>
  <c r="BB86" i="27"/>
  <c r="BD86" i="27" s="1"/>
  <c r="AQ212" i="27"/>
  <c r="BB182" i="27"/>
  <c r="BB35" i="27"/>
  <c r="BD35" i="27" s="1"/>
  <c r="AM101" i="27"/>
  <c r="AQ101" i="27"/>
  <c r="AQ103" i="27" s="1"/>
  <c r="AE41" i="27"/>
  <c r="AM161" i="27"/>
  <c r="AO161" i="27" s="1"/>
  <c r="AV98" i="27"/>
  <c r="AX98" i="27" s="1"/>
  <c r="BC149" i="27"/>
  <c r="BB188" i="27"/>
  <c r="BB131" i="27"/>
  <c r="AT149" i="27"/>
  <c r="AJ62" i="27"/>
  <c r="AK151" i="27"/>
  <c r="AP160" i="27"/>
  <c r="AP212" i="27"/>
  <c r="AR212" i="27" s="1"/>
  <c r="AS188" i="27"/>
  <c r="AP167" i="27"/>
  <c r="AR167" i="27" s="1"/>
  <c r="AS151" i="27"/>
  <c r="AU151" i="27" s="1"/>
  <c r="AZ50" i="27"/>
  <c r="AZ48" i="27" s="1"/>
  <c r="AP211" i="27"/>
  <c r="AQ34" i="27"/>
  <c r="AQ36" i="27" s="1"/>
  <c r="AG214" i="27"/>
  <c r="AI214" i="27" s="1"/>
  <c r="AT37" i="27"/>
  <c r="AW160" i="27"/>
  <c r="AW162" i="27" s="1"/>
  <c r="AJ39" i="27"/>
  <c r="AL39" i="27" s="1"/>
  <c r="AE125" i="27"/>
  <c r="AE123" i="27" s="1"/>
  <c r="AZ34" i="27"/>
  <c r="AZ36" i="27" s="1"/>
  <c r="AE188" i="27"/>
  <c r="AE186" i="27" s="1"/>
  <c r="AW101" i="27"/>
  <c r="AW103" i="27" s="1"/>
  <c r="BB211" i="27"/>
  <c r="BE85" i="27"/>
  <c r="AV56" i="27"/>
  <c r="AS125" i="27"/>
  <c r="BB101" i="27"/>
  <c r="AK85" i="27"/>
  <c r="AK87" i="27" s="1"/>
  <c r="AV167" i="27"/>
  <c r="AX167" i="27" s="1"/>
  <c r="BE113" i="27"/>
  <c r="AY194" i="27"/>
  <c r="AE104" i="27"/>
  <c r="BC119" i="27"/>
  <c r="BC117" i="27" s="1"/>
  <c r="AG125" i="27"/>
  <c r="BC176" i="27"/>
  <c r="BC174" i="27" s="1"/>
  <c r="AM104" i="27"/>
  <c r="AO104" i="27" s="1"/>
  <c r="AN41" i="27"/>
  <c r="AQ119" i="27"/>
  <c r="AQ117" i="27" s="1"/>
  <c r="BC37" i="27"/>
  <c r="AM176" i="27"/>
  <c r="AG94" i="26"/>
  <c r="AH165" i="27"/>
  <c r="AE50" i="27"/>
  <c r="AE48" i="27" s="1"/>
  <c r="AY85" i="27"/>
  <c r="AH34" i="27"/>
  <c r="AH36" i="27" s="1"/>
  <c r="AV50" i="27"/>
  <c r="BC214" i="27"/>
  <c r="AN35" i="27"/>
  <c r="AS211" i="27"/>
  <c r="BB151" i="27"/>
  <c r="BD151" i="27" s="1"/>
  <c r="AS194" i="27"/>
  <c r="AN214" i="27"/>
  <c r="AK165" i="27"/>
  <c r="BE35" i="27"/>
  <c r="BG35" i="27" s="1"/>
  <c r="AG48" i="26"/>
  <c r="AT125" i="27"/>
  <c r="AT123" i="27" s="1"/>
  <c r="AZ188" i="27"/>
  <c r="AZ186" i="27" s="1"/>
  <c r="AY102" i="27"/>
  <c r="BA102" i="27" s="1"/>
  <c r="AJ151" i="27"/>
  <c r="AL151" i="27" s="1"/>
  <c r="AW104" i="27"/>
  <c r="AM100" i="27"/>
  <c r="AO100" i="27" s="1"/>
  <c r="AD113" i="27"/>
  <c r="AQ37" i="27"/>
  <c r="BC131" i="27"/>
  <c r="BC129" i="27" s="1"/>
  <c r="AD194" i="27"/>
  <c r="AJ165" i="27"/>
  <c r="AL165" i="27" s="1"/>
  <c r="AH102" i="27"/>
  <c r="BB212" i="27"/>
  <c r="BD212" i="27" s="1"/>
  <c r="AP88" i="27"/>
  <c r="AR88" i="27" s="1"/>
  <c r="AG87" i="26"/>
  <c r="BF41" i="27"/>
  <c r="BC56" i="27"/>
  <c r="BC54" i="27" s="1"/>
  <c r="AK161" i="27"/>
  <c r="AM125" i="27"/>
  <c r="BE86" i="27"/>
  <c r="BG86" i="27" s="1"/>
  <c r="AJ167" i="27"/>
  <c r="AL167" i="27" s="1"/>
  <c r="AH50" i="27"/>
  <c r="AH48" i="27" s="1"/>
  <c r="AE194" i="27"/>
  <c r="AE192" i="27" s="1"/>
  <c r="AG151" i="27"/>
  <c r="AI151" i="27" s="1"/>
  <c r="BF101" i="27"/>
  <c r="BF103" i="27" s="1"/>
  <c r="AN165" i="27"/>
  <c r="AY163" i="27"/>
  <c r="BA163" i="27" s="1"/>
  <c r="BC102" i="27"/>
  <c r="BC160" i="27"/>
  <c r="BC162" i="27" s="1"/>
  <c r="AS163" i="27"/>
  <c r="AU163" i="27" s="1"/>
  <c r="AP102" i="27"/>
  <c r="AR102" i="27" s="1"/>
  <c r="AY41" i="27"/>
  <c r="BA41" i="27" s="1"/>
  <c r="AD100" i="27"/>
  <c r="AJ100" i="27"/>
  <c r="AL100" i="27" s="1"/>
  <c r="AJ212" i="27"/>
  <c r="AL212" i="27" s="1"/>
  <c r="BC182" i="27"/>
  <c r="BC180" i="27" s="1"/>
  <c r="AG39" i="26"/>
  <c r="BB194" i="27"/>
  <c r="BF148" i="27"/>
  <c r="BF150" i="27" s="1"/>
  <c r="AV160" i="27"/>
  <c r="AM214" i="27"/>
  <c r="AO214" i="27" s="1"/>
  <c r="BC50" i="27"/>
  <c r="BC48" i="27" s="1"/>
  <c r="AM102" i="27"/>
  <c r="AO102" i="27" s="1"/>
  <c r="AQ98" i="27"/>
  <c r="AW37" i="27"/>
  <c r="AN119" i="27"/>
  <c r="AN117" i="27" s="1"/>
  <c r="AD101" i="27"/>
  <c r="AP182" i="27"/>
  <c r="BE167" i="27"/>
  <c r="BG167" i="27" s="1"/>
  <c r="AY37" i="27"/>
  <c r="BA37" i="27" s="1"/>
  <c r="AJ85" i="27"/>
  <c r="AN176" i="27"/>
  <c r="AN174" i="27" s="1"/>
  <c r="AS182" i="27"/>
  <c r="AK176" i="27"/>
  <c r="AK174" i="27" s="1"/>
  <c r="AT113" i="27"/>
  <c r="AT111" i="27" s="1"/>
  <c r="AQ41" i="27"/>
  <c r="AD56" i="27"/>
  <c r="AW98" i="27"/>
  <c r="AG101" i="27"/>
  <c r="AJ194" i="27"/>
  <c r="AV85" i="27"/>
  <c r="AT50" i="27"/>
  <c r="AT48" i="27" s="1"/>
  <c r="AP101" i="27"/>
  <c r="AE100" i="27"/>
  <c r="AJ113" i="27"/>
  <c r="AN104" i="27"/>
  <c r="AT34" i="27"/>
  <c r="AT36" i="27" s="1"/>
  <c r="AJ34" i="27"/>
  <c r="AS85" i="27"/>
  <c r="AN50" i="27"/>
  <c r="AN48" i="27" s="1"/>
  <c r="AP113" i="27"/>
  <c r="AJ119" i="27"/>
  <c r="AT212" i="27"/>
  <c r="BE182" i="27"/>
  <c r="BE100" i="27"/>
  <c r="BG100" i="27" s="1"/>
  <c r="BB148" i="27"/>
  <c r="BE212" i="27"/>
  <c r="BG212" i="27" s="1"/>
  <c r="AD37" i="27"/>
  <c r="AF37" i="27" s="1"/>
  <c r="BB97" i="27"/>
  <c r="AQ56" i="27"/>
  <c r="AQ54" i="27" s="1"/>
  <c r="AG182" i="27"/>
  <c r="BF104" i="27"/>
  <c r="BF86" i="27"/>
  <c r="AJ214" i="27"/>
  <c r="AL214" i="27" s="1"/>
  <c r="AS56" i="27"/>
  <c r="BB119" i="27"/>
  <c r="AD98" i="27"/>
  <c r="AZ85" i="27"/>
  <c r="AZ87" i="27" s="1"/>
  <c r="AD211" i="27"/>
  <c r="AW102" i="27"/>
  <c r="AP41" i="27"/>
  <c r="AR41" i="27" s="1"/>
  <c r="AD148" i="27"/>
  <c r="AD167" i="27"/>
  <c r="AF167" i="27" s="1"/>
  <c r="AY100" i="27"/>
  <c r="BA100" i="27" s="1"/>
  <c r="AM85" i="27"/>
  <c r="AW41" i="27"/>
  <c r="BE149" i="27"/>
  <c r="BG149" i="27" s="1"/>
  <c r="AY34" i="27"/>
  <c r="AY160" i="27"/>
  <c r="BE125" i="27"/>
  <c r="AP86" i="27"/>
  <c r="AR86" i="27" s="1"/>
  <c r="AH176" i="27"/>
  <c r="AH174" i="27" s="1"/>
  <c r="AH41" i="27"/>
  <c r="BC97" i="27"/>
  <c r="BC99" i="27" s="1"/>
  <c r="BF194" i="27"/>
  <c r="BF192" i="27" s="1"/>
  <c r="AT211" i="27"/>
  <c r="AT213" i="27" s="1"/>
  <c r="AE160" i="27"/>
  <c r="AS101" i="27"/>
  <c r="AT161" i="27"/>
  <c r="AZ86" i="27"/>
  <c r="BC38" i="27"/>
  <c r="BC40" i="27" s="1"/>
  <c r="AW151" i="27"/>
  <c r="AW35" i="27"/>
  <c r="AM148" i="27"/>
  <c r="AZ151" i="27"/>
  <c r="AT188" i="27"/>
  <c r="AT186" i="27" s="1"/>
  <c r="AW56" i="27"/>
  <c r="AW54" i="27" s="1"/>
  <c r="AE214" i="27"/>
  <c r="AG93" i="26"/>
  <c r="AK163" i="27"/>
  <c r="AS35" i="27"/>
  <c r="AU35" i="27" s="1"/>
  <c r="AG98" i="27"/>
  <c r="AI98" i="27" s="1"/>
  <c r="AV164" i="27"/>
  <c r="AZ182" i="27"/>
  <c r="AZ180" i="27" s="1"/>
  <c r="AP85" i="27"/>
  <c r="AD212" i="27"/>
  <c r="AS38" i="27"/>
  <c r="BE194" i="27"/>
  <c r="AE176" i="27"/>
  <c r="AE174" i="27" s="1"/>
  <c r="AY50" i="27"/>
  <c r="BC39" i="27"/>
  <c r="BB34" i="27"/>
  <c r="AQ102" i="27"/>
  <c r="AM163" i="27"/>
  <c r="AO163" i="27" s="1"/>
  <c r="AZ161" i="27"/>
  <c r="AD35" i="27"/>
  <c r="AF35" i="27" s="1"/>
  <c r="AJ86" i="27"/>
  <c r="AL86" i="27" s="1"/>
  <c r="AZ97" i="27"/>
  <c r="AZ99" i="27" s="1"/>
  <c r="AZ41" i="27"/>
  <c r="AQ50" i="27"/>
  <c r="AQ48" i="27" s="1"/>
  <c r="AN88" i="27"/>
  <c r="BC85" i="27"/>
  <c r="BC87" i="27" s="1"/>
  <c r="AE164" i="27"/>
  <c r="AK50" i="27"/>
  <c r="AK48" i="27" s="1"/>
  <c r="BF164" i="27"/>
  <c r="BF166" i="27" s="1"/>
  <c r="AK37" i="27"/>
  <c r="AG39" i="27"/>
  <c r="AI39" i="27" s="1"/>
  <c r="AJ149" i="27"/>
  <c r="AL149" i="27" s="1"/>
  <c r="BE161" i="27"/>
  <c r="BG161" i="27" s="1"/>
  <c r="AW100" i="27"/>
  <c r="AV163" i="27"/>
  <c r="AX163" i="27" s="1"/>
  <c r="AG50" i="26"/>
  <c r="AQ35" i="27"/>
  <c r="AD164" i="27"/>
  <c r="AD151" i="27"/>
  <c r="AF151" i="27" s="1"/>
  <c r="AQ164" i="27"/>
  <c r="AQ166" i="27" s="1"/>
  <c r="AM149" i="27"/>
  <c r="AO149" i="27" s="1"/>
  <c r="AZ56" i="27"/>
  <c r="AZ54" i="27" s="1"/>
  <c r="AG148" i="27"/>
  <c r="AY97" i="27"/>
  <c r="AP149" i="27"/>
  <c r="AR149" i="27" s="1"/>
  <c r="AM119" i="27"/>
  <c r="AW164" i="27"/>
  <c r="AW166" i="27" s="1"/>
  <c r="BB161" i="27"/>
  <c r="BD161" i="27" s="1"/>
  <c r="BC164" i="27"/>
  <c r="BC166" i="27" s="1"/>
  <c r="AK100" i="27"/>
  <c r="AY113" i="27"/>
  <c r="AJ160" i="27"/>
  <c r="AP125" i="27"/>
  <c r="BB214" i="27"/>
  <c r="BD214" i="27" s="1"/>
  <c r="AV176" i="27"/>
  <c r="BB88" i="27"/>
  <c r="BD88" i="27" s="1"/>
  <c r="AP214" i="27"/>
  <c r="AR214" i="27" s="1"/>
  <c r="AT97" i="27"/>
  <c r="AT99" i="27" s="1"/>
  <c r="AY35" i="27"/>
  <c r="BA35" i="27" s="1"/>
  <c r="AG36" i="26"/>
  <c r="AW50" i="27"/>
  <c r="AW48" i="27" s="1"/>
  <c r="BB160" i="27"/>
  <c r="AW165" i="27"/>
  <c r="AG151" i="26"/>
  <c r="AV88" i="27"/>
  <c r="AX88" i="27" s="1"/>
  <c r="AG49" i="26"/>
  <c r="AR166" i="30"/>
  <c r="BB39" i="27" s="1"/>
  <c r="BD39" i="27" s="1"/>
  <c r="AR164" i="30"/>
  <c r="BB38" i="27" s="1"/>
  <c r="AR163" i="30"/>
  <c r="BB62" i="27" s="1"/>
  <c r="AS166" i="30"/>
  <c r="BE39" i="27" s="1"/>
  <c r="BG39" i="27" s="1"/>
  <c r="AS164" i="30"/>
  <c r="BE38" i="27" s="1"/>
  <c r="AS163" i="30"/>
  <c r="BE62" i="27" s="1"/>
  <c r="AP166" i="30"/>
  <c r="AV39" i="27" s="1"/>
  <c r="AX39" i="27" s="1"/>
  <c r="AP164" i="30"/>
  <c r="AV38" i="27" s="1"/>
  <c r="AP163" i="30"/>
  <c r="AV62" i="27" s="1"/>
  <c r="AE166" i="30"/>
  <c r="AE164" i="30"/>
  <c r="AE163" i="30"/>
  <c r="AE165" i="30" s="1"/>
  <c r="AU166" i="30"/>
  <c r="AH39" i="27" s="1"/>
  <c r="AU164" i="30"/>
  <c r="AH38" i="27" s="1"/>
  <c r="AH40" i="27" s="1"/>
  <c r="AU163" i="30"/>
  <c r="AH62" i="27" s="1"/>
  <c r="AH60" i="27" s="1"/>
  <c r="AF166" i="30"/>
  <c r="AF164" i="30"/>
  <c r="AF163" i="30"/>
  <c r="AF165" i="30" s="1"/>
  <c r="AV166" i="30"/>
  <c r="AK39" i="27" s="1"/>
  <c r="AV164" i="30"/>
  <c r="AK38" i="27" s="1"/>
  <c r="AK40" i="27" s="1"/>
  <c r="AV163" i="30"/>
  <c r="AK62" i="27" s="1"/>
  <c r="AK60" i="27" s="1"/>
  <c r="AH160" i="30"/>
  <c r="AW166" i="30"/>
  <c r="AN39" i="27" s="1"/>
  <c r="AW164" i="30"/>
  <c r="AN38" i="27" s="1"/>
  <c r="AN40" i="27" s="1"/>
  <c r="AW163" i="30"/>
  <c r="AW165" i="30" s="1"/>
  <c r="AN68" i="27" s="1"/>
  <c r="AN66" i="27" s="1"/>
  <c r="AT166" i="30"/>
  <c r="AE39" i="27" s="1"/>
  <c r="AT164" i="30"/>
  <c r="AE38" i="27" s="1"/>
  <c r="AE40" i="27" s="1"/>
  <c r="AT163" i="30"/>
  <c r="AT165" i="30" s="1"/>
  <c r="AE68" i="27" s="1"/>
  <c r="AE66" i="27" s="1"/>
  <c r="AI166" i="30"/>
  <c r="AI164" i="30"/>
  <c r="AI163" i="30"/>
  <c r="AI165" i="30" s="1"/>
  <c r="AY166" i="30"/>
  <c r="AT39" i="27" s="1"/>
  <c r="AY164" i="30"/>
  <c r="AT38" i="27" s="1"/>
  <c r="AT40" i="27" s="1"/>
  <c r="AY163" i="30"/>
  <c r="AY165" i="30" s="1"/>
  <c r="AT68" i="27" s="1"/>
  <c r="AT66" i="27" s="1"/>
  <c r="AJ166" i="30"/>
  <c r="AD39" i="27" s="1"/>
  <c r="AF39" i="27" s="1"/>
  <c r="AJ164" i="30"/>
  <c r="AD38" i="27" s="1"/>
  <c r="AJ163" i="30"/>
  <c r="AJ165" i="30" s="1"/>
  <c r="AD68" i="27" s="1"/>
  <c r="AZ166" i="30"/>
  <c r="AW39" i="27" s="1"/>
  <c r="AZ164" i="30"/>
  <c r="AW38" i="27" s="1"/>
  <c r="AW40" i="27" s="1"/>
  <c r="AZ163" i="30"/>
  <c r="AZ165" i="30" s="1"/>
  <c r="AW68" i="27" s="1"/>
  <c r="AW66" i="27" s="1"/>
  <c r="AH162" i="30"/>
  <c r="AG166" i="30"/>
  <c r="AG164" i="30"/>
  <c r="AG163" i="30"/>
  <c r="BA166" i="30"/>
  <c r="AZ39" i="27" s="1"/>
  <c r="BA164" i="30"/>
  <c r="AZ38" i="27" s="1"/>
  <c r="AZ40" i="27" s="1"/>
  <c r="BA163" i="30"/>
  <c r="AZ62" i="27" s="1"/>
  <c r="AZ60" i="27" s="1"/>
  <c r="AX166" i="30"/>
  <c r="AQ39" i="27" s="1"/>
  <c r="AX164" i="30"/>
  <c r="AQ38" i="27" s="1"/>
  <c r="AQ40" i="27" s="1"/>
  <c r="AX163" i="30"/>
  <c r="AX165" i="30" s="1"/>
  <c r="AQ68" i="27" s="1"/>
  <c r="AQ66" i="27" s="1"/>
  <c r="AM166" i="30"/>
  <c r="AM39" i="27" s="1"/>
  <c r="AO39" i="27" s="1"/>
  <c r="AM164" i="30"/>
  <c r="AM38" i="27" s="1"/>
  <c r="AM163" i="30"/>
  <c r="AM165" i="30" s="1"/>
  <c r="AM68" i="27" s="1"/>
  <c r="BC166" i="30"/>
  <c r="BF39" i="27" s="1"/>
  <c r="BC164" i="30"/>
  <c r="BF38" i="27" s="1"/>
  <c r="BF40" i="27" s="1"/>
  <c r="BC163" i="30"/>
  <c r="BF62" i="27" s="1"/>
  <c r="BF60" i="27" s="1"/>
  <c r="AN166" i="30"/>
  <c r="AP39" i="27" s="1"/>
  <c r="AR39" i="27" s="1"/>
  <c r="AN164" i="30"/>
  <c r="AP38" i="27" s="1"/>
  <c r="AN163" i="30"/>
  <c r="AP62" i="27" s="1"/>
  <c r="AH155" i="30"/>
  <c r="AG157" i="30"/>
  <c r="AG32" i="26" l="1"/>
  <c r="AH163" i="30"/>
  <c r="AV165" i="30"/>
  <c r="AK68" i="27" s="1"/>
  <c r="AK66" i="27" s="1"/>
  <c r="AU165" i="30"/>
  <c r="AH68" i="27" s="1"/>
  <c r="AH66" i="27" s="1"/>
  <c r="AP165" i="30"/>
  <c r="AV68" i="27" s="1"/>
  <c r="AX68" i="27" s="1"/>
  <c r="AS165" i="30"/>
  <c r="BE68" i="27" s="1"/>
  <c r="AR165" i="30"/>
  <c r="BB68" i="27" s="1"/>
  <c r="BB66" i="27" s="1"/>
  <c r="BD66" i="27" s="1"/>
  <c r="AH164" i="30"/>
  <c r="AR38" i="27"/>
  <c r="AP40" i="27"/>
  <c r="AO68" i="27"/>
  <c r="AM66" i="27"/>
  <c r="AO66" i="27" s="1"/>
  <c r="AF68" i="27"/>
  <c r="AD66" i="27"/>
  <c r="AF66" i="27" s="1"/>
  <c r="AV60" i="27"/>
  <c r="AX60" i="27" s="1"/>
  <c r="AX62" i="27"/>
  <c r="BG62" i="27"/>
  <c r="BE60" i="27"/>
  <c r="BG60" i="27" s="1"/>
  <c r="BB60" i="27"/>
  <c r="BD60" i="27" s="1"/>
  <c r="BD62" i="27"/>
  <c r="AY66" i="27"/>
  <c r="BA66" i="27" s="1"/>
  <c r="BA68" i="27"/>
  <c r="AG66" i="27"/>
  <c r="AI66" i="27" s="1"/>
  <c r="AI68" i="27"/>
  <c r="AM40" i="27"/>
  <c r="AO38" i="27"/>
  <c r="AF38" i="27"/>
  <c r="AD40" i="27"/>
  <c r="AV40" i="27"/>
  <c r="AX38" i="27"/>
  <c r="BE40" i="27"/>
  <c r="BG38" i="27"/>
  <c r="BD38" i="27"/>
  <c r="BB40" i="27"/>
  <c r="AS66" i="27"/>
  <c r="AU66" i="27" s="1"/>
  <c r="AU68" i="27"/>
  <c r="AR62" i="27"/>
  <c r="AP60" i="27"/>
  <c r="AR60" i="27" s="1"/>
  <c r="BE66" i="27"/>
  <c r="BG66" i="27" s="1"/>
  <c r="BG68" i="27"/>
  <c r="AL68" i="27"/>
  <c r="AJ66" i="27"/>
  <c r="AL66" i="27" s="1"/>
  <c r="AJ162" i="27"/>
  <c r="AL160" i="27"/>
  <c r="BA97" i="27"/>
  <c r="AY99" i="27"/>
  <c r="AR85" i="27"/>
  <c r="AP87" i="27"/>
  <c r="AY162" i="27"/>
  <c r="BA160" i="27"/>
  <c r="AO85" i="27"/>
  <c r="AM87" i="27"/>
  <c r="AD150" i="27"/>
  <c r="AF148" i="27"/>
  <c r="AR113" i="27"/>
  <c r="AP111" i="27"/>
  <c r="AR111" i="27" s="1"/>
  <c r="AJ36" i="27"/>
  <c r="AL34" i="27"/>
  <c r="AL194" i="27"/>
  <c r="AJ192" i="27"/>
  <c r="AL192" i="27" s="1"/>
  <c r="AR182" i="27"/>
  <c r="AP180" i="27"/>
  <c r="AR180" i="27" s="1"/>
  <c r="AF194" i="27"/>
  <c r="AD192" i="27"/>
  <c r="AF192" i="27" s="1"/>
  <c r="BA85" i="27"/>
  <c r="AY87" i="27"/>
  <c r="AO176" i="27"/>
  <c r="AM174" i="27"/>
  <c r="AO174" i="27" s="1"/>
  <c r="AW62" i="27"/>
  <c r="AW60" i="27" s="1"/>
  <c r="BG113" i="27"/>
  <c r="BE111" i="27"/>
  <c r="BG111" i="27" s="1"/>
  <c r="BD101" i="27"/>
  <c r="BB103" i="27"/>
  <c r="BD211" i="27"/>
  <c r="BB213" i="27"/>
  <c r="AG166" i="27"/>
  <c r="AI164" i="27"/>
  <c r="AF50" i="27"/>
  <c r="AD48" i="27"/>
  <c r="AF48" i="27" s="1"/>
  <c r="AD36" i="27"/>
  <c r="AF34" i="27"/>
  <c r="BE162" i="27"/>
  <c r="BG160" i="27"/>
  <c r="AO113" i="27"/>
  <c r="AM111" i="27"/>
  <c r="AO111" i="27" s="1"/>
  <c r="AS117" i="27"/>
  <c r="AU117" i="27" s="1"/>
  <c r="AU119" i="27"/>
  <c r="AS162" i="27"/>
  <c r="AU160" i="27"/>
  <c r="AG40" i="27"/>
  <c r="AI38" i="27"/>
  <c r="BA211" i="27"/>
  <c r="AY213" i="27"/>
  <c r="AM54" i="27"/>
  <c r="AO54" i="27" s="1"/>
  <c r="AO56" i="27"/>
  <c r="AR119" i="27"/>
  <c r="AP117" i="27"/>
  <c r="AR117" i="27" s="1"/>
  <c r="AU62" i="27"/>
  <c r="AS60" i="27"/>
  <c r="AU60" i="27" s="1"/>
  <c r="AS99" i="27"/>
  <c r="AU97" i="27"/>
  <c r="AX131" i="27"/>
  <c r="AV129" i="27"/>
  <c r="AX129" i="27" s="1"/>
  <c r="AX182" i="27"/>
  <c r="AV180" i="27"/>
  <c r="AX180" i="27" s="1"/>
  <c r="AP36" i="27"/>
  <c r="AR34" i="27"/>
  <c r="AG87" i="27"/>
  <c r="AI85" i="27"/>
  <c r="AL176" i="27"/>
  <c r="AJ174" i="27"/>
  <c r="AL174" i="27" s="1"/>
  <c r="AR194" i="27"/>
  <c r="AP192" i="27"/>
  <c r="AR192" i="27" s="1"/>
  <c r="AJ99" i="27"/>
  <c r="AL97" i="27"/>
  <c r="AD186" i="27"/>
  <c r="AF186" i="27" s="1"/>
  <c r="AF188" i="27"/>
  <c r="AG117" i="27"/>
  <c r="AI117" i="27" s="1"/>
  <c r="AI119" i="27"/>
  <c r="AY129" i="27"/>
  <c r="BA129" i="27" s="1"/>
  <c r="BA131" i="27"/>
  <c r="AF214" i="27"/>
  <c r="AF125" i="27"/>
  <c r="AD123" i="27"/>
  <c r="AF123" i="27" s="1"/>
  <c r="BE54" i="27"/>
  <c r="BG54" i="27" s="1"/>
  <c r="BG56" i="27"/>
  <c r="AL131" i="27"/>
  <c r="AJ129" i="27"/>
  <c r="AL129" i="27" s="1"/>
  <c r="AY40" i="27"/>
  <c r="BA38" i="27"/>
  <c r="AR131" i="27"/>
  <c r="AP129" i="27"/>
  <c r="AR129" i="27" s="1"/>
  <c r="BG148" i="27"/>
  <c r="BE150" i="27"/>
  <c r="AG30" i="26"/>
  <c r="AG28" i="26" s="1"/>
  <c r="BA113" i="27"/>
  <c r="AY111" i="27"/>
  <c r="BA111" i="27" s="1"/>
  <c r="AI148" i="27"/>
  <c r="AG150" i="27"/>
  <c r="BB36" i="27"/>
  <c r="BD34" i="27"/>
  <c r="BG194" i="27"/>
  <c r="BE192" i="27"/>
  <c r="BG192" i="27" s="1"/>
  <c r="AO148" i="27"/>
  <c r="AM150" i="27"/>
  <c r="BA34" i="27"/>
  <c r="AY36" i="27"/>
  <c r="BB99" i="27"/>
  <c r="BD97" i="27"/>
  <c r="BG182" i="27"/>
  <c r="BE180" i="27"/>
  <c r="BG180" i="27" s="1"/>
  <c r="AR101" i="27"/>
  <c r="AP103" i="27"/>
  <c r="AG103" i="27"/>
  <c r="AI101" i="27"/>
  <c r="AJ87" i="27"/>
  <c r="AL85" i="27"/>
  <c r="AF101" i="27"/>
  <c r="AD103" i="27"/>
  <c r="AV162" i="27"/>
  <c r="AX160" i="27"/>
  <c r="AF100" i="27"/>
  <c r="AT62" i="27"/>
  <c r="AT60" i="27" s="1"/>
  <c r="AU125" i="27"/>
  <c r="AS123" i="27"/>
  <c r="AU123" i="27" s="1"/>
  <c r="AR160" i="27"/>
  <c r="AP162" i="27"/>
  <c r="BD131" i="27"/>
  <c r="BB129" i="27"/>
  <c r="BD129" i="27" s="1"/>
  <c r="BD182" i="27"/>
  <c r="BB180" i="27"/>
  <c r="BD180" i="27" s="1"/>
  <c r="AI50" i="27"/>
  <c r="AG48" i="27"/>
  <c r="AI48" i="27" s="1"/>
  <c r="AJ103" i="27"/>
  <c r="AL101" i="27"/>
  <c r="AJ40" i="27"/>
  <c r="AL38" i="27"/>
  <c r="BD85" i="27"/>
  <c r="BB87" i="27"/>
  <c r="AR176" i="27"/>
  <c r="AP174" i="27"/>
  <c r="AR174" i="27" s="1"/>
  <c r="AU131" i="27"/>
  <c r="AS129" i="27"/>
  <c r="AU129" i="27" s="1"/>
  <c r="AO182" i="27"/>
  <c r="AM180" i="27"/>
  <c r="AO180" i="27" s="1"/>
  <c r="BG188" i="27"/>
  <c r="BE186" i="27"/>
  <c r="BG186" i="27" s="1"/>
  <c r="BE99" i="27"/>
  <c r="BG97" i="27"/>
  <c r="AO211" i="27"/>
  <c r="AM213" i="27"/>
  <c r="AX113" i="27"/>
  <c r="AV111" i="27"/>
  <c r="AX111" i="27" s="1"/>
  <c r="AJ150" i="27"/>
  <c r="AL148" i="27"/>
  <c r="AI113" i="27"/>
  <c r="AG111" i="27"/>
  <c r="AI111" i="27" s="1"/>
  <c r="AF119" i="27"/>
  <c r="AD117" i="27"/>
  <c r="AF117" i="27" s="1"/>
  <c r="AI62" i="27"/>
  <c r="AG60" i="27"/>
  <c r="AI60" i="27" s="1"/>
  <c r="AX188" i="27"/>
  <c r="AV186" i="27"/>
  <c r="AX186" i="27" s="1"/>
  <c r="BE213" i="27"/>
  <c r="BG211" i="27"/>
  <c r="AO34" i="27"/>
  <c r="AM36" i="27"/>
  <c r="AL188" i="27"/>
  <c r="AJ186" i="27"/>
  <c r="AL186" i="27" s="1"/>
  <c r="AG54" i="27"/>
  <c r="AI54" i="27" s="1"/>
  <c r="AI56" i="27"/>
  <c r="AV99" i="27"/>
  <c r="AX97" i="27"/>
  <c r="AU113" i="27"/>
  <c r="AS111" i="27"/>
  <c r="AU111" i="27" s="1"/>
  <c r="AY103" i="27"/>
  <c r="BA101" i="27"/>
  <c r="AI176" i="27"/>
  <c r="AG174" i="27"/>
  <c r="AI174" i="27" s="1"/>
  <c r="AJ166" i="27"/>
  <c r="AL164" i="27"/>
  <c r="AU176" i="27"/>
  <c r="AS174" i="27"/>
  <c r="AU174" i="27" s="1"/>
  <c r="AO97" i="27"/>
  <c r="AM99" i="27"/>
  <c r="BG119" i="27"/>
  <c r="BE117" i="27"/>
  <c r="BG117" i="27" s="1"/>
  <c r="AS36" i="27"/>
  <c r="AU34" i="27"/>
  <c r="AL56" i="27"/>
  <c r="AJ54" i="27"/>
  <c r="AL54" i="27" s="1"/>
  <c r="BG50" i="27"/>
  <c r="BE48" i="27"/>
  <c r="BG48" i="27" s="1"/>
  <c r="AV36" i="27"/>
  <c r="AX34" i="27"/>
  <c r="AP166" i="27"/>
  <c r="AR164" i="27"/>
  <c r="BE36" i="27"/>
  <c r="BG34" i="27"/>
  <c r="AX176" i="27"/>
  <c r="AV174" i="27"/>
  <c r="AX174" i="27" s="1"/>
  <c r="AE62" i="27"/>
  <c r="AE60" i="27" s="1"/>
  <c r="AO119" i="27"/>
  <c r="AM117" i="27"/>
  <c r="AO117" i="27" s="1"/>
  <c r="AD166" i="27"/>
  <c r="AF164" i="27"/>
  <c r="AM62" i="27"/>
  <c r="AD62" i="27"/>
  <c r="AS40" i="27"/>
  <c r="AU38" i="27"/>
  <c r="AV166" i="27"/>
  <c r="AX164" i="27"/>
  <c r="BD119" i="27"/>
  <c r="BB117" i="27"/>
  <c r="BD117" i="27" s="1"/>
  <c r="AS87" i="27"/>
  <c r="AU85" i="27"/>
  <c r="AX50" i="27"/>
  <c r="AV48" i="27"/>
  <c r="AX48" i="27" s="1"/>
  <c r="AX56" i="27"/>
  <c r="AV54" i="27"/>
  <c r="AX54" i="27" s="1"/>
  <c r="BB186" i="27"/>
  <c r="BD186" i="27" s="1"/>
  <c r="BD188" i="27"/>
  <c r="AL182" i="27"/>
  <c r="AJ180" i="27"/>
  <c r="AL180" i="27" s="1"/>
  <c r="AP150" i="27"/>
  <c r="AR148" i="27"/>
  <c r="AN62" i="27"/>
  <c r="AN60" i="27" s="1"/>
  <c r="BD56" i="27"/>
  <c r="BB54" i="27"/>
  <c r="BD54" i="27" s="1"/>
  <c r="AI188" i="27"/>
  <c r="AG186" i="27"/>
  <c r="AI186" i="27" s="1"/>
  <c r="BA148" i="27"/>
  <c r="AY150" i="27"/>
  <c r="AO194" i="27"/>
  <c r="AM192" i="27"/>
  <c r="AO192" i="27" s="1"/>
  <c r="AF182" i="27"/>
  <c r="AD180" i="27"/>
  <c r="AF180" i="27" s="1"/>
  <c r="AF104" i="27"/>
  <c r="AQ62" i="27"/>
  <c r="AQ60" i="27" s="1"/>
  <c r="AJ123" i="27"/>
  <c r="AL123" i="27" s="1"/>
  <c r="AL125" i="27"/>
  <c r="AG36" i="27"/>
  <c r="AI34" i="27"/>
  <c r="BD50" i="27"/>
  <c r="BB48" i="27"/>
  <c r="BD48" i="27" s="1"/>
  <c r="AP48" i="27"/>
  <c r="AR48" i="27" s="1"/>
  <c r="AR50" i="27"/>
  <c r="BA62" i="27"/>
  <c r="AY60" i="27"/>
  <c r="BA60" i="27" s="1"/>
  <c r="AX119" i="27"/>
  <c r="AV117" i="27"/>
  <c r="AX117" i="27" s="1"/>
  <c r="AG134" i="26"/>
  <c r="AG132" i="26" s="1"/>
  <c r="AG130" i="26" s="1"/>
  <c r="BD176" i="27"/>
  <c r="BB174" i="27"/>
  <c r="BD174" i="27" s="1"/>
  <c r="BA182" i="27"/>
  <c r="AY180" i="27"/>
  <c r="BA180" i="27" s="1"/>
  <c r="BB166" i="27"/>
  <c r="BD164" i="27"/>
  <c r="AO131" i="27"/>
  <c r="AM129" i="27"/>
  <c r="AO129" i="27" s="1"/>
  <c r="AG213" i="27"/>
  <c r="AI211" i="27"/>
  <c r="BA176" i="27"/>
  <c r="AY174" i="27"/>
  <c r="BA174" i="27" s="1"/>
  <c r="AR56" i="27"/>
  <c r="AP54" i="27"/>
  <c r="AR54" i="27" s="1"/>
  <c r="BA125" i="27"/>
  <c r="AY123" i="27"/>
  <c r="BA123" i="27" s="1"/>
  <c r="BA119" i="27"/>
  <c r="AY117" i="27"/>
  <c r="BA117" i="27" s="1"/>
  <c r="AV213" i="27"/>
  <c r="AX211" i="27"/>
  <c r="AM162" i="27"/>
  <c r="AO160" i="27"/>
  <c r="AV103" i="27"/>
  <c r="AX101" i="27"/>
  <c r="AJ213" i="27"/>
  <c r="AL211" i="27"/>
  <c r="BA188" i="27"/>
  <c r="AY186" i="27"/>
  <c r="BA186" i="27" s="1"/>
  <c r="AV150" i="27"/>
  <c r="AX148" i="27"/>
  <c r="AU148" i="27"/>
  <c r="AS150" i="27"/>
  <c r="AU50" i="27"/>
  <c r="AS48" i="27"/>
  <c r="AU48" i="27" s="1"/>
  <c r="AG158" i="30"/>
  <c r="AH158" i="30" s="1"/>
  <c r="AH157" i="30"/>
  <c r="AN165" i="30"/>
  <c r="AP68" i="27" s="1"/>
  <c r="BC165" i="30"/>
  <c r="BF68" i="27" s="1"/>
  <c r="BF66" i="27" s="1"/>
  <c r="BA165" i="30"/>
  <c r="AZ68" i="27" s="1"/>
  <c r="AZ66" i="27" s="1"/>
  <c r="AG165" i="30"/>
  <c r="AH165" i="30" s="1"/>
  <c r="BD160" i="27"/>
  <c r="BB162" i="27"/>
  <c r="AH166" i="30"/>
  <c r="AR125" i="27"/>
  <c r="AP123" i="27"/>
  <c r="AR123" i="27" s="1"/>
  <c r="BA50" i="27"/>
  <c r="AY48" i="27"/>
  <c r="BA48" i="27" s="1"/>
  <c r="AS103" i="27"/>
  <c r="AU101" i="27"/>
  <c r="BG125" i="27"/>
  <c r="BE123" i="27"/>
  <c r="BG123" i="27" s="1"/>
  <c r="AF211" i="27"/>
  <c r="AD213" i="27"/>
  <c r="AU56" i="27"/>
  <c r="AS54" i="27"/>
  <c r="AU54" i="27" s="1"/>
  <c r="AI182" i="27"/>
  <c r="AG180" i="27"/>
  <c r="AI180" i="27" s="1"/>
  <c r="BB150" i="27"/>
  <c r="BD148" i="27"/>
  <c r="AL119" i="27"/>
  <c r="AJ117" i="27"/>
  <c r="AL117" i="27" s="1"/>
  <c r="AL113" i="27"/>
  <c r="AJ111" i="27"/>
  <c r="AL111" i="27" s="1"/>
  <c r="AV87" i="27"/>
  <c r="AX85" i="27"/>
  <c r="AF56" i="27"/>
  <c r="AD54" i="27"/>
  <c r="AF54" i="27" s="1"/>
  <c r="AU182" i="27"/>
  <c r="AS180" i="27"/>
  <c r="AU180" i="27" s="1"/>
  <c r="BD194" i="27"/>
  <c r="BB192" i="27"/>
  <c r="BD192" i="27" s="1"/>
  <c r="AO125" i="27"/>
  <c r="AM123" i="27"/>
  <c r="AO123" i="27" s="1"/>
  <c r="AG83" i="26"/>
  <c r="AG81" i="26" s="1"/>
  <c r="AG79" i="26" s="1"/>
  <c r="AF113" i="27"/>
  <c r="AD111" i="27"/>
  <c r="AF111" i="27" s="1"/>
  <c r="AS192" i="27"/>
  <c r="AU192" i="27" s="1"/>
  <c r="AU194" i="27"/>
  <c r="AS213" i="27"/>
  <c r="AU211" i="27"/>
  <c r="AI125" i="27"/>
  <c r="AG123" i="27"/>
  <c r="AI123" i="27" s="1"/>
  <c r="BA194" i="27"/>
  <c r="AY192" i="27"/>
  <c r="BA192" i="27" s="1"/>
  <c r="BE87" i="27"/>
  <c r="BG85" i="27"/>
  <c r="AR211" i="27"/>
  <c r="AP213" i="27"/>
  <c r="AU188" i="27"/>
  <c r="AS186" i="27"/>
  <c r="AU186" i="27" s="1"/>
  <c r="AJ60" i="27"/>
  <c r="AL60" i="27" s="1"/>
  <c r="AL62" i="27"/>
  <c r="AM103" i="27"/>
  <c r="AO101" i="27"/>
  <c r="AS166" i="27"/>
  <c r="AU164" i="27"/>
  <c r="AP99" i="27"/>
  <c r="AR97" i="27"/>
  <c r="BG176" i="27"/>
  <c r="BE174" i="27"/>
  <c r="BG174" i="27" s="1"/>
  <c r="AV123" i="27"/>
  <c r="AX123" i="27" s="1"/>
  <c r="AX125" i="27"/>
  <c r="AO50" i="27"/>
  <c r="AM48" i="27"/>
  <c r="AO48" i="27" s="1"/>
  <c r="AF85" i="27"/>
  <c r="AD87" i="27"/>
  <c r="BD125" i="27"/>
  <c r="BB123" i="27"/>
  <c r="BD123" i="27" s="1"/>
  <c r="BG131" i="27"/>
  <c r="BE129" i="27"/>
  <c r="BG129" i="27" s="1"/>
  <c r="AX194" i="27"/>
  <c r="AV192" i="27"/>
  <c r="AX192" i="27" s="1"/>
  <c r="AF160" i="27"/>
  <c r="AD162" i="27"/>
  <c r="AI131" i="27"/>
  <c r="AG129" i="27"/>
  <c r="AI129" i="27" s="1"/>
  <c r="AY54" i="27"/>
  <c r="BA54" i="27" s="1"/>
  <c r="BA56" i="27"/>
  <c r="BE103" i="27"/>
  <c r="BG101" i="27"/>
  <c r="AG192" i="27"/>
  <c r="AI192" i="27" s="1"/>
  <c r="AI194" i="27"/>
  <c r="AF176" i="27"/>
  <c r="AD174" i="27"/>
  <c r="AF174" i="27" s="1"/>
  <c r="AG99" i="27"/>
  <c r="AI97" i="27"/>
  <c r="AG162" i="27"/>
  <c r="AI160" i="27"/>
  <c r="AF131" i="27"/>
  <c r="AD129" i="27"/>
  <c r="AF129" i="27" s="1"/>
  <c r="BE166" i="27"/>
  <c r="BG164" i="27"/>
  <c r="AO188" i="27"/>
  <c r="AM186" i="27"/>
  <c r="AO186" i="27" s="1"/>
  <c r="AP186" i="27"/>
  <c r="AR186" i="27" s="1"/>
  <c r="AR188" i="27"/>
  <c r="AO164" i="27"/>
  <c r="AM166" i="27"/>
  <c r="BA164" i="27"/>
  <c r="AY166" i="27"/>
  <c r="AD99" i="27"/>
  <c r="AF97" i="27"/>
  <c r="BB111" i="27"/>
  <c r="BD111" i="27" s="1"/>
  <c r="BD113" i="27"/>
  <c r="AJ48" i="27"/>
  <c r="AL48" i="27" s="1"/>
  <c r="AL50" i="27"/>
  <c r="BD68" i="27" l="1"/>
  <c r="AV66" i="27"/>
  <c r="AX66" i="27" s="1"/>
  <c r="AH161" i="30"/>
  <c r="AG179" i="26"/>
  <c r="AT427" i="29"/>
  <c r="AD60" i="27"/>
  <c r="AF60" i="27" s="1"/>
  <c r="AF62" i="27"/>
  <c r="AO62" i="27"/>
  <c r="AM60" i="27"/>
  <c r="AO60" i="27" s="1"/>
  <c r="AR68" i="27"/>
  <c r="AP66" i="27"/>
  <c r="AR66" i="27" s="1"/>
  <c r="AG128" i="26"/>
  <c r="AT283" i="29"/>
  <c r="AG77" i="26"/>
  <c r="AT139" i="29"/>
  <c r="AT139" i="30"/>
  <c r="AT135" i="29" l="1"/>
  <c r="AT135" i="30"/>
  <c r="AT283" i="30" a="1"/>
  <c r="AT283" i="30" s="1"/>
  <c r="AT279" i="30" s="1"/>
  <c r="AT279" i="29"/>
  <c r="AT427" i="30" a="1"/>
  <c r="AT427" i="30" s="1"/>
  <c r="AT423" i="30" s="1"/>
  <c r="AT423" i="29"/>
  <c r="BE279" i="29" l="1"/>
  <c r="BD279" i="29"/>
  <c r="AT295" i="29"/>
  <c r="AT293" i="29"/>
  <c r="BD423" i="29"/>
  <c r="BE423" i="29"/>
  <c r="AT439" i="29"/>
  <c r="AT437" i="29"/>
  <c r="BE423" i="30"/>
  <c r="BD423" i="30"/>
  <c r="AT437" i="30"/>
  <c r="AT439" i="30"/>
  <c r="BE279" i="30"/>
  <c r="BD279" i="30"/>
  <c r="AT295" i="30"/>
  <c r="AT293" i="30"/>
  <c r="BE135" i="30"/>
  <c r="AT151" i="30"/>
  <c r="BE151" i="30" s="1"/>
  <c r="BE135" i="29"/>
  <c r="AT151" i="29"/>
  <c r="BE151" i="29" s="1"/>
  <c r="BE439" i="30" l="1"/>
  <c r="BD439" i="30"/>
  <c r="AT449" i="30"/>
  <c r="AT448" i="30"/>
  <c r="AT446" i="30"/>
  <c r="BE295" i="30"/>
  <c r="BD295" i="30"/>
  <c r="AT305" i="30"/>
  <c r="AT304" i="30"/>
  <c r="AT302" i="30"/>
  <c r="BE439" i="29"/>
  <c r="BD439" i="29"/>
  <c r="AT449" i="29"/>
  <c r="AT448" i="29"/>
  <c r="AT446" i="29"/>
  <c r="BE295" i="29"/>
  <c r="BD295" i="29"/>
  <c r="AT304" i="29"/>
  <c r="AT305" i="29"/>
  <c r="AT302" i="29"/>
  <c r="BD305" i="30" l="1"/>
  <c r="BE305" i="30"/>
  <c r="AU444" i="29" a="1"/>
  <c r="AU444" i="29" s="1"/>
  <c r="AU447" i="29" s="1"/>
  <c r="AT454" i="29"/>
  <c r="BE449" i="30"/>
  <c r="BD449" i="30"/>
  <c r="AU300" i="29" a="1"/>
  <c r="AU300" i="29" s="1"/>
  <c r="AU303" i="29" s="1"/>
  <c r="AT310" i="29"/>
  <c r="AT310" i="30"/>
  <c r="AE102" i="27" s="1"/>
  <c r="AU300" i="30" a="1"/>
  <c r="AU300" i="30" s="1"/>
  <c r="AT303" i="30"/>
  <c r="AE98" i="27"/>
  <c r="AE149" i="27"/>
  <c r="BE305" i="29"/>
  <c r="BD305" i="29"/>
  <c r="BD449" i="29"/>
  <c r="BE449" i="29"/>
  <c r="AT454" i="30"/>
  <c r="AE165" i="27" s="1"/>
  <c r="AT447" i="30"/>
  <c r="AU444" i="30" a="1"/>
  <c r="AU444" i="30" s="1"/>
  <c r="AE161" i="27"/>
  <c r="AE212" i="27"/>
  <c r="AE162" i="27" l="1"/>
  <c r="AF161" i="27"/>
  <c r="AE99" i="27"/>
  <c r="AF98" i="27"/>
  <c r="AF212" i="27"/>
  <c r="AE213" i="27"/>
  <c r="AF149" i="27"/>
  <c r="AE150" i="27"/>
  <c r="AU447" i="30"/>
  <c r="AH211" i="27"/>
  <c r="AH213" i="27" s="1"/>
  <c r="AH160" i="27"/>
  <c r="AH162" i="27" s="1"/>
  <c r="AE166" i="27"/>
  <c r="AF165" i="27"/>
  <c r="AU303" i="30"/>
  <c r="AH97" i="27"/>
  <c r="AH99" i="27" s="1"/>
  <c r="AH148" i="27"/>
  <c r="AH150" i="27" s="1"/>
  <c r="AE103" i="27"/>
  <c r="AF102"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<sst xmlns="http://schemas.openxmlformats.org/spreadsheetml/2006/main" count="29212" uniqueCount="5948">
  <si>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</si>
  <si>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</si>
  <si>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</si>
  <si>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</si>
  <si>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</si>
  <si>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</si>
  <si>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</si>
  <si>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</si>
  <si>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</si>
  <si>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</si>
  <si>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</si>
  <si>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</si>
  <si>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</si>
  <si>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</si>
  <si>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</si>
  <si>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</si>
  <si>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</si>
  <si>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</si>
  <si>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</si>
  <si>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</si>
  <si>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</si>
  <si>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</si>
  <si>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</si>
  <si>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</si>
  <si>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</si>
  <si>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</si>
  <si>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</si>
  <si>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</si>
  <si>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</si>
  <si>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</si>
  <si>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</si>
  <si>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</si>
  <si>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</si>
  <si>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</si>
  <si>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</si>
  <si>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</si>
  <si>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</si>
  <si>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</si>
  <si>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</si>
  <si>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</si>
  <si>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</si>
  <si>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</si>
  <si>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</si>
  <si>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</si>
  <si>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</si>
  <si>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</si>
  <si>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</si>
  <si>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</si>
  <si>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</si>
  <si>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</si>
  <si>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</si>
  <si>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</si>
  <si>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</si>
  <si>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</si>
  <si>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</si>
  <si>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</si>
  <si>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</si>
  <si>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</si>
  <si>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</si>
  <si>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</si>
  <si>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</si>
  <si>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</si>
  <si>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</si>
  <si>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</si>
  <si>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</si>
  <si>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</si>
  <si>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</si>
  <si>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</si>
  <si>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</si>
  <si>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</si>
  <si>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</si>
  <si>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</si>
  <si>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</si>
  <si>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</si>
  <si>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</si>
  <si>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</si>
  <si>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</si>
  <si>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</si>
  <si>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</si>
  <si>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</si>
  <si>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</si>
  <si>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</si>
  <si>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</si>
  <si>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</si>
  <si>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</si>
  <si>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</si>
  <si>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</si>
  <si>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</si>
  <si>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</si>
  <si>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</si>
  <si>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</si>
  <si>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</si>
  <si>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</si>
  <si>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</si>
  <si>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</si>
  <si>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</si>
  <si>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</si>
  <si>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</si>
  <si>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</si>
  <si>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</si>
  <si>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</si>
  <si>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</si>
  <si>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</si>
  <si>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</si>
  <si>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</si>
  <si>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</si>
  <si>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</si>
  <si>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</si>
  <si>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</si>
  <si>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</si>
  <si>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</si>
  <si>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</si>
  <si>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"Энергосервис г. Гурьевска"</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</si>
  <si>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</si>
  <si>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</si>
  <si>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"Энергосервис г. Гурьевска"</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</si>
  <si>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</si>
  <si>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</si>
  <si>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</si>
  <si>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1154202000260</t>
  </si>
  <si>
    <t>ИНН</t>
  </si>
  <si>
    <t>4202049045</t>
  </si>
  <si>
    <t>КПП</t>
  </si>
  <si>
    <t>420201001</t>
  </si>
  <si>
    <t>Код по ОКПО</t>
  </si>
  <si>
    <t>27610011</t>
  </si>
  <si>
    <t>L2_7</t>
  </si>
  <si>
    <t>Организационно-правовая форма</t>
  </si>
  <si>
    <t>1 23 00 | Общества с ограниченной ответственностью</t>
  </si>
  <si>
    <t>L2_8</t>
  </si>
  <si>
    <t>Юридический адрес</t>
  </si>
  <si>
    <t>Российская Федерация, 652780, Кемеровская область, г. Гурьевск, ул. Партизанская, 19</t>
  </si>
  <si>
    <t>L2_9</t>
  </si>
  <si>
    <t>Фактический адрес</t>
  </si>
  <si>
    <t>L2_10</t>
  </si>
  <si>
    <t>Телефон организации</t>
  </si>
  <si>
    <t>+73846354250</t>
  </si>
  <si>
    <t>L2_11</t>
  </si>
  <si>
    <t>e-mail</t>
  </si>
  <si>
    <t>uktsgur@rambler.ru</t>
  </si>
  <si>
    <t>L2_12</t>
  </si>
  <si>
    <t>ФИО руководителя</t>
  </si>
  <si>
    <t>Журавлев Евгений Владимирович</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</si>
  <si>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</si>
  <si>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</si>
  <si>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</si>
  <si>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</si>
  <si>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</si>
  <si>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</si>
  <si>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</si>
  <si>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</si>
  <si>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</si>
  <si>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</si>
  <si>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</si>
  <si>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</si>
  <si>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</si>
  <si>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</si>
  <si>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</si>
  <si>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</si>
  <si>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</si>
  <si>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</si>
  <si>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</si>
  <si>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</si>
  <si>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</si>
  <si>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</si>
  <si>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</si>
  <si>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</si>
  <si>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</si>
  <si>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</si>
  <si>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</si>
  <si>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</si>
  <si>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</si>
  <si>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https://portal.eias.ru/Portal/DownloadPage.aspx?type=12&amp;guid=4c962a83-8b92-4503-9ba5-a0180547bc71</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</si>
  <si>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</si>
  <si>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</si>
  <si>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</si>
  <si>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</si>
  <si>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</si>
  <si>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</si>
  <si>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</si>
  <si>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</si>
  <si>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</si>
  <si>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</si>
  <si>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</si>
  <si>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</si>
  <si>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</si>
  <si>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</si>
  <si>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</si>
  <si>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</si>
  <si>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</si>
  <si>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</si>
  <si>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</si>
  <si>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</si>
  <si>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</si>
  <si>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</si>
  <si>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</si>
  <si>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</si>
  <si>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</si>
  <si>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</si>
  <si>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</si>
  <si>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</si>
  <si>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</si>
  <si>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</si>
  <si>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</si>
  <si>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</si>
  <si>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 (принят Законодательным Собранием Кемеровской области - Кузбасса 23.06.2020)</t>
  </si>
  <si>
    <t>закон</t>
  </si>
  <si>
    <t>69-ОЗ</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</si>
  <si>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</si>
  <si>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</si>
  <si>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</si>
  <si>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</si>
  <si>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</si>
  <si>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</si>
  <si>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</si>
  <si>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</si>
  <si>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</si>
  <si>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</si>
  <si>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</si>
  <si>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</si>
  <si>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</si>
  <si>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</si>
  <si>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</si>
  <si>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</si>
  <si>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</si>
  <si>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</si>
  <si>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</si>
  <si>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</si>
  <si>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Федотова Вера Ивановна</t>
  </si>
  <si>
    <t>L5_1</t>
  </si>
  <si>
    <t>Должность исполнителя</t>
  </si>
  <si>
    <t>экономист</t>
  </si>
  <si>
    <t>L5_2</t>
  </si>
  <si>
    <t>Контактный телефон исполнителя</t>
  </si>
  <si>
    <t>8-38463-5-55-40</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</si>
  <si>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</si>
  <si>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</si>
  <si>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</si>
  <si>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</si>
  <si>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</si>
  <si>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</si>
  <si>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</si>
  <si>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</si>
  <si>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</si>
  <si>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</si>
  <si>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</si>
  <si>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</si>
  <si>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</si>
  <si>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</si>
  <si>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</si>
  <si>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</si>
  <si>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</si>
  <si>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</si>
  <si>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</si>
  <si>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</si>
  <si>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</si>
  <si>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</si>
  <si>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</si>
  <si>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14</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</si>
  <si>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</si>
  <si>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</si>
  <si>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</si>
  <si>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</si>
  <si>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</si>
  <si>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</si>
  <si>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</si>
  <si>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</si>
  <si>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</si>
  <si>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</si>
  <si>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</si>
  <si>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</si>
  <si>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</si>
  <si>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</si>
  <si>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</si>
  <si>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</si>
  <si>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</si>
  <si>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</si>
  <si>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ХВС.42.28976681.0003</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</si>
  <si>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</si>
  <si>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</si>
  <si>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</si>
  <si>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</si>
  <si>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</si>
  <si>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 2709</t>
  </si>
  <si>
    <t>от 25.11.2025 № 7618, №7619,  от 02.10.2025 № 6240</t>
  </si>
  <si>
    <t>2</t>
  </si>
  <si>
    <t>Водоотведение</t>
  </si>
  <si>
    <t>ВО.42.28976681.0003</t>
  </si>
  <si>
    <t>тариф на водоотведение</t>
  </si>
  <si>
    <t>Приём сточных вод :: Очистка сточных вод :: Транспортировка сточных вод</t>
  </si>
  <si>
    <t>без дифференциации</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</si>
  <si>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</si>
  <si>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</si>
  <si>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</si>
  <si>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</si>
  <si>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</si>
  <si>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31-ВС и ВО от 14.05.2025</t>
  </si>
  <si>
    <t>L7_2</t>
  </si>
  <si>
    <t>ФИО уполномоченного по делу</t>
  </si>
  <si>
    <t>Давидович Елена Юрьевна</t>
  </si>
  <si>
    <t>L7_3</t>
  </si>
  <si>
    <t>Должность уполномоченного по делу</t>
  </si>
  <si>
    <t>главный консультант</t>
  </si>
  <si>
    <t>L7_4</t>
  </si>
  <si>
    <t>Контактный телефон уполномоченного по делу</t>
  </si>
  <si>
    <t>8-3842-36-65-85</t>
  </si>
  <si>
    <t>L7_5</t>
  </si>
  <si>
    <t>e-mail уполномоченного по делу</t>
  </si>
  <si>
    <t>davidovich-eyu@recko.ako.ru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</si>
  <si>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</si>
  <si>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</si>
  <si>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</si>
  <si>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</si>
  <si>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</si>
  <si>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</si>
  <si>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</si>
  <si>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</si>
  <si>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</si>
  <si>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</si>
  <si>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</si>
  <si>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</si>
  <si>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</si>
  <si>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</si>
  <si>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</si>
  <si>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</si>
  <si>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</si>
  <si>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</si>
  <si>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</si>
  <si>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</si>
  <si>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</si>
  <si>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</si>
  <si>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</si>
  <si>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</si>
  <si>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</si>
  <si>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</si>
  <si>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</si>
  <si>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</si>
  <si>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</si>
  <si>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</si>
  <si>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</si>
  <si>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</si>
  <si>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</si>
  <si>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</si>
  <si>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</si>
  <si>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</si>
  <si>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</si>
  <si>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</si>
  <si>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Гурьевский муниципальный округ</t>
  </si>
  <si>
    <t>32502000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</si>
  <si>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</si>
  <si>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</si>
  <si>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</si>
  <si>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</si>
  <si>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</si>
  <si>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</si>
  <si>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</si>
  <si>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</si>
  <si>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</si>
  <si>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</si>
  <si>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</si>
  <si>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</si>
  <si>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</si>
  <si>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</si>
  <si>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</si>
  <si>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</si>
  <si>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</si>
  <si>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</si>
  <si>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</si>
  <si>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</si>
  <si>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</si>
  <si>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</si>
  <si>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</si>
  <si>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</si>
  <si>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</si>
  <si>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</si>
  <si>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</si>
  <si>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</si>
  <si>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</si>
  <si>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</si>
  <si>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</si>
  <si>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</si>
  <si>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</si>
  <si>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</si>
  <si>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</si>
  <si>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</si>
  <si>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</si>
  <si>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</si>
  <si>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</si>
  <si>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</si>
  <si>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</si>
  <si>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</si>
  <si>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</si>
  <si>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</si>
  <si>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</si>
  <si>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</si>
  <si>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Предприятием эксплуатируется три централизованных системы водоснабжения: 
 1.Компактный скважинный водозабор на Гурьевском участке Салаирского месторождения (Мало-Салаирский водозабор).
 2. Горновский водозабор.
 3. Скважина РАПО.  
Также на обслуживании предприятия находится три отдельные водопроводные сети общей протяженностью 117,1 км. 
Предприятие обслуживает 279 единиц уличных систем разбора воды (колонки, краны).
На Малосалаирском водозаборе эксплуатируются 4 артезианские скважины. 
Добыча подземных вод на Горновском водозаборе ведется из 5 артезианских скважин, расположенных на двух площадках. Территория Горновского водозабора расположена на берегу р. Бачат. 
Водоснабжение потребителей РАПО осуществляется из одной артезианской скважины.</t>
  </si>
  <si>
    <t>Отведение сточных вод осуществляется от канализационной части г. Гурьевска посредством сети дворовых канализаций, магистральных коллекторов и пяти перекачивающих канализационных насосных станций.
Очистка и обеззараживание сточных вод осуществляется на комплексе городских ОС полной биолог. очистки сточных вод.
В комплекс очистных сооружений входит: приемная камера, песколовки, двухярусные отстойники, высоконагружаемые фильтры (биофильтры), вторичные отстойники, иловые площадки. Сброс очищенных сточных вод осуществляется в р. М. Салаирчик.
Сточные воды от не канализированной части города привозятся АСС-машинами на сливную станцию комплекса ОС. Оттуда они самотеком поступают в иловую насосную станции и перекачиваются на очистку в приемную камеру комплекса городских ОС.
Предприятием также эксплуатируются механ.ОС для очистки хоз-быт сточных вод, расположенные на берегу р. М. Бачат.</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</si>
  <si>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</si>
  <si>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</si>
  <si>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</si>
  <si>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</si>
  <si>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</si>
  <si>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</si>
  <si>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</si>
  <si>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</si>
  <si>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</si>
  <si>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</si>
  <si>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</si>
  <si>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</si>
  <si>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</si>
  <si>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</si>
  <si>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</si>
  <si>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</si>
  <si>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</si>
  <si>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</si>
  <si>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</si>
  <si>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</si>
  <si>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</si>
  <si>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</si>
  <si>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Малосалаирский водозабор</t>
  </si>
  <si>
    <t>г Гурьевск, км. Трасса Гурьевск-Малая Салаирка 5, 0</t>
  </si>
  <si>
    <t>аренда</t>
  </si>
  <si>
    <t>договор</t>
  </si>
  <si>
    <t>87/1</t>
  </si>
  <si>
    <t>20.05.2015</t>
  </si>
  <si>
    <t>скважина п.Лесной</t>
  </si>
  <si>
    <t>г Гурьевск, пер.Лесной, 2б</t>
  </si>
  <si>
    <t>116</t>
  </si>
  <si>
    <t>13.08.2018</t>
  </si>
  <si>
    <t>Горновский водозабор</t>
  </si>
  <si>
    <t>г Гурьевск, ул.Р.Люксембург, 64</t>
  </si>
  <si>
    <t>Скважина ул.Энгельса</t>
  </si>
  <si>
    <t>г Гурьевск, ул.Энгельса, 171</t>
  </si>
  <si>
    <t>4</t>
  </si>
  <si>
    <t>Очистные сооружения</t>
  </si>
  <si>
    <t>г Гурьевск, ул.Вокзальная, 1</t>
  </si>
  <si>
    <t>КНС №5</t>
  </si>
  <si>
    <t>г Гурьевск, ул.Есенина, б/н</t>
  </si>
  <si>
    <t>КНС 1</t>
  </si>
  <si>
    <t>г Гурьевск, ул.Кирова, 36а</t>
  </si>
  <si>
    <t>КНС 4</t>
  </si>
  <si>
    <t>г Гурьевск, ул.Ленина, 102а</t>
  </si>
  <si>
    <t>КНС 2</t>
  </si>
  <si>
    <t>г Гурьевск, ул.Ленина, 54а</t>
  </si>
  <si>
    <t>5</t>
  </si>
  <si>
    <t>КНС 3</t>
  </si>
  <si>
    <t>г Гурьевск, ул.Ленина, 70б</t>
  </si>
  <si>
    <t>6</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</si>
  <si>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</si>
  <si>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</si>
  <si>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</si>
  <si>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</si>
  <si>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</si>
  <si>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</si>
  <si>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</si>
  <si>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</si>
  <si>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</si>
  <si>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</si>
  <si>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</si>
  <si>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</si>
  <si>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</si>
  <si>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</si>
  <si>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</si>
  <si>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</si>
  <si>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</si>
  <si>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</si>
  <si>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</si>
  <si>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</si>
  <si>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</si>
  <si>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</si>
  <si>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</si>
  <si>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</si>
  <si>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</si>
  <si>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</si>
  <si>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</si>
  <si>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</si>
  <si>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</si>
  <si>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</si>
  <si>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</si>
  <si>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</si>
  <si>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</si>
  <si>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</si>
  <si>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</si>
  <si>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</si>
  <si>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</si>
  <si>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</si>
  <si>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</si>
  <si>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</si>
  <si>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</si>
  <si>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</si>
  <si>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</si>
  <si>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</si>
  <si>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</si>
  <si>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</si>
  <si>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</si>
  <si>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</si>
  <si>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</si>
  <si>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</si>
  <si>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</si>
  <si>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</si>
  <si>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</si>
  <si>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</si>
  <si>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</si>
  <si>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</si>
  <si>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</si>
  <si>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</si>
  <si>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</si>
  <si>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</si>
  <si>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</si>
  <si>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</si>
  <si>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</si>
  <si>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</si>
  <si>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</si>
  <si>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</si>
  <si>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</si>
  <si>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</si>
  <si>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</si>
  <si>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Индексы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</si>
  <si>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на основании Налогового кодекса РФ (часть вторая) от 05.08.2000 № 117-ФЗ в размере 30%, а также в соответствии с Федеральным законом от 24.07.1998 № 125 – ФЗ (0,20%).</t>
  </si>
  <si>
    <t>ставки водного налога в соответствии со ст. 333.12 Налогового кодекса РФ от 05.08.2000 № 117-ФЗ.</t>
  </si>
  <si>
    <t>ст. 346.20 Налогового кодекса Российской Федерации (часть вторая) от 05.08.2000 № 117-ФЗ</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</si>
  <si>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</si>
  <si>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</si>
  <si>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</si>
  <si>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</si>
  <si>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</si>
  <si>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</si>
  <si>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</si>
  <si>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</si>
  <si>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</si>
  <si>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</si>
  <si>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</si>
  <si>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</si>
  <si>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</si>
  <si>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</si>
  <si>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</si>
  <si>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</si>
  <si>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</si>
  <si>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</si>
  <si>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</si>
  <si>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</si>
  <si>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</si>
  <si>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</si>
  <si>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</si>
  <si>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</si>
  <si>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</si>
  <si>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</si>
  <si>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</si>
  <si>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</si>
  <si>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</si>
  <si>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</si>
  <si>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</si>
  <si>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</si>
  <si>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</si>
  <si>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</si>
  <si>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</si>
  <si>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</si>
  <si>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</si>
  <si>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</si>
  <si>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</si>
  <si>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</si>
  <si>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</si>
  <si>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</si>
  <si>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</si>
  <si>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</si>
  <si>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</si>
  <si>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</si>
  <si>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</si>
  <si>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</si>
  <si>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</si>
  <si>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</si>
  <si>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</si>
  <si>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</si>
  <si>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</si>
  <si>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</si>
  <si>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</si>
  <si>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</si>
  <si>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</si>
  <si>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</si>
  <si>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</si>
  <si>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</si>
  <si>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</si>
  <si>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</si>
  <si>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</si>
  <si>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</si>
  <si>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</si>
  <si>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</si>
  <si>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</si>
  <si>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</si>
  <si>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</si>
  <si>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</si>
  <si>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</si>
  <si>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</si>
  <si>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</si>
  <si>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</si>
  <si>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</si>
  <si>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</si>
  <si>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</si>
  <si>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</si>
  <si>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</si>
  <si>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</si>
  <si>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</si>
  <si>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</si>
  <si>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</si>
  <si>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</si>
  <si>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</si>
  <si>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</si>
  <si>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</si>
  <si>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</si>
  <si>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</si>
  <si>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</si>
  <si>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</si>
  <si>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</si>
  <si>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</si>
  <si>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</si>
  <si>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</si>
  <si>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</si>
  <si>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</si>
  <si>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</si>
  <si>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</si>
  <si>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</si>
  <si>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</si>
  <si>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</si>
  <si>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</si>
  <si>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</si>
  <si>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</si>
  <si>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</si>
  <si>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</si>
  <si>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</si>
  <si>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</si>
  <si>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</si>
  <si>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</si>
  <si>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</si>
  <si>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</si>
  <si>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</si>
  <si>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</si>
  <si>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</si>
  <si>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</si>
  <si>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</si>
  <si>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</si>
  <si>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</si>
  <si>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</si>
  <si>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</si>
  <si>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</si>
  <si>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</si>
  <si>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</si>
  <si>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</si>
  <si>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</si>
  <si>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</si>
  <si>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</si>
  <si>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</si>
  <si>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</si>
  <si>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</si>
  <si>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</si>
  <si>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</si>
  <si>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</si>
  <si>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</si>
  <si>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</si>
  <si>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</si>
  <si>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</si>
  <si>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</si>
  <si>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</si>
  <si>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</si>
  <si>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</si>
  <si>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</si>
  <si>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</si>
  <si>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</si>
  <si>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</si>
  <si>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</si>
  <si>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</si>
  <si>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</si>
  <si>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</si>
  <si>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</si>
  <si>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</si>
  <si>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</si>
  <si>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</si>
  <si>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</si>
  <si>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</si>
  <si>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</si>
  <si>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</si>
  <si>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</si>
  <si>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</si>
  <si>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</si>
  <si>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</si>
  <si>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</si>
  <si>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</si>
  <si>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</si>
  <si>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</si>
  <si>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</si>
  <si>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</si>
  <si>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</si>
  <si>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</si>
  <si>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</si>
  <si>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</si>
  <si>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</si>
  <si>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</si>
  <si>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</si>
  <si>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</si>
  <si>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</si>
  <si>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</si>
  <si>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</si>
  <si>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</si>
  <si>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</si>
  <si>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</si>
  <si>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</si>
  <si>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</si>
  <si>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</si>
  <si>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</si>
  <si>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</si>
  <si>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</si>
  <si>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</si>
  <si>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</si>
  <si>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</si>
  <si>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</si>
  <si>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</si>
  <si>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</si>
  <si>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</si>
  <si>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</si>
  <si>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</si>
  <si>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</si>
  <si>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</si>
  <si>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</si>
  <si>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</si>
  <si>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</si>
  <si>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</si>
  <si>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</si>
  <si>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</si>
  <si>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</si>
  <si>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</si>
  <si>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</si>
  <si>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</si>
  <si>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</si>
  <si>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</si>
  <si>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</si>
  <si>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</si>
  <si>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</si>
  <si>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</si>
  <si>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</si>
  <si>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</si>
  <si>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</si>
  <si>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</si>
  <si>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</si>
  <si>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</si>
  <si>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</si>
  <si>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</si>
  <si>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</si>
  <si>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</si>
  <si>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</si>
  <si>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</si>
  <si>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</si>
  <si>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</si>
  <si>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</si>
  <si>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</si>
  <si>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</si>
  <si>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</si>
  <si>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</si>
  <si>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</si>
  <si>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</si>
  <si>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</si>
  <si>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</si>
  <si>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</si>
  <si>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</si>
  <si>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</si>
  <si>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</si>
  <si>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</si>
  <si>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</si>
  <si>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</si>
  <si>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</si>
  <si>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</si>
  <si>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</si>
  <si>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</si>
  <si>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</si>
  <si>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</si>
  <si>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 предложению организации.</t>
  </si>
  <si>
    <t>принято по факту 2024 года. Подробно на листе "Покупка".</t>
  </si>
  <si>
    <t>Принят в соответствии с постановлением РЭК Кузбасса от 12.10.2023 № 168 "Об установлении уровня потерь питьевой, технической воды в централизованных системах водоснабжения при ее производстве и транспортировке на 2024-2028 годы".</t>
  </si>
  <si>
    <t>В соответствии с п. 4-5 Методических указаний 1746-э, исходя из фактического объема отпуска воды за 2024 год.</t>
  </si>
  <si>
    <t>Рассчитано в соответствии с п. 4-5 Методических указаний 1746-э, исходя из фактического объема приема сточных вод за 2024 год.</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</si>
  <si>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</si>
  <si>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</si>
  <si>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</si>
  <si>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</si>
  <si>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</si>
  <si>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</si>
  <si>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</si>
  <si>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</si>
  <si>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</si>
  <si>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</si>
  <si>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</si>
  <si>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</si>
  <si>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</si>
  <si>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</si>
  <si>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</si>
  <si>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</si>
  <si>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</si>
  <si>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</si>
  <si>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</si>
  <si>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</si>
  <si>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</si>
  <si>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</si>
  <si>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</si>
  <si>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</si>
  <si>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</si>
  <si>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</si>
  <si>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</si>
  <si>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</si>
  <si>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</si>
  <si>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</si>
  <si>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</si>
  <si>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</si>
  <si>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</si>
  <si>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</si>
  <si>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</si>
  <si>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</si>
  <si>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</si>
  <si>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</si>
  <si>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</si>
  <si>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</si>
  <si>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</si>
  <si>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</si>
  <si>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</si>
  <si>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</si>
  <si>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</si>
  <si>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</si>
  <si>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</si>
  <si>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</si>
  <si>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</si>
  <si>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</si>
  <si>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</si>
  <si>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</si>
  <si>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</si>
  <si>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</si>
  <si>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</si>
  <si>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</si>
  <si>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</si>
  <si>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</si>
  <si>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п.п. 10 п. 49 Методических указаний 1746-э.</t>
  </si>
  <si>
    <t>Гипохлорит натрия</t>
  </si>
  <si>
    <t>объем реагента рассчитан по удельному расходу факта 2024 года (4,95 тн./1455,466 тыс.куб.м. подано в сеть), на объемы принятые в расчет. Цена на 2026 год принята  по договору от 01.04.2024 ООО Региональная деловая компания" 37125,00 руб./тн., с применением ИПЦ Минэкономразвития России (химпродукты) на 2025 год 104,2%, на 2026 год 104,0%.</t>
  </si>
  <si>
    <t>объем реагента рассчитан по удельному расходу факта 2024 года (2,94 тн./948,163 тыс.куб.м.), на объемы принятые в расчет. Цена на 2026 год принята  по договору от 01.04.2024 ООО Региональная деловая компания" 37125,00 руб./тн., с применением ИПЦ Минэкономразвития России (химпродукты) на 2025 год 104,2%, на 2026 год 104,0%.</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</si>
  <si>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</si>
  <si>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</si>
  <si>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</si>
  <si>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</si>
  <si>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</si>
  <si>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</si>
  <si>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</si>
  <si>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</si>
  <si>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</si>
  <si>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</si>
  <si>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</si>
  <si>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</si>
  <si>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</si>
  <si>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</si>
  <si>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</si>
  <si>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</si>
  <si>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</si>
  <si>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</si>
  <si>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</si>
  <si>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</si>
  <si>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</si>
  <si>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</si>
  <si>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</si>
  <si>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</si>
  <si>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</si>
  <si>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</si>
  <si>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</si>
  <si>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</si>
  <si>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</si>
  <si>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</si>
  <si>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</si>
  <si>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</si>
  <si>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</si>
  <si>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</si>
  <si>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</si>
  <si>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</si>
  <si>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</si>
  <si>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</si>
  <si>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</si>
  <si>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</si>
  <si>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</si>
  <si>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</si>
  <si>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</si>
  <si>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</si>
  <si>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</si>
  <si>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</si>
  <si>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t>
  </si>
  <si>
    <t>ПАО "Кузбассэнергосбыт" (ИНН: 4205109214, КПП: 420501001)</t>
  </si>
  <si>
    <t>НН</t>
  </si>
  <si>
    <t>по факту 2024 года, с учетом ИЦП Минэкономразвития России на 2025 год 114,4%, на 2026 год 113,2%, с учетом НДС 22%.</t>
  </si>
  <si>
    <t>по утвержденному удельному расходу.</t>
  </si>
  <si>
    <t>СН2</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</si>
  <si>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</si>
  <si>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</si>
  <si>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</si>
  <si>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</si>
  <si>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</si>
  <si>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</si>
  <si>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</si>
  <si>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</si>
  <si>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</si>
  <si>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</si>
  <si>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</si>
  <si>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</si>
  <si>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</si>
  <si>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</si>
  <si>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</si>
  <si>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</si>
  <si>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</si>
  <si>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</si>
  <si>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</si>
  <si>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</si>
  <si>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</si>
  <si>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</si>
  <si>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</si>
  <si>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</si>
  <si>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</si>
  <si>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</si>
  <si>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</si>
  <si>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</si>
  <si>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</si>
  <si>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</si>
  <si>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</si>
  <si>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</si>
  <si>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</si>
  <si>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</si>
  <si>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</si>
  <si>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</si>
  <si>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</si>
  <si>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</si>
  <si>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</si>
  <si>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</si>
  <si>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</si>
  <si>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</si>
  <si>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</si>
  <si>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</si>
  <si>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</si>
  <si>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</si>
  <si>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</si>
  <si>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</si>
  <si>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</si>
  <si>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</si>
  <si>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</si>
  <si>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</si>
  <si>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</si>
  <si>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</si>
  <si>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</si>
  <si>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</si>
  <si>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</si>
  <si>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</si>
  <si>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</si>
  <si>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</si>
  <si>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</si>
  <si>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</si>
  <si>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</si>
  <si>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</si>
  <si>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</si>
  <si>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</si>
  <si>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</si>
  <si>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</si>
  <si>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</si>
  <si>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</si>
  <si>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</si>
  <si>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</si>
  <si>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</si>
  <si>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</si>
  <si>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</si>
  <si>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</si>
  <si>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</si>
  <si>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</si>
  <si>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</si>
  <si>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</si>
  <si>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</si>
  <si>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</si>
  <si>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</si>
  <si>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</si>
  <si>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</si>
  <si>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</si>
  <si>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</si>
  <si>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</si>
  <si>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</si>
  <si>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</si>
  <si>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</si>
  <si>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</si>
  <si>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</si>
  <si>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</si>
  <si>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</si>
  <si>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</si>
  <si>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</si>
  <si>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</si>
  <si>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</si>
  <si>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</si>
  <si>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в соответствии с действующим законодательством, с учетом классификации основных средств</t>
  </si>
  <si>
    <t>{                  _x000D_
         funcDyn: 'msg1',_x000D_
         blok: 'blok_1',_x000D_
         wsCross: 'Амортизация (аналог)',_x000D_
         linkFormula: 'AB-AB',_x000D_
         levelDyn: ''_x000D_
}</t>
  </si>
  <si>
    <t>В соответствии с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t>
  </si>
  <si>
    <t>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(Собрание законодательства Российской Федерации, 2002, № 1, ст. 52; 2020, № 1, ст. 104).</t>
  </si>
  <si>
    <t>В процессе экспертизы на 2026 год расходы рассчитаны в соответствии с действующим законодательством, с учетом классификации основных средств, включаемых в амортизационные группы. В качестве обосновывающих документов предприятием представлены оборотно-сальдовые ведомости по счетам 01 и 02 за 2024 год. 
Также организацией представлены инвентарные карточки с предоставлением документов, подтверждающих первоначальную стоимость объектов основных фондов.</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</si>
  <si>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</si>
  <si>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</si>
  <si>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</si>
  <si>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</si>
  <si>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</si>
  <si>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</si>
  <si>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</si>
  <si>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</si>
  <si>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</si>
  <si>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</si>
  <si>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</si>
  <si>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</si>
  <si>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</si>
  <si>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</si>
  <si>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</si>
  <si>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</si>
  <si>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</si>
  <si>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</si>
  <si>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</si>
  <si>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</si>
  <si>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</si>
  <si>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</si>
  <si>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</si>
  <si>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</si>
  <si>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</si>
  <si>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</si>
  <si>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</si>
  <si>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</si>
  <si>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</si>
  <si>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</si>
  <si>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сумма 202,64 т.р. исключена из расчета НВВ на основании предписания ФАС России от 22.06.2026 № СП/62223/26</t>
  </si>
  <si>
    <t>в соответствии с представленными договорами.</t>
  </si>
  <si>
    <t>сумма 235,23 т.р. исключена из расчета НВВ на основании предписания ФАС России от 22.06.2026 № СП/62223/26</t>
  </si>
  <si>
    <t>в соотвествии с представлеными договором.</t>
  </si>
  <si>
    <t>{                  _x000D_
         funcDyn: 'msg1',_x000D_
         blok: 'blok_1',_x000D_
         wsCross: 'Покупка',_x000D_
         linkFormula: 'AB-AB',_x000D_
         levelDyn: ''_x000D_
}</t>
  </si>
  <si>
    <t xml:space="preserve">В соответствии с п. 29. Методических указаний 1746-э расходы на арендную плату и лизинговые платежи в отношении централизованных систем водоснабжения и (или) водоотведения либо объектов, входящих в состав таких систем, определяются органом регулирования тарифов в размере, не превышающем экономически обоснованный размер такой платы, с учетом особенностей, предусмотренных настоящим пунктом.  </t>
  </si>
  <si>
    <t>Экономически обоснованный размер арендной платы или лизингового платежа определяется исходя из принципа возмещения арендодателю (лизингодателю) амортизации, налогов на имущество, в том числе на землю, и других обязательных платежей собственника, передаваемого в аренду (лизинг) имущества, связанных с владением указанным имуществом. Экономически обоснованный уровень размера арендной платы или лизингового платежа не может превышать размер, установленный в конкурсной документации или документации об аукционе, если арендная плата (лизинговый платеж) являлись критерием конкурса или аукциона на заключение соответствующего договора.</t>
  </si>
  <si>
    <t>Расчет суммы арендной платы земельных участков произведен на основании представленных договоров и в соответствии с приказом Минэкономразвития России от 23.04.2013 года № 217 «Об утверждении ставки арендной платы в отношении земельных участков, находящихся в собственности российской федерации и предоставленных (занятых) для размещения трубопроводов и иных объектов, используемых в сфере тепло-, водоснабжения, водоотведения и очистки сточных вод».  Следует отметить, что сумма арендной платы за земельные участки не превышает 0,7% от кадастровой стоимости данных земельных участков.</t>
  </si>
  <si>
    <t xml:space="preserve">В расчет по данной статье организацией включены расходы:
- по договору от 20.05.2015 № 87/1 (недвижимое имущество) с доп. соглашениями от 04.05.2023 (изменение арендной платы) от 11.08.2023 (продление срока действия, дополнение перечня имущества);
- по договору от 20.05.2015 № 86/1 (движимое имущество) с доп. соглашениями от 04.05.2023 (изменение перечня имущества) от 11.08.2023 (продление срока действия);
</t>
  </si>
  <si>
    <t>- по договору от 13.08.2018 № 116 (имущество пос. Лесной) с доп. соглашением от 11.08.2023 (продление договора, изменение суммы арендной платы);
- на аренду здания Цех №5 по договору от 13.10.2020 года № 157;                                                                                                                                                                                                                                                                                                                                                                                                                                     - аренда дизельной станции по договору от 01.03.2023 № 6.</t>
  </si>
  <si>
    <t>Арендная плата в год по договорам составила:
- по дог. № 87/1 в размере 650,07 тыс. руб. (на водоснабжение 187,61 тыс. руб., на водоотведение 462,46 тыс. руб.);
- по дог. 86/1 в размере 8,00 тыс. руб. (полностью на водоснабжение);
- по дог. № 116 в размере 99,81 тыс. руб. (полностью на водоснабжение);
- по дог. № 157 в размере 132,77 тыс. руб. (полностью на водоснабжение);
- по дог. № 6 в размере 21,18 тыс. руб. (полностью на водоотведение).</t>
  </si>
  <si>
    <t>Размер арендной платы по договорам № 87/1, № 116 установлен на основании отчетов об оценке рыночной стоимости.</t>
  </si>
  <si>
    <t>Следует отметить, что в перечнях имущества по договорам указана первоначальная стоимость объектов.</t>
  </si>
  <si>
    <t>С учетом года ввода объектов в эксплуатацию и с учетом отнесения этих активов к соответствующей амортизационной группе (в соответствии с требованиями п. 28 Метод.указаний 1746-э), все объекты должны иметь нулевую стоимость.</t>
  </si>
  <si>
    <t>На основании имеющейся информации регулятором сделан вывод, что сумма арендной платы по представленным договорам не соответствует требованиям п. 29 Методических указаний 1746-э и аналогичным требованиям содержащимся в п. 44 «Основ ценообразования в сфере водоснабжения и водоотведения», утвержденных Постановлением Правительства РФ от 13.05.2013 № 406 «О государственном регулировании тарифов в сфере водоснабжения и водоотведения».</t>
  </si>
  <si>
    <t>КУМИ Гурьевского муниципального округа по запросу регулятора (от 07.10.2024 № М-10-63/3513-01) была предоставлена информация (вх.от 28.10.2024 № 7258) об объектах имущества по договору № 87/1. Из представленной информации видно, что в составе переданного имущества есть объекты (водопроводные и канализационные сети) введенные в эксплуатацию в 2020 году. Также представлено распоряжение Администрации Гурьевского муниципального округа от 03.04.2020 года № 81р "О включении в реестр муниципального имущества в казну Гурьевского муниципального района", содержащее в себе информацию о баланосовой стоимости.</t>
  </si>
  <si>
    <t>Регулятором произведен расчет арендной платы по договору 87/1 от 20.05.2015 по имуществу введенному в 2020 году, сумма арендной платы составила по водоснабжению 202,64 тыс. руб., по водоотведению 235,23 тыс.руб. Расчет произведен исходя из принципа начисления амортизации по максимальным срокам полезного использования.</t>
  </si>
  <si>
    <t xml:space="preserve">Балансовая стоимость, принятая в расчет, составила:
- по объектам водоснабжения 3039,55 тыс. руб.;
- по объектам водоотведения 3528,42 тыс. руб.
Водопроводные и канализационные сети относятся к 6 амортизационной группе с максимальным сроком полезного использования 15 лет. </t>
  </si>
  <si>
    <t xml:space="preserve">Пояснения по исполнению предписания ФАС России от 22.06.2026 № СП/62223/26 и устранению нарушений в сфере водоснабжения и водоотведения на 2026 год для ООО «Энергосервис г. Гурьевска» (Гурьевский муниципальный округ): 
</t>
  </si>
  <si>
    <t xml:space="preserve">Регулятором при корректировке 2026 года в расчет были приняты суммы расходов на "Аренда муниципальной или государственной собственности" по водоснабжению 202,64 тыс. руб., по водоотведению 235,23 тыс.руб. </t>
  </si>
  <si>
    <t>Специалистом РЭК Кузбасса дополнительно проведен анализ документов представленных организацией в соответствии с подпунктом «а» пункта 17 Правил регулирования тарифов в сфере водоснабжения и водоотведения, утвержденных постановлением Правительства Российской Федерации от 13.05.2013 № 406 «О государственном регулировании тарифов в сфере водоснабжения и водоотведения» и установлено несоответствие нормам законодательства Российской Федерации в отношении имущества, заявленного ООО «Энергосервис г. Гурьевска» для осуществления регулируемых видов деятельности в сфере водоснабжения и водоотведения.</t>
  </si>
  <si>
    <t>На основании предписания ФАС России от 22.06.2026 № СП/62223/26 исключены из расчета НВВ расходы на арендную плату по договору аренды от 20.05.2015 № 87/1, так как данный договор не соответствует требованиям действующего законодательства.</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</si>
  <si>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</si>
  <si>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</si>
  <si>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</si>
  <si>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</si>
  <si>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</si>
  <si>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</si>
  <si>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</si>
  <si>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</si>
  <si>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</si>
  <si>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</si>
  <si>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</si>
  <si>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</si>
  <si>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</si>
  <si>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</si>
  <si>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</si>
  <si>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</si>
  <si>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</si>
  <si>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</si>
  <si>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</si>
  <si>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</si>
  <si>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</si>
  <si>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</si>
  <si>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</si>
  <si>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</si>
  <si>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</si>
  <si>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</si>
  <si>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</si>
  <si>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</si>
  <si>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</si>
  <si>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</si>
  <si>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</si>
  <si>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</si>
  <si>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</si>
  <si>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</si>
  <si>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</si>
  <si>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</si>
  <si>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</si>
  <si>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</si>
  <si>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</si>
  <si>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</si>
  <si>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</si>
  <si>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</si>
  <si>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</si>
  <si>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</si>
  <si>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</si>
  <si>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</si>
  <si>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</si>
  <si>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</si>
  <si>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</si>
  <si>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</si>
  <si>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</si>
  <si>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</si>
  <si>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</si>
  <si>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</si>
  <si>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</si>
  <si>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</si>
  <si>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</si>
  <si>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</si>
  <si>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</si>
  <si>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</si>
  <si>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</si>
  <si>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</si>
  <si>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</si>
  <si>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</si>
  <si>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</si>
  <si>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</si>
  <si>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</si>
  <si>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</si>
  <si>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</si>
  <si>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</si>
  <si>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</si>
  <si>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</si>
  <si>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</si>
  <si>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</si>
  <si>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</si>
  <si>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</si>
  <si>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</si>
  <si>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</si>
  <si>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</si>
  <si>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</si>
  <si>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</si>
  <si>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</si>
  <si>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</si>
  <si>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</si>
  <si>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</si>
  <si>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</si>
  <si>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</si>
  <si>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</si>
  <si>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</si>
  <si>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</si>
  <si>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</si>
  <si>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</si>
  <si>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</si>
  <si>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</si>
  <si>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</si>
  <si>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</si>
  <si>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</si>
  <si>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ООО "Гурьевск-Сталь" (ИНН: 4202050643, КПП: 420201001)</t>
  </si>
  <si>
    <t>Рассчитано по объемам, принятым в расчет и тарифам в соответствии с постановлением РЭК Кузбасса от 16.12.2025 № 508.</t>
  </si>
  <si>
    <t>по факту 2024 года.</t>
  </si>
  <si>
    <t>рассчитаны по фактическому расходу Гкалл 2024 года, тарифы с 01.01 по 30.09 на уровне декабря 2025 года (пост. от 09.12.2025 № 403), тарифы с 01.10. по 31.12. с применением ИПЦ Минэкономразвития России на 2026 год 105,1%.</t>
  </si>
  <si>
    <t>ООО "УКиТС" (ИНН: 4204007393, КПП: 420401001)</t>
  </si>
  <si>
    <t>{                  _x000D_
         funcDyn: 'msg1',_x000D_
         blok: 'blok_1',_x000D_
         wsCross: 'ФОТ',_x000D_
         linkFormula: 'AB-AB',_x000D_
         levelDyn: ''_x000D_
}</t>
  </si>
  <si>
    <t>В соответствии с п.п.1 п.49 Методических указаний 1746-э.</t>
  </si>
  <si>
    <t>Для расчета расходов на покупную питьевую воду на 2026 год приняты тарифы по постановлению:      
- от 16.12.2025 № 508 «Об утверждении производственной программы в сфере холодного водоснабжения питьевой водой, технической водой и об установлении тарифов на питьевую воду, техническую воду ПАО «Челябинский металлургический комбинат» (Гурьевский филиал ПАО «ЧМК») (Гурьевский муниципальный округ)».</t>
  </si>
  <si>
    <t>Для расчета расходов на покупную тепловую энергию на 2026 год приняты тарифы по постановлению:      
-  от 09.12.2025 № 403 "О внесении изменений в постановление региональной энергетической комиссии Кемеровской области от 20.06.2019 № 169 "Об установлении долгосрочных параметров регулирования и долгосрочных тарифов на тепловую энергию, реализуемую ООО "Управление котельных и тепловых сетей" на потребительском рынке Гурьевского муниципального округа, на 2019 - 2030 годы".</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</si>
  <si>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</si>
  <si>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</si>
  <si>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</si>
  <si>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</si>
  <si>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</si>
  <si>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</si>
  <si>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</si>
  <si>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</si>
  <si>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</si>
  <si>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</si>
  <si>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</si>
  <si>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</si>
  <si>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</si>
  <si>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</si>
  <si>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</si>
  <si>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</si>
  <si>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</si>
  <si>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</si>
  <si>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</si>
  <si>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</si>
  <si>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</si>
  <si>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</si>
  <si>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</si>
  <si>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</si>
  <si>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</si>
  <si>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</si>
  <si>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</si>
  <si>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</si>
  <si>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</si>
  <si>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</si>
  <si>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</si>
  <si>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</si>
  <si>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</si>
  <si>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</si>
  <si>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</si>
  <si>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</si>
  <si>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</si>
  <si>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</si>
  <si>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</si>
  <si>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</si>
  <si>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</si>
  <si>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</si>
  <si>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</si>
  <si>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</si>
  <si>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</si>
  <si>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</si>
  <si>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</si>
  <si>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</si>
  <si>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</si>
  <si>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</si>
  <si>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</si>
  <si>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</si>
  <si>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</si>
  <si>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</si>
  <si>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</si>
  <si>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</si>
  <si>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</si>
  <si>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</si>
  <si>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</si>
  <si>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</si>
  <si>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</si>
  <si>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</si>
  <si>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</si>
  <si>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</si>
  <si>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</si>
  <si>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</si>
  <si>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</si>
  <si>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</si>
  <si>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</si>
  <si>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</si>
  <si>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</si>
  <si>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</si>
  <si>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</si>
  <si>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</si>
  <si>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</si>
  <si>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</si>
  <si>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</si>
  <si>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</si>
  <si>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</si>
  <si>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</si>
  <si>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</si>
  <si>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</si>
  <si>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</si>
  <si>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</si>
  <si>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</si>
  <si>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</si>
  <si>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</si>
  <si>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</si>
  <si>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</si>
  <si>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</si>
  <si>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</si>
  <si>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</si>
  <si>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</si>
  <si>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</si>
  <si>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</si>
  <si>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</si>
  <si>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</si>
  <si>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</si>
  <si>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</si>
  <si>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</si>
  <si>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</si>
  <si>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</si>
  <si>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</si>
  <si>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</si>
  <si>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</si>
  <si>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</si>
  <si>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</si>
  <si>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</si>
  <si>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</si>
  <si>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</si>
  <si>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</si>
  <si>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</si>
  <si>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</si>
  <si>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</si>
  <si>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</si>
  <si>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</si>
  <si>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</si>
  <si>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</si>
  <si>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</si>
  <si>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</si>
  <si>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</si>
  <si>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</si>
  <si>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</si>
  <si>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</si>
  <si>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</si>
  <si>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</si>
  <si>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</si>
  <si>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</si>
  <si>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</si>
  <si>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</si>
  <si>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</si>
  <si>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</si>
  <si>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</si>
  <si>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</si>
  <si>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</si>
  <si>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</si>
  <si>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</si>
  <si>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</si>
  <si>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</si>
  <si>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п.п.2 п. 49 Методических указаний 1746-э.</t>
  </si>
  <si>
    <t>рассчитано по фактическим объемам 2024 года, указанных в декларации, с учетом ставок в соответствии с п.1.1. ст. 333.12 НК РФ (часть вторая) от 05.08.2000 № 117-ФЗ.</t>
  </si>
  <si>
    <t>Расходы рассчитаны в размере 1% от необходимой валовой выручки, в соответствии с абзацем 2 п. 1 ст. 346.20 Налогового кодекса Российской Федерации (часть вторая) от 05.08.2000 № 117-ФЗ.</t>
  </si>
  <si>
    <t>Расходы по статье приняты на уровне, предложенном организацией и не превышает факт 2024 года, с применением ИПЦ Минэкономразвития России на 2025 год 108,5%, на 2026 год 105,1%. Факт соответствует требованиям п. 30 Методических указаний (в пределах установленных лимитов).</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</si>
  <si>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</si>
  <si>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</si>
  <si>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</si>
  <si>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</si>
  <si>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</si>
  <si>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</si>
  <si>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</si>
  <si>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</si>
  <si>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</si>
  <si>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</si>
  <si>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</si>
  <si>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</si>
  <si>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</si>
  <si>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</si>
  <si>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</si>
  <si>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</si>
  <si>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</si>
  <si>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</si>
  <si>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</si>
  <si>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</si>
  <si>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</si>
  <si>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</si>
  <si>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</si>
  <si>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</si>
  <si>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</si>
  <si>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</si>
  <si>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</si>
  <si>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</si>
  <si>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</si>
  <si>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</si>
  <si>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</si>
  <si>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</si>
  <si>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</si>
  <si>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</si>
  <si>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</si>
  <si>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</si>
  <si>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</si>
  <si>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</si>
  <si>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</si>
  <si>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</si>
  <si>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</si>
  <si>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</si>
  <si>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</si>
  <si>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</si>
  <si>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</si>
  <si>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</si>
  <si>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</si>
  <si>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</si>
  <si>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</si>
  <si>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</si>
  <si>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</si>
  <si>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</si>
  <si>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</si>
  <si>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</si>
  <si>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</si>
  <si>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</si>
  <si>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</si>
  <si>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</si>
  <si>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</si>
  <si>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</si>
  <si>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</si>
  <si>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</si>
  <si>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</si>
  <si>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</si>
  <si>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</si>
  <si>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</si>
  <si>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</si>
  <si>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</si>
  <si>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</si>
  <si>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</si>
  <si>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</si>
  <si>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</si>
  <si>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</si>
  <si>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</si>
  <si>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</si>
  <si>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</si>
  <si>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</si>
  <si>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</si>
  <si>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</si>
  <si>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</si>
  <si>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</si>
  <si>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</si>
  <si>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</si>
  <si>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</si>
  <si>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</si>
  <si>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</si>
  <si>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</si>
  <si>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</si>
  <si>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</si>
  <si>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</si>
  <si>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</si>
  <si>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</si>
  <si>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</si>
  <si>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</si>
  <si>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</si>
  <si>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</si>
  <si>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</si>
  <si>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</si>
  <si>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</si>
  <si>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</si>
  <si>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</si>
  <si>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</si>
  <si>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</si>
  <si>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</si>
  <si>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</si>
  <si>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</si>
  <si>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</si>
  <si>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</si>
  <si>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</si>
  <si>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</si>
  <si>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</si>
  <si>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</si>
  <si>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</si>
  <si>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</si>
  <si>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</si>
  <si>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</si>
  <si>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</si>
  <si>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</si>
  <si>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</si>
  <si>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</si>
  <si>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</si>
  <si>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</si>
  <si>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</si>
  <si>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</si>
  <si>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</si>
  <si>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</si>
  <si>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</si>
  <si>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</si>
  <si>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</si>
  <si>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</si>
  <si>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</si>
  <si>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</si>
  <si>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</si>
  <si>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</si>
  <si>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</si>
  <si>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</si>
  <si>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</si>
  <si>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</si>
  <si>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</si>
  <si>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</si>
  <si>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</si>
  <si>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</si>
  <si>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</si>
  <si>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</si>
  <si>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</si>
  <si>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</si>
  <si>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</si>
  <si>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</si>
  <si>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</si>
  <si>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</si>
  <si>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</si>
  <si>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</si>
  <si>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</si>
  <si>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</si>
  <si>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</si>
  <si>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</si>
  <si>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</si>
  <si>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</si>
  <si>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</si>
  <si>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</si>
  <si>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</si>
  <si>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</si>
  <si>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</si>
  <si>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</si>
  <si>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</si>
  <si>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</si>
  <si>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</si>
  <si>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</si>
  <si>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</si>
  <si>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</si>
  <si>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</si>
  <si>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</si>
  <si>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</si>
  <si>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</si>
  <si>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</si>
  <si>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</si>
  <si>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</si>
  <si>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</si>
  <si>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</si>
  <si>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</si>
  <si>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</si>
  <si>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</si>
  <si>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</si>
  <si>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</si>
  <si>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</si>
  <si>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</si>
  <si>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</si>
  <si>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</si>
  <si>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</si>
  <si>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</si>
  <si>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</si>
  <si>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</si>
  <si>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</si>
  <si>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</si>
  <si>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</si>
  <si>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</si>
  <si>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</si>
  <si>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</si>
  <si>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</si>
  <si>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</si>
  <si>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</si>
  <si>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</si>
  <si>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</si>
  <si>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</si>
  <si>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</si>
  <si>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</si>
  <si>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</si>
  <si>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</si>
  <si>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</si>
  <si>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</si>
  <si>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</si>
  <si>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</si>
  <si>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</si>
  <si>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</si>
  <si>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</si>
  <si>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</si>
  <si>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</si>
  <si>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</si>
  <si>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</si>
  <si>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</si>
  <si>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</si>
  <si>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</si>
  <si>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</si>
  <si>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</si>
  <si>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</si>
  <si>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</si>
  <si>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</si>
  <si>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</si>
  <si>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</si>
  <si>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</si>
  <si>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</si>
  <si>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</si>
  <si>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</si>
  <si>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</si>
  <si>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</si>
  <si>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</si>
  <si>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</si>
  <si>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</si>
  <si>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</si>
  <si>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</si>
  <si>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</si>
  <si>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</si>
  <si>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</si>
  <si>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</si>
  <si>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</si>
  <si>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</si>
  <si>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</si>
  <si>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</si>
  <si>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</si>
  <si>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</si>
  <si>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</si>
  <si>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</si>
  <si>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</si>
  <si>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</si>
  <si>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</si>
  <si>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</si>
  <si>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</si>
  <si>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</si>
  <si>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</si>
  <si>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</si>
  <si>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</si>
  <si>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</si>
  <si>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</si>
  <si>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</si>
  <si>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</si>
  <si>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</si>
  <si>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</si>
  <si>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</si>
  <si>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</si>
  <si>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</si>
  <si>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</si>
  <si>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</si>
  <si>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</si>
  <si>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</si>
  <si>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</si>
  <si>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</si>
  <si>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</si>
  <si>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</si>
  <si>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</si>
  <si>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</si>
  <si>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</si>
  <si>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</si>
  <si>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</si>
  <si>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</si>
  <si>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</si>
  <si>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</si>
  <si>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</si>
  <si>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</si>
  <si>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</si>
  <si>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</si>
  <si>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</si>
  <si>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</si>
  <si>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</si>
  <si>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</si>
  <si>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В соответствии с п. 91 Методических указаний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</si>
  <si>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Выручка (принято органом регулирования) рассчитана на основании фактических объемов 2024 года и утвержденных тарифов.</t>
  </si>
  <si>
    <t>На уровне утвержденного базового уровня операционных расходов 2024 года.</t>
  </si>
  <si>
    <t>по факту 2024 года. Расшифровка на листе "Покупка".</t>
  </si>
  <si>
    <t>водный налог по факту 2024 года 451,78 тыс. руб., единый налог при УСН 388,27 тыс. руб. в размере 1% от фактической НВВ принятой регулирующим органом.</t>
  </si>
  <si>
    <t>приняты расходы на аренду земельных участков.</t>
  </si>
  <si>
    <t>Рассчитано в соответствии с Метод.указаниями.</t>
  </si>
  <si>
    <t>утвержденный удельный расход.</t>
  </si>
  <si>
    <t>средняя фактическая цена 2024 года.</t>
  </si>
  <si>
    <t>уровень нормат.прибыли не утвержден, при регулировании на долгосрочный период не заявляли.</t>
  </si>
  <si>
    <t>на уровне утвержденном на 2024 год.</t>
  </si>
  <si>
    <t>Фактические значения показателей надежности, качества и энергетической эффективности объектов централизованных систем водоснабжения не превышают плановые. При корректировке показатель равен 0,00 тыс. руб.</t>
  </si>
  <si>
    <t>на уровне плановой сметы.</t>
  </si>
  <si>
    <t>На уровне плановой сметы. Организацией рассчитано по разнице от плановой выручке 37603,677 т.р. и фактической выручкой 37033,907 т.р.</t>
  </si>
  <si>
    <t>плата за негативное воздействие на окружающую среду по факту 2024 года 9,29 тыс. руб., единый налог при УСН 326,03 тыс. руб. в размере 1% от фактической НВВ принятой регулирующим органом.</t>
  </si>
  <si>
    <t>по факту 2024 года (в части аренды земли)</t>
  </si>
  <si>
    <t>Рассчитано в соответствии Методическими указаниями.</t>
  </si>
  <si>
    <t>фактический удельный расход.</t>
  </si>
  <si>
    <t>фактический объем 2024 года.</t>
  </si>
  <si>
    <t>Фактические значения показателей надежности, качества и энергетической эффективности объектов централизованных систем водоотведения не превышают плановые. При корректировке показатель равен 0,00 тыс. руб.</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</si>
  <si>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</si>
  <si>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</si>
  <si>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</si>
  <si>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</si>
  <si>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</si>
  <si>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</si>
  <si>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</si>
  <si>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</si>
  <si>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</si>
  <si>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</si>
  <si>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</si>
  <si>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</si>
  <si>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</si>
  <si>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</si>
  <si>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</si>
  <si>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</si>
  <si>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</si>
  <si>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</si>
  <si>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</si>
  <si>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</si>
  <si>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</si>
  <si>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</si>
  <si>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</si>
  <si>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</si>
  <si>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</si>
  <si>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</si>
  <si>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</si>
  <si>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</si>
  <si>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</si>
  <si>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</si>
  <si>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</si>
  <si>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</si>
  <si>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</si>
  <si>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</si>
  <si>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</si>
  <si>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</si>
  <si>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</si>
  <si>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</si>
  <si>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</si>
  <si>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</si>
  <si>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</si>
  <si>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</si>
  <si>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</si>
  <si>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</si>
  <si>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</si>
  <si>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</si>
  <si>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</si>
  <si>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</si>
  <si>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</si>
  <si>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</si>
  <si>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</si>
  <si>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</si>
  <si>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</si>
  <si>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</si>
  <si>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</si>
  <si>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</si>
  <si>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</si>
  <si>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</si>
  <si>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</si>
  <si>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</si>
  <si>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</si>
  <si>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</si>
  <si>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</si>
  <si>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</si>
  <si>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</si>
  <si>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</si>
  <si>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</si>
  <si>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</si>
  <si>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</si>
  <si>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</si>
  <si>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</si>
  <si>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</si>
  <si>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</si>
  <si>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</si>
  <si>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</si>
  <si>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</si>
  <si>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</si>
  <si>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</si>
  <si>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</si>
  <si>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</si>
  <si>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</si>
  <si>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</si>
  <si>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</si>
  <si>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</si>
  <si>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</si>
  <si>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</si>
  <si>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</si>
  <si>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</si>
  <si>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</si>
  <si>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</si>
  <si>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</si>
  <si>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</si>
  <si>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</si>
  <si>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</si>
  <si>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</si>
  <si>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</si>
  <si>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</si>
  <si>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</si>
  <si>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</si>
  <si>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</si>
  <si>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</si>
  <si>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</si>
  <si>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</si>
  <si>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</si>
  <si>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</si>
  <si>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</si>
  <si>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</si>
  <si>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</si>
  <si>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</si>
  <si>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</si>
  <si>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</si>
  <si>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</si>
  <si>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</si>
  <si>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</si>
  <si>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</si>
  <si>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</si>
  <si>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</si>
  <si>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</si>
  <si>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</si>
  <si>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</si>
  <si>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</si>
  <si>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</si>
  <si>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</si>
  <si>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</si>
  <si>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</si>
  <si>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</si>
  <si>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</si>
  <si>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</si>
  <si>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</si>
  <si>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</si>
  <si>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</si>
  <si>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</si>
  <si>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</si>
  <si>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</si>
  <si>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</si>
  <si>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</si>
  <si>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</si>
  <si>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</si>
  <si>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</si>
  <si>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</si>
  <si>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</si>
  <si>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</si>
  <si>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</si>
  <si>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</si>
  <si>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</si>
  <si>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</si>
  <si>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</si>
  <si>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</si>
  <si>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</si>
  <si>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</si>
  <si>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</si>
  <si>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</si>
  <si>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</si>
  <si>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</si>
  <si>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</si>
  <si>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</si>
  <si>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</si>
  <si>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</si>
  <si>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</si>
  <si>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</si>
  <si>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</si>
  <si>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</si>
  <si>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</si>
  <si>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</si>
  <si>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</si>
  <si>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</si>
  <si>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</si>
  <si>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</si>
  <si>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</si>
  <si>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</si>
  <si>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</si>
  <si>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</si>
  <si>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</si>
  <si>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</si>
  <si>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</si>
  <si>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</si>
  <si>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</si>
  <si>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</si>
  <si>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</si>
  <si>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</si>
  <si>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</si>
  <si>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</si>
  <si>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</si>
  <si>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</si>
  <si>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</si>
  <si>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</si>
  <si>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</si>
  <si>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</si>
  <si>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</si>
  <si>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</si>
  <si>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</si>
  <si>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</si>
  <si>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</si>
  <si>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</si>
  <si>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</si>
  <si>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</si>
  <si>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</si>
  <si>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</si>
  <si>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</si>
  <si>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</si>
  <si>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</si>
  <si>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</si>
  <si>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</si>
  <si>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</si>
  <si>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</si>
  <si>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</si>
  <si>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</si>
  <si>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</si>
  <si>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</si>
  <si>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</si>
  <si>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</si>
  <si>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</si>
  <si>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</si>
  <si>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</si>
  <si>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</si>
  <si>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</si>
  <si>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</si>
  <si>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</si>
  <si>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</si>
  <si>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</si>
  <si>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</si>
  <si>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</si>
  <si>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</si>
  <si>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</si>
  <si>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</si>
  <si>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</si>
  <si>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</si>
  <si>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</si>
  <si>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</si>
  <si>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</si>
  <si>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</si>
  <si>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</si>
  <si>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</si>
  <si>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</si>
  <si>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</si>
  <si>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</si>
  <si>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</si>
  <si>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</si>
  <si>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</si>
  <si>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</si>
  <si>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</si>
  <si>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</si>
  <si>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</si>
  <si>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</si>
  <si>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</si>
  <si>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</si>
  <si>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</si>
  <si>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</si>
  <si>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</si>
  <si>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</si>
  <si>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</si>
  <si>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</si>
  <si>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</si>
  <si>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</si>
  <si>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</si>
  <si>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</si>
  <si>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</si>
  <si>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</si>
  <si>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</si>
  <si>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</si>
  <si>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</si>
  <si>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</si>
  <si>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</si>
  <si>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</si>
  <si>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</si>
  <si>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</si>
  <si>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</si>
  <si>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</si>
  <si>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</si>
  <si>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</si>
  <si>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</si>
  <si>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</si>
  <si>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</si>
  <si>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</si>
  <si>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</si>
  <si>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</si>
  <si>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</si>
  <si>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</si>
  <si>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</si>
  <si>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</si>
  <si>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</si>
  <si>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</si>
  <si>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</si>
  <si>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</si>
  <si>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</si>
  <si>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</si>
  <si>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</si>
  <si>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</si>
  <si>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</si>
  <si>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</si>
  <si>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</si>
  <si>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</si>
  <si>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</si>
  <si>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</si>
  <si>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</si>
  <si>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</si>
  <si>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</si>
  <si>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</si>
  <si>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</si>
  <si>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</si>
  <si>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</si>
  <si>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</si>
  <si>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</si>
  <si>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</si>
  <si>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</si>
  <si>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</si>
  <si>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</si>
  <si>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</si>
  <si>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</si>
  <si>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</si>
  <si>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</si>
  <si>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</si>
  <si>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</si>
  <si>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</si>
  <si>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</si>
  <si>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</si>
  <si>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</si>
  <si>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</si>
  <si>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</si>
  <si>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</si>
  <si>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</si>
  <si>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</si>
  <si>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</si>
  <si>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</si>
  <si>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</si>
  <si>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</si>
  <si>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</si>
  <si>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</si>
  <si>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</si>
  <si>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</si>
  <si>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</si>
  <si>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</si>
  <si>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</si>
  <si>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</si>
  <si>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</si>
  <si>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</si>
  <si>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</si>
  <si>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</si>
  <si>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</si>
  <si>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</si>
  <si>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</si>
  <si>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</si>
  <si>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</si>
  <si>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</si>
  <si>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</si>
  <si>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</si>
  <si>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</si>
  <si>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</si>
  <si>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</si>
  <si>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</si>
  <si>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</si>
  <si>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</si>
  <si>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</si>
  <si>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</si>
  <si>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</si>
  <si>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</si>
  <si>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</si>
  <si>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</si>
  <si>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</si>
  <si>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</si>
  <si>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</si>
  <si>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</si>
  <si>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</si>
  <si>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</si>
  <si>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</si>
  <si>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</si>
  <si>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</si>
  <si>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</si>
  <si>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</si>
  <si>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</si>
  <si>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</si>
  <si>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</si>
  <si>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</si>
  <si>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</si>
  <si>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</si>
  <si>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</si>
  <si>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</si>
  <si>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</si>
  <si>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</si>
  <si>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</si>
  <si>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</si>
  <si>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</si>
  <si>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</si>
  <si>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</si>
  <si>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</si>
  <si>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</si>
  <si>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</si>
  <si>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</si>
  <si>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</si>
  <si>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</si>
  <si>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</si>
  <si>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</si>
  <si>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</si>
  <si>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</si>
  <si>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</si>
  <si>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</si>
  <si>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</si>
  <si>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</si>
  <si>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</si>
  <si>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</si>
  <si>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</si>
  <si>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</si>
  <si>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</si>
  <si>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</si>
  <si>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</si>
  <si>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</si>
  <si>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</si>
  <si>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</si>
  <si>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</si>
  <si>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</si>
  <si>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</si>
  <si>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</si>
  <si>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</si>
  <si>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</si>
  <si>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</si>
  <si>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</si>
  <si>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</si>
  <si>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</si>
  <si>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</si>
  <si>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</si>
  <si>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</si>
  <si>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</si>
  <si>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</si>
  <si>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</si>
  <si>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</si>
  <si>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</si>
  <si>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</si>
  <si>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</si>
  <si>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</si>
  <si>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</si>
  <si>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</si>
  <si>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</si>
  <si>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</si>
  <si>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</si>
  <si>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</si>
  <si>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</si>
  <si>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</si>
  <si>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</si>
  <si>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</si>
  <si>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</si>
  <si>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</si>
  <si>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</si>
  <si>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</si>
  <si>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</si>
  <si>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</si>
  <si>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</si>
  <si>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</si>
  <si>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</si>
  <si>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</si>
  <si>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</si>
  <si>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</si>
  <si>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</si>
  <si>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</si>
  <si>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</si>
  <si>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</si>
  <si>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</si>
  <si>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</si>
  <si>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</si>
  <si>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</si>
  <si>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</si>
  <si>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</si>
  <si>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</si>
  <si>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</si>
  <si>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</si>
  <si>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</si>
  <si>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</si>
  <si>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</si>
  <si>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</si>
  <si>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</si>
  <si>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</si>
  <si>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</si>
  <si>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</si>
  <si>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</si>
  <si>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</si>
  <si>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</si>
  <si>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</si>
  <si>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</si>
  <si>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</si>
  <si>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</si>
  <si>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</si>
  <si>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</si>
  <si>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</si>
  <si>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</si>
  <si>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</si>
  <si>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</si>
  <si>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</si>
  <si>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</si>
  <si>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</si>
  <si>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</si>
  <si>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</si>
  <si>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</si>
  <si>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</si>
  <si>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</si>
  <si>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</si>
  <si>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</si>
  <si>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</si>
  <si>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</si>
  <si>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</si>
  <si>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</si>
  <si>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</si>
  <si>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</si>
  <si>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</si>
  <si>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</si>
  <si>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</si>
  <si>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</si>
  <si>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</si>
  <si>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</si>
  <si>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</si>
  <si>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</si>
  <si>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</si>
  <si>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</si>
  <si>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</si>
  <si>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</si>
  <si>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</si>
  <si>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</si>
  <si>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</si>
  <si>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</si>
  <si>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</si>
  <si>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</si>
  <si>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</si>
  <si>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</si>
  <si>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</si>
  <si>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</si>
  <si>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</si>
  <si>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</si>
  <si>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</si>
  <si>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</si>
  <si>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</si>
  <si>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</si>
  <si>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</si>
  <si>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</si>
  <si>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</si>
  <si>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</si>
  <si>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</si>
  <si>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</si>
  <si>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</si>
  <si>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</si>
  <si>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</si>
  <si>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</si>
  <si>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</si>
  <si>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</si>
  <si>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</si>
  <si>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</si>
  <si>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</si>
  <si>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</si>
  <si>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</si>
  <si>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</si>
  <si>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</si>
  <si>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</si>
  <si>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</si>
  <si>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</si>
  <si>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</si>
  <si>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</si>
  <si>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</si>
  <si>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</si>
  <si>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</si>
  <si>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</si>
  <si>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</si>
  <si>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</si>
  <si>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</si>
  <si>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</si>
  <si>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</si>
  <si>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</si>
  <si>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</si>
  <si>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</si>
  <si>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</si>
  <si>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</si>
  <si>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</si>
  <si>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</si>
  <si>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</si>
  <si>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</si>
  <si>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</si>
  <si>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</si>
  <si>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</si>
  <si>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</si>
  <si>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</si>
  <si>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</si>
  <si>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</si>
  <si>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</si>
  <si>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</si>
  <si>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</si>
  <si>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</si>
  <si>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</si>
  <si>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</si>
  <si>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</si>
  <si>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</si>
  <si>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</si>
  <si>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</si>
  <si>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</si>
  <si>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</si>
  <si>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</si>
  <si>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</si>
  <si>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</si>
  <si>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</si>
  <si>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</si>
  <si>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</si>
  <si>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Постановление Правительства РФ от 17.12.2024 № 1810</t>
  </si>
  <si>
    <t>Рассчитано исходя из базового уровня операционных расходов 2024 года с учетом ИПЦ Минэкономразвития РФ на 2025 год 105,8%, а также с учетом индекса эффективности операционных расходов 0%, за исключением ФОТ основного производственного персонала (ОПП) и отчислений с ФОТ ОПП. ФОТ рассчитан от МРОТ  с 01.01.2025 в размере 22440 руб./чел.мес.(с учетом РК), отчисления с ФОТ согласно действующего законодательства 30,2%</t>
  </si>
  <si>
    <t>Согласно п. 61(1) постановлении Правительства Российской Федерации от 13 мая 2013 г. N 406 "О государственном регулировании тарифов в сфере водоснабжения и водоотведения"</t>
  </si>
  <si>
    <t>пересмотру не подлежит</t>
  </si>
  <si>
    <t>Общая величина сглаживания на период 2024-2025 гг составила 10764,50 тыс. руб. в сторону уменьшения, возврат сглаживания будет произведен до 31.12.2028.</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</si>
  <si>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</si>
  <si>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 заявлению от 20.12.2024 № 8667 (исх. от 20.12.2024 № 126) размер тарифа составил 45,57 руб./м3</t>
  </si>
  <si>
    <t>Распределение НВВ по периодам произведено исходя из не превышения уровня тарифа в 1 полугодии над тарифом декабря предыдущего периода на основании положений п. 9 Основ ценообразования.</t>
  </si>
  <si>
    <t>Общая величина сглаживания на период 2024-2025 гг составила 8532,89 тыс. руб. в сторону уменьшения, возврат сглаживания будет произведен до 31.12.2028.</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</si>
  <si>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</si>
  <si>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</si>
  <si>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</si>
  <si>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https://portal.eias.ru/Portal/DownloadPage.aspx?type=12&amp;guid=cb813cc3-71e1-4334-89b5-ea5ac1eb0d4b</t>
  </si>
  <si>
    <t>Согласно п. 95 Методических указаний № 1746-э
При корректировке Операционных расходов на 2026 год регулятором использовались следующие показатели:
- базовый уровень операционных расходов 2024 года – 27976,11 тыс. руб.;
- индекс потребительских цен на 2025 год 109,0%, на 2026 год 105,1%, согласно прогнозу Минэкономразвития России от 26.09.2025;
- индекс эффективности операционных расходов 1%;
- индекс изменения количества активов 0,0%.</t>
  </si>
  <si>
    <t>https://portal.eias.ru/Portal/DownloadPage.aspx?type=12&amp;guid=aefbbf8c-02b8-4585-9ed8-d1df3eca36b7</t>
  </si>
  <si>
    <t>https://portal.eias.ru/Portal/DownloadPage.aspx?type=12&amp;guid=1ff8021d-13f1-495d-9778-2e5b084fa21a</t>
  </si>
  <si>
    <t>https://portal.eias.ru/Portal/DownloadPage.aspx?type=12&amp;guid=f8cf1639-3be2-4b08-8f19-ef78419b8800</t>
  </si>
  <si>
    <t>https://portal.eias.ru/Portal/DownloadPage.aspx?type=12&amp;guid=76d0b564-43a0-4303-a96b-fac8ed15fb49</t>
  </si>
  <si>
    <t>https://portal.eias.ru/Portal/DownloadPage.aspx?type=12&amp;guid=96a3572f-dd28-4fad-8d0e-79a65f5271f1https://portal.eias.ru/Portal/DownloadPage.aspx?type=12&amp;guid=e9c040a8-4858-46d6-960d-ca29ec39bc56</t>
  </si>
  <si>
    <t>https://portal.eias.ru/Portal/DownloadPage.aspx?type=12&amp;guid=a093e265-245e-473a-8265-39cac4b54ea6</t>
  </si>
  <si>
    <t>https://portal.eias.ru/Portal/DownloadPage.aspx?type=12&amp;guid=2cf39c37-b084-4cbd-9080-5adc24a96ef6https://portal.eias.ru/Portal/DownloadPage.aspx?type=12&amp;guid=1d8f8bdc-c19b-486d-8128-f36d408ad72d</t>
  </si>
  <si>
    <t>https://portal.eias.ru/Portal/DownloadPage.aspx?type=12&amp;guid=cc5b503d-8076-48f3-8ee0-7a655db093dehttps://portal.eias.ru/Portal/DownloadPage.aspx?type=12&amp;guid=db39f901-e06d-48a0-98b0-12928e45f0dfhttps://portal.eias.ru/Portal/DownloadPage.aspx?type=12&amp;guid=9bee974d-d876-4569-a9f3-083eb34130ec</t>
  </si>
  <si>
    <t>https://portal.eias.ru/Portal/DownloadPage.aspx?type=12&amp;guid=fe585c2c-220c-45c4-ae4e-0fedc1ed5bce</t>
  </si>
  <si>
    <t>https://portal.eias.ru/Portal/DownloadPage.aspx?type=12&amp;guid=e4fba3b8-5708-4c67-ac7c-0c0d692dc733https://portal.eias.ru/Portal/DownloadPage.aspx?type=12&amp;guid=216b8ae7-85ae-49dd-91ab-eaea14bd8961https://portal.eias.ru/Portal/DownloadPage.aspx?type=12&amp;guid=30debee2-e19d-4490-bdf7-c6a7327159e5</t>
  </si>
  <si>
    <t>https://portal.eias.ru/Portal/DownloadPage.aspx?type=12&amp;guid=f5c67e69-b9c3-4cc7-aa4c-b5c80e967546</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</si>
  <si>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</si>
  <si>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п.п. 1 п. 49 Методических указаний 1746-э.</t>
  </si>
  <si>
    <t>https://portal.eias.ru/Portal/DownloadPage.aspx?type=12&amp;guid=edc03fe2-00fb-4934-938e-8d6e512484cd</t>
  </si>
  <si>
    <t>Подробное описание на листе "Покупка".</t>
  </si>
  <si>
    <t>https://portal.eias.ru/Portal/DownloadPage.aspx?type=12&amp;guid=4a7eafcc-0410-42dd-a407-bd70f6714fe4</t>
  </si>
  <si>
    <t>https://portal.eias.ru/Portal/DownloadPage.aspx?type=12&amp;guid=efc0779c-627d-4038-ab84-2a708a50fb43</t>
  </si>
  <si>
    <t>Подробное описание на листе "Реагенты".</t>
  </si>
  <si>
    <t>Расходы на уплату налогов, сборов и других обязательных платежей, в том числе обязательного страхования, предусмотренных законодательными актами Российской Федерации, включая плату за негативное воздействие на окружающую среду, в пределах, установленных для регулируемой организации нормативов и (или) лимитов в соответствии с п.п. 2 п. 49 Методических указаний 1746-э.</t>
  </si>
  <si>
    <t>https://portal.eias.ru/Portal/DownloadPage.aspx?type=12&amp;guid=aff70a6f-a48b-47fb-8f7f-48161df2194d</t>
  </si>
  <si>
    <t>https://portal.eias.ru/Portal/DownloadPage.aspx?type=12&amp;guid=75f13117-21fe-48c3-b97c-cac2b41bf698</t>
  </si>
  <si>
    <t>https://portal.eias.ru/Portal/DownloadPage.aspx?type=12&amp;guid=f09f4ff0-67c9-4533-b144-e76b417ac5d8</t>
  </si>
  <si>
    <t>В соответствии с п. 29. Методических указаний 1746-э. Подробное описание на листе "Аренда".</t>
  </si>
  <si>
    <t>https://portal.eias.ru/Portal/DownloadPage.aspx?type=12&amp;guid=487b052f-c18d-4446-9c94-f4c02a3b2532</t>
  </si>
  <si>
    <t>https://portal.eias.ru/Portal/DownloadPage.aspx?type=12&amp;guid=26a59077-8141-4eab-8c72-e68b6e6756f9</t>
  </si>
  <si>
    <t>В соответствии с п. 28 Методических указаний 1746-э. Подробное описание на листе "Амортизация".</t>
  </si>
  <si>
    <t>На уровне утвержденной на 2026 год при регулировании на 2024-2028 гг., согласно письма ФАС России от 18.07.2018 № ВК/55514/18 в течении долгосрочного периода не пересматривается.</t>
  </si>
  <si>
    <t>учитываются в соответствии с Метод.указаниями: 901,39 т.р. признаны в 2023 году отклонение фактически достигнутого уровня неподконтрольных расходов.</t>
  </si>
  <si>
    <t>В соответствии с п.п.1 п. 12.1. Подлежат исключению из необходимой валовой выручки регулируемой организации: экономически не обоснованные доходы прошлых периодов регулирования, включая доходы, связанные с нарушениями законодательства Российской Федерации при установлении и применении регулируемых тарифов, в том числе выявленные в результате проверок и мероприятий по контролю. Учтено неосвоение статьи "Капитальный ремонт".</t>
  </si>
  <si>
    <t>При корректировке 2026 года от 18.12.2025 общая величина сглаживания на период 2024-2026 гг составила 18244,10 тыс. руб. в сторону уменьшения.</t>
  </si>
  <si>
    <t>ДОПОЛНИТЕЛЬНО ввиду значительной суммы накопленного сглаживания применена положительная корректировка на сумму исключения из НВВ (на 202,64 тыс.руб.), (по предписанию ФАС России (исх.от 22.06.2026 № СП/62223/26)), оставшаяся сумма отрицательного сглаживания  будет возвращена  в сумме 18041,46 тыс. руб. до конца долгосрочного периода.</t>
  </si>
  <si>
    <t>https://portal.eias.ru/Portal/DownloadPage.aspx?type=12&amp;guid=85d9d083-97e5-4a1c-a85d-6e7f3a83eb4a</t>
  </si>
  <si>
    <t>Согласно п. 95 Методических указаний № 1746-э
При корректировке Операционных расходов на 2026 год регулятором использовались следующие показатели:
- базовый уровень операционных расходов 2024 года – 30616,18 тыс. руб.;
- индекс потребительских цен на 2025 год 109,0%, на 2026 год 105,1%, согласно прогнозу Минэкономразвития России от 26.09.2025;
- индекс эффективности операционных расходов 1%;
- индекс изменения количества активов 0,0%.</t>
  </si>
  <si>
    <t>https://portal.eias.ru/Portal/DownloadPage.aspx?type=12&amp;guid=c48e657c-612f-49fc-b4f9-bce0bb2a17bd</t>
  </si>
  <si>
    <t>https://portal.eias.ru/Portal/DownloadPage.aspx?type=12&amp;guid=1cbebc04-9440-4de9-9b95-7915dbda564b</t>
  </si>
  <si>
    <t>https://portal.eias.ru/Portal/DownloadPage.aspx?type=12&amp;guid=725f471d-0734-459e-b401-56ed8589ef5b</t>
  </si>
  <si>
    <t>https://portal.eias.ru/Portal/DownloadPage.aspx?type=12&amp;guid=d64b978e-e9b2-4707-a459-44ce8934d266https://portal.eias.ru/Portal/DownloadPage.aspx?type=12&amp;guid=5acdda7a-bcfc-4b0e-9749-fac1c0e2fc68https://portal.eias.ru/Portal/DownloadPage.aspx?type=12&amp;guid=2b766b03-c081-4fbe-9021-65f6d839462chttps://portal.eias.ru/Portal/DownloadPage.aspx?type=12&amp;guid=3f92b17d-0a67-43a3-a484-7281f9ea624c</t>
  </si>
  <si>
    <t>https://portal.eias.ru/Portal/DownloadPage.aspx?type=12&amp;guid=e7a8e69e-f32c-4b16-9778-2cb6faeaa3b5</t>
  </si>
  <si>
    <t>https://portal.eias.ru/Portal/DownloadPage.aspx?type=12&amp;guid=9f568d50-86bc-4e46-bd5f-df325209bbaa</t>
  </si>
  <si>
    <t>https://portal.eias.ru/Portal/DownloadPage.aspx?type=12&amp;guid=d1c8d0fa-cdc3-48fd-8e58-cc43eb839254</t>
  </si>
  <si>
    <t>https://portal.eias.ru/Portal/DownloadPage.aspx?type=12&amp;guid=70e091ba-619c-4673-aeb1-924ce4e4e454</t>
  </si>
  <si>
    <t>https://portal.eias.ru/Portal/DownloadPage.aspx?type=12&amp;guid=29507171-fded-4c19-83a0-f1c64c320c58</t>
  </si>
  <si>
    <t>https://portal.eias.ru/Portal/DownloadPage.aspx?type=12&amp;guid=3b430fa2-0bb4-4824-89fd-b13acfecc28b</t>
  </si>
  <si>
    <t>п.п. 10 п. 49 Методических указаний 1746-э. Подробное описание на листе "Реагенты".</t>
  </si>
  <si>
    <t>https://portal.eias.ru/Portal/DownloadPage.aspx?type=12&amp;guid=de17eb0c-da58-4e25-af3c-6cb3f336eae8https://portal.eias.ru/Portal/DownloadPage.aspx?type=12&amp;guid=f0f15d69-cac4-4b6c-a202-e2ce21ea4dc0https://portal.eias.ru/Portal/DownloadPage.aspx?type=12&amp;guid=ff4cb690-6dbc-4a5b-ab69-189631a190c5https://portal.eias.ru/Portal/DownloadPage.aspx?type=12&amp;guid=0aa88a44-930e-452b-9ff3-51e3c8f63059</t>
  </si>
  <si>
    <t>https://portal.eias.ru/Portal/DownloadPage.aspx?type=12&amp;guid=45ac096a-82cd-4bf1-8ede-e0b1a9f2c8d8</t>
  </si>
  <si>
    <t>https://portal.eias.ru/Portal/DownloadPage.aspx?type=12&amp;guid=211eadd0-e50b-4764-9794-b26812c87654</t>
  </si>
  <si>
    <t>В соответствии с п.28 Методических указаний 1746-э. Подробное описание на листе "Амортизация".</t>
  </si>
  <si>
    <t>Плата за концетрацию загрязняющих веществ за 2024 год 813,56 т.р. К снятию в последующих периодах регулирования 406,78 т.р.</t>
  </si>
  <si>
    <t>учитываются в соответствии с Метод.указаниями: 112,08 тыс. руб. признаны недополученными доходами в 2023 году; 147,51 т.р. признаны в 2023 году отклонение фактически достигнутого уровня неподконтрольных расходов.</t>
  </si>
  <si>
    <t>При корректировке 2026 года от 18.12.2025 общая величина сглаживания на период 2024-2026 гг составила 13558,94 тыс. руб. в сторону уменьшения.</t>
  </si>
  <si>
    <t>ДОПОЛНИТЕЛЬНО ввиду значительной суммы накопленного сглаживания применена положительная корректировка на сумму исключения из НВВ (235,23 тыс.руб.), (по предписанию ФАС России (исх.от 22.06.2026 № СП/62223/26)), оставшаяся сумма отрицательного сглаживания  13323,71 будет возвращена  до конца долгосрочного периода.</t>
  </si>
  <si>
    <t>{                  _x000D_
         funcDyn: 'msg1',_x000D_
         blok: 'blok_1',_x000D_
         wsCross: 'ДПР',_x000D_
         linkFormula: 'AB-AB',_x000D_
         levelDyn: ''_x000D_
}</t>
  </si>
  <si>
    <t xml:space="preserve">Пояснительная записка Региональной энергетической комиссии Кузбасса по исполнению предписания ФАС России от 22.06.2026 № СП/62223/26 и устранению нарушений в сфере водоснабжения и водоотведения на 2026 год для ООО «Энергосервис  г. Гурьевска» (Гурьевский муниципальный округ) ИНН 4202049045.                                                                            В целях исполнения предписания ФАС России от 22.06.2026 № СП/62223/26 в экспертное заключение ООО «Энергосервис г. Гурьевска» (Гурьевский муниципальный округ) на 2026 год (номер тарифа (идентификатор): ХВС.42.28976681.0003 и ВО. 42.28976681.0003) вносятся следующие изменения:
1. п. 2.1. предписано «в срок до 01.10.2026 провести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для ООО «Энергосервис г. Гурьевска» на 2026 год и отразить соответствующий анализ в экспертном заключении».
При корректировке тарифов в сфере холодного водоснабжения и водоотведения ООО «Энергосервис г. Гурьевска» на 2026 год для обоснования прав владения, пользования и распоряжения имуществом, необходимым для осуществления регулируемых видов деятельности, в адрес регулятора были представлены следующие документы:
- договор аренды от 20.05.2015 № 87/1 (недвижимое имущество) с доп. соглашениями от 04.05.2023 (изменение арендной платы), от 11.08.2023 (продление срока действия, дополнение перечня имущества);
- договор аренды от 20.05.2015 № 86/1 (движимое имущество) с доп. соглашениями от 04.05.2023 (изменение перечня имущества), от 11.08.2023 (продление срока действия);
- договор аренды от 13.08.2018 № 116 (имущество пос. Лесной) с доп. соглашением от 11.08.2023 (продление договора, изменение суммы арендной платы);
- договор на аренду здания Цех №5 по договору от 13.10.2020 года № 157.                                                                                                                                                                                                                                                                                                                                                                                                                                    
Предметом договора от 13.10.2020 № 157 является аренда нежилого здания (цех № 5, площадью 1202,5 м2), которое не относится к объектам централизованных систем холодного водоснабжения и водоотведения, и информация по этому договору указывается только на листе «Аренда», в расчет необходимой валовой выручки (далее - НВВ) расходы по данному договору не учтены.
По договору аренды от 20.05.2015 № 86/1 передано движимое имущество, и информация по этому договору указывается только на листе «Аренда», в расчет необходимой валовой выручки (далее - НВВ) расходы по данному договору не учтены.
По договору аренды от 20.05.2015 № 87/1 передано недвижимое имущество.
Дополнительным соглашением от 04.05.2023г. договор аренды от 20.05.2015 № 87/1 был дополнен перечнем имущества, технологически связанным с ранее переданным по данному договору имуществом.
Срок действия договора аренды от 20.05.2015 № 87/1 продлен дополнительным соглашением от 11.08.2023 до момента передачи имущественного комплекса, являющегося предметом договора аренды в концессию в соответствии с Федеральным законом № 115-ФЗ «О концессионных соглашениях» Арендатору, или иному другому лицу, либо до 31 декабря 2030 года, в зависимости от того, какое обстоятельство наступит ранее.
По договору аренды от 13.08.2018 № 116 передано недвижимое имущество.
Срок действия договора аренды от 13.08.2018 № 116 продлен дополнительным соглашением от 11.08.2023 до момента передачи имущественного комплекса, являющегося предметом договора аренды в концессию в соответствии с Федеральным законом № 115-ФЗ «О концессионных соглашениях» Арендатору, или иному другому лицу, либо до 31 декабря 2030 года, в зависимости от того, какое обстоятельство наступит ранее.
В соответствии с п. 1 ст. 41.1. Федерального закона от 07.12.2011 № 416-ФЗ «О водоснабжении и водоотведении» (далее – Закон № 416-ФЗ от 07.12.2011) передача прав владения и (или) пользования централизованными системами горячего водоснабжения, холодного водоснабжения и (или) водоотведения, отдельными объектами таких систем, находящимися в государственной или муниципальной собственности, осуществляется по договорам аренды таких систем и (или) объектов, которые заключаются в соответствии с требованиями гражданского законодательства, антимонопольного законодательства Российской Федерации и принятых в соответствии с ними иных нормативных правовых актов Российской Федерации с учетом установленных настоящим Федеральным законом особенностей, или по концессионным соглашениям, заключенным в соответствии с требованиями законодательства Российской Федерации о концессионных соглашениях, за исключением случая, предусмотренного частью 1 статьи 9 настоящего Федерального закона.
На основании проведенного анализа РЭК Кузбасса сделан вывод о том, что представленные документы для обоснования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для ООО «Энергосервис г. Гурьевска» на 2026 год не соответствуют нормам действующего законодательства, указанным в п. 1 ст. 41.1. Закона № 416-ФЗ от 07.12.2011.
</t>
  </si>
  <si>
    <t xml:space="preserve">2. п. 2.2. «провести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для ООО «Энергосервис г. Гурьевска» на 2027 год и отразить соответствующий анализ в экспертном заключении и (или) протоколе заседания правления».
При корректировке тарифов в сфере холодного водоснабжения и водоотведения ООО «Энергосервис г. Гурьевска» на 2027 год для обоснования прав владения, пользования и распоряжения имуществом, необходимым для осуществления регулируемых видов деятельности, в адрес регулятора представлены следующие документы:
- договор аренды от 20.05.2015 № 87/1 (недвижимое имущество) с доп. соглашениями от 04.05.2023 (изменение арендной платы), от 11.08.2023 (продление срока действия, дополнение перечня имущества);
- договор аренды от 20.05.2015 № 86/1 (движимое имущество) с доп. соглашениями от 04.05.2023 (изменение перечня имущества), от 11.08.2023 (продление срока действия);
- договор аренды от 13.08.2018 № 116 (имущество пос. Лесной) с доп. соглашением от 11.08.2023 (продление договора, изменение суммы арендной платы);
- договор на аренду здания Цех №5 по договору от 13.10.2020 года № 157.                                                                                                                                                                                                                                                                                                                                                                                                                                    
Предметом договора от 13.10.2020 № 157 является аренда нежилого здания (цех № 5, площадью 1202,5 м2), которое не относится к объектам централизованных систем холодного водоснабжения и водоотведения, и информация по этому договору указывается только на листе «Аренда», в расчет необходимой валовой выручки (далее - НВВ) расходы по данному договору не учтены.
По договору аренды от 20.05.2015 № 86/1 передано движимое имущество, и информация по этому договору указывается только на листе «Аренда», в расчет необходимой валовой выручки (далее - НВВ) расходы по данному договору не учтены.
 По договору аренды от 20.05.2015 № 87/1 передано недвижимое имущество.
Дополнительным соглашением от 04.05.2023г. договор аренды от 20.05.2015 № 87/1 был дополнен перечнем имущества, технологически связанным с ранее переданным по данному договору имуществом.
Срок действия договора аренды от 20.05.2015 № 87/1 продлен дополнительным соглашением от 11.08.2023 до момента передачи имущественного комплекса, являющегося предметом договора аренды в концессию в соответствии с Федеральным законом № 115-ФЗ «О концессионных соглашениях» Арендатору, или иному другому лицу, либо до 31 декабря 2030 года, в зависимости от того, какое обстоятельство наступит ранее.
По договору аренды от 13.08.2018 № 116 передано недвижимое имущество.
Срок действия договора аренды от 13.08.2018 № 116 продлен дополнительным соглашением от 11.08.2023 до момента передачи имущественного комплекса, являющегося предметом договора аренды в концессию в соответствии с Федеральным законом № 115-ФЗ «О концессионных соглашениях» Арендатору, или иному другому лицу, либо до 31 декабря 2030 года, в зависимости от того, какое обстоятельство наступит ранее.
В соответствии с п. 1 ст. 41.1. Закона № 416-ФЗ от 07.12.2011 передача прав владения и (или) пользования централизованными системами горячего водоснабжения, холодного водоснабжения и (или) водоотведения, отдельными объектами таких систем, находящимися в государственной или муниципальной собственности, осуществляется по договорам аренды таких систем и (или) объектов, которые заключаются в соответствии с требованиями гражданского законодательства, антимонопольного законодательства Российской Федерации и принятых в соответствии с ними иных нормативных правовых актов Российской Федерации с учетом установленных настоящим Федеральным законом особенностей, или по концессионным соглашениям, заключенным в соответствии с требованиями законодательства Российской Федерации о концессионных соглашениях, за исключением случая, предусмотренного частью 1 статьи 9 настоящего Федерального закона.
На основании проведенного анализа РЭК Кузбасса сделан вывод, что представленные документы для обоснования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для ООО «Энергосервис г. Гурьевска» на 2027 год не соответствуют нормам действующего законодательства, указанным в п. 1 ст. 41.1. Закона № 416-ФЗ от 07.12.2011.
</t>
  </si>
  <si>
    <t xml:space="preserve">3. п. 3. предписано «по результатам исполнения пункта 2.1.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в случае установления факта несоответствия нормам законодательства Российской Федерации возникновения прав владения, пользования и распоряжения в отношении имущества, заявленного ООО «Энергосервис г. Гурьевска» для осуществления регулируемых видов деятельности в сфере водоснабжения и водоотведения на 2026 год, исключить из состава НВВ ООО «Энергосервис г. Гурьевска» на 2026 год расходы на аренду вышеуказанного имущества».
3.1. по результатам исполнения п. 2.1 предписания исключаются из состава НВВ расходы по статье «Аренда муниципальной или государственной собственности» в сфере водоснабжения в размере 202,64 тыс. руб., в сфере водоотведения в размере 235,23 тыс. руб. (соответствующие изменения отражены в экспертном заключении: лист «Аренда» строки 40 и 50).    
3.2. Ввиду значительной суммы накопленного отрицательного сглаживания за предыдущие периоды (40,7 % от НВВ в сфере водоснабжения, 34,3% от НВВ в сфере водоотведения) статья «Величина сглаживания НВВ» скорректирована в сторону увеличения на суммы, равные суммам исключения из состава НВВ расходов по статье «Аренда муниципальной или государственной собственности» (по предписанию ФАС России) в сфере водоснабжения на 202,64 тыс. руб., в сфере водоотведения на 235,23 тыс. руб. (соответствующие изменения отражены в экспертном заключении: лист «Калькуляция (МИ корр)» водоснабжение – строка 292, водоотведение - строка 436). 
Накопленные суммы сглаживания отражены в Экспертном заключении об установлении тарифов в сфере холодного водоснабжения и водоотведения  Энергосервис о. Гурьевский EXPERT.VSVO.2026.EIAS.eias на листе «Калькуляция (МИ корр)» в сфере водоснабжения в ячейке «ВО 292», в сфере водоотведения в ячейке «ВО 436».
В расчет НВВ организации включена статья «Единый налог, уплачиваемый организацией, применяющей упрощенную систему налогообложения», которая зависит от общей суммы НВВ, но с учетом внесенных изменений в статьи «Аренда муниципальной или государственной собственности» и «Величина сглаживания НВВ» общая сумма НВВ осталась на неизменном уровне и соответственно расходы по статье «Единый налог, уплачиваемый организацией, применяющей упрощенную систему налогообложения» остались также на неизменном уровне.
Прочие статьи затрат в сфере холодного водоснабжения и в сфере водоотведения остались на неизменном уровне, согласно утвержденному постановлению РЭК Кузбасса от 18.12.2025 № 576. В связи с чем НВВ и тарифы на 2026 год по водоснабжению и водоотведению остались на ранее утвержденном уровне.
</t>
  </si>
  <si>
    <t xml:space="preserve">4. п. 4 предписано «по результатам исполнения пункта 2.2.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в случае установления факта несоответствия нормам законодательства Российской Федерации возникновения прав владения, пользования и распоряжения в отношении имущества, заявленного ООО «Энергосервис г. Гурьевска» для осуществления регулируемых видов деятельности в сфере водоснабжения и водоотведения на 2027 год (с учетом мотивированной части настоящего предписания), надлежит отменить (не устанавливать) тарифы в сфере водоснабжения и водоотведения в отношении ООО «Энергосервис г. Гурьевска» на 2027 год».
На основании проведенного анализа и в целях исполнения предписания ФАС России от 22.06.2026 № СП/62223/26 предлагается признать утратившими силу с 01.01.2027 постановления Региональной энергетической комиссии Кузбасса:
от 30.11.2023 № 472 «Об установлении долгосрочных параметров регулирования тарифов в сфере холодного водоснабжения питьевой водой, водоотведения ООО «Энергосервис г. Гурьевска» (Гурьевский муниципальный округ)»;
от 30.11.2023 № 473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«Энергосервис г. Гурьевска» (Гурьевский муниципальный округ)»;
от 26.11.2024 № 408 «О внесении изменений в постановление Региональной энергетической комиссии Кузбасса от 30.11.2023 № 473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«Энергосервис г. Гурьевска» (Гурьевский муниципальный округ)» в части 2025 года»;
от 27.12.2024 № 817 «О внесении изменений в постановление Региональной энергетической комиссии Кузбасса от 30.11.2023 № 472 «Об установлении долгосрочных параметров регулирования тарифов в сфере холодного водоснабжения питьевой водой, водоотведения ООО «Энергосервис г. Гурьевска» (Гурьевский муниципальный округ)» в части 2025 года»;
от 27.12.2024 № 818 «О внесении изменений в постановление Региональной энергетической комиссии Кузбасса от 30.11.2023 № 473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«Энергосервис г. Гурьевска» (Гурьевский муниципальный округ)»;
от 28.01.2025 № 14 «О внесении изменений в постановление Региональной энергетической комиссии Кузбасса от 30.11.2023 № 473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«Энергосервис г. Гурьевска» (Гурьевский муниципальный округ)»;
от 18.12.2025 № 576 «О внесении изменений в постановление Региональной энергетической комиссии Кузбасса от 30.11.2023 № 473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«Энергосервис г. Гурьевска» (Гурьевский муниципальный округ)» в части 2026 года».
</t>
  </si>
  <si>
    <t xml:space="preserve">5. п. 6 предписано «по результатам исполнения пунктов 2.1, 3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при необходимости пересмотреть и ввести в действие тарифы в сфере водоснабжения и водоотведения для ООО «Энергосервис г. Гурьевска» на 2026 год».
По результатам исполнения п. 2.1. и п. 3 НВВ и тарифы на 2026 год по водоснабжению и водоотведению ООО «Энергосервис г. Гурьевска» (Гурьевский муниципальный округ)» остались на ранее утвержденном уровне.
На основании вышеизложенного вносить изменения в постановление РЭК Кузбасса от 18.12.2025 № 576 «О внесении изменений в постановление Региональной энергетической комиссии Кузбасса от 30.11.2023 № 473 «Об утверждении производственной программы в сфере холодного водоснабжения питьевой водой, водоотведения и об установлении тарифов на питьевую воду, водоотведение ООО «Энергосервис г. Гурьевска» (Гурьевский муниципальный округ)» в части 2026 года» не требуется. </t>
  </si>
  <si>
    <t xml:space="preserve">                            Накопленные суммы сглаживания за долгосрочный период</t>
  </si>
  <si>
    <t xml:space="preserve"> </t>
  </si>
  <si>
    <t>2024 год</t>
  </si>
  <si>
    <t>2025 год</t>
  </si>
  <si>
    <t>2026 год</t>
  </si>
  <si>
    <t>2027 год</t>
  </si>
  <si>
    <t>2028 год</t>
  </si>
  <si>
    <t>Всего:</t>
  </si>
  <si>
    <t>сглаживание</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</si>
  <si>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</si>
  <si>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</si>
  <si>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</si>
  <si>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</si>
  <si>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</si>
  <si>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</si>
  <si>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</si>
  <si>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</si>
  <si>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</si>
  <si>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</si>
  <si>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</si>
  <si>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</si>
  <si>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</si>
  <si>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</si>
  <si>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</si>
  <si>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</si>
  <si>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</si>
  <si>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</si>
  <si>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</si>
  <si>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</si>
  <si>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</si>
  <si>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</si>
  <si>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</si>
  <si>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</si>
  <si>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</si>
  <si>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</si>
  <si>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</si>
  <si>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</si>
  <si>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</si>
  <si>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</si>
  <si>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</si>
  <si>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</si>
  <si>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</si>
  <si>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</si>
  <si>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</si>
  <si>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</si>
  <si>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</si>
  <si>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</si>
  <si>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</si>
  <si>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</si>
  <si>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</si>
  <si>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</si>
  <si>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</si>
  <si>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</si>
  <si>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</si>
  <si>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</si>
  <si>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</si>
  <si>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</si>
  <si>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</si>
  <si>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</si>
  <si>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</si>
  <si>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</si>
  <si>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</si>
  <si>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</si>
  <si>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</si>
  <si>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</si>
  <si>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</si>
  <si>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</si>
  <si>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</si>
  <si>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</si>
  <si>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</si>
  <si>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</si>
  <si>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</si>
  <si>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</si>
  <si>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</si>
  <si>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</si>
  <si>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</si>
  <si>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</si>
  <si>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</si>
  <si>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</si>
  <si>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</si>
  <si>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</si>
  <si>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</si>
  <si>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</si>
  <si>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</si>
  <si>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</si>
  <si>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</si>
  <si>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</si>
  <si>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</si>
  <si>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</si>
  <si>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</si>
  <si>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</si>
  <si>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</si>
  <si>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</si>
  <si>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</si>
  <si>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</si>
  <si>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</si>
  <si>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</si>
  <si>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</si>
  <si>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</si>
  <si>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</si>
  <si>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</si>
  <si>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</si>
  <si>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</si>
  <si>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</si>
  <si>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</si>
  <si>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</si>
  <si>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</si>
  <si>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</si>
  <si>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</si>
  <si>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</si>
  <si>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</si>
  <si>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</si>
  <si>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</si>
  <si>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</si>
  <si>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</si>
  <si>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</si>
  <si>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</si>
  <si>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</si>
  <si>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</si>
  <si>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</si>
  <si>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</si>
  <si>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</si>
  <si>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</si>
  <si>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</si>
  <si>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</si>
  <si>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</si>
  <si>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</si>
  <si>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</si>
  <si>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</si>
  <si>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</si>
  <si>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</si>
  <si>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</si>
  <si>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</si>
  <si>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</si>
  <si>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</si>
  <si>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</si>
  <si>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</si>
  <si>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</si>
  <si>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</si>
  <si>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</si>
  <si>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</si>
  <si>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</si>
  <si>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</si>
  <si>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</si>
  <si>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</si>
  <si>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</si>
  <si>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</si>
  <si>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</si>
  <si>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</si>
  <si>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</si>
  <si>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</si>
  <si>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</si>
  <si>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</si>
  <si>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</si>
  <si>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</si>
  <si>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</si>
  <si>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</si>
  <si>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</si>
  <si>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</si>
  <si>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</si>
  <si>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</si>
  <si>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</si>
  <si>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</si>
  <si>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</si>
  <si>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</si>
  <si>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</si>
  <si>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</si>
  <si>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</si>
  <si>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</si>
  <si>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</si>
  <si>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</si>
  <si>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</si>
  <si>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</si>
  <si>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</si>
  <si>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</si>
  <si>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</si>
  <si>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</si>
  <si>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</si>
  <si>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</si>
  <si>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</si>
  <si>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</si>
  <si>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</si>
  <si>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</si>
  <si>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</si>
  <si>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</si>
  <si>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</si>
  <si>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</si>
  <si>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</si>
  <si>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</si>
  <si>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</si>
  <si>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</si>
  <si>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</si>
  <si>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</si>
  <si>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</si>
  <si>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</si>
  <si>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</si>
  <si>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</si>
  <si>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</si>
  <si>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</si>
  <si>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</si>
  <si>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</si>
  <si>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</si>
  <si>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</si>
  <si>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</si>
  <si>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</si>
  <si>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</si>
  <si>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</si>
  <si>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</si>
  <si>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</si>
  <si>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</si>
  <si>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</si>
  <si>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В связи с исполнением предписания ФАС России (исх.от 22.06.2026 № СП/62245/26) в экспертном заключении на листе "Калькуляция (МИ корр)" изменились строки 248, 292, 392 и 436.</t>
  </si>
  <si>
    <t>На листе "Общие сведения" в ячейке "АЕ 60"  "Наличие статуса гарантирующей организации (ГО)" указано значение "нет", но организация является гарантирующей. Изменить статус организации не представляется возможным.</t>
  </si>
  <si>
    <t>Организация признана гарантирующей в соответствии с постановлением администрации Гурьевского муниципального района от 18.11.2015 № 2228.</t>
  </si>
  <si>
    <t>mrName</t>
  </si>
  <si>
    <t>moName</t>
  </si>
  <si>
    <t>oktmo</t>
  </si>
  <si>
    <t>Беловский муниципальный округ</t>
  </si>
  <si>
    <t>32501000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</si>
  <si>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</si>
  <si>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</si>
  <si>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</si>
  <si>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</si>
  <si>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</si>
  <si>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</si>
  <si>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</si>
  <si>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</si>
  <si>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</si>
  <si>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</si>
  <si>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</si>
  <si>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</si>
  <si>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</si>
  <si>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</si>
  <si>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</si>
  <si>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</si>
  <si>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</si>
  <si>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</si>
  <si>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</si>
  <si>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</si>
  <si>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</si>
  <si>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</si>
  <si>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</si>
  <si>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</si>
  <si>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</si>
  <si>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</si>
  <si>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</si>
  <si>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</si>
  <si>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</si>
  <si>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</si>
  <si>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</si>
  <si>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</si>
  <si>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</si>
  <si>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</si>
  <si>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</si>
  <si>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</si>
  <si>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</si>
  <si>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</si>
  <si>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</si>
  <si>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</si>
  <si>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</si>
  <si>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</si>
  <si>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</si>
  <si>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</si>
  <si>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</si>
  <si>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</si>
  <si>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</si>
  <si>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</si>
  <si>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</si>
  <si>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</si>
  <si>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</si>
  <si>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</si>
  <si>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</si>
  <si>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</si>
  <si>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</si>
  <si>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</si>
  <si>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</si>
  <si>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</si>
  <si>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</si>
  <si>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</si>
  <si>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</si>
  <si>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</si>
  <si>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</si>
  <si>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</si>
  <si>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</si>
  <si>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</si>
  <si>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</si>
  <si>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</si>
  <si>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</si>
  <si>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</si>
  <si>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</si>
  <si>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</si>
  <si>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</si>
  <si>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</si>
  <si>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</si>
  <si>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</si>
  <si>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</si>
  <si>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</si>
  <si>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</si>
  <si>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</si>
  <si>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</si>
  <si>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</si>
  <si>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</si>
  <si>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</si>
  <si>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</si>
  <si>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</si>
  <si>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</si>
  <si>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</si>
  <si>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</si>
  <si>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</si>
  <si>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</si>
  <si>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</si>
  <si>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</si>
  <si>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</si>
  <si>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</si>
  <si>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</si>
  <si>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</si>
  <si>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</si>
  <si>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</si>
  <si>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</si>
  <si>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</si>
  <si>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</si>
  <si>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</si>
  <si>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</si>
  <si>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</si>
  <si>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</si>
  <si>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</si>
  <si>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</si>
  <si>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</si>
  <si>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</si>
  <si>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</si>
  <si>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</si>
  <si>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</si>
  <si>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</si>
  <si>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</si>
  <si>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</si>
  <si>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</si>
  <si>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</si>
  <si>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</si>
  <si>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</si>
  <si>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</si>
  <si>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</si>
  <si>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</si>
  <si>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</si>
  <si>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</si>
  <si>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</si>
  <si>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</si>
  <si>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</si>
  <si>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</si>
  <si>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</si>
  <si>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</si>
  <si>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</si>
  <si>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</si>
  <si>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</si>
  <si>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</si>
  <si>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</si>
  <si>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</si>
  <si>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</si>
  <si>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</si>
  <si>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</si>
  <si>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</si>
  <si>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</si>
  <si>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</si>
  <si>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</si>
  <si>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</si>
  <si>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</si>
  <si>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</si>
  <si>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</si>
  <si>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</si>
  <si>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</si>
  <si>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</si>
  <si>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</si>
  <si>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</si>
  <si>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</si>
  <si>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</si>
  <si>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</si>
  <si>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</si>
  <si>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</si>
  <si>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</si>
  <si>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</si>
  <si>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</si>
  <si>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</si>
  <si>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</si>
  <si>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</si>
  <si>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</si>
  <si>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</si>
  <si>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</si>
  <si>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</si>
  <si>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</si>
  <si>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</si>
  <si>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</si>
  <si>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</si>
  <si>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</si>
  <si>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</si>
  <si>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</si>
  <si>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</si>
  <si>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</si>
  <si>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</si>
  <si>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</si>
  <si>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</si>
  <si>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</si>
  <si>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</si>
  <si>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</si>
  <si>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</si>
  <si>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</si>
  <si>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</si>
  <si>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</si>
  <si>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</si>
  <si>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</si>
  <si>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</si>
  <si>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</si>
  <si>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</si>
  <si>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</si>
  <si>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</si>
  <si>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</si>
  <si>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</si>
  <si>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</si>
  <si>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</si>
  <si>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</si>
  <si>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</si>
  <si>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</si>
  <si>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</si>
  <si>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</si>
  <si>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</si>
  <si>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</si>
  <si>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</si>
  <si>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</si>
  <si>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</si>
  <si>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</si>
  <si>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</si>
  <si>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</si>
  <si>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</si>
  <si>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</si>
  <si>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</si>
  <si>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</si>
  <si>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</si>
  <si>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</si>
  <si>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</si>
  <si>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</si>
  <si>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</si>
  <si>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</si>
  <si>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</si>
  <si>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</si>
  <si>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</si>
  <si>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</si>
  <si>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</si>
  <si>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</si>
  <si>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</si>
  <si>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</si>
  <si>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</si>
  <si>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</si>
  <si>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</si>
  <si>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</si>
  <si>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</si>
  <si>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</si>
  <si>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</si>
  <si>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</si>
  <si>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</si>
  <si>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</si>
  <si>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</si>
  <si>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</si>
  <si>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</si>
  <si>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</si>
  <si>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</si>
  <si>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</si>
  <si>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</si>
  <si>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</si>
  <si>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</si>
  <si>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</si>
  <si>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</si>
  <si>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</si>
  <si>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</si>
  <si>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</si>
  <si>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</si>
  <si>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</si>
  <si>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</si>
  <si>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</si>
  <si>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</si>
  <si>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</si>
  <si>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</si>
  <si>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</si>
  <si>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</si>
  <si>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</si>
  <si>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</si>
  <si>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</si>
  <si>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</si>
  <si>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</si>
  <si>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</si>
  <si>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</si>
  <si>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</si>
  <si>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</si>
  <si>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</si>
  <si>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</si>
  <si>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</si>
  <si>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</si>
  <si>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</si>
  <si>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</si>
  <si>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</si>
  <si>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</si>
  <si>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</si>
  <si>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</si>
  <si>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</si>
  <si>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</si>
  <si>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</si>
  <si>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</si>
  <si>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</si>
  <si>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</si>
  <si>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</si>
  <si>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</si>
  <si>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</si>
  <si>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</si>
  <si>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</si>
  <si>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</si>
  <si>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</si>
  <si>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</si>
  <si>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</si>
  <si>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</si>
  <si>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</si>
  <si>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</si>
  <si>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</si>
  <si>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</si>
  <si>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</si>
  <si>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</si>
  <si>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</si>
  <si>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</si>
  <si>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</si>
  <si>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</si>
  <si>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</si>
  <si>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</si>
  <si>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</si>
  <si>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</si>
  <si>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</si>
  <si>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</si>
  <si>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</si>
  <si>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</si>
  <si>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</si>
  <si>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</si>
  <si>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</si>
  <si>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</si>
  <si>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</si>
  <si>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</si>
  <si>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</si>
  <si>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</si>
  <si>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</si>
  <si>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</si>
  <si>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</si>
  <si>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</si>
  <si>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</si>
  <si>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</si>
  <si>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</si>
  <si>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</si>
  <si>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</si>
  <si>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</si>
  <si>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</si>
  <si>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</si>
  <si>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</si>
  <si>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</si>
  <si>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</si>
  <si>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</si>
  <si>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</si>
  <si>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</si>
  <si>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</si>
  <si>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</si>
  <si>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</si>
  <si>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</si>
  <si>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</si>
  <si>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</si>
  <si>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</si>
  <si>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</si>
  <si>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</si>
  <si>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</si>
  <si>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</si>
  <si>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</si>
  <si>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</si>
  <si>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</si>
  <si>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</si>
  <si>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</si>
  <si>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</si>
  <si>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</si>
  <si>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</si>
  <si>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</si>
  <si>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</si>
  <si>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</si>
  <si>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</si>
  <si>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</si>
  <si>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</si>
  <si>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</si>
  <si>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</si>
  <si>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</si>
  <si>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</si>
  <si>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</si>
  <si>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</si>
  <si>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</si>
  <si>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</si>
  <si>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</si>
  <si>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</si>
  <si>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</si>
  <si>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</si>
  <si>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</si>
  <si>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</si>
  <si>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</si>
  <si>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</si>
  <si>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</si>
  <si>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</si>
  <si>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</si>
  <si>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</si>
  <si>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</si>
  <si>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</si>
  <si>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</si>
  <si>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</si>
  <si>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</si>
  <si>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</si>
  <si>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</si>
  <si>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</si>
  <si>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</si>
  <si>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</si>
  <si>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</si>
  <si>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</si>
  <si>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</si>
  <si>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</si>
  <si>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</si>
  <si>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</si>
  <si>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</si>
  <si>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</si>
  <si>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</si>
  <si>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</si>
  <si>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</si>
  <si>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</si>
  <si>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</si>
  <si>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</si>
  <si>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</si>
  <si>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</si>
  <si>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</si>
  <si>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</si>
  <si>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</si>
  <si>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</si>
  <si>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</si>
  <si>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</si>
  <si>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</si>
  <si>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</si>
  <si>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</si>
  <si>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</si>
  <si>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</si>
  <si>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</si>
  <si>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</si>
  <si>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</si>
  <si>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</si>
  <si>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</si>
  <si>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</si>
  <si>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</si>
  <si>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</si>
  <si>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</si>
  <si>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</si>
  <si>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</si>
  <si>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</si>
  <si>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</si>
  <si>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</si>
  <si>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</si>
  <si>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</si>
  <si>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</si>
  <si>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</si>
  <si>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</si>
  <si>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</si>
  <si>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</si>
  <si>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</si>
  <si>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</si>
  <si>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</si>
  <si>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</si>
  <si>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</si>
  <si>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</si>
  <si>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</si>
  <si>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</si>
  <si>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</si>
  <si>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</si>
  <si>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</si>
  <si>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</si>
  <si>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</si>
  <si>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</si>
  <si>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</si>
  <si>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</si>
  <si>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</si>
  <si>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</si>
  <si>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</si>
  <si>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</si>
  <si>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</si>
  <si>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</si>
  <si>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</si>
  <si>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</si>
  <si>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</si>
  <si>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</si>
  <si>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</si>
  <si>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</si>
  <si>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</si>
  <si>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</si>
  <si>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</si>
  <si>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</si>
  <si>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</si>
  <si>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</si>
  <si>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</si>
  <si>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</si>
  <si>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</si>
  <si>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</si>
  <si>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</si>
  <si>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</si>
  <si>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</si>
  <si>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</si>
  <si>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</si>
  <si>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</si>
  <si>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</si>
  <si>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</si>
  <si>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</si>
  <si>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</si>
  <si>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</si>
  <si>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</si>
  <si>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</si>
  <si>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</si>
  <si>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</si>
  <si>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</si>
  <si>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</si>
  <si>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</si>
  <si>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</si>
  <si>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</si>
  <si>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</si>
  <si>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</si>
  <si>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</si>
  <si>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</si>
  <si>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</si>
  <si>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</si>
  <si>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</si>
  <si>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</si>
  <si>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</si>
  <si>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</si>
  <si>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</si>
  <si>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</si>
  <si>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</si>
  <si>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</si>
  <si>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</si>
  <si>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</si>
  <si>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</si>
  <si>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</si>
  <si>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</si>
  <si>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</si>
  <si>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</si>
  <si>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</si>
  <si>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</si>
  <si>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</si>
  <si>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</si>
  <si>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</si>
  <si>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</si>
  <si>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</si>
  <si>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</si>
  <si>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</si>
  <si>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</si>
  <si>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</si>
  <si>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</si>
  <si>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</si>
  <si>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</si>
  <si>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</si>
  <si>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</si>
  <si>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</si>
  <si>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</si>
  <si>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</si>
  <si>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</si>
  <si>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</si>
  <si>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</si>
  <si>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</si>
  <si>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</si>
  <si>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</si>
  <si>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</si>
  <si>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</si>
  <si>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</si>
  <si>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</si>
  <si>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</si>
  <si>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</si>
  <si>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</si>
  <si>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</si>
  <si>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</si>
  <si>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</si>
  <si>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</si>
  <si>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</si>
  <si>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</si>
  <si>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</si>
  <si>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</si>
  <si>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</si>
  <si>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</si>
  <si>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</si>
  <si>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</si>
  <si>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</si>
  <si>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</si>
  <si>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</si>
  <si>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</si>
  <si>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</si>
  <si>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</si>
  <si>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</si>
  <si>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</si>
  <si>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</si>
  <si>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</si>
  <si>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</si>
  <si>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</si>
  <si>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</si>
  <si>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</si>
  <si>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</si>
  <si>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</si>
  <si>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</si>
  <si>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</si>
  <si>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</si>
  <si>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</si>
  <si>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</si>
  <si>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</si>
  <si>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</si>
  <si>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</si>
  <si>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</si>
  <si>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</si>
  <si>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</si>
  <si>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</si>
  <si>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</si>
  <si>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</si>
  <si>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</si>
  <si>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</si>
  <si>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</si>
  <si>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</si>
  <si>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</si>
  <si>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</si>
  <si>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</si>
  <si>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</si>
  <si>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</si>
  <si>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</si>
  <si>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</si>
  <si>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</si>
  <si>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</si>
  <si>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</si>
  <si>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</si>
  <si>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</si>
  <si>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</si>
  <si>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</si>
  <si>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</si>
  <si>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</si>
  <si>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</si>
  <si>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</si>
  <si>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</si>
  <si>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</si>
  <si>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</si>
  <si>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</si>
  <si>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</si>
  <si>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</si>
  <si>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</si>
  <si>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</si>
  <si>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</si>
  <si>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</si>
  <si>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</si>
  <si>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</si>
  <si>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</si>
  <si>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</si>
  <si>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</si>
  <si>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</si>
  <si>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</si>
  <si>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</si>
  <si>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</si>
  <si>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</si>
  <si>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</si>
  <si>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</si>
  <si>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</si>
  <si>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</si>
  <si>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</si>
  <si>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</si>
  <si>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</si>
  <si>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</si>
  <si>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</si>
  <si>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</si>
  <si>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</si>
  <si>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</si>
  <si>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</si>
  <si>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</si>
  <si>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</si>
  <si>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</si>
  <si>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</si>
  <si>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</si>
  <si>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</si>
  <si>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</si>
  <si>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</si>
  <si>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</si>
  <si>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</si>
  <si>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</si>
  <si>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</si>
  <si>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</si>
  <si>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</si>
  <si>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</si>
  <si>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</si>
  <si>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</si>
  <si>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</si>
  <si>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</si>
  <si>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</si>
  <si>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</si>
  <si>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</si>
  <si>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</si>
  <si>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</si>
  <si>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</si>
  <si>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</si>
  <si>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</si>
  <si>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</si>
  <si>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</si>
  <si>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</si>
  <si>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</si>
  <si>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</si>
  <si>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</si>
  <si>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</si>
  <si>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</si>
  <si>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</si>
  <si>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</si>
  <si>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</si>
  <si>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</si>
  <si>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</si>
  <si>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</si>
  <si>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</si>
  <si>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</si>
  <si>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</si>
  <si>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</si>
  <si>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</si>
  <si>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</si>
  <si>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</si>
  <si>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</si>
  <si>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</si>
  <si>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</si>
  <si>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</si>
  <si>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</si>
  <si>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</si>
  <si>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</si>
  <si>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</si>
  <si>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</si>
  <si>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</si>
  <si>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</si>
  <si>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</si>
  <si>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</si>
  <si>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</si>
  <si>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</si>
  <si>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</si>
  <si>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</si>
  <si>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</si>
  <si>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</si>
  <si>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</si>
  <si>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</si>
  <si>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</si>
  <si>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</si>
  <si>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</si>
  <si>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</si>
  <si>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</si>
  <si>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</si>
  <si>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</si>
  <si>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</si>
  <si>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</si>
  <si>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</si>
  <si>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</si>
  <si>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</si>
  <si>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</si>
  <si>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</si>
  <si>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</si>
  <si>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</si>
  <si>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</si>
  <si>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</si>
  <si>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</si>
  <si>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</si>
  <si>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</si>
  <si>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</si>
  <si>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</si>
  <si>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</si>
  <si>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</si>
  <si>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</si>
  <si>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</si>
  <si>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</si>
  <si>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</si>
  <si>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</si>
  <si>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</si>
  <si>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</si>
  <si>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</si>
  <si>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</si>
  <si>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</si>
  <si>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</si>
  <si>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</si>
  <si>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</si>
  <si>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</si>
  <si>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</si>
  <si>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</si>
  <si>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</si>
  <si>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</si>
  <si>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</si>
  <si>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</si>
  <si>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</si>
  <si>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</si>
  <si>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</si>
  <si>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</si>
  <si>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</si>
  <si>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</si>
  <si>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</si>
  <si>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</si>
  <si>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</si>
  <si>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</si>
  <si>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</si>
  <si>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</si>
  <si>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</si>
  <si>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</si>
  <si>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</si>
  <si>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</si>
  <si>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</si>
  <si>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</si>
  <si>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</si>
  <si>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</si>
  <si>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</si>
  <si>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</si>
  <si>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</si>
  <si>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</si>
  <si>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</si>
  <si>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</si>
  <si>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</si>
  <si>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</si>
  <si>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</si>
  <si>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</si>
  <si>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</si>
  <si>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</si>
  <si>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</si>
  <si>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</si>
  <si>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</si>
  <si>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</si>
  <si>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</si>
  <si>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</si>
  <si>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</si>
  <si>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</si>
  <si>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</si>
  <si>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</si>
  <si>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</si>
  <si>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</si>
  <si>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</si>
  <si>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</si>
  <si>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</si>
  <si>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</si>
  <si>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</si>
  <si>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</si>
  <si>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</si>
  <si>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</si>
  <si>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</si>
  <si>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</si>
  <si>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</si>
  <si>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</si>
  <si>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</si>
  <si>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</si>
  <si>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</si>
  <si>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</si>
  <si>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</si>
  <si>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</si>
  <si>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</si>
  <si>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</si>
  <si>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</si>
  <si>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</si>
  <si>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</si>
  <si>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</si>
  <si>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</si>
  <si>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</si>
  <si>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</si>
  <si>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</si>
  <si>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</si>
  <si>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</si>
  <si>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</si>
  <si>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</si>
  <si>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</si>
  <si>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</si>
  <si>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</si>
  <si>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</si>
  <si>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</si>
  <si>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</si>
  <si>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</si>
  <si>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</si>
  <si>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</si>
  <si>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</si>
  <si>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</si>
  <si>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</si>
  <si>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</si>
  <si>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</si>
  <si>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</si>
  <si>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</si>
  <si>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</si>
  <si>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</si>
  <si>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</si>
  <si>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</si>
  <si>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</si>
  <si>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</si>
  <si>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</si>
  <si>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</si>
  <si>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</si>
  <si>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</si>
  <si>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</si>
  <si>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</si>
  <si>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</si>
  <si>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</si>
  <si>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</si>
  <si>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</si>
  <si>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</si>
  <si>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</si>
  <si>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</si>
  <si>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</si>
  <si>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</si>
  <si>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</si>
  <si>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</si>
  <si>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</si>
  <si>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</si>
  <si>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</si>
  <si>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</si>
  <si>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</si>
  <si>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</si>
  <si>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</si>
  <si>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</si>
  <si>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</si>
  <si>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</si>
  <si>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</si>
  <si>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</si>
  <si>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</si>
  <si>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</si>
  <si>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</si>
  <si>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</si>
  <si>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</si>
  <si>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</si>
  <si>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</si>
  <si>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</si>
  <si>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</si>
  <si>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</si>
  <si>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</si>
  <si>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</si>
  <si>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</si>
  <si>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</si>
  <si>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</si>
  <si>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</si>
  <si>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</si>
  <si>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</si>
  <si>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</si>
  <si>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</si>
  <si>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</si>
  <si>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</si>
  <si>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</si>
  <si>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</si>
  <si>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</si>
  <si>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</si>
  <si>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</si>
  <si>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</si>
  <si>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</si>
  <si>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</si>
  <si>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</si>
  <si>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</si>
  <si>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</si>
  <si>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</si>
  <si>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</si>
  <si>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</si>
  <si>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</si>
  <si>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</si>
  <si>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</si>
  <si>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</si>
  <si>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</si>
  <si>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</si>
  <si>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</si>
  <si>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</si>
  <si>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</si>
  <si>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</si>
  <si>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</si>
  <si>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</si>
  <si>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</si>
  <si>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</si>
  <si>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</si>
  <si>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</si>
  <si>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</si>
  <si>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</si>
  <si>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</si>
  <si>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</si>
  <si>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</si>
  <si>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</si>
  <si>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</si>
  <si>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</si>
  <si>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</si>
  <si>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</si>
  <si>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</si>
  <si>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</si>
  <si>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</si>
  <si>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</si>
  <si>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</si>
  <si>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</si>
  <si>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</si>
  <si>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</si>
  <si>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</si>
  <si>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</si>
  <si>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</si>
  <si>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</si>
  <si>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</si>
  <si>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</si>
  <si>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</si>
  <si>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</si>
  <si>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</si>
  <si>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</si>
  <si>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</si>
  <si>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</si>
  <si>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</si>
  <si>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</si>
  <si>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</si>
  <si>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</si>
  <si>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</si>
  <si>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</si>
  <si>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</si>
  <si>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</si>
  <si>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</si>
  <si>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</si>
  <si>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</si>
  <si>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</si>
  <si>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</si>
  <si>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</si>
  <si>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</si>
  <si>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</si>
  <si>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</si>
  <si>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</si>
  <si>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</si>
  <si>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</si>
  <si>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</si>
  <si>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</si>
  <si>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</si>
  <si>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</si>
  <si>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</si>
  <si>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</si>
  <si>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</si>
  <si>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</si>
  <si>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</si>
  <si>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</si>
  <si>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</si>
  <si>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</si>
  <si>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</si>
  <si>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</si>
  <si>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</si>
  <si>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</si>
  <si>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</si>
  <si>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</si>
  <si>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</si>
  <si>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</si>
  <si>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</si>
  <si>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</si>
  <si>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</si>
  <si>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</si>
  <si>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</si>
  <si>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</si>
  <si>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</si>
  <si>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</si>
  <si>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</si>
  <si>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</si>
  <si>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</si>
  <si>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</si>
  <si>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</si>
  <si>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</si>
  <si>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</si>
  <si>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</si>
  <si>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</si>
  <si>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</si>
  <si>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</si>
  <si>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</si>
  <si>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</si>
  <si>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</si>
  <si>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</si>
  <si>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</si>
  <si>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</si>
  <si>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</si>
  <si>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</si>
  <si>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</si>
  <si>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</si>
  <si>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</si>
  <si>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</si>
  <si>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</si>
  <si>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</si>
  <si>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</si>
  <si>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</si>
  <si>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</si>
  <si>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</si>
  <si>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</si>
  <si>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</si>
  <si>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</si>
  <si>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</si>
  <si>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</si>
  <si>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</si>
  <si>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</si>
  <si>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</si>
  <si>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</si>
  <si>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</si>
  <si>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</si>
  <si>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</si>
  <si>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</si>
  <si>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</si>
  <si>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</si>
  <si>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</si>
  <si>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</si>
  <si>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</si>
  <si>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</si>
  <si>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</si>
  <si>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</si>
  <si>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</si>
  <si>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</si>
  <si>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</si>
  <si>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</si>
  <si>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</si>
  <si>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</si>
  <si>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</si>
  <si>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</si>
  <si>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</si>
  <si>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</si>
  <si>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</si>
  <si>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</si>
  <si>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</si>
  <si>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</si>
  <si>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</si>
  <si>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</si>
  <si>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</si>
  <si>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</si>
  <si>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</si>
  <si>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</si>
  <si>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</si>
  <si>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</si>
  <si>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</si>
  <si>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</si>
  <si>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</si>
  <si>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</si>
  <si>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</si>
  <si>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</si>
  <si>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</si>
  <si>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</si>
  <si>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</si>
  <si>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</si>
  <si>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</si>
  <si>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</si>
  <si>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</si>
  <si>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</si>
  <si>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</si>
  <si>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</si>
  <si>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</si>
  <si>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</si>
  <si>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</si>
  <si>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</si>
  <si>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</si>
  <si>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</si>
  <si>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</si>
  <si>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</si>
  <si>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</si>
  <si>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</si>
  <si>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</si>
  <si>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</si>
  <si>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</si>
  <si>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</si>
  <si>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</si>
  <si>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</si>
  <si>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</si>
  <si>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</si>
  <si>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</si>
  <si>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</si>
  <si>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</si>
  <si>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</si>
  <si>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</si>
  <si>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</si>
  <si>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</si>
  <si>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</si>
  <si>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</si>
  <si>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</si>
  <si>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</si>
  <si>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</si>
  <si>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</si>
  <si>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</si>
  <si>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</si>
  <si>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</si>
  <si>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</si>
  <si>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</si>
  <si>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</si>
  <si>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</si>
  <si>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</si>
  <si>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</si>
  <si>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</si>
  <si>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</si>
  <si>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</si>
  <si>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</si>
  <si>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</si>
  <si>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</si>
  <si>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</si>
  <si>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</si>
  <si>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</si>
  <si>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</si>
  <si>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</si>
  <si>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</si>
  <si>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</si>
  <si>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</si>
  <si>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</si>
  <si>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</si>
  <si>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</si>
  <si>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</si>
  <si>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</si>
  <si>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</si>
  <si>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</si>
  <si>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</si>
  <si>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</si>
  <si>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</si>
  <si>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</si>
  <si>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</si>
  <si>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</si>
  <si>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</si>
  <si>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</si>
  <si>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</si>
  <si>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</si>
  <si>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</si>
  <si>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</si>
  <si>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</si>
  <si>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</si>
  <si>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</si>
  <si>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</si>
  <si>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</si>
  <si>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</si>
  <si>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</si>
  <si>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</si>
  <si>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</si>
  <si>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</si>
  <si>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</si>
  <si>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</si>
  <si>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</si>
  <si>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</si>
  <si>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</si>
  <si>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</si>
  <si>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</si>
  <si>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</si>
  <si>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</si>
  <si>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</si>
  <si>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</si>
  <si>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</si>
  <si>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</si>
  <si>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</si>
  <si>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</si>
  <si>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</si>
  <si>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</si>
  <si>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</si>
  <si>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</si>
  <si>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</si>
  <si>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</si>
  <si>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</si>
  <si>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</si>
  <si>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</si>
  <si>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</si>
  <si>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</si>
  <si>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</si>
  <si>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</si>
  <si>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</si>
  <si>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</si>
  <si>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</si>
  <si>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</si>
  <si>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</si>
  <si>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</si>
  <si>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</si>
  <si>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</si>
  <si>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</si>
  <si>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</si>
  <si>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</si>
  <si>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</si>
  <si>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</si>
  <si>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</si>
  <si>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</si>
  <si>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</si>
  <si>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</si>
  <si>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</si>
  <si>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</si>
  <si>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</si>
  <si>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</si>
  <si>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</si>
  <si>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</si>
  <si>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</si>
  <si>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</si>
  <si>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</si>
  <si>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</si>
  <si>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</si>
  <si>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</si>
  <si>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</si>
  <si>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</si>
  <si>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</si>
  <si>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</si>
  <si>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</si>
  <si>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</si>
  <si>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</si>
  <si>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</si>
  <si>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</si>
  <si>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</si>
  <si>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</si>
  <si>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</si>
  <si>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</si>
  <si>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</si>
  <si>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</si>
  <si>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</si>
  <si>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</si>
  <si>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</si>
  <si>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</si>
  <si>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</si>
  <si>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</si>
  <si>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</si>
  <si>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</si>
  <si>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</si>
  <si>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</si>
  <si>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</si>
  <si>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</si>
  <si>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</si>
  <si>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</si>
  <si>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</si>
  <si>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</si>
  <si>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</si>
  <si>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</si>
  <si>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</si>
  <si>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</si>
  <si>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</si>
  <si>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</si>
  <si>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</si>
  <si>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</si>
  <si>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</si>
  <si>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</si>
  <si>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</si>
  <si>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</si>
  <si>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</si>
  <si>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</si>
  <si>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</si>
  <si>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</si>
  <si>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</si>
  <si>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</si>
  <si>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</si>
  <si>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</si>
  <si>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</si>
  <si>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</si>
  <si>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</si>
  <si>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</si>
  <si>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</si>
  <si>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</si>
  <si>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</si>
  <si>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</si>
  <si>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</si>
  <si>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</si>
  <si>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</si>
  <si>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</si>
  <si>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</si>
  <si>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</si>
  <si>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</si>
  <si>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</si>
  <si>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</si>
  <si>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</si>
  <si>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</si>
  <si>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</si>
  <si>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</si>
  <si>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</si>
  <si>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</si>
  <si>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</si>
  <si>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</si>
  <si>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</si>
  <si>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</si>
  <si>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</si>
  <si>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</si>
  <si>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</si>
  <si>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</si>
  <si>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</si>
  <si>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</si>
  <si>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</si>
  <si>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</si>
  <si>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</si>
  <si>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</si>
  <si>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</si>
  <si>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</si>
  <si>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</si>
  <si>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</si>
  <si>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</si>
  <si>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</si>
  <si>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</si>
  <si>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</si>
  <si>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</si>
  <si>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</si>
  <si>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</si>
  <si>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</si>
  <si>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</si>
  <si>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</si>
  <si>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</si>
  <si>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</si>
  <si>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</si>
  <si>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</si>
  <si>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</si>
  <si>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</si>
  <si>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</si>
  <si>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</si>
  <si>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</si>
  <si>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</si>
  <si>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</si>
  <si>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</si>
  <si>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</si>
  <si>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</si>
  <si>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</si>
  <si>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</si>
  <si>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</si>
  <si>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</si>
  <si>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</si>
  <si>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</si>
  <si>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</si>
  <si>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</si>
  <si>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</si>
  <si>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</si>
  <si>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</si>
  <si>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</si>
  <si>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</si>
  <si>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</si>
  <si>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</si>
  <si>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</si>
  <si>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</si>
  <si>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</si>
  <si>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</si>
  <si>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</si>
  <si>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</si>
  <si>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</si>
  <si>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</si>
  <si>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</si>
  <si>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</si>
  <si>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</si>
  <si>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</si>
  <si>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</si>
  <si>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</si>
  <si>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</si>
  <si>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</si>
  <si>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</si>
  <si>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</si>
  <si>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</si>
  <si>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</si>
  <si>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</si>
  <si>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</si>
  <si>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</si>
  <si>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</si>
  <si>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</si>
  <si>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</si>
  <si>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</si>
  <si>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</si>
  <si>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</si>
  <si>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</si>
  <si>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</si>
  <si>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</si>
  <si>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</si>
  <si>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</si>
  <si>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</si>
  <si>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</si>
  <si>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</si>
  <si>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</si>
  <si>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</si>
  <si>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</si>
  <si>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</si>
  <si>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</si>
  <si>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</si>
  <si>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</si>
  <si>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</si>
  <si>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</si>
  <si>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</si>
  <si>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</si>
  <si>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</si>
  <si>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</si>
  <si>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</si>
  <si>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</si>
  <si>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</si>
  <si>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</si>
  <si>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</si>
  <si>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</si>
  <si>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</si>
  <si>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</si>
  <si>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</si>
  <si>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</si>
  <si>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</si>
  <si>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</si>
  <si>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</si>
  <si>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</si>
  <si>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</si>
  <si>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</si>
  <si>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</si>
  <si>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</si>
  <si>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</si>
  <si>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</si>
  <si>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</si>
  <si>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</si>
  <si>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</si>
  <si>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</si>
  <si>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</si>
  <si>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</si>
  <si>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</si>
  <si>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</si>
  <si>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</si>
  <si>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</si>
  <si>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</si>
  <si>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</si>
  <si>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</si>
  <si>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</si>
  <si>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</si>
  <si>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</si>
  <si>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</si>
  <si>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</si>
  <si>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</si>
  <si>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</si>
  <si>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</si>
  <si>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</si>
  <si>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</si>
  <si>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</si>
  <si>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</si>
  <si>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</si>
  <si>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</si>
  <si>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</si>
  <si>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</si>
  <si>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</si>
  <si>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</si>
  <si>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</si>
  <si>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</si>
  <si>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</si>
  <si>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</si>
  <si>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</si>
  <si>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</si>
  <si>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</si>
  <si>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</si>
  <si>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</si>
  <si>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</si>
  <si>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</si>
  <si>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</si>
  <si>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</si>
  <si>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</si>
  <si>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</si>
  <si>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</si>
  <si>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</si>
  <si>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</si>
  <si>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</si>
  <si>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</si>
  <si>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</si>
  <si>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</si>
  <si>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</si>
  <si>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</si>
  <si>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</si>
  <si>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</si>
  <si>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</si>
  <si>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</si>
  <si>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</si>
  <si>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</si>
  <si>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</si>
  <si>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</si>
  <si>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</si>
  <si>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</si>
  <si>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</si>
  <si>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</si>
  <si>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</si>
  <si>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</si>
  <si>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</si>
  <si>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</si>
  <si>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</si>
  <si>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</si>
  <si>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</si>
  <si>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</si>
  <si>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</si>
  <si>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</si>
  <si>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</si>
  <si>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</si>
  <si>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</si>
  <si>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</si>
  <si>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</si>
  <si>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</si>
  <si>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</si>
  <si>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</si>
  <si>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</si>
  <si>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</si>
  <si>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</si>
  <si>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</si>
  <si>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</si>
  <si>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</si>
  <si>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</si>
  <si>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</si>
  <si>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</si>
  <si>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</si>
  <si>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</si>
  <si>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</si>
  <si>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</si>
  <si>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</si>
  <si>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</si>
  <si>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</si>
  <si>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</si>
  <si>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</si>
  <si>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</si>
  <si>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</si>
  <si>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</si>
  <si>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</si>
  <si>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</si>
  <si>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</si>
  <si>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</si>
  <si>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</si>
  <si>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</si>
  <si>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</si>
  <si>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</si>
  <si>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</si>
  <si>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</si>
  <si>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</si>
  <si>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</si>
  <si>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</si>
  <si>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</si>
  <si>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</si>
  <si>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</si>
  <si>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</si>
  <si>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</si>
  <si>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</si>
  <si>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</si>
  <si>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</si>
  <si>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</si>
  <si>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</si>
  <si>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</si>
  <si>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</si>
  <si>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</si>
  <si>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</si>
  <si>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</si>
  <si>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</si>
  <si>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</si>
  <si>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</si>
  <si>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</si>
  <si>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</si>
  <si>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</si>
  <si>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</si>
  <si>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</si>
  <si>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</si>
  <si>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</si>
  <si>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</si>
  <si>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</si>
  <si>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</si>
  <si>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</si>
  <si>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</si>
  <si>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</si>
  <si>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</si>
  <si>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</si>
  <si>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</si>
  <si>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</si>
  <si>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</si>
  <si>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</si>
  <si>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</si>
  <si>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</si>
  <si>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</si>
  <si>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</si>
  <si>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</si>
  <si>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</si>
  <si>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</si>
  <si>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</si>
  <si>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</si>
  <si>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</si>
  <si>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</si>
  <si>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</si>
  <si>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</si>
  <si>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</si>
  <si>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</si>
  <si>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</si>
  <si>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</si>
  <si>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</si>
  <si>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</si>
  <si>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</si>
  <si>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</si>
  <si>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</si>
  <si>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</si>
  <si>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</si>
  <si>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</si>
  <si>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</si>
  <si>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</si>
  <si>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</si>
  <si>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</si>
  <si>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</si>
  <si>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</si>
  <si>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</si>
  <si>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</si>
  <si>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</si>
  <si>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</si>
  <si>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</si>
  <si>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</si>
  <si>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</si>
  <si>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</si>
  <si>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</si>
  <si>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</si>
  <si>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</si>
  <si>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</si>
  <si>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</si>
  <si>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</si>
  <si>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</si>
  <si>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</si>
  <si>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</si>
  <si>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</si>
  <si>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</si>
  <si>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</si>
  <si>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</si>
  <si>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</si>
  <si>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</si>
  <si>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</si>
  <si>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</si>
  <si>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</si>
  <si>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</si>
  <si>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</si>
  <si>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</si>
  <si>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</si>
  <si>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</si>
  <si>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</si>
  <si>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</si>
  <si>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</si>
  <si>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</si>
  <si>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</si>
  <si>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</si>
  <si>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</si>
  <si>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</si>
  <si>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</si>
  <si>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</si>
  <si>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</si>
  <si>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</si>
  <si>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</si>
  <si>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</si>
  <si>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</si>
  <si>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</si>
  <si>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</si>
  <si>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</si>
  <si>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</si>
  <si>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</si>
  <si>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</si>
  <si>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</si>
  <si>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</si>
  <si>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</si>
  <si>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</si>
  <si>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</si>
  <si>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</si>
  <si>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</si>
  <si>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</si>
  <si>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</si>
  <si>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</si>
  <si>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</si>
  <si>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</si>
  <si>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</si>
  <si>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</si>
  <si>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</si>
  <si>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</si>
  <si>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</si>
  <si>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</si>
  <si>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</si>
  <si>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</si>
  <si>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</si>
  <si>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</si>
  <si>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</si>
  <si>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</si>
  <si>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</si>
  <si>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</si>
  <si>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</si>
  <si>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</si>
  <si>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</si>
  <si>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</si>
  <si>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</si>
  <si>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</si>
  <si>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</si>
  <si>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</si>
  <si>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</si>
  <si>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</si>
  <si>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</si>
  <si>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</si>
  <si>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</si>
  <si>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</si>
  <si>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</si>
  <si>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</si>
  <si>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</si>
  <si>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</si>
  <si>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</si>
  <si>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</si>
  <si>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</si>
  <si>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</si>
  <si>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</si>
  <si>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</si>
  <si>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</si>
  <si>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</si>
  <si>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</si>
  <si>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</si>
  <si>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</si>
  <si>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</si>
  <si>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</si>
  <si>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</si>
  <si>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</si>
  <si>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</si>
  <si>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</si>
  <si>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</si>
  <si>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</si>
  <si>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</si>
  <si>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</si>
  <si>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</si>
  <si>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</si>
  <si>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</si>
  <si>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</si>
  <si>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</si>
  <si>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</si>
  <si>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</si>
  <si>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</si>
  <si>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</si>
  <si>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</si>
  <si>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</si>
  <si>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</si>
  <si>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</si>
  <si>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</si>
  <si>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</si>
  <si>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</si>
  <si>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</si>
  <si>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</si>
  <si>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</si>
  <si>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</si>
  <si>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</si>
  <si>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</si>
  <si>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</si>
  <si>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</si>
  <si>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</si>
  <si>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</si>
  <si>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</si>
  <si>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</si>
  <si>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</si>
  <si>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</si>
  <si>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</si>
  <si>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</si>
  <si>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</si>
  <si>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</si>
  <si>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</si>
  <si>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</si>
  <si>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</si>
  <si>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</si>
  <si>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</si>
  <si>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</si>
  <si>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</si>
  <si>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</si>
  <si>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</si>
  <si>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</si>
  <si>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</si>
  <si>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</si>
  <si>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</si>
  <si>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</si>
  <si>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</si>
  <si>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</si>
  <si>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</si>
  <si>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</si>
  <si>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</si>
  <si>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</si>
  <si>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</si>
  <si>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</si>
  <si>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</si>
  <si>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</si>
  <si>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</si>
  <si>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</si>
  <si>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</si>
  <si>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</si>
  <si>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</si>
  <si>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</si>
  <si>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</si>
  <si>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</si>
  <si>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</si>
  <si>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</si>
  <si>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</si>
  <si>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</si>
  <si>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</si>
  <si>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</si>
  <si>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</si>
  <si>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</si>
  <si>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</si>
  <si>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</si>
  <si>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</si>
  <si>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</si>
  <si>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</si>
  <si>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</si>
  <si>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</si>
  <si>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</si>
  <si>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</si>
  <si>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</si>
  <si>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</si>
  <si>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</si>
  <si>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</si>
  <si>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</si>
  <si>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</si>
  <si>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</si>
  <si>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</si>
  <si>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</si>
  <si>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</si>
  <si>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</si>
  <si>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</si>
  <si>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</si>
  <si>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</si>
  <si>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</si>
  <si>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</si>
  <si>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</si>
  <si>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</si>
  <si>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</si>
  <si>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</si>
  <si>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</si>
  <si>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</si>
  <si>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</si>
  <si>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</si>
  <si>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</si>
  <si>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</si>
  <si>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</si>
  <si>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</si>
  <si>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</si>
  <si>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</si>
  <si>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</si>
  <si>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</si>
  <si>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</si>
  <si>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</si>
  <si>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</si>
  <si>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</si>
  <si>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</si>
  <si>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</si>
  <si>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</si>
  <si>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</si>
  <si>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</si>
  <si>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</si>
  <si>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</si>
  <si>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</si>
  <si>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</si>
  <si>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</si>
  <si>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</si>
  <si>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</si>
  <si>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</si>
  <si>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</si>
  <si>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</si>
  <si>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</si>
  <si>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</si>
  <si>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</si>
  <si>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</si>
  <si>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</si>
  <si>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</si>
  <si>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</si>
  <si>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</si>
  <si>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</si>
  <si>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</si>
  <si>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</si>
  <si>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</si>
  <si>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</si>
  <si>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</si>
  <si>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</si>
  <si>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</si>
  <si>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</si>
  <si>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</si>
  <si>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</si>
  <si>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</si>
  <si>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</si>
  <si>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</si>
  <si>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</si>
  <si>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</si>
  <si>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</si>
  <si>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</si>
  <si>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</si>
  <si>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</si>
  <si>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</si>
  <si>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</si>
  <si>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</si>
  <si>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</si>
  <si>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</si>
  <si>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</si>
  <si>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</si>
  <si>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</si>
  <si>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</si>
  <si>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</si>
  <si>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</si>
  <si>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</si>
  <si>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</si>
  <si>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</si>
  <si>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</si>
  <si>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</si>
  <si>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</si>
  <si>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</si>
  <si>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</si>
  <si>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</si>
  <si>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</si>
  <si>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</si>
  <si>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</si>
  <si>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</si>
  <si>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</si>
  <si>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</si>
  <si>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</si>
  <si>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</si>
  <si>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</si>
  <si>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</si>
  <si>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</si>
  <si>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</si>
  <si>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</si>
  <si>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</si>
  <si>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</si>
  <si>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</si>
  <si>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</si>
  <si>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</si>
  <si>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</si>
  <si>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</si>
  <si>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</si>
  <si>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</si>
  <si>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</si>
  <si>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</si>
  <si>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</si>
  <si>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</si>
  <si>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</si>
  <si>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</si>
  <si>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</si>
  <si>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</si>
  <si>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</si>
  <si>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</si>
  <si>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</si>
  <si>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</si>
  <si>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</si>
  <si>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</si>
  <si>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</si>
  <si>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</si>
  <si>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</si>
  <si>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</si>
  <si>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</si>
  <si>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</si>
  <si>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</si>
  <si>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</si>
  <si>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</si>
  <si>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</si>
  <si>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</si>
  <si>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</si>
  <si>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</si>
  <si>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</si>
  <si>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</si>
  <si>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</si>
  <si>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</si>
  <si>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</si>
  <si>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</si>
  <si>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</si>
  <si>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</si>
  <si>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</si>
  <si>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</si>
  <si>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</si>
  <si>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</si>
  <si>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</si>
  <si>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</si>
  <si>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</si>
  <si>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</si>
  <si>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</si>
  <si>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</si>
  <si>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</si>
  <si>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</si>
  <si>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</si>
  <si>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</si>
  <si>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</si>
  <si>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</si>
  <si>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</si>
  <si>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</si>
  <si>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</si>
  <si>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</si>
  <si>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</si>
  <si>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</si>
  <si>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</si>
  <si>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</si>
  <si>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</si>
  <si>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</si>
  <si>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</si>
  <si>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</si>
  <si>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</si>
  <si>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</si>
  <si>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</si>
  <si>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</si>
  <si>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</si>
  <si>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</si>
  <si>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</si>
  <si>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</si>
  <si>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</si>
  <si>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</si>
  <si>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</si>
  <si>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</si>
  <si>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</si>
  <si>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</si>
  <si>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</si>
  <si>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</si>
  <si>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</si>
  <si>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</si>
  <si>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</si>
  <si>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</si>
  <si>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</si>
  <si>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</si>
  <si>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</si>
  <si>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</si>
  <si>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</si>
  <si>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</si>
  <si>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</si>
  <si>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</si>
  <si>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</si>
  <si>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</si>
  <si>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</si>
  <si>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</si>
  <si>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</si>
  <si>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</si>
  <si>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</si>
  <si>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</si>
  <si>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</si>
  <si>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</si>
  <si>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</si>
  <si>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</si>
  <si>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</si>
  <si>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</si>
  <si>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</si>
  <si>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</si>
  <si>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</si>
  <si>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</si>
  <si>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</si>
  <si>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</si>
  <si>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</si>
  <si>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</si>
  <si>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</si>
  <si>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</si>
  <si>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</si>
  <si>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</si>
  <si>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</si>
  <si>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</si>
  <si>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</si>
  <si>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</si>
  <si>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</si>
  <si>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</si>
  <si>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</si>
  <si>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</si>
  <si>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</si>
  <si>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</si>
  <si>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</si>
  <si>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</si>
  <si>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</si>
  <si>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</si>
  <si>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</si>
  <si>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</si>
  <si>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</si>
  <si>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</si>
  <si>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</si>
  <si>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</si>
  <si>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</si>
  <si>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</si>
  <si>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</si>
  <si>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</si>
  <si>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</si>
  <si>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</si>
  <si>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</si>
  <si>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</si>
  <si>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</si>
  <si>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</si>
  <si>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</si>
  <si>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</si>
  <si>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</si>
  <si>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</si>
  <si>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</si>
  <si>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</si>
  <si>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</si>
  <si>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</si>
  <si>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</si>
  <si>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</si>
  <si>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</si>
  <si>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</si>
  <si>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</si>
  <si>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</si>
  <si>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</si>
  <si>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</si>
  <si>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</si>
  <si>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</si>
  <si>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</si>
  <si>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</si>
  <si>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</si>
  <si>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</si>
  <si>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</si>
  <si>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</si>
  <si>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</si>
  <si>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</si>
  <si>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</si>
  <si>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</si>
  <si>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</si>
  <si>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</si>
  <si>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</si>
  <si>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</si>
  <si>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</si>
  <si>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</si>
  <si>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</si>
  <si>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</si>
  <si>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</si>
  <si>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</si>
  <si>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</si>
  <si>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</si>
  <si>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</si>
  <si>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</si>
  <si>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</si>
  <si>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</si>
  <si>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</si>
  <si>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</si>
  <si>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</si>
  <si>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</si>
  <si>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</si>
  <si>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</si>
  <si>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</si>
  <si>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</si>
  <si>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</si>
  <si>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</si>
  <si>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</si>
  <si>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</si>
  <si>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</si>
  <si>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</si>
  <si>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</si>
  <si>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</si>
  <si>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</si>
  <si>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</si>
  <si>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</si>
  <si>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</si>
  <si>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</si>
  <si>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</si>
  <si>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</si>
  <si>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</si>
  <si>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</si>
  <si>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</si>
  <si>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</si>
  <si>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</si>
  <si>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</si>
  <si>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</si>
  <si>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</si>
  <si>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</si>
  <si>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</si>
  <si>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</si>
  <si>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</si>
  <si>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</si>
  <si>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</si>
  <si>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</si>
  <si>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</si>
  <si>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</si>
  <si>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</si>
  <si>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</si>
  <si>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</si>
  <si>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</si>
  <si>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</si>
  <si>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</si>
  <si>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</si>
  <si>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</si>
  <si>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</si>
  <si>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</si>
  <si>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</si>
  <si>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</si>
  <si>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</si>
  <si>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</si>
  <si>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</si>
  <si>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</si>
  <si>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</si>
  <si>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</si>
  <si>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</si>
  <si>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</si>
  <si>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</si>
  <si>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</si>
  <si>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</si>
  <si>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</si>
  <si>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</si>
  <si>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</si>
  <si>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</si>
  <si>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</si>
  <si>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</si>
  <si>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</si>
  <si>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</si>
  <si>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</si>
  <si>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</si>
  <si>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</si>
  <si>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</si>
  <si>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</si>
  <si>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</si>
  <si>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</si>
  <si>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</si>
  <si>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</si>
  <si>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</si>
  <si>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</si>
  <si>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</si>
  <si>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</si>
  <si>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</si>
  <si>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</si>
  <si>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</si>
  <si>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</si>
  <si>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</si>
  <si>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</si>
  <si>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</si>
  <si>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</si>
  <si>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</si>
  <si>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</si>
  <si>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</si>
  <si>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</si>
  <si>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</si>
  <si>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</si>
  <si>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</si>
  <si>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</si>
  <si>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</si>
  <si>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</si>
  <si>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</si>
  <si>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</si>
  <si>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</si>
  <si>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</si>
  <si>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</si>
  <si>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</si>
  <si>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</si>
  <si>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</si>
  <si>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</si>
  <si>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</si>
  <si>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</si>
  <si>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</si>
  <si>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</si>
  <si>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</si>
  <si>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</si>
  <si>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</si>
  <si>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</si>
  <si>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</si>
  <si>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</si>
  <si>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</si>
  <si>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</si>
  <si>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</si>
  <si>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</si>
  <si>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</si>
  <si>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</si>
  <si>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</si>
  <si>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</si>
  <si>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</si>
  <si>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</si>
  <si>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</si>
  <si>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</si>
  <si>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</si>
  <si>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</si>
  <si>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</si>
  <si>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</si>
  <si>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</si>
  <si>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</si>
  <si>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</si>
  <si>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</si>
  <si>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</si>
  <si>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</si>
  <si>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</si>
  <si>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</si>
  <si>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</si>
  <si>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</si>
  <si>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</si>
  <si>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</si>
  <si>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</si>
  <si>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</si>
  <si>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</si>
  <si>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</si>
  <si>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</si>
  <si>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</si>
  <si>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</si>
  <si>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</si>
  <si>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</si>
  <si>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</si>
  <si>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</si>
  <si>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</si>
  <si>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</si>
  <si>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</si>
  <si>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</si>
  <si>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</si>
  <si>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</si>
  <si>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</si>
  <si>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</si>
  <si>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</si>
  <si>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</si>
  <si>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</si>
  <si>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</si>
  <si>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</si>
  <si>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</si>
  <si>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</si>
  <si>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</si>
  <si>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</si>
  <si>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</si>
  <si>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</si>
  <si>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</si>
  <si>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</si>
  <si>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</si>
  <si>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</si>
  <si>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</si>
  <si>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</si>
  <si>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</si>
  <si>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</si>
  <si>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</si>
  <si>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</si>
  <si>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</si>
  <si>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</si>
  <si>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</si>
  <si>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</si>
  <si>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</si>
  <si>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</si>
  <si>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</si>
  <si>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</si>
  <si>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</si>
  <si>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</si>
  <si>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</si>
  <si>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</si>
  <si>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</si>
  <si>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</si>
  <si>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</si>
  <si>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</si>
  <si>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</si>
  <si>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</si>
  <si>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</si>
  <si>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</si>
  <si>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</si>
  <si>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</si>
  <si>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</si>
  <si>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</si>
  <si>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</si>
  <si>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</si>
  <si>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</si>
  <si>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</si>
  <si>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</si>
  <si>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</si>
  <si>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</si>
  <si>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</si>
  <si>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</si>
  <si>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</si>
  <si>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</si>
  <si>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</si>
  <si>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</si>
  <si>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</si>
  <si>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</si>
  <si>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</si>
  <si>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</si>
  <si>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</si>
  <si>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</si>
  <si>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</si>
  <si>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</si>
  <si>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</si>
  <si>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</si>
  <si>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</si>
  <si>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</si>
  <si>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</si>
  <si>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</si>
  <si>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</si>
  <si>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</si>
  <si>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</si>
  <si>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</si>
  <si>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</si>
  <si>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</si>
  <si>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</si>
  <si>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</si>
  <si>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</si>
  <si>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</si>
  <si>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</si>
  <si>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</si>
  <si>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</si>
  <si>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</si>
  <si>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</si>
  <si>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</si>
  <si>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</si>
  <si>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</si>
  <si>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</si>
  <si>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</si>
  <si>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</si>
  <si>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</si>
  <si>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</si>
  <si>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</si>
  <si>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</si>
  <si>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</si>
  <si>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</si>
  <si>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</si>
  <si>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</si>
  <si>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</si>
  <si>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</si>
  <si>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</si>
  <si>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</si>
  <si>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</si>
  <si>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</si>
  <si>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</si>
  <si>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</si>
  <si>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</si>
  <si>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</si>
  <si>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</si>
  <si>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</si>
  <si>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</si>
  <si>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</si>
  <si>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</si>
  <si>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</si>
  <si>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</si>
  <si>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</si>
  <si>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</si>
  <si>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</si>
  <si>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</si>
  <si>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</si>
  <si>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</si>
  <si>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</si>
  <si>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</si>
  <si>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</si>
  <si>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</si>
  <si>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</si>
  <si>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</si>
  <si>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</si>
  <si>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</si>
  <si>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</si>
  <si>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</si>
  <si>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</si>
  <si>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</si>
  <si>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</si>
  <si>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</si>
  <si>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</si>
  <si>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</si>
  <si>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</si>
  <si>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</si>
  <si>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</si>
  <si>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</si>
  <si>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</si>
  <si>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</si>
  <si>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</si>
  <si>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</si>
  <si>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</si>
  <si>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</si>
  <si>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</si>
  <si>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</si>
  <si>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</si>
  <si>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</si>
  <si>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</si>
  <si>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</si>
  <si>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</si>
  <si>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</si>
  <si>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</si>
  <si>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</si>
  <si>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</si>
  <si>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</si>
  <si>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</si>
  <si>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</si>
  <si>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</si>
  <si>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</si>
  <si>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</si>
  <si>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</si>
  <si>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</si>
  <si>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</si>
  <si>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</si>
  <si>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</si>
  <si>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</si>
  <si>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</si>
  <si>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</si>
  <si>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</si>
  <si>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</si>
  <si>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</si>
  <si>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</si>
  <si>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</si>
  <si>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</si>
  <si>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</si>
  <si>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</si>
  <si>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</si>
  <si>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</si>
  <si>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</si>
  <si>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</si>
  <si>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</si>
  <si>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</si>
  <si>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</si>
  <si>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</si>
  <si>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</si>
  <si>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</si>
  <si>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</si>
  <si>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</si>
  <si>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</si>
  <si>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</si>
  <si>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</si>
  <si>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</si>
  <si>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НС с сетями</t>
  </si>
  <si>
    <t>г Гурьевск</t>
  </si>
  <si>
    <t>32502000001</t>
  </si>
  <si>
    <t>км. Трасса Гурьевск-Малая Салаирка 5</t>
  </si>
  <si>
    <t>195.0000000000</t>
  </si>
  <si>
    <t>87.5000000000</t>
  </si>
  <si>
    <t>1 подъёма</t>
  </si>
  <si>
    <t>питьевая</t>
  </si>
  <si>
    <t>60.0000000000</t>
  </si>
  <si>
    <t>16.01.1969</t>
  </si>
  <si>
    <t>магистральная и разводящая</t>
  </si>
  <si>
    <t>59.6920000000</t>
  </si>
  <si>
    <t>50.5920000000</t>
  </si>
  <si>
    <t>9.1000000000</t>
  </si>
  <si>
    <t>0.0000000000</t>
  </si>
  <si>
    <t>эксплуатируется</t>
  </si>
  <si>
    <t>муниципальное имущество</t>
  </si>
  <si>
    <t>https://portal.eias.ru/Portal/DownloadPage.aspx?type=12&amp;guid=2697684b-4927-443b-886a-f7656fa62df3</t>
  </si>
  <si>
    <t>ул.Р.Люксембург</t>
  </si>
  <si>
    <t>64</t>
  </si>
  <si>
    <t>75.0000000000</t>
  </si>
  <si>
    <t>58.3000000000</t>
  </si>
  <si>
    <t>2 подъёма</t>
  </si>
  <si>
    <t>70.0000000000</t>
  </si>
  <si>
    <t>17.02.1970</t>
  </si>
  <si>
    <t>39.5500000000</t>
  </si>
  <si>
    <t>ул.Энгельса</t>
  </si>
  <si>
    <t>171</t>
  </si>
  <si>
    <t>25.0000000000</t>
  </si>
  <si>
    <t>9.4000000000</t>
  </si>
  <si>
    <t>30.0000000000</t>
  </si>
  <si>
    <t>02.06.2004</t>
  </si>
  <si>
    <t>8.5100000000</t>
  </si>
  <si>
    <t>пер.Лесной</t>
  </si>
  <si>
    <t>2б</t>
  </si>
  <si>
    <t>16.0000000000</t>
  </si>
  <si>
    <t>5.0000000000</t>
  </si>
  <si>
    <t>01.01.1970</t>
  </si>
  <si>
    <t>9.8000000000</t>
  </si>
  <si>
    <t>https://portal.eias.ru/Portal/DownloadPage.aspx?type=12&amp;guid=f9648fc7-50ac-4e88-8bf6-540346a6f358</t>
  </si>
  <si>
    <t>sce:REESTR.VOTV.SOURCE.2025</t>
  </si>
  <si>
    <t>ОС</t>
  </si>
  <si>
    <t>ул.Вокзальная</t>
  </si>
  <si>
    <t>211.0800000000</t>
  </si>
  <si>
    <t>208.0000000000</t>
  </si>
  <si>
    <t>4202049045.0</t>
  </si>
  <si>
    <t>32502000.0</t>
  </si>
  <si>
    <t>32502000001.0</t>
  </si>
  <si>
    <t>https://portal.eias.ru/Portal/DownloadPage.aspx?type=12&amp;guid=306d73ba-152a-47e1-ac85-2f47796f7f4d</t>
  </si>
  <si>
    <t>КНС с сетями</t>
  </si>
  <si>
    <t>ул.Кирова</t>
  </si>
  <si>
    <t>36а</t>
  </si>
  <si>
    <t>500.0000000000</t>
  </si>
  <si>
    <t>178.0000000000</t>
  </si>
  <si>
    <t>низковольтная КНС</t>
  </si>
  <si>
    <t>29.01.1969</t>
  </si>
  <si>
    <t>самотечная и напорная</t>
  </si>
  <si>
    <t>ул.Есенина</t>
  </si>
  <si>
    <t>б/н</t>
  </si>
  <si>
    <t>50.0000000000</t>
  </si>
  <si>
    <t>35.0000000000</t>
  </si>
  <si>
    <t>65.0000000000</t>
  </si>
  <si>
    <t>01.01.2001</t>
  </si>
  <si>
    <t>ул.Ленина</t>
  </si>
  <si>
    <t>54а</t>
  </si>
  <si>
    <t>85.0000000000</t>
  </si>
  <si>
    <t>20.07.1950</t>
  </si>
  <si>
    <t>70б</t>
  </si>
  <si>
    <t>130.0000000000</t>
  </si>
  <si>
    <t>15.0000000000</t>
  </si>
  <si>
    <t>12.03.1963</t>
  </si>
  <si>
    <t>102а</t>
  </si>
  <si>
    <t>380.0000000000</t>
  </si>
  <si>
    <t>180.0000000000</t>
  </si>
  <si>
    <t>29.09.1950</t>
  </si>
  <si>
    <t>1180.0000000000</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</si>
  <si>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</si>
  <si>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</si>
  <si>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</si>
  <si>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</si>
  <si>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</si>
  <si>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</si>
  <si>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</si>
  <si>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</si>
  <si>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</si>
  <si>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</si>
  <si>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</si>
  <si>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</si>
  <si>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</si>
  <si>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</si>
  <si>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</si>
  <si>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</si>
  <si>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</si>
  <si>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</si>
  <si>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</si>
  <si>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</si>
  <si>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</si>
  <si>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</si>
  <si>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2025</t>
  </si>
  <si>
    <t>№ 2950</t>
  </si>
  <si>
    <t>2024-04-25</t>
  </si>
  <si>
    <t>№ 6897 от 11.10.2024, № 7449 от 02.11.2024, от 20.12.2024 № 8667</t>
  </si>
  <si>
    <t>2024</t>
  </si>
  <si>
    <t>5.0</t>
  </si>
  <si>
    <t>Принят</t>
  </si>
  <si>
    <t>39.61</t>
  </si>
  <si>
    <t>44.96</t>
  </si>
  <si>
    <t>37.10</t>
  </si>
  <si>
    <t>40.92</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</si>
  <si>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</si>
  <si>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</si>
  <si>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</si>
  <si>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</si>
  <si>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</si>
  <si>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</si>
  <si>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</si>
  <si>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</si>
  <si>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</si>
  <si>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</si>
  <si>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</si>
  <si>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</si>
  <si>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</si>
  <si>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</si>
  <si>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</si>
  <si>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</si>
  <si>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</si>
  <si>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</si>
  <si>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</si>
  <si>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</si>
  <si>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</si>
  <si>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</si>
  <si>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</si>
  <si>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</si>
  <si>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</si>
  <si>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</si>
  <si>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</si>
  <si>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</si>
  <si>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</si>
  <si>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</si>
  <si>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</si>
  <si>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</si>
  <si>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</si>
  <si>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</si>
  <si>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</si>
  <si>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</si>
  <si>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</si>
  <si>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</si>
  <si>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</si>
  <si>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</si>
  <si>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</si>
  <si>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</si>
  <si>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</si>
  <si>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</si>
  <si>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</si>
  <si>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</si>
  <si>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</si>
  <si>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</si>
  <si>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</si>
  <si>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</si>
  <si>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</si>
  <si>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</si>
  <si>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</si>
  <si>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</si>
  <si>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</si>
  <si>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</si>
  <si>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</si>
  <si>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</si>
  <si>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</si>
  <si>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</si>
  <si>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</si>
  <si>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</si>
  <si>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</si>
  <si>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</si>
  <si>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</si>
  <si>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</si>
  <si>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</si>
  <si>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</si>
  <si>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</si>
  <si>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</si>
  <si>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</si>
  <si>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</si>
  <si>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</si>
  <si>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</si>
  <si>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</si>
  <si>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</si>
  <si>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</si>
  <si>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</si>
  <si>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</si>
  <si>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</si>
  <si>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</si>
  <si>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</si>
  <si>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</si>
  <si>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</si>
  <si>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</si>
  <si>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</si>
  <si>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</si>
  <si>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</si>
  <si>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</si>
  <si>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</si>
  <si>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</si>
  <si>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</si>
  <si>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</si>
  <si>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</si>
  <si>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</si>
  <si>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</si>
  <si>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</si>
  <si>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</si>
  <si>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</si>
  <si>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</si>
  <si>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</si>
  <si>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</si>
  <si>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</si>
  <si>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</si>
  <si>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</si>
  <si>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</si>
  <si>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</si>
  <si>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</si>
  <si>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</si>
  <si>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</si>
  <si>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</si>
  <si>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</si>
  <si>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</si>
  <si>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</si>
  <si>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</si>
  <si>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</si>
  <si>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</si>
  <si>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</si>
  <si>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</si>
  <si>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</si>
  <si>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</si>
  <si>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</si>
  <si>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</si>
  <si>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</si>
  <si>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</si>
  <si>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</si>
  <si>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</si>
  <si>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</si>
  <si>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</si>
  <si>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</si>
  <si>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</si>
  <si>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</si>
  <si>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</si>
  <si>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</si>
  <si>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</si>
  <si>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</si>
  <si>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</si>
  <si>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</si>
  <si>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</si>
  <si>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</si>
  <si>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</si>
  <si>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</si>
  <si>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</si>
  <si>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</si>
  <si>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</si>
  <si>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</si>
  <si>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</si>
  <si>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</si>
  <si>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</si>
  <si>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</si>
  <si>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</si>
  <si>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</si>
  <si>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</si>
  <si>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</si>
  <si>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</si>
  <si>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</si>
  <si>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</si>
  <si>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</si>
  <si>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</si>
  <si>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</si>
  <si>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</si>
  <si>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</si>
  <si>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</si>
  <si>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</si>
  <si>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</si>
  <si>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</si>
  <si>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</si>
  <si>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</si>
  <si>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</si>
  <si>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</si>
  <si>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</si>
  <si>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</si>
  <si>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</si>
  <si>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</si>
  <si>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</si>
  <si>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</si>
  <si>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</si>
  <si>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</si>
  <si>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</si>
  <si>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</si>
  <si>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</si>
  <si>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</si>
  <si>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</si>
  <si>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</si>
  <si>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</si>
  <si>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</si>
  <si>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</si>
  <si>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</si>
  <si>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</si>
  <si>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</si>
  <si>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</si>
  <si>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</si>
  <si>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</si>
  <si>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</si>
  <si>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</si>
  <si>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</si>
  <si>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</si>
  <si>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</si>
  <si>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</si>
  <si>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</si>
  <si>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</si>
  <si>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</si>
  <si>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</si>
  <si>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</si>
  <si>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</si>
  <si>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</si>
  <si>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</si>
  <si>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</si>
  <si>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</si>
  <si>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</si>
  <si>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</si>
  <si>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</si>
  <si>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</si>
  <si>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</si>
  <si>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</si>
  <si>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</si>
  <si>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</si>
  <si>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</si>
  <si>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</si>
  <si>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</si>
  <si>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</si>
  <si>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</si>
  <si>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</si>
  <si>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</si>
  <si>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</si>
  <si>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</si>
  <si>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</si>
  <si>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</si>
  <si>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</si>
  <si>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</si>
  <si>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</si>
  <si>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</si>
  <si>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</si>
  <si>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</si>
  <si>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</si>
  <si>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</si>
  <si>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</si>
  <si>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</si>
  <si>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</si>
  <si>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</si>
  <si>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</si>
  <si>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</si>
  <si>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</si>
  <si>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</si>
  <si>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</si>
  <si>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</si>
  <si>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</si>
  <si>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</si>
  <si>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</si>
  <si>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</si>
  <si>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</si>
  <si>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</si>
  <si>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</si>
  <si>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</si>
  <si>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</si>
  <si>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</si>
  <si>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</si>
  <si>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</si>
  <si>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</si>
  <si>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</si>
  <si>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</si>
  <si>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</si>
  <si>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</si>
  <si>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</si>
  <si>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</si>
  <si>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</si>
  <si>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</si>
  <si>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</si>
  <si>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</si>
  <si>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</si>
  <si>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</si>
  <si>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</si>
  <si>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</si>
  <si>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</si>
  <si>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</si>
  <si>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</si>
  <si>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</si>
  <si>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</si>
  <si>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</si>
  <si>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</si>
  <si>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</si>
  <si>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</si>
  <si>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</si>
  <si>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</si>
  <si>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</si>
  <si>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</si>
  <si>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</si>
  <si>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</si>
  <si>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</si>
  <si>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</si>
  <si>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</si>
  <si>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</si>
  <si>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</si>
  <si>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</si>
  <si>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</si>
  <si>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</si>
  <si>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</si>
  <si>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</si>
  <si>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</si>
  <si>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</si>
  <si>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</si>
  <si>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</si>
  <si>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</si>
  <si>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</si>
  <si>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</si>
  <si>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</si>
  <si>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</si>
  <si>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</si>
  <si>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</si>
  <si>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</si>
  <si>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</si>
  <si>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</si>
  <si>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</si>
  <si>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</si>
  <si>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</si>
  <si>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</si>
  <si>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</si>
  <si>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</si>
  <si>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</si>
  <si>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</si>
  <si>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</si>
  <si>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</si>
  <si>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</si>
  <si>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</si>
  <si>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</si>
  <si>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</si>
  <si>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</si>
  <si>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</si>
  <si>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</si>
  <si>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</si>
  <si>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</si>
  <si>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</si>
  <si>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</si>
  <si>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</si>
  <si>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</si>
  <si>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</si>
  <si>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</si>
  <si>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</si>
  <si>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</si>
  <si>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</si>
  <si>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</si>
  <si>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</si>
  <si>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</si>
  <si>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</si>
  <si>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</si>
  <si>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</si>
  <si>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</si>
  <si>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</si>
  <si>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</si>
  <si>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</si>
  <si>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</si>
  <si>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</si>
  <si>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</si>
  <si>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</si>
  <si>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</si>
  <si>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</si>
  <si>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</si>
  <si>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</si>
  <si>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</si>
  <si>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</si>
  <si>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</si>
  <si>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</si>
  <si>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</si>
  <si>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</si>
  <si>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</si>
  <si>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</si>
  <si>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</si>
  <si>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</si>
  <si>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</si>
  <si>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</si>
  <si>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</si>
  <si>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</si>
  <si>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</si>
  <si>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</si>
  <si>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</si>
  <si>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</si>
  <si>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</si>
  <si>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</si>
  <si>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</si>
  <si>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</si>
  <si>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</si>
  <si>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</si>
  <si>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</si>
  <si>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</si>
  <si>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</si>
  <si>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</si>
  <si>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</si>
  <si>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</si>
  <si>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</si>
  <si>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</si>
  <si>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</si>
  <si>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</si>
  <si>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</si>
  <si>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</si>
  <si>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</si>
  <si>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</si>
  <si>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</si>
  <si>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</si>
  <si>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</si>
  <si>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</si>
  <si>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</si>
  <si>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</si>
  <si>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</si>
  <si>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</si>
  <si>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</si>
  <si>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</si>
  <si>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</si>
  <si>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</si>
  <si>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</si>
  <si>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</si>
  <si>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</si>
  <si>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</si>
  <si>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</si>
  <si>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</si>
  <si>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</si>
  <si>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</si>
  <si>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</si>
  <si>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</si>
  <si>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</si>
  <si>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</si>
  <si>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</si>
  <si>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</si>
  <si>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</si>
  <si>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</si>
  <si>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</si>
  <si>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</si>
  <si>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</si>
  <si>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</si>
  <si>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</si>
  <si>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</si>
  <si>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</si>
  <si>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</si>
  <si>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</si>
  <si>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</si>
  <si>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</si>
  <si>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</si>
  <si>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</si>
  <si>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</si>
  <si>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</si>
  <si>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</si>
  <si>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</si>
  <si>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</si>
  <si>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</si>
  <si>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</si>
  <si>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</si>
  <si>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</si>
  <si>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</si>
  <si>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</si>
  <si>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</si>
  <si>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</si>
  <si>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</si>
  <si>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</si>
  <si>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</si>
  <si>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</si>
  <si>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</si>
  <si>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</si>
  <si>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</si>
  <si>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</si>
  <si>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</si>
  <si>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</si>
  <si>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</si>
  <si>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</si>
  <si>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</si>
  <si>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</si>
  <si>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</si>
  <si>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</si>
  <si>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</si>
  <si>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</si>
  <si>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</si>
  <si>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</si>
  <si>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</si>
  <si>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</si>
  <si>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</si>
  <si>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</si>
  <si>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</si>
  <si>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</si>
  <si>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</si>
  <si>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</si>
  <si>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</si>
  <si>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</si>
  <si>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</si>
  <si>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</si>
  <si>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</si>
  <si>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</si>
  <si>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</si>
  <si>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</si>
  <si>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</si>
  <si>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</si>
  <si>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</si>
  <si>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</si>
  <si>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</si>
  <si>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</si>
  <si>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</si>
  <si>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</si>
  <si>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</si>
  <si>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</si>
  <si>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</si>
  <si>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</si>
  <si>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</si>
  <si>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</si>
  <si>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</si>
  <si>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</si>
  <si>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</si>
  <si>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</si>
  <si>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</si>
  <si>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</si>
  <si>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</si>
  <si>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</si>
  <si>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</si>
  <si>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</si>
  <si>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</si>
  <si>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</si>
  <si>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</si>
  <si>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</si>
  <si>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</si>
  <si>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</si>
  <si>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</si>
  <si>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</si>
  <si>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</si>
  <si>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</si>
  <si>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</si>
  <si>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</si>
  <si>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</si>
  <si>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</si>
  <si>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</si>
  <si>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</si>
  <si>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</si>
  <si>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</si>
  <si>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</si>
  <si>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</si>
  <si>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</si>
  <si>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</si>
  <si>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</si>
  <si>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</si>
  <si>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</si>
  <si>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</si>
  <si>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</si>
  <si>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</si>
  <si>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</si>
  <si>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</si>
  <si>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</si>
  <si>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</si>
  <si>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</si>
  <si>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</si>
  <si>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</si>
  <si>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</si>
  <si>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</si>
  <si>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</si>
  <si>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</si>
  <si>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</si>
  <si>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</si>
  <si>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</si>
  <si>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</si>
  <si>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</si>
  <si>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</si>
  <si>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</si>
  <si>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</si>
  <si>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</si>
  <si>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</si>
  <si>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</si>
  <si>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</si>
  <si>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</si>
  <si>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</si>
  <si>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</si>
  <si>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</si>
  <si>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</si>
  <si>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</si>
  <si>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</si>
  <si>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</si>
  <si>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</si>
  <si>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</si>
  <si>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</si>
  <si>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</si>
  <si>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</si>
  <si>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</si>
  <si>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</si>
  <si>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</si>
  <si>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</si>
  <si>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</si>
  <si>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</si>
  <si>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</si>
  <si>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</si>
  <si>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</si>
  <si>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</si>
  <si>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</si>
  <si>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</si>
  <si>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</si>
  <si>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</si>
  <si>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</si>
  <si>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</si>
  <si>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</si>
  <si>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</si>
  <si>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</si>
  <si>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</si>
  <si>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</si>
  <si>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</si>
  <si>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</si>
  <si>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</si>
  <si>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</si>
  <si>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</si>
  <si>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</si>
  <si>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</si>
  <si>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</si>
  <si>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</si>
  <si>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</si>
  <si>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</si>
  <si>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</si>
  <si>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</si>
  <si>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</si>
  <si>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</si>
  <si>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</si>
  <si>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</si>
  <si>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</si>
  <si>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</si>
  <si>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</si>
  <si>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</si>
  <si>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</si>
  <si>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</si>
  <si>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</si>
  <si>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</si>
  <si>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</si>
  <si>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</si>
  <si>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</si>
  <si>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</si>
  <si>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</si>
  <si>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</si>
  <si>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</si>
  <si>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</si>
  <si>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</si>
  <si>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</si>
  <si>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</si>
  <si>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</si>
  <si>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</si>
  <si>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</si>
  <si>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</si>
  <si>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</si>
  <si>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</si>
  <si>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</si>
  <si>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</si>
  <si>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</si>
  <si>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</si>
  <si>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</si>
  <si>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</si>
  <si>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</si>
  <si>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</si>
  <si>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</si>
  <si>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</si>
  <si>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</si>
  <si>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</si>
  <si>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</si>
  <si>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</si>
  <si>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</si>
  <si>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</si>
  <si>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</si>
  <si>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</si>
  <si>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</si>
  <si>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</si>
  <si>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</si>
  <si>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</si>
  <si>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</si>
  <si>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</si>
  <si>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</si>
  <si>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</si>
  <si>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</si>
  <si>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</si>
  <si>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</si>
  <si>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</si>
  <si>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</si>
  <si>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</si>
  <si>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</si>
  <si>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</si>
  <si>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</si>
  <si>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</si>
  <si>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</si>
  <si>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</si>
  <si>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</si>
  <si>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</si>
  <si>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</si>
  <si>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</si>
  <si>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</si>
  <si>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</si>
  <si>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</si>
  <si>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</si>
  <si>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</si>
  <si>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</si>
  <si>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</si>
  <si>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</si>
  <si>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</si>
  <si>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</si>
  <si>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</si>
  <si>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</si>
  <si>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</si>
  <si>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</si>
  <si>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</si>
  <si>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</si>
  <si>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</si>
  <si>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</si>
  <si>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</si>
  <si>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</si>
  <si>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</si>
  <si>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</si>
  <si>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</si>
  <si>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</si>
  <si>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</si>
  <si>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</si>
  <si>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</si>
  <si>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</si>
  <si>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</si>
  <si>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</si>
  <si>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</si>
  <si>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</si>
  <si>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</si>
  <si>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</si>
  <si>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</si>
  <si>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</si>
  <si>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</si>
  <si>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</si>
  <si>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</si>
  <si>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</si>
  <si>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</si>
  <si>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</si>
  <si>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</si>
  <si>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</si>
  <si>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</si>
  <si>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</si>
  <si>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</si>
  <si>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</si>
  <si>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</si>
  <si>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</si>
  <si>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</si>
  <si>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</si>
  <si>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</si>
  <si>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</si>
  <si>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</si>
  <si>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</si>
  <si>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</si>
  <si>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</si>
  <si>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</si>
  <si>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</si>
  <si>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</si>
  <si>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</si>
  <si>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</si>
  <si>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</si>
  <si>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</si>
  <si>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</si>
  <si>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</si>
  <si>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</si>
  <si>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</si>
  <si>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</si>
  <si>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</si>
  <si>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</si>
  <si>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</si>
  <si>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</si>
  <si>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</si>
  <si>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</si>
  <si>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</si>
  <si>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</si>
  <si>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</si>
  <si>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</si>
  <si>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</si>
  <si>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</si>
  <si>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</si>
  <si>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</si>
  <si>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</si>
  <si>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</si>
  <si>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</si>
  <si>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</si>
  <si>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</si>
  <si>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</si>
  <si>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</si>
  <si>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</si>
  <si>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</si>
  <si>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</si>
  <si>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</si>
  <si>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</si>
  <si>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</si>
  <si>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</si>
  <si>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</si>
  <si>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</si>
  <si>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</si>
  <si>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</si>
  <si>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</si>
  <si>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</si>
  <si>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</si>
  <si>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</si>
  <si>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</si>
  <si>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</si>
  <si>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</si>
  <si>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</si>
  <si>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</si>
  <si>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</si>
  <si>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</si>
  <si>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</si>
  <si>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</si>
  <si>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</si>
  <si>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</si>
  <si>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</si>
  <si>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</si>
  <si>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</si>
  <si>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</si>
  <si>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</si>
  <si>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</si>
  <si>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</si>
  <si>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</si>
  <si>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</si>
  <si>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</si>
  <si>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</si>
  <si>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</si>
  <si>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</si>
  <si>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</si>
  <si>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</si>
  <si>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</si>
  <si>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</si>
  <si>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</si>
  <si>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</si>
  <si>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</si>
  <si>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</si>
  <si>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</si>
  <si>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</si>
  <si>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</si>
  <si>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Также, строка статьи "Расчетная предпринимательская прибыль" после обновления скрыта, так как "Наличие статуса гарантирующей организации (ГО)" указано значение "нет".</t>
  </si>
  <si>
    <t>Специалистом РЭК Кузбасса в техническую поддержку ФГИС ТАРИФ была направлена заявка TARIF-11792 на исправление ошибки "Наличие статуса гарантирующей организации (ГО)" , на текущий момент данная проблема не устранена.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</si>
</sst>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0.000"/>
    <numFmt numFmtId="166" formatCode="0.000%"/>
    <numFmt numFmtId="167" formatCode="dd\.mm\.yyyy"/>
    <numFmt numFmtId="168" formatCode="0.0"/>
    <numFmt numFmtId="169" formatCode="#,##0.00000"/>
  </numFmts>
  <fonts count="81">
    <font>
      <sz val="9"/>
      <color rgb="FF000000"/>
      <name val="Tahoma"/>
    </font>
    <font>
      <sz val="11"/>
      <color theme="1"/>
      <name val="Calibri"/>
      <scheme val="minor"/>
    </font>
    <font>
      <b/>
      <sz val="11"/>
      <color theme="1"/>
      <name val="Calibri"/>
      <scheme val="minor"/>
    </font>
    <font>
      <sz val="9"/>
      <name val="Tahoma"/>
    </font>
    <font>
      <sz val="10"/>
      <name val="Arial Cyr"/>
    </font>
    <font>
      <sz val="14"/>
      <color rgb="FFBCBCBC"/>
      <name val="Calibri"/>
    </font>
    <font>
      <sz val="11"/>
      <name val="Calibri"/>
    </font>
    <font>
      <sz val="14"/>
      <color rgb="FFC0C0C0"/>
      <name val="Calibri"/>
      <scheme val="minor"/>
    </font>
    <font>
      <b/>
      <sz val="9"/>
      <name val="Tahoma"/>
    </font>
    <font>
      <sz val="9"/>
      <color theme="1"/>
      <name val="Tahoma"/>
    </font>
    <font>
      <b/>
      <sz val="8"/>
      <name val="Tahoma"/>
    </font>
    <font>
      <sz val="8"/>
      <name val="Tahoma"/>
    </font>
    <font>
      <sz val="9"/>
      <color rgb="FFFFFFFF"/>
      <name val="Tahoma"/>
    </font>
    <font>
      <b/>
      <sz val="10"/>
      <name val="Tahoma"/>
    </font>
    <font>
      <sz val="8"/>
      <color rgb="FF0070C0"/>
      <name val="Tahoma"/>
    </font>
    <font>
      <sz val="10"/>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4999847407452621"/>
      <name val="Tahoma"/>
    </font>
    <font>
      <b/>
      <sz val="9"/>
      <color theme="0"/>
      <name val="Tahoma"/>
    </font>
    <font>
      <u/>
      <sz val="10"/>
      <color rgb="FF000080"/>
      <name val="Tahoma"/>
    </font>
    <font>
      <sz val="12"/>
      <color theme="1"/>
      <name val="Tahoma"/>
    </font>
    <font>
      <sz val="16"/>
      <name val="Tahoma"/>
    </font>
    <font>
      <b/>
      <sz val="16"/>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name val="Tahoma"/>
    </font>
    <font>
      <sz val="20"/>
      <name val="Tahoma"/>
    </font>
    <font>
      <sz val="12"/>
      <name val="Tahoma"/>
    </font>
    <font>
      <sz val="18"/>
      <name val="Tahoma"/>
    </font>
    <font>
      <b/>
      <sz val="9"/>
      <color rgb="FFFF0000"/>
      <name val="Tahoma"/>
    </font>
    <font>
      <sz val="8"/>
      <color rgb="FFFF0000"/>
      <name val="Tahoma"/>
    </font>
    <font>
      <sz val="14"/>
      <color theme="0" tint="-0.14999847407452621"/>
      <name val="Calibri"/>
      <scheme val="minor"/>
    </font>
    <font>
      <sz val="16"/>
      <color theme="0"/>
      <name val="Tahoma"/>
    </font>
    <font>
      <sz val="8"/>
      <color theme="0"/>
      <name val="Tahoma"/>
    </font>
    <font>
      <sz val="1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name val="Calibri"/>
      <scheme val="minor"/>
    </font>
    <font>
      <sz val="11"/>
      <name val="Tahoma"/>
    </font>
    <font>
      <u/>
      <sz val="10"/>
      <color rgb="FF0000FF"/>
      <name val="Tahoma"/>
    </font>
    <font>
      <u/>
      <sz val="9"/>
      <color theme="10"/>
      <name val="Tahoma"/>
    </font>
    <font>
      <b/>
      <sz val="11"/>
      <color rgb="FF000000"/>
      <name val="Calibri"/>
      <scheme val="minor"/>
    </font>
    <font>
      <b/>
      <sz val="9"/>
      <color rgb="FFFFFFFF"/>
      <name val="Tahoma"/>
    </font>
    <font>
      <b/>
      <i/>
      <sz val="16"/>
      <name val="Calibri"/>
    </font>
    <font>
      <sz val="14"/>
      <name val="Calibri"/>
    </font>
    <font>
      <b/>
      <i/>
      <sz val="14"/>
      <name val="Calibri"/>
    </font>
    <font>
      <b/>
      <u/>
      <sz val="9"/>
      <color rgb="FFFF0000"/>
      <name val="Tahoma"/>
      <family val="2"/>
      <charset val="204"/>
    </font>
    <font>
      <sz val="9"/>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D7EAD3"/>
      </patternFill>
    </fill>
    <fill>
      <patternFill patternType="solid">
        <fgColor rgb="FFFFFFFF"/>
      </patternFill>
    </fill>
    <fill>
      <patternFill patternType="solid">
        <fgColor theme="0"/>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4999847407452621"/>
        <bgColor indexed="65"/>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CCC0DA"/>
      </patternFill>
    </fill>
    <fill>
      <patternFill patternType="solid">
        <fgColor rgb="FFF79646"/>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6">
    <border>
      <left/>
      <right/>
      <top/>
      <bottom/>
      <diagonal/>
    </border>
    <border>
      <left/>
      <right style="thin">
        <color theme="0" tint="-0.249977111117893"/>
      </right>
      <top/>
      <bottom/>
      <diagonal/>
    </border>
    <border>
      <left style="thin">
        <color rgb="FFBCBCBC"/>
      </left>
      <right style="thin">
        <color rgb="FFBCBCBC"/>
      </right>
      <top/>
      <bottom style="thin">
        <color rgb="FFBCBCBC"/>
      </bottom>
      <diagonal/>
    </border>
    <border>
      <left/>
      <right style="thin">
        <color rgb="FFC0C0C0"/>
      </right>
      <top/>
      <bottom/>
      <diagonal/>
    </border>
    <border>
      <left style="thin">
        <color rgb="FFC0C0C0"/>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theme="0" tint="-0.249977111117893"/>
      </left>
      <right style="thin">
        <color theme="0" tint="-0.249977111117893"/>
      </right>
      <top style="thin">
        <color theme="0" tint="-0.249977111117893"/>
      </top>
      <bottom/>
      <diagonal/>
    </border>
    <border>
      <left style="thin">
        <color rgb="FFC0C0C0"/>
      </left>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top style="thin">
        <color rgb="FFC0C0C0"/>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right/>
      <top style="thin">
        <color rgb="FFBCBCBC"/>
      </top>
      <bottom style="thin">
        <color rgb="FFBCBCBC"/>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theme="0" tint="-0.249977111117893"/>
      </top>
      <bottom style="thin">
        <color theme="0" tint="-0.249977111117893"/>
      </bottom>
      <diagonal/>
    </border>
    <border>
      <left/>
      <right/>
      <top style="thin">
        <color rgb="FFBCBCBC"/>
      </top>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top/>
      <bottom style="thin">
        <color theme="0" tint="-0.249977111117893"/>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BCBCBC"/>
      </bottom>
      <diagonal/>
    </border>
    <border>
      <left style="thin">
        <color rgb="FFBCBCBC"/>
      </left>
      <right/>
      <top/>
      <bottom style="thin">
        <color rgb="FFBCBCBC"/>
      </bottom>
      <diagonal/>
    </border>
    <border>
      <left/>
      <right/>
      <top/>
      <bottom style="thin">
        <color rgb="FFBCBCBC"/>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style="thin">
        <color theme="0" tint="-0.249977111117893"/>
      </left>
      <right style="thin">
        <color theme="0" tint="-0.249977111117893"/>
      </right>
      <top/>
      <bottom style="thin">
        <color theme="0" tint="-0.249977111117893"/>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style="thin">
        <color theme="0" tint="-0.34998626667073579"/>
      </left>
      <right/>
      <top style="thin">
        <color rgb="FFBCBCBC"/>
      </top>
      <bottom style="thin">
        <color rgb="FFBCBCBC"/>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dashed">
        <color rgb="FF000000"/>
      </left>
      <right style="dashed">
        <color rgb="FF000000"/>
      </right>
      <top style="dashed">
        <color rgb="FF000000"/>
      </top>
      <bottom style="dashed">
        <color rgb="FF000000"/>
      </bottom>
      <diagonal/>
    </border>
    <border>
      <left/>
      <right style="dashed">
        <color rgb="FF000000"/>
      </right>
      <top style="dashed">
        <color rgb="FF000000"/>
      </top>
      <bottom style="dashed">
        <color rgb="FF000000"/>
      </bottom>
      <diagonal/>
    </border>
    <border>
      <left style="dashed">
        <color rgb="FF000000"/>
      </left>
      <right style="dashed">
        <color rgb="FF000000"/>
      </right>
      <top/>
      <bottom style="dashed">
        <color rgb="FF000000"/>
      </bottom>
      <diagonal/>
    </border>
    <border>
      <left/>
      <right style="dashed">
        <color rgb="FF000000"/>
      </right>
      <top/>
      <bottom style="dashed">
        <color rgb="FF000000"/>
      </bottom>
      <diagonal/>
    </border>
  </borders>
  <cellStyleXfs count="28">
    <xf numFmtId="49" fontId="0" fillId="0" borderId="0" applyFill="0" applyBorder="0">
      <alignment vertical="top"/>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5" fillId="0" borderId="1" applyFill="0">
      <alignment horizontal="center" vertical="center" wrapText="1"/>
    </xf>
    <xf numFmtId="49" fontId="3" fillId="7" borderId="2">
      <alignment horizontal="left" vertical="top" wrapText="1"/>
    </xf>
    <xf numFmtId="49" fontId="6" fillId="7" borderId="2">
      <alignment horizontal="left" vertical="top" wrapText="1"/>
      <protection locked="0"/>
    </xf>
    <xf numFmtId="49" fontId="6" fillId="7" borderId="2">
      <alignment horizontal="left" vertical="top" wrapText="1"/>
    </xf>
    <xf numFmtId="0" fontId="7" fillId="0" borderId="3" applyFill="0">
      <alignment horizontal="center" vertical="top" wrapText="1"/>
    </xf>
    <xf numFmtId="0" fontId="8" fillId="0" borderId="4" applyFill="0">
      <alignment horizontal="center" vertical="center"/>
    </xf>
    <xf numFmtId="0" fontId="8" fillId="0" borderId="5" applyFill="0">
      <alignment horizontal="center" vertical="center"/>
    </xf>
    <xf numFmtId="4" fontId="8" fillId="0" borderId="4" applyFill="0">
      <alignment horizontal="right" vertical="center"/>
    </xf>
    <xf numFmtId="0" fontId="3" fillId="0" borderId="4" applyFill="0">
      <alignment horizontal="center" vertical="center"/>
    </xf>
    <xf numFmtId="49" fontId="3" fillId="8" borderId="6">
      <alignment horizontal="left" vertical="center" wrapText="1"/>
    </xf>
    <xf numFmtId="4" fontId="8" fillId="0" borderId="5" applyFill="0">
      <alignment horizontal="right" vertical="center"/>
    </xf>
    <xf numFmtId="0" fontId="3" fillId="0" borderId="4" applyFill="0">
      <alignment horizontal="left" vertical="center" wrapText="1" indent="1"/>
    </xf>
    <xf numFmtId="0" fontId="3" fillId="0" borderId="7" applyFill="0">
      <alignment horizontal="center" vertical="center"/>
    </xf>
    <xf numFmtId="4" fontId="8" fillId="8" borderId="8">
      <alignment horizontal="right" vertical="center"/>
    </xf>
    <xf numFmtId="4" fontId="8" fillId="7" borderId="8">
      <alignment horizontal="right" vertical="center"/>
    </xf>
    <xf numFmtId="49" fontId="9" fillId="7" borderId="8">
      <alignment horizontal="left" vertical="center" wrapText="1"/>
    </xf>
    <xf numFmtId="4" fontId="10" fillId="2" borderId="0" applyBorder="0"/>
    <xf numFmtId="0" fontId="3" fillId="0" borderId="5" applyFill="0">
      <alignment horizontal="left" vertical="center" wrapText="1" indent="2"/>
    </xf>
    <xf numFmtId="0" fontId="3" fillId="0" borderId="9" applyFill="0">
      <alignment horizontal="center" vertical="center"/>
    </xf>
    <xf numFmtId="4" fontId="3" fillId="7" borderId="8">
      <alignment horizontal="right" vertical="center"/>
    </xf>
    <xf numFmtId="4" fontId="3" fillId="0" borderId="4" applyFill="0">
      <alignment horizontal="left" vertical="center" indent="3"/>
    </xf>
    <xf numFmtId="0" fontId="3" fillId="0" borderId="4" applyFill="0">
      <alignment horizontal="left" vertical="center" wrapText="1" indent="2"/>
    </xf>
    <xf numFmtId="49" fontId="5" fillId="0" borderId="0" applyFill="0" applyBorder="0">
      <alignment horizontal="center" vertical="center" wrapText="1"/>
    </xf>
  </cellStyleXfs>
  <cellXfs count="1205">
    <xf numFmtId="49" fontId="0" fillId="0" borderId="0" xfId="0">
      <alignment vertical="top"/>
    </xf>
    <xf numFmtId="49" fontId="3" fillId="0" borderId="0" xfId="1">
      <alignment vertical="top"/>
    </xf>
    <xf numFmtId="0" fontId="1" fillId="0" borderId="0" xfId="3"/>
    <xf numFmtId="0" fontId="3" fillId="0" borderId="0" xfId="4">
      <alignment horizontal="left" vertical="center"/>
    </xf>
    <xf numFmtId="0" fontId="5" fillId="0" borderId="1" xfId="5">
      <alignment horizontal="center" vertical="center" wrapText="1"/>
    </xf>
    <xf numFmtId="0" fontId="8" fillId="0" borderId="4" xfId="10">
      <alignment horizontal="center" vertical="center"/>
    </xf>
    <xf numFmtId="0" fontId="8" fillId="0" borderId="5" xfId="11">
      <alignment horizontal="center" vertical="center"/>
    </xf>
    <xf numFmtId="4" fontId="8" fillId="0" borderId="4" xfId="12">
      <alignment horizontal="right" vertical="center"/>
    </xf>
    <xf numFmtId="0" fontId="3" fillId="0" borderId="4" xfId="13">
      <alignment horizontal="center" vertical="center"/>
    </xf>
    <xf numFmtId="49" fontId="3" fillId="8" borderId="6" xfId="14">
      <alignment horizontal="left" vertical="center" wrapText="1"/>
    </xf>
    <xf numFmtId="4" fontId="8" fillId="0" borderId="5" xfId="15">
      <alignment horizontal="right" vertical="center"/>
    </xf>
    <xf numFmtId="0" fontId="3" fillId="0" borderId="4" xfId="16">
      <alignment horizontal="left" vertical="center" wrapText="1" indent="1"/>
    </xf>
    <xf numFmtId="0" fontId="3" fillId="0" borderId="7" xfId="17">
      <alignment horizontal="center" vertical="center"/>
    </xf>
    <xf numFmtId="4" fontId="8" fillId="8" borderId="8" xfId="18">
      <alignment horizontal="right" vertical="center"/>
    </xf>
    <xf numFmtId="4" fontId="8" fillId="7" borderId="8" xfId="19">
      <alignment horizontal="right" vertical="center"/>
    </xf>
    <xf numFmtId="49" fontId="9" fillId="7" borderId="8" xfId="20">
      <alignment horizontal="left" vertical="center" wrapText="1"/>
    </xf>
    <xf numFmtId="4" fontId="10" fillId="2" borderId="0" xfId="21"/>
    <xf numFmtId="0" fontId="3" fillId="0" borderId="5" xfId="22">
      <alignment horizontal="left" vertical="center" wrapText="1" indent="2"/>
    </xf>
    <xf numFmtId="0" fontId="3" fillId="0" borderId="9" xfId="23">
      <alignment horizontal="center" vertical="center"/>
    </xf>
    <xf numFmtId="4" fontId="3" fillId="7" borderId="8" xfId="24">
      <alignment horizontal="right" vertical="center"/>
    </xf>
    <xf numFmtId="4" fontId="3" fillId="0" borderId="4" xfId="25">
      <alignment horizontal="left" vertical="center" indent="3"/>
    </xf>
    <xf numFmtId="0" fontId="3" fillId="0" borderId="4" xfId="26">
      <alignment horizontal="left" vertical="center" wrapText="1" indent="2"/>
    </xf>
    <xf numFmtId="49" fontId="5" fillId="0" borderId="0" xfId="27">
      <alignment horizontal="center" vertical="center" wrapText="1"/>
    </xf>
    <xf numFmtId="49" fontId="3" fillId="0" borderId="0" xfId="0" applyFont="1">
      <alignment vertical="top"/>
    </xf>
    <xf numFmtId="49" fontId="3" fillId="0" borderId="10" xfId="0" applyFont="1" applyBorder="1" applyAlignment="1">
      <alignment horizontal="center" vertical="center" wrapText="1"/>
    </xf>
    <xf numFmtId="0" fontId="9" fillId="0" borderId="10" xfId="0" applyNumberFormat="1" applyFont="1" applyBorder="1" applyAlignment="1">
      <alignment vertical="center" wrapText="1"/>
    </xf>
    <xf numFmtId="0" fontId="3" fillId="0" borderId="10" xfId="0" applyNumberFormat="1" applyFont="1" applyBorder="1" applyAlignment="1">
      <alignment horizontal="center" vertical="center"/>
    </xf>
    <xf numFmtId="0" fontId="3" fillId="9" borderId="11" xfId="0" applyNumberFormat="1" applyFont="1" applyFill="1" applyBorder="1" applyAlignment="1">
      <alignment horizontal="center" vertical="center" wrapText="1"/>
    </xf>
    <xf numFmtId="0" fontId="3" fillId="0" borderId="10"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49" fontId="8" fillId="0" borderId="0" xfId="0" applyFont="1" applyAlignment="1">
      <alignment horizontal="center" vertical="center" wrapText="1" shrinkToFit="1"/>
    </xf>
    <xf numFmtId="0" fontId="11" fillId="0" borderId="0" xfId="0" applyNumberFormat="1" applyFont="1" applyAlignment="1">
      <alignment horizontal="center" vertical="center"/>
    </xf>
    <xf numFmtId="0" fontId="3" fillId="0" borderId="11" xfId="0" applyNumberFormat="1" applyFont="1" applyBorder="1" applyAlignment="1">
      <alignment horizontal="right" vertical="center" wrapText="1" indent="1"/>
    </xf>
    <xf numFmtId="0" fontId="9" fillId="0" borderId="0" xfId="0" applyNumberFormat="1" applyFont="1" applyAlignment="1">
      <alignment vertical="center"/>
    </xf>
    <xf numFmtId="0" fontId="12" fillId="0" borderId="0" xfId="0" applyNumberFormat="1" applyFont="1">
      <alignment vertical="top"/>
    </xf>
    <xf numFmtId="49" fontId="12" fillId="0" borderId="0" xfId="0" applyFont="1">
      <alignment vertical="top"/>
    </xf>
    <xf numFmtId="49" fontId="3" fillId="0" borderId="0" xfId="0" applyFont="1" applyAlignment="1">
      <alignment vertical="center" wrapText="1"/>
    </xf>
    <xf numFmtId="0" fontId="13" fillId="0" borderId="12" xfId="0" applyNumberFormat="1" applyFont="1" applyBorder="1" applyAlignment="1">
      <alignment horizontal="center" vertical="center"/>
    </xf>
    <xf numFmtId="0" fontId="3" fillId="0" borderId="0" xfId="0" applyNumberFormat="1" applyFont="1" applyAlignment="1"/>
    <xf numFmtId="0" fontId="3" fillId="9" borderId="0" xfId="0" applyNumberFormat="1" applyFont="1" applyFill="1" applyAlignment="1"/>
    <xf numFmtId="49" fontId="3" fillId="7" borderId="13" xfId="0" applyFont="1" applyFill="1" applyBorder="1" applyAlignment="1" applyProtection="1">
      <alignment horizontal="left" vertical="center" wrapText="1"/>
      <protection locked="0"/>
    </xf>
    <xf numFmtId="0" fontId="11" fillId="0" borderId="0" xfId="0" applyNumberFormat="1" applyFont="1" applyAlignment="1">
      <alignment vertical="center"/>
    </xf>
    <xf numFmtId="0" fontId="11" fillId="0" borderId="0" xfId="0" applyNumberFormat="1" applyFont="1" applyAlignment="1">
      <alignment vertical="center" wrapText="1"/>
    </xf>
    <xf numFmtId="0" fontId="10" fillId="0" borderId="0" xfId="0" applyNumberFormat="1" applyFont="1" applyAlignment="1">
      <alignment vertical="center"/>
    </xf>
    <xf numFmtId="0" fontId="14" fillId="0" borderId="0" xfId="0" applyNumberFormat="1" applyFont="1" applyAlignment="1">
      <alignment vertical="center"/>
    </xf>
    <xf numFmtId="0" fontId="10" fillId="0" borderId="0" xfId="0" applyNumberFormat="1" applyFont="1" applyAlignment="1">
      <alignment horizontal="center" vertical="center"/>
    </xf>
    <xf numFmtId="0" fontId="11" fillId="0" borderId="0" xfId="0" applyNumberFormat="1" applyFont="1" applyAlignment="1">
      <alignment horizontal="left" vertical="center" wrapText="1"/>
    </xf>
    <xf numFmtId="49" fontId="15" fillId="0" borderId="0" xfId="0" applyFont="1" applyAlignment="1">
      <alignment horizontal="right" vertical="center" wrapText="1"/>
    </xf>
    <xf numFmtId="49" fontId="8" fillId="0" borderId="0" xfId="0" applyFont="1" applyAlignment="1">
      <alignment vertical="center" wrapText="1"/>
    </xf>
    <xf numFmtId="49" fontId="3" fillId="0" borderId="0" xfId="0" applyFont="1" applyAlignment="1">
      <alignment horizontal="left" vertical="center" wrapText="1"/>
    </xf>
    <xf numFmtId="0" fontId="3" fillId="9" borderId="14" xfId="0" applyNumberFormat="1" applyFont="1" applyFill="1" applyBorder="1" applyAlignment="1">
      <alignment horizontal="center" vertical="center" wrapText="1"/>
    </xf>
    <xf numFmtId="0" fontId="3" fillId="9" borderId="15" xfId="0" applyNumberFormat="1" applyFont="1" applyFill="1" applyBorder="1" applyAlignment="1">
      <alignment horizontal="center" vertical="center" wrapText="1"/>
    </xf>
    <xf numFmtId="0" fontId="3" fillId="9" borderId="16" xfId="0" applyNumberFormat="1" applyFont="1" applyFill="1" applyBorder="1" applyAlignment="1">
      <alignment horizontal="center" vertical="center" wrapText="1"/>
    </xf>
    <xf numFmtId="49" fontId="3" fillId="0" borderId="0" xfId="0" applyFont="1" applyAlignment="1">
      <alignment horizontal="right" vertical="center" wrapText="1"/>
    </xf>
    <xf numFmtId="0" fontId="9" fillId="0" borderId="0" xfId="0" applyNumberFormat="1" applyFont="1" applyAlignment="1"/>
    <xf numFmtId="49" fontId="3" fillId="0" borderId="11" xfId="0" applyFont="1" applyBorder="1" applyAlignment="1">
      <alignment horizontal="center" vertical="center"/>
    </xf>
    <xf numFmtId="0" fontId="16" fillId="0" borderId="0" xfId="0" applyNumberFormat="1" applyFont="1" applyAlignment="1"/>
    <xf numFmtId="0" fontId="0" fillId="0" borderId="0" xfId="0" applyNumberFormat="1" applyAlignment="1">
      <alignment horizontal="left" vertical="center"/>
    </xf>
    <xf numFmtId="0" fontId="9" fillId="0" borderId="0" xfId="0" applyNumberFormat="1" applyFont="1" applyAlignment="1">
      <alignment horizontal="center" vertical="center"/>
    </xf>
    <xf numFmtId="0" fontId="0" fillId="0" borderId="0" xfId="0" applyNumberFormat="1" applyAlignment="1">
      <alignment horizontal="center"/>
    </xf>
    <xf numFmtId="0" fontId="3" fillId="0" borderId="0" xfId="0" applyNumberFormat="1" applyFont="1" applyAlignment="1">
      <alignment horizontal="center"/>
    </xf>
    <xf numFmtId="0" fontId="3" fillId="0" borderId="0" xfId="0" applyNumberFormat="1" applyFont="1" applyAlignment="1">
      <alignment horizontal="center" wrapText="1"/>
    </xf>
    <xf numFmtId="0" fontId="0" fillId="0" borderId="0" xfId="0" applyNumberFormat="1" applyAlignment="1">
      <alignment horizontal="center" vertical="center"/>
    </xf>
    <xf numFmtId="0" fontId="17" fillId="0" borderId="0" xfId="0" applyNumberFormat="1" applyFont="1" applyAlignment="1">
      <alignment vertical="center" wrapText="1"/>
    </xf>
    <xf numFmtId="0" fontId="9" fillId="0" borderId="0" xfId="0" applyNumberFormat="1" applyFont="1" applyAlignment="1">
      <alignment horizontal="center"/>
    </xf>
    <xf numFmtId="0" fontId="3" fillId="0" borderId="11" xfId="0" applyNumberFormat="1" applyFont="1" applyBorder="1" applyAlignment="1">
      <alignment horizontal="center" vertical="center"/>
    </xf>
    <xf numFmtId="0" fontId="9" fillId="10" borderId="11" xfId="0" applyNumberFormat="1" applyFont="1" applyFill="1" applyBorder="1" applyAlignment="1">
      <alignment horizontal="left" vertical="center" wrapText="1"/>
    </xf>
    <xf numFmtId="0" fontId="9" fillId="0" borderId="11" xfId="0" applyNumberFormat="1" applyFont="1" applyBorder="1" applyAlignment="1">
      <alignment vertical="center" wrapText="1"/>
    </xf>
    <xf numFmtId="0" fontId="9" fillId="0" borderId="11" xfId="0" applyNumberFormat="1" applyFont="1" applyBorder="1" applyAlignment="1">
      <alignment horizontal="center" vertical="center"/>
    </xf>
    <xf numFmtId="0" fontId="9" fillId="0" borderId="11" xfId="0" applyNumberFormat="1" applyFont="1" applyBorder="1" applyAlignment="1">
      <alignment horizontal="left" vertical="center" wrapText="1"/>
    </xf>
    <xf numFmtId="0" fontId="3" fillId="0" borderId="11" xfId="0" applyNumberFormat="1" applyFont="1" applyBorder="1" applyAlignment="1">
      <alignment horizontal="left" vertical="center" wrapText="1"/>
    </xf>
    <xf numFmtId="0" fontId="3" fillId="0" borderId="11" xfId="0" applyNumberFormat="1" applyFont="1" applyBorder="1" applyAlignment="1">
      <alignment vertical="center" wrapText="1"/>
    </xf>
    <xf numFmtId="0" fontId="9" fillId="0" borderId="0" xfId="0" applyNumberFormat="1" applyFont="1" applyAlignment="1">
      <alignment wrapText="1"/>
    </xf>
    <xf numFmtId="4" fontId="3" fillId="7" borderId="11" xfId="0" applyNumberFormat="1" applyFont="1" applyFill="1" applyBorder="1" applyAlignment="1" applyProtection="1">
      <alignment horizontal="right" vertical="center"/>
      <protection locked="0"/>
    </xf>
    <xf numFmtId="4" fontId="3" fillId="8" borderId="11" xfId="0" applyNumberFormat="1" applyFont="1" applyFill="1" applyBorder="1" applyAlignment="1">
      <alignment horizontal="right" vertical="center"/>
    </xf>
    <xf numFmtId="0" fontId="3" fillId="0" borderId="0" xfId="0" applyNumberFormat="1" applyFont="1" applyAlignment="1">
      <alignment vertical="center"/>
    </xf>
    <xf numFmtId="0" fontId="9" fillId="0" borderId="0" xfId="0" applyNumberFormat="1" applyFont="1" applyAlignment="1">
      <alignment vertical="center" wrapText="1"/>
    </xf>
    <xf numFmtId="49" fontId="3" fillId="9" borderId="11" xfId="0" applyFont="1" applyFill="1" applyBorder="1" applyAlignment="1">
      <alignment horizontal="center" vertical="center" wrapText="1"/>
    </xf>
    <xf numFmtId="0" fontId="9" fillId="0" borderId="0" xfId="0" applyNumberFormat="1" applyFont="1" applyAlignment="1">
      <alignment horizontal="center" vertical="center" wrapText="1"/>
    </xf>
    <xf numFmtId="0" fontId="8" fillId="0" borderId="0" xfId="0" applyNumberFormat="1" applyFont="1" applyAlignment="1"/>
    <xf numFmtId="0" fontId="3" fillId="0" borderId="0" xfId="0" applyNumberFormat="1" applyFont="1" applyAlignment="1">
      <alignment vertical="center" wrapText="1"/>
    </xf>
    <xf numFmtId="164" fontId="18" fillId="0" borderId="0" xfId="0" applyNumberFormat="1" applyFont="1" applyAlignment="1">
      <alignment horizontal="left" vertical="center" wrapText="1"/>
    </xf>
    <xf numFmtId="0" fontId="11" fillId="0" borderId="0" xfId="0" applyNumberFormat="1" applyFont="1" applyAlignment="1"/>
    <xf numFmtId="0" fontId="10" fillId="0" borderId="0" xfId="0" applyNumberFormat="1" applyFont="1" applyAlignment="1"/>
    <xf numFmtId="0" fontId="10" fillId="0" borderId="0" xfId="0" applyNumberFormat="1" applyFont="1" applyAlignment="1">
      <alignment horizontal="left"/>
    </xf>
    <xf numFmtId="0" fontId="11" fillId="0" borderId="0" xfId="0" applyNumberFormat="1" applyFont="1" applyAlignment="1">
      <alignment horizontal="left"/>
    </xf>
    <xf numFmtId="0" fontId="19" fillId="0" borderId="0" xfId="0" applyNumberFormat="1" applyFont="1" applyAlignment="1">
      <alignment horizontal="left" vertical="top" wrapText="1"/>
    </xf>
    <xf numFmtId="0" fontId="20" fillId="0" borderId="0" xfId="0" applyNumberFormat="1" applyFont="1" applyAlignment="1">
      <alignment vertical="center" wrapText="1"/>
    </xf>
    <xf numFmtId="0" fontId="20" fillId="0" borderId="0" xfId="0" applyNumberFormat="1" applyFont="1" applyAlignment="1">
      <alignment vertical="center"/>
    </xf>
    <xf numFmtId="49" fontId="21" fillId="0" borderId="0" xfId="0" applyFont="1" applyAlignment="1">
      <alignment horizontal="left" vertical="center" wrapText="1" indent="4"/>
    </xf>
    <xf numFmtId="0" fontId="21" fillId="0" borderId="0" xfId="0" applyNumberFormat="1" applyFont="1" applyAlignment="1">
      <alignment horizontal="center" vertical="center" wrapText="1"/>
    </xf>
    <xf numFmtId="0" fontId="21" fillId="0" borderId="0" xfId="0" applyNumberFormat="1" applyFont="1" applyAlignment="1">
      <alignment vertical="center" wrapText="1"/>
    </xf>
    <xf numFmtId="0" fontId="21" fillId="0" borderId="0" xfId="0" applyNumberFormat="1" applyFont="1" applyAlignment="1">
      <alignment vertical="center"/>
    </xf>
    <xf numFmtId="49" fontId="11" fillId="0" borderId="0" xfId="0" applyFont="1" applyAlignment="1">
      <alignment vertical="center" wrapText="1"/>
    </xf>
    <xf numFmtId="49" fontId="22" fillId="11" borderId="0" xfId="0" applyFont="1" applyFill="1" applyAlignment="1">
      <alignment horizontal="center" vertical="center"/>
    </xf>
    <xf numFmtId="0" fontId="11" fillId="12" borderId="0" xfId="0" applyNumberFormat="1" applyFont="1" applyFill="1" applyAlignment="1">
      <alignment horizontal="right" vertical="center"/>
    </xf>
    <xf numFmtId="0" fontId="11" fillId="12" borderId="0" xfId="0" applyNumberFormat="1" applyFont="1" applyFill="1" applyAlignment="1">
      <alignment horizontal="center" vertical="center"/>
    </xf>
    <xf numFmtId="0" fontId="20" fillId="12" borderId="0" xfId="0" applyNumberFormat="1" applyFont="1" applyFill="1" applyAlignment="1">
      <alignment horizontal="right" vertical="center"/>
    </xf>
    <xf numFmtId="49" fontId="20" fillId="0" borderId="0" xfId="0" applyFont="1" applyAlignment="1">
      <alignment vertical="center" wrapText="1"/>
    </xf>
    <xf numFmtId="49" fontId="11" fillId="0" borderId="0" xfId="0" applyFont="1">
      <alignment vertical="top"/>
    </xf>
    <xf numFmtId="0" fontId="11" fillId="12" borderId="0" xfId="0" applyNumberFormat="1" applyFont="1" applyFill="1" applyAlignment="1">
      <alignment horizontal="left" vertical="center"/>
    </xf>
    <xf numFmtId="49" fontId="12" fillId="11" borderId="0" xfId="0" applyFont="1" applyFill="1" applyAlignment="1">
      <alignment horizontal="center" vertical="center"/>
    </xf>
    <xf numFmtId="49" fontId="3" fillId="13" borderId="0" xfId="0" applyFont="1" applyFill="1">
      <alignment vertical="top"/>
    </xf>
    <xf numFmtId="49" fontId="23" fillId="0" borderId="0" xfId="0" applyFont="1" applyAlignment="1">
      <alignment horizontal="center" vertical="center" wrapText="1"/>
    </xf>
    <xf numFmtId="49" fontId="24" fillId="14" borderId="17" xfId="0" applyFont="1" applyFill="1" applyBorder="1" applyAlignment="1">
      <alignment horizontal="left" vertical="center" wrapText="1"/>
    </xf>
    <xf numFmtId="49" fontId="25" fillId="15" borderId="18" xfId="0" applyFont="1" applyFill="1" applyBorder="1" applyAlignment="1">
      <alignment horizontal="left" vertical="center" wrapText="1" indent="1"/>
    </xf>
    <xf numFmtId="49" fontId="25" fillId="15" borderId="19" xfId="0" applyFont="1" applyFill="1" applyBorder="1" applyAlignment="1">
      <alignment horizontal="left" vertical="center" wrapText="1" indent="1"/>
    </xf>
    <xf numFmtId="49" fontId="25" fillId="15" borderId="20" xfId="0" applyFont="1" applyFill="1" applyBorder="1" applyAlignment="1">
      <alignment horizontal="left" vertical="center" wrapText="1" indent="1"/>
    </xf>
    <xf numFmtId="49" fontId="25" fillId="15" borderId="19" xfId="0" applyFont="1" applyFill="1" applyBorder="1" applyAlignment="1">
      <alignment vertical="center" wrapText="1"/>
    </xf>
    <xf numFmtId="49" fontId="3" fillId="8" borderId="21" xfId="0" applyFont="1" applyFill="1" applyBorder="1" applyAlignment="1">
      <alignment horizontal="left" vertical="center" wrapText="1" indent="1"/>
    </xf>
    <xf numFmtId="0" fontId="24" fillId="14" borderId="17" xfId="0" applyNumberFormat="1" applyFont="1" applyFill="1" applyBorder="1" applyAlignment="1">
      <alignment horizontal="left" vertical="center"/>
    </xf>
    <xf numFmtId="0" fontId="3" fillId="12" borderId="0" xfId="0" applyNumberFormat="1" applyFont="1" applyFill="1" applyAlignment="1">
      <alignment horizontal="left" vertical="center"/>
    </xf>
    <xf numFmtId="49" fontId="3" fillId="0" borderId="22" xfId="0" applyFont="1" applyBorder="1" applyAlignment="1">
      <alignment vertical="center" wrapText="1"/>
    </xf>
    <xf numFmtId="0" fontId="24" fillId="14" borderId="23" xfId="0" applyNumberFormat="1" applyFont="1" applyFill="1" applyBorder="1" applyAlignment="1">
      <alignment horizontal="left" vertical="center"/>
    </xf>
    <xf numFmtId="0" fontId="9" fillId="0" borderId="10" xfId="0" applyNumberFormat="1" applyFont="1" applyBorder="1" applyAlignment="1">
      <alignment horizontal="center" vertical="center"/>
    </xf>
    <xf numFmtId="0" fontId="3" fillId="10" borderId="10" xfId="0" applyNumberFormat="1" applyFont="1" applyFill="1" applyBorder="1" applyAlignment="1">
      <alignment horizontal="center" vertical="center" wrapText="1"/>
    </xf>
    <xf numFmtId="0" fontId="3" fillId="10" borderId="24" xfId="0" applyNumberFormat="1" applyFont="1" applyFill="1" applyBorder="1" applyAlignment="1">
      <alignment horizontal="center" vertical="center" wrapText="1"/>
    </xf>
    <xf numFmtId="49" fontId="25" fillId="15" borderId="25" xfId="0" applyFont="1" applyFill="1" applyBorder="1" applyAlignment="1">
      <alignment horizontal="left" vertical="center" wrapText="1" indent="1"/>
    </xf>
    <xf numFmtId="3" fontId="3" fillId="7" borderId="11" xfId="0" applyNumberFormat="1" applyFont="1" applyFill="1" applyBorder="1" applyAlignment="1" applyProtection="1">
      <alignment horizontal="right" vertical="center"/>
      <protection locked="0"/>
    </xf>
    <xf numFmtId="49" fontId="3" fillId="7" borderId="10" xfId="0" applyFont="1" applyFill="1" applyBorder="1" applyAlignment="1" applyProtection="1">
      <alignment horizontal="left" vertical="center" wrapText="1"/>
      <protection locked="0"/>
    </xf>
    <xf numFmtId="0" fontId="0" fillId="0" borderId="11" xfId="0" applyNumberFormat="1" applyBorder="1" applyAlignment="1">
      <alignment horizontal="center" vertical="center" wrapText="1"/>
    </xf>
    <xf numFmtId="0" fontId="3" fillId="0" borderId="11" xfId="0" applyNumberFormat="1" applyFont="1" applyBorder="1" applyAlignment="1">
      <alignment horizontal="left" vertical="center" wrapText="1" indent="1"/>
    </xf>
    <xf numFmtId="0" fontId="26" fillId="0" borderId="12" xfId="0" applyNumberFormat="1" applyFont="1" applyBorder="1" applyAlignment="1">
      <alignment vertical="center"/>
    </xf>
    <xf numFmtId="0" fontId="26" fillId="0" borderId="12" xfId="0" applyNumberFormat="1" applyFont="1" applyBorder="1" applyAlignment="1"/>
    <xf numFmtId="0" fontId="27" fillId="0" borderId="12" xfId="0" applyNumberFormat="1" applyFont="1" applyBorder="1" applyAlignment="1">
      <alignment vertical="center" wrapText="1"/>
    </xf>
    <xf numFmtId="49" fontId="3" fillId="7" borderId="26" xfId="0" applyFont="1" applyFill="1" applyBorder="1" applyAlignment="1" applyProtection="1">
      <alignment horizontal="left" vertical="center" wrapText="1" indent="1"/>
      <protection locked="0"/>
    </xf>
    <xf numFmtId="0" fontId="9" fillId="0" borderId="11" xfId="0" applyNumberFormat="1" applyFont="1" applyBorder="1" applyAlignment="1">
      <alignment horizontal="right" vertical="center" wrapText="1" indent="1"/>
    </xf>
    <xf numFmtId="0" fontId="9" fillId="0" borderId="11" xfId="0" applyNumberFormat="1" applyFont="1" applyBorder="1" applyAlignment="1">
      <alignment horizontal="right" vertical="center" indent="1"/>
    </xf>
    <xf numFmtId="0" fontId="3" fillId="16" borderId="11" xfId="0" applyNumberFormat="1" applyFont="1" applyFill="1" applyBorder="1" applyAlignment="1" applyProtection="1">
      <alignment horizontal="left" vertical="center" wrapText="1"/>
      <protection locked="0"/>
    </xf>
    <xf numFmtId="49" fontId="9" fillId="7" borderId="11" xfId="0" applyFont="1" applyFill="1" applyBorder="1" applyAlignment="1" applyProtection="1">
      <alignment horizontal="left" vertical="center" wrapText="1"/>
      <protection locked="0"/>
    </xf>
    <xf numFmtId="49" fontId="27" fillId="0" borderId="27" xfId="0" applyFont="1" applyBorder="1" applyAlignment="1">
      <alignment horizontal="left" vertical="center" wrapText="1" indent="4"/>
    </xf>
    <xf numFmtId="49" fontId="27" fillId="0" borderId="0" xfId="0" applyFont="1" applyAlignment="1">
      <alignment horizontal="left" vertical="center" wrapText="1" indent="4"/>
    </xf>
    <xf numFmtId="49" fontId="27" fillId="0" borderId="12" xfId="0" applyFont="1" applyBorder="1" applyAlignment="1">
      <alignment horizontal="left" vertical="center" indent="1"/>
    </xf>
    <xf numFmtId="0" fontId="3" fillId="0" borderId="0" xfId="0" applyNumberFormat="1" applyFont="1" applyAlignment="1">
      <alignment horizontal="left" vertical="center" wrapText="1"/>
    </xf>
    <xf numFmtId="0" fontId="8" fillId="9" borderId="11" xfId="0" applyNumberFormat="1" applyFont="1" applyFill="1" applyBorder="1" applyAlignment="1">
      <alignment horizontal="center" vertical="center" wrapText="1"/>
    </xf>
    <xf numFmtId="49" fontId="27" fillId="0" borderId="12" xfId="0" applyFont="1" applyBorder="1" applyAlignment="1">
      <alignment vertical="center" wrapText="1"/>
    </xf>
    <xf numFmtId="0" fontId="9" fillId="0" borderId="0" xfId="0" applyNumberFormat="1" applyFont="1" applyAlignment="1">
      <alignment horizontal="left" vertical="center" wrapText="1"/>
    </xf>
    <xf numFmtId="0" fontId="1" fillId="0" borderId="12" xfId="0" applyNumberFormat="1" applyFont="1" applyBorder="1" applyAlignment="1"/>
    <xf numFmtId="49" fontId="27" fillId="0" borderId="12" xfId="0" applyFont="1" applyBorder="1" applyAlignment="1">
      <alignment horizontal="center" vertical="center" wrapText="1"/>
    </xf>
    <xf numFmtId="49" fontId="24" fillId="14" borderId="28" xfId="0" applyFont="1" applyFill="1" applyBorder="1" applyAlignment="1">
      <alignment horizontal="left" vertical="center" wrapText="1"/>
    </xf>
    <xf numFmtId="0" fontId="8" fillId="0" borderId="10" xfId="0" applyNumberFormat="1" applyFont="1" applyBorder="1" applyAlignment="1">
      <alignment horizontal="center" vertical="center"/>
    </xf>
    <xf numFmtId="0" fontId="8" fillId="0" borderId="10" xfId="0" applyNumberFormat="1" applyFont="1" applyBorder="1" applyAlignment="1">
      <alignment vertical="center" wrapText="1"/>
    </xf>
    <xf numFmtId="4" fontId="8" fillId="8" borderId="10" xfId="0" applyNumberFormat="1" applyFont="1" applyFill="1" applyBorder="1" applyAlignment="1">
      <alignment horizontal="right" vertical="center"/>
    </xf>
    <xf numFmtId="0" fontId="3" fillId="0" borderId="10" xfId="0" applyNumberFormat="1" applyFont="1" applyBorder="1" applyAlignment="1">
      <alignment horizontal="left" vertical="center" wrapText="1" indent="1"/>
    </xf>
    <xf numFmtId="4" fontId="3" fillId="7" borderId="10" xfId="0" applyNumberFormat="1" applyFont="1" applyFill="1" applyBorder="1" applyAlignment="1" applyProtection="1">
      <alignment horizontal="right" vertical="center"/>
      <protection locked="0"/>
    </xf>
    <xf numFmtId="4" fontId="8" fillId="0" borderId="10" xfId="0" applyNumberFormat="1" applyFont="1" applyBorder="1" applyAlignment="1">
      <alignment horizontal="right" vertical="center"/>
    </xf>
    <xf numFmtId="0" fontId="1" fillId="0" borderId="12" xfId="0" applyNumberFormat="1" applyFont="1" applyBorder="1" applyAlignment="1">
      <alignment vertical="center" wrapText="1"/>
    </xf>
    <xf numFmtId="49" fontId="8" fillId="0" borderId="10" xfId="0" applyFont="1" applyBorder="1" applyAlignment="1">
      <alignment horizontal="center" vertical="center"/>
    </xf>
    <xf numFmtId="0" fontId="8" fillId="0" borderId="10" xfId="0" applyNumberFormat="1" applyFont="1" applyBorder="1" applyAlignment="1">
      <alignment horizontal="left" vertical="center" wrapText="1"/>
    </xf>
    <xf numFmtId="49" fontId="3" fillId="0" borderId="10" xfId="0" applyFont="1" applyBorder="1" applyAlignment="1">
      <alignment horizontal="center" vertical="center"/>
    </xf>
    <xf numFmtId="0" fontId="3" fillId="0" borderId="10" xfId="0" applyNumberFormat="1" applyFont="1" applyBorder="1" applyAlignment="1">
      <alignment horizontal="left" vertical="center" wrapText="1" indent="2"/>
    </xf>
    <xf numFmtId="0" fontId="24" fillId="14" borderId="29" xfId="0" applyNumberFormat="1" applyFont="1" applyFill="1" applyBorder="1" applyAlignment="1">
      <alignment horizontal="left" vertical="center"/>
    </xf>
    <xf numFmtId="0" fontId="1" fillId="0" borderId="12" xfId="0" applyNumberFormat="1" applyFont="1" applyBorder="1" applyAlignment="1">
      <alignment vertical="center"/>
    </xf>
    <xf numFmtId="0" fontId="24" fillId="14" borderId="28" xfId="0" applyNumberFormat="1" applyFont="1" applyFill="1" applyBorder="1" applyAlignment="1">
      <alignment horizontal="left" vertical="center"/>
    </xf>
    <xf numFmtId="4" fontId="8" fillId="7" borderId="10" xfId="0" applyNumberFormat="1" applyFont="1" applyFill="1" applyBorder="1" applyAlignment="1" applyProtection="1">
      <alignment horizontal="right" vertical="center"/>
      <protection locked="0"/>
    </xf>
    <xf numFmtId="0" fontId="9" fillId="0" borderId="12" xfId="0" applyNumberFormat="1" applyFont="1" applyBorder="1" applyAlignment="1">
      <alignment vertical="center"/>
    </xf>
    <xf numFmtId="4" fontId="27" fillId="8" borderId="10" xfId="0" applyNumberFormat="1" applyFont="1" applyFill="1" applyBorder="1" applyAlignment="1">
      <alignment horizontal="right" vertical="center" wrapText="1"/>
    </xf>
    <xf numFmtId="4" fontId="3" fillId="7" borderId="10" xfId="0" applyNumberFormat="1" applyFont="1" applyFill="1" applyBorder="1" applyAlignment="1" applyProtection="1">
      <alignment horizontal="right" vertical="center" wrapText="1"/>
      <protection locked="0"/>
    </xf>
    <xf numFmtId="4" fontId="9" fillId="7" borderId="10" xfId="0" applyNumberFormat="1" applyFont="1" applyFill="1" applyBorder="1" applyAlignment="1" applyProtection="1">
      <alignment horizontal="right" vertical="center" wrapText="1"/>
      <protection locked="0"/>
    </xf>
    <xf numFmtId="4" fontId="9" fillId="7" borderId="10" xfId="0" applyNumberFormat="1" applyFont="1" applyFill="1" applyBorder="1" applyAlignment="1" applyProtection="1">
      <alignment horizontal="right"/>
      <protection locked="0"/>
    </xf>
    <xf numFmtId="49" fontId="25" fillId="15" borderId="29" xfId="0" applyFont="1" applyFill="1" applyBorder="1" applyAlignment="1">
      <alignment horizontal="left" vertical="center" wrapText="1" indent="1"/>
    </xf>
    <xf numFmtId="49" fontId="25" fillId="15" borderId="17" xfId="0" applyFont="1" applyFill="1" applyBorder="1" applyAlignment="1">
      <alignment horizontal="left" vertical="center" wrapText="1" indent="1"/>
    </xf>
    <xf numFmtId="49" fontId="25" fillId="15" borderId="28" xfId="0" applyFont="1" applyFill="1" applyBorder="1" applyAlignment="1">
      <alignment horizontal="left" vertical="center" wrapText="1" indent="1"/>
    </xf>
    <xf numFmtId="0" fontId="8" fillId="0" borderId="10" xfId="0" applyNumberFormat="1" applyFont="1" applyBorder="1" applyAlignment="1">
      <alignment horizontal="center" vertical="center" wrapText="1"/>
    </xf>
    <xf numFmtId="4" fontId="9" fillId="8" borderId="10" xfId="0" applyNumberFormat="1" applyFont="1" applyFill="1" applyBorder="1" applyAlignment="1">
      <alignment horizontal="right"/>
    </xf>
    <xf numFmtId="0" fontId="9" fillId="0" borderId="12" xfId="0" applyNumberFormat="1" applyFont="1" applyBorder="1" applyAlignment="1">
      <alignment vertical="center" wrapText="1"/>
    </xf>
    <xf numFmtId="0" fontId="9" fillId="0" borderId="12" xfId="0" applyNumberFormat="1" applyFont="1" applyBorder="1" applyAlignment="1"/>
    <xf numFmtId="4" fontId="9" fillId="8" borderId="10" xfId="0" applyNumberFormat="1" applyFont="1" applyFill="1" applyBorder="1" applyAlignment="1">
      <alignment horizontal="right" vertical="center"/>
    </xf>
    <xf numFmtId="4" fontId="9" fillId="7" borderId="10" xfId="0" applyNumberFormat="1" applyFont="1" applyFill="1" applyBorder="1" applyAlignment="1" applyProtection="1">
      <alignment horizontal="right" vertical="center"/>
      <protection locked="0"/>
    </xf>
    <xf numFmtId="49" fontId="9" fillId="0" borderId="10" xfId="0" applyFont="1" applyBorder="1" applyAlignment="1">
      <alignment horizontal="center" vertical="center"/>
    </xf>
    <xf numFmtId="0" fontId="27" fillId="0" borderId="0" xfId="0" applyNumberFormat="1" applyFont="1" applyAlignment="1"/>
    <xf numFmtId="0" fontId="24" fillId="14" borderId="30" xfId="0" applyNumberFormat="1" applyFont="1" applyFill="1" applyBorder="1" applyAlignment="1">
      <alignment horizontal="left" vertical="center"/>
    </xf>
    <xf numFmtId="0" fontId="24" fillId="14" borderId="31" xfId="0" applyNumberFormat="1" applyFont="1" applyFill="1" applyBorder="1" applyAlignment="1">
      <alignment horizontal="left" vertical="center"/>
    </xf>
    <xf numFmtId="49" fontId="3" fillId="0" borderId="10" xfId="0" applyFont="1" applyBorder="1" applyAlignment="1">
      <alignment horizontal="left" vertical="center" wrapText="1"/>
    </xf>
    <xf numFmtId="0" fontId="0" fillId="0" borderId="10" xfId="0" applyNumberFormat="1" applyBorder="1" applyAlignment="1">
      <alignment horizontal="center" vertical="center" wrapText="1"/>
    </xf>
    <xf numFmtId="49" fontId="8" fillId="0" borderId="10" xfId="0" applyFont="1" applyBorder="1" applyAlignment="1">
      <alignment horizontal="left" vertical="center" wrapText="1"/>
    </xf>
    <xf numFmtId="49" fontId="8" fillId="0" borderId="10" xfId="0" applyFont="1" applyBorder="1" applyAlignment="1">
      <alignment horizontal="center" vertical="center" wrapText="1"/>
    </xf>
    <xf numFmtId="4" fontId="0" fillId="7" borderId="10" xfId="0" applyNumberFormat="1" applyFill="1" applyBorder="1" applyAlignment="1" applyProtection="1">
      <alignment horizontal="right" vertical="center" wrapText="1"/>
      <protection locked="0"/>
    </xf>
    <xf numFmtId="0" fontId="1" fillId="0" borderId="12" xfId="0" applyNumberFormat="1" applyFont="1" applyBorder="1" applyAlignment="1">
      <alignment wrapText="1"/>
    </xf>
    <xf numFmtId="0" fontId="19" fillId="0" borderId="0" xfId="0" applyNumberFormat="1" applyFont="1" applyAlignment="1">
      <alignment horizontal="left" vertical="center" wrapText="1"/>
    </xf>
    <xf numFmtId="49" fontId="21" fillId="0" borderId="12" xfId="0" applyFont="1" applyBorder="1" applyAlignment="1">
      <alignment vertical="center"/>
    </xf>
    <xf numFmtId="0" fontId="24" fillId="14" borderId="0" xfId="0" applyNumberFormat="1" applyFont="1" applyFill="1" applyAlignment="1">
      <alignment horizontal="left" vertical="center"/>
    </xf>
    <xf numFmtId="49" fontId="11" fillId="0" borderId="0" xfId="0" applyFont="1" applyAlignment="1">
      <alignment vertical="center"/>
    </xf>
    <xf numFmtId="0" fontId="9" fillId="0" borderId="21" xfId="0" applyNumberFormat="1" applyFont="1" applyBorder="1" applyAlignment="1">
      <alignment horizontal="center" vertical="center" wrapText="1"/>
    </xf>
    <xf numFmtId="0" fontId="9" fillId="0" borderId="32" xfId="0" applyNumberFormat="1" applyFont="1" applyBorder="1" applyAlignment="1">
      <alignment horizontal="center" vertical="center" wrapText="1"/>
    </xf>
    <xf numFmtId="0" fontId="27" fillId="0" borderId="12" xfId="0" applyNumberFormat="1" applyFont="1" applyBorder="1" applyAlignment="1">
      <alignment horizontal="left" vertical="center" indent="1"/>
    </xf>
    <xf numFmtId="0" fontId="9" fillId="0" borderId="10" xfId="0" applyNumberFormat="1" applyFont="1" applyBorder="1" applyAlignment="1">
      <alignment horizontal="left" vertical="center" wrapText="1"/>
    </xf>
    <xf numFmtId="4" fontId="3" fillId="8" borderId="10" xfId="0" applyNumberFormat="1" applyFont="1" applyFill="1" applyBorder="1" applyAlignment="1">
      <alignment horizontal="right" vertical="center"/>
    </xf>
    <xf numFmtId="49" fontId="25" fillId="15" borderId="19" xfId="0" applyFont="1" applyFill="1" applyBorder="1" applyAlignment="1">
      <alignment horizontal="left" vertical="center" indent="1"/>
    </xf>
    <xf numFmtId="0" fontId="3" fillId="12" borderId="0" xfId="0" applyNumberFormat="1" applyFont="1" applyFill="1" applyAlignment="1">
      <alignment horizontal="left" vertical="center" wrapText="1"/>
    </xf>
    <xf numFmtId="49" fontId="25" fillId="15" borderId="33" xfId="0" applyFont="1" applyFill="1" applyBorder="1" applyAlignment="1">
      <alignment horizontal="left" vertical="center" wrapText="1" indent="1"/>
    </xf>
    <xf numFmtId="49" fontId="25" fillId="15" borderId="34" xfId="0" applyFont="1" applyFill="1" applyBorder="1" applyAlignment="1">
      <alignment horizontal="left" vertical="center" wrapText="1" indent="1"/>
    </xf>
    <xf numFmtId="49" fontId="25" fillId="15" borderId="33" xfId="0" applyFont="1" applyFill="1" applyBorder="1" applyAlignment="1">
      <alignment horizontal="left" vertical="center" wrapText="1"/>
    </xf>
    <xf numFmtId="49" fontId="25" fillId="15" borderId="35" xfId="0" applyFont="1" applyFill="1" applyBorder="1" applyAlignment="1">
      <alignment horizontal="left" vertical="center" wrapText="1"/>
    </xf>
    <xf numFmtId="0" fontId="3" fillId="17" borderId="0" xfId="0" applyNumberFormat="1" applyFont="1" applyFill="1" applyAlignment="1">
      <alignment horizontal="left" vertical="center" wrapText="1"/>
    </xf>
    <xf numFmtId="0" fontId="9" fillId="17" borderId="0" xfId="0" applyNumberFormat="1" applyFont="1" applyFill="1" applyAlignment="1">
      <alignment horizontal="center" vertical="center" wrapText="1"/>
    </xf>
    <xf numFmtId="4" fontId="3" fillId="17" borderId="0" xfId="0" applyNumberFormat="1" applyFont="1" applyFill="1" applyAlignment="1">
      <alignment horizontal="right" vertical="center"/>
    </xf>
    <xf numFmtId="49" fontId="3" fillId="17" borderId="28" xfId="0" applyFont="1" applyFill="1" applyBorder="1" applyAlignment="1">
      <alignment horizontal="left" vertical="center"/>
    </xf>
    <xf numFmtId="49" fontId="28" fillId="17" borderId="36" xfId="0" applyFont="1" applyFill="1" applyBorder="1" applyAlignment="1">
      <alignment horizontal="left" vertical="center" indent="1"/>
    </xf>
    <xf numFmtId="49" fontId="3" fillId="17" borderId="37" xfId="0" applyFont="1" applyFill="1" applyBorder="1" applyAlignment="1">
      <alignment horizontal="left" vertical="center" indent="1"/>
    </xf>
    <xf numFmtId="49" fontId="28" fillId="17" borderId="37" xfId="0" applyFont="1" applyFill="1" applyBorder="1" applyAlignment="1">
      <alignment horizontal="left" vertical="center" indent="1"/>
    </xf>
    <xf numFmtId="4" fontId="24" fillId="14" borderId="31" xfId="0" applyNumberFormat="1" applyFont="1" applyFill="1" applyBorder="1" applyAlignment="1">
      <alignment horizontal="right" vertical="center"/>
    </xf>
    <xf numFmtId="0" fontId="3" fillId="8" borderId="10" xfId="0" applyNumberFormat="1" applyFont="1" applyFill="1" applyBorder="1" applyAlignment="1">
      <alignment horizontal="left" vertical="center" wrapText="1" indent="1"/>
    </xf>
    <xf numFmtId="0" fontId="9" fillId="15" borderId="28" xfId="0" applyNumberFormat="1" applyFont="1" applyFill="1" applyBorder="1" applyAlignment="1">
      <alignment vertical="center" wrapText="1"/>
    </xf>
    <xf numFmtId="165" fontId="9" fillId="7" borderId="11" xfId="0" applyNumberFormat="1" applyFont="1" applyFill="1" applyBorder="1" applyAlignment="1" applyProtection="1">
      <alignment horizontal="right" vertical="center"/>
      <protection locked="0"/>
    </xf>
    <xf numFmtId="165" fontId="28" fillId="17" borderId="37" xfId="0" applyNumberFormat="1" applyFont="1" applyFill="1" applyBorder="1" applyAlignment="1">
      <alignment horizontal="left" vertical="center" indent="1"/>
    </xf>
    <xf numFmtId="165" fontId="0" fillId="7" borderId="11" xfId="0" applyNumberFormat="1" applyFill="1" applyBorder="1" applyAlignment="1" applyProtection="1">
      <alignment horizontal="right" vertical="center"/>
      <protection locked="0"/>
    </xf>
    <xf numFmtId="165" fontId="3" fillId="7" borderId="11" xfId="0" applyNumberFormat="1" applyFont="1" applyFill="1" applyBorder="1" applyAlignment="1" applyProtection="1">
      <alignment horizontal="right" vertical="center"/>
      <protection locked="0"/>
    </xf>
    <xf numFmtId="165" fontId="0" fillId="8" borderId="11" xfId="0" applyNumberFormat="1" applyFill="1" applyBorder="1" applyAlignment="1">
      <alignment horizontal="right" vertical="center"/>
    </xf>
    <xf numFmtId="166" fontId="0" fillId="8" borderId="11" xfId="0" applyNumberFormat="1" applyFill="1" applyBorder="1" applyAlignment="1">
      <alignment horizontal="right" vertical="center"/>
    </xf>
    <xf numFmtId="166" fontId="28" fillId="17" borderId="37" xfId="0" applyNumberFormat="1" applyFont="1" applyFill="1" applyBorder="1" applyAlignment="1">
      <alignment horizontal="left" vertical="center" indent="1"/>
    </xf>
    <xf numFmtId="165" fontId="28" fillId="17" borderId="22" xfId="0" applyNumberFormat="1" applyFont="1" applyFill="1" applyBorder="1" applyAlignment="1">
      <alignment horizontal="left" vertical="center" indent="1"/>
    </xf>
    <xf numFmtId="49" fontId="3" fillId="7" borderId="11" xfId="0" applyFont="1" applyFill="1" applyBorder="1" applyAlignment="1" applyProtection="1">
      <alignment horizontal="left" vertical="center" wrapText="1"/>
      <protection locked="0"/>
    </xf>
    <xf numFmtId="49" fontId="27" fillId="0" borderId="12" xfId="0" applyFont="1" applyBorder="1" applyAlignment="1">
      <alignment horizontal="left" vertical="center" wrapText="1" indent="1"/>
    </xf>
    <xf numFmtId="0" fontId="3" fillId="17" borderId="37" xfId="0" applyNumberFormat="1" applyFont="1" applyFill="1" applyBorder="1" applyAlignment="1">
      <alignment horizontal="left" vertical="center" indent="1"/>
    </xf>
    <xf numFmtId="0" fontId="3" fillId="17" borderId="22" xfId="0" applyNumberFormat="1" applyFont="1" applyFill="1" applyBorder="1" applyAlignment="1">
      <alignment horizontal="left" vertical="center" indent="1"/>
    </xf>
    <xf numFmtId="0" fontId="27" fillId="0" borderId="0" xfId="0" applyNumberFormat="1" applyFont="1" applyAlignment="1">
      <alignment vertical="center"/>
    </xf>
    <xf numFmtId="0" fontId="8" fillId="0" borderId="11" xfId="0" applyNumberFormat="1" applyFont="1" applyBorder="1" applyAlignment="1">
      <alignment horizontal="left" vertical="center" wrapText="1"/>
    </xf>
    <xf numFmtId="0" fontId="8" fillId="0" borderId="11" xfId="0" applyNumberFormat="1" applyFont="1" applyBorder="1" applyAlignment="1">
      <alignment horizontal="center" vertical="center" wrapText="1"/>
    </xf>
    <xf numFmtId="4" fontId="8" fillId="8" borderId="11" xfId="0" applyNumberFormat="1" applyFont="1" applyFill="1" applyBorder="1" applyAlignment="1">
      <alignment vertical="center"/>
    </xf>
    <xf numFmtId="0" fontId="3" fillId="0" borderId="0" xfId="0" applyNumberFormat="1" applyFont="1" applyAlignment="1">
      <alignment horizontal="center" vertical="center" wrapText="1"/>
    </xf>
    <xf numFmtId="0" fontId="9" fillId="0" borderId="38" xfId="0" applyNumberFormat="1" applyFont="1" applyBorder="1" applyAlignment="1">
      <alignment horizontal="center" vertical="center" wrapText="1"/>
    </xf>
    <xf numFmtId="4" fontId="9" fillId="15" borderId="40" xfId="0" applyNumberFormat="1" applyFont="1" applyFill="1" applyBorder="1" applyAlignment="1">
      <alignment horizontal="right" vertical="center"/>
    </xf>
    <xf numFmtId="0" fontId="29" fillId="17" borderId="37" xfId="0" applyNumberFormat="1" applyFont="1" applyFill="1" applyBorder="1" applyAlignment="1">
      <alignment horizontal="left" vertical="center" indent="1"/>
    </xf>
    <xf numFmtId="4" fontId="30" fillId="14" borderId="17" xfId="0" applyNumberFormat="1" applyFont="1" applyFill="1" applyBorder="1" applyAlignment="1">
      <alignment horizontal="right" vertical="center"/>
    </xf>
    <xf numFmtId="165" fontId="9" fillId="7" borderId="10" xfId="0" applyNumberFormat="1" applyFont="1" applyFill="1" applyBorder="1" applyAlignment="1" applyProtection="1">
      <alignment horizontal="right" vertical="center"/>
      <protection locked="0"/>
    </xf>
    <xf numFmtId="49" fontId="25" fillId="15" borderId="19" xfId="0" applyFont="1" applyFill="1" applyBorder="1" applyAlignment="1">
      <alignment horizontal="left" vertical="center"/>
    </xf>
    <xf numFmtId="49" fontId="9" fillId="7" borderId="10" xfId="0" applyFont="1" applyFill="1" applyBorder="1" applyAlignment="1" applyProtection="1">
      <alignment horizontal="left" vertical="center" wrapText="1"/>
      <protection locked="0"/>
    </xf>
    <xf numFmtId="0" fontId="9" fillId="15" borderId="17" xfId="0" applyNumberFormat="1" applyFont="1" applyFill="1" applyBorder="1" applyAlignment="1">
      <alignment vertical="center" wrapText="1"/>
    </xf>
    <xf numFmtId="0" fontId="9" fillId="15" borderId="17" xfId="0" applyNumberFormat="1" applyFont="1" applyFill="1" applyBorder="1" applyAlignment="1">
      <alignment vertical="center"/>
    </xf>
    <xf numFmtId="0" fontId="9" fillId="15" borderId="28" xfId="0" applyNumberFormat="1" applyFont="1" applyFill="1" applyBorder="1" applyAlignment="1">
      <alignment vertical="center"/>
    </xf>
    <xf numFmtId="0" fontId="9" fillId="15" borderId="19" xfId="0" applyNumberFormat="1" applyFont="1" applyFill="1" applyBorder="1" applyAlignment="1">
      <alignment vertical="center" wrapText="1"/>
    </xf>
    <xf numFmtId="0" fontId="9" fillId="15" borderId="25" xfId="0" applyNumberFormat="1" applyFont="1" applyFill="1" applyBorder="1" applyAlignment="1">
      <alignment vertical="center" wrapText="1"/>
    </xf>
    <xf numFmtId="165" fontId="3" fillId="8" borderId="11" xfId="0" applyNumberFormat="1" applyFont="1" applyFill="1" applyBorder="1" applyAlignment="1">
      <alignment horizontal="right" vertical="center"/>
    </xf>
    <xf numFmtId="0" fontId="8" fillId="0" borderId="12" xfId="0" quotePrefix="1" applyNumberFormat="1" applyFont="1" applyBorder="1" applyAlignment="1">
      <alignment horizontal="left" vertical="center" indent="1"/>
    </xf>
    <xf numFmtId="0" fontId="27" fillId="0" borderId="12" xfId="0" quotePrefix="1" applyNumberFormat="1" applyFont="1" applyBorder="1" applyAlignment="1">
      <alignment horizontal="left" vertical="center" indent="1"/>
    </xf>
    <xf numFmtId="49" fontId="27" fillId="0" borderId="12" xfId="0" quotePrefix="1" applyFont="1" applyBorder="1" applyAlignment="1">
      <alignment horizontal="left" vertical="center" indent="1"/>
    </xf>
    <xf numFmtId="0" fontId="15" fillId="0" borderId="0" xfId="0" applyNumberFormat="1" applyFont="1" applyAlignment="1"/>
    <xf numFmtId="0" fontId="13" fillId="0" borderId="12" xfId="0" applyNumberFormat="1" applyFont="1" applyBorder="1" applyAlignment="1">
      <alignment horizontal="left" vertical="center" indent="1"/>
    </xf>
    <xf numFmtId="0" fontId="15" fillId="0" borderId="12" xfId="0" applyNumberFormat="1" applyFont="1" applyBorder="1" applyAlignment="1"/>
    <xf numFmtId="0" fontId="31" fillId="2" borderId="10" xfId="0" applyNumberFormat="1" applyFont="1" applyFill="1" applyBorder="1" applyAlignment="1">
      <alignment horizontal="center" vertical="center"/>
    </xf>
    <xf numFmtId="0" fontId="15" fillId="2" borderId="10" xfId="0" applyNumberFormat="1" applyFont="1" applyFill="1" applyBorder="1" applyAlignment="1">
      <alignment vertical="center"/>
    </xf>
    <xf numFmtId="0" fontId="15" fillId="2" borderId="10" xfId="0" applyNumberFormat="1" applyFont="1" applyFill="1" applyBorder="1" applyAlignment="1">
      <alignment vertical="center" wrapText="1"/>
    </xf>
    <xf numFmtId="0" fontId="15" fillId="0" borderId="0" xfId="0" applyNumberFormat="1" applyFont="1" applyAlignment="1">
      <alignment horizontal="left" vertical="center" indent="1"/>
    </xf>
    <xf numFmtId="0" fontId="9" fillId="0" borderId="22" xfId="0" applyNumberFormat="1" applyFont="1" applyBorder="1" applyAlignment="1">
      <alignment vertical="center"/>
    </xf>
    <xf numFmtId="0" fontId="9" fillId="0" borderId="22" xfId="0" applyNumberFormat="1" applyFont="1" applyBorder="1" applyAlignment="1">
      <alignment vertical="center" wrapText="1"/>
    </xf>
    <xf numFmtId="0" fontId="3" fillId="0" borderId="22" xfId="0" applyNumberFormat="1" applyFont="1" applyBorder="1" applyAlignment="1">
      <alignment horizontal="left" vertical="center" wrapText="1" indent="1"/>
    </xf>
    <xf numFmtId="0" fontId="3" fillId="0" borderId="11" xfId="0" applyNumberFormat="1" applyFont="1" applyBorder="1" applyAlignment="1">
      <alignment horizontal="left" vertical="center" wrapText="1" indent="2"/>
    </xf>
    <xf numFmtId="0" fontId="9" fillId="0" borderId="11" xfId="0" applyNumberFormat="1" applyFont="1" applyBorder="1" applyAlignment="1">
      <alignment horizontal="left" vertical="center" wrapText="1" indent="3"/>
    </xf>
    <xf numFmtId="0" fontId="3" fillId="0" borderId="37" xfId="0" applyNumberFormat="1" applyFont="1" applyBorder="1" applyAlignment="1">
      <alignment horizontal="left" vertical="center" wrapText="1" indent="1"/>
    </xf>
    <xf numFmtId="0" fontId="3" fillId="0" borderId="41" xfId="0" applyNumberFormat="1" applyFont="1" applyBorder="1" applyAlignment="1">
      <alignment vertical="center" wrapText="1"/>
    </xf>
    <xf numFmtId="0" fontId="3" fillId="0" borderId="41" xfId="0" applyNumberFormat="1" applyFont="1" applyBorder="1" applyAlignment="1">
      <alignment horizontal="left" vertical="center" wrapText="1" indent="1"/>
    </xf>
    <xf numFmtId="0" fontId="3" fillId="0" borderId="37" xfId="0" applyNumberFormat="1" applyFont="1" applyBorder="1" applyAlignment="1">
      <alignment vertical="center" wrapText="1"/>
    </xf>
    <xf numFmtId="0" fontId="9" fillId="0" borderId="11" xfId="0" applyNumberFormat="1" applyFont="1" applyBorder="1" applyAlignment="1">
      <alignment horizontal="left" vertical="center" wrapText="1" indent="2"/>
    </xf>
    <xf numFmtId="0" fontId="9" fillId="0" borderId="11" xfId="0" applyNumberFormat="1" applyFont="1" applyBorder="1" applyAlignment="1">
      <alignment horizontal="left" vertical="center" wrapText="1" indent="1"/>
    </xf>
    <xf numFmtId="0" fontId="3" fillId="0" borderId="36" xfId="0" applyNumberFormat="1" applyFont="1" applyBorder="1" applyAlignment="1">
      <alignment horizontal="left" vertical="center" wrapText="1"/>
    </xf>
    <xf numFmtId="0" fontId="3" fillId="0" borderId="10" xfId="0" applyNumberFormat="1" applyFont="1" applyBorder="1" applyAlignment="1">
      <alignment vertical="center" wrapText="1"/>
    </xf>
    <xf numFmtId="0" fontId="9" fillId="0" borderId="10" xfId="0" applyNumberFormat="1" applyFont="1" applyBorder="1" applyAlignment="1">
      <alignment horizontal="left" vertical="center" indent="1"/>
    </xf>
    <xf numFmtId="0" fontId="9" fillId="0" borderId="10" xfId="0" applyNumberFormat="1" applyFont="1" applyBorder="1" applyAlignment="1">
      <alignment horizontal="left" vertical="center" indent="2"/>
    </xf>
    <xf numFmtId="165" fontId="3" fillId="0" borderId="0" xfId="0" applyNumberFormat="1" applyFont="1">
      <alignment vertical="top"/>
    </xf>
    <xf numFmtId="165" fontId="12" fillId="0" borderId="0" xfId="0" applyNumberFormat="1" applyFont="1">
      <alignment vertical="top"/>
    </xf>
    <xf numFmtId="165" fontId="9" fillId="8" borderId="11" xfId="0" applyNumberFormat="1" applyFont="1" applyFill="1" applyBorder="1" applyAlignment="1">
      <alignment horizontal="right" vertical="center"/>
    </xf>
    <xf numFmtId="0" fontId="20" fillId="16" borderId="11" xfId="0" applyNumberFormat="1" applyFont="1" applyFill="1" applyBorder="1" applyAlignment="1" applyProtection="1">
      <alignment horizontal="left" vertical="center" wrapText="1" indent="1"/>
      <protection locked="0"/>
    </xf>
    <xf numFmtId="0" fontId="9" fillId="0" borderId="0" xfId="0" applyNumberFormat="1" applyFont="1" applyAlignment="1">
      <alignment horizontal="left" vertical="center"/>
    </xf>
    <xf numFmtId="49" fontId="27" fillId="0" borderId="12" xfId="0" applyFont="1" applyBorder="1" applyAlignment="1">
      <alignment horizontal="left" vertical="center" wrapText="1" indent="4"/>
    </xf>
    <xf numFmtId="49" fontId="27" fillId="0" borderId="0" xfId="0" quotePrefix="1" applyFont="1" applyAlignment="1">
      <alignment horizontal="left" vertical="center" wrapText="1" indent="4"/>
    </xf>
    <xf numFmtId="49" fontId="3" fillId="9" borderId="10" xfId="0" applyFont="1" applyFill="1" applyBorder="1" applyAlignment="1">
      <alignment horizontal="center" vertical="center" wrapText="1"/>
    </xf>
    <xf numFmtId="4" fontId="12" fillId="0" borderId="0" xfId="0" applyNumberFormat="1" applyFont="1" applyAlignment="1">
      <alignment horizontal="right" vertical="center"/>
    </xf>
    <xf numFmtId="4" fontId="3" fillId="0" borderId="0" xfId="0" applyNumberFormat="1" applyFont="1" applyAlignment="1">
      <alignment horizontal="right" vertical="center"/>
    </xf>
    <xf numFmtId="0" fontId="15" fillId="2" borderId="10" xfId="0" quotePrefix="1" applyNumberFormat="1" applyFont="1" applyFill="1" applyBorder="1" applyAlignment="1">
      <alignment vertical="center" wrapText="1"/>
    </xf>
    <xf numFmtId="0" fontId="3" fillId="0" borderId="6" xfId="0" applyNumberFormat="1" applyFont="1" applyBorder="1" applyAlignment="1">
      <alignment horizontal="center" vertical="center" wrapText="1"/>
    </xf>
    <xf numFmtId="0" fontId="9" fillId="0" borderId="42" xfId="0" applyNumberFormat="1" applyFont="1" applyBorder="1" applyAlignment="1">
      <alignment horizontal="center" vertical="center" wrapText="1"/>
    </xf>
    <xf numFmtId="0" fontId="9" fillId="0" borderId="36" xfId="0" applyNumberFormat="1" applyFont="1" applyBorder="1" applyAlignment="1">
      <alignment horizontal="center" vertical="center" wrapText="1"/>
    </xf>
    <xf numFmtId="0" fontId="8" fillId="0" borderId="10" xfId="0" applyNumberFormat="1" applyFont="1" applyBorder="1" applyAlignment="1">
      <alignment horizontal="left" vertical="center" wrapText="1" indent="1"/>
    </xf>
    <xf numFmtId="0" fontId="9" fillId="8" borderId="37" xfId="0" applyNumberFormat="1" applyFont="1" applyFill="1" applyBorder="1" applyAlignment="1">
      <alignment horizontal="left" vertical="center" indent="1"/>
    </xf>
    <xf numFmtId="0" fontId="9" fillId="8" borderId="22" xfId="0" applyNumberFormat="1" applyFont="1" applyFill="1" applyBorder="1" applyAlignment="1">
      <alignment horizontal="left" vertical="center" indent="1"/>
    </xf>
    <xf numFmtId="0" fontId="32" fillId="0" borderId="0" xfId="0" applyNumberFormat="1" applyFont="1" applyAlignment="1">
      <alignment vertical="center"/>
    </xf>
    <xf numFmtId="0" fontId="3" fillId="0" borderId="0" xfId="0" applyNumberFormat="1" applyFont="1" applyAlignment="1">
      <alignment horizontal="left" vertical="center"/>
    </xf>
    <xf numFmtId="0" fontId="3" fillId="0" borderId="0" xfId="0" applyNumberFormat="1" applyFont="1" applyAlignment="1">
      <alignment horizontal="left" vertical="center" indent="2"/>
    </xf>
    <xf numFmtId="49" fontId="25" fillId="15" borderId="34" xfId="0" applyFont="1" applyFill="1" applyBorder="1" applyAlignment="1">
      <alignment horizontal="left" vertical="center" wrapText="1"/>
    </xf>
    <xf numFmtId="49" fontId="9" fillId="0" borderId="0" xfId="0" applyFont="1" applyAlignment="1"/>
    <xf numFmtId="49" fontId="27" fillId="18" borderId="37" xfId="0" applyFont="1" applyFill="1" applyBorder="1" applyAlignment="1">
      <alignment horizontal="left" vertical="center" wrapText="1"/>
    </xf>
    <xf numFmtId="49" fontId="27" fillId="18" borderId="22" xfId="0" applyFont="1" applyFill="1" applyBorder="1" applyAlignment="1">
      <alignment horizontal="left" vertical="center" wrapText="1"/>
    </xf>
    <xf numFmtId="0" fontId="3" fillId="9" borderId="43" xfId="0" applyNumberFormat="1" applyFont="1" applyFill="1" applyBorder="1" applyAlignment="1">
      <alignment horizontal="center" vertical="center" wrapText="1"/>
    </xf>
    <xf numFmtId="0" fontId="3" fillId="0" borderId="0" xfId="0" applyNumberFormat="1" applyFont="1" applyAlignment="1">
      <alignment horizontal="left"/>
    </xf>
    <xf numFmtId="0" fontId="9" fillId="0" borderId="0" xfId="0" applyNumberFormat="1" applyFont="1" applyAlignment="1">
      <alignment horizontal="left"/>
    </xf>
    <xf numFmtId="0" fontId="20" fillId="0" borderId="0" xfId="0" applyNumberFormat="1" applyFont="1" applyAlignment="1">
      <alignment horizontal="left" vertical="center" wrapText="1"/>
    </xf>
    <xf numFmtId="0" fontId="20" fillId="0" borderId="0" xfId="0" applyNumberFormat="1" applyFont="1" applyAlignment="1">
      <alignment horizontal="left" vertical="center"/>
    </xf>
    <xf numFmtId="0" fontId="1" fillId="0" borderId="0" xfId="0" applyNumberFormat="1" applyFont="1" applyAlignment="1"/>
    <xf numFmtId="0" fontId="20" fillId="13" borderId="0" xfId="0" applyNumberFormat="1" applyFont="1" applyFill="1" applyAlignment="1">
      <alignment vertical="center"/>
    </xf>
    <xf numFmtId="0" fontId="24" fillId="14" borderId="10" xfId="0" applyNumberFormat="1" applyFont="1" applyFill="1" applyBorder="1" applyAlignment="1">
      <alignment horizontal="left" vertical="center"/>
    </xf>
    <xf numFmtId="4" fontId="8" fillId="7" borderId="10" xfId="0" applyNumberFormat="1" applyFont="1" applyFill="1" applyBorder="1" applyAlignment="1" applyProtection="1">
      <alignment horizontal="right" vertical="center" wrapText="1"/>
      <protection locked="0"/>
    </xf>
    <xf numFmtId="0" fontId="9" fillId="15" borderId="28" xfId="0" applyNumberFormat="1" applyFont="1" applyFill="1" applyBorder="1" applyAlignment="1"/>
    <xf numFmtId="0" fontId="11" fillId="13" borderId="0" xfId="0" applyNumberFormat="1" applyFont="1" applyFill="1" applyAlignment="1">
      <alignment vertical="center"/>
    </xf>
    <xf numFmtId="49" fontId="3" fillId="7" borderId="11" xfId="0" applyFont="1" applyFill="1" applyBorder="1" applyAlignment="1" applyProtection="1">
      <alignment horizontal="left" vertical="center" wrapText="1" indent="1"/>
      <protection locked="0"/>
    </xf>
    <xf numFmtId="49" fontId="3" fillId="16" borderId="11" xfId="0" applyFont="1" applyFill="1" applyBorder="1" applyAlignment="1" applyProtection="1">
      <alignment horizontal="left" vertical="center" wrapText="1" indent="1"/>
      <protection locked="0"/>
    </xf>
    <xf numFmtId="0" fontId="33" fillId="0" borderId="0" xfId="0" applyNumberFormat="1" applyFont="1" applyAlignment="1">
      <alignment vertical="center"/>
    </xf>
    <xf numFmtId="0" fontId="33" fillId="0" borderId="0" xfId="0" applyNumberFormat="1" applyFont="1" applyAlignment="1">
      <alignment vertical="center" wrapText="1"/>
    </xf>
    <xf numFmtId="0" fontId="34" fillId="0" borderId="0" xfId="0" applyNumberFormat="1" applyFont="1" applyAlignment="1">
      <alignment vertical="center"/>
    </xf>
    <xf numFmtId="0" fontId="3" fillId="7" borderId="11" xfId="0" applyNumberFormat="1" applyFont="1" applyFill="1" applyBorder="1" applyAlignment="1" applyProtection="1">
      <alignment horizontal="left" vertical="center" wrapText="1" indent="1"/>
      <protection locked="0"/>
    </xf>
    <xf numFmtId="49" fontId="9" fillId="16" borderId="11" xfId="0" applyFont="1" applyFill="1" applyBorder="1" applyAlignment="1" applyProtection="1">
      <alignment horizontal="left" vertical="center" wrapText="1" indent="1"/>
      <protection locked="0"/>
    </xf>
    <xf numFmtId="49" fontId="9" fillId="8" borderId="11" xfId="0" applyFont="1" applyFill="1" applyBorder="1" applyAlignment="1">
      <alignment horizontal="left" vertical="center" wrapText="1" indent="1"/>
    </xf>
    <xf numFmtId="49" fontId="3" fillId="0" borderId="22" xfId="0" applyFont="1" applyBorder="1" applyAlignment="1">
      <alignment horizontal="right" vertical="center" wrapText="1" indent="1"/>
    </xf>
    <xf numFmtId="0" fontId="9" fillId="16" borderId="11" xfId="0" applyNumberFormat="1" applyFont="1" applyFill="1" applyBorder="1" applyAlignment="1" applyProtection="1">
      <alignment horizontal="left" vertical="center" wrapText="1" indent="1"/>
      <protection locked="0"/>
    </xf>
    <xf numFmtId="49" fontId="3" fillId="0" borderId="11" xfId="0" applyFont="1" applyBorder="1" applyAlignment="1">
      <alignment horizontal="right" vertical="center" wrapText="1" indent="1"/>
    </xf>
    <xf numFmtId="49" fontId="25" fillId="15" borderId="35" xfId="0" applyFont="1" applyFill="1" applyBorder="1" applyAlignment="1">
      <alignment horizontal="right" vertical="center" wrapText="1" indent="1"/>
    </xf>
    <xf numFmtId="0" fontId="9" fillId="8" borderId="11" xfId="0" applyNumberFormat="1" applyFont="1" applyFill="1" applyBorder="1" applyAlignment="1">
      <alignment horizontal="left" vertical="center" wrapText="1" indent="1"/>
    </xf>
    <xf numFmtId="0" fontId="3" fillId="8" borderId="11" xfId="0" applyNumberFormat="1" applyFont="1" applyFill="1" applyBorder="1" applyAlignment="1">
      <alignment horizontal="left" vertical="center" indent="1"/>
    </xf>
    <xf numFmtId="0" fontId="8" fillId="0" borderId="11" xfId="0" applyNumberFormat="1" applyFont="1" applyBorder="1" applyAlignment="1">
      <alignment horizontal="right" vertical="center" wrapText="1" indent="1"/>
    </xf>
    <xf numFmtId="0" fontId="27" fillId="8" borderId="11" xfId="0" applyNumberFormat="1" applyFont="1" applyFill="1" applyBorder="1" applyAlignment="1">
      <alignment horizontal="left" vertical="center" wrapText="1" indent="1"/>
    </xf>
    <xf numFmtId="14" fontId="9" fillId="7" borderId="11" xfId="0" applyNumberFormat="1" applyFont="1" applyFill="1" applyBorder="1" applyAlignment="1" applyProtection="1">
      <alignment horizontal="left" vertical="center" wrapText="1" indent="1"/>
      <protection locked="0"/>
    </xf>
    <xf numFmtId="49" fontId="35" fillId="7" borderId="11" xfId="0" applyFont="1" applyFill="1" applyBorder="1" applyAlignment="1" applyProtection="1">
      <alignment horizontal="left" vertical="center" wrapText="1" indent="1"/>
      <protection locked="0"/>
    </xf>
    <xf numFmtId="0" fontId="9" fillId="0" borderId="44" xfId="0" applyNumberFormat="1" applyFont="1" applyBorder="1" applyAlignment="1"/>
    <xf numFmtId="0" fontId="20" fillId="0" borderId="44" xfId="0" applyNumberFormat="1" applyFont="1" applyBorder="1" applyAlignment="1">
      <alignment vertical="center"/>
    </xf>
    <xf numFmtId="49" fontId="3" fillId="8" borderId="10" xfId="0" applyFont="1" applyFill="1" applyBorder="1" applyAlignment="1">
      <alignment horizontal="left" vertical="center" wrapText="1" indent="1"/>
    </xf>
    <xf numFmtId="49" fontId="33" fillId="0" borderId="0" xfId="0" applyFont="1">
      <alignment vertical="top"/>
    </xf>
    <xf numFmtId="49" fontId="27" fillId="18" borderId="36" xfId="0" applyFont="1" applyFill="1" applyBorder="1" applyAlignment="1">
      <alignment horizontal="left" vertical="center"/>
    </xf>
    <xf numFmtId="4" fontId="9" fillId="0" borderId="39" xfId="0" applyNumberFormat="1" applyFont="1" applyBorder="1" applyAlignment="1">
      <alignment horizontal="right" vertical="center"/>
    </xf>
    <xf numFmtId="0" fontId="11" fillId="19" borderId="0" xfId="0" applyNumberFormat="1" applyFont="1" applyFill="1" applyAlignment="1">
      <alignment vertical="center" wrapText="1"/>
    </xf>
    <xf numFmtId="0" fontId="11" fillId="20" borderId="0" xfId="0" applyNumberFormat="1" applyFont="1" applyFill="1" applyAlignment="1">
      <alignment vertical="center" wrapText="1"/>
    </xf>
    <xf numFmtId="0" fontId="11" fillId="20" borderId="0" xfId="0" applyNumberFormat="1" applyFont="1" applyFill="1" applyAlignment="1">
      <alignment vertical="center"/>
    </xf>
    <xf numFmtId="0" fontId="36" fillId="0" borderId="0" xfId="0" applyNumberFormat="1" applyFont="1" applyAlignment="1">
      <alignment horizontal="left" vertical="center"/>
    </xf>
    <xf numFmtId="49" fontId="22" fillId="11" borderId="0" xfId="0" applyFont="1" applyFill="1" applyAlignment="1">
      <alignment horizontal="center" vertical="top"/>
    </xf>
    <xf numFmtId="49" fontId="11" fillId="12" borderId="0" xfId="0" applyFont="1" applyFill="1" applyAlignment="1">
      <alignment horizontal="right"/>
    </xf>
    <xf numFmtId="0" fontId="3" fillId="0" borderId="0" xfId="0" applyNumberFormat="1" applyFont="1">
      <alignment vertical="top"/>
    </xf>
    <xf numFmtId="49" fontId="35" fillId="7" borderId="11" xfId="0" applyFont="1" applyFill="1" applyBorder="1" applyAlignment="1">
      <alignment horizontal="left" vertical="center" wrapText="1" indent="1"/>
    </xf>
    <xf numFmtId="49" fontId="3" fillId="7" borderId="11" xfId="0" applyFont="1" applyFill="1" applyBorder="1" applyAlignment="1">
      <alignment horizontal="left" vertical="center" wrapText="1" indent="1"/>
    </xf>
    <xf numFmtId="49" fontId="3" fillId="16" borderId="11" xfId="0" applyFont="1" applyFill="1" applyBorder="1" applyAlignment="1">
      <alignment horizontal="left" vertical="center" wrapText="1" indent="1"/>
    </xf>
    <xf numFmtId="167" fontId="9" fillId="16" borderId="11" xfId="0" applyNumberFormat="1" applyFont="1" applyFill="1" applyBorder="1" applyAlignment="1" applyProtection="1">
      <alignment horizontal="left" vertical="center" wrapText="1" indent="1"/>
      <protection locked="0"/>
    </xf>
    <xf numFmtId="49" fontId="37" fillId="0" borderId="0" xfId="0" applyFont="1" applyAlignment="1">
      <alignment horizontal="center" vertical="center" wrapText="1"/>
    </xf>
    <xf numFmtId="0" fontId="38" fillId="0" borderId="0" xfId="0" applyNumberFormat="1" applyFont="1" applyAlignment="1">
      <alignment wrapText="1"/>
    </xf>
    <xf numFmtId="49" fontId="39" fillId="0" borderId="0" xfId="0" applyFont="1" applyAlignment="1">
      <alignment wrapText="1"/>
    </xf>
    <xf numFmtId="49" fontId="11" fillId="9" borderId="0" xfId="0" applyFont="1" applyFill="1" applyAlignment="1">
      <alignment vertical="center" wrapText="1"/>
    </xf>
    <xf numFmtId="49" fontId="10" fillId="21" borderId="0" xfId="0" applyFont="1" applyFill="1" applyAlignment="1">
      <alignment vertical="center" wrapText="1"/>
    </xf>
    <xf numFmtId="49" fontId="3"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18" fillId="0" borderId="0" xfId="0" applyNumberFormat="1" applyFont="1" applyAlignment="1">
      <alignment horizontal="center"/>
    </xf>
    <xf numFmtId="0" fontId="36" fillId="0" borderId="0" xfId="0" applyNumberFormat="1" applyFont="1" applyAlignment="1">
      <alignment horizontal="center" vertical="center"/>
    </xf>
    <xf numFmtId="0" fontId="36"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0" fillId="0" borderId="0" xfId="0" applyNumberFormat="1" applyFont="1" applyAlignment="1">
      <alignment horizontal="center" vertical="center"/>
    </xf>
    <xf numFmtId="49" fontId="41" fillId="0" borderId="0" xfId="0" applyFont="1" applyAlignment="1">
      <alignment horizontal="center" wrapText="1"/>
    </xf>
    <xf numFmtId="0" fontId="42" fillId="0" borderId="0" xfId="0" applyNumberFormat="1" applyFont="1" applyAlignment="1">
      <alignment horizontal="center"/>
    </xf>
    <xf numFmtId="0" fontId="43" fillId="0" borderId="0" xfId="0" applyNumberFormat="1" applyFont="1" applyAlignment="1">
      <alignment horizontal="center" vertical="top" wrapText="1"/>
    </xf>
    <xf numFmtId="49" fontId="0" fillId="0" borderId="0" xfId="0" applyAlignment="1">
      <alignment horizontal="center" vertical="center" wrapText="1"/>
    </xf>
    <xf numFmtId="0" fontId="36" fillId="0" borderId="0" xfId="0" applyNumberFormat="1" applyFont="1" applyAlignment="1">
      <alignment horizontal="center"/>
    </xf>
    <xf numFmtId="0" fontId="40" fillId="0" borderId="0" xfId="0" applyNumberFormat="1" applyFont="1" applyAlignment="1">
      <alignment horizontal="center"/>
    </xf>
    <xf numFmtId="0" fontId="0" fillId="0" borderId="0" xfId="0" applyNumberFormat="1" applyAlignment="1">
      <alignment horizontal="center" wrapText="1"/>
    </xf>
    <xf numFmtId="0" fontId="43"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4" fillId="0" borderId="0" xfId="0" applyNumberFormat="1" applyFont="1" applyAlignment="1"/>
    <xf numFmtId="0" fontId="44" fillId="0" borderId="12" xfId="0" applyNumberFormat="1" applyFont="1" applyBorder="1" applyAlignment="1">
      <alignment vertical="center"/>
    </xf>
    <xf numFmtId="49" fontId="45" fillId="0" borderId="0" xfId="0" applyFont="1" applyAlignment="1">
      <alignment horizontal="center" vertical="center" wrapText="1"/>
    </xf>
    <xf numFmtId="0" fontId="3" fillId="0" borderId="10" xfId="0" applyNumberFormat="1" applyFont="1" applyBorder="1" applyAlignment="1">
      <alignment horizontal="left" vertical="center" wrapText="1"/>
    </xf>
    <xf numFmtId="0" fontId="3" fillId="16" borderId="10" xfId="0" applyNumberFormat="1" applyFont="1" applyFill="1" applyBorder="1" applyAlignment="1" applyProtection="1">
      <alignment horizontal="left" vertical="center" wrapText="1" indent="1"/>
      <protection locked="0"/>
    </xf>
    <xf numFmtId="0" fontId="3" fillId="0" borderId="29"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49" fontId="11" fillId="12" borderId="0" xfId="0" applyFont="1" applyFill="1" applyAlignment="1">
      <alignment vertical="center" wrapText="1"/>
    </xf>
    <xf numFmtId="49" fontId="9" fillId="7" borderId="11" xfId="0" applyFont="1" applyFill="1" applyBorder="1" applyAlignment="1" applyProtection="1">
      <alignment horizontal="left" vertical="center" wrapText="1" indent="1"/>
      <protection locked="0"/>
    </xf>
    <xf numFmtId="0" fontId="9" fillId="22" borderId="0" xfId="0" applyNumberFormat="1" applyFont="1" applyFill="1" applyAlignment="1">
      <alignment horizontal="center" vertical="center"/>
    </xf>
    <xf numFmtId="49" fontId="3" fillId="22" borderId="0" xfId="0" applyFont="1" applyFill="1" applyAlignment="1">
      <alignment horizontal="center" vertical="center"/>
    </xf>
    <xf numFmtId="0" fontId="3" fillId="22" borderId="0" xfId="0" applyNumberFormat="1" applyFont="1" applyFill="1" applyAlignment="1">
      <alignment horizontal="center" vertical="center"/>
    </xf>
    <xf numFmtId="0" fontId="46" fillId="0" borderId="0" xfId="0" applyNumberFormat="1" applyFont="1" applyAlignment="1">
      <alignment wrapText="1"/>
    </xf>
    <xf numFmtId="0" fontId="33" fillId="0" borderId="0" xfId="0" applyNumberFormat="1" applyFont="1" applyAlignment="1">
      <alignment horizontal="center" vertical="center"/>
    </xf>
    <xf numFmtId="0" fontId="34" fillId="0" borderId="0" xfId="0" applyNumberFormat="1" applyFont="1" applyAlignment="1">
      <alignment horizontal="center" vertical="center"/>
    </xf>
    <xf numFmtId="0" fontId="33" fillId="0" borderId="0" xfId="0" applyNumberFormat="1" applyFont="1" applyAlignment="1">
      <alignment horizontal="left" vertical="center" wrapText="1"/>
    </xf>
    <xf numFmtId="0" fontId="47" fillId="0" borderId="0" xfId="0" applyNumberFormat="1" applyFont="1" applyAlignment="1">
      <alignment vertical="center" wrapText="1"/>
    </xf>
    <xf numFmtId="0" fontId="47" fillId="0" borderId="0" xfId="0" applyNumberFormat="1" applyFont="1" applyAlignment="1">
      <alignment vertical="center"/>
    </xf>
    <xf numFmtId="0" fontId="48" fillId="0" borderId="0" xfId="0" applyNumberFormat="1" applyFont="1" applyAlignment="1">
      <alignment vertical="center"/>
    </xf>
    <xf numFmtId="0" fontId="49" fillId="0" borderId="0" xfId="0" applyNumberFormat="1" applyFont="1" applyAlignment="1">
      <alignment vertical="center"/>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16" fillId="0" borderId="0" xfId="0" applyNumberFormat="1" applyFont="1" applyAlignment="1">
      <alignment horizontal="center" vertical="center"/>
    </xf>
    <xf numFmtId="0" fontId="16" fillId="0" borderId="0" xfId="0" applyNumberFormat="1" applyFont="1" applyAlignment="1">
      <alignment vertical="center" wrapText="1"/>
    </xf>
    <xf numFmtId="49" fontId="16" fillId="0" borderId="0" xfId="0" applyFont="1">
      <alignment vertical="top"/>
    </xf>
    <xf numFmtId="0" fontId="8" fillId="0" borderId="22" xfId="0" applyNumberFormat="1" applyFont="1" applyBorder="1" applyAlignment="1">
      <alignment horizontal="right" vertical="center" wrapText="1" indent="1"/>
    </xf>
    <xf numFmtId="0" fontId="27" fillId="0" borderId="11" xfId="0" applyNumberFormat="1" applyFont="1" applyBorder="1" applyAlignment="1">
      <alignment horizontal="left" vertical="center" wrapText="1" indent="1"/>
    </xf>
    <xf numFmtId="49" fontId="25" fillId="15" borderId="31" xfId="0" applyFont="1" applyFill="1" applyBorder="1" applyAlignment="1">
      <alignment horizontal="right" vertical="center" wrapText="1" indent="1"/>
    </xf>
    <xf numFmtId="0" fontId="16" fillId="0" borderId="0" xfId="0" applyNumberFormat="1" applyFont="1" applyAlignment="1">
      <alignment horizontal="left" vertical="center"/>
    </xf>
    <xf numFmtId="0" fontId="9" fillId="5" borderId="0" xfId="0" applyNumberFormat="1" applyFont="1" applyFill="1" applyAlignment="1"/>
    <xf numFmtId="0" fontId="16" fillId="0" borderId="0" xfId="0" applyNumberFormat="1" applyFont="1" applyAlignment="1">
      <alignment horizontal="center"/>
    </xf>
    <xf numFmtId="0" fontId="50" fillId="0" borderId="0" xfId="0" applyNumberFormat="1" applyFont="1" applyAlignment="1"/>
    <xf numFmtId="0" fontId="51" fillId="0" borderId="0" xfId="0" applyNumberFormat="1" applyFont="1" applyAlignment="1">
      <alignment vertical="center"/>
    </xf>
    <xf numFmtId="0" fontId="3" fillId="5" borderId="0" xfId="0" applyNumberFormat="1" applyFont="1" applyFill="1" applyAlignment="1">
      <alignment horizontal="center"/>
    </xf>
    <xf numFmtId="49" fontId="9" fillId="22" borderId="0" xfId="0" applyFont="1" applyFill="1" applyAlignment="1">
      <alignment horizontal="center" vertical="center"/>
    </xf>
    <xf numFmtId="0" fontId="3" fillId="22" borderId="0" xfId="0" applyNumberFormat="1" applyFont="1" applyFill="1" applyAlignment="1">
      <alignment horizontal="left" vertical="center"/>
    </xf>
    <xf numFmtId="49" fontId="9" fillId="0" borderId="0" xfId="0" applyFont="1" applyAlignment="1">
      <alignment horizontal="center" vertical="center"/>
    </xf>
    <xf numFmtId="49" fontId="3" fillId="0" borderId="0" xfId="0" applyFont="1" applyAlignment="1">
      <alignment horizontal="center" vertical="center"/>
    </xf>
    <xf numFmtId="49" fontId="25" fillId="15" borderId="17" xfId="0" applyFont="1" applyFill="1" applyBorder="1" applyAlignment="1">
      <alignment vertical="center"/>
    </xf>
    <xf numFmtId="49" fontId="3" fillId="0" borderId="11" xfId="0" applyFont="1" applyBorder="1" applyAlignment="1">
      <alignment horizontal="center" vertical="center" wrapText="1"/>
    </xf>
    <xf numFmtId="0" fontId="3" fillId="0" borderId="0" xfId="0" applyNumberFormat="1" applyFont="1" applyAlignment="1">
      <alignment horizontal="center" vertical="center"/>
    </xf>
    <xf numFmtId="0" fontId="8" fillId="0" borderId="0" xfId="0" applyNumberFormat="1" applyFont="1" applyAlignment="1">
      <alignment horizontal="center"/>
    </xf>
    <xf numFmtId="49" fontId="3" fillId="0" borderId="11" xfId="0" applyFont="1" applyBorder="1" applyAlignment="1">
      <alignment horizontal="left" vertical="center" wrapText="1"/>
    </xf>
    <xf numFmtId="4" fontId="3" fillId="8" borderId="11" xfId="0" applyNumberFormat="1" applyFont="1" applyFill="1" applyBorder="1" applyAlignment="1">
      <alignment horizontal="right" vertical="center" wrapText="1"/>
    </xf>
    <xf numFmtId="49" fontId="3" fillId="0" borderId="45" xfId="0" applyFont="1" applyBorder="1" applyAlignment="1">
      <alignment horizontal="center" vertical="center" wrapText="1"/>
    </xf>
    <xf numFmtId="49" fontId="3" fillId="0" borderId="45" xfId="0" applyFont="1" applyBorder="1" applyAlignment="1">
      <alignment horizontal="left" vertical="center" wrapText="1" indent="1"/>
    </xf>
    <xf numFmtId="165" fontId="3" fillId="8" borderId="11" xfId="0" applyNumberFormat="1" applyFont="1" applyFill="1" applyBorder="1" applyAlignment="1">
      <alignment horizontal="right" vertical="center" wrapText="1"/>
    </xf>
    <xf numFmtId="49" fontId="8" fillId="0" borderId="11" xfId="0" applyFont="1" applyBorder="1" applyAlignment="1">
      <alignment horizontal="left" vertical="center" wrapText="1"/>
    </xf>
    <xf numFmtId="4" fontId="8" fillId="8" borderId="11" xfId="0" applyNumberFormat="1" applyFont="1" applyFill="1" applyBorder="1" applyAlignment="1">
      <alignment horizontal="right" vertical="center" wrapText="1"/>
    </xf>
    <xf numFmtId="1" fontId="3" fillId="0" borderId="11" xfId="0" applyNumberFormat="1" applyFont="1" applyBorder="1" applyAlignment="1">
      <alignment horizontal="center" vertical="center" wrapText="1"/>
    </xf>
    <xf numFmtId="4" fontId="3" fillId="7" borderId="11" xfId="0" applyNumberFormat="1" applyFont="1" applyFill="1" applyBorder="1" applyAlignment="1" applyProtection="1">
      <alignment horizontal="right" vertical="center" wrapText="1"/>
      <protection locked="0"/>
    </xf>
    <xf numFmtId="4" fontId="3" fillId="0" borderId="0" xfId="0" applyNumberFormat="1" applyFont="1" applyAlignment="1">
      <alignment horizontal="center" vertical="center"/>
    </xf>
    <xf numFmtId="0" fontId="0" fillId="0" borderId="0" xfId="0" applyNumberFormat="1" applyAlignment="1"/>
    <xf numFmtId="165" fontId="24" fillId="14" borderId="17" xfId="0" applyNumberFormat="1" applyFont="1" applyFill="1" applyBorder="1" applyAlignment="1">
      <alignment horizontal="right" vertical="center"/>
    </xf>
    <xf numFmtId="165" fontId="0" fillId="8" borderId="11" xfId="0" applyNumberFormat="1" applyFill="1" applyBorder="1" applyAlignment="1">
      <alignment vertical="center" wrapText="1"/>
    </xf>
    <xf numFmtId="49" fontId="8" fillId="0" borderId="11" xfId="0" applyFont="1" applyBorder="1" applyAlignment="1">
      <alignment horizontal="left" vertical="center" wrapText="1" shrinkToFit="1"/>
    </xf>
    <xf numFmtId="49" fontId="8" fillId="0" borderId="36" xfId="0" applyFont="1" applyBorder="1" applyAlignment="1">
      <alignment horizontal="center" vertical="center" wrapText="1" shrinkToFit="1"/>
    </xf>
    <xf numFmtId="49" fontId="3" fillId="0" borderId="11" xfId="0" applyFont="1" applyBorder="1" applyAlignment="1">
      <alignment horizontal="left" vertical="center" wrapText="1" indent="1" shrinkToFit="1"/>
    </xf>
    <xf numFmtId="49" fontId="3" fillId="0" borderId="36" xfId="0" applyFont="1" applyBorder="1" applyAlignment="1">
      <alignment horizontal="center" vertical="center" wrapText="1" shrinkToFit="1"/>
    </xf>
    <xf numFmtId="49" fontId="3" fillId="0" borderId="11" xfId="0" applyFont="1" applyBorder="1" applyAlignment="1">
      <alignment horizontal="left" vertical="center" wrapText="1" indent="2" shrinkToFit="1"/>
    </xf>
    <xf numFmtId="49" fontId="3" fillId="0" borderId="11" xfId="0" applyFont="1" applyBorder="1" applyAlignment="1">
      <alignment horizontal="left" vertical="center" wrapText="1" indent="3" shrinkToFit="1"/>
    </xf>
    <xf numFmtId="49" fontId="3" fillId="0" borderId="11" xfId="0" applyFont="1" applyBorder="1" applyAlignment="1">
      <alignment horizontal="left" vertical="center" wrapText="1" indent="4" shrinkToFit="1"/>
    </xf>
    <xf numFmtId="4" fontId="9" fillId="8" borderId="10" xfId="0" applyNumberFormat="1" applyFont="1" applyFill="1" applyBorder="1" applyAlignment="1">
      <alignment horizontal="right" vertical="center" wrapText="1"/>
    </xf>
    <xf numFmtId="49" fontId="8" fillId="0" borderId="37" xfId="0" applyFont="1" applyBorder="1" applyAlignment="1">
      <alignment vertical="center" wrapText="1"/>
    </xf>
    <xf numFmtId="49" fontId="3" fillId="0" borderId="11" xfId="0" applyFont="1" applyBorder="1" applyAlignment="1">
      <alignment horizontal="left" vertical="center" wrapText="1" shrinkToFit="1"/>
    </xf>
    <xf numFmtId="0" fontId="3" fillId="0" borderId="11" xfId="0" applyNumberFormat="1" applyFont="1" applyBorder="1" applyAlignment="1">
      <alignment horizontal="left" vertical="center" wrapText="1" indent="1" shrinkToFit="1"/>
    </xf>
    <xf numFmtId="49" fontId="3" fillId="0" borderId="0" xfId="0" applyFont="1" applyAlignment="1"/>
    <xf numFmtId="49" fontId="3" fillId="0" borderId="0" xfId="0" applyFont="1" applyAlignment="1">
      <alignment horizontal="center" vertical="top"/>
    </xf>
    <xf numFmtId="49" fontId="25" fillId="0" borderId="42" xfId="0" applyFont="1" applyBorder="1" applyAlignment="1">
      <alignment horizontal="left" vertical="center" wrapText="1"/>
    </xf>
    <xf numFmtId="49" fontId="25" fillId="0" borderId="46" xfId="0" applyFont="1" applyBorder="1" applyAlignment="1">
      <alignment horizontal="left" vertical="center" wrapText="1"/>
    </xf>
    <xf numFmtId="49" fontId="25" fillId="0" borderId="47" xfId="0" applyFont="1" applyBorder="1" applyAlignment="1">
      <alignment horizontal="left" vertical="center" wrapText="1"/>
    </xf>
    <xf numFmtId="0" fontId="3" fillId="8" borderId="17" xfId="0" applyNumberFormat="1" applyFont="1" applyFill="1" applyBorder="1" applyAlignment="1">
      <alignment horizontal="left" vertical="center"/>
    </xf>
    <xf numFmtId="0" fontId="11" fillId="23" borderId="0" xfId="0" applyNumberFormat="1" applyFont="1" applyFill="1" applyAlignment="1">
      <alignment vertical="center"/>
    </xf>
    <xf numFmtId="0" fontId="11" fillId="12" borderId="0" xfId="0" applyNumberFormat="1" applyFont="1" applyFill="1" applyAlignment="1">
      <alignment vertical="center"/>
    </xf>
    <xf numFmtId="49" fontId="51" fillId="23" borderId="0" xfId="0" applyFont="1" applyFill="1" applyAlignment="1">
      <alignment vertical="center" wrapText="1"/>
    </xf>
    <xf numFmtId="0" fontId="9" fillId="0" borderId="46" xfId="0" applyNumberFormat="1" applyFont="1" applyBorder="1" applyAlignment="1">
      <alignment horizontal="center" vertical="center" wrapText="1"/>
    </xf>
    <xf numFmtId="0" fontId="9" fillId="0" borderId="22" xfId="0" applyNumberFormat="1" applyFont="1" applyBorder="1" applyAlignment="1">
      <alignment horizontal="center" vertical="center" wrapText="1"/>
    </xf>
    <xf numFmtId="0" fontId="15" fillId="0" borderId="0" xfId="0" applyNumberFormat="1" applyFont="1" applyAlignment="1">
      <alignment horizontal="left" vertical="center"/>
    </xf>
    <xf numFmtId="0" fontId="2" fillId="0" borderId="0" xfId="0" applyNumberFormat="1" applyFont="1" applyAlignment="1"/>
    <xf numFmtId="0" fontId="20" fillId="0" borderId="0" xfId="0" applyNumberFormat="1" applyFont="1" applyAlignment="1">
      <alignment horizontal="center" vertical="center"/>
    </xf>
    <xf numFmtId="0" fontId="9" fillId="0" borderId="45" xfId="0" applyNumberFormat="1" applyFont="1" applyBorder="1" applyAlignment="1">
      <alignment horizontal="center" vertical="center" wrapText="1"/>
    </xf>
    <xf numFmtId="0" fontId="9" fillId="16" borderId="22" xfId="0" applyNumberFormat="1" applyFont="1" applyFill="1" applyBorder="1" applyAlignment="1" applyProtection="1">
      <alignment horizontal="left" vertical="center" wrapText="1" indent="1"/>
      <protection locked="0"/>
    </xf>
    <xf numFmtId="49" fontId="3" fillId="0" borderId="48" xfId="0" applyFont="1" applyBorder="1" applyAlignment="1">
      <alignment horizontal="right" vertical="center" wrapText="1" indent="1"/>
    </xf>
    <xf numFmtId="49" fontId="3" fillId="0" borderId="45" xfId="0" applyFont="1" applyBorder="1" applyAlignment="1">
      <alignment horizontal="center" vertical="center"/>
    </xf>
    <xf numFmtId="0" fontId="3" fillId="0" borderId="45" xfId="0" applyNumberFormat="1" applyFont="1" applyBorder="1" applyAlignment="1">
      <alignment horizontal="left" vertical="center" wrapText="1" indent="1"/>
    </xf>
    <xf numFmtId="165" fontId="9" fillId="7" borderId="45" xfId="0" applyNumberFormat="1" applyFont="1" applyFill="1" applyBorder="1" applyAlignment="1" applyProtection="1">
      <alignment horizontal="right" vertical="center"/>
      <protection locked="0"/>
    </xf>
    <xf numFmtId="165" fontId="0" fillId="7" borderId="45" xfId="0" applyNumberFormat="1" applyFill="1" applyBorder="1" applyAlignment="1" applyProtection="1">
      <alignment horizontal="right" vertical="center"/>
      <protection locked="0"/>
    </xf>
    <xf numFmtId="165" fontId="3" fillId="7" borderId="45" xfId="0" applyNumberFormat="1" applyFont="1" applyFill="1" applyBorder="1" applyAlignment="1" applyProtection="1">
      <alignment horizontal="right" vertical="center"/>
      <protection locked="0"/>
    </xf>
    <xf numFmtId="49" fontId="9" fillId="7" borderId="45" xfId="0" applyFont="1" applyFill="1" applyBorder="1" applyAlignment="1" applyProtection="1">
      <alignment horizontal="left" vertical="center" wrapText="1"/>
      <protection locked="0"/>
    </xf>
    <xf numFmtId="166" fontId="0" fillId="8" borderId="45" xfId="0" applyNumberFormat="1" applyFill="1" applyBorder="1" applyAlignment="1">
      <alignment horizontal="right" vertical="center"/>
    </xf>
    <xf numFmtId="165" fontId="0" fillId="8" borderId="45" xfId="0" applyNumberFormat="1" applyFill="1" applyBorder="1" applyAlignment="1">
      <alignment horizontal="right" vertical="center"/>
    </xf>
    <xf numFmtId="0" fontId="3" fillId="0" borderId="6" xfId="0" applyNumberFormat="1" applyFont="1" applyBorder="1" applyAlignment="1">
      <alignment horizontal="center" vertical="center"/>
    </xf>
    <xf numFmtId="0" fontId="3" fillId="0" borderId="6" xfId="0" applyNumberFormat="1" applyFont="1" applyBorder="1" applyAlignment="1">
      <alignment horizontal="left" vertical="center" wrapText="1"/>
    </xf>
    <xf numFmtId="165" fontId="9" fillId="0" borderId="6" xfId="0" applyNumberFormat="1" applyFont="1" applyBorder="1" applyAlignment="1">
      <alignment horizontal="right" vertical="center"/>
    </xf>
    <xf numFmtId="165" fontId="0" fillId="0" borderId="6" xfId="0" applyNumberFormat="1" applyBorder="1" applyAlignment="1">
      <alignment horizontal="right" vertical="center"/>
    </xf>
    <xf numFmtId="165" fontId="3" fillId="0" borderId="6" xfId="0" applyNumberFormat="1" applyFont="1" applyBorder="1" applyAlignment="1">
      <alignment horizontal="right" vertical="center"/>
    </xf>
    <xf numFmtId="49" fontId="9" fillId="0" borderId="6" xfId="0" applyFont="1" applyBorder="1" applyAlignment="1">
      <alignment horizontal="left" vertical="center"/>
    </xf>
    <xf numFmtId="166" fontId="0" fillId="0" borderId="6" xfId="0" applyNumberFormat="1" applyBorder="1" applyAlignment="1">
      <alignment horizontal="right" vertical="center"/>
    </xf>
    <xf numFmtId="165" fontId="0" fillId="7" borderId="10" xfId="0" applyNumberFormat="1" applyFill="1" applyBorder="1" applyAlignment="1" applyProtection="1">
      <alignment horizontal="right" vertical="center"/>
      <protection locked="0"/>
    </xf>
    <xf numFmtId="165" fontId="3" fillId="7" borderId="10" xfId="0" applyNumberFormat="1" applyFont="1" applyFill="1" applyBorder="1" applyAlignment="1" applyProtection="1">
      <alignment horizontal="right" vertical="center"/>
      <protection locked="0"/>
    </xf>
    <xf numFmtId="166" fontId="0" fillId="8" borderId="10" xfId="0" applyNumberFormat="1" applyFill="1" applyBorder="1" applyAlignment="1">
      <alignment horizontal="right" vertical="center"/>
    </xf>
    <xf numFmtId="165" fontId="0" fillId="8" borderId="10" xfId="0" applyNumberFormat="1" applyFill="1" applyBorder="1" applyAlignment="1">
      <alignment horizontal="right" vertical="center"/>
    </xf>
    <xf numFmtId="0" fontId="9" fillId="17" borderId="0" xfId="0" applyNumberFormat="1" applyFont="1" applyFill="1" applyAlignment="1">
      <alignment horizontal="left" vertical="center"/>
    </xf>
    <xf numFmtId="0" fontId="9" fillId="17" borderId="0" xfId="0" applyNumberFormat="1" applyFont="1" applyFill="1" applyAlignment="1"/>
    <xf numFmtId="0" fontId="3" fillId="17" borderId="0" xfId="0" applyNumberFormat="1" applyFont="1" applyFill="1" applyAlignment="1"/>
    <xf numFmtId="0" fontId="15" fillId="17" borderId="0" xfId="0" applyNumberFormat="1" applyFont="1" applyFill="1" applyAlignment="1"/>
    <xf numFmtId="0" fontId="11" fillId="17" borderId="0" xfId="0" applyNumberFormat="1" applyFont="1" applyFill="1" applyAlignment="1">
      <alignment vertical="center"/>
    </xf>
    <xf numFmtId="0" fontId="36" fillId="17" borderId="0" xfId="0" applyNumberFormat="1" applyFont="1" applyFill="1" applyAlignment="1">
      <alignment horizontal="center" vertical="center"/>
    </xf>
    <xf numFmtId="0" fontId="0" fillId="17" borderId="0" xfId="0" applyNumberFormat="1" applyFill="1" applyAlignment="1">
      <alignment horizontal="left" vertical="center"/>
    </xf>
    <xf numFmtId="49" fontId="3" fillId="17" borderId="0" xfId="0" applyFont="1" applyFill="1">
      <alignment vertical="top"/>
    </xf>
    <xf numFmtId="0" fontId="11" fillId="17" borderId="0" xfId="0" applyNumberFormat="1" applyFont="1" applyFill="1" applyAlignment="1">
      <alignment horizontal="center" vertical="center"/>
    </xf>
    <xf numFmtId="49" fontId="3" fillId="17" borderId="0" xfId="0" applyFont="1" applyFill="1" applyAlignment="1">
      <alignment horizontal="center" vertical="top"/>
    </xf>
    <xf numFmtId="49" fontId="3" fillId="17" borderId="0" xfId="0" applyFont="1" applyFill="1" applyAlignment="1">
      <alignment vertical="center" wrapText="1"/>
    </xf>
    <xf numFmtId="0" fontId="9" fillId="17" borderId="0" xfId="0" applyNumberFormat="1" applyFont="1" applyFill="1" applyAlignment="1">
      <alignment horizontal="center"/>
    </xf>
    <xf numFmtId="0" fontId="9" fillId="17" borderId="0" xfId="0" applyNumberFormat="1" applyFont="1" applyFill="1" applyAlignment="1">
      <alignment vertical="center" wrapText="1"/>
    </xf>
    <xf numFmtId="0" fontId="9" fillId="17" borderId="0" xfId="0" applyNumberFormat="1" applyFont="1" applyFill="1" applyAlignment="1">
      <alignment wrapText="1"/>
    </xf>
    <xf numFmtId="0" fontId="9" fillId="17" borderId="0" xfId="0" applyNumberFormat="1" applyFont="1" applyFill="1" applyAlignment="1">
      <alignment vertical="center"/>
    </xf>
    <xf numFmtId="0" fontId="3" fillId="17" borderId="0" xfId="0" applyNumberFormat="1" applyFont="1" applyFill="1" applyAlignment="1">
      <alignment vertical="center"/>
    </xf>
    <xf numFmtId="49" fontId="3" fillId="17" borderId="0" xfId="0" applyFont="1" applyFill="1" applyAlignment="1">
      <alignment horizontal="center" vertical="center" wrapText="1"/>
    </xf>
    <xf numFmtId="0" fontId="16" fillId="17" borderId="0" xfId="0" applyNumberFormat="1" applyFont="1" applyFill="1" applyAlignment="1">
      <alignment horizontal="center"/>
    </xf>
    <xf numFmtId="49" fontId="52" fillId="0" borderId="0" xfId="0" applyFont="1" applyAlignment="1">
      <alignment horizontal="center" vertical="center" wrapText="1"/>
    </xf>
    <xf numFmtId="168" fontId="11" fillId="17" borderId="0" xfId="0" applyNumberFormat="1" applyFont="1" applyFill="1" applyAlignment="1">
      <alignment vertical="center"/>
    </xf>
    <xf numFmtId="168" fontId="3" fillId="17" borderId="0" xfId="0" applyNumberFormat="1" applyFont="1" applyFill="1">
      <alignment vertical="top"/>
    </xf>
    <xf numFmtId="0" fontId="24" fillId="0" borderId="0" xfId="0" applyNumberFormat="1" applyFont="1" applyAlignment="1">
      <alignment vertical="center"/>
    </xf>
    <xf numFmtId="0" fontId="53" fillId="0" borderId="0" xfId="0" applyNumberFormat="1" applyFont="1" applyAlignment="1">
      <alignment vertical="center"/>
    </xf>
    <xf numFmtId="0" fontId="54" fillId="0" borderId="0" xfId="0" applyNumberFormat="1" applyFont="1" applyAlignment="1">
      <alignment vertical="center"/>
    </xf>
    <xf numFmtId="0" fontId="53" fillId="0" borderId="0" xfId="0" applyNumberFormat="1" applyFont="1" applyAlignment="1">
      <alignment vertical="center" wrapText="1"/>
    </xf>
    <xf numFmtId="0" fontId="47" fillId="10" borderId="0" xfId="0" applyNumberFormat="1" applyFont="1" applyFill="1" applyAlignment="1">
      <alignment vertical="center"/>
    </xf>
    <xf numFmtId="0" fontId="3" fillId="0" borderId="49" xfId="0" applyNumberFormat="1" applyFont="1" applyBorder="1" applyAlignment="1">
      <alignment horizontal="center" vertical="center" wrapText="1"/>
    </xf>
    <xf numFmtId="49" fontId="25" fillId="15" borderId="29" xfId="0" applyFont="1" applyFill="1" applyBorder="1" applyAlignment="1">
      <alignment vertical="center"/>
    </xf>
    <xf numFmtId="0" fontId="3" fillId="17" borderId="0" xfId="0" applyNumberFormat="1" applyFont="1" applyFill="1" applyAlignment="1">
      <alignment horizontal="center"/>
    </xf>
    <xf numFmtId="0" fontId="29" fillId="17" borderId="29" xfId="0" applyNumberFormat="1" applyFont="1" applyFill="1" applyBorder="1" applyAlignment="1">
      <alignment horizontal="center" vertical="center" wrapText="1"/>
    </xf>
    <xf numFmtId="0" fontId="25" fillId="15" borderId="18" xfId="0" applyNumberFormat="1" applyFont="1" applyFill="1" applyBorder="1" applyAlignment="1">
      <alignment horizontal="left" vertical="center" wrapText="1" indent="1"/>
    </xf>
    <xf numFmtId="0" fontId="3" fillId="13" borderId="0" xfId="0" applyNumberFormat="1" applyFont="1" applyFill="1">
      <alignment vertical="top"/>
    </xf>
    <xf numFmtId="0" fontId="0" fillId="0" borderId="0" xfId="0" applyNumberFormat="1" applyAlignment="1">
      <alignment horizontal="center" vertical="top"/>
    </xf>
    <xf numFmtId="0" fontId="3" fillId="17" borderId="0" xfId="0" applyNumberFormat="1" applyFont="1" applyFill="1">
      <alignment vertical="top"/>
    </xf>
    <xf numFmtId="0" fontId="23" fillId="0" borderId="0" xfId="0" applyNumberFormat="1" applyFont="1" applyAlignment="1">
      <alignment horizontal="center" vertical="center" wrapText="1"/>
    </xf>
    <xf numFmtId="0" fontId="37" fillId="0" borderId="0" xfId="0" applyNumberFormat="1" applyFont="1" applyAlignment="1">
      <alignment horizontal="center" vertical="center" wrapText="1"/>
    </xf>
    <xf numFmtId="0" fontId="3" fillId="12" borderId="0" xfId="0" applyNumberFormat="1" applyFont="1" applyFill="1">
      <alignment vertical="top"/>
    </xf>
    <xf numFmtId="0" fontId="9" fillId="15" borderId="50" xfId="0" applyNumberFormat="1" applyFont="1" applyFill="1" applyBorder="1" applyAlignment="1">
      <alignment vertical="center"/>
    </xf>
    <xf numFmtId="0" fontId="25" fillId="15" borderId="29" xfId="0" applyNumberFormat="1" applyFont="1" applyFill="1" applyBorder="1" applyAlignment="1">
      <alignment vertical="center"/>
    </xf>
    <xf numFmtId="0" fontId="25" fillId="15" borderId="17" xfId="0" applyNumberFormat="1" applyFont="1" applyFill="1" applyBorder="1" applyAlignment="1">
      <alignment vertical="center"/>
    </xf>
    <xf numFmtId="0" fontId="16" fillId="0" borderId="0" xfId="0" applyNumberFormat="1" applyFont="1" applyAlignment="1">
      <alignment horizontal="left"/>
    </xf>
    <xf numFmtId="0" fontId="8" fillId="17" borderId="0" xfId="0" applyNumberFormat="1" applyFont="1" applyFill="1" applyAlignment="1"/>
    <xf numFmtId="0" fontId="37" fillId="0" borderId="1" xfId="0" applyNumberFormat="1" applyFont="1" applyBorder="1" applyAlignment="1">
      <alignment horizontal="center" vertical="center" wrapText="1"/>
    </xf>
    <xf numFmtId="0" fontId="37" fillId="0" borderId="1" xfId="0" applyNumberFormat="1" applyFont="1" applyBorder="1" applyAlignment="1">
      <alignment vertical="center" wrapText="1"/>
    </xf>
    <xf numFmtId="0" fontId="11" fillId="17" borderId="0" xfId="0" applyNumberFormat="1" applyFont="1" applyFill="1" applyAlignment="1"/>
    <xf numFmtId="0" fontId="10" fillId="17" borderId="0" xfId="0" applyNumberFormat="1" applyFont="1" applyFill="1" applyAlignment="1"/>
    <xf numFmtId="49" fontId="11" fillId="0" borderId="0" xfId="0" applyFont="1" applyAlignment="1"/>
    <xf numFmtId="0" fontId="25" fillId="15" borderId="29" xfId="0" applyNumberFormat="1" applyFont="1" applyFill="1" applyBorder="1" applyAlignment="1">
      <alignment horizontal="left" vertical="center" wrapText="1" indent="1"/>
    </xf>
    <xf numFmtId="0" fontId="11" fillId="0" borderId="0" xfId="0" applyNumberFormat="1" applyFont="1" applyAlignment="1">
      <alignment horizontal="center" vertical="top"/>
    </xf>
    <xf numFmtId="0" fontId="11" fillId="0" borderId="0" xfId="0" applyNumberFormat="1" applyFont="1">
      <alignment vertical="top"/>
    </xf>
    <xf numFmtId="0" fontId="11" fillId="0" borderId="0" xfId="0" applyNumberFormat="1" applyFont="1" applyAlignment="1">
      <alignment wrapText="1"/>
    </xf>
    <xf numFmtId="0" fontId="16" fillId="17" borderId="0" xfId="0" applyNumberFormat="1" applyFont="1" applyFill="1" applyAlignment="1">
      <alignment vertical="center"/>
    </xf>
    <xf numFmtId="0" fontId="44" fillId="17" borderId="0" xfId="0" applyNumberFormat="1" applyFont="1" applyFill="1" applyAlignment="1"/>
    <xf numFmtId="0" fontId="3" fillId="9" borderId="10" xfId="0" applyNumberFormat="1" applyFont="1" applyFill="1" applyBorder="1" applyAlignment="1">
      <alignment horizontal="center" vertical="center" wrapText="1"/>
    </xf>
    <xf numFmtId="0" fontId="27" fillId="17" borderId="0" xfId="0" applyNumberFormat="1" applyFont="1" applyFill="1" applyAlignment="1"/>
    <xf numFmtId="0" fontId="16" fillId="17" borderId="0" xfId="0" applyNumberFormat="1" applyFont="1" applyFill="1" applyAlignment="1"/>
    <xf numFmtId="0" fontId="9" fillId="17" borderId="0" xfId="0" applyNumberFormat="1" applyFont="1" applyFill="1" applyAlignment="1">
      <alignment horizontal="left" vertical="center" wrapText="1"/>
    </xf>
    <xf numFmtId="0" fontId="1" fillId="17" borderId="0" xfId="0" applyNumberFormat="1" applyFont="1" applyFill="1" applyAlignment="1"/>
    <xf numFmtId="0" fontId="2" fillId="17" borderId="0" xfId="0" applyNumberFormat="1" applyFont="1" applyFill="1" applyAlignment="1"/>
    <xf numFmtId="0" fontId="3" fillId="0" borderId="0" xfId="0" applyNumberFormat="1" applyFont="1" applyAlignment="1">
      <alignment vertical="top" wrapText="1"/>
    </xf>
    <xf numFmtId="0" fontId="20" fillId="17" borderId="0" xfId="0" applyNumberFormat="1" applyFont="1" applyFill="1" applyAlignment="1">
      <alignment vertical="center"/>
    </xf>
    <xf numFmtId="0" fontId="20" fillId="17" borderId="0" xfId="0" applyNumberFormat="1" applyFont="1" applyFill="1" applyAlignment="1">
      <alignment vertical="center" wrapText="1"/>
    </xf>
    <xf numFmtId="0" fontId="21" fillId="17" borderId="0" xfId="0" applyNumberFormat="1" applyFont="1" applyFill="1" applyAlignment="1">
      <alignment vertical="center" wrapText="1"/>
    </xf>
    <xf numFmtId="0" fontId="21" fillId="17" borderId="0" xfId="0" applyNumberFormat="1" applyFont="1" applyFill="1" applyAlignment="1">
      <alignment horizontal="center" vertical="center" wrapText="1"/>
    </xf>
    <xf numFmtId="0" fontId="21" fillId="17" borderId="0" xfId="0" applyNumberFormat="1" applyFont="1" applyFill="1" applyAlignment="1">
      <alignment vertical="center"/>
    </xf>
    <xf numFmtId="0" fontId="20" fillId="17" borderId="0" xfId="0" applyNumberFormat="1" applyFont="1" applyFill="1" applyAlignment="1">
      <alignment horizontal="center" vertical="center"/>
    </xf>
    <xf numFmtId="0" fontId="9" fillId="0" borderId="0" xfId="0" applyNumberFormat="1" applyFont="1" applyAlignment="1">
      <alignment vertical="top" wrapText="1"/>
    </xf>
    <xf numFmtId="0" fontId="9" fillId="15" borderId="20" xfId="0" applyNumberFormat="1" applyFont="1" applyFill="1" applyBorder="1" applyAlignment="1">
      <alignment vertical="center" wrapText="1"/>
    </xf>
    <xf numFmtId="0" fontId="8" fillId="0" borderId="11" xfId="0" applyNumberFormat="1" applyFont="1" applyBorder="1" applyAlignment="1">
      <alignment horizontal="center" vertical="center" wrapText="1" shrinkToFit="1"/>
    </xf>
    <xf numFmtId="0" fontId="3" fillId="0" borderId="11" xfId="0" applyNumberFormat="1" applyFont="1" applyBorder="1" applyAlignment="1">
      <alignment horizontal="center" vertical="center" wrapText="1" shrinkToFit="1"/>
    </xf>
    <xf numFmtId="0" fontId="3" fillId="0" borderId="0" xfId="0" applyNumberFormat="1" applyFont="1" applyAlignment="1">
      <alignment wrapText="1"/>
    </xf>
    <xf numFmtId="0" fontId="9" fillId="0" borderId="17" xfId="0" applyNumberFormat="1" applyFont="1" applyBorder="1" applyAlignment="1">
      <alignment horizontal="center" vertical="center" wrapText="1"/>
    </xf>
    <xf numFmtId="1" fontId="9" fillId="0" borderId="0" xfId="0" applyNumberFormat="1" applyFont="1" applyAlignment="1">
      <alignment vertical="center"/>
    </xf>
    <xf numFmtId="0" fontId="3" fillId="0" borderId="17" xfId="0" applyNumberFormat="1" applyFont="1" applyBorder="1" applyAlignment="1">
      <alignment horizontal="center" vertical="center"/>
    </xf>
    <xf numFmtId="0" fontId="3" fillId="0" borderId="17" xfId="0" applyNumberFormat="1" applyFont="1" applyBorder="1" applyAlignment="1">
      <alignment horizontal="center" vertical="center" wrapText="1"/>
    </xf>
    <xf numFmtId="0" fontId="3" fillId="9" borderId="0" xfId="0" applyNumberFormat="1" applyFont="1" applyFill="1" applyAlignment="1">
      <alignment horizontal="center" vertical="center" wrapText="1"/>
    </xf>
    <xf numFmtId="0" fontId="3" fillId="0" borderId="23" xfId="0" applyNumberFormat="1" applyFont="1" applyBorder="1" applyAlignment="1">
      <alignment horizontal="center" vertical="center" wrapText="1"/>
    </xf>
    <xf numFmtId="49" fontId="0" fillId="0" borderId="17" xfId="0" applyBorder="1" applyAlignment="1">
      <alignment horizontal="center" vertical="center" wrapText="1"/>
    </xf>
    <xf numFmtId="0" fontId="20" fillId="0" borderId="0" xfId="0" applyNumberFormat="1" applyFont="1" applyAlignment="1"/>
    <xf numFmtId="0" fontId="37" fillId="0" borderId="0" xfId="0" applyNumberFormat="1" applyFont="1" applyAlignment="1">
      <alignment vertical="center" wrapText="1"/>
    </xf>
    <xf numFmtId="0" fontId="9" fillId="0" borderId="23" xfId="0" applyNumberFormat="1" applyFont="1" applyBorder="1" applyAlignment="1">
      <alignment vertical="center"/>
    </xf>
    <xf numFmtId="0" fontId="9" fillId="0" borderId="23" xfId="0" applyNumberFormat="1" applyFont="1" applyBorder="1" applyAlignment="1">
      <alignment horizontal="center" vertical="center" wrapText="1"/>
    </xf>
    <xf numFmtId="0" fontId="9" fillId="10" borderId="23" xfId="0" applyNumberFormat="1" applyFont="1" applyFill="1" applyBorder="1" applyAlignment="1">
      <alignment horizontal="center" vertical="center" wrapText="1"/>
    </xf>
    <xf numFmtId="0" fontId="3" fillId="0" borderId="23" xfId="0" applyNumberFormat="1" applyFont="1" applyBorder="1" applyAlignment="1">
      <alignment horizontal="center" vertical="center"/>
    </xf>
    <xf numFmtId="0" fontId="3" fillId="9" borderId="23" xfId="0" applyNumberFormat="1" applyFont="1" applyFill="1" applyBorder="1" applyAlignment="1">
      <alignment horizontal="center" vertical="center" wrapText="1"/>
    </xf>
    <xf numFmtId="49" fontId="25" fillId="15" borderId="10" xfId="0" applyFont="1" applyFill="1" applyBorder="1" applyAlignment="1">
      <alignment horizontal="left" vertical="center" indent="1"/>
    </xf>
    <xf numFmtId="49" fontId="3" fillId="12" borderId="0" xfId="0" applyFont="1" applyFill="1">
      <alignment vertical="top"/>
    </xf>
    <xf numFmtId="0" fontId="3" fillId="13" borderId="0" xfId="0" applyNumberFormat="1" applyFont="1" applyFill="1" applyAlignment="1">
      <alignment horizontal="left" vertical="top"/>
    </xf>
    <xf numFmtId="0" fontId="0" fillId="0" borderId="0" xfId="0" applyNumberFormat="1" applyAlignment="1">
      <alignment horizontal="left"/>
    </xf>
    <xf numFmtId="0" fontId="9" fillId="17" borderId="0" xfId="0" applyNumberFormat="1" applyFont="1" applyFill="1" applyAlignment="1">
      <alignment horizontal="left"/>
    </xf>
    <xf numFmtId="0" fontId="51" fillId="0" borderId="0" xfId="0" applyNumberFormat="1" applyFont="1" applyAlignment="1">
      <alignment horizontal="center" vertical="center"/>
    </xf>
    <xf numFmtId="49" fontId="9" fillId="24" borderId="11" xfId="0" applyFont="1" applyFill="1" applyBorder="1" applyAlignment="1">
      <alignment horizontal="left" vertical="center" wrapText="1" indent="1"/>
    </xf>
    <xf numFmtId="0" fontId="3" fillId="24" borderId="11" xfId="0" applyNumberFormat="1" applyFont="1" applyFill="1" applyBorder="1" applyAlignment="1">
      <alignment horizontal="left" vertical="center" wrapText="1" indent="1"/>
    </xf>
    <xf numFmtId="0" fontId="3" fillId="8" borderId="21" xfId="0" applyNumberFormat="1" applyFont="1" applyFill="1" applyBorder="1" applyAlignment="1">
      <alignment horizontal="left" vertical="center" wrapText="1" indent="1"/>
    </xf>
    <xf numFmtId="4" fontId="3" fillId="0" borderId="10" xfId="0" applyNumberFormat="1" applyFont="1" applyBorder="1" applyAlignment="1">
      <alignment horizontal="right" vertical="center"/>
    </xf>
    <xf numFmtId="0" fontId="3" fillId="0" borderId="10" xfId="0" applyNumberFormat="1" applyFont="1" applyBorder="1" applyAlignment="1">
      <alignment horizontal="left" vertical="center" wrapText="1" indent="3"/>
    </xf>
    <xf numFmtId="0" fontId="3" fillId="10" borderId="10" xfId="0" applyNumberFormat="1" applyFont="1" applyFill="1" applyBorder="1" applyAlignment="1">
      <alignment horizontal="left" vertical="center" wrapText="1" indent="3"/>
    </xf>
    <xf numFmtId="0" fontId="3" fillId="10" borderId="10" xfId="0" applyNumberFormat="1" applyFont="1" applyFill="1" applyBorder="1" applyAlignment="1">
      <alignment horizontal="center" vertical="center"/>
    </xf>
    <xf numFmtId="49" fontId="8" fillId="15" borderId="29" xfId="0" applyFont="1" applyFill="1" applyBorder="1" applyAlignment="1">
      <alignment horizontal="left" vertical="center" wrapText="1" indent="1"/>
    </xf>
    <xf numFmtId="49" fontId="8" fillId="15" borderId="17" xfId="0" applyFont="1" applyFill="1" applyBorder="1" applyAlignment="1">
      <alignment horizontal="left" vertical="center" wrapText="1" indent="1"/>
    </xf>
    <xf numFmtId="49" fontId="8" fillId="15" borderId="28" xfId="0" applyFont="1" applyFill="1" applyBorder="1" applyAlignment="1">
      <alignment horizontal="left" vertical="center" wrapText="1" indent="1"/>
    </xf>
    <xf numFmtId="0" fontId="3" fillId="10" borderId="10" xfId="0" applyNumberFormat="1" applyFont="1" applyFill="1" applyBorder="1" applyAlignment="1">
      <alignment horizontal="left" vertical="center" wrapText="1" indent="2"/>
    </xf>
    <xf numFmtId="0" fontId="3" fillId="10" borderId="10" xfId="0" applyNumberFormat="1" applyFont="1" applyFill="1" applyBorder="1" applyAlignment="1">
      <alignment horizontal="left" vertical="center" wrapText="1" indent="1"/>
    </xf>
    <xf numFmtId="49" fontId="3" fillId="10" borderId="10" xfId="0" applyFont="1" applyFill="1" applyBorder="1" applyAlignment="1">
      <alignment horizontal="center" vertical="center"/>
    </xf>
    <xf numFmtId="165" fontId="8" fillId="8" borderId="10" xfId="0" applyNumberFormat="1" applyFont="1" applyFill="1" applyBorder="1" applyAlignment="1">
      <alignment horizontal="right" vertical="center"/>
    </xf>
    <xf numFmtId="49" fontId="8" fillId="15" borderId="29" xfId="0" applyFont="1" applyFill="1" applyBorder="1" applyAlignment="1">
      <alignment vertical="center"/>
    </xf>
    <xf numFmtId="0" fontId="3" fillId="15" borderId="17" xfId="0" applyNumberFormat="1" applyFont="1" applyFill="1" applyBorder="1" applyAlignment="1">
      <alignment vertical="center" wrapText="1"/>
    </xf>
    <xf numFmtId="0" fontId="3" fillId="15" borderId="28" xfId="0" applyNumberFormat="1" applyFont="1" applyFill="1" applyBorder="1" applyAlignment="1">
      <alignment vertical="center" wrapText="1"/>
    </xf>
    <xf numFmtId="49" fontId="8" fillId="7" borderId="11" xfId="0" applyFont="1" applyFill="1" applyBorder="1" applyAlignment="1" applyProtection="1">
      <alignment horizontal="left" vertical="center" wrapText="1"/>
      <protection locked="0"/>
    </xf>
    <xf numFmtId="0" fontId="3" fillId="10" borderId="10" xfId="0" applyNumberFormat="1" applyFont="1" applyFill="1" applyBorder="1" applyAlignment="1">
      <alignment vertical="center" wrapText="1"/>
    </xf>
    <xf numFmtId="165" fontId="3" fillId="8" borderId="10" xfId="0" applyNumberFormat="1" applyFont="1" applyFill="1" applyBorder="1" applyAlignment="1">
      <alignment horizontal="right" vertical="center"/>
    </xf>
    <xf numFmtId="0" fontId="10" fillId="17" borderId="0" xfId="0" applyNumberFormat="1" applyFont="1" applyFill="1" applyAlignment="1">
      <alignment vertical="center"/>
    </xf>
    <xf numFmtId="0" fontId="3" fillId="0" borderId="39"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3" fillId="14" borderId="31" xfId="0" applyNumberFormat="1" applyFont="1" applyFill="1" applyBorder="1" applyAlignment="1">
      <alignment horizontal="left" vertical="center"/>
    </xf>
    <xf numFmtId="0" fontId="3" fillId="0" borderId="32" xfId="0" applyNumberFormat="1" applyFont="1" applyBorder="1" applyAlignment="1">
      <alignment horizontal="center" vertical="center" wrapText="1"/>
    </xf>
    <xf numFmtId="4" fontId="3" fillId="7" borderId="21" xfId="0" applyNumberFormat="1" applyFont="1" applyFill="1" applyBorder="1" applyAlignment="1" applyProtection="1">
      <alignment horizontal="right" vertical="center"/>
      <protection locked="0"/>
    </xf>
    <xf numFmtId="165" fontId="3" fillId="7" borderId="21" xfId="0" applyNumberFormat="1" applyFont="1" applyFill="1" applyBorder="1" applyAlignment="1" applyProtection="1">
      <alignment horizontal="right" vertical="center"/>
      <protection locked="0"/>
    </xf>
    <xf numFmtId="0" fontId="8" fillId="10" borderId="10" xfId="0" applyNumberFormat="1" applyFont="1" applyFill="1" applyBorder="1" applyAlignment="1">
      <alignment horizontal="center" vertical="center"/>
    </xf>
    <xf numFmtId="0" fontId="8" fillId="10" borderId="10" xfId="0" applyNumberFormat="1" applyFont="1" applyFill="1" applyBorder="1" applyAlignment="1">
      <alignment horizontal="left" vertical="center" wrapText="1"/>
    </xf>
    <xf numFmtId="0" fontId="8" fillId="10" borderId="10" xfId="0" applyNumberFormat="1" applyFont="1" applyFill="1" applyBorder="1" applyAlignment="1">
      <alignment horizontal="center" vertical="center" wrapText="1"/>
    </xf>
    <xf numFmtId="4" fontId="8" fillId="8" borderId="10" xfId="0" applyNumberFormat="1" applyFont="1" applyFill="1" applyBorder="1" applyAlignment="1">
      <alignment horizontal="right" vertical="center" wrapText="1"/>
    </xf>
    <xf numFmtId="49" fontId="8" fillId="7" borderId="10" xfId="0" applyFont="1" applyFill="1" applyBorder="1" applyAlignment="1" applyProtection="1">
      <alignment horizontal="left" vertical="center" wrapText="1"/>
      <protection locked="0"/>
    </xf>
    <xf numFmtId="0" fontId="55" fillId="0" borderId="0" xfId="0" applyNumberFormat="1" applyFont="1" applyAlignment="1"/>
    <xf numFmtId="49" fontId="3" fillId="0" borderId="10" xfId="0" applyFont="1" applyBorder="1" applyAlignment="1">
      <alignment horizontal="left" vertical="center" wrapText="1" indent="1"/>
    </xf>
    <xf numFmtId="165" fontId="3" fillId="8" borderId="10" xfId="0" applyNumberFormat="1" applyFont="1" applyFill="1" applyBorder="1" applyAlignment="1">
      <alignment horizontal="right" vertical="center" wrapText="1"/>
    </xf>
    <xf numFmtId="165" fontId="3" fillId="7" borderId="10" xfId="0" applyNumberFormat="1" applyFont="1" applyFill="1" applyBorder="1" applyAlignment="1" applyProtection="1">
      <alignment horizontal="right" vertical="center" wrapText="1"/>
      <protection locked="0"/>
    </xf>
    <xf numFmtId="0" fontId="10" fillId="0" borderId="0" xfId="0" applyNumberFormat="1" applyFont="1" applyAlignment="1">
      <alignment vertical="center" wrapText="1"/>
    </xf>
    <xf numFmtId="0" fontId="10" fillId="17" borderId="0" xfId="0" applyNumberFormat="1" applyFont="1" applyFill="1" applyAlignment="1">
      <alignment vertical="center" wrapText="1"/>
    </xf>
    <xf numFmtId="0" fontId="11" fillId="0" borderId="0" xfId="0" applyNumberFormat="1" applyFont="1" applyAlignment="1">
      <alignment horizontal="left" vertical="center"/>
    </xf>
    <xf numFmtId="0" fontId="10" fillId="0" borderId="0" xfId="0" applyNumberFormat="1" applyFont="1" applyAlignment="1">
      <alignment horizontal="center" vertical="center" wrapText="1"/>
    </xf>
    <xf numFmtId="0" fontId="10" fillId="17" borderId="0" xfId="0" applyNumberFormat="1" applyFont="1" applyFill="1" applyAlignment="1">
      <alignment horizontal="center" vertical="center" wrapText="1"/>
    </xf>
    <xf numFmtId="0" fontId="3" fillId="4" borderId="0" xfId="0" applyNumberFormat="1" applyFont="1" applyFill="1" applyAlignment="1"/>
    <xf numFmtId="0" fontId="8" fillId="0" borderId="0" xfId="0" quotePrefix="1" applyNumberFormat="1" applyFont="1" applyAlignment="1">
      <alignment horizontal="left" vertical="center" wrapText="1" indent="4"/>
    </xf>
    <xf numFmtId="49" fontId="8" fillId="0" borderId="0" xfId="0" applyFont="1" applyAlignment="1">
      <alignment horizontal="left" vertical="center" wrapText="1" indent="4"/>
    </xf>
    <xf numFmtId="0" fontId="3" fillId="17" borderId="0" xfId="0" applyNumberFormat="1" applyFont="1" applyFill="1" applyAlignment="1">
      <alignment vertical="center" wrapText="1"/>
    </xf>
    <xf numFmtId="0" fontId="3" fillId="0" borderId="36" xfId="0" applyNumberFormat="1" applyFont="1" applyBorder="1" applyAlignment="1">
      <alignment horizontal="center" vertical="center" wrapText="1"/>
    </xf>
    <xf numFmtId="0" fontId="3" fillId="17" borderId="0" xfId="0" applyNumberFormat="1" applyFont="1" applyFill="1" applyAlignment="1">
      <alignment horizontal="center" vertical="center" wrapText="1"/>
    </xf>
    <xf numFmtId="0" fontId="3" fillId="14" borderId="17" xfId="0" applyNumberFormat="1" applyFont="1" applyFill="1" applyBorder="1" applyAlignment="1">
      <alignment horizontal="left" vertical="center"/>
    </xf>
    <xf numFmtId="4" fontId="8" fillId="14" borderId="17" xfId="0" applyNumberFormat="1" applyFont="1" applyFill="1" applyBorder="1" applyAlignment="1">
      <alignment horizontal="right" vertical="center"/>
    </xf>
    <xf numFmtId="0" fontId="3" fillId="0" borderId="0" xfId="0" applyNumberFormat="1" applyFont="1" applyAlignment="1">
      <alignment horizontal="center" vertical="top" wrapText="1"/>
    </xf>
    <xf numFmtId="0" fontId="8" fillId="15" borderId="29" xfId="0" applyNumberFormat="1" applyFont="1" applyFill="1" applyBorder="1" applyAlignment="1">
      <alignment horizontal="left" vertical="center" wrapText="1" indent="1"/>
    </xf>
    <xf numFmtId="0" fontId="3" fillId="0" borderId="10" xfId="0" applyNumberFormat="1" applyFont="1" applyBorder="1" applyAlignment="1">
      <alignment horizontal="center"/>
    </xf>
    <xf numFmtId="0" fontId="3" fillId="17" borderId="36" xfId="0" applyNumberFormat="1" applyFont="1" applyFill="1" applyBorder="1" applyAlignment="1">
      <alignment horizontal="left" vertical="center" wrapText="1"/>
    </xf>
    <xf numFmtId="0" fontId="3" fillId="17" borderId="37" xfId="0" applyNumberFormat="1" applyFont="1" applyFill="1" applyBorder="1" applyAlignment="1">
      <alignment horizontal="center" vertical="center"/>
    </xf>
    <xf numFmtId="0" fontId="8" fillId="0" borderId="0" xfId="0" applyNumberFormat="1" applyFont="1" applyAlignment="1">
      <alignment vertical="center"/>
    </xf>
    <xf numFmtId="0" fontId="8" fillId="17" borderId="0" xfId="0" applyNumberFormat="1" applyFont="1" applyFill="1" applyAlignment="1">
      <alignment vertical="center"/>
    </xf>
    <xf numFmtId="4" fontId="8" fillId="7" borderId="11" xfId="0" applyNumberFormat="1" applyFont="1" applyFill="1" applyBorder="1" applyAlignment="1" applyProtection="1">
      <alignment horizontal="right" vertical="center"/>
      <protection locked="0"/>
    </xf>
    <xf numFmtId="0" fontId="3" fillId="0" borderId="37" xfId="0" applyNumberFormat="1" applyFont="1" applyBorder="1" applyAlignment="1">
      <alignment horizontal="center" vertical="center"/>
    </xf>
    <xf numFmtId="0" fontId="8" fillId="0" borderId="0" xfId="0" applyNumberFormat="1" applyFont="1" applyAlignment="1">
      <alignment horizontal="center" vertical="center"/>
    </xf>
    <xf numFmtId="0" fontId="16" fillId="17" borderId="0" xfId="0" applyNumberFormat="1" applyFont="1" applyFill="1" applyAlignment="1">
      <alignment horizontal="left" vertical="center"/>
    </xf>
    <xf numFmtId="14" fontId="51" fillId="0" borderId="0" xfId="0" applyNumberFormat="1" applyFont="1" applyAlignment="1">
      <alignment vertical="center"/>
    </xf>
    <xf numFmtId="0" fontId="3" fillId="7" borderId="11" xfId="0" applyNumberFormat="1" applyFont="1" applyFill="1" applyBorder="1" applyAlignment="1" applyProtection="1">
      <alignment horizontal="left" vertical="center" wrapText="1"/>
      <protection locked="0"/>
    </xf>
    <xf numFmtId="0" fontId="51" fillId="0" borderId="0" xfId="0" applyNumberFormat="1" applyFont="1" applyAlignment="1"/>
    <xf numFmtId="0" fontId="51" fillId="0" borderId="0" xfId="0" applyNumberFormat="1" applyFont="1" applyAlignment="1">
      <alignment horizontal="center"/>
    </xf>
    <xf numFmtId="0" fontId="51" fillId="17" borderId="0" xfId="0" applyNumberFormat="1" applyFont="1" applyFill="1" applyAlignment="1"/>
    <xf numFmtId="0" fontId="16" fillId="0" borderId="0" xfId="0" applyNumberFormat="1" applyFont="1">
      <alignment vertical="top"/>
    </xf>
    <xf numFmtId="49" fontId="51" fillId="0" borderId="0" xfId="0" applyFont="1" applyAlignment="1"/>
    <xf numFmtId="49" fontId="16" fillId="0" borderId="0" xfId="0" applyFont="1" applyAlignment="1">
      <alignment horizontal="center" vertical="center" wrapText="1"/>
    </xf>
    <xf numFmtId="0" fontId="3" fillId="7" borderId="10" xfId="0" applyNumberFormat="1" applyFont="1" applyFill="1" applyBorder="1" applyAlignment="1" applyProtection="1">
      <alignment horizontal="left" vertical="center" wrapText="1"/>
      <protection locked="0"/>
    </xf>
    <xf numFmtId="49" fontId="16" fillId="0" borderId="0" xfId="0" applyFont="1" applyAlignment="1"/>
    <xf numFmtId="4" fontId="3" fillId="16" borderId="21" xfId="0" applyNumberFormat="1" applyFont="1" applyFill="1" applyBorder="1" applyAlignment="1" applyProtection="1">
      <alignment horizontal="right" vertical="center"/>
      <protection locked="0"/>
    </xf>
    <xf numFmtId="0" fontId="51" fillId="0" borderId="0" xfId="0" applyNumberFormat="1" applyFont="1" applyAlignment="1">
      <alignment horizontal="left" vertical="center"/>
    </xf>
    <xf numFmtId="49" fontId="50" fillId="0" borderId="0" xfId="0" applyFont="1" applyAlignment="1"/>
    <xf numFmtId="0" fontId="3" fillId="5" borderId="0" xfId="0" applyNumberFormat="1" applyFont="1" applyFill="1" applyAlignment="1">
      <alignment horizontal="center" vertical="center"/>
    </xf>
    <xf numFmtId="0" fontId="3" fillId="0" borderId="0" xfId="0" applyNumberFormat="1" applyFont="1" applyAlignment="1">
      <alignment horizontal="center" vertical="top"/>
    </xf>
    <xf numFmtId="0" fontId="3" fillId="12" borderId="0" xfId="0" applyNumberFormat="1" applyFont="1" applyFill="1" applyAlignment="1">
      <alignment horizontal="center" vertical="center"/>
    </xf>
    <xf numFmtId="0" fontId="16" fillId="13" borderId="0" xfId="0" applyNumberFormat="1" applyFont="1" applyFill="1" applyAlignment="1">
      <alignment horizontal="left" vertical="top"/>
    </xf>
    <xf numFmtId="0" fontId="3" fillId="0" borderId="10" xfId="0" applyNumberFormat="1" applyFont="1" applyBorder="1" applyAlignment="1">
      <alignment horizontal="left" indent="1"/>
    </xf>
    <xf numFmtId="0" fontId="3" fillId="0" borderId="51" xfId="0" applyNumberFormat="1" applyFont="1" applyBorder="1" applyAlignment="1">
      <alignment horizontal="center" vertical="center" wrapText="1"/>
    </xf>
    <xf numFmtId="0" fontId="3" fillId="0" borderId="29" xfId="0" applyNumberFormat="1" applyFont="1" applyBorder="1" applyAlignment="1">
      <alignment horizontal="center" vertical="center" wrapText="1"/>
    </xf>
    <xf numFmtId="4" fontId="3" fillId="8" borderId="10" xfId="0" applyNumberFormat="1" applyFont="1" applyFill="1" applyBorder="1" applyAlignment="1">
      <alignment horizontal="right" vertical="center" wrapText="1"/>
    </xf>
    <xf numFmtId="0" fontId="3" fillId="0" borderId="10" xfId="0" applyNumberFormat="1" applyFont="1" applyBorder="1" applyAlignment="1">
      <alignment horizontal="right" vertical="center" wrapText="1"/>
    </xf>
    <xf numFmtId="0" fontId="3" fillId="0" borderId="10" xfId="0" quotePrefix="1" applyNumberFormat="1" applyFont="1" applyBorder="1" applyAlignment="1">
      <alignment horizontal="left" vertical="center" wrapText="1" indent="1"/>
    </xf>
    <xf numFmtId="49" fontId="25" fillId="15" borderId="35" xfId="0" applyFont="1" applyFill="1" applyBorder="1" applyAlignment="1">
      <alignment horizontal="left" vertical="center" wrapText="1" indent="1"/>
    </xf>
    <xf numFmtId="0" fontId="3" fillId="7" borderId="21" xfId="0" applyNumberFormat="1" applyFont="1" applyFill="1" applyBorder="1" applyAlignment="1" applyProtection="1">
      <alignment horizontal="left" vertical="center" wrapText="1" indent="1"/>
      <protection locked="0"/>
    </xf>
    <xf numFmtId="167" fontId="9" fillId="16" borderId="11" xfId="0" applyNumberFormat="1" applyFont="1" applyFill="1" applyBorder="1" applyAlignment="1">
      <alignment horizontal="left" vertical="center" wrapText="1" indent="1"/>
    </xf>
    <xf numFmtId="167" fontId="3" fillId="16" borderId="10" xfId="0" applyNumberFormat="1" applyFont="1" applyFill="1" applyBorder="1" applyAlignment="1" applyProtection="1">
      <alignment horizontal="left" vertical="center" wrapText="1" indent="1"/>
      <protection locked="0"/>
    </xf>
    <xf numFmtId="49" fontId="9" fillId="7" borderId="11" xfId="0" applyFont="1" applyFill="1" applyBorder="1" applyAlignment="1" applyProtection="1">
      <alignment horizontal="right" vertical="center"/>
      <protection locked="0"/>
    </xf>
    <xf numFmtId="0" fontId="9" fillId="0" borderId="0" xfId="0" applyNumberFormat="1" applyFont="1" applyAlignment="1">
      <alignment horizontal="right" vertical="center"/>
    </xf>
    <xf numFmtId="165" fontId="9" fillId="0" borderId="0" xfId="0" applyNumberFormat="1" applyFont="1" applyAlignment="1">
      <alignment horizontal="right" vertical="center"/>
    </xf>
    <xf numFmtId="49" fontId="9" fillId="0" borderId="0" xfId="0" applyFont="1" applyAlignment="1">
      <alignment horizontal="left" vertical="center" wrapText="1"/>
    </xf>
    <xf numFmtId="0" fontId="1" fillId="0" borderId="0" xfId="0" applyNumberFormat="1" applyFont="1" applyAlignment="1">
      <alignment vertical="center"/>
    </xf>
    <xf numFmtId="0" fontId="36" fillId="0" borderId="0" xfId="0" applyNumberFormat="1" applyFont="1" applyAlignment="1">
      <alignment horizontal="left" vertical="top"/>
    </xf>
    <xf numFmtId="49" fontId="3" fillId="0" borderId="52" xfId="0" applyFont="1" applyBorder="1">
      <alignment vertical="top"/>
    </xf>
    <xf numFmtId="0" fontId="12" fillId="0" borderId="0" xfId="0" applyNumberFormat="1" applyFont="1" applyAlignment="1">
      <alignment vertical="center" wrapText="1"/>
    </xf>
    <xf numFmtId="0" fontId="0" fillId="5" borderId="0" xfId="0" applyNumberFormat="1" applyFill="1" applyAlignment="1">
      <alignment horizontal="center" vertical="center" wrapText="1"/>
    </xf>
    <xf numFmtId="0" fontId="3" fillId="17" borderId="0" xfId="0" applyNumberFormat="1" applyFont="1" applyFill="1" applyAlignment="1">
      <alignment horizontal="left" vertical="center"/>
    </xf>
    <xf numFmtId="0" fontId="12" fillId="17" borderId="0" xfId="0" applyNumberFormat="1" applyFont="1" applyFill="1" applyAlignment="1">
      <alignment vertical="center" wrapText="1"/>
    </xf>
    <xf numFmtId="0" fontId="56" fillId="0" borderId="0" xfId="0" applyNumberFormat="1" applyFont="1" applyAlignment="1">
      <alignment vertical="center" wrapText="1"/>
    </xf>
    <xf numFmtId="0" fontId="8" fillId="0" borderId="0" xfId="0" applyNumberFormat="1" applyFont="1" applyAlignment="1">
      <alignment vertical="center" wrapText="1"/>
    </xf>
    <xf numFmtId="0" fontId="57" fillId="0" borderId="0" xfId="0" applyNumberFormat="1" applyFont="1" applyAlignment="1">
      <alignment vertical="center" wrapText="1"/>
    </xf>
    <xf numFmtId="0" fontId="58" fillId="0" borderId="0" xfId="0" applyNumberFormat="1" applyFont="1" applyAlignment="1">
      <alignment horizontal="center" vertical="top" wrapText="1"/>
    </xf>
    <xf numFmtId="0" fontId="3" fillId="10" borderId="0" xfId="0" applyNumberFormat="1" applyFont="1" applyFill="1">
      <alignment vertical="top"/>
    </xf>
    <xf numFmtId="49" fontId="9" fillId="0" borderId="11" xfId="0" applyFont="1" applyBorder="1" applyAlignment="1">
      <alignment horizontal="left" vertical="center" wrapText="1"/>
    </xf>
    <xf numFmtId="0" fontId="36" fillId="4" borderId="0" xfId="0" applyNumberFormat="1" applyFont="1" applyFill="1" applyAlignment="1">
      <alignment horizontal="center" vertical="center"/>
    </xf>
    <xf numFmtId="0" fontId="21" fillId="0" borderId="0" xfId="0" applyNumberFormat="1" applyFont="1" applyAlignment="1">
      <alignment horizontal="left" vertical="center" wrapText="1" indent="4"/>
    </xf>
    <xf numFmtId="49" fontId="8" fillId="0" borderId="0" xfId="0" applyFont="1">
      <alignment vertical="top"/>
    </xf>
    <xf numFmtId="0" fontId="3" fillId="2" borderId="0" xfId="0" applyNumberFormat="1" applyFont="1" applyFill="1" applyAlignment="1">
      <alignment horizontal="left" vertical="center"/>
    </xf>
    <xf numFmtId="0" fontId="3" fillId="2" borderId="0" xfId="0" applyNumberFormat="1" applyFont="1" applyFill="1" applyAlignment="1">
      <alignment horizontal="center" vertical="center"/>
    </xf>
    <xf numFmtId="0" fontId="3" fillId="17" borderId="0" xfId="0" applyNumberFormat="1" applyFont="1" applyFill="1" applyAlignment="1">
      <alignment horizontal="center" vertical="top"/>
    </xf>
    <xf numFmtId="0" fontId="3" fillId="0" borderId="0" xfId="0" applyNumberFormat="1" applyFont="1" applyAlignment="1">
      <alignment horizontal="right" vertical="center" wrapText="1"/>
    </xf>
    <xf numFmtId="0" fontId="3"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3" fillId="2" borderId="0" xfId="0" applyNumberFormat="1" applyFont="1" applyFill="1" applyAlignment="1">
      <alignment vertical="center" wrapText="1"/>
    </xf>
    <xf numFmtId="0" fontId="3" fillId="2" borderId="0" xfId="0" applyNumberFormat="1" applyFont="1" applyFill="1" applyAlignment="1">
      <alignment horizontal="center" vertical="center" wrapText="1"/>
    </xf>
    <xf numFmtId="0" fontId="3" fillId="2" borderId="0" xfId="0" applyNumberFormat="1" applyFont="1" applyFill="1">
      <alignment vertical="top"/>
    </xf>
    <xf numFmtId="0" fontId="9" fillId="2" borderId="0" xfId="0" applyNumberFormat="1" applyFont="1" applyFill="1" applyAlignment="1"/>
    <xf numFmtId="0" fontId="12" fillId="2" borderId="0" xfId="0" applyNumberFormat="1" applyFont="1" applyFill="1">
      <alignment vertical="top"/>
    </xf>
    <xf numFmtId="0" fontId="3" fillId="2" borderId="0" xfId="0" applyNumberFormat="1" applyFont="1" applyFill="1" applyAlignment="1"/>
    <xf numFmtId="0" fontId="0" fillId="17" borderId="0" xfId="0" applyNumberFormat="1" applyFill="1" applyAlignment="1">
      <alignment horizontal="center" vertical="center" wrapText="1"/>
    </xf>
    <xf numFmtId="49" fontId="3" fillId="2" borderId="0" xfId="0" applyFont="1" applyFill="1" applyAlignment="1">
      <alignment vertical="center" wrapText="1"/>
    </xf>
    <xf numFmtId="49" fontId="3" fillId="2" borderId="0" xfId="0" applyFont="1" applyFill="1">
      <alignment vertical="top"/>
    </xf>
    <xf numFmtId="0" fontId="16" fillId="2" borderId="0" xfId="0" applyNumberFormat="1" applyFont="1" applyFill="1" applyAlignment="1"/>
    <xf numFmtId="49" fontId="12" fillId="17" borderId="0" xfId="0" applyFont="1" applyFill="1">
      <alignment vertical="top"/>
    </xf>
    <xf numFmtId="49" fontId="16" fillId="2" borderId="0" xfId="0" applyFont="1" applyFill="1" applyAlignment="1"/>
    <xf numFmtId="0" fontId="0" fillId="2" borderId="0" xfId="0" applyNumberFormat="1" applyFill="1" applyAlignment="1">
      <alignment horizontal="center"/>
    </xf>
    <xf numFmtId="0" fontId="9" fillId="2" borderId="0" xfId="0" applyNumberFormat="1" applyFont="1" applyFill="1" applyAlignment="1">
      <alignment horizontal="left"/>
    </xf>
    <xf numFmtId="0" fontId="9" fillId="2" borderId="0" xfId="0" applyNumberFormat="1" applyFont="1" applyFill="1" applyAlignment="1">
      <alignment wrapText="1"/>
    </xf>
    <xf numFmtId="0" fontId="9" fillId="2" borderId="0" xfId="0" applyNumberFormat="1" applyFont="1" applyFill="1" applyAlignment="1">
      <alignment horizontal="center"/>
    </xf>
    <xf numFmtId="0" fontId="9" fillId="2" borderId="0" xfId="0" applyNumberFormat="1" applyFont="1" applyFill="1" applyAlignment="1">
      <alignment vertical="center" wrapText="1"/>
    </xf>
    <xf numFmtId="0" fontId="0" fillId="17" borderId="0" xfId="0" applyNumberFormat="1" applyFill="1" applyAlignment="1">
      <alignment horizontal="center"/>
    </xf>
    <xf numFmtId="0" fontId="9" fillId="2" borderId="0" xfId="0" applyNumberFormat="1" applyFont="1" applyFill="1" applyAlignment="1">
      <alignment vertical="center"/>
    </xf>
    <xf numFmtId="0" fontId="0" fillId="2" borderId="0" xfId="0" applyNumberFormat="1" applyFill="1" applyAlignment="1">
      <alignment horizontal="center" vertical="center"/>
    </xf>
    <xf numFmtId="0" fontId="9" fillId="2" borderId="0" xfId="0" applyNumberFormat="1" applyFont="1" applyFill="1" applyAlignment="1">
      <alignment horizontal="left" vertical="center"/>
    </xf>
    <xf numFmtId="0" fontId="3" fillId="2" borderId="0" xfId="0" applyNumberFormat="1" applyFont="1" applyFill="1" applyAlignment="1">
      <alignment vertical="center"/>
    </xf>
    <xf numFmtId="0" fontId="3" fillId="2" borderId="0" xfId="0" applyNumberFormat="1" applyFont="1" applyFill="1" applyAlignment="1">
      <alignment horizontal="center"/>
    </xf>
    <xf numFmtId="49" fontId="3" fillId="2" borderId="0" xfId="0" applyFont="1" applyFill="1" applyAlignment="1">
      <alignment horizontal="center"/>
    </xf>
    <xf numFmtId="0" fontId="0" fillId="17" borderId="0" xfId="0" applyNumberFormat="1" applyFill="1" applyAlignment="1">
      <alignment horizontal="center" vertical="center"/>
    </xf>
    <xf numFmtId="0" fontId="9" fillId="2" borderId="0" xfId="0" applyNumberFormat="1" applyFont="1" applyFill="1" applyAlignment="1">
      <alignment horizontal="center" vertical="center" wrapText="1"/>
    </xf>
    <xf numFmtId="0" fontId="16" fillId="2" borderId="0" xfId="0" applyNumberFormat="1" applyFont="1" applyFill="1" applyAlignment="1">
      <alignment vertical="center"/>
    </xf>
    <xf numFmtId="0" fontId="3" fillId="2" borderId="0" xfId="0" applyNumberFormat="1" applyFont="1" applyFill="1" applyAlignment="1">
      <alignment horizontal="left" vertical="top"/>
    </xf>
    <xf numFmtId="0" fontId="8" fillId="2" borderId="0" xfId="0" applyNumberFormat="1" applyFont="1" applyFill="1" applyAlignment="1"/>
    <xf numFmtId="0" fontId="11" fillId="2" borderId="0" xfId="0" applyNumberFormat="1" applyFont="1" applyFill="1" applyAlignment="1"/>
    <xf numFmtId="0" fontId="36" fillId="2" borderId="0" xfId="0" applyNumberFormat="1" applyFont="1" applyFill="1" applyAlignment="1">
      <alignment horizontal="center"/>
    </xf>
    <xf numFmtId="0" fontId="51" fillId="2" borderId="0" xfId="0" applyNumberFormat="1" applyFont="1" applyFill="1" applyAlignment="1"/>
    <xf numFmtId="0" fontId="10" fillId="2" borderId="0" xfId="0" applyNumberFormat="1" applyFont="1" applyFill="1" applyAlignment="1"/>
    <xf numFmtId="0" fontId="36" fillId="17" borderId="0" xfId="0" applyNumberFormat="1" applyFont="1" applyFill="1" applyAlignment="1">
      <alignment horizontal="center"/>
    </xf>
    <xf numFmtId="49" fontId="9" fillId="2" borderId="0" xfId="0" applyFont="1" applyFill="1" applyAlignment="1"/>
    <xf numFmtId="0" fontId="27" fillId="2" borderId="0" xfId="0" applyNumberFormat="1" applyFont="1" applyFill="1" applyAlignment="1"/>
    <xf numFmtId="0" fontId="16" fillId="2" borderId="0" xfId="0" applyNumberFormat="1" applyFont="1" applyFill="1" applyAlignment="1">
      <alignment horizontal="left" vertical="center"/>
    </xf>
    <xf numFmtId="0" fontId="9" fillId="2" borderId="0" xfId="0" applyNumberFormat="1" applyFont="1" applyFill="1" applyAlignment="1">
      <alignment horizontal="left" vertical="center" wrapText="1"/>
    </xf>
    <xf numFmtId="0" fontId="27" fillId="2" borderId="0" xfId="0" applyNumberFormat="1" applyFont="1" applyFill="1" applyAlignment="1">
      <alignment vertical="center"/>
    </xf>
    <xf numFmtId="0" fontId="27" fillId="17" borderId="0" xfId="0" applyNumberFormat="1" applyFont="1" applyFill="1" applyAlignment="1">
      <alignment vertical="center"/>
    </xf>
    <xf numFmtId="49" fontId="9" fillId="2" borderId="0" xfId="0" applyFont="1" applyFill="1" applyAlignment="1">
      <alignment vertical="center"/>
    </xf>
    <xf numFmtId="0" fontId="1" fillId="2" borderId="0" xfId="0" applyNumberFormat="1" applyFont="1" applyFill="1" applyAlignment="1"/>
    <xf numFmtId="0" fontId="2" fillId="2" borderId="0" xfId="0" applyNumberFormat="1" applyFont="1" applyFill="1" applyAlignment="1"/>
    <xf numFmtId="0" fontId="20" fillId="2" borderId="0" xfId="0" applyNumberFormat="1" applyFont="1" applyFill="1" applyAlignment="1">
      <alignment vertical="center"/>
    </xf>
    <xf numFmtId="0" fontId="36" fillId="2" borderId="0" xfId="0" applyNumberFormat="1" applyFont="1" applyFill="1" applyAlignment="1">
      <alignment horizontal="center" vertical="center"/>
    </xf>
    <xf numFmtId="0" fontId="11" fillId="2" borderId="0" xfId="0" applyNumberFormat="1" applyFont="1" applyFill="1" applyAlignment="1">
      <alignment vertical="center"/>
    </xf>
    <xf numFmtId="0" fontId="20" fillId="2" borderId="0" xfId="0" applyNumberFormat="1" applyFont="1" applyFill="1" applyAlignment="1">
      <alignment vertical="center" wrapText="1"/>
    </xf>
    <xf numFmtId="0" fontId="21" fillId="2" borderId="0" xfId="0" applyNumberFormat="1" applyFont="1" applyFill="1" applyAlignment="1">
      <alignment vertical="center" wrapText="1"/>
    </xf>
    <xf numFmtId="0" fontId="21"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51" fillId="2" borderId="0" xfId="0" applyNumberFormat="1" applyFont="1" applyFill="1" applyAlignment="1">
      <alignment vertical="center"/>
    </xf>
    <xf numFmtId="0" fontId="51" fillId="17" borderId="0" xfId="0" applyNumberFormat="1" applyFont="1" applyFill="1" applyAlignment="1">
      <alignment vertical="center"/>
    </xf>
    <xf numFmtId="0" fontId="9" fillId="2" borderId="0" xfId="0" applyNumberFormat="1" applyFont="1" applyFill="1" applyAlignment="1">
      <alignment horizontal="center" vertical="center"/>
    </xf>
    <xf numFmtId="49" fontId="20" fillId="2" borderId="0" xfId="0" applyFont="1" applyFill="1" applyAlignment="1">
      <alignment vertical="center"/>
    </xf>
    <xf numFmtId="0" fontId="16" fillId="2" borderId="0" xfId="0" applyNumberFormat="1" applyFont="1" applyFill="1" applyAlignment="1">
      <alignment horizontal="left"/>
    </xf>
    <xf numFmtId="167" fontId="9" fillId="7" borderId="11" xfId="0" applyNumberFormat="1" applyFont="1" applyFill="1" applyBorder="1" applyAlignment="1" applyProtection="1">
      <alignment horizontal="left" vertical="center" wrapText="1" indent="1"/>
      <protection locked="0"/>
    </xf>
    <xf numFmtId="0" fontId="3" fillId="12" borderId="0" xfId="0" applyNumberFormat="1" applyFont="1" applyFill="1" applyAlignment="1"/>
    <xf numFmtId="49" fontId="3" fillId="0" borderId="0" xfId="0" applyFont="1" applyAlignment="1">
      <alignment horizontal="left" vertical="top"/>
    </xf>
    <xf numFmtId="4" fontId="3" fillId="0" borderId="0" xfId="0" applyNumberFormat="1" applyFont="1" applyAlignment="1"/>
    <xf numFmtId="49" fontId="52" fillId="0" borderId="0" xfId="0" applyFont="1" applyAlignment="1">
      <alignment vertical="top" wrapText="1"/>
    </xf>
    <xf numFmtId="0" fontId="8" fillId="10" borderId="11" xfId="0" applyNumberFormat="1" applyFont="1" applyFill="1" applyBorder="1" applyAlignment="1">
      <alignment horizontal="left" vertical="center" wrapText="1"/>
    </xf>
    <xf numFmtId="4" fontId="3" fillId="8" borderId="11" xfId="0" applyNumberFormat="1" applyFont="1" applyFill="1" applyBorder="1" applyAlignment="1">
      <alignment vertical="center"/>
    </xf>
    <xf numFmtId="165" fontId="3" fillId="8" borderId="11" xfId="0" applyNumberFormat="1" applyFont="1" applyFill="1" applyBorder="1" applyAlignment="1">
      <alignment vertical="center"/>
    </xf>
    <xf numFmtId="49" fontId="8" fillId="15" borderId="33" xfId="0" applyFont="1" applyFill="1" applyBorder="1" applyAlignment="1">
      <alignment horizontal="left" vertical="center" wrapText="1" indent="1"/>
    </xf>
    <xf numFmtId="49" fontId="8" fillId="15" borderId="34" xfId="0" applyFont="1" applyFill="1" applyBorder="1" applyAlignment="1">
      <alignment horizontal="left" vertical="center" wrapText="1" indent="1"/>
    </xf>
    <xf numFmtId="0" fontId="3" fillId="0" borderId="37" xfId="0" applyNumberFormat="1" applyFont="1" applyBorder="1" applyAlignment="1">
      <alignment horizontal="left" vertical="center" indent="1"/>
    </xf>
    <xf numFmtId="0" fontId="3" fillId="0" borderId="22" xfId="0" applyNumberFormat="1" applyFont="1" applyBorder="1" applyAlignment="1">
      <alignment horizontal="left" vertical="center" indent="1"/>
    </xf>
    <xf numFmtId="4" fontId="3" fillId="0" borderId="37" xfId="0" applyNumberFormat="1" applyFont="1" applyBorder="1" applyAlignment="1">
      <alignment horizontal="right" vertical="center"/>
    </xf>
    <xf numFmtId="4" fontId="3" fillId="0" borderId="37" xfId="0" applyNumberFormat="1" applyFont="1" applyBorder="1" applyAlignment="1">
      <alignment vertical="center"/>
    </xf>
    <xf numFmtId="4" fontId="3" fillId="0" borderId="22" xfId="0" applyNumberFormat="1" applyFont="1" applyBorder="1" applyAlignment="1">
      <alignment vertical="center"/>
    </xf>
    <xf numFmtId="0" fontId="3" fillId="8" borderId="10" xfId="0" applyNumberFormat="1" applyFont="1" applyFill="1" applyBorder="1" applyAlignment="1">
      <alignment vertical="center"/>
    </xf>
    <xf numFmtId="0" fontId="3" fillId="8" borderId="53" xfId="0" applyNumberFormat="1" applyFont="1" applyFill="1" applyBorder="1" applyAlignment="1">
      <alignment vertical="center"/>
    </xf>
    <xf numFmtId="0" fontId="9" fillId="3" borderId="11" xfId="0" applyNumberFormat="1" applyFont="1" applyFill="1" applyBorder="1" applyAlignment="1">
      <alignment horizontal="center" vertical="center" wrapText="1"/>
    </xf>
    <xf numFmtId="0" fontId="3" fillId="3" borderId="11" xfId="0" applyNumberFormat="1" applyFont="1" applyFill="1" applyBorder="1" applyAlignment="1">
      <alignment horizontal="center" vertical="center" wrapText="1"/>
    </xf>
    <xf numFmtId="0" fontId="9" fillId="3" borderId="10" xfId="0" applyNumberFormat="1" applyFont="1" applyFill="1" applyBorder="1" applyAlignment="1">
      <alignment horizontal="center" vertical="center" wrapText="1"/>
    </xf>
    <xf numFmtId="0" fontId="9" fillId="3" borderId="42" xfId="0" applyNumberFormat="1" applyFont="1" applyFill="1" applyBorder="1" applyAlignment="1">
      <alignment horizontal="center" vertical="center" wrapText="1"/>
    </xf>
    <xf numFmtId="0" fontId="9" fillId="3" borderId="36" xfId="0" applyNumberFormat="1" applyFont="1" applyFill="1" applyBorder="1" applyAlignment="1">
      <alignment horizontal="center" vertical="center" wrapText="1"/>
    </xf>
    <xf numFmtId="0" fontId="3" fillId="3" borderId="10" xfId="0" applyNumberFormat="1" applyFont="1" applyFill="1" applyBorder="1" applyAlignment="1">
      <alignment horizontal="center" vertical="center" wrapText="1"/>
    </xf>
    <xf numFmtId="0" fontId="3" fillId="3" borderId="36" xfId="0" applyNumberFormat="1" applyFont="1" applyFill="1" applyBorder="1" applyAlignment="1">
      <alignment horizontal="center" vertical="center" wrapText="1"/>
    </xf>
    <xf numFmtId="49" fontId="3" fillId="0" borderId="37" xfId="0" applyFont="1" applyBorder="1" applyAlignment="1">
      <alignment horizontal="left" vertical="center" wrapText="1" indent="1"/>
    </xf>
    <xf numFmtId="49" fontId="3" fillId="0" borderId="11" xfId="0" applyFont="1" applyBorder="1" applyAlignment="1">
      <alignment horizontal="left" vertical="center" wrapText="1" indent="1"/>
    </xf>
    <xf numFmtId="49" fontId="41" fillId="0" borderId="0" xfId="0" applyFont="1" applyAlignment="1">
      <alignment wrapText="1"/>
    </xf>
    <xf numFmtId="49" fontId="41" fillId="0" borderId="0" xfId="0" applyFont="1" applyAlignment="1">
      <alignment vertical="center" wrapText="1"/>
    </xf>
    <xf numFmtId="0" fontId="59" fillId="0" borderId="0" xfId="0" applyNumberFormat="1" applyFont="1" applyAlignment="1">
      <alignment horizontal="center" vertical="center" wrapText="1"/>
    </xf>
    <xf numFmtId="49" fontId="60" fillId="0" borderId="0" xfId="0" applyFont="1" applyAlignment="1">
      <alignment horizontal="center" wrapText="1"/>
    </xf>
    <xf numFmtId="49" fontId="41" fillId="0" borderId="0" xfId="0" applyFont="1" applyAlignment="1">
      <alignment horizontal="center" vertical="center" wrapText="1"/>
    </xf>
    <xf numFmtId="49" fontId="61" fillId="0" borderId="0" xfId="0" applyFont="1" applyAlignment="1">
      <alignment wrapText="1"/>
    </xf>
    <xf numFmtId="0" fontId="13" fillId="0" borderId="0" xfId="0" applyNumberFormat="1" applyFont="1" applyAlignment="1">
      <alignment horizontal="left" vertical="center" wrapText="1"/>
    </xf>
    <xf numFmtId="49" fontId="3" fillId="0" borderId="0" xfId="0" applyFont="1" applyAlignment="1">
      <alignment vertical="top" wrapText="1"/>
    </xf>
    <xf numFmtId="0" fontId="41" fillId="0" borderId="0" xfId="0" applyNumberFormat="1" applyFont="1" applyAlignment="1">
      <alignment wrapText="1"/>
    </xf>
    <xf numFmtId="0" fontId="59" fillId="0" borderId="0" xfId="0" applyNumberFormat="1" applyFont="1" applyAlignment="1">
      <alignment horizontal="left" vertical="center" wrapText="1"/>
    </xf>
    <xf numFmtId="0" fontId="62" fillId="0" borderId="0" xfId="0" applyNumberFormat="1" applyFont="1" applyAlignment="1">
      <alignment vertical="center" wrapText="1"/>
    </xf>
    <xf numFmtId="0" fontId="41" fillId="0" borderId="44" xfId="0" applyNumberFormat="1" applyFont="1" applyBorder="1" applyAlignment="1">
      <alignment wrapText="1"/>
    </xf>
    <xf numFmtId="0" fontId="41" fillId="0" borderId="0" xfId="0" applyNumberFormat="1" applyFont="1" applyAlignment="1"/>
    <xf numFmtId="0" fontId="59" fillId="0" borderId="0" xfId="0" applyNumberFormat="1" applyFont="1" applyAlignment="1"/>
    <xf numFmtId="0" fontId="43" fillId="0" borderId="0" xfId="0" applyNumberFormat="1" applyFont="1" applyAlignment="1">
      <alignment wrapText="1"/>
    </xf>
    <xf numFmtId="0" fontId="0" fillId="7" borderId="51" xfId="0" applyNumberFormat="1" applyFill="1" applyBorder="1" applyAlignment="1">
      <alignment horizontal="center" vertical="center" wrapText="1"/>
    </xf>
    <xf numFmtId="0" fontId="0" fillId="20" borderId="51" xfId="0" applyNumberFormat="1" applyFill="1" applyBorder="1" applyAlignment="1">
      <alignment horizontal="center" vertical="center" wrapText="1"/>
    </xf>
    <xf numFmtId="0" fontId="0" fillId="8" borderId="51" xfId="0" applyNumberFormat="1" applyFill="1" applyBorder="1" applyAlignment="1">
      <alignment horizontal="center" vertical="center" wrapText="1"/>
    </xf>
    <xf numFmtId="0" fontId="0" fillId="16" borderId="51" xfId="0" applyNumberFormat="1" applyFill="1" applyBorder="1" applyAlignment="1">
      <alignment horizontal="center" vertical="center" wrapText="1"/>
    </xf>
    <xf numFmtId="0" fontId="3" fillId="25" borderId="10" xfId="0" applyNumberFormat="1" applyFont="1" applyFill="1" applyBorder="1" applyAlignment="1">
      <alignment horizontal="center" vertical="center" wrapText="1"/>
    </xf>
    <xf numFmtId="0" fontId="3" fillId="24" borderId="10" xfId="0" applyNumberFormat="1" applyFont="1" applyFill="1" applyBorder="1" applyAlignment="1">
      <alignment horizontal="center" vertical="center" wrapText="1"/>
    </xf>
    <xf numFmtId="0" fontId="59" fillId="0" borderId="44" xfId="0" applyNumberFormat="1" applyFont="1" applyBorder="1" applyAlignment="1">
      <alignment horizontal="left" vertical="center" wrapText="1"/>
    </xf>
    <xf numFmtId="0" fontId="59" fillId="0" borderId="23" xfId="0" applyNumberFormat="1" applyFont="1" applyBorder="1" applyAlignment="1">
      <alignment horizontal="left" vertical="center" wrapText="1"/>
    </xf>
    <xf numFmtId="0" fontId="43" fillId="0" borderId="0" xfId="0" applyNumberFormat="1" applyFont="1" applyAlignment="1"/>
    <xf numFmtId="0" fontId="43" fillId="0" borderId="44" xfId="0" applyNumberFormat="1" applyFont="1" applyBorder="1" applyAlignment="1">
      <alignment wrapText="1"/>
    </xf>
    <xf numFmtId="0" fontId="41" fillId="0" borderId="30" xfId="0" applyNumberFormat="1" applyFont="1" applyBorder="1" applyAlignment="1">
      <alignment wrapText="1"/>
    </xf>
    <xf numFmtId="0" fontId="41" fillId="0" borderId="31" xfId="0" applyNumberFormat="1" applyFont="1" applyBorder="1" applyAlignment="1">
      <alignment wrapText="1"/>
    </xf>
    <xf numFmtId="0" fontId="41" fillId="0" borderId="31" xfId="0" applyNumberFormat="1" applyFont="1" applyBorder="1" applyAlignment="1">
      <alignment vertical="center" wrapText="1"/>
    </xf>
    <xf numFmtId="0" fontId="39" fillId="0" borderId="0" xfId="0" applyNumberFormat="1" applyFont="1" applyAlignment="1"/>
    <xf numFmtId="49" fontId="4" fillId="0" borderId="0" xfId="0" applyFont="1" applyAlignment="1"/>
    <xf numFmtId="0" fontId="3" fillId="25" borderId="11" xfId="0" applyNumberFormat="1" applyFont="1" applyFill="1" applyBorder="1" applyAlignment="1">
      <alignment horizontal="left" vertical="center" wrapText="1" indent="1"/>
    </xf>
    <xf numFmtId="49" fontId="3" fillId="0" borderId="0" xfId="4" applyNumberFormat="1">
      <alignment horizontal="left" vertical="center"/>
    </xf>
    <xf numFmtId="49" fontId="0" fillId="0" borderId="31" xfId="0" applyBorder="1" applyAlignment="1">
      <alignment horizontal="center" vertical="center" wrapText="1"/>
    </xf>
    <xf numFmtId="3" fontId="0" fillId="0" borderId="17" xfId="0" applyNumberFormat="1" applyBorder="1" applyAlignment="1">
      <alignment horizontal="center" vertical="center" wrapText="1"/>
    </xf>
    <xf numFmtId="49" fontId="25" fillId="15" borderId="30" xfId="0" applyFont="1" applyFill="1" applyBorder="1" applyAlignment="1">
      <alignment vertical="center"/>
    </xf>
    <xf numFmtId="49" fontId="25" fillId="15" borderId="31" xfId="0" applyFont="1" applyFill="1" applyBorder="1" applyAlignment="1">
      <alignment vertical="center"/>
    </xf>
    <xf numFmtId="49" fontId="25" fillId="15" borderId="54" xfId="0" applyFont="1" applyFill="1" applyBorder="1" applyAlignment="1">
      <alignment vertical="center"/>
    </xf>
    <xf numFmtId="4" fontId="3" fillId="7" borderId="45" xfId="0" applyNumberFormat="1" applyFont="1" applyFill="1" applyBorder="1" applyAlignment="1" applyProtection="1">
      <alignment horizontal="right" vertical="center" wrapText="1"/>
      <protection locked="0"/>
    </xf>
    <xf numFmtId="1" fontId="8" fillId="0" borderId="11" xfId="0" applyNumberFormat="1" applyFont="1" applyBorder="1" applyAlignment="1">
      <alignment horizontal="center" vertical="center" wrapText="1"/>
    </xf>
    <xf numFmtId="49" fontId="8" fillId="0" borderId="11" xfId="0" applyFont="1" applyBorder="1" applyAlignment="1">
      <alignment horizontal="center" vertical="center" wrapText="1"/>
    </xf>
    <xf numFmtId="4" fontId="8" fillId="7" borderId="10" xfId="0" applyNumberFormat="1" applyFont="1" applyFill="1" applyBorder="1" applyAlignment="1">
      <alignment horizontal="right" vertical="center"/>
    </xf>
    <xf numFmtId="49" fontId="3" fillId="7" borderId="11" xfId="0" applyFont="1" applyFill="1" applyBorder="1" applyAlignment="1">
      <alignment horizontal="left" vertical="center" wrapText="1"/>
    </xf>
    <xf numFmtId="165" fontId="3" fillId="7" borderId="10" xfId="0" applyNumberFormat="1" applyFont="1" applyFill="1" applyBorder="1" applyAlignment="1">
      <alignment horizontal="right" vertical="center"/>
    </xf>
    <xf numFmtId="49" fontId="8" fillId="7" borderId="11" xfId="0" applyFont="1" applyFill="1" applyBorder="1" applyAlignment="1">
      <alignment horizontal="left" vertical="center" wrapText="1"/>
    </xf>
    <xf numFmtId="4" fontId="3" fillId="7" borderId="10" xfId="0" applyNumberFormat="1" applyFont="1" applyFill="1" applyBorder="1" applyAlignment="1">
      <alignment horizontal="right" vertical="center"/>
    </xf>
    <xf numFmtId="0" fontId="3" fillId="7" borderId="11" xfId="0" applyNumberFormat="1" applyFont="1" applyFill="1" applyBorder="1" applyAlignment="1">
      <alignment horizontal="left" vertical="center" wrapText="1"/>
    </xf>
    <xf numFmtId="0" fontId="3" fillId="16" borderId="10" xfId="0" applyNumberFormat="1" applyFont="1" applyFill="1" applyBorder="1" applyAlignment="1">
      <alignment horizontal="left" vertical="center" wrapText="1" indent="1"/>
    </xf>
    <xf numFmtId="4" fontId="3" fillId="7" borderId="10" xfId="0" applyNumberFormat="1" applyFont="1" applyFill="1" applyBorder="1" applyAlignment="1">
      <alignment horizontal="right" vertical="center" wrapText="1"/>
    </xf>
    <xf numFmtId="4" fontId="24" fillId="14" borderId="28" xfId="0" applyNumberFormat="1" applyFont="1" applyFill="1" applyBorder="1" applyAlignment="1">
      <alignment horizontal="right" vertical="center" wrapText="1"/>
    </xf>
    <xf numFmtId="0" fontId="3" fillId="15" borderId="36" xfId="0" applyNumberFormat="1" applyFont="1" applyFill="1" applyBorder="1" applyAlignment="1">
      <alignment horizontal="center" vertical="center" wrapText="1" shrinkToFit="1"/>
    </xf>
    <xf numFmtId="49" fontId="25" fillId="15" borderId="31" xfId="0" applyFont="1" applyFill="1" applyBorder="1" applyAlignment="1">
      <alignment horizontal="left" vertical="center" indent="2"/>
    </xf>
    <xf numFmtId="49" fontId="3" fillId="15" borderId="37" xfId="0" applyFont="1" applyFill="1" applyBorder="1" applyAlignment="1">
      <alignment horizontal="center" vertical="center" wrapText="1" shrinkToFit="1"/>
    </xf>
    <xf numFmtId="49" fontId="8" fillId="0" borderId="11" xfId="0" applyFont="1" applyBorder="1" applyAlignment="1">
      <alignment horizontal="left" vertical="center" wrapText="1" indent="2" shrinkToFit="1"/>
    </xf>
    <xf numFmtId="0" fontId="8" fillId="0" borderId="0" xfId="0" applyNumberFormat="1" applyFont="1" applyAlignment="1">
      <alignment horizontal="center" vertical="center" wrapText="1" shrinkToFit="1"/>
    </xf>
    <xf numFmtId="49" fontId="8" fillId="0" borderId="0" xfId="0" applyFont="1" applyAlignment="1">
      <alignment horizontal="left" vertical="center" wrapText="1" shrinkToFit="1"/>
    </xf>
    <xf numFmtId="49" fontId="3" fillId="14" borderId="17" xfId="0" applyFont="1" applyFill="1" applyBorder="1" applyAlignment="1">
      <alignment horizontal="left" vertical="center" wrapText="1"/>
    </xf>
    <xf numFmtId="49" fontId="3" fillId="14" borderId="28" xfId="0" applyFont="1" applyFill="1" applyBorder="1" applyAlignment="1">
      <alignment horizontal="left" vertical="center" wrapText="1"/>
    </xf>
    <xf numFmtId="0" fontId="3" fillId="0" borderId="11" xfId="0" applyNumberFormat="1" applyFont="1" applyBorder="1" applyAlignment="1">
      <alignment horizontal="left" vertical="center" wrapText="1" indent="2" shrinkToFit="1"/>
    </xf>
    <xf numFmtId="49" fontId="3" fillId="0" borderId="37" xfId="0" applyFont="1" applyBorder="1" applyAlignment="1">
      <alignment horizontal="left" vertical="center" wrapText="1" indent="1" shrinkToFit="1"/>
    </xf>
    <xf numFmtId="165" fontId="3" fillId="7" borderId="11"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xf>
    <xf numFmtId="4" fontId="9" fillId="15" borderId="28" xfId="0" applyNumberFormat="1" applyFont="1" applyFill="1" applyBorder="1" applyAlignment="1">
      <alignment horizontal="right" vertical="center" wrapText="1"/>
    </xf>
    <xf numFmtId="4" fontId="27" fillId="7" borderId="10" xfId="0" applyNumberFormat="1" applyFont="1" applyFill="1" applyBorder="1" applyAlignment="1" applyProtection="1">
      <alignment horizontal="right" vertical="center" wrapText="1"/>
      <protection locked="0"/>
    </xf>
    <xf numFmtId="4" fontId="27" fillId="0" borderId="17" xfId="0" applyNumberFormat="1" applyFont="1" applyBorder="1" applyAlignment="1">
      <alignment horizontal="right" vertical="center" wrapText="1"/>
    </xf>
    <xf numFmtId="0" fontId="8" fillId="0" borderId="55" xfId="0" quotePrefix="1" applyNumberFormat="1" applyFont="1" applyBorder="1" applyAlignment="1">
      <alignment horizontal="left" vertical="center" indent="1"/>
    </xf>
    <xf numFmtId="0" fontId="26" fillId="0" borderId="55" xfId="0" applyNumberFormat="1" applyFont="1" applyBorder="1" applyAlignment="1">
      <alignment vertical="center"/>
    </xf>
    <xf numFmtId="0" fontId="26" fillId="0" borderId="55" xfId="0" applyNumberFormat="1" applyFont="1" applyBorder="1" applyAlignment="1"/>
    <xf numFmtId="0" fontId="3" fillId="26" borderId="11" xfId="0" applyNumberFormat="1" applyFont="1" applyFill="1" applyBorder="1" applyAlignment="1">
      <alignment horizontal="center" vertical="center" wrapText="1"/>
    </xf>
    <xf numFmtId="0" fontId="9" fillId="26" borderId="4" xfId="0" applyNumberFormat="1" applyFont="1" applyFill="1" applyBorder="1" applyAlignment="1">
      <alignment horizontal="center" vertical="center" wrapText="1"/>
    </xf>
    <xf numFmtId="0" fontId="3" fillId="0" borderId="56" xfId="0" applyNumberFormat="1" applyFont="1" applyBorder="1" applyAlignment="1">
      <alignment horizontal="center" vertical="center" wrapText="1"/>
    </xf>
    <xf numFmtId="0" fontId="24" fillId="14" borderId="56" xfId="0" applyNumberFormat="1" applyFont="1" applyFill="1" applyBorder="1" applyAlignment="1">
      <alignment horizontal="left" vertical="center"/>
    </xf>
    <xf numFmtId="0" fontId="24" fillId="14" borderId="57" xfId="0" applyNumberFormat="1" applyFont="1" applyFill="1" applyBorder="1" applyAlignment="1">
      <alignment horizontal="left" vertical="center"/>
    </xf>
    <xf numFmtId="49" fontId="24" fillId="14" borderId="57" xfId="0" applyFont="1" applyFill="1" applyBorder="1" applyAlignment="1">
      <alignment horizontal="left" vertical="center" wrapText="1"/>
    </xf>
    <xf numFmtId="0" fontId="0" fillId="27" borderId="0" xfId="0" applyNumberFormat="1" applyFill="1" applyAlignment="1">
      <alignment horizontal="center" vertical="center"/>
    </xf>
    <xf numFmtId="0" fontId="1" fillId="0" borderId="0" xfId="0" applyNumberFormat="1" applyFont="1" applyAlignment="1">
      <alignment horizontal="center" vertical="top"/>
    </xf>
    <xf numFmtId="0" fontId="3" fillId="8" borderId="11" xfId="0" applyNumberFormat="1" applyFont="1" applyFill="1" applyBorder="1" applyAlignment="1">
      <alignment horizontal="left" vertical="center" wrapText="1" indent="1"/>
    </xf>
    <xf numFmtId="49" fontId="3" fillId="8" borderId="11" xfId="0" applyFont="1" applyFill="1" applyBorder="1" applyAlignment="1">
      <alignment horizontal="left" vertical="center" wrapText="1" indent="1"/>
    </xf>
    <xf numFmtId="0" fontId="68" fillId="8" borderId="11" xfId="0" applyNumberFormat="1" applyFont="1" applyFill="1" applyBorder="1" applyAlignment="1">
      <alignment horizontal="left" vertical="center" wrapText="1" indent="1"/>
    </xf>
    <xf numFmtId="49" fontId="68" fillId="7" borderId="11" xfId="0" applyFont="1" applyFill="1" applyBorder="1" applyAlignment="1">
      <alignment horizontal="left" vertical="center" wrapText="1" indent="1"/>
    </xf>
    <xf numFmtId="49" fontId="9" fillId="7" borderId="11" xfId="0" applyFont="1" applyFill="1" applyBorder="1" applyAlignment="1">
      <alignment horizontal="left" vertical="center" wrapText="1" indent="1"/>
    </xf>
    <xf numFmtId="0" fontId="9" fillId="16" borderId="11" xfId="0" applyNumberFormat="1" applyFont="1" applyFill="1" applyBorder="1" applyAlignment="1">
      <alignment horizontal="left" vertical="center" wrapText="1" indent="1"/>
    </xf>
    <xf numFmtId="0" fontId="3" fillId="7" borderId="11" xfId="0" applyNumberFormat="1" applyFont="1" applyFill="1" applyBorder="1" applyAlignment="1">
      <alignment horizontal="left" vertical="center" wrapText="1" indent="1"/>
    </xf>
    <xf numFmtId="167" fontId="9" fillId="7" borderId="11" xfId="0" applyNumberFormat="1" applyFont="1" applyFill="1" applyBorder="1" applyAlignment="1">
      <alignment horizontal="left" vertical="center" wrapText="1" indent="1"/>
    </xf>
    <xf numFmtId="14" fontId="9" fillId="7" borderId="11" xfId="0" applyNumberFormat="1" applyFont="1" applyFill="1" applyBorder="1" applyAlignment="1">
      <alignment horizontal="left" vertical="center" wrapText="1" indent="1"/>
    </xf>
    <xf numFmtId="167" fontId="3" fillId="16" borderId="10" xfId="0" applyNumberFormat="1" applyFont="1" applyFill="1" applyBorder="1" applyAlignment="1">
      <alignment horizontal="left" vertical="center" wrapText="1" indent="1"/>
    </xf>
    <xf numFmtId="49" fontId="3" fillId="16" borderId="11" xfId="0" applyFont="1" applyFill="1" applyBorder="1" applyAlignment="1">
      <alignment horizontal="right" vertical="center" wrapText="1" indent="1"/>
    </xf>
    <xf numFmtId="0" fontId="3" fillId="7" borderId="21" xfId="0" applyNumberFormat="1" applyFont="1" applyFill="1" applyBorder="1" applyAlignment="1">
      <alignment horizontal="left" vertical="center" wrapText="1" indent="1"/>
    </xf>
    <xf numFmtId="49" fontId="3" fillId="7" borderId="26" xfId="0" applyFont="1" applyFill="1" applyBorder="1" applyAlignment="1">
      <alignment horizontal="left" vertical="center" wrapText="1" indent="1"/>
    </xf>
    <xf numFmtId="3" fontId="3" fillId="7" borderId="11" xfId="0" applyNumberFormat="1" applyFont="1" applyFill="1" applyBorder="1" applyAlignment="1">
      <alignment horizontal="right" vertical="center"/>
    </xf>
    <xf numFmtId="49" fontId="3" fillId="7" borderId="10" xfId="0" applyFont="1" applyFill="1" applyBorder="1" applyAlignment="1">
      <alignment horizontal="left" vertical="center" wrapText="1"/>
    </xf>
    <xf numFmtId="4" fontId="3" fillId="7" borderId="11" xfId="0" applyNumberFormat="1" applyFont="1" applyFill="1" applyBorder="1" applyAlignment="1">
      <alignment horizontal="right" vertical="center"/>
    </xf>
    <xf numFmtId="49" fontId="3" fillId="16" borderId="10" xfId="0" applyFont="1" applyFill="1" applyBorder="1" applyAlignment="1">
      <alignment horizontal="left" vertical="center" wrapText="1"/>
    </xf>
    <xf numFmtId="49" fontId="3" fillId="16" borderId="10" xfId="0" applyFont="1" applyFill="1" applyBorder="1" applyAlignment="1">
      <alignment horizontal="center" vertical="center" wrapText="1"/>
    </xf>
    <xf numFmtId="4" fontId="9" fillId="7" borderId="11" xfId="0" applyNumberFormat="1" applyFont="1" applyFill="1" applyBorder="1" applyAlignment="1" applyProtection="1">
      <alignment horizontal="right" vertical="center"/>
      <protection locked="0"/>
    </xf>
    <xf numFmtId="4" fontId="9" fillId="7" borderId="11" xfId="0" applyNumberFormat="1" applyFont="1" applyFill="1" applyBorder="1" applyAlignment="1">
      <alignment horizontal="right" vertical="center"/>
    </xf>
    <xf numFmtId="165" fontId="9" fillId="7" borderId="11" xfId="0" applyNumberFormat="1" applyFont="1" applyFill="1" applyBorder="1" applyAlignment="1">
      <alignment horizontal="right" vertical="center"/>
    </xf>
    <xf numFmtId="49" fontId="9" fillId="7" borderId="11" xfId="0" applyFont="1" applyFill="1" applyBorder="1" applyAlignment="1">
      <alignment horizontal="left" vertical="center" wrapText="1"/>
    </xf>
    <xf numFmtId="165" fontId="0" fillId="7" borderId="11" xfId="0" applyNumberFormat="1" applyFill="1" applyBorder="1" applyAlignment="1">
      <alignment horizontal="right" vertical="center"/>
    </xf>
    <xf numFmtId="165" fontId="9" fillId="7" borderId="10" xfId="0" applyNumberFormat="1" applyFont="1" applyFill="1" applyBorder="1" applyAlignment="1">
      <alignment horizontal="right" vertical="center"/>
    </xf>
    <xf numFmtId="165" fontId="0" fillId="7" borderId="10" xfId="0" applyNumberFormat="1" applyFill="1" applyBorder="1" applyAlignment="1">
      <alignment horizontal="right" vertical="center"/>
    </xf>
    <xf numFmtId="49" fontId="9" fillId="7" borderId="10" xfId="0" applyFont="1" applyFill="1" applyBorder="1" applyAlignment="1">
      <alignment horizontal="left" vertical="center" wrapText="1"/>
    </xf>
    <xf numFmtId="165" fontId="9" fillId="7" borderId="45" xfId="0" applyNumberFormat="1" applyFont="1" applyFill="1" applyBorder="1" applyAlignment="1">
      <alignment horizontal="right" vertical="center"/>
    </xf>
    <xf numFmtId="165" fontId="0" fillId="7" borderId="45" xfId="0" applyNumberFormat="1" applyFill="1" applyBorder="1" applyAlignment="1">
      <alignment horizontal="right" vertical="center"/>
    </xf>
    <xf numFmtId="165" fontId="3" fillId="7" borderId="45" xfId="0" applyNumberFormat="1" applyFont="1" applyFill="1" applyBorder="1" applyAlignment="1">
      <alignment horizontal="right" vertical="center"/>
    </xf>
    <xf numFmtId="49" fontId="9" fillId="7" borderId="45" xfId="0" applyFont="1" applyFill="1" applyBorder="1" applyAlignment="1">
      <alignment horizontal="left" vertical="center" wrapText="1"/>
    </xf>
    <xf numFmtId="0" fontId="3" fillId="16" borderId="45" xfId="0" applyNumberFormat="1" applyFont="1" applyFill="1" applyBorder="1" applyAlignment="1">
      <alignment horizontal="left" vertical="center" wrapText="1" indent="1"/>
    </xf>
    <xf numFmtId="165" fontId="3" fillId="7" borderId="11" xfId="0" applyNumberFormat="1" applyFont="1" applyFill="1" applyBorder="1" applyAlignment="1">
      <alignment horizontal="right" vertical="center"/>
    </xf>
    <xf numFmtId="0" fontId="3" fillId="16" borderId="11" xfId="0" applyNumberFormat="1" applyFont="1" applyFill="1" applyBorder="1" applyAlignment="1">
      <alignment horizontal="left" vertical="center" wrapText="1" indent="1"/>
    </xf>
    <xf numFmtId="0" fontId="0" fillId="0" borderId="0" xfId="0" applyNumberFormat="1" applyAlignment="1">
      <alignment vertical="center" wrapText="1"/>
    </xf>
    <xf numFmtId="0" fontId="1" fillId="0" borderId="0" xfId="1" applyNumberFormat="1" applyFont="1" applyAlignment="1"/>
    <xf numFmtId="0" fontId="38" fillId="0" borderId="0" xfId="1" applyNumberFormat="1" applyFont="1" applyAlignment="1">
      <alignment wrapText="1"/>
    </xf>
    <xf numFmtId="0" fontId="3" fillId="0" borderId="75" xfId="0" applyNumberFormat="1" applyFont="1" applyBorder="1" applyAlignment="1">
      <alignment horizontal="right" vertical="center" wrapText="1" indent="1"/>
    </xf>
    <xf numFmtId="0" fontId="9" fillId="0" borderId="0" xfId="1" applyNumberFormat="1" applyFont="1" applyAlignment="1">
      <alignment wrapText="1"/>
    </xf>
    <xf numFmtId="49" fontId="3" fillId="0" borderId="0" xfId="0" applyFont="1" applyAlignment="1">
      <alignment horizontal="left" vertical="center"/>
    </xf>
    <xf numFmtId="0" fontId="0" fillId="16" borderId="10" xfId="0" applyNumberFormat="1" applyFill="1" applyBorder="1" applyAlignment="1">
      <alignment horizontal="left" vertical="center" wrapText="1"/>
    </xf>
    <xf numFmtId="0" fontId="0" fillId="7" borderId="10" xfId="0" applyNumberFormat="1" applyFill="1" applyBorder="1" applyAlignment="1">
      <alignment horizontal="left" vertical="center" wrapText="1"/>
    </xf>
    <xf numFmtId="3" fontId="0" fillId="7" borderId="10" xfId="0" applyNumberFormat="1" applyFill="1" applyBorder="1" applyAlignment="1">
      <alignment horizontal="left" vertical="center" wrapText="1"/>
    </xf>
    <xf numFmtId="4" fontId="0" fillId="7" borderId="10" xfId="0" applyNumberFormat="1" applyFill="1" applyBorder="1" applyAlignment="1">
      <alignment horizontal="right" vertical="center" wrapText="1"/>
    </xf>
    <xf numFmtId="0" fontId="0" fillId="7" borderId="10" xfId="0" applyNumberFormat="1" applyFill="1" applyBorder="1" applyAlignment="1">
      <alignment horizontal="left" vertical="center" wrapText="1" indent="1"/>
    </xf>
    <xf numFmtId="165" fontId="0" fillId="7" borderId="10" xfId="0" applyNumberFormat="1" applyFill="1" applyBorder="1" applyAlignment="1">
      <alignment horizontal="right" vertical="center" wrapText="1"/>
    </xf>
    <xf numFmtId="165" fontId="0" fillId="7" borderId="11" xfId="0" applyNumberFormat="1" applyFill="1" applyBorder="1" applyAlignment="1">
      <alignment vertical="center" wrapText="1"/>
    </xf>
    <xf numFmtId="49" fontId="0" fillId="7" borderId="10" xfId="0" applyFill="1" applyBorder="1" applyAlignment="1">
      <alignment horizontal="left" vertical="center" wrapText="1"/>
    </xf>
    <xf numFmtId="0" fontId="1" fillId="0" borderId="0" xfId="0" applyNumberFormat="1" applyFont="1" applyAlignment="1">
      <alignment horizontal="center" vertical="center" wrapText="1"/>
    </xf>
    <xf numFmtId="49" fontId="3" fillId="7" borderId="11" xfId="0" applyFont="1" applyFill="1" applyBorder="1" applyAlignment="1">
      <alignment horizontal="right" vertical="center" wrapText="1"/>
    </xf>
    <xf numFmtId="0" fontId="3" fillId="24" borderId="11" xfId="0" applyNumberFormat="1" applyFont="1" applyFill="1" applyBorder="1" applyAlignment="1">
      <alignment horizontal="left" vertical="center" wrapText="1"/>
    </xf>
    <xf numFmtId="0" fontId="7" fillId="0" borderId="0" xfId="0" applyNumberFormat="1" applyFont="1" applyAlignment="1">
      <alignment horizontal="center" vertical="top" wrapText="1"/>
    </xf>
    <xf numFmtId="0" fontId="3" fillId="9" borderId="4"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25" fillId="31" borderId="76" xfId="0" applyFont="1" applyFill="1" applyBorder="1" applyAlignment="1">
      <alignment horizontal="left" vertical="center" wrapText="1" indent="1"/>
    </xf>
    <xf numFmtId="49" fontId="25" fillId="31" borderId="77" xfId="0" applyFont="1" applyFill="1" applyBorder="1" applyAlignment="1">
      <alignment vertical="center" wrapText="1"/>
    </xf>
    <xf numFmtId="49" fontId="25" fillId="31" borderId="77" xfId="0" applyFont="1" applyFill="1" applyBorder="1" applyAlignment="1">
      <alignment horizontal="left" vertical="center" wrapText="1" indent="1"/>
    </xf>
    <xf numFmtId="49" fontId="25" fillId="31" borderId="78" xfId="0" applyFont="1" applyFill="1" applyBorder="1" applyAlignment="1">
      <alignment horizontal="left" vertical="center" wrapText="1" indent="1"/>
    </xf>
    <xf numFmtId="0" fontId="3" fillId="16" borderId="11" xfId="0" applyNumberFormat="1" applyFont="1" applyFill="1" applyBorder="1" applyAlignment="1">
      <alignment horizontal="left" vertical="center" wrapText="1"/>
    </xf>
    <xf numFmtId="0" fontId="9" fillId="16" borderId="11" xfId="0" applyNumberFormat="1" applyFont="1" applyFill="1" applyBorder="1" applyAlignment="1">
      <alignment horizontal="center" vertical="center" wrapText="1"/>
    </xf>
    <xf numFmtId="49" fontId="25" fillId="31" borderId="79" xfId="0" applyFont="1" applyFill="1" applyBorder="1" applyAlignment="1">
      <alignment horizontal="left" vertical="center" wrapText="1" indent="1"/>
    </xf>
    <xf numFmtId="49" fontId="3" fillId="7" borderId="11" xfId="0" applyFont="1" applyFill="1" applyBorder="1" applyAlignment="1" applyProtection="1">
      <alignment horizontal="right" vertical="center" wrapText="1"/>
      <protection locked="0"/>
    </xf>
    <xf numFmtId="0" fontId="3" fillId="24" borderId="11" xfId="0" applyNumberFormat="1" applyFont="1" applyFill="1" applyBorder="1" applyAlignment="1" applyProtection="1">
      <alignment horizontal="left" vertical="center" wrapText="1"/>
      <protection locked="0"/>
    </xf>
    <xf numFmtId="4" fontId="9" fillId="7" borderId="10" xfId="0" applyNumberFormat="1" applyFont="1" applyFill="1" applyBorder="1" applyAlignment="1">
      <alignment horizontal="right" vertical="center"/>
    </xf>
    <xf numFmtId="0" fontId="3" fillId="24" borderId="10" xfId="0" applyNumberFormat="1" applyFont="1" applyFill="1" applyBorder="1" applyAlignment="1">
      <alignment horizontal="left" vertical="center" wrapText="1"/>
    </xf>
    <xf numFmtId="4" fontId="3" fillId="7" borderId="45" xfId="0" applyNumberFormat="1" applyFont="1" applyFill="1" applyBorder="1" applyAlignment="1">
      <alignment horizontal="right" vertical="center" wrapText="1"/>
    </xf>
    <xf numFmtId="4" fontId="3" fillId="7" borderId="11" xfId="0" applyNumberFormat="1" applyFont="1" applyFill="1" applyBorder="1" applyAlignment="1">
      <alignment horizontal="right" vertical="center" wrapText="1"/>
    </xf>
    <xf numFmtId="0" fontId="3" fillId="0" borderId="4" xfId="0" applyNumberFormat="1" applyFont="1" applyBorder="1" applyAlignment="1">
      <alignment horizontal="center" vertical="center"/>
    </xf>
    <xf numFmtId="49" fontId="3" fillId="8" borderId="11" xfId="0" applyFont="1" applyFill="1" applyBorder="1" applyAlignment="1">
      <alignment horizontal="left" vertical="center" wrapText="1"/>
    </xf>
    <xf numFmtId="0" fontId="8" fillId="0" borderId="4" xfId="0" applyNumberFormat="1" applyFont="1" applyBorder="1" applyAlignment="1">
      <alignment horizontal="center" vertical="center"/>
    </xf>
    <xf numFmtId="4" fontId="3" fillId="0" borderId="5" xfId="0" applyNumberFormat="1" applyFont="1" applyBorder="1" applyAlignment="1">
      <alignment horizontal="right" vertical="center"/>
    </xf>
    <xf numFmtId="4" fontId="8" fillId="0" borderId="5" xfId="0" applyNumberFormat="1" applyFont="1" applyBorder="1" applyAlignment="1">
      <alignment horizontal="right" vertical="center"/>
    </xf>
    <xf numFmtId="4" fontId="8" fillId="0" borderId="9" xfId="0" applyNumberFormat="1" applyFont="1" applyBorder="1" applyAlignment="1">
      <alignment horizontal="right" vertical="center"/>
    </xf>
    <xf numFmtId="49" fontId="9" fillId="0" borderId="5" xfId="0" applyFont="1" applyBorder="1" applyAlignment="1">
      <alignment horizontal="left" vertical="center" wrapText="1"/>
    </xf>
    <xf numFmtId="0" fontId="3" fillId="9" borderId="10" xfId="0" applyNumberFormat="1" applyFont="1" applyFill="1" applyBorder="1" applyAlignment="1">
      <alignment horizontal="left" vertical="center" wrapText="1" indent="1"/>
    </xf>
    <xf numFmtId="0" fontId="3" fillId="0" borderId="7" xfId="0" applyNumberFormat="1" applyFont="1" applyBorder="1" applyAlignment="1">
      <alignment horizontal="center" vertical="center"/>
    </xf>
    <xf numFmtId="0" fontId="3" fillId="0" borderId="4" xfId="0" applyNumberFormat="1" applyFont="1" applyBorder="1" applyAlignment="1">
      <alignment horizontal="left" vertical="center" wrapText="1" indent="2"/>
    </xf>
    <xf numFmtId="4" fontId="3" fillId="7" borderId="8" xfId="0" applyNumberFormat="1" applyFont="1" applyFill="1" applyBorder="1" applyAlignment="1">
      <alignment horizontal="right" vertical="center"/>
    </xf>
    <xf numFmtId="49" fontId="9" fillId="7" borderId="8" xfId="0" applyFont="1" applyFill="1" applyBorder="1" applyAlignment="1">
      <alignment horizontal="left" vertical="center" wrapText="1"/>
    </xf>
    <xf numFmtId="4" fontId="11" fillId="2" borderId="0" xfId="0" applyNumberFormat="1" applyFont="1" applyFill="1" applyAlignment="1"/>
    <xf numFmtId="4" fontId="8" fillId="8" borderId="10" xfId="0" applyNumberFormat="1" applyFont="1" applyFill="1" applyBorder="1" applyAlignment="1" applyProtection="1">
      <alignment horizontal="right" vertical="center"/>
      <protection locked="0"/>
    </xf>
    <xf numFmtId="0" fontId="8" fillId="0" borderId="5" xfId="0" applyNumberFormat="1" applyFont="1" applyBorder="1" applyAlignment="1">
      <alignment horizontal="center" vertical="center"/>
    </xf>
    <xf numFmtId="4" fontId="8" fillId="0" borderId="4" xfId="0" applyNumberFormat="1" applyFont="1" applyBorder="1" applyAlignment="1">
      <alignment horizontal="right" vertical="center"/>
    </xf>
    <xf numFmtId="49" fontId="3" fillId="8" borderId="6" xfId="0" applyFont="1" applyFill="1" applyBorder="1" applyAlignment="1">
      <alignment horizontal="left" vertical="center" wrapText="1"/>
    </xf>
    <xf numFmtId="0" fontId="3" fillId="0" borderId="4" xfId="0" applyNumberFormat="1" applyFont="1" applyBorder="1" applyAlignment="1">
      <alignment horizontal="left" vertical="center" wrapText="1" indent="1"/>
    </xf>
    <xf numFmtId="4" fontId="8" fillId="8" borderId="8" xfId="0" applyNumberFormat="1" applyFont="1" applyFill="1" applyBorder="1" applyAlignment="1">
      <alignment horizontal="right" vertical="center"/>
    </xf>
    <xf numFmtId="4" fontId="8" fillId="7" borderId="8" xfId="0" applyNumberFormat="1" applyFont="1" applyFill="1" applyBorder="1" applyAlignment="1">
      <alignment horizontal="right" vertical="center"/>
    </xf>
    <xf numFmtId="4" fontId="10" fillId="2" borderId="0" xfId="0" applyNumberFormat="1" applyFont="1" applyFill="1" applyAlignment="1"/>
    <xf numFmtId="0" fontId="3" fillId="0" borderId="5" xfId="0" applyNumberFormat="1" applyFont="1" applyBorder="1" applyAlignment="1">
      <alignment horizontal="left" vertical="center" wrapText="1" indent="2"/>
    </xf>
    <xf numFmtId="0" fontId="3" fillId="0" borderId="9" xfId="0" applyNumberFormat="1" applyFont="1" applyBorder="1" applyAlignment="1">
      <alignment horizontal="center" vertical="center"/>
    </xf>
    <xf numFmtId="4" fontId="3" fillId="0" borderId="4" xfId="0" applyNumberFormat="1" applyFont="1" applyBorder="1" applyAlignment="1">
      <alignment horizontal="left" vertical="center" indent="3"/>
    </xf>
    <xf numFmtId="0" fontId="25" fillId="31" borderId="7" xfId="0" applyNumberFormat="1" applyFont="1" applyFill="1" applyBorder="1" applyAlignment="1">
      <alignment horizontal="left" vertical="center" wrapText="1" indent="1"/>
    </xf>
    <xf numFmtId="49" fontId="25" fillId="31" borderId="57" xfId="0" applyFont="1" applyFill="1" applyBorder="1" applyAlignment="1">
      <alignment horizontal="left" vertical="center" wrapText="1" indent="1"/>
    </xf>
    <xf numFmtId="49" fontId="25" fillId="31" borderId="80" xfId="0" applyFont="1" applyFill="1" applyBorder="1" applyAlignment="1">
      <alignment horizontal="left" vertical="center" wrapText="1" indent="1"/>
    </xf>
    <xf numFmtId="0" fontId="3" fillId="0" borderId="5" xfId="0" applyNumberFormat="1" applyFont="1" applyBorder="1" applyAlignment="1">
      <alignment horizontal="left" vertical="center" wrapText="1" indent="1"/>
    </xf>
    <xf numFmtId="4" fontId="3" fillId="7" borderId="4" xfId="0" applyNumberFormat="1" applyFont="1" applyFill="1" applyBorder="1" applyAlignment="1">
      <alignment horizontal="right" vertical="center"/>
    </xf>
    <xf numFmtId="4" fontId="3" fillId="7" borderId="5" xfId="0" applyNumberFormat="1" applyFont="1" applyFill="1" applyBorder="1" applyAlignment="1">
      <alignment horizontal="right" vertical="center"/>
    </xf>
    <xf numFmtId="49" fontId="25" fillId="31" borderId="81" xfId="0" applyFont="1" applyFill="1" applyBorder="1" applyAlignment="1">
      <alignment horizontal="left" vertical="center" wrapText="1" indent="1"/>
    </xf>
    <xf numFmtId="4" fontId="8" fillId="0" borderId="7" xfId="0" applyNumberFormat="1" applyFont="1" applyBorder="1" applyAlignment="1">
      <alignment horizontal="right" vertical="center"/>
    </xf>
    <xf numFmtId="49" fontId="9" fillId="0" borderId="4" xfId="0" applyFont="1" applyBorder="1" applyAlignment="1">
      <alignment horizontal="left" vertical="center" wrapText="1"/>
    </xf>
    <xf numFmtId="49" fontId="9" fillId="7" borderId="4" xfId="0" applyFont="1" applyFill="1" applyBorder="1" applyAlignment="1">
      <alignment horizontal="left" vertical="center" wrapText="1"/>
    </xf>
    <xf numFmtId="4" fontId="3" fillId="7" borderId="9" xfId="0" applyNumberFormat="1" applyFont="1" applyFill="1" applyBorder="1" applyAlignment="1">
      <alignment horizontal="right" vertical="center"/>
    </xf>
    <xf numFmtId="0" fontId="8" fillId="0" borderId="4" xfId="0" applyNumberFormat="1" applyFont="1" applyBorder="1" applyAlignment="1">
      <alignment vertical="center" wrapText="1"/>
    </xf>
    <xf numFmtId="49" fontId="3" fillId="16" borderId="4" xfId="0" applyFont="1" applyFill="1" applyBorder="1" applyAlignment="1">
      <alignment horizontal="left" vertical="center" wrapText="1"/>
    </xf>
    <xf numFmtId="4" fontId="3" fillId="0" borderId="5" xfId="0" applyNumberFormat="1" applyFont="1" applyBorder="1" applyAlignment="1" applyProtection="1">
      <alignment horizontal="right" vertical="center"/>
      <protection locked="0"/>
    </xf>
    <xf numFmtId="4" fontId="3" fillId="7" borderId="8" xfId="0" applyNumberFormat="1" applyFont="1" applyFill="1" applyBorder="1" applyAlignment="1" applyProtection="1">
      <alignment horizontal="right" vertical="center"/>
      <protection locked="0"/>
    </xf>
    <xf numFmtId="49" fontId="9" fillId="7" borderId="8" xfId="0" applyFont="1" applyFill="1" applyBorder="1" applyAlignment="1" applyProtection="1">
      <alignment horizontal="left" vertical="center" wrapText="1"/>
      <protection locked="0"/>
    </xf>
    <xf numFmtId="49" fontId="9" fillId="7" borderId="8" xfId="20" applyProtection="1">
      <alignment horizontal="left" vertical="center" wrapText="1"/>
      <protection locked="0"/>
    </xf>
    <xf numFmtId="4" fontId="3" fillId="7" borderId="8" xfId="24" applyProtection="1">
      <alignment horizontal="right" vertical="center"/>
      <protection locked="0"/>
    </xf>
    <xf numFmtId="169" fontId="3" fillId="7" borderId="8" xfId="24" applyNumberFormat="1" applyProtection="1">
      <alignment horizontal="right" vertical="center"/>
      <protection locked="0"/>
    </xf>
    <xf numFmtId="169" fontId="3" fillId="7" borderId="8" xfId="24" applyNumberFormat="1">
      <alignment horizontal="right" vertical="center"/>
    </xf>
    <xf numFmtId="0" fontId="3" fillId="7" borderId="10" xfId="0" applyNumberFormat="1" applyFont="1" applyFill="1" applyBorder="1" applyAlignment="1">
      <alignment horizontal="left" vertical="center" wrapText="1"/>
    </xf>
    <xf numFmtId="4" fontId="9" fillId="7" borderId="10" xfId="0" applyNumberFormat="1" applyFont="1" applyFill="1" applyBorder="1" applyAlignment="1">
      <alignment horizontal="right" vertical="center" wrapText="1"/>
    </xf>
    <xf numFmtId="4" fontId="9" fillId="7" borderId="10" xfId="0" applyNumberFormat="1" applyFont="1" applyFill="1" applyBorder="1" applyAlignment="1">
      <alignment horizontal="right"/>
    </xf>
    <xf numFmtId="49" fontId="3" fillId="16" borderId="10" xfId="0" applyFont="1" applyFill="1" applyBorder="1" applyAlignment="1">
      <alignment horizontal="left" vertical="center" wrapText="1" indent="1"/>
    </xf>
    <xf numFmtId="0" fontId="9" fillId="9" borderId="0" xfId="0" applyNumberFormat="1" applyFont="1" applyFill="1" applyAlignment="1"/>
    <xf numFmtId="0" fontId="9" fillId="9" borderId="0" xfId="0" applyNumberFormat="1" applyFont="1" applyFill="1" applyAlignment="1">
      <alignment horizontal="center" vertical="center"/>
    </xf>
    <xf numFmtId="0" fontId="9" fillId="9" borderId="0" xfId="0" applyNumberFormat="1" applyFont="1" applyFill="1" applyAlignment="1">
      <alignment horizontal="center" vertical="top"/>
    </xf>
    <xf numFmtId="0" fontId="18" fillId="0" borderId="0" xfId="0" applyNumberFormat="1" applyFont="1" applyAlignment="1"/>
    <xf numFmtId="0" fontId="27" fillId="9" borderId="0" xfId="0" applyNumberFormat="1" applyFont="1" applyFill="1" applyAlignment="1"/>
    <xf numFmtId="0" fontId="16" fillId="9" borderId="0" xfId="0" applyNumberFormat="1" applyFont="1" applyFill="1" applyAlignment="1"/>
    <xf numFmtId="49" fontId="16" fillId="9" borderId="0" xfId="0" applyFont="1" applyFill="1" applyAlignment="1"/>
    <xf numFmtId="165" fontId="3" fillId="7" borderId="10" xfId="0" applyNumberFormat="1" applyFont="1" applyFill="1" applyBorder="1" applyAlignment="1">
      <alignment horizontal="right" vertical="center" wrapText="1"/>
    </xf>
    <xf numFmtId="49" fontId="8" fillId="7" borderId="10" xfId="0" applyFont="1" applyFill="1" applyBorder="1" applyAlignment="1">
      <alignment horizontal="left" vertical="center" wrapText="1"/>
    </xf>
    <xf numFmtId="4" fontId="8" fillId="7" borderId="10" xfId="0" applyNumberFormat="1" applyFont="1" applyFill="1" applyBorder="1" applyAlignment="1">
      <alignment horizontal="right" vertical="center" wrapText="1"/>
    </xf>
    <xf numFmtId="4" fontId="8" fillId="7" borderId="11" xfId="0" applyNumberFormat="1" applyFont="1" applyFill="1" applyBorder="1" applyAlignment="1">
      <alignment horizontal="right" vertical="center"/>
    </xf>
    <xf numFmtId="4" fontId="27" fillId="7" borderId="11" xfId="0" applyNumberFormat="1" applyFont="1" applyFill="1" applyBorder="1" applyAlignment="1">
      <alignment horizontal="right" vertical="center"/>
    </xf>
    <xf numFmtId="49" fontId="3" fillId="16" borderId="11" xfId="0" applyFont="1" applyFill="1" applyBorder="1" applyAlignment="1">
      <alignment horizontal="left" vertical="center" wrapText="1"/>
    </xf>
    <xf numFmtId="4" fontId="3" fillId="7" borderId="11" xfId="0" applyNumberFormat="1" applyFont="1" applyFill="1" applyBorder="1" applyAlignment="1">
      <alignment vertical="center"/>
    </xf>
    <xf numFmtId="4" fontId="8" fillId="7" borderId="10" xfId="0" applyNumberFormat="1" applyFont="1" applyFill="1" applyBorder="1" applyAlignment="1">
      <alignment vertical="center"/>
    </xf>
    <xf numFmtId="0" fontId="18" fillId="0" borderId="0" xfId="0" applyNumberFormat="1" applyFont="1" applyAlignment="1">
      <alignment vertical="center"/>
    </xf>
    <xf numFmtId="0" fontId="69" fillId="0" borderId="0" xfId="0" applyNumberFormat="1" applyFont="1" applyAlignment="1"/>
    <xf numFmtId="0" fontId="40" fillId="0" borderId="0" xfId="0" applyNumberFormat="1" applyFont="1" applyAlignment="1">
      <alignment vertical="center" wrapText="1"/>
    </xf>
    <xf numFmtId="0" fontId="40" fillId="0" borderId="0" xfId="0" applyNumberFormat="1" applyFont="1" applyAlignment="1">
      <alignment vertical="center"/>
    </xf>
    <xf numFmtId="4" fontId="70" fillId="9" borderId="10" xfId="0" applyNumberFormat="1" applyFont="1" applyFill="1" applyBorder="1" applyAlignment="1">
      <alignment horizontal="right" vertical="center"/>
    </xf>
    <xf numFmtId="4" fontId="12" fillId="9" borderId="10" xfId="0" applyNumberFormat="1" applyFont="1" applyFill="1" applyBorder="1" applyAlignment="1">
      <alignment horizontal="right" vertical="center"/>
    </xf>
    <xf numFmtId="49" fontId="68" fillId="7" borderId="11" xfId="0" applyFont="1" applyFill="1" applyBorder="1" applyAlignment="1" applyProtection="1">
      <alignment horizontal="left" vertical="center" wrapText="1"/>
      <protection locked="0"/>
    </xf>
    <xf numFmtId="0" fontId="72" fillId="0" borderId="0" xfId="0" applyNumberFormat="1" applyFont="1" applyAlignment="1">
      <alignment horizontal="center" vertical="center"/>
    </xf>
    <xf numFmtId="0" fontId="72" fillId="0" borderId="82" xfId="0" applyNumberFormat="1" applyFont="1" applyBorder="1" applyAlignment="1">
      <alignment vertical="center"/>
    </xf>
    <xf numFmtId="0" fontId="72" fillId="0" borderId="83" xfId="0" applyNumberFormat="1" applyFont="1" applyBorder="1" applyAlignment="1">
      <alignment horizontal="center" vertical="center"/>
    </xf>
    <xf numFmtId="0" fontId="72" fillId="0" borderId="84" xfId="0" applyNumberFormat="1" applyFont="1" applyBorder="1" applyAlignment="1">
      <alignment vertical="center"/>
    </xf>
    <xf numFmtId="2" fontId="73" fillId="0" borderId="85" xfId="0" applyNumberFormat="1" applyFont="1" applyBorder="1" applyAlignment="1">
      <alignment horizontal="center" vertical="center"/>
    </xf>
    <xf numFmtId="0" fontId="72" fillId="0" borderId="0" xfId="0" applyNumberFormat="1" applyFont="1" applyAlignment="1">
      <alignment vertical="center"/>
    </xf>
    <xf numFmtId="4" fontId="3" fillId="16" borderId="21" xfId="0" applyNumberFormat="1" applyFont="1" applyFill="1" applyBorder="1" applyAlignment="1">
      <alignment horizontal="right" vertical="center"/>
    </xf>
    <xf numFmtId="165" fontId="3" fillId="7" borderId="21" xfId="0" applyNumberFormat="1" applyFont="1" applyFill="1" applyBorder="1" applyAlignment="1">
      <alignment horizontal="right" vertical="center"/>
    </xf>
    <xf numFmtId="4" fontId="3" fillId="7" borderId="21" xfId="0" applyNumberFormat="1" applyFont="1" applyFill="1" applyBorder="1" applyAlignment="1">
      <alignment horizontal="right" vertical="center"/>
    </xf>
    <xf numFmtId="165" fontId="3" fillId="7" borderId="32" xfId="0" applyNumberFormat="1" applyFont="1" applyFill="1" applyBorder="1" applyAlignment="1">
      <alignment horizontal="right" vertical="center"/>
    </xf>
    <xf numFmtId="165" fontId="9" fillId="7" borderId="21" xfId="0" applyNumberFormat="1" applyFont="1" applyFill="1" applyBorder="1" applyAlignment="1">
      <alignment horizontal="right" vertical="center"/>
    </xf>
    <xf numFmtId="4" fontId="9" fillId="7" borderId="21" xfId="0" applyNumberFormat="1" applyFont="1" applyFill="1" applyBorder="1" applyAlignment="1">
      <alignment horizontal="right" vertical="center"/>
    </xf>
    <xf numFmtId="165" fontId="9" fillId="7" borderId="32" xfId="0" applyNumberFormat="1" applyFont="1" applyFill="1" applyBorder="1" applyAlignment="1">
      <alignment horizontal="right" vertical="center"/>
    </xf>
    <xf numFmtId="0" fontId="36" fillId="0" borderId="0" xfId="0" applyNumberFormat="1" applyFont="1" applyAlignment="1">
      <alignment vertical="center"/>
    </xf>
    <xf numFmtId="165" fontId="3" fillId="9" borderId="21" xfId="0" applyNumberFormat="1" applyFont="1" applyFill="1" applyBorder="1" applyAlignment="1">
      <alignment horizontal="right" vertical="center"/>
    </xf>
    <xf numFmtId="165" fontId="3" fillId="9" borderId="32" xfId="0" applyNumberFormat="1" applyFont="1" applyFill="1" applyBorder="1" applyAlignment="1">
      <alignment horizontal="right" vertical="center"/>
    </xf>
    <xf numFmtId="165" fontId="9" fillId="9" borderId="21" xfId="0" applyNumberFormat="1" applyFont="1" applyFill="1" applyBorder="1" applyAlignment="1">
      <alignment horizontal="right" vertical="center"/>
    </xf>
    <xf numFmtId="165" fontId="9" fillId="9" borderId="32" xfId="0" applyNumberFormat="1" applyFont="1" applyFill="1" applyBorder="1" applyAlignment="1">
      <alignment horizontal="right" vertical="center"/>
    </xf>
    <xf numFmtId="4" fontId="9" fillId="7" borderId="39" xfId="0" applyNumberFormat="1" applyFont="1" applyFill="1" applyBorder="1" applyAlignment="1">
      <alignment horizontal="right" vertical="center"/>
    </xf>
    <xf numFmtId="165" fontId="9" fillId="7" borderId="39" xfId="0" applyNumberFormat="1" applyFont="1" applyFill="1" applyBorder="1" applyAlignment="1">
      <alignment horizontal="right" vertical="center"/>
    </xf>
    <xf numFmtId="165" fontId="9" fillId="7" borderId="38" xfId="0" applyNumberFormat="1" applyFont="1" applyFill="1" applyBorder="1" applyAlignment="1">
      <alignment horizontal="right" vertical="center"/>
    </xf>
    <xf numFmtId="49" fontId="3" fillId="16" borderId="11" xfId="0" applyFont="1" applyFill="1" applyBorder="1" applyAlignment="1">
      <alignment horizontal="left" vertical="center" wrapText="1" indent="1" shrinkToFit="1"/>
    </xf>
    <xf numFmtId="4" fontId="27" fillId="7" borderId="10" xfId="0" applyNumberFormat="1" applyFont="1" applyFill="1" applyBorder="1" applyAlignment="1">
      <alignment horizontal="right" vertical="center" wrapText="1"/>
    </xf>
    <xf numFmtId="165" fontId="3" fillId="7" borderId="11" xfId="0" applyNumberFormat="1" applyFont="1" applyFill="1" applyBorder="1" applyAlignment="1">
      <alignment horizontal="right" vertical="center" wrapText="1"/>
    </xf>
    <xf numFmtId="49" fontId="3" fillId="7" borderId="13" xfId="0" applyFont="1" applyFill="1" applyBorder="1" applyAlignment="1">
      <alignment horizontal="left" vertical="center" wrapText="1"/>
    </xf>
    <xf numFmtId="0" fontId="15" fillId="17" borderId="51" xfId="0" applyNumberFormat="1" applyFont="1" applyFill="1" applyBorder="1" applyAlignment="1">
      <alignment horizontal="right" vertical="center" wrapText="1" indent="1"/>
    </xf>
    <xf numFmtId="0" fontId="15" fillId="17" borderId="58" xfId="0" applyNumberFormat="1" applyFont="1" applyFill="1" applyBorder="1" applyAlignment="1">
      <alignment horizontal="right" vertical="center" wrapText="1" indent="1"/>
    </xf>
    <xf numFmtId="0" fontId="15" fillId="17" borderId="44" xfId="0" applyNumberFormat="1" applyFont="1" applyFill="1" applyBorder="1" applyAlignment="1">
      <alignment horizontal="right" vertical="center" wrapText="1" indent="1"/>
    </xf>
    <xf numFmtId="0" fontId="15" fillId="17" borderId="0" xfId="0" applyNumberFormat="1" applyFont="1" applyFill="1" applyAlignment="1">
      <alignment horizontal="right" vertical="center" wrapText="1" indent="1"/>
    </xf>
    <xf numFmtId="0" fontId="67" fillId="0" borderId="0" xfId="0" applyNumberFormat="1" applyFont="1" applyAlignment="1">
      <alignment vertical="center" wrapText="1"/>
    </xf>
    <xf numFmtId="0" fontId="43" fillId="0" borderId="0" xfId="0" applyNumberFormat="1" applyFont="1" applyAlignment="1">
      <alignment vertical="center" wrapText="1"/>
    </xf>
    <xf numFmtId="0" fontId="15" fillId="17" borderId="59" xfId="0" applyNumberFormat="1" applyFont="1" applyFill="1" applyBorder="1" applyAlignment="1">
      <alignment horizontal="right" vertical="center" wrapText="1" indent="1"/>
    </xf>
    <xf numFmtId="0" fontId="15" fillId="17" borderId="30" xfId="0" applyNumberFormat="1" applyFont="1" applyFill="1" applyBorder="1" applyAlignment="1">
      <alignment horizontal="right" vertical="center" wrapText="1" indent="1"/>
    </xf>
    <xf numFmtId="0" fontId="15" fillId="17" borderId="31" xfId="0" applyNumberFormat="1" applyFont="1" applyFill="1" applyBorder="1" applyAlignment="1">
      <alignment horizontal="right" vertical="center" wrapText="1" indent="1"/>
    </xf>
    <xf numFmtId="0" fontId="43" fillId="0" borderId="0" xfId="0" applyNumberFormat="1" applyFont="1" applyAlignment="1">
      <alignment vertical="top" wrapText="1"/>
    </xf>
    <xf numFmtId="49" fontId="41" fillId="0" borderId="0" xfId="0" applyFont="1" applyAlignment="1">
      <alignment vertical="top" wrapText="1"/>
    </xf>
    <xf numFmtId="0" fontId="59" fillId="0" borderId="0" xfId="0" applyNumberFormat="1" applyFont="1" applyAlignment="1">
      <alignment vertical="center" wrapText="1"/>
    </xf>
    <xf numFmtId="0" fontId="13" fillId="0" borderId="0" xfId="0" applyNumberFormat="1" applyFont="1" applyAlignment="1">
      <alignment vertical="center"/>
    </xf>
    <xf numFmtId="0" fontId="15" fillId="28" borderId="60" xfId="0" applyNumberFormat="1" applyFont="1" applyFill="1" applyBorder="1" applyAlignment="1">
      <alignment horizontal="center" vertical="center" wrapText="1"/>
    </xf>
    <xf numFmtId="0" fontId="15" fillId="28" borderId="61" xfId="0" applyNumberFormat="1" applyFont="1" applyFill="1" applyBorder="1" applyAlignment="1">
      <alignment horizontal="center" vertical="center" wrapText="1"/>
    </xf>
    <xf numFmtId="0" fontId="15" fillId="28" borderId="62" xfId="0" applyNumberFormat="1" applyFont="1" applyFill="1" applyBorder="1" applyAlignment="1">
      <alignment horizontal="center" vertical="center" wrapText="1"/>
    </xf>
    <xf numFmtId="0" fontId="43" fillId="0" borderId="44" xfId="0" applyNumberFormat="1" applyFont="1" applyBorder="1" applyAlignment="1">
      <alignment vertical="center" wrapText="1"/>
    </xf>
    <xf numFmtId="0" fontId="43" fillId="0" borderId="44" xfId="0" applyNumberFormat="1" applyFont="1" applyBorder="1" applyAlignment="1">
      <alignment horizontal="left" vertical="center" wrapText="1"/>
    </xf>
    <xf numFmtId="0" fontId="43" fillId="0" borderId="0" xfId="0" applyNumberFormat="1" applyFont="1" applyAlignment="1">
      <alignment horizontal="left" vertical="center" wrapText="1"/>
    </xf>
    <xf numFmtId="0" fontId="63" fillId="0" borderId="0" xfId="0" applyNumberFormat="1" applyFont="1" applyAlignment="1">
      <alignment vertical="top" wrapText="1"/>
    </xf>
    <xf numFmtId="0" fontId="11" fillId="0" borderId="0" xfId="0" applyNumberFormat="1" applyFont="1" applyAlignment="1">
      <alignment horizontal="center" vertical="top"/>
    </xf>
    <xf numFmtId="49" fontId="52" fillId="0" borderId="0" xfId="0" applyFont="1" applyAlignment="1">
      <alignment horizontal="center" vertical="top" wrapText="1"/>
    </xf>
    <xf numFmtId="0" fontId="11" fillId="0" borderId="59" xfId="0" applyNumberFormat="1" applyFont="1" applyBorder="1" applyAlignment="1">
      <alignment horizontal="center" vertical="center"/>
    </xf>
    <xf numFmtId="0" fontId="3" fillId="0" borderId="44" xfId="0" applyNumberFormat="1" applyFont="1" applyBorder="1" applyAlignment="1">
      <alignment horizontal="center" vertical="center" wrapText="1"/>
    </xf>
    <xf numFmtId="0" fontId="3" fillId="0" borderId="59" xfId="0" applyNumberFormat="1" applyFont="1" applyBorder="1" applyAlignment="1">
      <alignment horizontal="center" vertical="center" wrapText="1"/>
    </xf>
    <xf numFmtId="0" fontId="3" fillId="0" borderId="30" xfId="0" applyNumberFormat="1" applyFont="1" applyBorder="1" applyAlignment="1">
      <alignment horizontal="center" vertical="center" wrapText="1"/>
    </xf>
    <xf numFmtId="0" fontId="3" fillId="0" borderId="54" xfId="0" applyNumberFormat="1" applyFont="1" applyBorder="1" applyAlignment="1">
      <alignment horizontal="center" vertical="center" wrapText="1"/>
    </xf>
    <xf numFmtId="0" fontId="3" fillId="16" borderId="51" xfId="0" applyNumberFormat="1" applyFont="1" applyFill="1" applyBorder="1" applyAlignment="1" applyProtection="1">
      <alignment horizontal="center" vertical="center" wrapText="1"/>
      <protection locked="0"/>
    </xf>
    <xf numFmtId="0" fontId="3" fillId="16" borderId="58" xfId="0" applyNumberFormat="1" applyFont="1" applyFill="1" applyBorder="1" applyAlignment="1" applyProtection="1">
      <alignment horizontal="center" vertical="center" wrapText="1"/>
      <protection locked="0"/>
    </xf>
    <xf numFmtId="0" fontId="3" fillId="16" borderId="44" xfId="0" applyNumberFormat="1" applyFont="1" applyFill="1" applyBorder="1" applyAlignment="1">
      <alignment horizontal="center" vertical="center" wrapText="1"/>
    </xf>
    <xf numFmtId="0" fontId="3" fillId="16" borderId="59" xfId="0" applyNumberFormat="1" applyFont="1" applyFill="1" applyBorder="1" applyAlignment="1">
      <alignment horizontal="center" vertical="center" wrapText="1"/>
    </xf>
    <xf numFmtId="0" fontId="3" fillId="16" borderId="44" xfId="0" applyNumberFormat="1" applyFont="1" applyFill="1" applyBorder="1" applyAlignment="1" applyProtection="1">
      <alignment horizontal="center" vertical="center" wrapText="1"/>
      <protection locked="0"/>
    </xf>
    <xf numFmtId="0" fontId="3" fillId="16" borderId="59" xfId="0" applyNumberFormat="1" applyFont="1" applyFill="1" applyBorder="1" applyAlignment="1" applyProtection="1">
      <alignment horizontal="center" vertical="center" wrapText="1"/>
      <protection locked="0"/>
    </xf>
    <xf numFmtId="0" fontId="3" fillId="16" borderId="30" xfId="0" applyNumberFormat="1" applyFont="1" applyFill="1" applyBorder="1" applyAlignment="1" applyProtection="1">
      <alignment horizontal="center" vertical="center" wrapText="1"/>
      <protection locked="0"/>
    </xf>
    <xf numFmtId="0" fontId="3" fillId="16" borderId="54" xfId="0" applyNumberFormat="1" applyFont="1" applyFill="1" applyBorder="1" applyAlignment="1" applyProtection="1">
      <alignment horizontal="center" vertical="center" wrapText="1"/>
      <protection locked="0"/>
    </xf>
    <xf numFmtId="49" fontId="3" fillId="0" borderId="10" xfId="0" applyFont="1" applyBorder="1" applyAlignment="1">
      <alignment horizontal="right" vertical="center" wrapText="1"/>
    </xf>
    <xf numFmtId="0" fontId="3" fillId="0" borderId="11" xfId="0" applyNumberFormat="1" applyFont="1" applyBorder="1" applyAlignment="1">
      <alignment horizontal="right" vertical="center" wrapText="1" indent="1"/>
    </xf>
    <xf numFmtId="0" fontId="11" fillId="0" borderId="63" xfId="0" applyNumberFormat="1" applyFont="1" applyBorder="1" applyAlignment="1">
      <alignment vertical="center" wrapText="1"/>
    </xf>
    <xf numFmtId="0" fontId="11" fillId="0" borderId="45" xfId="0" applyNumberFormat="1" applyFont="1" applyBorder="1" applyAlignment="1">
      <alignment vertical="center" wrapText="1"/>
    </xf>
    <xf numFmtId="0" fontId="27" fillId="29" borderId="6" xfId="0" applyNumberFormat="1" applyFont="1" applyFill="1" applyBorder="1" applyAlignment="1">
      <alignment horizontal="left" vertical="center" wrapText="1" indent="4"/>
    </xf>
    <xf numFmtId="0" fontId="27" fillId="29" borderId="11" xfId="0" applyNumberFormat="1" applyFont="1" applyFill="1" applyBorder="1" applyAlignment="1">
      <alignment horizontal="left" vertical="center" wrapText="1" indent="4"/>
    </xf>
    <xf numFmtId="0" fontId="8" fillId="0" borderId="0" xfId="0" applyNumberFormat="1" applyFont="1" applyAlignment="1">
      <alignment vertical="center" wrapText="1"/>
    </xf>
    <xf numFmtId="0" fontId="11" fillId="0" borderId="6" xfId="0" applyNumberFormat="1" applyFont="1" applyBorder="1" applyAlignment="1">
      <alignment vertical="center" wrapText="1"/>
    </xf>
    <xf numFmtId="0" fontId="3" fillId="0" borderId="11" xfId="0" applyNumberFormat="1" applyFont="1" applyBorder="1" applyAlignment="1">
      <alignment horizontal="center" vertical="center" textRotation="90" wrapText="1"/>
    </xf>
    <xf numFmtId="0" fontId="11" fillId="0" borderId="0" xfId="0" applyNumberFormat="1" applyFont="1" applyAlignment="1">
      <alignment horizontal="center" vertical="center"/>
    </xf>
    <xf numFmtId="49" fontId="8" fillId="29" borderId="11" xfId="0" applyFont="1" applyFill="1" applyBorder="1" applyAlignment="1">
      <alignment horizontal="left" vertical="center" wrapText="1" indent="4"/>
    </xf>
    <xf numFmtId="0" fontId="3" fillId="0" borderId="29" xfId="0" applyNumberFormat="1" applyFont="1" applyBorder="1" applyAlignment="1">
      <alignment horizontal="right" vertical="center" wrapText="1" indent="1"/>
    </xf>
    <xf numFmtId="0" fontId="3" fillId="0" borderId="1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49" fontId="27" fillId="29" borderId="11" xfId="0" applyFont="1" applyFill="1" applyBorder="1" applyAlignment="1">
      <alignment horizontal="center" vertical="center" wrapText="1"/>
    </xf>
    <xf numFmtId="0" fontId="8" fillId="16" borderId="11" xfId="0" applyNumberFormat="1" applyFont="1" applyFill="1" applyBorder="1" applyAlignment="1" applyProtection="1">
      <alignment horizontal="center" vertical="center"/>
      <protection locked="0"/>
    </xf>
    <xf numFmtId="49" fontId="27" fillId="30" borderId="11" xfId="0" applyFont="1" applyFill="1" applyBorder="1" applyAlignment="1">
      <alignment horizontal="center" vertical="center" wrapText="1"/>
    </xf>
    <xf numFmtId="0" fontId="8" fillId="8" borderId="11" xfId="0" applyNumberFormat="1" applyFont="1" applyFill="1" applyBorder="1" applyAlignment="1">
      <alignment horizontal="center" vertical="center"/>
    </xf>
    <xf numFmtId="0" fontId="8" fillId="24" borderId="11" xfId="0" applyNumberFormat="1" applyFont="1" applyFill="1" applyBorder="1" applyAlignment="1">
      <alignment horizontal="center" vertical="center"/>
    </xf>
    <xf numFmtId="0" fontId="27" fillId="29" borderId="11" xfId="0" applyNumberFormat="1" applyFont="1" applyFill="1" applyBorder="1" applyAlignment="1">
      <alignment horizontal="center" vertical="center" wrapText="1"/>
    </xf>
    <xf numFmtId="0" fontId="8" fillId="29" borderId="11" xfId="0" applyNumberFormat="1" applyFont="1" applyFill="1" applyBorder="1" applyAlignment="1">
      <alignment horizontal="center" vertical="center" wrapText="1"/>
    </xf>
    <xf numFmtId="0" fontId="3" fillId="0" borderId="36" xfId="0" applyNumberFormat="1" applyFont="1" applyBorder="1" applyAlignment="1">
      <alignment vertical="center"/>
    </xf>
    <xf numFmtId="0" fontId="3" fillId="0" borderId="37" xfId="0" applyNumberFormat="1" applyFont="1" applyBorder="1" applyAlignment="1">
      <alignment vertical="center"/>
    </xf>
    <xf numFmtId="0" fontId="3" fillId="0" borderId="22" xfId="0" applyNumberFormat="1" applyFont="1" applyBorder="1" applyAlignment="1">
      <alignment vertical="center"/>
    </xf>
    <xf numFmtId="0" fontId="3" fillId="0" borderId="6" xfId="0" applyNumberFormat="1" applyFont="1" applyBorder="1" applyAlignment="1">
      <alignment horizontal="center" vertical="center" textRotation="90" wrapText="1"/>
    </xf>
    <xf numFmtId="0" fontId="3" fillId="0" borderId="63" xfId="0" applyNumberFormat="1" applyFont="1" applyBorder="1" applyAlignment="1">
      <alignment horizontal="center" vertical="center" textRotation="90" wrapText="1"/>
    </xf>
    <xf numFmtId="0" fontId="3" fillId="0" borderId="45" xfId="0" applyNumberFormat="1" applyFont="1" applyBorder="1" applyAlignment="1">
      <alignment horizontal="center" vertical="center" textRotation="90" wrapText="1"/>
    </xf>
    <xf numFmtId="0" fontId="3" fillId="0" borderId="36" xfId="0" applyNumberFormat="1" applyFont="1" applyBorder="1" applyAlignment="1">
      <alignment horizontal="right" vertical="center" wrapText="1" indent="1"/>
    </xf>
    <xf numFmtId="0" fontId="3" fillId="0" borderId="22" xfId="0" applyNumberFormat="1" applyFont="1" applyBorder="1" applyAlignment="1">
      <alignment horizontal="right" vertical="center" wrapText="1" indent="1"/>
    </xf>
    <xf numFmtId="0" fontId="9" fillId="0" borderId="11" xfId="0" applyNumberFormat="1" applyFont="1" applyBorder="1" applyAlignment="1">
      <alignment horizontal="right" vertical="center" wrapText="1" indent="1"/>
    </xf>
    <xf numFmtId="0" fontId="3" fillId="0" borderId="64" xfId="0" applyNumberFormat="1" applyFont="1" applyBorder="1" applyAlignment="1">
      <alignment horizontal="right" vertical="center" wrapText="1" indent="1"/>
    </xf>
    <xf numFmtId="0" fontId="3" fillId="0" borderId="1" xfId="0" applyNumberFormat="1" applyFont="1" applyBorder="1" applyAlignment="1">
      <alignment horizontal="right" vertical="center" wrapText="1" indent="1"/>
    </xf>
    <xf numFmtId="0" fontId="3" fillId="0" borderId="65" xfId="0" applyNumberFormat="1" applyFont="1" applyBorder="1" applyAlignment="1">
      <alignment horizontal="right" vertical="center" wrapText="1" indent="1"/>
    </xf>
    <xf numFmtId="0" fontId="3" fillId="0" borderId="48" xfId="0" applyNumberFormat="1" applyFont="1" applyBorder="1" applyAlignment="1">
      <alignment horizontal="right" vertical="center" wrapText="1" indent="1"/>
    </xf>
    <xf numFmtId="0" fontId="3" fillId="0" borderId="37" xfId="0" applyNumberFormat="1" applyFont="1" applyBorder="1" applyAlignment="1">
      <alignment horizontal="right" vertical="center" wrapText="1" indent="1"/>
    </xf>
    <xf numFmtId="0" fontId="37" fillId="0" borderId="1" xfId="0" applyNumberFormat="1" applyFont="1" applyBorder="1" applyAlignment="1">
      <alignment horizontal="center" vertical="top" wrapText="1"/>
    </xf>
    <xf numFmtId="0" fontId="9" fillId="0" borderId="0" xfId="0" applyNumberFormat="1" applyFont="1" applyAlignment="1">
      <alignment horizontal="center" vertical="top" wrapText="1"/>
    </xf>
    <xf numFmtId="0" fontId="57" fillId="0" borderId="0" xfId="0" applyNumberFormat="1" applyFont="1" applyAlignment="1">
      <alignment horizontal="center" vertical="center" wrapText="1"/>
    </xf>
    <xf numFmtId="0" fontId="8" fillId="0" borderId="12" xfId="0" quotePrefix="1" applyNumberFormat="1" applyFont="1" applyBorder="1" applyAlignment="1">
      <alignment horizontal="left" vertical="center" wrapText="1" indent="1"/>
    </xf>
    <xf numFmtId="0" fontId="8" fillId="0" borderId="12" xfId="0" applyNumberFormat="1" applyFont="1" applyBorder="1" applyAlignment="1">
      <alignment horizontal="left" vertical="center" wrapText="1" indent="1"/>
    </xf>
    <xf numFmtId="0" fontId="3" fillId="7" borderId="66" xfId="0" applyNumberFormat="1" applyFont="1" applyFill="1" applyBorder="1" applyAlignment="1">
      <alignment horizontal="left" vertical="center" wrapText="1"/>
    </xf>
    <xf numFmtId="0" fontId="3" fillId="7" borderId="17" xfId="0" applyNumberFormat="1" applyFont="1" applyFill="1" applyBorder="1" applyAlignment="1">
      <alignment horizontal="left" vertical="center" wrapText="1"/>
    </xf>
    <xf numFmtId="0" fontId="3" fillId="7" borderId="50" xfId="0" applyNumberFormat="1" applyFont="1" applyFill="1" applyBorder="1" applyAlignment="1">
      <alignment horizontal="left" vertical="center" wrapText="1"/>
    </xf>
    <xf numFmtId="49" fontId="8" fillId="0" borderId="0" xfId="0" applyFont="1" applyAlignment="1">
      <alignment horizontal="center" vertical="center" wrapText="1" shrinkToFit="1"/>
    </xf>
    <xf numFmtId="49" fontId="3" fillId="0" borderId="11" xfId="0"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45" xfId="0" applyNumberFormat="1" applyFont="1" applyBorder="1" applyAlignment="1">
      <alignment horizontal="center" vertical="center" wrapText="1"/>
    </xf>
    <xf numFmtId="49" fontId="3" fillId="7" borderId="36" xfId="0" applyFont="1" applyFill="1" applyBorder="1" applyAlignment="1" applyProtection="1">
      <alignment horizontal="left" vertical="center" wrapText="1"/>
      <protection locked="0"/>
    </xf>
    <xf numFmtId="49" fontId="3" fillId="7" borderId="37" xfId="0" applyFont="1" applyFill="1" applyBorder="1" applyAlignment="1" applyProtection="1">
      <alignment horizontal="left" vertical="center" wrapText="1"/>
      <protection locked="0"/>
    </xf>
    <xf numFmtId="49" fontId="3" fillId="7" borderId="22" xfId="0" applyFont="1" applyFill="1" applyBorder="1" applyAlignment="1" applyProtection="1">
      <alignment horizontal="left" vertical="center" wrapText="1"/>
      <protection locked="0"/>
    </xf>
    <xf numFmtId="0" fontId="9" fillId="0" borderId="0" xfId="0" applyNumberFormat="1" applyFont="1" applyAlignment="1">
      <alignment horizontal="center" vertical="center"/>
    </xf>
    <xf numFmtId="0" fontId="9" fillId="0" borderId="0" xfId="0" applyNumberFormat="1" applyFont="1" applyAlignment="1">
      <alignment horizontal="center"/>
    </xf>
    <xf numFmtId="49" fontId="3" fillId="7" borderId="36" xfId="0" applyFont="1" applyFill="1" applyBorder="1" applyAlignment="1">
      <alignment horizontal="left" vertical="center" wrapText="1"/>
    </xf>
    <xf numFmtId="49" fontId="3" fillId="7" borderId="37" xfId="0" applyFont="1" applyFill="1" applyBorder="1" applyAlignment="1">
      <alignment horizontal="left" vertical="center" wrapText="1"/>
    </xf>
    <xf numFmtId="49" fontId="3" fillId="7" borderId="22" xfId="0" applyFont="1" applyFill="1" applyBorder="1" applyAlignment="1">
      <alignment horizontal="left" vertical="center" wrapText="1"/>
    </xf>
    <xf numFmtId="0" fontId="3" fillId="0" borderId="32" xfId="0" applyNumberFormat="1" applyFont="1" applyBorder="1" applyAlignment="1">
      <alignment horizontal="center" vertical="center" wrapText="1"/>
    </xf>
    <xf numFmtId="0" fontId="3" fillId="0" borderId="40" xfId="0" applyNumberFormat="1" applyFont="1" applyBorder="1" applyAlignment="1">
      <alignment horizontal="center" vertical="center" wrapText="1"/>
    </xf>
    <xf numFmtId="0" fontId="3" fillId="0" borderId="67" xfId="0" applyNumberFormat="1" applyFont="1" applyBorder="1" applyAlignment="1">
      <alignment horizontal="center" vertical="center" wrapText="1"/>
    </xf>
    <xf numFmtId="0" fontId="3" fillId="7" borderId="18" xfId="0" applyNumberFormat="1" applyFont="1" applyFill="1" applyBorder="1" applyAlignment="1" applyProtection="1">
      <alignment horizontal="left" vertical="center" wrapText="1"/>
      <protection locked="0"/>
    </xf>
    <xf numFmtId="0" fontId="3" fillId="7" borderId="19" xfId="0" applyNumberFormat="1" applyFont="1" applyFill="1" applyBorder="1" applyAlignment="1" applyProtection="1">
      <alignment horizontal="left" vertical="center" wrapText="1"/>
      <protection locked="0"/>
    </xf>
    <xf numFmtId="0" fontId="3" fillId="7" borderId="20" xfId="0" applyNumberFormat="1" applyFont="1" applyFill="1" applyBorder="1" applyAlignment="1" applyProtection="1">
      <alignment horizontal="left" vertical="center" wrapText="1"/>
      <protection locked="0"/>
    </xf>
    <xf numFmtId="0" fontId="9" fillId="0" borderId="0" xfId="0" applyNumberFormat="1" applyFont="1" applyAlignment="1">
      <alignment horizontal="center" vertical="top"/>
    </xf>
    <xf numFmtId="0" fontId="9" fillId="0" borderId="0" xfId="0" applyNumberFormat="1" applyFont="1" applyAlignment="1">
      <alignment horizontal="center" vertical="center" wrapText="1"/>
    </xf>
    <xf numFmtId="0" fontId="3" fillId="0" borderId="11" xfId="0" applyNumberFormat="1" applyFont="1" applyBorder="1" applyAlignment="1">
      <alignment horizontal="center" vertical="center" wrapText="1"/>
    </xf>
    <xf numFmtId="0" fontId="3" fillId="0" borderId="21" xfId="0" applyNumberFormat="1" applyFont="1" applyBorder="1" applyAlignment="1">
      <alignment horizontal="center" vertical="center" wrapText="1"/>
    </xf>
    <xf numFmtId="0" fontId="64" fillId="0" borderId="21" xfId="0" applyNumberFormat="1" applyFont="1" applyBorder="1" applyAlignment="1">
      <alignment vertical="center"/>
    </xf>
    <xf numFmtId="0" fontId="3" fillId="7" borderId="68" xfId="0" applyNumberFormat="1" applyFont="1" applyFill="1" applyBorder="1" applyAlignment="1" applyProtection="1">
      <alignment horizontal="left" vertical="center" wrapText="1"/>
      <protection locked="0"/>
    </xf>
    <xf numFmtId="0" fontId="3" fillId="7" borderId="0" xfId="0" applyNumberFormat="1" applyFont="1" applyFill="1" applyAlignment="1" applyProtection="1">
      <alignment horizontal="left" vertical="center" wrapText="1"/>
      <protection locked="0"/>
    </xf>
    <xf numFmtId="0" fontId="3" fillId="7" borderId="0" xfId="0" applyNumberFormat="1" applyFont="1" applyFill="1" applyAlignment="1">
      <alignment horizontal="left" vertical="center" wrapText="1"/>
    </xf>
    <xf numFmtId="0" fontId="3" fillId="7" borderId="69" xfId="0" applyNumberFormat="1" applyFont="1" applyFill="1" applyBorder="1" applyAlignment="1" applyProtection="1">
      <alignment horizontal="left" vertical="center" wrapText="1"/>
      <protection locked="0"/>
    </xf>
    <xf numFmtId="0" fontId="3" fillId="7" borderId="70" xfId="0" applyNumberFormat="1" applyFont="1" applyFill="1" applyBorder="1" applyAlignment="1">
      <alignment horizontal="left" vertical="center" wrapText="1"/>
    </xf>
    <xf numFmtId="0" fontId="3" fillId="7" borderId="23" xfId="0" applyNumberFormat="1" applyFont="1" applyFill="1" applyBorder="1" applyAlignment="1">
      <alignment horizontal="left" vertical="center" wrapText="1"/>
    </xf>
    <xf numFmtId="0" fontId="3" fillId="7" borderId="23" xfId="0" applyNumberFormat="1" applyFont="1" applyFill="1" applyBorder="1" applyAlignment="1" applyProtection="1">
      <alignment horizontal="left" vertical="center" wrapText="1"/>
      <protection locked="0"/>
    </xf>
    <xf numFmtId="0" fontId="3" fillId="7" borderId="71" xfId="0" applyNumberFormat="1" applyFont="1" applyFill="1" applyBorder="1" applyAlignment="1">
      <alignment horizontal="left" vertical="center" wrapText="1"/>
    </xf>
    <xf numFmtId="0" fontId="3" fillId="0" borderId="10"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29" xfId="0" applyNumberFormat="1" applyFont="1" applyBorder="1" applyAlignment="1">
      <alignment horizontal="center" vertical="center" wrapText="1"/>
    </xf>
    <xf numFmtId="0" fontId="3" fillId="9" borderId="10" xfId="0" applyNumberFormat="1" applyFont="1" applyFill="1" applyBorder="1" applyAlignment="1">
      <alignment horizontal="center" vertical="center" wrapText="1"/>
    </xf>
    <xf numFmtId="0" fontId="3" fillId="7" borderId="29" xfId="0" applyNumberFormat="1" applyFont="1" applyFill="1" applyBorder="1" applyAlignment="1">
      <alignment horizontal="left" vertical="center" wrapText="1"/>
    </xf>
    <xf numFmtId="0" fontId="3" fillId="7" borderId="28"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3" fillId="0" borderId="0" xfId="0" applyNumberFormat="1" applyFont="1" applyAlignment="1">
      <alignment horizontal="center"/>
    </xf>
    <xf numFmtId="0" fontId="1" fillId="0" borderId="10" xfId="0" applyNumberFormat="1" applyFont="1" applyBorder="1" applyAlignment="1">
      <alignment vertical="center"/>
    </xf>
    <xf numFmtId="49" fontId="3" fillId="7" borderId="2" xfId="0" applyFont="1" applyFill="1" applyBorder="1" applyAlignment="1" applyProtection="1">
      <alignment horizontal="left" vertical="top" wrapText="1"/>
      <protection locked="0"/>
    </xf>
    <xf numFmtId="49" fontId="55" fillId="7" borderId="2" xfId="0" applyFont="1" applyFill="1" applyBorder="1" applyAlignment="1" applyProtection="1">
      <alignment horizontal="left" vertical="top" wrapText="1"/>
      <protection locked="0"/>
    </xf>
    <xf numFmtId="0" fontId="9" fillId="0" borderId="10" xfId="0" applyNumberFormat="1" applyFont="1" applyBorder="1" applyAlignment="1">
      <alignment horizontal="center" vertical="center" wrapText="1"/>
    </xf>
    <xf numFmtId="0" fontId="9" fillId="0" borderId="17" xfId="0" applyNumberFormat="1" applyFont="1" applyBorder="1" applyAlignment="1">
      <alignment horizontal="center" vertical="center" wrapText="1"/>
    </xf>
    <xf numFmtId="0" fontId="9" fillId="0" borderId="28" xfId="0" applyNumberFormat="1" applyFont="1" applyBorder="1" applyAlignment="1">
      <alignment horizontal="center" vertical="center" wrapText="1"/>
    </xf>
    <xf numFmtId="0" fontId="9" fillId="3" borderId="10" xfId="0" applyNumberFormat="1" applyFont="1" applyFill="1" applyBorder="1" applyAlignment="1">
      <alignment horizontal="center" vertical="center" wrapText="1"/>
    </xf>
    <xf numFmtId="0" fontId="8" fillId="0" borderId="0" xfId="0" applyNumberFormat="1" applyFont="1" applyAlignment="1">
      <alignment horizontal="center"/>
    </xf>
    <xf numFmtId="49" fontId="0" fillId="0" borderId="10" xfId="0" applyBorder="1" applyAlignment="1">
      <alignment horizontal="center" vertical="center" wrapText="1"/>
    </xf>
    <xf numFmtId="49" fontId="0" fillId="0" borderId="24" xfId="0" applyBorder="1" applyAlignment="1">
      <alignment horizontal="center" vertical="center" wrapText="1"/>
    </xf>
    <xf numFmtId="49" fontId="0" fillId="0" borderId="72" xfId="0" applyBorder="1" applyAlignment="1">
      <alignment horizontal="center" vertical="center" wrapText="1"/>
    </xf>
    <xf numFmtId="49" fontId="0" fillId="0" borderId="2" xfId="0" applyBorder="1" applyAlignment="1">
      <alignment horizontal="center" vertical="center" wrapText="1"/>
    </xf>
    <xf numFmtId="3" fontId="0" fillId="0" borderId="10" xfId="0" applyNumberFormat="1" applyBorder="1" applyAlignment="1">
      <alignment horizontal="center" vertical="center" wrapText="1"/>
    </xf>
    <xf numFmtId="0" fontId="3" fillId="0" borderId="29" xfId="0" applyNumberFormat="1" applyFont="1" applyBorder="1" applyAlignment="1">
      <alignment horizontal="center"/>
    </xf>
    <xf numFmtId="0" fontId="3" fillId="0" borderId="17" xfId="0" applyNumberFormat="1" applyFont="1" applyBorder="1" applyAlignment="1">
      <alignment horizontal="center"/>
    </xf>
    <xf numFmtId="0" fontId="3" fillId="0" borderId="28" xfId="0" applyNumberFormat="1" applyFont="1" applyBorder="1" applyAlignment="1">
      <alignment horizontal="center"/>
    </xf>
    <xf numFmtId="0" fontId="7" fillId="0" borderId="1" xfId="0" applyNumberFormat="1" applyFont="1" applyBorder="1" applyAlignment="1">
      <alignment horizontal="center" vertical="top" wrapText="1"/>
    </xf>
    <xf numFmtId="49" fontId="3" fillId="7" borderId="29" xfId="0" applyFont="1" applyFill="1" applyBorder="1" applyAlignment="1">
      <alignment horizontal="left" vertical="top" wrapText="1"/>
    </xf>
    <xf numFmtId="49" fontId="3" fillId="7" borderId="17" xfId="0" applyFont="1" applyFill="1" applyBorder="1" applyAlignment="1">
      <alignment horizontal="left" vertical="top" wrapText="1"/>
    </xf>
    <xf numFmtId="49" fontId="3" fillId="7" borderId="17" xfId="0" applyFont="1" applyFill="1" applyBorder="1" applyAlignment="1" applyProtection="1">
      <alignment horizontal="left" vertical="top" wrapText="1"/>
      <protection locked="0"/>
    </xf>
    <xf numFmtId="49" fontId="3" fillId="7" borderId="28" xfId="0" applyFont="1" applyFill="1" applyBorder="1" applyAlignment="1">
      <alignment horizontal="left" vertical="top" wrapText="1"/>
    </xf>
    <xf numFmtId="49" fontId="3" fillId="7" borderId="29" xfId="0" applyFont="1" applyFill="1" applyBorder="1" applyAlignment="1" applyProtection="1">
      <alignment horizontal="left" vertical="top" wrapText="1"/>
      <protection locked="0"/>
    </xf>
    <xf numFmtId="49" fontId="3" fillId="7" borderId="28" xfId="0" applyFont="1" applyFill="1" applyBorder="1" applyAlignment="1" applyProtection="1">
      <alignment horizontal="left" vertical="top" wrapText="1"/>
      <protection locked="0"/>
    </xf>
    <xf numFmtId="0" fontId="37" fillId="0" borderId="0" xfId="0" applyNumberFormat="1" applyFont="1" applyAlignment="1">
      <alignment horizontal="center" vertical="center" wrapText="1"/>
    </xf>
    <xf numFmtId="0" fontId="7" fillId="0" borderId="0" xfId="0" applyNumberFormat="1" applyFont="1" applyAlignment="1">
      <alignment horizontal="center" vertical="top" wrapText="1"/>
    </xf>
    <xf numFmtId="0" fontId="1" fillId="0" borderId="0" xfId="0" applyNumberFormat="1" applyFont="1" applyAlignment="1"/>
    <xf numFmtId="0" fontId="3" fillId="9" borderId="11" xfId="0" applyNumberFormat="1" applyFont="1" applyFill="1" applyBorder="1" applyAlignment="1">
      <alignment horizontal="center" vertical="center" wrapText="1"/>
    </xf>
    <xf numFmtId="0" fontId="1" fillId="0" borderId="0" xfId="0" applyNumberFormat="1" applyFont="1" applyAlignment="1">
      <alignment horizontal="center" vertical="top"/>
    </xf>
    <xf numFmtId="0" fontId="37" fillId="0" borderId="0" xfId="0" applyNumberFormat="1" applyFont="1" applyAlignment="1">
      <alignment horizontal="center" vertical="top" wrapText="1"/>
    </xf>
    <xf numFmtId="0" fontId="3" fillId="0" borderId="29" xfId="0" applyNumberFormat="1" applyFont="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10" xfId="0" applyNumberFormat="1" applyFont="1" applyBorder="1" applyAlignment="1">
      <alignment horizontal="center" vertical="center"/>
    </xf>
    <xf numFmtId="0" fontId="9" fillId="0" borderId="24"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49" fontId="3" fillId="7" borderId="2" xfId="0" applyFont="1" applyFill="1" applyBorder="1" applyAlignment="1">
      <alignment horizontal="left" vertical="top" wrapText="1"/>
    </xf>
    <xf numFmtId="49" fontId="55" fillId="7" borderId="2" xfId="0" applyFont="1" applyFill="1" applyBorder="1" applyAlignment="1">
      <alignment horizontal="left" vertical="top" wrapText="1"/>
    </xf>
    <xf numFmtId="49" fontId="3" fillId="7" borderId="2" xfId="6" applyProtection="1">
      <alignment horizontal="left" vertical="top" wrapText="1"/>
      <protection locked="0"/>
    </xf>
    <xf numFmtId="49" fontId="3" fillId="7" borderId="2" xfId="6">
      <alignment horizontal="left" vertical="top" wrapText="1"/>
    </xf>
    <xf numFmtId="49" fontId="6" fillId="7" borderId="2" xfId="7">
      <alignment horizontal="left" vertical="top" wrapText="1"/>
      <protection locked="0"/>
    </xf>
    <xf numFmtId="49" fontId="6" fillId="7" borderId="2" xfId="8">
      <alignment horizontal="left" vertical="top" wrapText="1"/>
    </xf>
    <xf numFmtId="49" fontId="27" fillId="0" borderId="12" xfId="0" quotePrefix="1" applyFont="1" applyBorder="1" applyAlignment="1">
      <alignment horizontal="left" vertical="center" wrapText="1" indent="1"/>
    </xf>
    <xf numFmtId="49" fontId="27" fillId="0" borderId="12" xfId="0" applyFont="1" applyBorder="1" applyAlignment="1">
      <alignment horizontal="left" vertical="center" wrapText="1" indent="1"/>
    </xf>
    <xf numFmtId="0" fontId="9" fillId="0" borderId="73" xfId="0" applyNumberFormat="1" applyFont="1" applyBorder="1" applyAlignment="1">
      <alignment horizontal="center" vertical="center" wrapText="1"/>
    </xf>
    <xf numFmtId="0" fontId="9" fillId="0" borderId="47" xfId="0" applyNumberFormat="1" applyFont="1" applyBorder="1" applyAlignment="1">
      <alignment horizontal="center" vertical="center" wrapText="1"/>
    </xf>
    <xf numFmtId="0" fontId="7" fillId="0" borderId="3" xfId="0" applyNumberFormat="1" applyFont="1" applyBorder="1" applyAlignment="1">
      <alignment horizontal="center" vertical="top" wrapText="1"/>
    </xf>
    <xf numFmtId="0" fontId="11" fillId="0" borderId="0" xfId="0" applyNumberFormat="1" applyFont="1">
      <alignment vertical="top"/>
    </xf>
    <xf numFmtId="0" fontId="11" fillId="0" borderId="0" xfId="0" applyNumberFormat="1" applyFont="1" applyAlignment="1"/>
    <xf numFmtId="0" fontId="11" fillId="0" borderId="0" xfId="0" applyNumberFormat="1" applyFont="1" applyAlignment="1">
      <alignment horizontal="center"/>
    </xf>
    <xf numFmtId="0" fontId="7" fillId="0" borderId="3" xfId="9">
      <alignment horizontal="center" vertical="top" wrapText="1"/>
    </xf>
    <xf numFmtId="0" fontId="37" fillId="0" borderId="59" xfId="0" applyNumberFormat="1" applyFont="1" applyBorder="1" applyAlignment="1">
      <alignment horizontal="center" vertical="top" wrapText="1"/>
    </xf>
    <xf numFmtId="49" fontId="7" fillId="0" borderId="3" xfId="0" applyFont="1" applyBorder="1" applyAlignment="1">
      <alignment horizontal="center" vertical="top" wrapText="1"/>
    </xf>
    <xf numFmtId="49" fontId="37" fillId="0" borderId="59" xfId="0" applyFont="1" applyBorder="1" applyAlignment="1">
      <alignment horizontal="center" vertical="top" wrapText="1"/>
    </xf>
    <xf numFmtId="0" fontId="64" fillId="0" borderId="10" xfId="0" applyNumberFormat="1" applyFont="1" applyBorder="1" applyAlignment="1"/>
    <xf numFmtId="0" fontId="3" fillId="0" borderId="0" xfId="0" applyNumberFormat="1" applyFont="1" applyAlignment="1">
      <alignment horizontal="center" vertical="top" wrapText="1"/>
    </xf>
    <xf numFmtId="0" fontId="3" fillId="0" borderId="0" xfId="0" applyNumberFormat="1" applyFont="1" applyAlignment="1">
      <alignment horizontal="center" vertical="center" wrapText="1"/>
    </xf>
    <xf numFmtId="0" fontId="65" fillId="0" borderId="10" xfId="0" applyNumberFormat="1" applyFont="1" applyBorder="1" applyAlignment="1"/>
    <xf numFmtId="0" fontId="55" fillId="0" borderId="10" xfId="0" applyNumberFormat="1" applyFont="1" applyBorder="1" applyAlignment="1">
      <alignment vertical="center"/>
    </xf>
    <xf numFmtId="0" fontId="44" fillId="0" borderId="10" xfId="0" applyNumberFormat="1" applyFont="1" applyBorder="1" applyAlignment="1">
      <alignment vertical="center"/>
    </xf>
    <xf numFmtId="49" fontId="66" fillId="7" borderId="2" xfId="0" applyFont="1" applyFill="1" applyBorder="1" applyAlignment="1" applyProtection="1">
      <alignment horizontal="left" vertical="top" wrapText="1"/>
      <protection locked="0"/>
    </xf>
    <xf numFmtId="0" fontId="9" fillId="10" borderId="10" xfId="0" applyNumberFormat="1" applyFont="1" applyFill="1" applyBorder="1" applyAlignment="1">
      <alignment horizontal="center" vertical="center" wrapText="1"/>
    </xf>
    <xf numFmtId="49" fontId="66" fillId="7" borderId="2" xfId="0" applyFont="1" applyFill="1" applyBorder="1" applyAlignment="1">
      <alignment horizontal="left" vertical="top" wrapText="1"/>
    </xf>
    <xf numFmtId="49" fontId="3" fillId="7" borderId="10" xfId="0" applyFont="1" applyFill="1" applyBorder="1" applyAlignment="1" applyProtection="1">
      <alignment horizontal="left" vertical="top" wrapText="1"/>
      <protection locked="0"/>
    </xf>
    <xf numFmtId="49" fontId="3" fillId="7" borderId="10" xfId="0" applyFont="1" applyFill="1" applyBorder="1" applyAlignment="1">
      <alignment horizontal="left" vertical="top" wrapText="1"/>
    </xf>
    <xf numFmtId="0" fontId="27" fillId="0" borderId="0" xfId="0" applyNumberFormat="1" applyFont="1" applyAlignment="1"/>
    <xf numFmtId="0" fontId="9" fillId="0" borderId="0" xfId="0" applyNumberFormat="1" applyFont="1" applyAlignment="1"/>
    <xf numFmtId="0" fontId="9" fillId="0" borderId="10" xfId="0" applyNumberFormat="1" applyFont="1" applyBorder="1" applyAlignment="1">
      <alignment vertical="center" wrapText="1"/>
    </xf>
    <xf numFmtId="0" fontId="9" fillId="0" borderId="10" xfId="0" applyNumberFormat="1" applyFont="1" applyBorder="1" applyAlignment="1"/>
    <xf numFmtId="49" fontId="3" fillId="6" borderId="10" xfId="0" applyFont="1" applyFill="1" applyBorder="1" applyAlignment="1">
      <alignment horizontal="left" vertical="top" wrapText="1"/>
    </xf>
    <xf numFmtId="49" fontId="55" fillId="0" borderId="10" xfId="0" applyFont="1" applyBorder="1" applyAlignment="1">
      <alignment horizontal="left" vertical="top" wrapText="1"/>
    </xf>
    <xf numFmtId="49" fontId="3" fillId="0" borderId="10" xfId="0" applyFont="1" applyBorder="1" applyAlignment="1">
      <alignment horizontal="center" vertical="center" wrapText="1"/>
    </xf>
    <xf numFmtId="49" fontId="55" fillId="7" borderId="10" xfId="0" applyFont="1" applyFill="1" applyBorder="1" applyAlignment="1" applyProtection="1">
      <alignment horizontal="left" vertical="top" wrapText="1"/>
      <protection locked="0"/>
    </xf>
    <xf numFmtId="49" fontId="55" fillId="7" borderId="10" xfId="0" applyFont="1" applyFill="1" applyBorder="1" applyAlignment="1">
      <alignment horizontal="left" vertical="top" wrapText="1"/>
    </xf>
    <xf numFmtId="0" fontId="5" fillId="0" borderId="1" xfId="0" applyNumberFormat="1" applyFont="1" applyBorder="1" applyAlignment="1">
      <alignment horizontal="center" vertical="top" wrapText="1"/>
    </xf>
    <xf numFmtId="0" fontId="8" fillId="8" borderId="36" xfId="0" applyNumberFormat="1" applyFont="1" applyFill="1" applyBorder="1" applyAlignment="1">
      <alignment horizontal="left" vertical="center" indent="1"/>
    </xf>
    <xf numFmtId="49" fontId="8" fillId="8" borderId="37" xfId="0" applyFont="1" applyFill="1" applyBorder="1" applyAlignment="1">
      <alignment vertical="center" wrapText="1"/>
    </xf>
    <xf numFmtId="49" fontId="8" fillId="8" borderId="22" xfId="0" applyFont="1" applyFill="1" applyBorder="1" applyAlignment="1">
      <alignment vertical="center" wrapText="1"/>
    </xf>
    <xf numFmtId="0" fontId="3" fillId="0" borderId="36" xfId="0" applyNumberFormat="1" applyFont="1" applyBorder="1" applyAlignment="1">
      <alignment horizontal="right" vertical="center" wrapText="1"/>
    </xf>
    <xf numFmtId="0" fontId="3" fillId="0" borderId="22" xfId="0" applyNumberFormat="1" applyFont="1" applyBorder="1" applyAlignment="1">
      <alignment horizontal="right" vertical="center" wrapText="1"/>
    </xf>
    <xf numFmtId="0" fontId="3" fillId="0" borderId="36" xfId="0" applyNumberFormat="1" applyFont="1" applyBorder="1" applyAlignment="1">
      <alignment horizontal="center" vertical="center" wrapText="1"/>
    </xf>
    <xf numFmtId="0" fontId="3" fillId="0" borderId="37" xfId="0" applyNumberFormat="1" applyFont="1" applyBorder="1" applyAlignment="1">
      <alignment horizontal="center" vertical="center" wrapText="1"/>
    </xf>
    <xf numFmtId="0" fontId="3" fillId="0" borderId="22" xfId="0" applyNumberFormat="1" applyFont="1" applyBorder="1" applyAlignment="1">
      <alignment horizontal="center" vertical="center" wrapText="1"/>
    </xf>
    <xf numFmtId="49" fontId="25" fillId="15" borderId="29" xfId="0" applyFont="1" applyFill="1" applyBorder="1" applyAlignment="1">
      <alignment horizontal="left" vertical="center" indent="1"/>
    </xf>
    <xf numFmtId="49" fontId="25" fillId="15" borderId="17" xfId="0" applyFont="1" applyFill="1" applyBorder="1" applyAlignment="1">
      <alignment horizontal="left" vertical="center" indent="1"/>
    </xf>
    <xf numFmtId="0" fontId="3" fillId="7" borderId="10" xfId="0" applyNumberFormat="1" applyFont="1" applyFill="1" applyBorder="1" applyAlignment="1" applyProtection="1">
      <alignment horizontal="left" vertical="center" wrapText="1"/>
      <protection locked="0"/>
    </xf>
    <xf numFmtId="0" fontId="3" fillId="7" borderId="10" xfId="0" applyNumberFormat="1" applyFont="1" applyFill="1" applyBorder="1" applyAlignment="1">
      <alignment horizontal="left" vertical="center" wrapText="1"/>
    </xf>
    <xf numFmtId="0" fontId="8" fillId="8" borderId="37" xfId="0" applyNumberFormat="1" applyFont="1" applyFill="1" applyBorder="1" applyAlignment="1">
      <alignment vertical="center" wrapText="1"/>
    </xf>
    <xf numFmtId="0" fontId="8" fillId="8" borderId="22" xfId="0" applyNumberFormat="1" applyFont="1" applyFill="1" applyBorder="1" applyAlignment="1">
      <alignment vertical="center" wrapText="1"/>
    </xf>
    <xf numFmtId="0" fontId="1" fillId="0" borderId="0" xfId="0" applyNumberFormat="1" applyFont="1" applyAlignment="1">
      <alignment horizontal="center"/>
    </xf>
    <xf numFmtId="0" fontId="71" fillId="0" borderId="0" xfId="0" applyNumberFormat="1" applyFont="1" applyAlignment="1">
      <alignment vertical="center"/>
    </xf>
    <xf numFmtId="49" fontId="3" fillId="7" borderId="21" xfId="0" applyFont="1" applyFill="1" applyBorder="1" applyAlignment="1">
      <alignment horizontal="left" vertical="center" wrapText="1"/>
    </xf>
    <xf numFmtId="49" fontId="3" fillId="7" borderId="21" xfId="0" applyFont="1" applyFill="1" applyBorder="1" applyAlignment="1" applyProtection="1">
      <alignment horizontal="left" vertical="center" wrapText="1"/>
      <protection locked="0"/>
    </xf>
    <xf numFmtId="0" fontId="3" fillId="0" borderId="74" xfId="0" applyNumberFormat="1" applyFont="1" applyBorder="1" applyAlignment="1">
      <alignment horizontal="center" vertical="center" wrapText="1"/>
    </xf>
    <xf numFmtId="0" fontId="3" fillId="0" borderId="68" xfId="0" applyNumberFormat="1" applyFont="1" applyBorder="1" applyAlignment="1">
      <alignment horizontal="center" vertical="center" wrapText="1"/>
    </xf>
    <xf numFmtId="0" fontId="3" fillId="0" borderId="38" xfId="0" applyNumberFormat="1" applyFont="1" applyBorder="1" applyAlignment="1">
      <alignment horizontal="center" vertical="center" wrapText="1"/>
    </xf>
    <xf numFmtId="49" fontId="3" fillId="16" borderId="10" xfId="0" applyFont="1" applyFill="1" applyBorder="1" applyAlignment="1">
      <alignment horizontal="left" vertical="center" wrapText="1"/>
    </xf>
    <xf numFmtId="49" fontId="3" fillId="16" borderId="29" xfId="0" applyFont="1" applyFill="1" applyBorder="1" applyAlignment="1">
      <alignment horizontal="left" vertical="center" wrapText="1"/>
    </xf>
    <xf numFmtId="49" fontId="3" fillId="7" borderId="26" xfId="0" applyFont="1" applyFill="1" applyBorder="1" applyAlignment="1">
      <alignment horizontal="left" vertical="center" wrapText="1"/>
    </xf>
    <xf numFmtId="0" fontId="9" fillId="0" borderId="74" xfId="0" applyNumberFormat="1" applyFont="1" applyBorder="1" applyAlignment="1">
      <alignment horizontal="center" vertical="center" wrapText="1"/>
    </xf>
    <xf numFmtId="0" fontId="9" fillId="0" borderId="68" xfId="0" applyNumberFormat="1" applyFont="1" applyBorder="1" applyAlignment="1">
      <alignment horizontal="center" vertical="center" wrapText="1"/>
    </xf>
    <xf numFmtId="0" fontId="9" fillId="0" borderId="38" xfId="0" applyNumberFormat="1" applyFont="1" applyBorder="1" applyAlignment="1">
      <alignment horizontal="center" vertical="center" wrapText="1"/>
    </xf>
    <xf numFmtId="0" fontId="9" fillId="0" borderId="21" xfId="0" applyNumberFormat="1" applyFont="1" applyBorder="1" applyAlignment="1">
      <alignment horizontal="center" vertical="center" wrapText="1"/>
    </xf>
    <xf numFmtId="0" fontId="9" fillId="0" borderId="32" xfId="0" applyNumberFormat="1" applyFont="1" applyBorder="1" applyAlignment="1">
      <alignment horizontal="center" vertical="center" wrapText="1"/>
    </xf>
    <xf numFmtId="0" fontId="27" fillId="0" borderId="12" xfId="0" applyNumberFormat="1" applyFont="1" applyBorder="1" applyAlignment="1">
      <alignment horizontal="left" vertical="center" wrapText="1" indent="1"/>
    </xf>
    <xf numFmtId="49" fontId="27" fillId="0" borderId="12" xfId="0" applyFont="1" applyBorder="1" applyAlignment="1">
      <alignment vertical="center" wrapText="1"/>
    </xf>
    <xf numFmtId="49" fontId="27" fillId="0" borderId="12" xfId="0" applyFont="1" applyBorder="1" applyAlignment="1">
      <alignment horizontal="center" vertical="center" wrapText="1"/>
    </xf>
    <xf numFmtId="0" fontId="3" fillId="0" borderId="73" xfId="0" applyNumberFormat="1" applyFont="1" applyBorder="1" applyAlignment="1">
      <alignment horizontal="center" vertical="center" wrapText="1"/>
    </xf>
    <xf numFmtId="0" fontId="3" fillId="0" borderId="47"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57">
    <cellStyle name="s1" xfId="5" xr:uid="{00000000-0005-0000-0000-000050000000}"/>
    <cellStyle name="s10" xfId="14" xr:uid="{00000000-0005-0000-0000-000059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3" xfId="7" xr:uid="{00000000-0005-0000-0000-000052000000}"/>
    <cellStyle name="s4" xfId="8" xr:uid="{00000000-0005-0000-0000-000053000000}"/>
    <cellStyle name="s5" xfId="9" xr:uid="{00000000-0005-0000-0000-000054000000}"/>
    <cellStyle name="s6" xfId="10" xr:uid="{00000000-0005-0000-0000-000055000000}"/>
    <cellStyle name="s7" xfId="11" xr:uid="{00000000-0005-0000-0000-000056000000}"/>
    <cellStyle name="s8" xfId="12" xr:uid="{00000000-0005-0000-0000-000057000000}"/>
    <cellStyle name="s9" xfId="13" xr:uid="{00000000-0005-0000-0000-000058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portal.eias.ru/Portal/DownloadPage.aspx?type=12&amp;guid=4c962a83-8b92-4503-9ba5-a0180547bc71" TargetMode="External"/><Relationship Id="rId1" Type="http://schemas.openxmlformats.org/officeDocument/2006/relationships/hyperlink" Target="mailto:uktsgur@rambler.ru" TargetMode="External"/><Relationship Id="rId4" Type="http://schemas.openxmlformats.org/officeDocument/2006/relationships/comments" Target="../comments1.xml"/></Relationships>
</file>

<file path=xl/worksheets/_rels/sheet30.xml.rels><?xml version="1.0" encoding="UTF-8" standalone="yes"?>
<Relationships xmlns="http://schemas.openxmlformats.org/package/2006/relationships"><Relationship Id="rId13" Type="http://schemas.openxmlformats.org/officeDocument/2006/relationships/hyperlink" Target="https://portal.eias.ru/Portal/DownloadPage.aspx?type=12&amp;guid=aefbbf8c-02b8-4585-9ed8-d1df3eca36b7" TargetMode="External"/><Relationship Id="rId18" Type="http://schemas.openxmlformats.org/officeDocument/2006/relationships/hyperlink" Target="https://portal.eias.ru/Portal/DownloadPage.aspx?type=12&amp;guid=efc0779c-627d-4038-ab84-2a708a50fb43" TargetMode="External"/><Relationship Id="rId26" Type="http://schemas.openxmlformats.org/officeDocument/2006/relationships/hyperlink" Target="https://portal.eias.ru/Portal/DownloadPage.aspx?type=12&amp;guid=1cbebc04-9440-4de9-9b95-7915dbda564b" TargetMode="External"/><Relationship Id="rId39" Type="http://schemas.openxmlformats.org/officeDocument/2006/relationships/hyperlink" Target="https://portal.eias.ru/Portal/DownloadPage.aspx?type=12&amp;guid=3b430fa2-0bb4-4824-89fd-b13acfecc28b" TargetMode="External"/><Relationship Id="rId21" Type="http://schemas.openxmlformats.org/officeDocument/2006/relationships/hyperlink" Target="https://portal.eias.ru/Portal/DownloadPage.aspx?type=12&amp;guid=f09f4ff0-67c9-4533-b144-e76b417ac5d8" TargetMode="External"/><Relationship Id="rId34" Type="http://schemas.openxmlformats.org/officeDocument/2006/relationships/hyperlink" Target="https://portal.eias.ru/Portal/DownloadPage.aspx?type=12&amp;guid=aefbbf8c-02b8-4585-9ed8-d1df3eca36b7" TargetMode="External"/><Relationship Id="rId42" Type="http://schemas.openxmlformats.org/officeDocument/2006/relationships/hyperlink" Target="https://portal.eias.ru/Portal/DownloadPage.aspx?type=12&amp;guid=45ac096a-82cd-4bf1-8ede-e0b1a9f2c8d8" TargetMode="External"/><Relationship Id="rId7" Type="http://schemas.openxmlformats.org/officeDocument/2006/relationships/hyperlink" Target="https://portal.eias.ru/Portal/DownloadPage.aspx?type=12&amp;guid=96a3572f-dd28-4fad-8d0e-79a65f5271f1https://portal.eias.ru/Portal/DownloadPage.aspx?type=12&amp;guid=e9c040a8-4858-46d6-960d-ca29ec39bc56" TargetMode="External"/><Relationship Id="rId2" Type="http://schemas.openxmlformats.org/officeDocument/2006/relationships/hyperlink" Target="https://portal.eias.ru/Portal/DownloadPage.aspx?type=12&amp;guid=aefbbf8c-02b8-4585-9ed8-d1df3eca36b7" TargetMode="External"/><Relationship Id="rId16" Type="http://schemas.openxmlformats.org/officeDocument/2006/relationships/hyperlink" Target="https://portal.eias.ru/Portal/DownloadPage.aspx?type=12&amp;guid=edc03fe2-00fb-4934-938e-8d6e512484cd" TargetMode="External"/><Relationship Id="rId20" Type="http://schemas.openxmlformats.org/officeDocument/2006/relationships/hyperlink" Target="https://portal.eias.ru/Portal/DownloadPage.aspx?type=12&amp;guid=75f13117-21fe-48c3-b97c-cac2b41bf698" TargetMode="External"/><Relationship Id="rId29" Type="http://schemas.openxmlformats.org/officeDocument/2006/relationships/hyperlink" Target="https://portal.eias.ru/Portal/DownloadPage.aspx?type=12&amp;guid=e7a8e69e-f32c-4b16-9778-2cb6faeaa3b5" TargetMode="External"/><Relationship Id="rId41" Type="http://schemas.openxmlformats.org/officeDocument/2006/relationships/hyperlink" Target="https://portal.eias.ru/Portal/DownloadPage.aspx?type=12&amp;guid=75f13117-21fe-48c3-b97c-cac2b41bf698" TargetMode="External"/><Relationship Id="rId1" Type="http://schemas.openxmlformats.org/officeDocument/2006/relationships/hyperlink" Target="https://portal.eias.ru/Portal/DownloadPage.aspx?type=12&amp;guid=cb813cc3-71e1-4334-89b5-ea5ac1eb0d4b" TargetMode="External"/><Relationship Id="rId6" Type="http://schemas.openxmlformats.org/officeDocument/2006/relationships/hyperlink" Target="https://portal.eias.ru/Portal/DownloadPage.aspx?type=12&amp;guid=76d0b564-43a0-4303-a96b-fac8ed15fb49" TargetMode="External"/><Relationship Id="rId11" Type="http://schemas.openxmlformats.org/officeDocument/2006/relationships/hyperlink" Target="https://portal.eias.ru/Portal/DownloadPage.aspx?type=12&amp;guid=fe585c2c-220c-45c4-ae4e-0fedc1ed5bce" TargetMode="External"/><Relationship Id="rId24" Type="http://schemas.openxmlformats.org/officeDocument/2006/relationships/hyperlink" Target="https://portal.eias.ru/Portal/DownloadPage.aspx?type=12&amp;guid=85d9d083-97e5-4a1c-a85d-6e7f3a83eb4a" TargetMode="External"/><Relationship Id="rId32" Type="http://schemas.openxmlformats.org/officeDocument/2006/relationships/hyperlink" Target="https://portal.eias.ru/Portal/DownloadPage.aspx?type=12&amp;guid=fe585c2c-220c-45c4-ae4e-0fedc1ed5bce" TargetMode="External"/><Relationship Id="rId37" Type="http://schemas.openxmlformats.org/officeDocument/2006/relationships/hyperlink" Target="https://portal.eias.ru/Portal/DownloadPage.aspx?type=12&amp;guid=70e091ba-619c-4673-aeb1-924ce4e4e454" TargetMode="External"/><Relationship Id="rId40" Type="http://schemas.openxmlformats.org/officeDocument/2006/relationships/hyperlink" Target="https://portal.eias.ru/Portal/DownloadPage.aspx?type=12&amp;guid=de17eb0c-da58-4e25-af3c-6cb3f336eae8https://portal.eias.ru/Portal/DownloadPage.aspx?type=12&amp;guid=f0f15d69-cac4-4b6c-a202-e2ce21ea4dc0https://portal.eias.ru/Portal/DownloadPage.aspx?type=12&amp;guid=ff4cb690-6dbc-4a5b-ab69-189631a190c5https://portal.eias.ru/Portal/DownloadPage.aspx?type=12&amp;guid=0aa88a44-930e-452b-9ff3-51e3c8f63059" TargetMode="External"/><Relationship Id="rId5" Type="http://schemas.openxmlformats.org/officeDocument/2006/relationships/hyperlink" Target="https://portal.eias.ru/Portal/DownloadPage.aspx?type=12&amp;guid=f8cf1639-3be2-4b08-8f19-ef78419b8800" TargetMode="External"/><Relationship Id="rId15" Type="http://schemas.openxmlformats.org/officeDocument/2006/relationships/hyperlink" Target="https://portal.eias.ru/Portal/DownloadPage.aspx?type=12&amp;guid=f5c67e69-b9c3-4cc7-aa4c-b5c80e967546" TargetMode="External"/><Relationship Id="rId23" Type="http://schemas.openxmlformats.org/officeDocument/2006/relationships/hyperlink" Target="https://portal.eias.ru/Portal/DownloadPage.aspx?type=12&amp;guid=26a59077-8141-4eab-8c72-e68b6e6756f9" TargetMode="External"/><Relationship Id="rId28" Type="http://schemas.openxmlformats.org/officeDocument/2006/relationships/hyperlink" Target="https://portal.eias.ru/Portal/DownloadPage.aspx?type=12&amp;guid=d64b978e-e9b2-4707-a459-44ce8934d266https://portal.eias.ru/Portal/DownloadPage.aspx?type=12&amp;guid=5acdda7a-bcfc-4b0e-9749-fac1c0e2fc68https://portal.eias.ru/Portal/DownloadPage.aspx?type=12&amp;guid=2b766b03-c081-4fbe-9021-65f6d839462chttps://portal.eias.ru/Portal/DownloadPage.aspx?type=12&amp;guid=3f92b17d-0a67-43a3-a484-7281f9ea624c" TargetMode="External"/><Relationship Id="rId36" Type="http://schemas.openxmlformats.org/officeDocument/2006/relationships/hyperlink" Target="https://portal.eias.ru/Portal/DownloadPage.aspx?type=12&amp;guid=d1c8d0fa-cdc3-48fd-8e58-cc43eb839254" TargetMode="External"/><Relationship Id="rId10" Type="http://schemas.openxmlformats.org/officeDocument/2006/relationships/hyperlink" Target="https://portal.eias.ru/Portal/DownloadPage.aspx?type=12&amp;guid=cc5b503d-8076-48f3-8ee0-7a655db093dehttps://portal.eias.ru/Portal/DownloadPage.aspx?type=12&amp;guid=db39f901-e06d-48a0-98b0-12928e45f0dfhttps://portal.eias.ru/Portal/DownloadPage.aspx?type=12&amp;guid=9bee974d-d876-4569-a9f3-083eb34130ec" TargetMode="External"/><Relationship Id="rId19" Type="http://schemas.openxmlformats.org/officeDocument/2006/relationships/hyperlink" Target="https://portal.eias.ru/Portal/DownloadPage.aspx?type=12&amp;guid=aff70a6f-a48b-47fb-8f7f-48161df2194d" TargetMode="External"/><Relationship Id="rId31" Type="http://schemas.openxmlformats.org/officeDocument/2006/relationships/hyperlink" Target="https://portal.eias.ru/Portal/DownloadPage.aspx?type=12&amp;guid=cc5b503d-8076-48f3-8ee0-7a655db093dehttps://portal.eias.ru/Portal/DownloadPage.aspx?type=12&amp;guid=db39f901-e06d-48a0-98b0-12928e45f0dfhttps://portal.eias.ru/Portal/DownloadPage.aspx?type=12&amp;guid=9bee974d-d876-4569-a9f3-083eb34130ec" TargetMode="External"/><Relationship Id="rId44" Type="http://schemas.openxmlformats.org/officeDocument/2006/relationships/hyperlink" Target="https://portal.eias.ru/Portal/DownloadPage.aspx?type=12&amp;guid=45ac096a-82cd-4bf1-8ede-e0b1a9f2c8d8" TargetMode="External"/><Relationship Id="rId4" Type="http://schemas.openxmlformats.org/officeDocument/2006/relationships/hyperlink" Target="https://portal.eias.ru/Portal/DownloadPage.aspx?type=12&amp;guid=f8cf1639-3be2-4b08-8f19-ef78419b8800" TargetMode="External"/><Relationship Id="rId9" Type="http://schemas.openxmlformats.org/officeDocument/2006/relationships/hyperlink" Target="https://portal.eias.ru/Portal/DownloadPage.aspx?type=12&amp;guid=2cf39c37-b084-4cbd-9080-5adc24a96ef6https://portal.eias.ru/Portal/DownloadPage.aspx?type=12&amp;guid=1d8f8bdc-c19b-486d-8128-f36d408ad72d" TargetMode="External"/><Relationship Id="rId14" Type="http://schemas.openxmlformats.org/officeDocument/2006/relationships/hyperlink" Target="https://portal.eias.ru/Portal/DownloadPage.aspx?type=12&amp;guid=1ff8021d-13f1-495d-9778-2e5b084fa21a" TargetMode="External"/><Relationship Id="rId22" Type="http://schemas.openxmlformats.org/officeDocument/2006/relationships/hyperlink" Target="https://portal.eias.ru/Portal/DownloadPage.aspx?type=12&amp;guid=487b052f-c18d-4446-9c94-f4c02a3b2532" TargetMode="External"/><Relationship Id="rId27" Type="http://schemas.openxmlformats.org/officeDocument/2006/relationships/hyperlink" Target="https://portal.eias.ru/Portal/DownloadPage.aspx?type=12&amp;guid=725f471d-0734-459e-b401-56ed8589ef5b" TargetMode="External"/><Relationship Id="rId30" Type="http://schemas.openxmlformats.org/officeDocument/2006/relationships/hyperlink" Target="https://portal.eias.ru/Portal/DownloadPage.aspx?type=12&amp;guid=2cf39c37-b084-4cbd-9080-5adc24a96ef6https://portal.eias.ru/Portal/DownloadPage.aspx?type=12&amp;guid=1d8f8bdc-c19b-486d-8128-f36d408ad72d" TargetMode="External"/><Relationship Id="rId35" Type="http://schemas.openxmlformats.org/officeDocument/2006/relationships/hyperlink" Target="https://portal.eias.ru/Portal/DownloadPage.aspx?type=12&amp;guid=1ff8021d-13f1-495d-9778-2e5b084fa21a" TargetMode="External"/><Relationship Id="rId43" Type="http://schemas.openxmlformats.org/officeDocument/2006/relationships/hyperlink" Target="https://portal.eias.ru/Portal/DownloadPage.aspx?type=12&amp;guid=211eadd0-e50b-4764-9794-b26812c87654" TargetMode="External"/><Relationship Id="rId8" Type="http://schemas.openxmlformats.org/officeDocument/2006/relationships/hyperlink" Target="https://portal.eias.ru/Portal/DownloadPage.aspx?type=12&amp;guid=a093e265-245e-473a-8265-39cac4b54ea6" TargetMode="External"/><Relationship Id="rId3" Type="http://schemas.openxmlformats.org/officeDocument/2006/relationships/hyperlink" Target="https://portal.eias.ru/Portal/DownloadPage.aspx?type=12&amp;guid=1ff8021d-13f1-495d-9778-2e5b084fa21a" TargetMode="External"/><Relationship Id="rId12" Type="http://schemas.openxmlformats.org/officeDocument/2006/relationships/hyperlink" Target="https://portal.eias.ru/Portal/DownloadPage.aspx?type=12&amp;guid=e4fba3b8-5708-4c67-ac7c-0c0d692dc733https://portal.eias.ru/Portal/DownloadPage.aspx?type=12&amp;guid=216b8ae7-85ae-49dd-91ab-eaea14bd8961https://portal.eias.ru/Portal/DownloadPage.aspx?type=12&amp;guid=30debee2-e19d-4490-bdf7-c6a7327159e5" TargetMode="External"/><Relationship Id="rId17" Type="http://schemas.openxmlformats.org/officeDocument/2006/relationships/hyperlink" Target="https://portal.eias.ru/Portal/DownloadPage.aspx?type=12&amp;guid=4a7eafcc-0410-42dd-a407-bd70f6714fe4" TargetMode="External"/><Relationship Id="rId25" Type="http://schemas.openxmlformats.org/officeDocument/2006/relationships/hyperlink" Target="https://portal.eias.ru/Portal/DownloadPage.aspx?type=12&amp;guid=c48e657c-612f-49fc-b4f9-bce0bb2a17bd" TargetMode="External"/><Relationship Id="rId33" Type="http://schemas.openxmlformats.org/officeDocument/2006/relationships/hyperlink" Target="https://portal.eias.ru/Portal/DownloadPage.aspx?type=12&amp;guid=9f568d50-86bc-4e46-bd5f-df325209bbaa" TargetMode="External"/><Relationship Id="rId38" Type="http://schemas.openxmlformats.org/officeDocument/2006/relationships/hyperlink" Target="https://portal.eias.ru/Portal/DownloadPage.aspx?type=12&amp;guid=29507171-fded-4c19-83a0-f1c64c320c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E27DF-B2A8-2538-FB68-D03CE1D639B5}">
  <sheetPr>
    <tabColor theme="3" tint="-0.249977111117893"/>
  </sheetPr>
  <dimension ref="A1:C1"/>
  <sheetViews>
    <sheetView workbookViewId="0"/>
  </sheetViews>
  <sheetFormatPr defaultRowHeight="11.25" customHeight="1"/>
  <cols>
    <col min="1" max="1" width="37.140625" style="23" customWidth="1"/>
    <col min="2" max="2" width="25.7109375" style="23" customWidth="1"/>
    <col min="3" max="3" width="64.5703125" style="23" customWidth="1"/>
  </cols>
  <sheetData>
    <row r="1" spans="1:3" ht="11.25" customHeight="1">
      <c r="A1" s="655" t="s">
        <v>0</v>
      </c>
      <c r="B1" s="655" t="s">
        <v>1</v>
      </c>
      <c r="C1" s="655"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44471-F838-5E98-4CE8-C888D4880DD7}">
  <dimension ref="A1:AA18"/>
  <sheetViews>
    <sheetView showGridLines="0" showRowColHeaders="0" workbookViewId="0"/>
  </sheetViews>
  <sheetFormatPr defaultColWidth="10.42578125" defaultRowHeight="12.6" customHeight="1"/>
  <cols>
    <col min="1" max="1" width="5.140625" style="772" customWidth="1"/>
    <col min="2" max="2" width="8.5703125" style="346" customWidth="1"/>
    <col min="3" max="3" width="15.5703125" style="772" customWidth="1"/>
    <col min="4" max="25" width="6" style="772" customWidth="1"/>
    <col min="26" max="27" width="10.42578125" style="772"/>
  </cols>
  <sheetData>
    <row r="1" spans="1:27" ht="15.75" customHeight="1">
      <c r="A1" s="333"/>
      <c r="B1" s="345"/>
      <c r="C1" s="743"/>
      <c r="D1" s="743"/>
      <c r="E1" s="743"/>
      <c r="F1" s="743"/>
      <c r="G1" s="743"/>
      <c r="H1" s="743"/>
      <c r="I1" s="743"/>
      <c r="J1" s="743"/>
      <c r="K1" s="743"/>
      <c r="L1" s="743"/>
      <c r="M1" s="743"/>
      <c r="N1" s="743"/>
      <c r="O1" s="743"/>
      <c r="P1" s="743"/>
      <c r="Q1" s="743"/>
      <c r="R1" s="743"/>
      <c r="S1" s="743"/>
      <c r="T1" s="743"/>
      <c r="U1" s="743"/>
      <c r="V1" s="743"/>
      <c r="W1" s="743"/>
      <c r="X1" s="743"/>
      <c r="Y1" s="744"/>
      <c r="Z1" s="743"/>
      <c r="AA1" s="334" t="s">
        <v>3</v>
      </c>
    </row>
    <row r="2" spans="1:27" s="346" customFormat="1" ht="17.25" customHeight="1">
      <c r="A2" s="345"/>
      <c r="B2" s="990" t="s">
        <v>4</v>
      </c>
      <c r="C2" s="990"/>
      <c r="D2" s="990"/>
      <c r="E2" s="990"/>
      <c r="F2" s="990"/>
      <c r="G2" s="990"/>
      <c r="H2" s="990"/>
      <c r="I2" s="990"/>
      <c r="J2" s="990"/>
      <c r="K2" s="990"/>
      <c r="L2" s="990"/>
      <c r="M2" s="990"/>
      <c r="N2" s="990"/>
      <c r="O2" s="990"/>
      <c r="P2" s="990"/>
      <c r="Q2" s="745"/>
      <c r="R2" s="745"/>
      <c r="S2" s="745"/>
      <c r="T2" s="745"/>
      <c r="U2" s="745"/>
      <c r="V2" s="746"/>
      <c r="W2" s="745"/>
      <c r="X2" s="745"/>
      <c r="Y2" s="747"/>
      <c r="Z2" s="345"/>
      <c r="AA2" s="345"/>
    </row>
    <row r="3" spans="1:27" ht="15.75" customHeight="1">
      <c r="A3" s="743"/>
      <c r="B3" s="991" t="s">
        <v>5</v>
      </c>
      <c r="C3" s="991"/>
      <c r="D3" s="991"/>
      <c r="E3" s="991"/>
      <c r="F3" s="991"/>
      <c r="G3" s="991"/>
      <c r="H3" s="991"/>
      <c r="I3" s="991"/>
      <c r="J3" s="991"/>
      <c r="K3" s="991"/>
      <c r="L3" s="991"/>
      <c r="M3" s="991"/>
      <c r="N3" s="991"/>
      <c r="O3" s="991"/>
      <c r="P3" s="991"/>
      <c r="Q3" s="748"/>
      <c r="R3" s="748"/>
      <c r="S3" s="749"/>
      <c r="T3" s="749"/>
      <c r="U3" s="749"/>
      <c r="V3" s="748"/>
      <c r="W3" s="748"/>
      <c r="X3" s="748"/>
      <c r="Y3" s="748"/>
      <c r="Z3" s="743"/>
      <c r="AA3" s="334"/>
    </row>
    <row r="4" spans="1:27" ht="16.5" customHeight="1">
      <c r="A4" s="743"/>
      <c r="B4" s="347"/>
      <c r="C4" s="743"/>
      <c r="D4" s="748"/>
      <c r="E4" s="748"/>
      <c r="F4" s="748"/>
      <c r="G4" s="748"/>
      <c r="H4" s="748"/>
      <c r="I4" s="748"/>
      <c r="J4" s="748"/>
      <c r="K4" s="748"/>
      <c r="L4" s="748"/>
      <c r="M4" s="748"/>
      <c r="N4" s="748"/>
      <c r="O4" s="748"/>
      <c r="P4" s="748"/>
      <c r="Q4" s="748"/>
      <c r="R4" s="748"/>
      <c r="S4" s="748"/>
      <c r="T4" s="748"/>
      <c r="U4" s="748"/>
      <c r="V4" s="748"/>
      <c r="W4" s="748"/>
      <c r="X4" s="748"/>
      <c r="Y4" s="748"/>
      <c r="Z4" s="743"/>
      <c r="AA4" s="334"/>
    </row>
    <row r="5" spans="1:27" ht="22.5" customHeight="1">
      <c r="A5" s="750"/>
      <c r="B5" s="992"/>
      <c r="C5" s="993"/>
      <c r="D5" s="993"/>
      <c r="E5" s="993"/>
      <c r="F5" s="993"/>
      <c r="G5" s="993"/>
      <c r="H5" s="993"/>
      <c r="I5" s="993"/>
      <c r="J5" s="993"/>
      <c r="K5" s="993"/>
      <c r="L5" s="993"/>
      <c r="M5" s="993"/>
      <c r="N5" s="993"/>
      <c r="O5" s="993"/>
      <c r="P5" s="993"/>
      <c r="Q5" s="993"/>
      <c r="R5" s="993"/>
      <c r="S5" s="993"/>
      <c r="T5" s="993"/>
      <c r="U5" s="993"/>
      <c r="V5" s="993"/>
      <c r="W5" s="993"/>
      <c r="X5" s="993"/>
      <c r="Y5" s="994"/>
      <c r="Z5" s="750"/>
      <c r="AA5" s="334"/>
    </row>
    <row r="6" spans="1:27" ht="13.5" customHeight="1">
      <c r="A6" s="751"/>
      <c r="B6" s="981" t="s">
        <v>6</v>
      </c>
      <c r="C6" s="985"/>
      <c r="D6" s="752"/>
      <c r="E6" s="752"/>
      <c r="F6" s="752"/>
      <c r="G6" s="752"/>
      <c r="H6" s="752"/>
      <c r="I6" s="752"/>
      <c r="J6" s="752"/>
      <c r="K6" s="752"/>
      <c r="L6" s="752"/>
      <c r="M6" s="752"/>
      <c r="N6" s="752"/>
      <c r="O6" s="752"/>
      <c r="P6" s="752"/>
      <c r="Q6" s="752"/>
      <c r="R6" s="752"/>
      <c r="S6" s="752"/>
      <c r="T6" s="752"/>
      <c r="U6" s="752"/>
      <c r="V6" s="752"/>
      <c r="W6" s="752"/>
      <c r="X6" s="752"/>
      <c r="Y6" s="753"/>
      <c r="Z6" s="754"/>
      <c r="AA6" s="755"/>
    </row>
    <row r="7" spans="1:27" ht="13.5" customHeight="1">
      <c r="A7" s="751"/>
      <c r="B7" s="981"/>
      <c r="C7" s="985"/>
      <c r="D7" s="752"/>
      <c r="E7" s="752"/>
      <c r="F7" s="756"/>
      <c r="G7" s="756"/>
      <c r="H7" s="756"/>
      <c r="I7" s="756"/>
      <c r="J7" s="756"/>
      <c r="K7" s="756"/>
      <c r="L7" s="756"/>
      <c r="M7" s="756"/>
      <c r="N7" s="756"/>
      <c r="O7" s="752"/>
      <c r="P7" s="756"/>
      <c r="Q7" s="756"/>
      <c r="R7" s="756"/>
      <c r="S7" s="756"/>
      <c r="T7" s="756"/>
      <c r="U7" s="756"/>
      <c r="V7" s="756"/>
      <c r="W7" s="756"/>
      <c r="X7" s="756"/>
      <c r="Y7" s="753"/>
      <c r="Z7" s="754"/>
      <c r="AA7" s="755"/>
    </row>
    <row r="8" spans="1:27" ht="13.5" customHeight="1">
      <c r="A8" s="751"/>
      <c r="B8" s="981"/>
      <c r="C8" s="985"/>
      <c r="D8" s="757"/>
      <c r="E8" s="758" t="s">
        <v>7</v>
      </c>
      <c r="F8" s="995" t="s">
        <v>8</v>
      </c>
      <c r="G8" s="984"/>
      <c r="H8" s="984"/>
      <c r="I8" s="984"/>
      <c r="J8" s="984"/>
      <c r="K8" s="984"/>
      <c r="L8" s="984"/>
      <c r="M8" s="984"/>
      <c r="N8" s="757"/>
      <c r="O8" s="759" t="s">
        <v>7</v>
      </c>
      <c r="P8" s="996" t="s">
        <v>9</v>
      </c>
      <c r="Q8" s="997"/>
      <c r="R8" s="997"/>
      <c r="S8" s="997"/>
      <c r="T8" s="997"/>
      <c r="U8" s="997"/>
      <c r="V8" s="997"/>
      <c r="W8" s="997"/>
      <c r="X8" s="997"/>
      <c r="Y8" s="753"/>
      <c r="Z8" s="754"/>
      <c r="AA8" s="755"/>
    </row>
    <row r="9" spans="1:27" ht="13.5" customHeight="1">
      <c r="A9" s="751"/>
      <c r="B9" s="981"/>
      <c r="C9" s="985"/>
      <c r="D9" s="757"/>
      <c r="E9" s="760" t="s">
        <v>7</v>
      </c>
      <c r="F9" s="995" t="s">
        <v>10</v>
      </c>
      <c r="G9" s="984"/>
      <c r="H9" s="984"/>
      <c r="I9" s="984"/>
      <c r="J9" s="984"/>
      <c r="K9" s="984"/>
      <c r="L9" s="984"/>
      <c r="M9" s="984"/>
      <c r="N9" s="757"/>
      <c r="O9" s="761" t="s">
        <v>7</v>
      </c>
      <c r="P9" s="996" t="s">
        <v>11</v>
      </c>
      <c r="Q9" s="997"/>
      <c r="R9" s="997"/>
      <c r="S9" s="997"/>
      <c r="T9" s="997"/>
      <c r="U9" s="997"/>
      <c r="V9" s="997"/>
      <c r="W9" s="997"/>
      <c r="X9" s="997"/>
      <c r="Y9" s="753"/>
      <c r="Z9" s="754"/>
      <c r="AA9" s="755"/>
    </row>
    <row r="10" spans="1:27" ht="13.5" customHeight="1">
      <c r="A10" s="751"/>
      <c r="B10" s="981"/>
      <c r="C10" s="982"/>
      <c r="D10" s="757"/>
      <c r="E10" s="762" t="s">
        <v>7</v>
      </c>
      <c r="F10" s="997" t="s">
        <v>12</v>
      </c>
      <c r="G10" s="998"/>
      <c r="H10" s="998"/>
      <c r="I10" s="998"/>
      <c r="J10" s="998"/>
      <c r="K10" s="998"/>
      <c r="L10" s="998"/>
      <c r="M10" s="998"/>
      <c r="N10" s="998"/>
      <c r="O10" s="763" t="s">
        <v>7</v>
      </c>
      <c r="P10" s="997" t="s">
        <v>13</v>
      </c>
      <c r="Q10" s="998"/>
      <c r="R10" s="998"/>
      <c r="S10" s="998"/>
      <c r="T10" s="998"/>
      <c r="U10" s="998"/>
      <c r="V10" s="998"/>
      <c r="W10" s="998"/>
      <c r="X10" s="998"/>
      <c r="Y10" s="753"/>
      <c r="Z10" s="754"/>
      <c r="AA10" s="755"/>
    </row>
    <row r="11" spans="1:27" ht="30" customHeight="1">
      <c r="A11" s="751"/>
      <c r="B11" s="981"/>
      <c r="C11" s="982"/>
      <c r="D11" s="764"/>
      <c r="E11" s="765"/>
      <c r="F11" s="756"/>
      <c r="G11" s="756"/>
      <c r="H11" s="756"/>
      <c r="I11" s="756"/>
      <c r="J11" s="756"/>
      <c r="K11" s="756"/>
      <c r="L11" s="756"/>
      <c r="M11" s="756"/>
      <c r="N11" s="756"/>
      <c r="O11" s="765"/>
      <c r="P11" s="756"/>
      <c r="Q11" s="756"/>
      <c r="R11" s="756"/>
      <c r="S11" s="756"/>
      <c r="T11" s="756"/>
      <c r="U11" s="756"/>
      <c r="V11" s="756"/>
      <c r="W11" s="756"/>
      <c r="X11" s="756"/>
      <c r="Y11" s="753"/>
      <c r="Z11" s="754"/>
      <c r="AA11" s="755"/>
    </row>
    <row r="12" spans="1:27" ht="19.5" customHeight="1">
      <c r="A12" s="751"/>
      <c r="B12" s="979" t="s">
        <v>14</v>
      </c>
      <c r="C12" s="980"/>
      <c r="D12" s="757"/>
      <c r="E12" s="766"/>
      <c r="F12" s="766"/>
      <c r="G12" s="766"/>
      <c r="H12" s="766"/>
      <c r="I12" s="766"/>
      <c r="J12" s="766"/>
      <c r="K12" s="766"/>
      <c r="L12" s="766"/>
      <c r="M12" s="766"/>
      <c r="N12" s="766"/>
      <c r="O12" s="766"/>
      <c r="P12" s="766"/>
      <c r="Q12" s="766"/>
      <c r="R12" s="766"/>
      <c r="S12" s="766"/>
      <c r="T12" s="766"/>
      <c r="U12" s="766"/>
      <c r="V12" s="766"/>
      <c r="W12" s="766"/>
      <c r="X12" s="766"/>
      <c r="Y12" s="753"/>
      <c r="Z12" s="754"/>
      <c r="AA12" s="755"/>
    </row>
    <row r="13" spans="1:27" ht="37.5" customHeight="1">
      <c r="B13" s="981"/>
      <c r="C13" s="982"/>
      <c r="D13" s="767"/>
      <c r="E13" s="984" t="s">
        <v>15</v>
      </c>
      <c r="F13" s="984"/>
      <c r="G13" s="984"/>
      <c r="H13" s="984"/>
      <c r="I13" s="984"/>
      <c r="J13" s="984"/>
      <c r="K13" s="984"/>
      <c r="L13" s="984"/>
      <c r="M13" s="984"/>
      <c r="N13" s="984"/>
      <c r="O13" s="984"/>
      <c r="P13" s="984"/>
      <c r="Q13" s="984"/>
      <c r="R13" s="984"/>
      <c r="S13" s="984"/>
      <c r="T13" s="984"/>
      <c r="U13" s="984"/>
      <c r="V13" s="984"/>
      <c r="W13" s="984"/>
      <c r="X13" s="984"/>
      <c r="Y13" s="753"/>
      <c r="Z13" s="754"/>
    </row>
    <row r="14" spans="1:27" ht="37.5" customHeight="1">
      <c r="A14" s="751"/>
      <c r="B14" s="981"/>
      <c r="C14" s="982"/>
      <c r="D14" s="767"/>
      <c r="E14" s="983" t="s">
        <v>16</v>
      </c>
      <c r="F14" s="984"/>
      <c r="G14" s="984"/>
      <c r="H14" s="984"/>
      <c r="I14" s="984"/>
      <c r="J14" s="984"/>
      <c r="K14" s="984"/>
      <c r="L14" s="984"/>
      <c r="M14" s="984"/>
      <c r="N14" s="984"/>
      <c r="O14" s="984"/>
      <c r="P14" s="984"/>
      <c r="Q14" s="984"/>
      <c r="R14" s="984"/>
      <c r="S14" s="984"/>
      <c r="T14" s="984"/>
      <c r="U14" s="984"/>
      <c r="V14" s="984"/>
      <c r="W14" s="984"/>
      <c r="X14" s="984"/>
      <c r="Y14" s="753"/>
      <c r="Z14" s="754"/>
      <c r="AA14" s="755"/>
    </row>
    <row r="15" spans="1:27" ht="13.5" customHeight="1">
      <c r="A15" s="751"/>
      <c r="B15" s="979" t="s">
        <v>17</v>
      </c>
      <c r="C15" s="980"/>
      <c r="D15" s="752"/>
      <c r="E15" s="766"/>
      <c r="F15" s="766"/>
      <c r="G15" s="766"/>
      <c r="H15" s="766"/>
      <c r="I15" s="766"/>
      <c r="J15" s="766"/>
      <c r="K15" s="766"/>
      <c r="L15" s="766"/>
      <c r="M15" s="766"/>
      <c r="N15" s="766"/>
      <c r="O15" s="766"/>
      <c r="P15" s="766"/>
      <c r="Q15" s="766"/>
      <c r="R15" s="766"/>
      <c r="S15" s="766"/>
      <c r="T15" s="766"/>
      <c r="U15" s="766"/>
      <c r="V15" s="766"/>
      <c r="W15" s="766"/>
      <c r="X15" s="766"/>
      <c r="Y15" s="753"/>
      <c r="Z15" s="754"/>
      <c r="AA15" s="755"/>
    </row>
    <row r="16" spans="1:27" ht="65.25" customHeight="1">
      <c r="A16" s="751"/>
      <c r="B16" s="981"/>
      <c r="C16" s="985"/>
      <c r="D16" s="757"/>
      <c r="E16" s="988" t="s">
        <v>18</v>
      </c>
      <c r="F16" s="988"/>
      <c r="G16" s="988"/>
      <c r="H16" s="988"/>
      <c r="I16" s="988"/>
      <c r="J16" s="988"/>
      <c r="K16" s="988"/>
      <c r="L16" s="988"/>
      <c r="M16" s="988"/>
      <c r="N16" s="988"/>
      <c r="O16" s="988"/>
      <c r="P16" s="988"/>
      <c r="Q16" s="988"/>
      <c r="R16" s="988"/>
      <c r="S16" s="988"/>
      <c r="T16" s="988"/>
      <c r="U16" s="988"/>
      <c r="V16" s="988"/>
      <c r="W16" s="988"/>
      <c r="X16" s="988"/>
      <c r="Y16" s="753"/>
      <c r="Z16" s="754"/>
      <c r="AA16" s="755"/>
    </row>
    <row r="17" spans="1:27" ht="16.5" customHeight="1">
      <c r="A17" s="751"/>
      <c r="B17" s="986"/>
      <c r="C17" s="987"/>
      <c r="D17" s="768"/>
      <c r="E17" s="769"/>
      <c r="F17" s="769"/>
      <c r="G17" s="769"/>
      <c r="H17" s="769"/>
      <c r="I17" s="769"/>
      <c r="J17" s="769"/>
      <c r="K17" s="769"/>
      <c r="L17" s="769"/>
      <c r="M17" s="769"/>
      <c r="N17" s="769"/>
      <c r="O17" s="769"/>
      <c r="P17" s="769"/>
      <c r="Q17" s="769"/>
      <c r="R17" s="769"/>
      <c r="S17" s="769"/>
      <c r="T17" s="769"/>
      <c r="U17" s="769"/>
      <c r="V17" s="769"/>
      <c r="W17" s="769"/>
      <c r="X17" s="769"/>
      <c r="Y17" s="770"/>
      <c r="Z17" s="754"/>
      <c r="AA17" s="771"/>
    </row>
    <row r="18" spans="1:27" ht="95.25" customHeight="1">
      <c r="A18" s="743"/>
      <c r="B18" s="988"/>
      <c r="C18" s="989"/>
      <c r="D18" s="989"/>
      <c r="E18" s="989"/>
      <c r="F18" s="989"/>
      <c r="G18" s="989"/>
      <c r="H18" s="989"/>
      <c r="I18" s="989"/>
      <c r="J18" s="989"/>
      <c r="K18" s="989"/>
      <c r="L18" s="989"/>
      <c r="M18" s="989"/>
      <c r="N18" s="989"/>
      <c r="O18" s="989"/>
      <c r="P18" s="989"/>
      <c r="Q18" s="989"/>
      <c r="R18" s="989"/>
      <c r="S18" s="989"/>
      <c r="T18" s="989"/>
      <c r="U18" s="989"/>
      <c r="V18" s="989"/>
      <c r="W18" s="989"/>
      <c r="X18" s="989"/>
      <c r="Y18" s="989"/>
      <c r="Z18" s="743"/>
      <c r="AA18" s="334"/>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5938E838-C278-66E8-2676-59CA2982617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E24F-1C88-B55A-4648-FE96C194FFF5}">
  <sheetPr>
    <tabColor theme="6" tint="0.39997558519241921"/>
  </sheetPr>
  <dimension ref="A1:AE26"/>
  <sheetViews>
    <sheetView showGridLines="0" topLeftCell="AA21" workbookViewId="0">
      <selection activeCell="AA21" sqref="AA21"/>
    </sheetView>
  </sheetViews>
  <sheetFormatPr defaultColWidth="9.140625" defaultRowHeight="11.25" customHeight="1"/>
  <cols>
    <col min="1" max="1" width="3.5703125" style="57" hidden="1" customWidth="1"/>
    <col min="2" max="2" width="8.5703125" style="62" hidden="1" customWidth="1"/>
    <col min="3" max="4" width="3.5703125" style="57" hidden="1" customWidth="1"/>
    <col min="5" max="5" width="3.5703125" style="459" hidden="1" customWidth="1"/>
    <col min="6" max="26" width="3.5703125" style="57" hidden="1" customWidth="1"/>
    <col min="27" max="27" width="3.7109375" style="57" customWidth="1"/>
    <col min="28" max="28" width="6.140625" style="57" customWidth="1"/>
    <col min="29" max="29" width="20.7109375" style="57" customWidth="1"/>
    <col min="30" max="30" width="92.5703125" style="57" customWidth="1"/>
    <col min="31" max="31" width="9.140625" style="57"/>
  </cols>
  <sheetData>
    <row r="1" spans="1:5" ht="11.25" hidden="1" customHeight="1">
      <c r="E1" s="57"/>
    </row>
    <row r="2" spans="1:5" s="62" customFormat="1" ht="11.25" hidden="1" customHeight="1">
      <c r="B2" s="354" t="s">
        <v>19</v>
      </c>
    </row>
    <row r="3" spans="1:5" ht="11.25" hidden="1" customHeight="1">
      <c r="E3" s="57"/>
    </row>
    <row r="4" spans="1:5" ht="11.25" hidden="1" customHeight="1">
      <c r="E4" s="57"/>
    </row>
    <row r="5" spans="1:5" s="459" customFormat="1" ht="11.25" hidden="1" customHeight="1">
      <c r="A5" s="57"/>
      <c r="B5" s="62"/>
      <c r="C5" s="57"/>
      <c r="D5" s="57"/>
      <c r="E5" s="458"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2:30" ht="11.25" hidden="1" customHeight="1"/>
    <row r="18" spans="2:30" ht="11.25" hidden="1" customHeight="1"/>
    <row r="19" spans="2:30" ht="11.25" hidden="1" customHeight="1"/>
    <row r="20" spans="2:30" ht="11.25" hidden="1" customHeight="1"/>
    <row r="21" spans="2:30" ht="11.25" customHeight="1">
      <c r="AA21" s="337"/>
    </row>
    <row r="22" spans="2:30" ht="20.25" customHeight="1">
      <c r="AB22" s="188" t="s">
        <v>21</v>
      </c>
      <c r="AC22" s="169"/>
      <c r="AD22" s="169"/>
    </row>
    <row r="24" spans="2:30" s="81" customFormat="1" ht="30" customHeight="1">
      <c r="B24" s="338"/>
      <c r="E24" s="198"/>
      <c r="AB24" s="29" t="s">
        <v>22</v>
      </c>
      <c r="AC24" s="29" t="s">
        <v>23</v>
      </c>
      <c r="AD24" s="29" t="s">
        <v>24</v>
      </c>
    </row>
    <row r="25" spans="2:30" ht="33.75" customHeight="1">
      <c r="AB25" s="29">
        <v>1</v>
      </c>
      <c r="AC25" s="189" t="s">
        <v>25</v>
      </c>
      <c r="AD25" s="189" t="s">
        <v>26</v>
      </c>
    </row>
    <row r="26" spans="2:30" ht="69" customHeight="1">
      <c r="AB26" s="29">
        <v>2</v>
      </c>
      <c r="AC26" s="189" t="s">
        <v>27</v>
      </c>
      <c r="AD26" s="189"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F7D8-DD86-A51A-22F1-A9F503165DA8}">
  <sheetPr>
    <tabColor theme="0"/>
  </sheetPr>
  <dimension ref="A1:AE54"/>
  <sheetViews>
    <sheetView showGridLines="0" topLeftCell="AA41" workbookViewId="0">
      <selection activeCell="AB44" sqref="AB44"/>
    </sheetView>
  </sheetViews>
  <sheetFormatPr defaultColWidth="9.140625" defaultRowHeight="12.75" customHeight="1"/>
  <cols>
    <col min="1" max="1" width="8" style="240" hidden="1" customWidth="1"/>
    <col min="2" max="2" width="14.28515625" style="352" hidden="1" customWidth="1"/>
    <col min="3" max="4" width="3.5703125" style="240" hidden="1" customWidth="1"/>
    <col min="5" max="5" width="4.7109375" style="461" hidden="1" customWidth="1"/>
    <col min="6" max="26" width="3.5703125" style="240" hidden="1" customWidth="1"/>
    <col min="27" max="27" width="3.7109375" style="240" customWidth="1"/>
    <col min="28" max="28" width="11.7109375" style="240" customWidth="1"/>
    <col min="29" max="29" width="32.85546875" style="240" customWidth="1"/>
    <col min="30" max="30" width="133.5703125" style="240" customWidth="1"/>
    <col min="31" max="31" width="9.140625" style="240"/>
  </cols>
  <sheetData>
    <row r="1" spans="1:5" ht="11.25" hidden="1" customHeight="1">
      <c r="E1" s="240"/>
    </row>
    <row r="2" spans="1:5" s="352" customFormat="1" ht="11.25" hidden="1" customHeight="1">
      <c r="B2" s="354" t="s">
        <v>19</v>
      </c>
    </row>
    <row r="3" spans="1:5" ht="11.25" hidden="1" customHeight="1">
      <c r="E3" s="240"/>
    </row>
    <row r="4" spans="1:5" ht="11.25" hidden="1" customHeight="1">
      <c r="E4" s="240"/>
    </row>
    <row r="5" spans="1:5" s="461" customFormat="1" ht="11.25" hidden="1" customHeight="1">
      <c r="A5" s="240"/>
      <c r="B5" s="352"/>
      <c r="C5" s="240"/>
      <c r="D5" s="240"/>
      <c r="E5" s="460" t="s">
        <v>20</v>
      </c>
    </row>
    <row r="6" spans="1:5" ht="11.25" hidden="1" customHeight="1"/>
    <row r="7" spans="1:5" ht="11.25" hidden="1" customHeight="1"/>
    <row r="8" spans="1:5" ht="11.25" hidden="1" customHeight="1"/>
    <row r="9" spans="1:5" ht="11.25" hidden="1" customHeight="1"/>
    <row r="10" spans="1:5" ht="11.25" hidden="1" customHeight="1"/>
    <row r="11" spans="1:5" ht="11.25" hidden="1" customHeight="1"/>
    <row r="12" spans="1:5" ht="11.25" hidden="1" customHeight="1"/>
    <row r="13" spans="1:5" ht="11.25" hidden="1" customHeight="1"/>
    <row r="14" spans="1:5" ht="11.25" hidden="1" customHeight="1"/>
    <row r="15" spans="1:5" ht="11.25" hidden="1" customHeight="1"/>
    <row r="16" spans="1:5" ht="11.25" hidden="1" customHeight="1"/>
    <row r="17" spans="1:31" ht="11.25" hidden="1" customHeight="1"/>
    <row r="18" spans="1:31" ht="11.25" hidden="1" customHeight="1"/>
    <row r="19" spans="1:31" ht="11.25" hidden="1" customHeight="1"/>
    <row r="20" spans="1:31" ht="11.25" hidden="1" customHeight="1"/>
    <row r="21" spans="1:31" ht="12.75" customHeight="1">
      <c r="AA21" s="337"/>
    </row>
    <row r="22" spans="1:31" ht="24.75" customHeight="1">
      <c r="AB22" s="241" t="s">
        <v>29</v>
      </c>
      <c r="AC22" s="242"/>
      <c r="AD22" s="242"/>
    </row>
    <row r="23" spans="1:31" ht="16.5" customHeight="1">
      <c r="AB23" s="246" t="s">
        <v>30</v>
      </c>
    </row>
    <row r="24" spans="1:31" ht="27" customHeight="1">
      <c r="B24" s="354" t="b">
        <v>1</v>
      </c>
      <c r="E24" s="461">
        <v>27.75</v>
      </c>
      <c r="AB24" s="243" t="s">
        <v>31</v>
      </c>
      <c r="AC24" s="244" t="s">
        <v>32</v>
      </c>
      <c r="AD24" s="245" t="s">
        <v>33</v>
      </c>
    </row>
    <row r="25" spans="1:31" ht="27" customHeight="1">
      <c r="B25" s="354" t="b">
        <v>1</v>
      </c>
      <c r="E25" s="461">
        <v>27.75</v>
      </c>
      <c r="AB25" s="243" t="s">
        <v>31</v>
      </c>
      <c r="AC25" s="244" t="s">
        <v>34</v>
      </c>
      <c r="AD25" s="245" t="s">
        <v>35</v>
      </c>
    </row>
    <row r="26" spans="1:31" ht="27" customHeight="1">
      <c r="B26" s="354" t="b">
        <v>1</v>
      </c>
      <c r="E26" s="461">
        <v>27.75</v>
      </c>
      <c r="AB26" s="243" t="s">
        <v>31</v>
      </c>
      <c r="AC26" s="244" t="s">
        <v>36</v>
      </c>
      <c r="AD26" s="245" t="s">
        <v>37</v>
      </c>
    </row>
    <row r="27" spans="1:31" ht="27" customHeight="1">
      <c r="B27" s="354" t="b">
        <v>1</v>
      </c>
      <c r="E27" s="461">
        <v>27.75</v>
      </c>
      <c r="AB27" s="243" t="s">
        <v>31</v>
      </c>
      <c r="AC27" s="244" t="s">
        <v>38</v>
      </c>
      <c r="AD27" s="245" t="s">
        <v>39</v>
      </c>
    </row>
    <row r="28" spans="1:31" ht="27" customHeight="1">
      <c r="B28" s="354" t="b">
        <f>NOT(method_reg="Метод сравнения аналогов")</f>
        <v>1</v>
      </c>
      <c r="E28" s="461">
        <v>27.75</v>
      </c>
      <c r="AB28" s="243" t="s">
        <v>31</v>
      </c>
      <c r="AC28" s="244" t="s">
        <v>40</v>
      </c>
      <c r="AD28" s="245" t="s">
        <v>41</v>
      </c>
    </row>
    <row r="29" spans="1:31" s="23" customFormat="1" ht="27" customHeight="1">
      <c r="A29" s="240"/>
      <c r="B29" s="354" t="b">
        <f>method_reg="Метод индексации"</f>
        <v>1</v>
      </c>
      <c r="C29" s="240"/>
      <c r="D29" s="240"/>
      <c r="E29" s="461">
        <v>27.75</v>
      </c>
      <c r="F29" s="240"/>
      <c r="G29" s="240"/>
      <c r="H29" s="240"/>
      <c r="I29" s="240"/>
      <c r="J29" s="240"/>
      <c r="K29" s="240"/>
      <c r="L29" s="240"/>
      <c r="M29" s="240"/>
      <c r="N29" s="240"/>
      <c r="O29" s="240"/>
      <c r="P29" s="240"/>
      <c r="Q29" s="240"/>
      <c r="R29" s="240"/>
      <c r="S29" s="240"/>
      <c r="T29" s="240"/>
      <c r="U29" s="240"/>
      <c r="V29" s="240"/>
      <c r="W29" s="240"/>
      <c r="X29" s="240"/>
      <c r="Y29" s="240"/>
      <c r="Z29" s="240"/>
      <c r="AA29" s="240"/>
      <c r="AB29" s="243" t="s">
        <v>42</v>
      </c>
      <c r="AC29" s="244" t="s">
        <v>43</v>
      </c>
      <c r="AD29" s="245" t="s">
        <v>44</v>
      </c>
      <c r="AE29" s="240"/>
    </row>
    <row r="30" spans="1:31" ht="27" customHeight="1">
      <c r="B30" s="354" t="b">
        <v>1</v>
      </c>
      <c r="E30" s="461">
        <v>27.75</v>
      </c>
      <c r="AB30" s="243" t="s">
        <v>31</v>
      </c>
      <c r="AC30" s="244" t="s">
        <v>45</v>
      </c>
      <c r="AD30" s="245" t="s">
        <v>46</v>
      </c>
    </row>
    <row r="31" spans="1:31" ht="27" customHeight="1">
      <c r="B31" s="354" t="b">
        <f>OR(method_reg="Метод индексации",method_reg="Метод сравнения аналогов")</f>
        <v>1</v>
      </c>
      <c r="E31" s="461">
        <v>27.75</v>
      </c>
      <c r="AB31" s="243" t="s">
        <v>42</v>
      </c>
      <c r="AC31" s="244" t="s">
        <v>47</v>
      </c>
      <c r="AD31" s="245" t="s">
        <v>48</v>
      </c>
      <c r="AE31" s="41"/>
    </row>
    <row r="32" spans="1:31" ht="27" customHeight="1">
      <c r="B32" s="354" t="b">
        <f>NOT(method_reg="Метод сравнения аналогов")</f>
        <v>1</v>
      </c>
      <c r="E32" s="461">
        <v>27.75</v>
      </c>
      <c r="AB32" s="243" t="s">
        <v>31</v>
      </c>
      <c r="AC32" s="244" t="s">
        <v>49</v>
      </c>
      <c r="AD32" s="245" t="s">
        <v>50</v>
      </c>
    </row>
    <row r="33" spans="2:30" ht="27" customHeight="1">
      <c r="B33" s="354" t="b">
        <f>NOT(method_reg="Метод сравнения аналогов")</f>
        <v>1</v>
      </c>
      <c r="E33" s="461">
        <v>27.75</v>
      </c>
      <c r="AB33" s="243" t="s">
        <v>31</v>
      </c>
      <c r="AC33" s="244" t="s">
        <v>51</v>
      </c>
      <c r="AD33" s="245" t="s">
        <v>52</v>
      </c>
    </row>
    <row r="34" spans="2:30" ht="27" customHeight="1">
      <c r="B34" s="354" t="b">
        <f>NOT(method_reg="Метод сравнения аналогов")</f>
        <v>1</v>
      </c>
      <c r="E34" s="461">
        <v>27.75</v>
      </c>
      <c r="AB34" s="243" t="s">
        <v>31</v>
      </c>
      <c r="AC34" s="244" t="s">
        <v>53</v>
      </c>
      <c r="AD34" s="245" t="s">
        <v>54</v>
      </c>
    </row>
    <row r="35" spans="2:30" ht="27" hidden="1" customHeight="1">
      <c r="B35" s="354" t="b">
        <f>method_reg="Метод сравнения аналогов"</f>
        <v>0</v>
      </c>
      <c r="E35" s="461">
        <v>27.75</v>
      </c>
      <c r="AB35" s="243" t="s">
        <v>42</v>
      </c>
      <c r="AC35" s="244" t="s">
        <v>55</v>
      </c>
      <c r="AD35" s="245" t="s">
        <v>56</v>
      </c>
    </row>
    <row r="36" spans="2:30" ht="27" customHeight="1">
      <c r="B36" s="354" t="b">
        <f>NOT(method_reg="Метод сравнения аналогов")</f>
        <v>1</v>
      </c>
      <c r="E36" s="461">
        <v>27.75</v>
      </c>
      <c r="AB36" s="243" t="s">
        <v>31</v>
      </c>
      <c r="AC36" s="244" t="s">
        <v>57</v>
      </c>
      <c r="AD36" s="245" t="s">
        <v>58</v>
      </c>
    </row>
    <row r="37" spans="2:30" ht="27" customHeight="1">
      <c r="B37" s="354" t="b">
        <f>NOT(method_reg="Метод сравнения аналогов")</f>
        <v>1</v>
      </c>
      <c r="E37" s="461">
        <v>27.75</v>
      </c>
      <c r="AB37" s="243" t="s">
        <v>31</v>
      </c>
      <c r="AC37" s="244" t="s">
        <v>59</v>
      </c>
      <c r="AD37" s="245" t="s">
        <v>60</v>
      </c>
    </row>
    <row r="38" spans="2:30" ht="27" hidden="1" customHeight="1">
      <c r="B38" s="354" t="b">
        <f>AND(OR(god=first_year,method_reg="Метод обеспечения доходности инвестированного капитала"),NOT(method_reg="Метод сравнения аналогов"))</f>
        <v>0</v>
      </c>
      <c r="E38" s="461">
        <v>27.75</v>
      </c>
      <c r="AB38" s="243" t="s">
        <v>42</v>
      </c>
      <c r="AC38" s="244" t="s">
        <v>61</v>
      </c>
      <c r="AD38" s="272" t="s">
        <v>62</v>
      </c>
    </row>
    <row r="39" spans="2:30" ht="27" hidden="1" customHeight="1">
      <c r="B39" s="354" t="b">
        <f>AND(OR(god=first_year,method_reg="Метод обеспечения доходности инвестированного капитала"),NOT(method_reg="Метод сравнения аналогов"))</f>
        <v>0</v>
      </c>
      <c r="E39" s="461">
        <v>27.75</v>
      </c>
      <c r="AB39" s="243" t="s">
        <v>42</v>
      </c>
      <c r="AC39" s="244" t="s">
        <v>63</v>
      </c>
      <c r="AD39" s="272" t="s">
        <v>64</v>
      </c>
    </row>
    <row r="40" spans="2:30" ht="27" hidden="1" customHeight="1">
      <c r="B40" s="354" t="b">
        <f>AND(OR(god=first_year,method_reg="Метод обеспечения доходности инвестированного капитала"),NOT(method_reg="Метод сравнения аналогов"),STATUS_GO="да")</f>
        <v>0</v>
      </c>
      <c r="E40" s="461">
        <v>27.75</v>
      </c>
      <c r="AB40" s="243" t="s">
        <v>42</v>
      </c>
      <c r="AC40" s="244" t="s">
        <v>65</v>
      </c>
      <c r="AD40" s="272" t="s">
        <v>66</v>
      </c>
    </row>
    <row r="41" spans="2:30" ht="27" customHeight="1">
      <c r="B41" s="354" t="b">
        <f>NOT(method_reg="Метод сравнения аналогов")</f>
        <v>1</v>
      </c>
      <c r="E41" s="461">
        <v>27.75</v>
      </c>
      <c r="AB41" s="243" t="s">
        <v>31</v>
      </c>
      <c r="AC41" s="244" t="s">
        <v>67</v>
      </c>
      <c r="AD41" s="245" t="s">
        <v>68</v>
      </c>
    </row>
    <row r="42" spans="2:30" ht="27" hidden="1" customHeight="1">
      <c r="B42" s="354" t="b">
        <f>AND(method_reg&lt;&gt;"Метод сравнения аналогов",OR(HAS_DOC5="да",HAS_DOC6="да"))</f>
        <v>0</v>
      </c>
      <c r="E42" s="461">
        <v>27.75</v>
      </c>
      <c r="AB42" s="243" t="s">
        <v>42</v>
      </c>
      <c r="AC42" s="244" t="s">
        <v>69</v>
      </c>
      <c r="AD42" s="245" t="s">
        <v>70</v>
      </c>
    </row>
    <row r="43" spans="2:30" ht="27" customHeight="1">
      <c r="B43" s="354" t="b">
        <f>AND(NOT(method_reg="Метод экономически обоснованных расходов"),NOT(method_reg="Метод сравнения аналогов"))</f>
        <v>1</v>
      </c>
      <c r="E43" s="461">
        <v>27.75</v>
      </c>
      <c r="AB43" s="243" t="s">
        <v>42</v>
      </c>
      <c r="AC43" s="244" t="s">
        <v>71</v>
      </c>
      <c r="AD43" s="245" t="s">
        <v>72</v>
      </c>
    </row>
    <row r="44" spans="2:30" ht="27" customHeight="1">
      <c r="B44" s="354" t="b">
        <f>AND(NOT(method_reg="Метод сравнения аналогов"),hasVO)</f>
        <v>1</v>
      </c>
      <c r="E44" s="461">
        <v>27.75</v>
      </c>
      <c r="AB44" s="243" t="s">
        <v>42</v>
      </c>
      <c r="AC44" s="244" t="s">
        <v>73</v>
      </c>
      <c r="AD44" s="245" t="s">
        <v>74</v>
      </c>
    </row>
    <row r="45" spans="2:30" ht="27" customHeight="1">
      <c r="B45" s="354" t="b">
        <f>AND(NOT(method_reg="Метод экономически обоснованных расходов"),NOT(method_reg="Метод сравнения аналогов"))</f>
        <v>1</v>
      </c>
      <c r="E45" s="461">
        <v>27.75</v>
      </c>
      <c r="AB45" s="243" t="s">
        <v>31</v>
      </c>
      <c r="AC45" s="244" t="s">
        <v>75</v>
      </c>
      <c r="AD45" s="245" t="s">
        <v>76</v>
      </c>
    </row>
    <row r="46" spans="2:30" ht="27" hidden="1" customHeight="1">
      <c r="B46" s="354" t="b">
        <f>method_reg="Метод экономически обоснованных расходов"</f>
        <v>0</v>
      </c>
      <c r="E46" s="461">
        <v>27.75</v>
      </c>
      <c r="AB46" s="243" t="s">
        <v>42</v>
      </c>
      <c r="AC46" s="244" t="s">
        <v>77</v>
      </c>
      <c r="AD46" s="245" t="s">
        <v>78</v>
      </c>
    </row>
    <row r="47" spans="2:30" ht="27" hidden="1" customHeight="1">
      <c r="B47" s="354" t="b">
        <f>AND(first_year=god,OR(method_reg="Метод обеспечения доходности инвестированного капитала",method_reg="Метод индексации"))</f>
        <v>0</v>
      </c>
      <c r="E47" s="461">
        <v>27.75</v>
      </c>
      <c r="AB47" s="243" t="s">
        <v>42</v>
      </c>
      <c r="AC47" s="244" t="s">
        <v>79</v>
      </c>
      <c r="AD47" s="245" t="s">
        <v>80</v>
      </c>
    </row>
    <row r="48" spans="2:30" ht="27.2" customHeight="1">
      <c r="B48" s="389" t="b">
        <f>AND(OR(method_reg="Метод индексации",method_reg="Метод обеспечения доходности инвестированного капитала"),first_year&lt;&gt;god)</f>
        <v>1</v>
      </c>
      <c r="E48" s="461">
        <v>27.8</v>
      </c>
      <c r="AB48" s="243" t="s">
        <v>31</v>
      </c>
      <c r="AC48" s="244" t="s">
        <v>81</v>
      </c>
      <c r="AD48" s="245" t="s">
        <v>80</v>
      </c>
    </row>
    <row r="49" spans="2:31" ht="27" customHeight="1">
      <c r="B49" s="354" t="b">
        <f>NOT(method_reg="Метод сравнения аналогов")</f>
        <v>1</v>
      </c>
      <c r="E49" s="461">
        <v>27.75</v>
      </c>
      <c r="AB49" s="243" t="s">
        <v>31</v>
      </c>
      <c r="AC49" s="244" t="s">
        <v>82</v>
      </c>
      <c r="AD49" s="245" t="s">
        <v>83</v>
      </c>
    </row>
    <row r="50" spans="2:31" ht="27" customHeight="1">
      <c r="B50" s="354" t="b">
        <f>OR(method_reg="Метод индексации",method_reg="Метод обеспечения доходности инвестированного капитала")</f>
        <v>1</v>
      </c>
      <c r="E50" s="461">
        <v>27.75</v>
      </c>
      <c r="AB50" s="243" t="s">
        <v>31</v>
      </c>
      <c r="AC50" s="244" t="s">
        <v>84</v>
      </c>
      <c r="AD50" s="245" t="s">
        <v>85</v>
      </c>
    </row>
    <row r="51" spans="2:31" ht="27" customHeight="1">
      <c r="B51" s="354" t="b">
        <f>OR(method_reg="Метод индексации",method_reg="Метод обеспечения доходности инвестированного капитала")</f>
        <v>1</v>
      </c>
      <c r="E51" s="461">
        <v>27.75</v>
      </c>
      <c r="AB51" s="243" t="s">
        <v>42</v>
      </c>
      <c r="AC51" s="244" t="s">
        <v>86</v>
      </c>
      <c r="AD51" s="245" t="s">
        <v>87</v>
      </c>
    </row>
    <row r="52" spans="2:31" ht="27" customHeight="1">
      <c r="B52" s="354" t="b">
        <f>OR(method_reg="Метод сравнения аналогов",AND(method_reg="Метод индексации",STATUS_GO="да"))</f>
        <v>0</v>
      </c>
      <c r="E52" s="461">
        <v>27.75</v>
      </c>
      <c r="AB52" s="243" t="s">
        <v>42</v>
      </c>
      <c r="AC52" s="244" t="s">
        <v>88</v>
      </c>
      <c r="AD52" s="245" t="s">
        <v>89</v>
      </c>
    </row>
    <row r="53" spans="2:31" ht="27" hidden="1" customHeight="1">
      <c r="B53" s="354" t="b">
        <f>method_reg="Метод сравнения аналогов"</f>
        <v>0</v>
      </c>
      <c r="E53" s="461">
        <v>27.75</v>
      </c>
      <c r="AB53" s="243" t="s">
        <v>42</v>
      </c>
      <c r="AC53" s="244" t="s">
        <v>90</v>
      </c>
      <c r="AD53" s="272" t="s">
        <v>91</v>
      </c>
    </row>
    <row r="54" spans="2:31" ht="12.75" customHeight="1">
      <c r="AE54" s="4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B8118-DA2C-9E3B-4D16-7DE7DA4305CB}">
  <sheetPr>
    <tabColor theme="3" tint="0.59999389629810485"/>
    <pageSetUpPr fitToPage="1"/>
  </sheetPr>
  <dimension ref="A1:BA237"/>
  <sheetViews>
    <sheetView showGridLines="0" topLeftCell="AB36" workbookViewId="0">
      <selection activeCell="AE55" sqref="AE55"/>
    </sheetView>
  </sheetViews>
  <sheetFormatPr defaultColWidth="9.140625" defaultRowHeight="19.5" customHeight="1"/>
  <cols>
    <col min="1" max="1" width="13.7109375" style="44" hidden="1" customWidth="1"/>
    <col min="2" max="2" width="14.28515625" style="341" hidden="1" customWidth="1"/>
    <col min="3" max="4" width="3.5703125" style="44" hidden="1" customWidth="1"/>
    <col min="5" max="5" width="4.7109375" style="462" hidden="1" customWidth="1"/>
    <col min="6" max="21" width="3.5703125" style="44" hidden="1" customWidth="1"/>
    <col min="22" max="22" width="5.85546875" style="44" hidden="1" customWidth="1"/>
    <col min="23" max="23" width="12.140625" style="44" hidden="1" customWidth="1"/>
    <col min="24" max="25" width="6.140625" style="44" hidden="1" customWidth="1"/>
    <col min="26" max="26" width="12.5703125" hidden="1" customWidth="1"/>
    <col min="27" max="27" width="3.42578125" style="44" customWidth="1"/>
    <col min="28" max="28" width="12" style="78" customWidth="1"/>
    <col min="29" max="29" width="18" style="78" customWidth="1"/>
    <col min="30" max="30" width="56.85546875" style="78" customWidth="1"/>
    <col min="31" max="31" width="65" style="78" customWidth="1"/>
    <col min="32" max="32" width="3" style="299" customWidth="1"/>
    <col min="33" max="33" width="29.85546875" style="44" hidden="1" customWidth="1"/>
    <col min="34" max="34" width="18.5703125" style="44" hidden="1" customWidth="1"/>
    <col min="35" max="53" width="12" style="44" hidden="1" customWidth="1"/>
  </cols>
  <sheetData>
    <row r="1" spans="1:53" ht="11.25" hidden="1" customHeight="1">
      <c r="E1" s="44"/>
      <c r="V1" s="44" t="s">
        <v>92</v>
      </c>
      <c r="W1" s="367" t="s">
        <v>93</v>
      </c>
      <c r="X1" s="366" t="s">
        <v>94</v>
      </c>
      <c r="Y1" s="366" t="s">
        <v>95</v>
      </c>
      <c r="Z1" s="391" t="s">
        <v>96</v>
      </c>
      <c r="AA1" s="391" t="s">
        <v>97</v>
      </c>
      <c r="AD1" s="390" t="s">
        <v>98</v>
      </c>
      <c r="AE1" s="390" t="s">
        <v>99</v>
      </c>
      <c r="AF1" s="367" t="s">
        <v>100</v>
      </c>
    </row>
    <row r="2" spans="1:53" s="341" customFormat="1" ht="11.25" hidden="1" customHeight="1">
      <c r="B2" s="353" t="s">
        <v>19</v>
      </c>
      <c r="W2" s="34"/>
      <c r="X2" s="34"/>
      <c r="Y2" s="34"/>
      <c r="Z2" s="423"/>
      <c r="AA2" s="34"/>
      <c r="AB2" s="65"/>
      <c r="AC2" s="65"/>
      <c r="AD2" s="65"/>
      <c r="AE2" s="65"/>
      <c r="AF2" s="369"/>
      <c r="AG2" s="34"/>
      <c r="AH2" s="34"/>
      <c r="AI2" s="34"/>
      <c r="AJ2" s="34"/>
      <c r="AK2" s="34"/>
      <c r="AL2" s="34"/>
      <c r="AM2" s="34"/>
      <c r="AN2" s="34"/>
      <c r="AO2" s="34"/>
      <c r="AP2" s="34"/>
      <c r="AQ2" s="34"/>
      <c r="AR2" s="34"/>
      <c r="AS2" s="34"/>
      <c r="AT2" s="34"/>
      <c r="AU2" s="34"/>
      <c r="AV2" s="34"/>
      <c r="AW2" s="34"/>
      <c r="AX2" s="34"/>
      <c r="AY2" s="34"/>
      <c r="AZ2" s="34"/>
      <c r="BA2" s="34"/>
    </row>
    <row r="3" spans="1:53" s="341" customFormat="1" ht="11.25" hidden="1" customHeight="1">
      <c r="B3" s="65"/>
      <c r="W3" s="34"/>
      <c r="X3" s="34"/>
      <c r="Y3" s="34"/>
      <c r="Z3" s="423"/>
      <c r="AA3" s="34"/>
      <c r="AB3" s="65"/>
      <c r="AC3" s="65"/>
      <c r="AD3" s="65"/>
      <c r="AE3" s="65"/>
      <c r="AF3" s="369"/>
      <c r="AG3" s="34"/>
      <c r="AH3" s="34"/>
      <c r="AI3" s="34"/>
      <c r="AJ3" s="34"/>
      <c r="AK3" s="34"/>
      <c r="AL3" s="34"/>
      <c r="AM3" s="34"/>
      <c r="AN3" s="34"/>
      <c r="AO3" s="34"/>
      <c r="AP3" s="34"/>
      <c r="AQ3" s="34"/>
      <c r="AR3" s="34"/>
      <c r="AS3" s="34"/>
      <c r="AT3" s="34"/>
      <c r="AU3" s="34"/>
      <c r="AV3" s="34"/>
      <c r="AW3" s="34"/>
      <c r="AX3" s="34"/>
      <c r="AY3" s="34"/>
      <c r="AZ3" s="34"/>
      <c r="BA3" s="34"/>
    </row>
    <row r="4" spans="1:53" s="341" customFormat="1" ht="11.25" hidden="1" customHeight="1">
      <c r="B4" s="65"/>
      <c r="W4" s="34"/>
      <c r="X4" s="34"/>
      <c r="Y4" s="34"/>
      <c r="Z4" s="423"/>
      <c r="AA4" s="34"/>
      <c r="AB4" s="65"/>
      <c r="AC4" s="65"/>
      <c r="AD4" s="65"/>
      <c r="AE4" s="65"/>
      <c r="AF4" s="369"/>
      <c r="AG4" s="34"/>
      <c r="AH4" s="34"/>
      <c r="AI4" s="34"/>
      <c r="AJ4" s="34"/>
      <c r="AK4" s="34"/>
      <c r="AL4" s="34"/>
      <c r="AM4" s="34"/>
      <c r="AN4" s="34"/>
      <c r="AO4" s="34"/>
      <c r="AP4" s="34"/>
      <c r="AQ4" s="34"/>
      <c r="AR4" s="34"/>
      <c r="AS4" s="34"/>
      <c r="AT4" s="34"/>
      <c r="AU4" s="34"/>
      <c r="AV4" s="34"/>
      <c r="AW4" s="34"/>
      <c r="AX4" s="34"/>
      <c r="AY4" s="34"/>
      <c r="AZ4" s="34"/>
      <c r="BA4" s="34"/>
    </row>
    <row r="5" spans="1:53" s="463" customFormat="1" ht="11.25" hidden="1" customHeight="1">
      <c r="A5" s="341"/>
      <c r="B5" s="65"/>
      <c r="C5" s="341"/>
      <c r="D5" s="341"/>
      <c r="E5" s="464" t="s">
        <v>20</v>
      </c>
      <c r="V5" s="341"/>
      <c r="W5" s="466"/>
      <c r="X5" s="466"/>
      <c r="Y5" s="466"/>
      <c r="Z5" s="467"/>
      <c r="AA5" s="466">
        <v>3.43</v>
      </c>
      <c r="AB5" s="466">
        <v>12</v>
      </c>
      <c r="AC5" s="466">
        <v>18</v>
      </c>
      <c r="AD5" s="466">
        <v>56.86</v>
      </c>
      <c r="AE5" s="466">
        <v>65</v>
      </c>
      <c r="AF5" s="466">
        <v>3</v>
      </c>
      <c r="AG5" s="466"/>
      <c r="AH5" s="466"/>
      <c r="AI5" s="466"/>
      <c r="AJ5" s="466"/>
      <c r="AK5" s="466"/>
      <c r="AL5" s="466"/>
      <c r="AM5" s="466"/>
      <c r="AN5" s="466"/>
      <c r="AO5" s="466"/>
      <c r="AP5" s="466"/>
      <c r="AQ5" s="466"/>
      <c r="AR5" s="466"/>
      <c r="AS5" s="466"/>
      <c r="AT5" s="466"/>
      <c r="AU5" s="466"/>
      <c r="AV5" s="466"/>
      <c r="AW5" s="466"/>
      <c r="AX5" s="466"/>
      <c r="AY5" s="466"/>
      <c r="AZ5" s="466"/>
      <c r="BA5" s="466"/>
    </row>
    <row r="6" spans="1:53" s="341" customFormat="1" ht="11.25" hidden="1" customHeight="1">
      <c r="B6" s="65"/>
      <c r="E6" s="463"/>
      <c r="W6" s="34"/>
      <c r="X6" s="34"/>
      <c r="Y6" s="34"/>
      <c r="Z6" s="423"/>
      <c r="AA6" s="34"/>
      <c r="AB6" s="65"/>
      <c r="AC6" s="65"/>
      <c r="AD6" s="65"/>
      <c r="AE6" s="65"/>
      <c r="AF6" s="369"/>
      <c r="AG6" s="34"/>
      <c r="AH6" s="34"/>
      <c r="AI6" s="34"/>
      <c r="AJ6" s="34"/>
      <c r="AK6" s="34"/>
      <c r="AL6" s="34"/>
      <c r="AM6" s="34"/>
      <c r="AN6" s="34"/>
      <c r="AO6" s="34"/>
      <c r="AP6" s="34"/>
      <c r="AQ6" s="34"/>
      <c r="AR6" s="34"/>
      <c r="AS6" s="34"/>
      <c r="AT6" s="34"/>
      <c r="AU6" s="34"/>
      <c r="AV6" s="34"/>
      <c r="AW6" s="34"/>
      <c r="AX6" s="34"/>
      <c r="AY6" s="34"/>
      <c r="AZ6" s="34"/>
      <c r="BA6" s="34"/>
    </row>
    <row r="7" spans="1:53" s="341" customFormat="1" ht="11.25" hidden="1" customHeight="1">
      <c r="B7" s="65"/>
      <c r="E7" s="463"/>
      <c r="W7" s="34"/>
      <c r="X7" s="34"/>
      <c r="Y7" s="34"/>
      <c r="Z7" s="423"/>
      <c r="AA7" s="34"/>
      <c r="AB7" s="65"/>
      <c r="AC7" s="65"/>
      <c r="AD7" s="65"/>
      <c r="AE7" s="65"/>
      <c r="AF7" s="369"/>
      <c r="AG7" s="34"/>
      <c r="AH7" s="34"/>
      <c r="AI7" s="34"/>
      <c r="AJ7" s="34"/>
      <c r="AK7" s="34"/>
      <c r="AL7" s="34"/>
      <c r="AM7" s="34"/>
      <c r="AN7" s="34"/>
      <c r="AO7" s="34"/>
      <c r="AP7" s="34"/>
      <c r="AQ7" s="34"/>
      <c r="AR7" s="34"/>
      <c r="AS7" s="34"/>
      <c r="AT7" s="34"/>
      <c r="AU7" s="34"/>
      <c r="AV7" s="34"/>
      <c r="AW7" s="34"/>
      <c r="AX7" s="34"/>
      <c r="AY7" s="34"/>
      <c r="AZ7" s="34"/>
      <c r="BA7" s="34"/>
    </row>
    <row r="8" spans="1:53" s="341" customFormat="1" ht="11.25" hidden="1" customHeight="1">
      <c r="B8" s="65"/>
      <c r="E8" s="463"/>
      <c r="W8" s="34"/>
      <c r="X8" s="34"/>
      <c r="Y8" s="34"/>
      <c r="Z8" s="423"/>
      <c r="AA8" s="34"/>
      <c r="AB8" s="65"/>
      <c r="AC8" s="65"/>
      <c r="AD8" s="65"/>
      <c r="AE8" s="65"/>
      <c r="AF8" s="369"/>
      <c r="AG8" s="34"/>
      <c r="AH8" s="34"/>
      <c r="AI8" s="34"/>
      <c r="AJ8" s="34"/>
      <c r="AK8" s="34"/>
      <c r="AL8" s="34"/>
      <c r="AM8" s="34"/>
      <c r="AN8" s="34"/>
      <c r="AO8" s="34"/>
      <c r="AP8" s="34"/>
      <c r="AQ8" s="34"/>
      <c r="AR8" s="34"/>
      <c r="AS8" s="34"/>
      <c r="AT8" s="34"/>
      <c r="AU8" s="34"/>
      <c r="AV8" s="34"/>
      <c r="AW8" s="34"/>
      <c r="AX8" s="34"/>
      <c r="AY8" s="34"/>
      <c r="AZ8" s="34"/>
      <c r="BA8" s="34"/>
    </row>
    <row r="9" spans="1:53" s="341" customFormat="1" ht="11.25" hidden="1" customHeight="1">
      <c r="B9" s="65"/>
      <c r="E9" s="463"/>
      <c r="W9" s="34"/>
      <c r="X9" s="34"/>
      <c r="Y9" s="34"/>
      <c r="Z9" s="423"/>
      <c r="AA9" s="34"/>
      <c r="AB9" s="65"/>
      <c r="AC9" s="65"/>
      <c r="AD9" s="65"/>
      <c r="AE9" s="65"/>
      <c r="AF9" s="369"/>
      <c r="AG9" s="34"/>
      <c r="AH9" s="34"/>
      <c r="AI9" s="34"/>
      <c r="AJ9" s="34"/>
      <c r="AK9" s="34"/>
      <c r="AL9" s="34"/>
      <c r="AM9" s="34"/>
      <c r="AN9" s="34"/>
      <c r="AO9" s="34"/>
      <c r="AP9" s="34"/>
      <c r="AQ9" s="34"/>
      <c r="AR9" s="34"/>
      <c r="AS9" s="34"/>
      <c r="AT9" s="34"/>
      <c r="AU9" s="34"/>
      <c r="AV9" s="34"/>
      <c r="AW9" s="34"/>
      <c r="AX9" s="34"/>
      <c r="AY9" s="34"/>
      <c r="AZ9" s="34"/>
      <c r="BA9" s="34"/>
    </row>
    <row r="10" spans="1:53" s="341" customFormat="1" ht="11.25" hidden="1" customHeight="1">
      <c r="B10" s="65"/>
      <c r="E10" s="463"/>
      <c r="W10" s="34"/>
      <c r="X10" s="34"/>
      <c r="Y10" s="34"/>
      <c r="Z10" s="423"/>
      <c r="AA10" s="34"/>
      <c r="AB10" s="65"/>
      <c r="AC10" s="65"/>
      <c r="AD10" s="65"/>
      <c r="AE10" s="65"/>
      <c r="AF10" s="369"/>
      <c r="AG10" s="34"/>
      <c r="AH10" s="34"/>
      <c r="AI10" s="34"/>
      <c r="AJ10" s="34"/>
      <c r="AK10" s="34"/>
      <c r="AL10" s="34"/>
      <c r="AM10" s="34"/>
      <c r="AN10" s="34"/>
      <c r="AO10" s="34"/>
      <c r="AP10" s="34"/>
      <c r="AQ10" s="34"/>
      <c r="AR10" s="34"/>
      <c r="AS10" s="34"/>
      <c r="AT10" s="34"/>
      <c r="AU10" s="34"/>
      <c r="AV10" s="34"/>
      <c r="AW10" s="34"/>
      <c r="AX10" s="34"/>
      <c r="AY10" s="34"/>
      <c r="AZ10" s="34"/>
      <c r="BA10" s="34"/>
    </row>
    <row r="11" spans="1:53" s="341" customFormat="1" ht="11.25" hidden="1" customHeight="1">
      <c r="B11" s="65"/>
      <c r="E11" s="463"/>
      <c r="W11" s="34"/>
      <c r="X11" s="34"/>
      <c r="Y11" s="34"/>
      <c r="Z11" s="423"/>
      <c r="AA11" s="34"/>
      <c r="AB11" s="65"/>
      <c r="AC11" s="65"/>
      <c r="AD11" s="65"/>
      <c r="AE11" s="65"/>
      <c r="AF11" s="369"/>
      <c r="AG11" s="34"/>
      <c r="AH11" s="34"/>
      <c r="AI11" s="34"/>
      <c r="AJ11" s="34"/>
      <c r="AK11" s="34"/>
      <c r="AL11" s="34"/>
      <c r="AM11" s="34"/>
      <c r="AN11" s="34"/>
      <c r="AO11" s="34"/>
      <c r="AP11" s="34"/>
      <c r="AQ11" s="34"/>
      <c r="AR11" s="34"/>
      <c r="AS11" s="34"/>
      <c r="AT11" s="34"/>
      <c r="AU11" s="34"/>
      <c r="AV11" s="34"/>
      <c r="AW11" s="34"/>
      <c r="AX11" s="34"/>
      <c r="AY11" s="34"/>
      <c r="AZ11" s="34"/>
      <c r="BA11" s="34"/>
    </row>
    <row r="12" spans="1:53" s="341" customFormat="1" ht="11.25" hidden="1" customHeight="1">
      <c r="B12" s="65"/>
      <c r="E12" s="463"/>
      <c r="W12" s="34"/>
      <c r="X12" s="34"/>
      <c r="Y12" s="34"/>
      <c r="Z12" s="423"/>
      <c r="AA12" s="34"/>
      <c r="AB12" s="65"/>
      <c r="AC12" s="65"/>
      <c r="AD12" s="65"/>
      <c r="AE12" s="65"/>
      <c r="AF12" s="369"/>
      <c r="AG12" s="34"/>
      <c r="AH12" s="34"/>
      <c r="AI12" s="34"/>
      <c r="AJ12" s="34"/>
      <c r="AK12" s="34"/>
      <c r="AL12" s="34"/>
      <c r="AM12" s="34"/>
      <c r="AN12" s="34"/>
      <c r="AO12" s="34"/>
      <c r="AP12" s="34"/>
      <c r="AQ12" s="34"/>
      <c r="AR12" s="34"/>
      <c r="AS12" s="34"/>
      <c r="AT12" s="34"/>
      <c r="AU12" s="34"/>
      <c r="AV12" s="34"/>
      <c r="AW12" s="34"/>
      <c r="AX12" s="34"/>
      <c r="AY12" s="34"/>
      <c r="AZ12" s="34"/>
      <c r="BA12" s="34"/>
    </row>
    <row r="13" spans="1:53" s="341" customFormat="1" ht="11.25" hidden="1" customHeight="1">
      <c r="B13" s="65"/>
      <c r="E13" s="463"/>
      <c r="W13" s="34"/>
      <c r="X13" s="34"/>
      <c r="Y13" s="34"/>
      <c r="Z13" s="423"/>
      <c r="AA13" s="34"/>
      <c r="AB13" s="65"/>
      <c r="AC13" s="65"/>
      <c r="AD13" s="65"/>
      <c r="AE13" s="65"/>
      <c r="AF13" s="369"/>
      <c r="AG13" s="34"/>
      <c r="AH13" s="34"/>
      <c r="AI13" s="34"/>
      <c r="AJ13" s="34"/>
      <c r="AK13" s="34"/>
      <c r="AL13" s="34"/>
      <c r="AM13" s="34"/>
      <c r="AN13" s="34"/>
      <c r="AO13" s="34"/>
      <c r="AP13" s="34"/>
      <c r="AQ13" s="34"/>
      <c r="AR13" s="34"/>
      <c r="AS13" s="34"/>
      <c r="AT13" s="34"/>
      <c r="AU13" s="34"/>
      <c r="AV13" s="34"/>
      <c r="AW13" s="34"/>
      <c r="AX13" s="34"/>
      <c r="AY13" s="34"/>
      <c r="AZ13" s="34"/>
      <c r="BA13" s="34"/>
    </row>
    <row r="14" spans="1:53" s="341" customFormat="1" ht="11.25" hidden="1" customHeight="1">
      <c r="B14" s="65"/>
      <c r="E14" s="463"/>
      <c r="W14" s="34"/>
      <c r="X14" s="34"/>
      <c r="Y14" s="34"/>
      <c r="Z14" s="423"/>
      <c r="AA14" s="34"/>
      <c r="AB14" s="65"/>
      <c r="AC14" s="65"/>
      <c r="AD14" s="65"/>
      <c r="AE14" s="65"/>
      <c r="AF14" s="369"/>
      <c r="AG14" s="34"/>
      <c r="AH14" s="34"/>
      <c r="AI14" s="34"/>
      <c r="AJ14" s="34"/>
      <c r="AK14" s="34"/>
      <c r="AL14" s="34"/>
      <c r="AM14" s="34"/>
      <c r="AN14" s="34"/>
      <c r="AO14" s="34"/>
      <c r="AP14" s="34"/>
      <c r="AQ14" s="34"/>
      <c r="AR14" s="34"/>
      <c r="AS14" s="34"/>
      <c r="AT14" s="34"/>
      <c r="AU14" s="34"/>
      <c r="AV14" s="34"/>
      <c r="AW14" s="34"/>
      <c r="AX14" s="34"/>
      <c r="AY14" s="34"/>
      <c r="AZ14" s="34"/>
      <c r="BA14" s="34"/>
    </row>
    <row r="15" spans="1:53" s="341" customFormat="1" ht="11.25" hidden="1" customHeight="1">
      <c r="B15" s="65"/>
      <c r="E15" s="463"/>
      <c r="W15" s="34"/>
      <c r="X15" s="34"/>
      <c r="Y15" s="34"/>
      <c r="Z15" s="423"/>
      <c r="AA15" s="34"/>
      <c r="AB15" s="65"/>
      <c r="AC15" s="65"/>
      <c r="AD15" s="65"/>
      <c r="AE15" s="65"/>
      <c r="AF15" s="369"/>
      <c r="AG15" s="34"/>
      <c r="AH15" s="34"/>
      <c r="AI15" s="34"/>
      <c r="AJ15" s="34"/>
      <c r="AK15" s="34"/>
      <c r="AL15" s="34"/>
      <c r="AM15" s="34"/>
      <c r="AN15" s="34"/>
      <c r="AO15" s="34"/>
      <c r="AP15" s="34"/>
      <c r="AQ15" s="34"/>
      <c r="AR15" s="34"/>
      <c r="AS15" s="34"/>
      <c r="AT15" s="34"/>
      <c r="AU15" s="34"/>
      <c r="AV15" s="34"/>
      <c r="AW15" s="34"/>
      <c r="AX15" s="34"/>
      <c r="AY15" s="34"/>
      <c r="AZ15" s="34"/>
      <c r="BA15" s="34"/>
    </row>
    <row r="16" spans="1:53" s="341" customFormat="1" ht="11.25" hidden="1" customHeight="1">
      <c r="B16" s="65"/>
      <c r="E16" s="463"/>
      <c r="W16" s="34"/>
      <c r="X16" s="34"/>
      <c r="Y16" s="34"/>
      <c r="Z16" s="423"/>
      <c r="AA16" s="34"/>
      <c r="AB16" s="65"/>
      <c r="AC16" s="65"/>
      <c r="AD16" s="65"/>
      <c r="AE16" s="65"/>
      <c r="AF16" s="369"/>
      <c r="AG16" s="34"/>
      <c r="AH16" s="34"/>
      <c r="AI16" s="34"/>
      <c r="AJ16" s="34"/>
      <c r="AK16" s="34"/>
      <c r="AL16" s="34"/>
      <c r="AM16" s="34"/>
      <c r="AN16" s="34"/>
      <c r="AO16" s="34"/>
      <c r="AP16" s="34"/>
      <c r="AQ16" s="34"/>
      <c r="AR16" s="34"/>
      <c r="AS16" s="34"/>
      <c r="AT16" s="34"/>
      <c r="AU16" s="34"/>
      <c r="AV16" s="34"/>
      <c r="AW16" s="34"/>
      <c r="AX16" s="34"/>
      <c r="AY16" s="34"/>
      <c r="AZ16" s="34"/>
      <c r="BA16" s="34"/>
    </row>
    <row r="17" spans="2:53" s="341" customFormat="1" ht="11.25" hidden="1" customHeight="1">
      <c r="B17" s="65"/>
      <c r="E17" s="463"/>
      <c r="W17" s="34"/>
      <c r="X17" s="34"/>
      <c r="Y17" s="34"/>
      <c r="Z17" s="423"/>
      <c r="AA17" s="34"/>
      <c r="AB17" s="65"/>
      <c r="AC17" s="65"/>
      <c r="AD17" s="65"/>
      <c r="AE17" s="65"/>
      <c r="AF17" s="369"/>
      <c r="AG17" s="34"/>
      <c r="AH17" s="34"/>
      <c r="AI17" s="34"/>
      <c r="AJ17" s="34"/>
      <c r="AK17" s="34"/>
      <c r="AL17" s="34"/>
      <c r="AM17" s="34"/>
      <c r="AN17" s="34"/>
      <c r="AO17" s="34"/>
      <c r="AP17" s="34"/>
      <c r="AQ17" s="34"/>
      <c r="AR17" s="34"/>
      <c r="AS17" s="34"/>
      <c r="AT17" s="34"/>
      <c r="AU17" s="34"/>
      <c r="AV17" s="34"/>
      <c r="AW17" s="34"/>
      <c r="AX17" s="34"/>
      <c r="AY17" s="34"/>
      <c r="AZ17" s="34"/>
      <c r="BA17" s="34"/>
    </row>
    <row r="18" spans="2:53" s="341" customFormat="1" ht="11.25" hidden="1" customHeight="1">
      <c r="B18" s="65"/>
      <c r="E18" s="463"/>
      <c r="W18" s="34"/>
      <c r="X18" s="34"/>
      <c r="Y18" s="34"/>
      <c r="Z18" s="423"/>
      <c r="AA18" s="34"/>
      <c r="AB18" s="65"/>
      <c r="AC18" s="65"/>
      <c r="AD18" s="65"/>
      <c r="AE18" s="65"/>
      <c r="AF18" s="369"/>
      <c r="AG18" s="34"/>
      <c r="AH18" s="34"/>
      <c r="AI18" s="34"/>
      <c r="AJ18" s="34"/>
      <c r="AK18" s="34"/>
      <c r="AL18" s="34"/>
      <c r="AM18" s="34"/>
      <c r="AN18" s="34"/>
      <c r="AO18" s="34"/>
      <c r="AP18" s="34"/>
      <c r="AQ18" s="34"/>
      <c r="AR18" s="34"/>
      <c r="AS18" s="34"/>
      <c r="AT18" s="34"/>
      <c r="AU18" s="34"/>
      <c r="AV18" s="34"/>
      <c r="AW18" s="34"/>
      <c r="AX18" s="34"/>
      <c r="AY18" s="34"/>
      <c r="AZ18" s="34"/>
      <c r="BA18" s="34"/>
    </row>
    <row r="19" spans="2:53" ht="11.25" hidden="1" customHeight="1"/>
    <row r="20" spans="2:53" ht="11.25" hidden="1" customHeight="1"/>
    <row r="21" spans="2:53" ht="10.9" customHeight="1">
      <c r="E21" s="477">
        <v>11.25</v>
      </c>
      <c r="AA21" s="337"/>
      <c r="AF21" s="44"/>
    </row>
    <row r="22" spans="2:53" ht="18.95" customHeight="1">
      <c r="E22" s="477">
        <v>19.5</v>
      </c>
      <c r="AA22" s="44">
        <v>552</v>
      </c>
      <c r="AB22" s="1025" t="s">
        <v>101</v>
      </c>
      <c r="AC22" s="1026"/>
      <c r="AD22" s="1027"/>
      <c r="AE22" s="205" t="s">
        <v>102</v>
      </c>
      <c r="AF22" s="480" t="str" cm="1">
        <f t="array" ref="AF22">INDEX(TEHSHEET!B1:B90,MATCH(region_name,REGION,0))</f>
        <v>RU42</v>
      </c>
    </row>
    <row r="23" spans="2:53" ht="18.95" customHeight="1">
      <c r="E23" s="477">
        <v>19.5</v>
      </c>
      <c r="AB23" s="360"/>
      <c r="AC23" s="361"/>
      <c r="AD23" s="362" t="s">
        <v>103</v>
      </c>
      <c r="AE23" s="359" t="s">
        <v>104</v>
      </c>
      <c r="AH23" s="44"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44" t="str">
        <f>IF(method_reg="Метод индексации","INDEX",IF(method_reg="Метод экономически обоснованных расходов","EOR",IF(method_reg="Метод сравнения аналогов","ANALOG","RAB")))</f>
        <v>INDEX</v>
      </c>
    </row>
    <row r="24" spans="2:53" ht="18.95" customHeight="1">
      <c r="E24" s="477">
        <v>19.5</v>
      </c>
      <c r="AB24" s="1025" t="s">
        <v>105</v>
      </c>
      <c r="AC24" s="1026"/>
      <c r="AD24" s="1027"/>
      <c r="AE24" s="205">
        <v>2026</v>
      </c>
      <c r="AF24" s="300"/>
      <c r="AI24" s="44" t="str">
        <f>ORG_SHORT_NAME&amp;"_ИНН:"&amp;inn&amp;"_КПП:"&amp;kpp</f>
        <v>ООО "Энергосервис г. Гурьевска"_ИНН:4202049045_КПП:420201001</v>
      </c>
    </row>
    <row r="25" spans="2:53" ht="18.95" customHeight="1">
      <c r="B25" s="353" t="b">
        <f>AND(NOT(method_reg="Метод экономически обоснованных расходов"),NOT(method_reg="Метод сравнения аналогов"))</f>
        <v>1</v>
      </c>
      <c r="E25" s="477">
        <v>19.5</v>
      </c>
      <c r="AB25" s="1025" t="s">
        <v>106</v>
      </c>
      <c r="AC25" s="1026"/>
      <c r="AD25" s="1027"/>
      <c r="AE25" s="359">
        <v>2024</v>
      </c>
      <c r="AF25" s="482">
        <f>first_year+PERIOD_LENGTH-1</f>
        <v>2028</v>
      </c>
      <c r="AG25" s="44" cm="1">
        <f t="array" ref="AG25">IF(AE236="да",god,last_year)</f>
        <v>2026</v>
      </c>
    </row>
    <row r="26" spans="2:53" ht="18.95" customHeight="1">
      <c r="B26" s="353" t="b">
        <f>AND(NOT(method_reg="Метод экономически обоснованных расходов"),NOT(method_reg="Метод сравнения аналогов"))</f>
        <v>1</v>
      </c>
      <c r="E26" s="477">
        <v>19.5</v>
      </c>
      <c r="AB26" s="1025" t="s">
        <v>107</v>
      </c>
      <c r="AC26" s="1026"/>
      <c r="AD26" s="1027"/>
      <c r="AE26" s="359">
        <v>5</v>
      </c>
      <c r="AF26" s="300"/>
    </row>
    <row r="27" spans="2:53" ht="18.95" customHeight="1">
      <c r="B27" s="353" t="b">
        <f>AND(NOT(method_reg="Метод экономически обоснованных расходов"),NOT(method_reg="Метод сравнения аналогов"),NOT(god=first_year))</f>
        <v>1</v>
      </c>
      <c r="E27" s="477">
        <v>19.5</v>
      </c>
      <c r="AB27" s="1025" t="s">
        <v>108</v>
      </c>
      <c r="AC27" s="1026"/>
      <c r="AD27" s="1027"/>
      <c r="AE27" s="205">
        <f>IF(OR(PERIOD_LENGTH-god+first_year&lt;=0,PERIOD_LENGTH-god+first_year&gt;10),"",PERIOD_LENGTH-god+first_year)</f>
        <v>3</v>
      </c>
      <c r="AF27" s="300"/>
    </row>
    <row r="28" spans="2:53" ht="7.35" customHeight="1">
      <c r="E28" s="477">
        <v>7.5</v>
      </c>
    </row>
    <row r="29" spans="2:53" ht="7.35" customHeight="1">
      <c r="E29" s="477">
        <v>7.5</v>
      </c>
    </row>
    <row r="30" spans="2:53" ht="18.95" customHeight="1">
      <c r="E30" s="477">
        <v>19.5</v>
      </c>
      <c r="AB30" s="1028" t="s">
        <v>109</v>
      </c>
      <c r="AC30" s="1028"/>
      <c r="AD30" s="1028"/>
      <c r="AE30" s="1028"/>
      <c r="AF30" s="301"/>
      <c r="AG30" s="46"/>
      <c r="AH30" s="46"/>
      <c r="AI30" s="46"/>
      <c r="AJ30" s="46"/>
      <c r="AK30" s="46"/>
      <c r="AL30" s="46"/>
    </row>
    <row r="31" spans="2:53" ht="18.95" customHeight="1">
      <c r="E31" s="477">
        <v>19.5</v>
      </c>
      <c r="AB31" s="1029" t="s">
        <v>110</v>
      </c>
      <c r="AC31" s="1029"/>
      <c r="AD31" s="1029"/>
      <c r="AE31" s="1029"/>
      <c r="AF31" s="301"/>
      <c r="AG31" s="46"/>
      <c r="AH31" s="46"/>
      <c r="AI31" s="46"/>
      <c r="AJ31" s="46"/>
      <c r="AK31" s="46"/>
      <c r="AL31" s="46"/>
    </row>
    <row r="32" spans="2:53" ht="18.95" customHeight="1">
      <c r="E32" s="477">
        <v>19.5</v>
      </c>
      <c r="AB32" s="1030" t="s">
        <v>111</v>
      </c>
      <c r="AC32" s="1030"/>
      <c r="AD32" s="1030"/>
      <c r="AE32" s="1030"/>
      <c r="AF32" s="301"/>
      <c r="AG32" s="46"/>
      <c r="AH32" s="46"/>
      <c r="AI32" s="46"/>
      <c r="AJ32" s="46"/>
      <c r="AK32" s="46"/>
      <c r="AL32" s="46"/>
    </row>
    <row r="33" spans="5:38" ht="18.95" customHeight="1">
      <c r="E33" s="477">
        <v>19.5</v>
      </c>
      <c r="Z33">
        <v>463042</v>
      </c>
      <c r="AA33" s="481">
        <v>28976681</v>
      </c>
      <c r="AB33" s="1031" t="s">
        <v>112</v>
      </c>
      <c r="AC33" s="1032"/>
      <c r="AD33" s="1032"/>
      <c r="AE33" s="1032"/>
      <c r="AG33" s="46"/>
      <c r="AH33" s="46"/>
      <c r="AI33" s="46"/>
      <c r="AJ33" s="46"/>
      <c r="AK33" s="46"/>
      <c r="AL33" s="44" t="str">
        <f>IFERROR(region_name&amp;" / "&amp;god&amp;" / "&amp;org&amp;" (ИНН:"&amp;inn&amp;", КПП:"&amp;kpp&amp;") / ДПР: "&amp;first_year&amp;"-"&amp;last_year,"")</f>
        <v>Кемеровская область / 2026 / ООО "Энергосервис г. Гурьевска" (ИНН:4202049045, КПП:420201001) / ДПР: 2024-2028</v>
      </c>
    </row>
    <row r="34" spans="5:38" ht="18.95" customHeight="1">
      <c r="E34" s="477">
        <v>19.5</v>
      </c>
      <c r="AB34" s="1033"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033"/>
      <c r="AD34" s="1033"/>
      <c r="AE34" s="1033"/>
      <c r="AG34" s="46"/>
      <c r="AH34" s="46"/>
      <c r="AI34" s="46"/>
      <c r="AJ34" s="46"/>
      <c r="AK34" s="46"/>
      <c r="AL34" s="46"/>
    </row>
    <row r="35" spans="5:38" ht="18.95" customHeight="1">
      <c r="E35" s="477">
        <v>19.5</v>
      </c>
      <c r="AB35" s="1034"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034"/>
      <c r="AD35" s="1034"/>
      <c r="AE35" s="1034"/>
      <c r="AF35" s="301"/>
      <c r="AG35" s="46"/>
      <c r="AH35" s="46"/>
      <c r="AI35" s="46"/>
      <c r="AJ35" s="46"/>
      <c r="AK35" s="46"/>
      <c r="AL35" s="46"/>
    </row>
    <row r="36" spans="5:38" ht="10.9" customHeight="1">
      <c r="E36" s="477">
        <v>11.25</v>
      </c>
      <c r="AB36" s="1035"/>
      <c r="AC36" s="1036"/>
      <c r="AD36" s="1036"/>
      <c r="AE36" s="1037"/>
      <c r="AF36" s="370"/>
      <c r="AG36" s="48"/>
      <c r="AH36" s="34"/>
      <c r="AI36" s="1023"/>
      <c r="AJ36" s="1023"/>
      <c r="AK36" s="34"/>
      <c r="AL36" s="48"/>
    </row>
    <row r="37" spans="5:38" ht="18.95" customHeight="1">
      <c r="E37" s="477">
        <v>19.5</v>
      </c>
      <c r="AB37" s="1024" t="s">
        <v>113</v>
      </c>
      <c r="AC37" s="1024"/>
      <c r="AD37" s="1024"/>
      <c r="AE37" s="1024"/>
      <c r="AF37" s="371"/>
      <c r="AG37" s="49"/>
      <c r="AH37" s="49"/>
      <c r="AI37" s="49"/>
      <c r="AJ37" s="49"/>
      <c r="AK37" s="49"/>
      <c r="AL37" s="45"/>
    </row>
    <row r="38" spans="5:38" ht="35.1" customHeight="1">
      <c r="E38" s="477">
        <v>36</v>
      </c>
      <c r="AB38" s="1015" t="s">
        <v>114</v>
      </c>
      <c r="AC38" s="1015"/>
      <c r="AD38" s="1015"/>
      <c r="AE38" s="818" t="s">
        <v>115</v>
      </c>
      <c r="AF38" s="372"/>
      <c r="AG38" s="45"/>
      <c r="AH38" s="45"/>
      <c r="AI38" s="45"/>
    </row>
    <row r="39" spans="5:38" ht="35.1" customHeight="1">
      <c r="E39" s="477">
        <v>36</v>
      </c>
      <c r="AB39" s="1015" t="s">
        <v>116</v>
      </c>
      <c r="AC39" s="1015"/>
      <c r="AD39" s="1015"/>
      <c r="AE39" s="818" t="s">
        <v>112</v>
      </c>
      <c r="AF39" s="372"/>
    </row>
    <row r="40" spans="5:38" ht="18.95" customHeight="1">
      <c r="E40" s="477">
        <v>19.5</v>
      </c>
      <c r="AB40" s="1015" t="s">
        <v>117</v>
      </c>
      <c r="AC40" s="1015"/>
      <c r="AD40" s="1015"/>
      <c r="AE40" s="773"/>
      <c r="AF40" s="300"/>
    </row>
    <row r="41" spans="5:38" ht="18.95" customHeight="1">
      <c r="E41" s="477">
        <v>19.5</v>
      </c>
      <c r="AB41" s="1015" t="s">
        <v>118</v>
      </c>
      <c r="AC41" s="1015"/>
      <c r="AD41" s="1015"/>
      <c r="AE41" s="819" t="s">
        <v>119</v>
      </c>
      <c r="AF41" s="300"/>
    </row>
    <row r="42" spans="5:38" ht="18.95" customHeight="1">
      <c r="E42" s="477">
        <v>19.5</v>
      </c>
      <c r="AB42" s="1015" t="s">
        <v>120</v>
      </c>
      <c r="AC42" s="1015"/>
      <c r="AD42" s="1015"/>
      <c r="AE42" s="819" t="s">
        <v>121</v>
      </c>
      <c r="AF42" s="300"/>
    </row>
    <row r="43" spans="5:38" ht="18.95" customHeight="1">
      <c r="E43" s="477">
        <v>19.5</v>
      </c>
      <c r="AB43" s="1015" t="s">
        <v>122</v>
      </c>
      <c r="AC43" s="1015"/>
      <c r="AD43" s="1015"/>
      <c r="AE43" s="819" t="s">
        <v>123</v>
      </c>
      <c r="AF43" s="300"/>
    </row>
    <row r="44" spans="5:38" ht="18.95" customHeight="1">
      <c r="E44" s="477">
        <v>19.5</v>
      </c>
      <c r="AB44" s="1015" t="s">
        <v>124</v>
      </c>
      <c r="AC44" s="1015"/>
      <c r="AD44" s="1015"/>
      <c r="AE44" s="819" t="s">
        <v>125</v>
      </c>
      <c r="AF44" s="300"/>
      <c r="AG44" s="44" t="s">
        <v>126</v>
      </c>
    </row>
    <row r="45" spans="5:38" ht="18.95" customHeight="1">
      <c r="E45" s="477">
        <v>19.5</v>
      </c>
      <c r="AB45" s="1015" t="s">
        <v>127</v>
      </c>
      <c r="AC45" s="1015"/>
      <c r="AD45" s="1015"/>
      <c r="AE45" s="818" t="s">
        <v>128</v>
      </c>
      <c r="AF45" s="300"/>
      <c r="AG45" s="44" t="s">
        <v>129</v>
      </c>
    </row>
    <row r="46" spans="5:38" ht="23.25" customHeight="1">
      <c r="E46" s="477">
        <v>19.5</v>
      </c>
      <c r="AB46" s="1015" t="s">
        <v>130</v>
      </c>
      <c r="AC46" s="1015"/>
      <c r="AD46" s="1015"/>
      <c r="AE46" s="818" t="s">
        <v>131</v>
      </c>
      <c r="AG46" s="44" t="s">
        <v>132</v>
      </c>
    </row>
    <row r="47" spans="5:38" ht="23.25" customHeight="1">
      <c r="E47" s="477">
        <v>19.5</v>
      </c>
      <c r="AB47" s="1015" t="s">
        <v>133</v>
      </c>
      <c r="AC47" s="1015"/>
      <c r="AD47" s="1015"/>
      <c r="AE47" s="818" t="s">
        <v>131</v>
      </c>
      <c r="AG47" s="44" t="s">
        <v>134</v>
      </c>
    </row>
    <row r="48" spans="5:38" ht="18.95" customHeight="1">
      <c r="E48" s="477">
        <v>19.5</v>
      </c>
      <c r="AB48" s="1015" t="s">
        <v>135</v>
      </c>
      <c r="AC48" s="1015"/>
      <c r="AD48" s="1015"/>
      <c r="AE48" s="818" t="s">
        <v>136</v>
      </c>
      <c r="AG48" s="44" t="s">
        <v>137</v>
      </c>
    </row>
    <row r="49" spans="2:33" ht="18.95" customHeight="1">
      <c r="E49" s="477">
        <v>19.5</v>
      </c>
      <c r="AB49" s="1015" t="s">
        <v>138</v>
      </c>
      <c r="AC49" s="1015"/>
      <c r="AD49" s="1015"/>
      <c r="AE49" s="820" t="s">
        <v>139</v>
      </c>
      <c r="AG49" s="44" t="s">
        <v>140</v>
      </c>
    </row>
    <row r="50" spans="2:33" ht="18.95" customHeight="1">
      <c r="E50" s="477">
        <v>19.5</v>
      </c>
      <c r="AB50" s="1015" t="s">
        <v>141</v>
      </c>
      <c r="AC50" s="1015"/>
      <c r="AD50" s="1015"/>
      <c r="AE50" s="818" t="s">
        <v>142</v>
      </c>
      <c r="AG50" s="44" t="s">
        <v>143</v>
      </c>
    </row>
    <row r="51" spans="2:33" ht="18.95" customHeight="1">
      <c r="E51" s="477">
        <v>19.5</v>
      </c>
      <c r="AB51" s="1015" t="s">
        <v>144</v>
      </c>
      <c r="AC51" s="1015"/>
      <c r="AD51" s="1015"/>
      <c r="AE51" s="818" t="s">
        <v>145</v>
      </c>
      <c r="AG51" s="44" t="s">
        <v>146</v>
      </c>
    </row>
    <row r="52" spans="2:33" ht="18.95" customHeight="1">
      <c r="E52" s="477">
        <v>19.5</v>
      </c>
      <c r="AB52" s="1015" t="s">
        <v>147</v>
      </c>
      <c r="AC52" s="1015"/>
      <c r="AD52" s="1015"/>
      <c r="AE52" s="818"/>
      <c r="AG52" s="44" t="s">
        <v>148</v>
      </c>
    </row>
    <row r="53" spans="2:33" ht="18.95" customHeight="1">
      <c r="E53" s="477">
        <v>19.5</v>
      </c>
      <c r="AB53" s="1015" t="s">
        <v>149</v>
      </c>
      <c r="AC53" s="1015"/>
      <c r="AD53" s="35" t="s">
        <v>150</v>
      </c>
      <c r="AE53" s="304" t="s">
        <v>151</v>
      </c>
      <c r="AG53" s="44" t="s">
        <v>152</v>
      </c>
    </row>
    <row r="54" spans="2:33" ht="18.95" customHeight="1">
      <c r="E54" s="477">
        <v>19.5</v>
      </c>
      <c r="AB54" s="1015"/>
      <c r="AC54" s="1015"/>
      <c r="AD54" s="35" t="s">
        <v>153</v>
      </c>
      <c r="AE54" s="304" t="s">
        <v>154</v>
      </c>
      <c r="AG54" s="44" t="s">
        <v>155</v>
      </c>
    </row>
    <row r="55" spans="2:33" ht="18.95" customHeight="1">
      <c r="E55" s="477">
        <v>19.5</v>
      </c>
      <c r="AB55" s="1015"/>
      <c r="AC55" s="1015"/>
      <c r="AD55" s="35" t="s">
        <v>156</v>
      </c>
      <c r="AE55" s="304" t="s">
        <v>157</v>
      </c>
      <c r="AG55" s="44" t="s">
        <v>158</v>
      </c>
    </row>
    <row r="56" spans="2:33" ht="24.95" customHeight="1">
      <c r="E56" s="477">
        <v>25.5</v>
      </c>
      <c r="AB56" s="1015" t="s">
        <v>159</v>
      </c>
      <c r="AC56" s="1015"/>
      <c r="AD56" s="1015"/>
      <c r="AE56" s="304" t="s">
        <v>160</v>
      </c>
      <c r="AF56" s="373"/>
      <c r="AG56" s="44" t="s">
        <v>161</v>
      </c>
    </row>
    <row r="57" spans="2:33" ht="24.95" customHeight="1">
      <c r="E57" s="477">
        <v>25.5</v>
      </c>
      <c r="AB57" s="1015" t="s">
        <v>162</v>
      </c>
      <c r="AC57" s="1015"/>
      <c r="AD57" s="1015"/>
      <c r="AE57" s="304" t="s">
        <v>163</v>
      </c>
      <c r="AF57" s="483"/>
      <c r="AG57" s="428"/>
    </row>
    <row r="58" spans="2:33" ht="18.95" customHeight="1">
      <c r="E58" s="477">
        <v>19.5</v>
      </c>
      <c r="AB58" s="1015" t="s">
        <v>164</v>
      </c>
      <c r="AC58" s="1015"/>
      <c r="AD58" s="1015"/>
      <c r="AE58" s="304" t="s">
        <v>160</v>
      </c>
      <c r="AG58" s="44" t="s">
        <v>165</v>
      </c>
    </row>
    <row r="59" spans="2:33" ht="24.95" customHeight="1">
      <c r="E59" s="477">
        <v>25.5</v>
      </c>
      <c r="AB59" s="1015" t="s">
        <v>166</v>
      </c>
      <c r="AC59" s="1015"/>
      <c r="AD59" s="1015"/>
      <c r="AE59" s="304" t="s">
        <v>160</v>
      </c>
      <c r="AF59" s="373"/>
      <c r="AG59" s="44" t="s">
        <v>167</v>
      </c>
    </row>
    <row r="60" spans="2:33" ht="18.95" customHeight="1">
      <c r="B60" s="353" t="b">
        <f>NOT(method_reg="Метод сравнения аналогов")</f>
        <v>1</v>
      </c>
      <c r="E60" s="477">
        <v>19.5</v>
      </c>
      <c r="F60" s="44" t="s">
        <v>168</v>
      </c>
      <c r="AB60" s="1015" t="s">
        <v>169</v>
      </c>
      <c r="AC60" s="1015"/>
      <c r="AD60" s="1015"/>
      <c r="AE60" s="304" t="s">
        <v>151</v>
      </c>
      <c r="AG60" s="44" t="s">
        <v>170</v>
      </c>
    </row>
    <row r="61" spans="2:33" ht="11.65" hidden="1" customHeight="1">
      <c r="B61" s="353" t="b">
        <f>AND(NOT(method_reg="Метод сравнения аналогов"),STATUS_GO="да")</f>
        <v>0</v>
      </c>
      <c r="E61" s="477">
        <v>12</v>
      </c>
      <c r="AA61" s="476"/>
      <c r="AB61" s="1015" t="s">
        <v>171</v>
      </c>
      <c r="AC61" s="1015"/>
      <c r="AD61" s="1015"/>
      <c r="AE61" s="821" t="s">
        <v>172</v>
      </c>
      <c r="AF61" s="476"/>
    </row>
    <row r="62" spans="2:33" ht="11.65" hidden="1" customHeight="1">
      <c r="B62" s="353" t="b">
        <f>AND(NOT(method_reg="Метод сравнения аналогов"),STATUS_GO="да")</f>
        <v>0</v>
      </c>
      <c r="E62" s="477">
        <v>12</v>
      </c>
      <c r="W62" s="367" t="b">
        <f>ROW(Y62)&gt;ROW(Y$62)</f>
        <v>0</v>
      </c>
      <c r="Y62" s="44" t="s">
        <v>173</v>
      </c>
      <c r="AA62" s="476" t="s">
        <v>174</v>
      </c>
      <c r="AB62" s="1015" t="s">
        <v>171</v>
      </c>
      <c r="AC62" s="1015"/>
      <c r="AD62" s="1015"/>
      <c r="AE62" s="328"/>
      <c r="AF62" s="476"/>
    </row>
    <row r="63" spans="2:33" ht="13.7" hidden="1" customHeight="1">
      <c r="B63" s="353" t="b">
        <f>AND(NOT(method_reg="Метод сравнения аналогов"),STATUS_GO="да")</f>
        <v>0</v>
      </c>
      <c r="E63" s="477">
        <v>14</v>
      </c>
      <c r="F63" s="44" t="s">
        <v>175</v>
      </c>
      <c r="Y63" s="45" t="s">
        <v>176</v>
      </c>
      <c r="AB63" s="196"/>
      <c r="AC63" s="195"/>
      <c r="AD63" s="195"/>
      <c r="AE63" s="282" t="s">
        <v>177</v>
      </c>
      <c r="AF63" s="721"/>
    </row>
    <row r="64" spans="2:33" ht="13.7" hidden="1" customHeight="1">
      <c r="B64" s="353" t="b">
        <f t="shared" ref="B64:B69" si="0">method_reg="Метод сравнения аналогов"</f>
        <v>0</v>
      </c>
      <c r="E64" s="477">
        <v>14</v>
      </c>
      <c r="AB64" s="424"/>
      <c r="AC64" s="425"/>
      <c r="AD64" s="425"/>
      <c r="AE64" s="426"/>
      <c r="AF64" s="721"/>
    </row>
    <row r="65" spans="2:33" ht="18.95" hidden="1" customHeight="1">
      <c r="B65" s="353" t="b">
        <f t="shared" si="0"/>
        <v>0</v>
      </c>
      <c r="E65" s="477">
        <v>19.5</v>
      </c>
      <c r="AB65" s="1043" t="s">
        <v>178</v>
      </c>
      <c r="AC65" s="1043"/>
      <c r="AD65" s="1043"/>
      <c r="AE65" s="550"/>
      <c r="AF65" s="721"/>
      <c r="AG65" s="44" t="s">
        <v>179</v>
      </c>
    </row>
    <row r="66" spans="2:33" ht="18.95" hidden="1" customHeight="1">
      <c r="B66" s="353" t="b">
        <f t="shared" si="0"/>
        <v>0</v>
      </c>
      <c r="E66" s="477">
        <v>19.5</v>
      </c>
      <c r="AB66" s="1043" t="s">
        <v>180</v>
      </c>
      <c r="AC66" s="1043"/>
      <c r="AD66" s="1043"/>
      <c r="AE66" s="550"/>
      <c r="AF66" s="721"/>
      <c r="AG66" s="44" t="s">
        <v>181</v>
      </c>
    </row>
    <row r="67" spans="2:33" ht="18.95" hidden="1" customHeight="1">
      <c r="B67" s="353" t="b">
        <f t="shared" si="0"/>
        <v>0</v>
      </c>
      <c r="E67" s="477">
        <v>19.5</v>
      </c>
      <c r="AB67" s="1043" t="s">
        <v>182</v>
      </c>
      <c r="AC67" s="1043"/>
      <c r="AD67" s="1043"/>
      <c r="AE67" s="550"/>
      <c r="AF67" s="721"/>
      <c r="AG67" s="44" t="s">
        <v>183</v>
      </c>
    </row>
    <row r="68" spans="2:33" ht="18.95" hidden="1" customHeight="1">
      <c r="B68" s="353" t="b">
        <f t="shared" si="0"/>
        <v>0</v>
      </c>
      <c r="E68" s="477">
        <v>19.5</v>
      </c>
      <c r="AB68" s="1015" t="s">
        <v>184</v>
      </c>
      <c r="AC68" s="1015"/>
      <c r="AD68" s="1015"/>
      <c r="AE68" s="329"/>
      <c r="AF68" s="721"/>
      <c r="AG68" s="44" t="s">
        <v>185</v>
      </c>
    </row>
    <row r="69" spans="2:33" ht="18.95" hidden="1" customHeight="1">
      <c r="B69" s="353" t="b">
        <f t="shared" si="0"/>
        <v>0</v>
      </c>
      <c r="E69" s="477">
        <v>19.5</v>
      </c>
      <c r="AB69" s="1015" t="s">
        <v>186</v>
      </c>
      <c r="AC69" s="1015"/>
      <c r="AD69" s="1015"/>
      <c r="AE69" s="822"/>
      <c r="AF69" s="721"/>
      <c r="AG69" s="44" t="s">
        <v>187</v>
      </c>
    </row>
    <row r="70" spans="2:33" ht="13.7" customHeight="1">
      <c r="B70" s="44"/>
      <c r="E70" s="477">
        <v>14</v>
      </c>
      <c r="AB70" s="424"/>
      <c r="AC70" s="425"/>
      <c r="AD70" s="425"/>
      <c r="AE70" s="426"/>
      <c r="AF70" s="721"/>
    </row>
    <row r="71" spans="2:33" ht="18.95" customHeight="1">
      <c r="B71" s="44"/>
      <c r="E71" s="477">
        <v>19.5</v>
      </c>
      <c r="AB71" s="1015" t="s">
        <v>188</v>
      </c>
      <c r="AC71" s="1015"/>
      <c r="AD71" s="1015"/>
      <c r="AE71" s="303" t="s">
        <v>151</v>
      </c>
      <c r="AF71" s="721"/>
      <c r="AG71" s="44" t="s">
        <v>189</v>
      </c>
    </row>
    <row r="72" spans="2:33" ht="18.95" customHeight="1">
      <c r="B72" s="44"/>
      <c r="E72" s="477">
        <v>19.5</v>
      </c>
      <c r="F72" s="44" t="s">
        <v>190</v>
      </c>
      <c r="AB72" s="1015" t="s">
        <v>191</v>
      </c>
      <c r="AC72" s="1015"/>
      <c r="AD72" s="1015"/>
      <c r="AE72" s="303" t="s">
        <v>151</v>
      </c>
      <c r="AF72" s="721"/>
      <c r="AG72" s="44" t="s">
        <v>192</v>
      </c>
    </row>
    <row r="73" spans="2:33" ht="18.95" hidden="1" customHeight="1">
      <c r="B73" s="353" t="b">
        <f t="shared" ref="B73:B83" si="1">HAS_DOC2="да"</f>
        <v>0</v>
      </c>
      <c r="E73" s="477">
        <v>19.5</v>
      </c>
      <c r="AB73" s="1038" t="s">
        <v>193</v>
      </c>
      <c r="AC73" s="1041" t="s">
        <v>194</v>
      </c>
      <c r="AD73" s="1042"/>
      <c r="AE73" s="329"/>
      <c r="AF73" s="721"/>
    </row>
    <row r="74" spans="2:33" ht="18.95" hidden="1" customHeight="1">
      <c r="B74" s="353" t="b">
        <f t="shared" si="1"/>
        <v>0</v>
      </c>
      <c r="E74" s="477">
        <v>19.5</v>
      </c>
      <c r="AB74" s="1039"/>
      <c r="AC74" s="1041" t="s">
        <v>195</v>
      </c>
      <c r="AD74" s="1042"/>
      <c r="AE74" s="330"/>
      <c r="AF74" s="721"/>
    </row>
    <row r="75" spans="2:33" ht="18.95" hidden="1" customHeight="1">
      <c r="B75" s="353" t="b">
        <f t="shared" si="1"/>
        <v>0</v>
      </c>
      <c r="E75" s="477">
        <v>19.5</v>
      </c>
      <c r="AB75" s="1039"/>
      <c r="AC75" s="1041" t="s">
        <v>196</v>
      </c>
      <c r="AD75" s="1042"/>
      <c r="AE75" s="329"/>
      <c r="AF75" s="721"/>
    </row>
    <row r="76" spans="2:33" ht="18.95" hidden="1" customHeight="1">
      <c r="B76" s="353" t="b">
        <f t="shared" si="1"/>
        <v>0</v>
      </c>
      <c r="E76" s="477">
        <v>19.5</v>
      </c>
      <c r="AB76" s="1039"/>
      <c r="AC76" s="1041" t="s">
        <v>197</v>
      </c>
      <c r="AD76" s="1042"/>
      <c r="AE76" s="634"/>
    </row>
    <row r="77" spans="2:33" ht="18.95" hidden="1" customHeight="1">
      <c r="B77" s="353" t="b">
        <f t="shared" si="1"/>
        <v>0</v>
      </c>
      <c r="E77" s="477">
        <v>19.5</v>
      </c>
      <c r="AB77" s="1040"/>
      <c r="AC77" s="1041" t="s">
        <v>198</v>
      </c>
      <c r="AD77" s="1042"/>
      <c r="AE77" s="328"/>
    </row>
    <row r="78" spans="2:33" ht="18.95" hidden="1" customHeight="1">
      <c r="B78" s="353" t="b">
        <f t="shared" si="1"/>
        <v>0</v>
      </c>
      <c r="E78" s="477">
        <v>19.5</v>
      </c>
      <c r="W78" s="367" t="b">
        <f>ROW(Y78)&gt;ROW(Y$78)</f>
        <v>0</v>
      </c>
      <c r="Y78" s="44" t="s">
        <v>173</v>
      </c>
      <c r="AA78" s="1049" t="s">
        <v>174</v>
      </c>
      <c r="AB78" s="1038" t="s">
        <v>193</v>
      </c>
      <c r="AC78" s="1041" t="s">
        <v>194</v>
      </c>
      <c r="AD78" s="1042"/>
      <c r="AE78" s="329"/>
    </row>
    <row r="79" spans="2:33" ht="18.95" hidden="1" customHeight="1">
      <c r="B79" s="353" t="b">
        <f t="shared" si="1"/>
        <v>0</v>
      </c>
      <c r="E79" s="477">
        <v>19.5</v>
      </c>
      <c r="W79" s="367" t="b" cm="1">
        <f t="array" ref="W79">W78</f>
        <v>0</v>
      </c>
      <c r="AA79" s="1049"/>
      <c r="AB79" s="1039"/>
      <c r="AC79" s="1041" t="s">
        <v>195</v>
      </c>
      <c r="AD79" s="1042"/>
      <c r="AE79" s="330"/>
    </row>
    <row r="80" spans="2:33" ht="18.95" hidden="1" customHeight="1">
      <c r="B80" s="353" t="b">
        <f t="shared" si="1"/>
        <v>0</v>
      </c>
      <c r="E80" s="477">
        <v>19.5</v>
      </c>
      <c r="W80" s="367" t="b" cm="1">
        <f t="array" ref="W80">W79</f>
        <v>0</v>
      </c>
      <c r="AA80" s="1049"/>
      <c r="AB80" s="1039"/>
      <c r="AC80" s="1041" t="s">
        <v>196</v>
      </c>
      <c r="AD80" s="1042"/>
      <c r="AE80" s="329"/>
    </row>
    <row r="81" spans="2:33" ht="18.95" hidden="1" customHeight="1">
      <c r="B81" s="353" t="b">
        <f t="shared" si="1"/>
        <v>0</v>
      </c>
      <c r="E81" s="477">
        <v>19.5</v>
      </c>
      <c r="W81" s="367" t="b" cm="1">
        <f t="array" ref="W81">W80</f>
        <v>0</v>
      </c>
      <c r="AA81" s="1049"/>
      <c r="AB81" s="1039"/>
      <c r="AC81" s="1041" t="s">
        <v>197</v>
      </c>
      <c r="AD81" s="1042"/>
      <c r="AE81" s="634"/>
    </row>
    <row r="82" spans="2:33" ht="18.95" hidden="1" customHeight="1">
      <c r="B82" s="353" t="b">
        <f t="shared" si="1"/>
        <v>0</v>
      </c>
      <c r="E82" s="477">
        <v>19.5</v>
      </c>
      <c r="W82" s="367" t="b" cm="1">
        <f t="array" ref="W82">W81</f>
        <v>0</v>
      </c>
      <c r="AA82" s="1049"/>
      <c r="AB82" s="1040"/>
      <c r="AC82" s="1041" t="s">
        <v>198</v>
      </c>
      <c r="AD82" s="1042"/>
      <c r="AE82" s="328"/>
    </row>
    <row r="83" spans="2:33" ht="14.65" hidden="1" customHeight="1">
      <c r="B83" s="353" t="b">
        <f t="shared" si="1"/>
        <v>0</v>
      </c>
      <c r="E83" s="477">
        <v>15</v>
      </c>
      <c r="F83" s="44" t="s">
        <v>190</v>
      </c>
      <c r="Y83" s="45" t="s">
        <v>176</v>
      </c>
      <c r="AB83" s="196"/>
      <c r="AC83" s="195"/>
      <c r="AD83" s="195"/>
      <c r="AE83" s="282" t="s">
        <v>177</v>
      </c>
    </row>
    <row r="84" spans="2:33" ht="18.95" customHeight="1">
      <c r="B84" s="44"/>
      <c r="E84" s="477">
        <v>19.5</v>
      </c>
      <c r="F84" s="44" t="s">
        <v>199</v>
      </c>
      <c r="AB84" s="1015" t="s">
        <v>200</v>
      </c>
      <c r="AC84" s="1015"/>
      <c r="AD84" s="1015"/>
      <c r="AE84" s="303" t="s">
        <v>151</v>
      </c>
      <c r="AG84" s="44" t="s">
        <v>201</v>
      </c>
    </row>
    <row r="85" spans="2:33" ht="18.95" hidden="1" customHeight="1">
      <c r="B85" s="353" t="b">
        <f t="shared" ref="B85:B95" si="2">HAS_DOC3="да"</f>
        <v>0</v>
      </c>
      <c r="E85" s="477">
        <v>19.5</v>
      </c>
      <c r="AB85" s="1022" t="s">
        <v>193</v>
      </c>
      <c r="AC85" s="1015" t="s">
        <v>194</v>
      </c>
      <c r="AD85" s="1015"/>
      <c r="AE85" s="329"/>
    </row>
    <row r="86" spans="2:33" ht="18.95" hidden="1" customHeight="1">
      <c r="B86" s="353" t="b">
        <f t="shared" si="2"/>
        <v>0</v>
      </c>
      <c r="E86" s="477">
        <v>19.5</v>
      </c>
      <c r="AB86" s="1022"/>
      <c r="AC86" s="1015" t="s">
        <v>195</v>
      </c>
      <c r="AD86" s="1015"/>
      <c r="AE86" s="330"/>
    </row>
    <row r="87" spans="2:33" ht="18.95" hidden="1" customHeight="1">
      <c r="B87" s="353" t="b">
        <f t="shared" si="2"/>
        <v>0</v>
      </c>
      <c r="E87" s="477">
        <v>19.5</v>
      </c>
      <c r="AB87" s="1022"/>
      <c r="AC87" s="1015" t="s">
        <v>196</v>
      </c>
      <c r="AD87" s="1015"/>
      <c r="AE87" s="329"/>
    </row>
    <row r="88" spans="2:33" ht="18.95" hidden="1" customHeight="1">
      <c r="B88" s="353" t="b">
        <f t="shared" si="2"/>
        <v>0</v>
      </c>
      <c r="E88" s="477">
        <v>19.5</v>
      </c>
      <c r="AB88" s="1022"/>
      <c r="AC88" s="1015" t="s">
        <v>197</v>
      </c>
      <c r="AD88" s="1015"/>
      <c r="AE88" s="634"/>
    </row>
    <row r="89" spans="2:33" ht="18.95" hidden="1" customHeight="1">
      <c r="B89" s="353" t="b">
        <f t="shared" si="2"/>
        <v>0</v>
      </c>
      <c r="E89" s="477">
        <v>19.5</v>
      </c>
      <c r="AB89" s="1022"/>
      <c r="AC89" s="1015" t="s">
        <v>198</v>
      </c>
      <c r="AD89" s="1015"/>
      <c r="AE89" s="328"/>
    </row>
    <row r="90" spans="2:33" ht="18.95" hidden="1" customHeight="1">
      <c r="B90" s="353" t="b">
        <f t="shared" si="2"/>
        <v>0</v>
      </c>
      <c r="E90" s="477">
        <v>19.5</v>
      </c>
      <c r="W90" s="367" t="b">
        <f>ROW(Y90)&gt;ROW(Y$90)</f>
        <v>0</v>
      </c>
      <c r="Y90" s="44" t="s">
        <v>173</v>
      </c>
      <c r="AA90" s="1049" t="s">
        <v>174</v>
      </c>
      <c r="AB90" s="1038" t="s">
        <v>193</v>
      </c>
      <c r="AC90" s="1041" t="s">
        <v>194</v>
      </c>
      <c r="AD90" s="1042"/>
      <c r="AE90" s="329"/>
    </row>
    <row r="91" spans="2:33" ht="18.95" hidden="1" customHeight="1">
      <c r="B91" s="353" t="b">
        <f t="shared" si="2"/>
        <v>0</v>
      </c>
      <c r="E91" s="477">
        <v>19.5</v>
      </c>
      <c r="W91" s="367" t="b" cm="1">
        <f t="array" ref="W91">W90</f>
        <v>0</v>
      </c>
      <c r="AA91" s="1049"/>
      <c r="AB91" s="1039"/>
      <c r="AC91" s="1041" t="s">
        <v>195</v>
      </c>
      <c r="AD91" s="1042"/>
      <c r="AE91" s="330"/>
    </row>
    <row r="92" spans="2:33" ht="18.95" hidden="1" customHeight="1">
      <c r="B92" s="353" t="b">
        <f t="shared" si="2"/>
        <v>0</v>
      </c>
      <c r="E92" s="477">
        <v>19.5</v>
      </c>
      <c r="W92" s="367" t="b" cm="1">
        <f t="array" ref="W92">W91</f>
        <v>0</v>
      </c>
      <c r="AA92" s="1049"/>
      <c r="AB92" s="1039"/>
      <c r="AC92" s="1041" t="s">
        <v>196</v>
      </c>
      <c r="AD92" s="1042"/>
      <c r="AE92" s="329"/>
    </row>
    <row r="93" spans="2:33" ht="18.95" hidden="1" customHeight="1">
      <c r="B93" s="353" t="b">
        <f t="shared" si="2"/>
        <v>0</v>
      </c>
      <c r="E93" s="477">
        <v>19.5</v>
      </c>
      <c r="W93" s="367" t="b" cm="1">
        <f t="array" ref="W93">W92</f>
        <v>0</v>
      </c>
      <c r="AA93" s="1049"/>
      <c r="AB93" s="1039"/>
      <c r="AC93" s="1041" t="s">
        <v>197</v>
      </c>
      <c r="AD93" s="1042"/>
      <c r="AE93" s="634"/>
    </row>
    <row r="94" spans="2:33" ht="18.95" hidden="1" customHeight="1">
      <c r="B94" s="353" t="b">
        <f t="shared" si="2"/>
        <v>0</v>
      </c>
      <c r="E94" s="477">
        <v>19.5</v>
      </c>
      <c r="W94" s="367" t="b" cm="1">
        <f t="array" ref="W94">W93</f>
        <v>0</v>
      </c>
      <c r="AA94" s="1049"/>
      <c r="AB94" s="1040"/>
      <c r="AC94" s="1041" t="s">
        <v>198</v>
      </c>
      <c r="AD94" s="1042"/>
      <c r="AE94" s="328"/>
    </row>
    <row r="95" spans="2:33" ht="14.65" hidden="1" customHeight="1">
      <c r="B95" s="353" t="b">
        <f t="shared" si="2"/>
        <v>0</v>
      </c>
      <c r="E95" s="477">
        <v>15</v>
      </c>
      <c r="F95" s="44" t="s">
        <v>199</v>
      </c>
      <c r="Y95" s="45" t="s">
        <v>176</v>
      </c>
      <c r="AB95" s="196"/>
      <c r="AC95" s="195"/>
      <c r="AD95" s="195"/>
      <c r="AE95" s="282" t="s">
        <v>177</v>
      </c>
    </row>
    <row r="96" spans="2:33" ht="18.95" customHeight="1">
      <c r="B96" s="353" t="b">
        <f>NOT(method_reg="Метод сравнения аналогов")</f>
        <v>1</v>
      </c>
      <c r="E96" s="477">
        <v>19.5</v>
      </c>
      <c r="F96" s="44" t="s">
        <v>202</v>
      </c>
      <c r="AB96" s="1015" t="s">
        <v>203</v>
      </c>
      <c r="AC96" s="1015"/>
      <c r="AD96" s="1015"/>
      <c r="AE96" s="303" t="s">
        <v>160</v>
      </c>
      <c r="AG96" s="44" t="s">
        <v>204</v>
      </c>
    </row>
    <row r="97" spans="2:33" ht="54.75" customHeight="1">
      <c r="B97" s="353" t="b">
        <f t="shared" ref="B97:B107" si="3">AND(NOT(method_reg="Метод сравнения аналогов"),HAS_DOC4="да")</f>
        <v>1</v>
      </c>
      <c r="E97" s="477">
        <v>19.5</v>
      </c>
      <c r="AB97" s="1022" t="s">
        <v>193</v>
      </c>
      <c r="AC97" s="1015" t="s">
        <v>194</v>
      </c>
      <c r="AD97" s="1015"/>
      <c r="AE97" s="297" t="s">
        <v>205</v>
      </c>
    </row>
    <row r="98" spans="2:33" ht="18.95" customHeight="1">
      <c r="B98" s="353" t="b">
        <f t="shared" si="3"/>
        <v>1</v>
      </c>
      <c r="E98" s="477">
        <v>19.5</v>
      </c>
      <c r="AB98" s="1022"/>
      <c r="AC98" s="1015" t="s">
        <v>195</v>
      </c>
      <c r="AD98" s="1015"/>
      <c r="AE98" s="298" t="s">
        <v>206</v>
      </c>
    </row>
    <row r="99" spans="2:33" ht="18.95" customHeight="1">
      <c r="B99" s="353" t="b">
        <f t="shared" si="3"/>
        <v>1</v>
      </c>
      <c r="E99" s="477">
        <v>19.5</v>
      </c>
      <c r="AB99" s="1022"/>
      <c r="AC99" s="1015" t="s">
        <v>196</v>
      </c>
      <c r="AD99" s="1015"/>
      <c r="AE99" s="297" t="s">
        <v>207</v>
      </c>
    </row>
    <row r="100" spans="2:33" ht="18.95" customHeight="1">
      <c r="B100" s="353" t="b">
        <f t="shared" si="3"/>
        <v>1</v>
      </c>
      <c r="E100" s="477">
        <v>19.5</v>
      </c>
      <c r="AB100" s="1022"/>
      <c r="AC100" s="1015" t="s">
        <v>197</v>
      </c>
      <c r="AD100" s="1015"/>
      <c r="AE100" s="331">
        <v>44015</v>
      </c>
    </row>
    <row r="101" spans="2:33" ht="18.95" customHeight="1">
      <c r="B101" s="353" t="b">
        <f t="shared" si="3"/>
        <v>1</v>
      </c>
      <c r="E101" s="477">
        <v>19.5</v>
      </c>
      <c r="AB101" s="1022"/>
      <c r="AC101" s="1015" t="s">
        <v>198</v>
      </c>
      <c r="AD101" s="1015"/>
      <c r="AE101" s="314" t="s">
        <v>172</v>
      </c>
    </row>
    <row r="102" spans="2:33" ht="18.95" hidden="1" customHeight="1">
      <c r="B102" s="353" t="b">
        <f t="shared" si="3"/>
        <v>1</v>
      </c>
      <c r="E102" s="477">
        <v>19.5</v>
      </c>
      <c r="W102" s="367" t="b">
        <f>ROW(Y102)&gt;ROW(Y$102)</f>
        <v>0</v>
      </c>
      <c r="Y102" s="44" t="s">
        <v>173</v>
      </c>
      <c r="AA102" s="1049" t="s">
        <v>174</v>
      </c>
      <c r="AB102" s="1038" t="s">
        <v>193</v>
      </c>
      <c r="AC102" s="1041" t="s">
        <v>194</v>
      </c>
      <c r="AD102" s="1042"/>
      <c r="AE102" s="329"/>
    </row>
    <row r="103" spans="2:33" ht="18.95" hidden="1" customHeight="1">
      <c r="B103" s="353" t="b">
        <f t="shared" si="3"/>
        <v>1</v>
      </c>
      <c r="E103" s="477">
        <v>19.5</v>
      </c>
      <c r="W103" s="367" t="b" cm="1">
        <f t="array" ref="W103">W102</f>
        <v>0</v>
      </c>
      <c r="AA103" s="1049"/>
      <c r="AB103" s="1039"/>
      <c r="AC103" s="1041" t="s">
        <v>195</v>
      </c>
      <c r="AD103" s="1042"/>
      <c r="AE103" s="330"/>
    </row>
    <row r="104" spans="2:33" ht="18.95" hidden="1" customHeight="1">
      <c r="B104" s="353" t="b">
        <f t="shared" si="3"/>
        <v>1</v>
      </c>
      <c r="E104" s="477">
        <v>19.5</v>
      </c>
      <c r="W104" s="367" t="b" cm="1">
        <f t="array" ref="W104">W103</f>
        <v>0</v>
      </c>
      <c r="AA104" s="1049"/>
      <c r="AB104" s="1039"/>
      <c r="AC104" s="1041" t="s">
        <v>196</v>
      </c>
      <c r="AD104" s="1042"/>
      <c r="AE104" s="329"/>
    </row>
    <row r="105" spans="2:33" ht="18.95" hidden="1" customHeight="1">
      <c r="B105" s="353" t="b">
        <f t="shared" si="3"/>
        <v>1</v>
      </c>
      <c r="E105" s="477">
        <v>19.5</v>
      </c>
      <c r="W105" s="367" t="b" cm="1">
        <f t="array" ref="W105">W104</f>
        <v>0</v>
      </c>
      <c r="AA105" s="1049"/>
      <c r="AB105" s="1039"/>
      <c r="AC105" s="1041" t="s">
        <v>197</v>
      </c>
      <c r="AD105" s="1042"/>
      <c r="AE105" s="634"/>
    </row>
    <row r="106" spans="2:33" ht="18.95" hidden="1" customHeight="1">
      <c r="B106" s="353" t="b">
        <f t="shared" si="3"/>
        <v>1</v>
      </c>
      <c r="E106" s="477">
        <v>19.5</v>
      </c>
      <c r="W106" s="367" t="b" cm="1">
        <f t="array" ref="W106">W105</f>
        <v>0</v>
      </c>
      <c r="AA106" s="1049"/>
      <c r="AB106" s="1040"/>
      <c r="AC106" s="1041" t="s">
        <v>198</v>
      </c>
      <c r="AD106" s="1042"/>
      <c r="AE106" s="328"/>
    </row>
    <row r="107" spans="2:33" ht="14.65" customHeight="1">
      <c r="B107" s="353" t="b">
        <f t="shared" si="3"/>
        <v>1</v>
      </c>
      <c r="E107" s="477">
        <v>15</v>
      </c>
      <c r="F107" s="44" t="s">
        <v>202</v>
      </c>
      <c r="Y107" s="45" t="s">
        <v>176</v>
      </c>
      <c r="AB107" s="196"/>
      <c r="AC107" s="195"/>
      <c r="AD107" s="195"/>
      <c r="AE107" s="282" t="s">
        <v>177</v>
      </c>
    </row>
    <row r="108" spans="2:33" ht="24.95" customHeight="1">
      <c r="B108" s="353" t="b">
        <f>NOT(method_reg="Метод сравнения аналогов")</f>
        <v>1</v>
      </c>
      <c r="E108" s="477">
        <v>25.5</v>
      </c>
      <c r="F108" s="44" t="s">
        <v>208</v>
      </c>
      <c r="AB108" s="1015"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015"/>
      <c r="AD108" s="1015"/>
      <c r="AE108" s="303" t="s">
        <v>151</v>
      </c>
      <c r="AF108" s="373"/>
      <c r="AG108" s="44" t="s">
        <v>209</v>
      </c>
    </row>
    <row r="109" spans="2:33" ht="18.95" hidden="1" customHeight="1">
      <c r="B109" s="353" t="b">
        <f t="shared" ref="B109:B121" si="4">AND(NOT(method_reg="Метод сравнения аналогов"),HAS_DOC5="да")</f>
        <v>0</v>
      </c>
      <c r="E109" s="477">
        <v>19.5</v>
      </c>
      <c r="W109" s="44" t="b">
        <v>0</v>
      </c>
      <c r="AB109" s="1038" t="s">
        <v>193</v>
      </c>
      <c r="AC109" s="1015" t="s">
        <v>194</v>
      </c>
      <c r="AD109" s="1015"/>
      <c r="AE109" s="329"/>
    </row>
    <row r="110" spans="2:33" ht="18.95" hidden="1" customHeight="1">
      <c r="B110" s="353" t="b">
        <f t="shared" si="4"/>
        <v>0</v>
      </c>
      <c r="E110" s="477">
        <v>19.5</v>
      </c>
      <c r="W110" s="44" t="b">
        <v>0</v>
      </c>
      <c r="AB110" s="1039"/>
      <c r="AC110" s="1015" t="s">
        <v>195</v>
      </c>
      <c r="AD110" s="1015"/>
      <c r="AE110" s="330"/>
    </row>
    <row r="111" spans="2:33" ht="18.95" hidden="1" customHeight="1">
      <c r="B111" s="353" t="b">
        <f t="shared" si="4"/>
        <v>0</v>
      </c>
      <c r="E111" s="477">
        <v>19.5</v>
      </c>
      <c r="W111" s="44" t="b">
        <v>0</v>
      </c>
      <c r="AB111" s="1039"/>
      <c r="AC111" s="1015" t="s">
        <v>196</v>
      </c>
      <c r="AD111" s="1015"/>
      <c r="AE111" s="329"/>
    </row>
    <row r="112" spans="2:33" ht="18.95" hidden="1" customHeight="1">
      <c r="B112" s="353" t="b">
        <f t="shared" si="4"/>
        <v>0</v>
      </c>
      <c r="E112" s="477">
        <v>19.5</v>
      </c>
      <c r="W112" s="44" t="b">
        <v>0</v>
      </c>
      <c r="AB112" s="1039"/>
      <c r="AC112" s="1015" t="s">
        <v>197</v>
      </c>
      <c r="AD112" s="1015"/>
      <c r="AE112" s="634"/>
    </row>
    <row r="113" spans="2:33" ht="18.95" hidden="1" customHeight="1">
      <c r="B113" s="353" t="b">
        <f t="shared" si="4"/>
        <v>0</v>
      </c>
      <c r="E113" s="477">
        <v>19.5</v>
      </c>
      <c r="W113" s="44" t="b">
        <v>0</v>
      </c>
      <c r="AB113" s="1039"/>
      <c r="AC113" s="1015" t="s">
        <v>210</v>
      </c>
      <c r="AD113" s="1015"/>
      <c r="AE113" s="634"/>
    </row>
    <row r="114" spans="2:33" ht="18.95" hidden="1" customHeight="1">
      <c r="B114" s="353" t="b">
        <f t="shared" si="4"/>
        <v>0</v>
      </c>
      <c r="E114" s="477">
        <v>19.5</v>
      </c>
      <c r="W114" s="44" t="b">
        <v>0</v>
      </c>
      <c r="AB114" s="1040"/>
      <c r="AC114" s="1015" t="s">
        <v>211</v>
      </c>
      <c r="AD114" s="1015"/>
      <c r="AE114" s="634"/>
    </row>
    <row r="115" spans="2:33" ht="18.95" hidden="1" customHeight="1">
      <c r="B115" s="353" t="b">
        <f t="shared" si="4"/>
        <v>0</v>
      </c>
      <c r="E115" s="477">
        <v>19.5</v>
      </c>
      <c r="W115" s="367" t="b">
        <f>ROW(Y115)&gt;ROW(Y$115)</f>
        <v>0</v>
      </c>
      <c r="Y115" s="44" t="s">
        <v>173</v>
      </c>
      <c r="AA115" s="1049" t="s">
        <v>174</v>
      </c>
      <c r="AB115" s="1038" t="s">
        <v>193</v>
      </c>
      <c r="AC115" s="1015" t="s">
        <v>194</v>
      </c>
      <c r="AD115" s="1015"/>
      <c r="AE115" s="329"/>
    </row>
    <row r="116" spans="2:33" ht="18.95" hidden="1" customHeight="1">
      <c r="B116" s="353" t="b">
        <f t="shared" si="4"/>
        <v>0</v>
      </c>
      <c r="E116" s="477">
        <v>19.5</v>
      </c>
      <c r="W116" s="367" t="b" cm="1">
        <f t="array" ref="W116">W115</f>
        <v>0</v>
      </c>
      <c r="AA116" s="1049"/>
      <c r="AB116" s="1039"/>
      <c r="AC116" s="1015" t="s">
        <v>195</v>
      </c>
      <c r="AD116" s="1015"/>
      <c r="AE116" s="330"/>
    </row>
    <row r="117" spans="2:33" ht="18.95" hidden="1" customHeight="1">
      <c r="B117" s="353" t="b">
        <f t="shared" si="4"/>
        <v>0</v>
      </c>
      <c r="E117" s="477">
        <v>19.5</v>
      </c>
      <c r="W117" s="367" t="b" cm="1">
        <f t="array" ref="W117">W116</f>
        <v>0</v>
      </c>
      <c r="AA117" s="1049"/>
      <c r="AB117" s="1039"/>
      <c r="AC117" s="1015" t="s">
        <v>196</v>
      </c>
      <c r="AD117" s="1015"/>
      <c r="AE117" s="329"/>
    </row>
    <row r="118" spans="2:33" ht="18.95" hidden="1" customHeight="1">
      <c r="B118" s="353" t="b">
        <f t="shared" si="4"/>
        <v>0</v>
      </c>
      <c r="E118" s="477">
        <v>19.5</v>
      </c>
      <c r="W118" s="367" t="b" cm="1">
        <f t="array" ref="W118">W117</f>
        <v>0</v>
      </c>
      <c r="AA118" s="1049"/>
      <c r="AB118" s="1039"/>
      <c r="AC118" s="1015" t="s">
        <v>197</v>
      </c>
      <c r="AD118" s="1015"/>
      <c r="AE118" s="634"/>
    </row>
    <row r="119" spans="2:33" ht="18.95" hidden="1" customHeight="1">
      <c r="B119" s="353" t="b">
        <f t="shared" si="4"/>
        <v>0</v>
      </c>
      <c r="E119" s="477">
        <v>19.5</v>
      </c>
      <c r="W119" s="367" t="b" cm="1">
        <f t="array" ref="W119">W118</f>
        <v>0</v>
      </c>
      <c r="AA119" s="1049"/>
      <c r="AB119" s="1039"/>
      <c r="AC119" s="1015" t="s">
        <v>210</v>
      </c>
      <c r="AD119" s="1015"/>
      <c r="AE119" s="634"/>
    </row>
    <row r="120" spans="2:33" ht="18.95" hidden="1" customHeight="1">
      <c r="B120" s="353" t="b">
        <f t="shared" si="4"/>
        <v>0</v>
      </c>
      <c r="E120" s="477">
        <v>19.5</v>
      </c>
      <c r="W120" s="367" t="b" cm="1">
        <f t="array" ref="W120">W119</f>
        <v>0</v>
      </c>
      <c r="AA120" s="1049"/>
      <c r="AB120" s="1040"/>
      <c r="AC120" s="1015" t="s">
        <v>211</v>
      </c>
      <c r="AD120" s="1015"/>
      <c r="AE120" s="634"/>
    </row>
    <row r="121" spans="2:33" ht="14.65" hidden="1" customHeight="1">
      <c r="B121" s="353" t="b">
        <f t="shared" si="4"/>
        <v>0</v>
      </c>
      <c r="E121" s="477">
        <v>15</v>
      </c>
      <c r="F121" s="44" t="s">
        <v>208</v>
      </c>
      <c r="Y121" s="45" t="s">
        <v>212</v>
      </c>
      <c r="AB121" s="196"/>
      <c r="AC121" s="195"/>
      <c r="AD121" s="195"/>
      <c r="AE121" s="282" t="s">
        <v>177</v>
      </c>
    </row>
    <row r="122" spans="2:33" ht="24.95" customHeight="1">
      <c r="B122" s="353" t="b">
        <f>NOT(method_reg="Метод сравнения аналогов")</f>
        <v>1</v>
      </c>
      <c r="E122" s="477">
        <v>25.5</v>
      </c>
      <c r="F122" s="44" t="s">
        <v>213</v>
      </c>
      <c r="AB122" s="1015"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1015"/>
      <c r="AD122" s="1015"/>
      <c r="AE122" s="303" t="s">
        <v>151</v>
      </c>
      <c r="AF122" s="373"/>
      <c r="AG122" s="44" t="s">
        <v>214</v>
      </c>
    </row>
    <row r="123" spans="2:33" ht="18.95" hidden="1" customHeight="1">
      <c r="B123" s="353" t="b">
        <f t="shared" ref="B123:B135" si="5">AND(NOT(method_reg="Метод сравнения аналогов"),HAS_DOC6="да")</f>
        <v>0</v>
      </c>
      <c r="E123" s="477">
        <v>19.5</v>
      </c>
      <c r="W123" s="44" t="b">
        <v>0</v>
      </c>
      <c r="AB123" s="1022" t="s">
        <v>193</v>
      </c>
      <c r="AC123" s="1015" t="s">
        <v>194</v>
      </c>
      <c r="AD123" s="1015"/>
      <c r="AE123" s="329"/>
    </row>
    <row r="124" spans="2:33" ht="18.95" hidden="1" customHeight="1">
      <c r="B124" s="353" t="b">
        <f t="shared" si="5"/>
        <v>0</v>
      </c>
      <c r="E124" s="477">
        <v>19.5</v>
      </c>
      <c r="W124" s="44" t="b">
        <v>0</v>
      </c>
      <c r="AB124" s="1022"/>
      <c r="AC124" s="1015" t="s">
        <v>195</v>
      </c>
      <c r="AD124" s="1015"/>
      <c r="AE124" s="330"/>
    </row>
    <row r="125" spans="2:33" ht="18.95" hidden="1" customHeight="1">
      <c r="B125" s="353" t="b">
        <f t="shared" si="5"/>
        <v>0</v>
      </c>
      <c r="E125" s="477">
        <v>19.5</v>
      </c>
      <c r="W125" s="44" t="b">
        <v>0</v>
      </c>
      <c r="AB125" s="1022"/>
      <c r="AC125" s="1015" t="s">
        <v>196</v>
      </c>
      <c r="AD125" s="1015"/>
      <c r="AE125" s="329"/>
    </row>
    <row r="126" spans="2:33" ht="18.95" hidden="1" customHeight="1">
      <c r="B126" s="353" t="b">
        <f t="shared" si="5"/>
        <v>0</v>
      </c>
      <c r="E126" s="477">
        <v>19.5</v>
      </c>
      <c r="W126" s="44" t="b">
        <v>0</v>
      </c>
      <c r="AB126" s="1022"/>
      <c r="AC126" s="1015" t="s">
        <v>197</v>
      </c>
      <c r="AD126" s="1015"/>
      <c r="AE126" s="634"/>
    </row>
    <row r="127" spans="2:33" ht="18.95" hidden="1" customHeight="1">
      <c r="B127" s="353" t="b">
        <f t="shared" si="5"/>
        <v>0</v>
      </c>
      <c r="E127" s="477">
        <v>19.5</v>
      </c>
      <c r="W127" s="44" t="b">
        <v>0</v>
      </c>
      <c r="AB127" s="1022"/>
      <c r="AC127" s="1015" t="s">
        <v>210</v>
      </c>
      <c r="AD127" s="1015"/>
      <c r="AE127" s="634"/>
    </row>
    <row r="128" spans="2:33" ht="18.95" hidden="1" customHeight="1">
      <c r="B128" s="353" t="b">
        <f t="shared" si="5"/>
        <v>0</v>
      </c>
      <c r="E128" s="477">
        <v>19.5</v>
      </c>
      <c r="W128" s="44" t="b">
        <v>0</v>
      </c>
      <c r="AB128" s="1022"/>
      <c r="AC128" s="1015" t="s">
        <v>211</v>
      </c>
      <c r="AD128" s="1015"/>
      <c r="AE128" s="634"/>
    </row>
    <row r="129" spans="2:33" ht="18.95" hidden="1" customHeight="1">
      <c r="B129" s="353" t="b">
        <f t="shared" si="5"/>
        <v>0</v>
      </c>
      <c r="E129" s="477">
        <v>19.5</v>
      </c>
      <c r="W129" s="367" t="b">
        <f>ROW(Y129)&gt;ROW(Y$129)</f>
        <v>0</v>
      </c>
      <c r="Y129" s="44" t="s">
        <v>173</v>
      </c>
      <c r="AA129" s="1049" t="s">
        <v>174</v>
      </c>
      <c r="AB129" s="1022" t="s">
        <v>193</v>
      </c>
      <c r="AC129" s="1015" t="s">
        <v>194</v>
      </c>
      <c r="AD129" s="1015"/>
      <c r="AE129" s="329"/>
    </row>
    <row r="130" spans="2:33" ht="18.95" hidden="1" customHeight="1">
      <c r="B130" s="353" t="b">
        <f t="shared" si="5"/>
        <v>0</v>
      </c>
      <c r="E130" s="477">
        <v>19.5</v>
      </c>
      <c r="W130" s="367" t="b" cm="1">
        <f t="array" ref="W130">W129</f>
        <v>0</v>
      </c>
      <c r="AA130" s="1049"/>
      <c r="AB130" s="1022"/>
      <c r="AC130" s="1015" t="s">
        <v>195</v>
      </c>
      <c r="AD130" s="1015"/>
      <c r="AE130" s="330"/>
    </row>
    <row r="131" spans="2:33" ht="18.95" hidden="1" customHeight="1">
      <c r="B131" s="353" t="b">
        <f t="shared" si="5"/>
        <v>0</v>
      </c>
      <c r="E131" s="477">
        <v>19.5</v>
      </c>
      <c r="W131" s="367" t="b" cm="1">
        <f t="array" ref="W131">W130</f>
        <v>0</v>
      </c>
      <c r="AA131" s="1049"/>
      <c r="AB131" s="1022"/>
      <c r="AC131" s="1015" t="s">
        <v>196</v>
      </c>
      <c r="AD131" s="1015"/>
      <c r="AE131" s="329"/>
    </row>
    <row r="132" spans="2:33" ht="18.95" hidden="1" customHeight="1">
      <c r="B132" s="353" t="b">
        <f t="shared" si="5"/>
        <v>0</v>
      </c>
      <c r="E132" s="477">
        <v>19.5</v>
      </c>
      <c r="W132" s="367" t="b" cm="1">
        <f t="array" ref="W132">W131</f>
        <v>0</v>
      </c>
      <c r="AA132" s="1049"/>
      <c r="AB132" s="1022"/>
      <c r="AC132" s="1015" t="s">
        <v>197</v>
      </c>
      <c r="AD132" s="1015"/>
      <c r="AE132" s="634"/>
    </row>
    <row r="133" spans="2:33" ht="18.95" hidden="1" customHeight="1">
      <c r="B133" s="353" t="b">
        <f t="shared" si="5"/>
        <v>0</v>
      </c>
      <c r="E133" s="477">
        <v>19.5</v>
      </c>
      <c r="W133" s="367" t="b" cm="1">
        <f t="array" ref="W133">W132</f>
        <v>0</v>
      </c>
      <c r="AA133" s="1049"/>
      <c r="AB133" s="1022"/>
      <c r="AC133" s="1015" t="s">
        <v>210</v>
      </c>
      <c r="AD133" s="1015"/>
      <c r="AE133" s="634"/>
    </row>
    <row r="134" spans="2:33" ht="18.95" hidden="1" customHeight="1">
      <c r="B134" s="353" t="b">
        <f t="shared" si="5"/>
        <v>0</v>
      </c>
      <c r="E134" s="477">
        <v>19.5</v>
      </c>
      <c r="W134" s="367" t="b" cm="1">
        <f t="array" ref="W134">W133</f>
        <v>0</v>
      </c>
      <c r="AA134" s="1049"/>
      <c r="AB134" s="1022"/>
      <c r="AC134" s="1015" t="s">
        <v>211</v>
      </c>
      <c r="AD134" s="1015"/>
      <c r="AE134" s="634"/>
    </row>
    <row r="135" spans="2:33" ht="14.65" hidden="1" customHeight="1">
      <c r="B135" s="353" t="b">
        <f t="shared" si="5"/>
        <v>0</v>
      </c>
      <c r="E135" s="477">
        <v>15</v>
      </c>
      <c r="F135" s="44" t="s">
        <v>213</v>
      </c>
      <c r="Y135" s="45" t="s">
        <v>215</v>
      </c>
      <c r="AB135" s="196"/>
      <c r="AC135" s="195"/>
      <c r="AD135" s="195"/>
      <c r="AE135" s="282" t="s">
        <v>177</v>
      </c>
    </row>
    <row r="136" spans="2:33" ht="24.95" customHeight="1">
      <c r="B136" s="353" t="b">
        <f>NOT(method_reg="Метод сравнения аналогов")</f>
        <v>1</v>
      </c>
      <c r="E136" s="477">
        <v>25.5</v>
      </c>
      <c r="F136" s="44" t="s">
        <v>216</v>
      </c>
      <c r="AB136" s="1015"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1015"/>
      <c r="AD136" s="1015"/>
      <c r="AE136" s="303" t="s">
        <v>151</v>
      </c>
      <c r="AF136" s="373"/>
      <c r="AG136" s="44" t="s">
        <v>217</v>
      </c>
    </row>
    <row r="137" spans="2:33" ht="18.95" hidden="1" customHeight="1">
      <c r="B137" s="353" t="b">
        <f t="shared" ref="B137:B149" si="6">AND(NOT(method_reg="Метод сравнения аналогов"),HAS_DOC7="да")</f>
        <v>0</v>
      </c>
      <c r="E137" s="477">
        <v>19.5</v>
      </c>
      <c r="W137" s="44" t="b">
        <v>0</v>
      </c>
      <c r="AB137" s="1022" t="s">
        <v>193</v>
      </c>
      <c r="AC137" s="1015" t="s">
        <v>194</v>
      </c>
      <c r="AD137" s="1015"/>
      <c r="AE137" s="329"/>
    </row>
    <row r="138" spans="2:33" ht="18.95" hidden="1" customHeight="1">
      <c r="B138" s="353" t="b">
        <f t="shared" si="6"/>
        <v>0</v>
      </c>
      <c r="E138" s="477">
        <v>19.5</v>
      </c>
      <c r="W138" s="44" t="b">
        <v>0</v>
      </c>
      <c r="AB138" s="1022"/>
      <c r="AC138" s="1015" t="s">
        <v>195</v>
      </c>
      <c r="AD138" s="1015"/>
      <c r="AE138" s="329"/>
    </row>
    <row r="139" spans="2:33" ht="18.95" hidden="1" customHeight="1">
      <c r="B139" s="353" t="b">
        <f t="shared" si="6"/>
        <v>0</v>
      </c>
      <c r="E139" s="477">
        <v>19.5</v>
      </c>
      <c r="W139" s="44" t="b">
        <v>0</v>
      </c>
      <c r="AB139" s="1022"/>
      <c r="AC139" s="1015" t="s">
        <v>196</v>
      </c>
      <c r="AD139" s="1015"/>
      <c r="AE139" s="329"/>
    </row>
    <row r="140" spans="2:33" ht="18.95" hidden="1" customHeight="1">
      <c r="B140" s="353" t="b">
        <f t="shared" si="6"/>
        <v>0</v>
      </c>
      <c r="E140" s="477">
        <v>19.5</v>
      </c>
      <c r="W140" s="44" t="b">
        <v>0</v>
      </c>
      <c r="AB140" s="1022"/>
      <c r="AC140" s="1015" t="s">
        <v>197</v>
      </c>
      <c r="AD140" s="1015"/>
      <c r="AE140" s="634"/>
    </row>
    <row r="141" spans="2:33" ht="18.95" hidden="1" customHeight="1">
      <c r="B141" s="353" t="b">
        <f t="shared" si="6"/>
        <v>0</v>
      </c>
      <c r="E141" s="477">
        <v>19.5</v>
      </c>
      <c r="W141" s="44" t="b">
        <v>0</v>
      </c>
      <c r="AB141" s="1022"/>
      <c r="AC141" s="1015" t="s">
        <v>218</v>
      </c>
      <c r="AD141" s="1015"/>
      <c r="AE141" s="634"/>
    </row>
    <row r="142" spans="2:33" ht="18.95" hidden="1" customHeight="1">
      <c r="B142" s="353" t="b">
        <f t="shared" si="6"/>
        <v>0</v>
      </c>
      <c r="E142" s="477">
        <v>19.5</v>
      </c>
      <c r="W142" s="44" t="b">
        <v>0</v>
      </c>
      <c r="AB142" s="1022"/>
      <c r="AC142" s="1015" t="s">
        <v>219</v>
      </c>
      <c r="AD142" s="1015"/>
      <c r="AE142" s="634"/>
    </row>
    <row r="143" spans="2:33" ht="18.95" hidden="1" customHeight="1">
      <c r="B143" s="353" t="b">
        <f t="shared" si="6"/>
        <v>0</v>
      </c>
      <c r="E143" s="477">
        <v>19.5</v>
      </c>
      <c r="W143" s="367" t="b">
        <f>ROW(Y143)&gt;ROW(Y$143)</f>
        <v>0</v>
      </c>
      <c r="Y143" s="44" t="s">
        <v>173</v>
      </c>
      <c r="AA143" s="1049" t="s">
        <v>174</v>
      </c>
      <c r="AB143" s="1022" t="s">
        <v>193</v>
      </c>
      <c r="AC143" s="1015" t="s">
        <v>194</v>
      </c>
      <c r="AD143" s="1015"/>
      <c r="AE143" s="329"/>
    </row>
    <row r="144" spans="2:33" ht="18.95" hidden="1" customHeight="1">
      <c r="B144" s="353" t="b">
        <f t="shared" si="6"/>
        <v>0</v>
      </c>
      <c r="E144" s="477">
        <v>19.5</v>
      </c>
      <c r="W144" s="367" t="b" cm="1">
        <f t="array" ref="W144">W143</f>
        <v>0</v>
      </c>
      <c r="AA144" s="1049"/>
      <c r="AB144" s="1022"/>
      <c r="AC144" s="1015" t="s">
        <v>195</v>
      </c>
      <c r="AD144" s="1015"/>
      <c r="AE144" s="330"/>
    </row>
    <row r="145" spans="2:33" ht="18.95" hidden="1" customHeight="1">
      <c r="B145" s="353" t="b">
        <f t="shared" si="6"/>
        <v>0</v>
      </c>
      <c r="E145" s="477">
        <v>19.5</v>
      </c>
      <c r="W145" s="367" t="b" cm="1">
        <f t="array" ref="W145">W144</f>
        <v>0</v>
      </c>
      <c r="AA145" s="1049"/>
      <c r="AB145" s="1022"/>
      <c r="AC145" s="1015" t="s">
        <v>196</v>
      </c>
      <c r="AD145" s="1015"/>
      <c r="AE145" s="329"/>
    </row>
    <row r="146" spans="2:33" ht="18.95" hidden="1" customHeight="1">
      <c r="B146" s="353" t="b">
        <f t="shared" si="6"/>
        <v>0</v>
      </c>
      <c r="E146" s="477">
        <v>19.5</v>
      </c>
      <c r="W146" s="367" t="b" cm="1">
        <f t="array" ref="W146">W145</f>
        <v>0</v>
      </c>
      <c r="AA146" s="1049"/>
      <c r="AB146" s="1022"/>
      <c r="AC146" s="1015" t="s">
        <v>197</v>
      </c>
      <c r="AD146" s="1015"/>
      <c r="AE146" s="634"/>
    </row>
    <row r="147" spans="2:33" ht="18.95" hidden="1" customHeight="1">
      <c r="B147" s="353" t="b">
        <f t="shared" si="6"/>
        <v>0</v>
      </c>
      <c r="E147" s="477">
        <v>19.5</v>
      </c>
      <c r="W147" s="367" t="b" cm="1">
        <f t="array" ref="W147">W146</f>
        <v>0</v>
      </c>
      <c r="AA147" s="1049"/>
      <c r="AB147" s="1022"/>
      <c r="AC147" s="1015" t="s">
        <v>218</v>
      </c>
      <c r="AD147" s="1015"/>
      <c r="AE147" s="634"/>
    </row>
    <row r="148" spans="2:33" ht="18.95" hidden="1" customHeight="1">
      <c r="B148" s="353" t="b">
        <f t="shared" si="6"/>
        <v>0</v>
      </c>
      <c r="E148" s="477">
        <v>19.5</v>
      </c>
      <c r="W148" s="367" t="b" cm="1">
        <f t="array" ref="W148">W147</f>
        <v>0</v>
      </c>
      <c r="AA148" s="1049"/>
      <c r="AB148" s="1022"/>
      <c r="AC148" s="1015" t="s">
        <v>219</v>
      </c>
      <c r="AD148" s="1015"/>
      <c r="AE148" s="634"/>
    </row>
    <row r="149" spans="2:33" ht="14.65" hidden="1" customHeight="1">
      <c r="B149" s="353" t="b">
        <f t="shared" si="6"/>
        <v>0</v>
      </c>
      <c r="E149" s="477">
        <v>15</v>
      </c>
      <c r="F149" s="44" t="s">
        <v>216</v>
      </c>
      <c r="Y149" s="45" t="s">
        <v>220</v>
      </c>
      <c r="AB149" s="196"/>
      <c r="AC149" s="195"/>
      <c r="AD149" s="195"/>
      <c r="AE149" s="282" t="s">
        <v>177</v>
      </c>
    </row>
    <row r="150" spans="2:33" ht="18.95" customHeight="1">
      <c r="B150" s="44"/>
      <c r="E150" s="477">
        <v>19.5</v>
      </c>
      <c r="AB150" s="1015" t="s">
        <v>221</v>
      </c>
      <c r="AC150" s="1015"/>
      <c r="AD150" s="1015"/>
      <c r="AE150" s="297"/>
      <c r="AG150" s="44" t="s">
        <v>222</v>
      </c>
    </row>
    <row r="151" spans="2:33" ht="24.95" customHeight="1">
      <c r="B151" s="44"/>
      <c r="E151" s="477">
        <v>25.5</v>
      </c>
      <c r="F151" s="44" t="s">
        <v>168</v>
      </c>
      <c r="AB151" s="1015" t="s">
        <v>223</v>
      </c>
      <c r="AC151" s="1015"/>
      <c r="AD151" s="1015"/>
      <c r="AE151" s="303" t="s">
        <v>151</v>
      </c>
      <c r="AF151" s="373"/>
      <c r="AG151" s="296" t="s">
        <v>224</v>
      </c>
    </row>
    <row r="152" spans="2:33" ht="10.9" customHeight="1">
      <c r="B152" s="44"/>
      <c r="E152" s="477">
        <v>11.25</v>
      </c>
      <c r="AE152" s="78" t="s">
        <v>225</v>
      </c>
    </row>
    <row r="153" spans="2:33" ht="18.95" customHeight="1">
      <c r="B153" s="44"/>
      <c r="E153" s="477">
        <v>19.5</v>
      </c>
      <c r="AB153" s="1015" t="s">
        <v>226</v>
      </c>
      <c r="AC153" s="1015"/>
      <c r="AD153" s="35" t="s">
        <v>227</v>
      </c>
      <c r="AE153" s="297" t="s">
        <v>228</v>
      </c>
      <c r="AG153" s="44" t="s">
        <v>229</v>
      </c>
    </row>
    <row r="154" spans="2:33" ht="18.95" customHeight="1">
      <c r="B154" s="44"/>
      <c r="E154" s="477">
        <v>19.5</v>
      </c>
      <c r="AB154" s="1015"/>
      <c r="AC154" s="1015"/>
      <c r="AD154" s="35" t="s">
        <v>230</v>
      </c>
      <c r="AE154" s="297" t="s">
        <v>231</v>
      </c>
      <c r="AG154" s="44" t="s">
        <v>232</v>
      </c>
    </row>
    <row r="155" spans="2:33" ht="18.95" customHeight="1">
      <c r="B155" s="44"/>
      <c r="E155" s="477">
        <v>19.5</v>
      </c>
      <c r="AB155" s="1015"/>
      <c r="AC155" s="1015"/>
      <c r="AD155" s="35" t="s">
        <v>233</v>
      </c>
      <c r="AE155" s="297" t="s">
        <v>234</v>
      </c>
      <c r="AG155" s="44" t="s">
        <v>235</v>
      </c>
    </row>
    <row r="156" spans="2:33" ht="18.95" customHeight="1">
      <c r="B156" s="44"/>
      <c r="E156" s="477">
        <v>19.5</v>
      </c>
      <c r="AB156" s="1015"/>
      <c r="AC156" s="1015"/>
      <c r="AD156" s="35" t="s">
        <v>236</v>
      </c>
      <c r="AE156" s="297" t="s">
        <v>139</v>
      </c>
      <c r="AG156" s="44" t="s">
        <v>237</v>
      </c>
    </row>
    <row r="157" spans="2:33" ht="10.9" customHeight="1">
      <c r="B157" s="44"/>
      <c r="E157" s="477">
        <v>11.25</v>
      </c>
      <c r="AB157" s="136"/>
      <c r="AC157" s="136"/>
      <c r="AD157" s="136"/>
      <c r="AE157" s="223"/>
    </row>
    <row r="158" spans="2:33" ht="14.65" customHeight="1">
      <c r="B158" s="44"/>
      <c r="E158" s="477">
        <v>15</v>
      </c>
      <c r="AB158" s="1020" t="s">
        <v>238</v>
      </c>
      <c r="AC158" s="1020"/>
      <c r="AD158" s="1020"/>
      <c r="AE158" s="1020"/>
    </row>
    <row r="159" spans="2:33" ht="14.65" customHeight="1">
      <c r="B159" s="44"/>
      <c r="E159" s="477">
        <v>15</v>
      </c>
      <c r="AB159" s="1021" t="s">
        <v>239</v>
      </c>
      <c r="AC159" s="1021"/>
      <c r="AD159" s="1021"/>
      <c r="AE159" s="1021"/>
      <c r="AF159" s="374"/>
    </row>
    <row r="160" spans="2:33" ht="14.65" customHeight="1">
      <c r="B160" s="44"/>
      <c r="E160" s="477">
        <v>15</v>
      </c>
      <c r="AB160" s="1016" t="s">
        <v>240</v>
      </c>
      <c r="AC160" s="1016"/>
      <c r="AD160" s="1016"/>
      <c r="AE160" s="1016"/>
      <c r="AF160" s="374"/>
    </row>
    <row r="161" spans="2:38" ht="14.65" customHeight="1">
      <c r="B161" s="44"/>
      <c r="E161" s="477">
        <v>15</v>
      </c>
      <c r="AB161" s="1016" t="s">
        <v>241</v>
      </c>
      <c r="AC161" s="1016"/>
      <c r="AD161" s="1016"/>
      <c r="AE161" s="1016"/>
      <c r="AF161" s="374"/>
    </row>
    <row r="162" spans="2:38" ht="14.65" customHeight="1">
      <c r="B162" s="44"/>
      <c r="E162" s="477">
        <v>15</v>
      </c>
      <c r="AB162" s="1016" t="s">
        <v>242</v>
      </c>
      <c r="AC162" s="1016"/>
      <c r="AD162" s="1016"/>
      <c r="AE162" s="1016"/>
      <c r="AF162" s="374"/>
    </row>
    <row r="163" spans="2:38" ht="14.65" customHeight="1">
      <c r="B163" s="44"/>
      <c r="E163" s="477">
        <v>15</v>
      </c>
      <c r="AB163" s="1016" t="s">
        <v>243</v>
      </c>
      <c r="AC163" s="1016"/>
      <c r="AD163" s="1016"/>
      <c r="AE163" s="1016"/>
      <c r="AF163" s="374"/>
    </row>
    <row r="164" spans="2:38" ht="26.65" customHeight="1">
      <c r="B164" s="44"/>
      <c r="E164" s="477">
        <v>27.25</v>
      </c>
      <c r="AB164" s="1016" t="s">
        <v>244</v>
      </c>
      <c r="AC164" s="1016"/>
      <c r="AD164" s="1016"/>
      <c r="AE164" s="1016"/>
      <c r="AF164" s="375"/>
    </row>
    <row r="165" spans="2:38" ht="14.65" customHeight="1">
      <c r="B165" s="44"/>
      <c r="E165" s="477">
        <v>15</v>
      </c>
      <c r="AB165" s="1016" t="s">
        <v>245</v>
      </c>
      <c r="AC165" s="1016"/>
      <c r="AD165" s="1016"/>
      <c r="AE165" s="1016"/>
      <c r="AF165" s="374"/>
    </row>
    <row r="166" spans="2:38" ht="26.65" customHeight="1">
      <c r="B166" s="44"/>
      <c r="E166" s="477">
        <v>27.25</v>
      </c>
      <c r="AB166" s="1016" t="s">
        <v>246</v>
      </c>
      <c r="AC166" s="1016"/>
      <c r="AD166" s="1016"/>
      <c r="AE166" s="1016"/>
      <c r="AF166" s="375"/>
    </row>
    <row r="167" spans="2:38" ht="14.65" customHeight="1">
      <c r="B167" s="44"/>
      <c r="E167" s="477">
        <v>15</v>
      </c>
      <c r="AB167" s="1016" t="s">
        <v>247</v>
      </c>
      <c r="AC167" s="1016"/>
      <c r="AD167" s="1016"/>
      <c r="AE167" s="1016"/>
      <c r="AF167" s="374"/>
    </row>
    <row r="168" spans="2:38" ht="14.65" customHeight="1">
      <c r="B168" s="44"/>
      <c r="E168" s="477">
        <v>15</v>
      </c>
      <c r="AB168" s="1016" t="s">
        <v>248</v>
      </c>
      <c r="AC168" s="1016"/>
      <c r="AD168" s="1016"/>
      <c r="AE168" s="1016"/>
      <c r="AF168" s="374"/>
    </row>
    <row r="169" spans="2:38" ht="26.65" customHeight="1">
      <c r="B169" s="44"/>
      <c r="E169" s="477">
        <v>27.25</v>
      </c>
      <c r="AB169" s="1016" t="s">
        <v>249</v>
      </c>
      <c r="AC169" s="1016"/>
      <c r="AD169" s="1016"/>
      <c r="AE169" s="1016"/>
      <c r="AF169" s="375"/>
    </row>
    <row r="170" spans="2:38" ht="35.1" customHeight="1">
      <c r="B170" s="44"/>
      <c r="E170" s="477">
        <v>36</v>
      </c>
      <c r="AB170" s="1016" t="s">
        <v>250</v>
      </c>
      <c r="AC170" s="1016"/>
      <c r="AD170" s="1016"/>
      <c r="AE170" s="1016"/>
      <c r="AF170" s="375"/>
    </row>
    <row r="171" spans="2:38" ht="14.65" customHeight="1">
      <c r="B171" s="44"/>
      <c r="E171" s="477">
        <v>15</v>
      </c>
      <c r="W171" s="367" t="b">
        <f>NOT(method_reg="Метод сравнения аналогов")</f>
        <v>1</v>
      </c>
      <c r="AB171" s="1016" t="s">
        <v>251</v>
      </c>
      <c r="AC171" s="1016"/>
      <c r="AD171" s="1016"/>
      <c r="AE171" s="1016"/>
      <c r="AF171" s="374"/>
    </row>
    <row r="172" spans="2:38" ht="14.65" customHeight="1">
      <c r="B172" s="44"/>
      <c r="E172" s="477">
        <v>15</v>
      </c>
      <c r="AB172" s="1017" t="str">
        <f>IF(W171,"14","13")&amp;". Иные нормативные правовые акты Российской Федерации."</f>
        <v>14. Иные нормативные правовые акты Российской Федерации.</v>
      </c>
      <c r="AC172" s="1017"/>
      <c r="AD172" s="1017"/>
      <c r="AE172" s="1017"/>
      <c r="AF172" s="374"/>
    </row>
    <row r="173" spans="2:38" ht="11.65" customHeight="1">
      <c r="B173" s="44"/>
      <c r="E173" s="477">
        <v>12</v>
      </c>
      <c r="AD173" s="479" t="b">
        <f>COUNTIF(AE193:AE222,"Водоснабжение")&gt;0</f>
        <v>1</v>
      </c>
      <c r="AE173" s="479" t="b">
        <f>COUNTIF(AE193:AE222,"Водоотведение")&gt;0</f>
        <v>1</v>
      </c>
      <c r="AF173" s="480" t="b">
        <f>COUNTIF(AE193:AE222,"Транспортировка воды")&gt;0</f>
        <v>0</v>
      </c>
      <c r="AG173" s="481" t="b">
        <f>COUNTIF(AE193:AE222,"Транспортировка сточных вод")&gt;0</f>
        <v>0</v>
      </c>
    </row>
    <row r="174" spans="2:38" ht="18.95" customHeight="1">
      <c r="B174" s="44"/>
      <c r="E174" s="477">
        <v>19.5</v>
      </c>
      <c r="AB174" s="1018" t="s">
        <v>252</v>
      </c>
      <c r="AC174" s="1018"/>
      <c r="AD174" s="1018"/>
      <c r="AE174" s="1019"/>
      <c r="AF174" s="371"/>
      <c r="AG174" s="49"/>
      <c r="AH174" s="49"/>
      <c r="AI174" s="49"/>
      <c r="AJ174" s="49"/>
      <c r="AK174" s="49"/>
      <c r="AL174" s="45"/>
    </row>
    <row r="175" spans="2:38" ht="24.95" customHeight="1">
      <c r="B175" s="44"/>
      <c r="E175" s="477">
        <v>25.5</v>
      </c>
      <c r="AB175" s="1014" t="s">
        <v>253</v>
      </c>
      <c r="AC175" s="1014"/>
      <c r="AD175" s="1014"/>
      <c r="AE175" s="437" t="s">
        <v>151</v>
      </c>
      <c r="AF175" s="373"/>
      <c r="AG175" s="49" t="s">
        <v>254</v>
      </c>
      <c r="AH175" s="49"/>
      <c r="AI175" s="49"/>
      <c r="AJ175" s="49"/>
      <c r="AK175" s="49"/>
      <c r="AL175" s="45"/>
    </row>
    <row r="176" spans="2:38" ht="18.95" customHeight="1">
      <c r="B176" s="353" t="b">
        <f>FIRST_TIME_REG="нет"</f>
        <v>1</v>
      </c>
      <c r="E176" s="477">
        <v>19.5</v>
      </c>
      <c r="AB176" s="1002" t="s">
        <v>255</v>
      </c>
      <c r="AC176" s="1003"/>
      <c r="AD176" s="438" t="s">
        <v>195</v>
      </c>
      <c r="AE176" s="298" t="s">
        <v>256</v>
      </c>
      <c r="AG176" s="49" t="s">
        <v>257</v>
      </c>
      <c r="AH176" s="49"/>
      <c r="AI176" s="49"/>
      <c r="AJ176" s="49"/>
      <c r="AK176" s="49"/>
      <c r="AL176" s="45"/>
    </row>
    <row r="177" spans="2:40" ht="18.95" customHeight="1">
      <c r="B177" s="353" t="b">
        <f>FIRST_TIME_REG="нет"</f>
        <v>1</v>
      </c>
      <c r="E177" s="477">
        <v>19.5</v>
      </c>
      <c r="AB177" s="1002"/>
      <c r="AC177" s="1003"/>
      <c r="AD177" s="305" t="s">
        <v>196</v>
      </c>
      <c r="AE177" s="297" t="s">
        <v>258</v>
      </c>
      <c r="AG177" s="44" t="s">
        <v>259</v>
      </c>
    </row>
    <row r="178" spans="2:40" ht="18.95" customHeight="1">
      <c r="B178" s="353" t="b">
        <f>FIRST_TIME_REG="нет"</f>
        <v>1</v>
      </c>
      <c r="E178" s="477">
        <v>19.5</v>
      </c>
      <c r="AB178" s="1004"/>
      <c r="AC178" s="1005"/>
      <c r="AD178" s="305" t="s">
        <v>197</v>
      </c>
      <c r="AE178" s="331">
        <v>45685</v>
      </c>
      <c r="AG178" s="44" t="s">
        <v>260</v>
      </c>
    </row>
    <row r="179" spans="2:40" ht="19.899999999999999" customHeight="1">
      <c r="B179" s="44" t="b">
        <f t="shared" ref="B179:B186" si="7">NOT(FIRST_TIME_REG="")</f>
        <v>1</v>
      </c>
      <c r="E179" s="477">
        <v>20.5</v>
      </c>
      <c r="F179" s="105" t="s">
        <v>261</v>
      </c>
      <c r="G179" s="44" t="b">
        <f>IF(ISERR(SEARCH("отсутствует",org_declaration)),TRUE,FALSE)</f>
        <v>1</v>
      </c>
      <c r="AB179" s="1006" t="s">
        <v>262</v>
      </c>
      <c r="AC179" s="1007"/>
      <c r="AD179" s="381"/>
      <c r="AE179" s="382"/>
      <c r="AF179" s="327"/>
      <c r="AG179" s="327"/>
      <c r="AN179" s="44" t="s">
        <v>263</v>
      </c>
    </row>
    <row r="180" spans="2:40" ht="18.2" hidden="1" customHeight="1">
      <c r="B180" s="44" t="b">
        <f t="shared" si="7"/>
        <v>1</v>
      </c>
      <c r="E180" s="477">
        <v>18.75</v>
      </c>
      <c r="F180" s="44" cm="1">
        <f t="array" ref="F180">Z180</f>
        <v>0</v>
      </c>
      <c r="V180" s="185" cm="1">
        <f t="array" ref="V180">AE181</f>
        <v>0</v>
      </c>
      <c r="W180" s="367" t="b">
        <f>Z180&gt;0</f>
        <v>0</v>
      </c>
      <c r="X180" s="44" t="s">
        <v>264</v>
      </c>
      <c r="Z180" s="999">
        <v>0</v>
      </c>
      <c r="AA180" s="1001"/>
      <c r="AB180" s="1008"/>
      <c r="AC180" s="1009"/>
      <c r="AD180" s="311" t="str">
        <f>"Тариф "&amp;Z180</f>
        <v>Тариф 0</v>
      </c>
      <c r="AE180" s="312"/>
      <c r="AF180" s="1000" t="s">
        <v>174</v>
      </c>
      <c r="AG180" s="44" t="str">
        <f>AD180&amp;" ("&amp;AE180&amp;") - "&amp;AE182&amp;IF(AE186="",""," ("&amp;AE186&amp;")")</f>
        <v xml:space="preserve">Тариф 0 () - </v>
      </c>
      <c r="AH180" s="44" cm="1">
        <f t="array" ref="AH180">AE185</f>
        <v>0</v>
      </c>
      <c r="AI180" s="185" cm="1">
        <f t="array" ref="AI180">AE182</f>
        <v>0</v>
      </c>
      <c r="AJ180" s="44" cm="1">
        <f t="array" ref="AJ180">AE186</f>
        <v>0</v>
      </c>
      <c r="AK180" s="44" cm="1">
        <f t="array" ref="AK180">AE183</f>
        <v>0</v>
      </c>
      <c r="AL180" s="609" cm="1">
        <f t="array" ref="AL180">AE190</f>
        <v>46023</v>
      </c>
      <c r="AM180" s="388" cm="1">
        <f t="array" ref="AM180">AE191</f>
        <v>0</v>
      </c>
      <c r="AN180" s="44" t="b">
        <f>IF(ISERR(SEARCH("трансп",AI180)),FALSE,TRUE)</f>
        <v>0</v>
      </c>
    </row>
    <row r="181" spans="2:40" ht="16.149999999999999" hidden="1" customHeight="1">
      <c r="B181" s="44" t="b">
        <f t="shared" si="7"/>
        <v>1</v>
      </c>
      <c r="E181" s="477">
        <v>16.5</v>
      </c>
      <c r="F181" s="44" cm="1">
        <f t="array" ref="F181">F180</f>
        <v>0</v>
      </c>
      <c r="V181" s="185"/>
      <c r="W181" s="367" t="b" cm="1">
        <f t="array" ref="W181">W180</f>
        <v>0</v>
      </c>
      <c r="Z181" s="999"/>
      <c r="AA181" s="1001"/>
      <c r="AB181" s="1008"/>
      <c r="AC181" s="1009"/>
      <c r="AD181" s="307" t="s">
        <v>265</v>
      </c>
      <c r="AE181" s="304"/>
      <c r="AF181" s="1000"/>
    </row>
    <row r="182" spans="2:40" ht="16.149999999999999" hidden="1" customHeight="1">
      <c r="B182" s="44" t="b">
        <f t="shared" si="7"/>
        <v>1</v>
      </c>
      <c r="E182" s="477">
        <v>16.5</v>
      </c>
      <c r="F182" s="44" cm="1">
        <f t="array" ref="F182">F181</f>
        <v>0</v>
      </c>
      <c r="V182" s="185"/>
      <c r="W182" s="367" t="b" cm="1">
        <f t="array" ref="W182">W181</f>
        <v>0</v>
      </c>
      <c r="Z182" s="999"/>
      <c r="AA182" s="1001"/>
      <c r="AB182" s="1008"/>
      <c r="AC182" s="1009"/>
      <c r="AD182" s="307" t="s">
        <v>266</v>
      </c>
      <c r="AE182" s="823"/>
      <c r="AF182" s="1000"/>
    </row>
    <row r="183" spans="2:40" ht="16.149999999999999" hidden="1" customHeight="1">
      <c r="B183" s="44" t="b">
        <f t="shared" si="7"/>
        <v>1</v>
      </c>
      <c r="E183" s="477">
        <v>16.5</v>
      </c>
      <c r="F183" s="44" cm="1">
        <f t="array" ref="F183">F182</f>
        <v>0</v>
      </c>
      <c r="V183" s="185"/>
      <c r="W183" s="367" t="b" cm="1">
        <f t="array" ref="W183">W182</f>
        <v>0</v>
      </c>
      <c r="Z183" s="999"/>
      <c r="AA183" s="1001"/>
      <c r="AB183" s="1008"/>
      <c r="AC183" s="1009"/>
      <c r="AD183" s="307" t="s">
        <v>267</v>
      </c>
      <c r="AE183" s="823"/>
      <c r="AF183" s="1000"/>
    </row>
    <row r="184" spans="2:40" ht="16.149999999999999" hidden="1" customHeight="1">
      <c r="B184" s="44" t="b">
        <f t="shared" si="7"/>
        <v>1</v>
      </c>
      <c r="E184" s="477">
        <v>16.5</v>
      </c>
      <c r="F184" s="44" cm="1">
        <f t="array" ref="F184">F183</f>
        <v>0</v>
      </c>
      <c r="V184" s="185"/>
      <c r="W184" s="367" t="b" cm="1">
        <f t="array" ref="W184">W183</f>
        <v>0</v>
      </c>
      <c r="Z184" s="999"/>
      <c r="AA184" s="1001"/>
      <c r="AB184" s="1008"/>
      <c r="AC184" s="1009"/>
      <c r="AD184" s="307" t="s">
        <v>268</v>
      </c>
      <c r="AE184" s="549"/>
      <c r="AF184" s="1000"/>
    </row>
    <row r="185" spans="2:40" ht="16.149999999999999" hidden="1" customHeight="1">
      <c r="B185" s="44" t="b">
        <f t="shared" si="7"/>
        <v>1</v>
      </c>
      <c r="E185" s="477">
        <v>16.5</v>
      </c>
      <c r="F185" s="44" cm="1">
        <f t="array" ref="F185">F184</f>
        <v>0</v>
      </c>
      <c r="V185" s="185"/>
      <c r="W185" s="367" t="b" cm="1">
        <f t="array" ref="W185">W184</f>
        <v>0</v>
      </c>
      <c r="Z185" s="999"/>
      <c r="AA185" s="1001"/>
      <c r="AB185" s="1008"/>
      <c r="AC185" s="1009"/>
      <c r="AD185" s="35" t="str">
        <f>IF(AE180="Водоотведение","Вид сточных вод","Вид воды")</f>
        <v>Вид воды</v>
      </c>
      <c r="AE185" s="823"/>
      <c r="AF185" s="1000"/>
    </row>
    <row r="186" spans="2:40" ht="16.149999999999999" hidden="1" customHeight="1">
      <c r="B186" s="44" t="b">
        <f t="shared" si="7"/>
        <v>1</v>
      </c>
      <c r="E186" s="477">
        <v>16.5</v>
      </c>
      <c r="F186" s="44" cm="1">
        <f t="array" ref="F186">F185</f>
        <v>0</v>
      </c>
      <c r="V186" s="185"/>
      <c r="W186" s="367" t="b" cm="1">
        <f t="array" ref="W186">W185</f>
        <v>0</v>
      </c>
      <c r="Z186" s="999"/>
      <c r="AA186" s="1001"/>
      <c r="AB186" s="1008"/>
      <c r="AC186" s="1009"/>
      <c r="AD186" s="35" t="s">
        <v>269</v>
      </c>
      <c r="AE186" s="549"/>
      <c r="AF186" s="1000"/>
    </row>
    <row r="187" spans="2:40" ht="16.149999999999999" hidden="1" customHeight="1">
      <c r="B187" s="353" t="b">
        <f>AND(org_declaration="Заявление организации",NOT(FIRST_TIME_REG=""))</f>
        <v>1</v>
      </c>
      <c r="E187" s="477">
        <v>16.5</v>
      </c>
      <c r="F187" s="44" cm="1">
        <f t="array" ref="F187">F186</f>
        <v>0</v>
      </c>
      <c r="V187" s="185"/>
      <c r="W187" s="367" t="b" cm="1">
        <f t="array" ref="W187">W186</f>
        <v>0</v>
      </c>
      <c r="Z187" s="999"/>
      <c r="AA187" s="1001"/>
      <c r="AB187" s="1008"/>
      <c r="AC187" s="1009"/>
      <c r="AD187" s="307" t="s">
        <v>270</v>
      </c>
      <c r="AE187" s="824"/>
      <c r="AF187" s="1000"/>
    </row>
    <row r="188" spans="2:40" ht="16.149999999999999" hidden="1" customHeight="1">
      <c r="B188" s="353" t="b">
        <f>AND(org_declaration="Заявление организации",NOT(FIRST_TIME_REG=""))</f>
        <v>1</v>
      </c>
      <c r="E188" s="477">
        <v>16.5</v>
      </c>
      <c r="F188" s="44" cm="1">
        <f t="array" ref="F188">F187</f>
        <v>0</v>
      </c>
      <c r="V188" s="185"/>
      <c r="W188" s="367" t="b" cm="1">
        <f t="array" ref="W188">W187</f>
        <v>0</v>
      </c>
      <c r="Z188" s="999"/>
      <c r="AA188" s="1001"/>
      <c r="AB188" s="1008"/>
      <c r="AC188" s="1009"/>
      <c r="AD188" s="307" t="s">
        <v>271</v>
      </c>
      <c r="AE188" s="825"/>
      <c r="AF188" s="1000"/>
    </row>
    <row r="189" spans="2:40" ht="16.149999999999999" hidden="1" customHeight="1">
      <c r="B189" s="353" t="b">
        <f>NOT(FIRST_TIME_REG="")</f>
        <v>1</v>
      </c>
      <c r="E189" s="477">
        <v>16.5</v>
      </c>
      <c r="F189" s="44" cm="1">
        <f t="array" ref="F189">F188</f>
        <v>0</v>
      </c>
      <c r="V189" s="185"/>
      <c r="W189" s="367" t="b" cm="1">
        <f t="array" ref="W189">W188</f>
        <v>0</v>
      </c>
      <c r="Z189" s="999"/>
      <c r="AA189" s="1001"/>
      <c r="AB189" s="1008"/>
      <c r="AC189" s="1009"/>
      <c r="AD189" s="307" t="s">
        <v>272</v>
      </c>
      <c r="AE189" s="826"/>
      <c r="AF189" s="1000"/>
    </row>
    <row r="190" spans="2:40" ht="16.149999999999999" hidden="1" customHeight="1">
      <c r="B190" s="353" t="b">
        <f>AND(org_declaration="Заявление организации",NOT(FIRST_TIME_REG=""))</f>
        <v>1</v>
      </c>
      <c r="E190" s="477">
        <v>16.5</v>
      </c>
      <c r="F190" s="44" cm="1">
        <f t="array" ref="F190">F189</f>
        <v>0</v>
      </c>
      <c r="V190" s="185"/>
      <c r="W190" s="367" t="b" cm="1">
        <f t="array" ref="W190">W189</f>
        <v>0</v>
      </c>
      <c r="Z190" s="999"/>
      <c r="AA190" s="1001"/>
      <c r="AB190" s="1008"/>
      <c r="AC190" s="1009"/>
      <c r="AD190" s="307" t="s">
        <v>273</v>
      </c>
      <c r="AE190" s="827">
        <f>IF(ISBLANK(god),"",DATE(god,1,1))</f>
        <v>46023</v>
      </c>
      <c r="AF190" s="1000"/>
    </row>
    <row r="191" spans="2:40" ht="16.149999999999999" hidden="1" customHeight="1">
      <c r="B191" s="353" t="b">
        <f>AND(org_declaration="Заявление организации",NOT(FIRST_TIME_REG=""))</f>
        <v>1</v>
      </c>
      <c r="E191" s="477">
        <v>16.5</v>
      </c>
      <c r="F191" s="44" cm="1">
        <f t="array" ref="F191">F190</f>
        <v>0</v>
      </c>
      <c r="V191" s="185"/>
      <c r="W191" s="367" t="b" cm="1">
        <f t="array" ref="W191">W190</f>
        <v>0</v>
      </c>
      <c r="Z191" s="999"/>
      <c r="AA191" s="1001"/>
      <c r="AB191" s="1008"/>
      <c r="AC191" s="1009"/>
      <c r="AD191" s="307" t="s">
        <v>274</v>
      </c>
      <c r="AE191" s="789"/>
      <c r="AF191" s="1000"/>
    </row>
    <row r="192" spans="2:40" ht="21.95" hidden="1" customHeight="1">
      <c r="B192" s="353" t="b">
        <f>AND(org_declaration="Заявление организации",NOT(FIRST_TIME_REG=""))</f>
        <v>1</v>
      </c>
      <c r="E192" s="477">
        <v>22.5</v>
      </c>
      <c r="F192" s="44" cm="1">
        <f t="array" ref="F192">F191</f>
        <v>0</v>
      </c>
      <c r="V192" s="185"/>
      <c r="W192" s="367" t="b">
        <f>AND(W191,AE191&lt;&gt;"Метод экономически обоснованных расходов",AE191&lt;&gt;"Метод сравнения аналогов")</f>
        <v>0</v>
      </c>
      <c r="Z192" s="999"/>
      <c r="AA192" s="1001"/>
      <c r="AB192" s="1008"/>
      <c r="AC192" s="1009"/>
      <c r="AD192" s="35"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9"/>
      <c r="AF192" s="1000"/>
    </row>
    <row r="193" spans="2:40" ht="16.149999999999999" hidden="1" customHeight="1">
      <c r="B193" s="353" t="b">
        <f>AND(org_declaration="Заявление организации",NOT(FIRST_TIME_REG=""))</f>
        <v>1</v>
      </c>
      <c r="E193" s="477">
        <v>16.5</v>
      </c>
      <c r="F193" s="44" cm="1">
        <f t="array" ref="F193">F192</f>
        <v>0</v>
      </c>
      <c r="V193" s="185"/>
      <c r="W193" s="367" t="b">
        <f>AND(W192,AE191&lt;&gt;"Метод экономически обоснованных расходов",AE191&lt;&gt;"Метод сравнения аналогов")</f>
        <v>0</v>
      </c>
      <c r="Z193" s="999"/>
      <c r="AA193" s="1001"/>
      <c r="AB193" s="1008"/>
      <c r="AC193" s="1009"/>
      <c r="AD193" s="307" t="s">
        <v>107</v>
      </c>
      <c r="AE193" s="789"/>
      <c r="AF193" s="1000"/>
    </row>
    <row r="194" spans="2:40" ht="18" customHeight="1">
      <c r="B194" s="44" t="b">
        <f t="shared" ref="B194:B200" si="8">NOT(FIRST_TIME_REG="")</f>
        <v>1</v>
      </c>
      <c r="E194" s="477">
        <v>18.75</v>
      </c>
      <c r="F194" s="44" t="str" cm="1">
        <f t="array" ref="F194">Z194</f>
        <v>1</v>
      </c>
      <c r="V194" s="185" t="str" cm="1">
        <f t="array" ref="V194">AE195</f>
        <v>ХВС.42.28976681.0003</v>
      </c>
      <c r="W194" s="367" t="b">
        <f>Z194&gt;0</f>
        <v>1</v>
      </c>
      <c r="Z194" s="999" t="s">
        <v>275</v>
      </c>
      <c r="AA194" s="1001"/>
      <c r="AB194" s="1010"/>
      <c r="AC194" s="1011"/>
      <c r="AD194" s="311" t="str">
        <f>"Тариф "&amp;Z194</f>
        <v>Тариф 1</v>
      </c>
      <c r="AE194" s="312" t="s">
        <v>276</v>
      </c>
      <c r="AF194" s="1000" t="s">
        <v>174</v>
      </c>
      <c r="AG194" s="44" t="str">
        <f>AD194&amp;" ("&amp;AE194&amp;") - "&amp;AE196&amp;IF(AE200="",""," ("&amp;AE200&amp;")")</f>
        <v>Тариф 1 (Водоснабжение) - тариф на питьевую воду (Доп. признак не требуется)</v>
      </c>
      <c r="AH194" s="44" t="str" cm="1">
        <f t="array" ref="AH194">AE199</f>
        <v>питьевая вода</v>
      </c>
      <c r="AI194" s="185" t="str" cm="1">
        <f t="array" ref="AI194">AE196</f>
        <v>тариф на питьевую воду</v>
      </c>
      <c r="AJ194" s="44" t="str" cm="1">
        <f t="array" ref="AJ194">AE200</f>
        <v>Доп. признак не требуется</v>
      </c>
      <c r="AK194" s="44" t="str" cm="1">
        <f t="array" ref="AK194">AE197</f>
        <v>одноставочный</v>
      </c>
      <c r="AL194" s="609" cm="1">
        <f t="array" ref="AL194">AE204</f>
        <v>46023.664456018516</v>
      </c>
      <c r="AM194" s="388" t="str" cm="1">
        <f t="array" ref="AM194">AE205</f>
        <v>Метод индексации</v>
      </c>
      <c r="AN194" s="44" t="b">
        <f>IF(ISERR(SEARCH("трансп",AI194)),FALSE,TRUE)</f>
        <v>0</v>
      </c>
    </row>
    <row r="195" spans="2:40" ht="15.75" customHeight="1">
      <c r="B195" s="44" t="b">
        <f t="shared" si="8"/>
        <v>1</v>
      </c>
      <c r="E195" s="477">
        <v>16.5</v>
      </c>
      <c r="F195" s="44" t="str" cm="1">
        <f t="array" ref="F195">F194</f>
        <v>1</v>
      </c>
      <c r="V195" s="185"/>
      <c r="W195" s="367" t="b" cm="1">
        <f t="array" ref="W195">W194</f>
        <v>1</v>
      </c>
      <c r="Z195" s="999"/>
      <c r="AA195" s="1001"/>
      <c r="AB195" s="1010"/>
      <c r="AC195" s="1011"/>
      <c r="AD195" s="307" t="s">
        <v>265</v>
      </c>
      <c r="AE195" s="304" t="s">
        <v>277</v>
      </c>
      <c r="AF195" s="1000"/>
      <c r="AH195" s="44">
        <v>8276067396</v>
      </c>
    </row>
    <row r="196" spans="2:40" ht="15.75" customHeight="1">
      <c r="B196" s="44" t="b">
        <f t="shared" si="8"/>
        <v>1</v>
      </c>
      <c r="E196" s="477">
        <v>16.5</v>
      </c>
      <c r="F196" s="44" t="str" cm="1">
        <f t="array" ref="F196">F195</f>
        <v>1</v>
      </c>
      <c r="V196" s="185"/>
      <c r="W196" s="367" t="b" cm="1">
        <f t="array" ref="W196">W195</f>
        <v>1</v>
      </c>
      <c r="Z196" s="999"/>
      <c r="AA196" s="1001"/>
      <c r="AB196" s="1010"/>
      <c r="AC196" s="1011"/>
      <c r="AD196" s="307" t="s">
        <v>266</v>
      </c>
      <c r="AE196" s="306" t="s">
        <v>278</v>
      </c>
      <c r="AF196" s="1000"/>
    </row>
    <row r="197" spans="2:40" ht="15.75" customHeight="1">
      <c r="B197" s="44" t="b">
        <f t="shared" si="8"/>
        <v>1</v>
      </c>
      <c r="E197" s="477">
        <v>16.5</v>
      </c>
      <c r="F197" s="44" t="str" cm="1">
        <f t="array" ref="F197">F196</f>
        <v>1</v>
      </c>
      <c r="V197" s="185"/>
      <c r="W197" s="367" t="b" cm="1">
        <f t="array" ref="W197">W196</f>
        <v>1</v>
      </c>
      <c r="Z197" s="999"/>
      <c r="AA197" s="1001"/>
      <c r="AB197" s="1010"/>
      <c r="AC197" s="1011"/>
      <c r="AD197" s="307" t="s">
        <v>267</v>
      </c>
      <c r="AE197" s="306" t="s">
        <v>279</v>
      </c>
      <c r="AF197" s="1000"/>
    </row>
    <row r="198" spans="2:40" ht="23.25" customHeight="1">
      <c r="B198" s="44" t="b">
        <f t="shared" si="8"/>
        <v>1</v>
      </c>
      <c r="E198" s="477">
        <v>16.5</v>
      </c>
      <c r="F198" s="44" t="str" cm="1">
        <f t="array" ref="F198">F197</f>
        <v>1</v>
      </c>
      <c r="V198" s="185"/>
      <c r="W198" s="367" t="b" cm="1">
        <f t="array" ref="W198">W197</f>
        <v>1</v>
      </c>
      <c r="Z198" s="999"/>
      <c r="AA198" s="1001"/>
      <c r="AB198" s="1010"/>
      <c r="AC198" s="1011"/>
      <c r="AD198" s="307" t="s">
        <v>268</v>
      </c>
      <c r="AE198" s="549" t="s">
        <v>280</v>
      </c>
      <c r="AF198" s="1000"/>
    </row>
    <row r="199" spans="2:40" ht="15.75" customHeight="1">
      <c r="B199" s="44" t="b">
        <f t="shared" si="8"/>
        <v>1</v>
      </c>
      <c r="E199" s="477">
        <v>16.5</v>
      </c>
      <c r="F199" s="44" t="str" cm="1">
        <f t="array" ref="F199">F198</f>
        <v>1</v>
      </c>
      <c r="V199" s="185"/>
      <c r="W199" s="367" t="b" cm="1">
        <f t="array" ref="W199">W198</f>
        <v>1</v>
      </c>
      <c r="Z199" s="999"/>
      <c r="AA199" s="1001"/>
      <c r="AB199" s="1010"/>
      <c r="AC199" s="1011"/>
      <c r="AD199" s="35" t="str">
        <f>IF(AE194="Водоотведение","Вид сточных вод","Вид воды")</f>
        <v>Вид воды</v>
      </c>
      <c r="AE199" s="306" t="s">
        <v>281</v>
      </c>
      <c r="AF199" s="1000"/>
    </row>
    <row r="200" spans="2:40" ht="16.149999999999999" customHeight="1">
      <c r="B200" s="44" t="b">
        <f t="shared" si="8"/>
        <v>1</v>
      </c>
      <c r="E200" s="477">
        <v>16.5</v>
      </c>
      <c r="F200" s="44" t="str" cm="1">
        <f t="array" ref="F200">F199</f>
        <v>1</v>
      </c>
      <c r="V200" s="185"/>
      <c r="W200" s="367" t="b" cm="1">
        <f t="array" ref="W200">W199</f>
        <v>1</v>
      </c>
      <c r="Z200" s="999"/>
      <c r="AA200" s="1001"/>
      <c r="AB200" s="1010"/>
      <c r="AC200" s="1011"/>
      <c r="AD200" s="35" t="s">
        <v>269</v>
      </c>
      <c r="AE200" s="549" t="s">
        <v>282</v>
      </c>
      <c r="AF200" s="1000"/>
    </row>
    <row r="201" spans="2:40" ht="15.75" customHeight="1">
      <c r="B201" s="353" t="b">
        <f t="shared" ref="B201:B207" si="9">AND(org_declaration="Заявление организации",NOT(FIRST_TIME_REG=""))</f>
        <v>1</v>
      </c>
      <c r="E201" s="477">
        <v>16.5</v>
      </c>
      <c r="F201" s="44" t="str" cm="1">
        <f t="array" ref="F201">F200</f>
        <v>1</v>
      </c>
      <c r="V201" s="185"/>
      <c r="W201" s="367" t="b" cm="1">
        <f t="array" ref="W201">W200</f>
        <v>1</v>
      </c>
      <c r="Z201" s="999"/>
      <c r="AA201" s="1001"/>
      <c r="AB201" s="1010"/>
      <c r="AC201" s="1011"/>
      <c r="AD201" s="307" t="s">
        <v>270</v>
      </c>
      <c r="AE201" s="302" t="s">
        <v>283</v>
      </c>
      <c r="AF201" s="1000"/>
    </row>
    <row r="202" spans="2:40" ht="15.75" customHeight="1">
      <c r="B202" s="353" t="b">
        <f t="shared" si="9"/>
        <v>1</v>
      </c>
      <c r="E202" s="477">
        <v>16.5</v>
      </c>
      <c r="F202" s="44" t="str" cm="1">
        <f t="array" ref="F202">F201</f>
        <v>1</v>
      </c>
      <c r="V202" s="185"/>
      <c r="W202" s="367" t="b" cm="1">
        <f t="array" ref="W202">W201</f>
        <v>1</v>
      </c>
      <c r="Z202" s="999"/>
      <c r="AA202" s="1001"/>
      <c r="AB202" s="1010"/>
      <c r="AC202" s="1011"/>
      <c r="AD202" s="307" t="s">
        <v>271</v>
      </c>
      <c r="AE202" s="717">
        <v>45777</v>
      </c>
      <c r="AF202" s="1000"/>
    </row>
    <row r="203" spans="2:40" ht="12.75" customHeight="1">
      <c r="B203" s="353" t="b">
        <f t="shared" si="9"/>
        <v>1</v>
      </c>
      <c r="E203" s="477">
        <v>16.5</v>
      </c>
      <c r="F203" s="44" t="str" cm="1">
        <f t="array" ref="F203">F202</f>
        <v>1</v>
      </c>
      <c r="V203" s="185"/>
      <c r="W203" s="367" t="b" cm="1">
        <f t="array" ref="W203">W202</f>
        <v>1</v>
      </c>
      <c r="Z203" s="999"/>
      <c r="AA203" s="1001"/>
      <c r="AB203" s="1010"/>
      <c r="AC203" s="1011"/>
      <c r="AD203" s="307" t="s">
        <v>272</v>
      </c>
      <c r="AE203" s="313" t="s">
        <v>284</v>
      </c>
      <c r="AF203" s="1000"/>
    </row>
    <row r="204" spans="2:40" ht="15.75" customHeight="1">
      <c r="B204" s="353" t="b">
        <f t="shared" si="9"/>
        <v>1</v>
      </c>
      <c r="E204" s="477">
        <v>16.5</v>
      </c>
      <c r="F204" s="44" t="str" cm="1">
        <f t="array" ref="F204">F203</f>
        <v>1</v>
      </c>
      <c r="V204" s="185"/>
      <c r="W204" s="367" t="b" cm="1">
        <f t="array" ref="W204">W203</f>
        <v>1</v>
      </c>
      <c r="Z204" s="999"/>
      <c r="AA204" s="1001"/>
      <c r="AB204" s="1010"/>
      <c r="AC204" s="1011"/>
      <c r="AD204" s="307" t="s">
        <v>273</v>
      </c>
      <c r="AE204" s="635">
        <v>46023.664456018516</v>
      </c>
      <c r="AF204" s="1000"/>
    </row>
    <row r="205" spans="2:40" ht="15.75" customHeight="1">
      <c r="B205" s="353" t="b">
        <f t="shared" si="9"/>
        <v>1</v>
      </c>
      <c r="E205" s="477">
        <v>16.5</v>
      </c>
      <c r="F205" s="44" t="str" cm="1">
        <f t="array" ref="F205">F204</f>
        <v>1</v>
      </c>
      <c r="V205" s="185"/>
      <c r="W205" s="367" t="b" cm="1">
        <f t="array" ref="W205">W204</f>
        <v>1</v>
      </c>
      <c r="Z205" s="999"/>
      <c r="AA205" s="1001"/>
      <c r="AB205" s="1010"/>
      <c r="AC205" s="1011"/>
      <c r="AD205" s="307" t="s">
        <v>274</v>
      </c>
      <c r="AE205" s="359" t="s">
        <v>104</v>
      </c>
      <c r="AF205" s="1000"/>
    </row>
    <row r="206" spans="2:40" ht="21.75" customHeight="1">
      <c r="B206" s="353" t="b">
        <f t="shared" si="9"/>
        <v>1</v>
      </c>
      <c r="E206" s="477">
        <v>22.5</v>
      </c>
      <c r="F206" s="44" t="str" cm="1">
        <f t="array" ref="F206">F205</f>
        <v>1</v>
      </c>
      <c r="V206" s="185"/>
      <c r="W206" s="367" t="b">
        <f>AND(W205,AE205&lt;&gt;"Метод экономически обоснованных расходов",AE205&lt;&gt;"Метод сравнения аналогов")</f>
        <v>1</v>
      </c>
      <c r="Z206" s="999"/>
      <c r="AA206" s="1001"/>
      <c r="AB206" s="1010"/>
      <c r="AC206" s="1011"/>
      <c r="AD206" s="35"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59">
        <v>2024</v>
      </c>
      <c r="AF206" s="1000"/>
    </row>
    <row r="207" spans="2:40" ht="15.75" customHeight="1">
      <c r="B207" s="353" t="b">
        <f t="shared" si="9"/>
        <v>1</v>
      </c>
      <c r="E207" s="477">
        <v>16.5</v>
      </c>
      <c r="F207" s="44" t="str" cm="1">
        <f t="array" ref="F207">F206</f>
        <v>1</v>
      </c>
      <c r="V207" s="185"/>
      <c r="W207" s="367" t="b">
        <f>AND(W206,AE205&lt;&gt;"Метод экономически обоснованных расходов",AE205&lt;&gt;"Метод сравнения аналогов")</f>
        <v>1</v>
      </c>
      <c r="Z207" s="999"/>
      <c r="AA207" s="1001"/>
      <c r="AB207" s="1010"/>
      <c r="AC207" s="1011"/>
      <c r="AD207" s="307" t="s">
        <v>107</v>
      </c>
      <c r="AE207" s="359">
        <v>5</v>
      </c>
      <c r="AF207" s="1000"/>
    </row>
    <row r="208" spans="2:40" ht="18" customHeight="1">
      <c r="B208" s="44" t="b">
        <f t="shared" ref="B208:B214" si="10">NOT(FIRST_TIME_REG="")</f>
        <v>1</v>
      </c>
      <c r="E208" s="477">
        <v>18.75</v>
      </c>
      <c r="F208" s="44" t="str" cm="1">
        <f t="array" ref="F208">Z208</f>
        <v>2</v>
      </c>
      <c r="V208" s="185" t="str" cm="1">
        <f t="array" ref="V208">AE209</f>
        <v>ВО.42.28976681.0003</v>
      </c>
      <c r="W208" s="367" t="b">
        <f>Z208&gt;0</f>
        <v>1</v>
      </c>
      <c r="Z208" s="999" t="s">
        <v>285</v>
      </c>
      <c r="AA208" s="1001"/>
      <c r="AB208" s="1010"/>
      <c r="AC208" s="1011"/>
      <c r="AD208" s="311" t="str">
        <f>"Тариф "&amp;Z208</f>
        <v>Тариф 2</v>
      </c>
      <c r="AE208" s="312" t="s">
        <v>286</v>
      </c>
      <c r="AF208" s="1000" t="s">
        <v>174</v>
      </c>
      <c r="AG208" s="44" t="str">
        <f>AD208&amp;" ("&amp;AE208&amp;") - "&amp;AE210&amp;IF(AE214="",""," ("&amp;AE214&amp;")")</f>
        <v>Тариф 2 (Водоотведение) - тариф на водоотведение (Доп. признак не требуется)</v>
      </c>
      <c r="AH208" s="44" t="str" cm="1">
        <f t="array" ref="AH208">AE213</f>
        <v>без дифференциации</v>
      </c>
      <c r="AI208" s="185" t="str" cm="1">
        <f t="array" ref="AI208">AE210</f>
        <v>тариф на водоотведение</v>
      </c>
      <c r="AJ208" s="44" t="str" cm="1">
        <f t="array" ref="AJ208">AE214</f>
        <v>Доп. признак не требуется</v>
      </c>
      <c r="AK208" s="44" t="str" cm="1">
        <f t="array" ref="AK208">AE211</f>
        <v>одноставочный</v>
      </c>
      <c r="AL208" s="609" cm="1">
        <f t="array" ref="AL208">AE218</f>
        <v>46023.665891203702</v>
      </c>
      <c r="AM208" s="388" t="str" cm="1">
        <f t="array" ref="AM208">AE219</f>
        <v>Метод индексации</v>
      </c>
      <c r="AN208" s="44" t="b">
        <f>IF(ISERR(SEARCH("трансп",AI208)),FALSE,TRUE)</f>
        <v>0</v>
      </c>
    </row>
    <row r="209" spans="2:34" ht="15.75" customHeight="1">
      <c r="B209" s="44" t="b">
        <f t="shared" si="10"/>
        <v>1</v>
      </c>
      <c r="E209" s="477">
        <v>16.5</v>
      </c>
      <c r="F209" s="44" t="str" cm="1">
        <f t="array" ref="F209">F208</f>
        <v>2</v>
      </c>
      <c r="V209" s="185"/>
      <c r="W209" s="367" t="b" cm="1">
        <f t="array" ref="W209">W208</f>
        <v>1</v>
      </c>
      <c r="Z209" s="999"/>
      <c r="AA209" s="1001"/>
      <c r="AB209" s="1010"/>
      <c r="AC209" s="1011"/>
      <c r="AD209" s="307" t="s">
        <v>265</v>
      </c>
      <c r="AE209" s="304" t="s">
        <v>287</v>
      </c>
      <c r="AF209" s="1000"/>
      <c r="AH209" s="44">
        <v>8276067396</v>
      </c>
    </row>
    <row r="210" spans="2:34" ht="15.75" customHeight="1">
      <c r="B210" s="44" t="b">
        <f t="shared" si="10"/>
        <v>1</v>
      </c>
      <c r="E210" s="477">
        <v>16.5</v>
      </c>
      <c r="F210" s="44" t="str" cm="1">
        <f t="array" ref="F210">F209</f>
        <v>2</v>
      </c>
      <c r="V210" s="185"/>
      <c r="W210" s="367" t="b" cm="1">
        <f t="array" ref="W210">W209</f>
        <v>1</v>
      </c>
      <c r="Z210" s="999"/>
      <c r="AA210" s="1001"/>
      <c r="AB210" s="1010"/>
      <c r="AC210" s="1011"/>
      <c r="AD210" s="307" t="s">
        <v>266</v>
      </c>
      <c r="AE210" s="306" t="s">
        <v>288</v>
      </c>
      <c r="AF210" s="1000"/>
    </row>
    <row r="211" spans="2:34" ht="15.75" customHeight="1">
      <c r="B211" s="44" t="b">
        <f t="shared" si="10"/>
        <v>1</v>
      </c>
      <c r="E211" s="477">
        <v>16.5</v>
      </c>
      <c r="F211" s="44" t="str" cm="1">
        <f t="array" ref="F211">F210</f>
        <v>2</v>
      </c>
      <c r="V211" s="185"/>
      <c r="W211" s="367" t="b" cm="1">
        <f t="array" ref="W211">W210</f>
        <v>1</v>
      </c>
      <c r="Z211" s="999"/>
      <c r="AA211" s="1001"/>
      <c r="AB211" s="1010"/>
      <c r="AC211" s="1011"/>
      <c r="AD211" s="307" t="s">
        <v>267</v>
      </c>
      <c r="AE211" s="306" t="s">
        <v>279</v>
      </c>
      <c r="AF211" s="1000"/>
    </row>
    <row r="212" spans="2:34" ht="12.75" customHeight="1">
      <c r="B212" s="44" t="b">
        <f t="shared" si="10"/>
        <v>1</v>
      </c>
      <c r="E212" s="477">
        <v>16.5</v>
      </c>
      <c r="F212" s="44" t="str" cm="1">
        <f t="array" ref="F212">F211</f>
        <v>2</v>
      </c>
      <c r="V212" s="185"/>
      <c r="W212" s="367" t="b" cm="1">
        <f t="array" ref="W212">W211</f>
        <v>1</v>
      </c>
      <c r="Z212" s="999"/>
      <c r="AA212" s="1001"/>
      <c r="AB212" s="1010"/>
      <c r="AC212" s="1011"/>
      <c r="AD212" s="307" t="s">
        <v>268</v>
      </c>
      <c r="AE212" s="549" t="s">
        <v>289</v>
      </c>
      <c r="AF212" s="1000"/>
    </row>
    <row r="213" spans="2:34" ht="15.75" customHeight="1">
      <c r="B213" s="44" t="b">
        <f t="shared" si="10"/>
        <v>1</v>
      </c>
      <c r="E213" s="477">
        <v>16.5</v>
      </c>
      <c r="F213" s="44" t="str" cm="1">
        <f t="array" ref="F213">F212</f>
        <v>2</v>
      </c>
      <c r="V213" s="185"/>
      <c r="W213" s="367" t="b" cm="1">
        <f t="array" ref="W213">W212</f>
        <v>1</v>
      </c>
      <c r="Z213" s="999"/>
      <c r="AA213" s="1001"/>
      <c r="AB213" s="1010"/>
      <c r="AC213" s="1011"/>
      <c r="AD213" s="35" t="str">
        <f>IF(AE208="Водоотведение","Вид сточных вод","Вид воды")</f>
        <v>Вид сточных вод</v>
      </c>
      <c r="AE213" s="306" t="s">
        <v>290</v>
      </c>
      <c r="AF213" s="1000"/>
    </row>
    <row r="214" spans="2:34" ht="16.149999999999999" customHeight="1">
      <c r="B214" s="44" t="b">
        <f t="shared" si="10"/>
        <v>1</v>
      </c>
      <c r="E214" s="477">
        <v>16.5</v>
      </c>
      <c r="F214" s="44" t="str" cm="1">
        <f t="array" ref="F214">F213</f>
        <v>2</v>
      </c>
      <c r="V214" s="185"/>
      <c r="W214" s="367" t="b" cm="1">
        <f t="array" ref="W214">W213</f>
        <v>1</v>
      </c>
      <c r="Z214" s="999"/>
      <c r="AA214" s="1001"/>
      <c r="AB214" s="1010"/>
      <c r="AC214" s="1011"/>
      <c r="AD214" s="35" t="s">
        <v>269</v>
      </c>
      <c r="AE214" s="549" t="s">
        <v>282</v>
      </c>
      <c r="AF214" s="1000"/>
    </row>
    <row r="215" spans="2:34" ht="15.75" customHeight="1">
      <c r="B215" s="353" t="b">
        <f t="shared" ref="B215:B221" si="11">AND(org_declaration="Заявление организации",NOT(FIRST_TIME_REG=""))</f>
        <v>1</v>
      </c>
      <c r="E215" s="477">
        <v>16.5</v>
      </c>
      <c r="F215" s="44" t="str" cm="1">
        <f t="array" ref="F215">F214</f>
        <v>2</v>
      </c>
      <c r="V215" s="185"/>
      <c r="W215" s="367" t="b" cm="1">
        <f t="array" ref="W215">W214</f>
        <v>1</v>
      </c>
      <c r="Z215" s="999"/>
      <c r="AA215" s="1001"/>
      <c r="AB215" s="1010"/>
      <c r="AC215" s="1011"/>
      <c r="AD215" s="307" t="s">
        <v>270</v>
      </c>
      <c r="AE215" s="302" t="s">
        <v>283</v>
      </c>
      <c r="AF215" s="1000"/>
    </row>
    <row r="216" spans="2:34" ht="15.75" customHeight="1">
      <c r="B216" s="353" t="b">
        <f t="shared" si="11"/>
        <v>1</v>
      </c>
      <c r="E216" s="477">
        <v>16.5</v>
      </c>
      <c r="F216" s="44" t="str" cm="1">
        <f t="array" ref="F216">F215</f>
        <v>2</v>
      </c>
      <c r="V216" s="185"/>
      <c r="W216" s="367" t="b" cm="1">
        <f t="array" ref="W216">W215</f>
        <v>1</v>
      </c>
      <c r="Z216" s="999"/>
      <c r="AA216" s="1001"/>
      <c r="AB216" s="1010"/>
      <c r="AC216" s="1011"/>
      <c r="AD216" s="307" t="s">
        <v>271</v>
      </c>
      <c r="AE216" s="717">
        <v>45777</v>
      </c>
      <c r="AF216" s="1000"/>
    </row>
    <row r="217" spans="2:34" ht="12.75" customHeight="1">
      <c r="B217" s="353" t="b">
        <f t="shared" si="11"/>
        <v>1</v>
      </c>
      <c r="E217" s="477">
        <v>16.5</v>
      </c>
      <c r="F217" s="44" t="str" cm="1">
        <f t="array" ref="F217">F216</f>
        <v>2</v>
      </c>
      <c r="V217" s="185"/>
      <c r="W217" s="367" t="b" cm="1">
        <f t="array" ref="W217">W216</f>
        <v>1</v>
      </c>
      <c r="Z217" s="999"/>
      <c r="AA217" s="1001"/>
      <c r="AB217" s="1010"/>
      <c r="AC217" s="1011"/>
      <c r="AD217" s="307" t="s">
        <v>272</v>
      </c>
      <c r="AE217" s="313" t="s">
        <v>284</v>
      </c>
      <c r="AF217" s="1000"/>
    </row>
    <row r="218" spans="2:34" ht="15.75" customHeight="1">
      <c r="B218" s="353" t="b">
        <f t="shared" si="11"/>
        <v>1</v>
      </c>
      <c r="E218" s="477">
        <v>16.5</v>
      </c>
      <c r="F218" s="44" t="str" cm="1">
        <f t="array" ref="F218">F217</f>
        <v>2</v>
      </c>
      <c r="V218" s="185"/>
      <c r="W218" s="367" t="b" cm="1">
        <f t="array" ref="W218">W217</f>
        <v>1</v>
      </c>
      <c r="Z218" s="999"/>
      <c r="AA218" s="1001"/>
      <c r="AB218" s="1010"/>
      <c r="AC218" s="1011"/>
      <c r="AD218" s="307" t="s">
        <v>273</v>
      </c>
      <c r="AE218" s="635">
        <v>46023.665891203702</v>
      </c>
      <c r="AF218" s="1000"/>
    </row>
    <row r="219" spans="2:34" ht="15.75" customHeight="1">
      <c r="B219" s="353" t="b">
        <f t="shared" si="11"/>
        <v>1</v>
      </c>
      <c r="E219" s="477">
        <v>16.5</v>
      </c>
      <c r="F219" s="44" t="str" cm="1">
        <f t="array" ref="F219">F218</f>
        <v>2</v>
      </c>
      <c r="V219" s="185"/>
      <c r="W219" s="367" t="b" cm="1">
        <f t="array" ref="W219">W218</f>
        <v>1</v>
      </c>
      <c r="Z219" s="999"/>
      <c r="AA219" s="1001"/>
      <c r="AB219" s="1010"/>
      <c r="AC219" s="1011"/>
      <c r="AD219" s="307" t="s">
        <v>274</v>
      </c>
      <c r="AE219" s="359" t="s">
        <v>104</v>
      </c>
      <c r="AF219" s="1000"/>
    </row>
    <row r="220" spans="2:34" ht="21.75" customHeight="1">
      <c r="B220" s="353" t="b">
        <f t="shared" si="11"/>
        <v>1</v>
      </c>
      <c r="E220" s="477">
        <v>22.5</v>
      </c>
      <c r="F220" s="44" t="str" cm="1">
        <f t="array" ref="F220">F219</f>
        <v>2</v>
      </c>
      <c r="V220" s="185"/>
      <c r="W220" s="367" t="b">
        <f>AND(W219,AE219&lt;&gt;"Метод экономически обоснованных расходов",AE219&lt;&gt;"Метод сравнения аналогов")</f>
        <v>1</v>
      </c>
      <c r="Z220" s="999"/>
      <c r="AA220" s="1001"/>
      <c r="AB220" s="1010"/>
      <c r="AC220" s="1011"/>
      <c r="AD220" s="35"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359">
        <v>2024</v>
      </c>
      <c r="AF220" s="1000"/>
    </row>
    <row r="221" spans="2:34" ht="15.75" customHeight="1">
      <c r="B221" s="353" t="b">
        <f t="shared" si="11"/>
        <v>1</v>
      </c>
      <c r="E221" s="477">
        <v>16.5</v>
      </c>
      <c r="F221" s="44" t="str" cm="1">
        <f t="array" ref="F221">F220</f>
        <v>2</v>
      </c>
      <c r="V221" s="185"/>
      <c r="W221" s="367" t="b">
        <f>AND(W220,AE219&lt;&gt;"Метод экономически обоснованных расходов",AE219&lt;&gt;"Метод сравнения аналогов")</f>
        <v>1</v>
      </c>
      <c r="Z221" s="999"/>
      <c r="AA221" s="1001"/>
      <c r="AB221" s="1010"/>
      <c r="AC221" s="1011"/>
      <c r="AD221" s="307" t="s">
        <v>107</v>
      </c>
      <c r="AE221" s="359">
        <v>5</v>
      </c>
      <c r="AF221" s="1000"/>
    </row>
    <row r="222" spans="2:34" ht="18.95" customHeight="1">
      <c r="B222" s="341" t="b">
        <f>NOT(FIRST_TIME_REG="")</f>
        <v>1</v>
      </c>
      <c r="E222" s="477">
        <v>19.5</v>
      </c>
      <c r="F222" s="105" t="s">
        <v>291</v>
      </c>
      <c r="X222" s="223" t="s">
        <v>292</v>
      </c>
      <c r="Z222" s="44"/>
      <c r="AB222" s="1012"/>
      <c r="AC222" s="1013"/>
      <c r="AD222" s="383" t="s">
        <v>293</v>
      </c>
      <c r="AE222" s="194"/>
    </row>
    <row r="223" spans="2:34" ht="18.95" customHeight="1">
      <c r="E223" s="477">
        <v>19.5</v>
      </c>
      <c r="Z223" s="44"/>
      <c r="AB223" s="1044" t="s">
        <v>294</v>
      </c>
      <c r="AC223" s="1045"/>
      <c r="AD223" s="307" t="s">
        <v>295</v>
      </c>
      <c r="AE223" s="297" t="s">
        <v>296</v>
      </c>
      <c r="AG223" s="44" t="s">
        <v>297</v>
      </c>
    </row>
    <row r="224" spans="2:34" ht="18.95" customHeight="1">
      <c r="E224" s="477">
        <v>19.5</v>
      </c>
      <c r="Z224" s="44"/>
      <c r="AB224" s="1044"/>
      <c r="AC224" s="1045"/>
      <c r="AD224" s="307" t="s">
        <v>298</v>
      </c>
      <c r="AE224" s="297" t="s">
        <v>299</v>
      </c>
      <c r="AG224" s="44" t="s">
        <v>300</v>
      </c>
    </row>
    <row r="225" spans="1:53" ht="18.95" customHeight="1">
      <c r="E225" s="477">
        <v>19.5</v>
      </c>
      <c r="Z225" s="44"/>
      <c r="AB225" s="1044"/>
      <c r="AC225" s="1045"/>
      <c r="AD225" s="307" t="s">
        <v>301</v>
      </c>
      <c r="AE225" s="297" t="s">
        <v>302</v>
      </c>
      <c r="AG225" s="44" t="s">
        <v>303</v>
      </c>
    </row>
    <row r="226" spans="1:53" ht="18.95" customHeight="1">
      <c r="E226" s="477">
        <v>19.5</v>
      </c>
      <c r="Z226" s="44"/>
      <c r="AB226" s="1044"/>
      <c r="AC226" s="1045"/>
      <c r="AD226" s="307" t="s">
        <v>304</v>
      </c>
      <c r="AE226" s="297" t="s">
        <v>305</v>
      </c>
      <c r="AG226" s="44" t="s">
        <v>306</v>
      </c>
    </row>
    <row r="227" spans="1:53" ht="18.95" customHeight="1">
      <c r="E227" s="477">
        <v>19.5</v>
      </c>
      <c r="Z227" s="44"/>
      <c r="AB227" s="1044"/>
      <c r="AC227" s="1045"/>
      <c r="AD227" s="307" t="s">
        <v>307</v>
      </c>
      <c r="AE227" s="297" t="s">
        <v>308</v>
      </c>
      <c r="AG227" s="44" t="s">
        <v>309</v>
      </c>
    </row>
    <row r="228" spans="1:53" ht="18.95" hidden="1" customHeight="1">
      <c r="E228" s="477">
        <v>19.5</v>
      </c>
      <c r="W228" s="367" t="b">
        <f>ROW(X228)&gt;ROW(X$228)</f>
        <v>0</v>
      </c>
      <c r="X228" s="44" t="s">
        <v>264</v>
      </c>
      <c r="Z228" s="44"/>
      <c r="AB228" s="1044"/>
      <c r="AC228" s="1045"/>
      <c r="AD228" s="828"/>
      <c r="AE228" s="330"/>
      <c r="AF228" s="476" t="s">
        <v>174</v>
      </c>
    </row>
    <row r="229" spans="1:53" ht="14.65" customHeight="1">
      <c r="E229" s="477">
        <v>15</v>
      </c>
      <c r="X229" s="223" t="s">
        <v>176</v>
      </c>
      <c r="Z229" s="44"/>
      <c r="AB229" s="1044"/>
      <c r="AC229" s="1045"/>
      <c r="AD229" s="308" t="s">
        <v>310</v>
      </c>
      <c r="AE229" s="282"/>
    </row>
    <row r="230" spans="1:53" ht="18.95" customHeight="1">
      <c r="E230" s="477">
        <v>19.5</v>
      </c>
      <c r="Z230" s="44"/>
      <c r="AB230" s="1044"/>
      <c r="AC230" s="1045"/>
      <c r="AD230" s="307" t="s">
        <v>311</v>
      </c>
      <c r="AE230" s="309" t="str" cm="1">
        <f t="array" ref="AE230">method_reg</f>
        <v>Метод индексации</v>
      </c>
    </row>
    <row r="231" spans="1:53" ht="18.95" customHeight="1">
      <c r="E231" s="477">
        <v>19.5</v>
      </c>
      <c r="Z231" s="44"/>
      <c r="AB231" s="1044"/>
      <c r="AC231" s="1045"/>
      <c r="AD231" s="307" t="s">
        <v>105</v>
      </c>
      <c r="AE231" s="310" cm="1">
        <f t="array" ref="AE231">god</f>
        <v>2026</v>
      </c>
    </row>
    <row r="232" spans="1:53" ht="18.95" customHeight="1">
      <c r="B232" s="353" t="b">
        <f>AND(NOT(method_reg="Метод экономически обоснованных расходов"),NOT(method_reg="Метод сравнения аналогов"))</f>
        <v>1</v>
      </c>
      <c r="E232" s="477">
        <v>19.5</v>
      </c>
      <c r="Z232" s="44"/>
      <c r="AB232" s="1044"/>
      <c r="AC232" s="1045"/>
      <c r="AD232" s="307" t="s">
        <v>106</v>
      </c>
      <c r="AE232" s="310" cm="1">
        <f t="array" ref="AE232">first_year</f>
        <v>2024</v>
      </c>
    </row>
    <row r="233" spans="1:53" ht="18.95" customHeight="1">
      <c r="B233" s="353" t="b">
        <f>AND(NOT(method_reg="Метод экономически обоснованных расходов"),NOT(method_reg="Метод сравнения аналогов"))</f>
        <v>1</v>
      </c>
      <c r="E233" s="477">
        <v>19.5</v>
      </c>
      <c r="Z233" s="44"/>
      <c r="AB233" s="1046"/>
      <c r="AC233" s="1047"/>
      <c r="AD233" s="307" t="s">
        <v>107</v>
      </c>
      <c r="AE233" s="310" cm="1">
        <f t="array" ref="AE233">PERIOD_LENGTH</f>
        <v>5</v>
      </c>
    </row>
    <row r="234" spans="1:53" ht="37.15" customHeight="1">
      <c r="E234" s="477">
        <v>38</v>
      </c>
      <c r="Z234" s="44"/>
      <c r="AB234" s="1041" t="s">
        <v>312</v>
      </c>
      <c r="AC234" s="1048"/>
      <c r="AD234" s="1042"/>
      <c r="AE234" s="303" t="s">
        <v>160</v>
      </c>
      <c r="AF234" s="373"/>
    </row>
    <row r="235" spans="1:53" ht="10.9" customHeight="1">
      <c r="E235" s="477">
        <v>11.25</v>
      </c>
      <c r="Z235" s="44"/>
      <c r="AF235" s="41"/>
    </row>
    <row r="236" spans="1:53" ht="18.95" customHeight="1">
      <c r="A236"/>
      <c r="B236" s="353" t="b">
        <f>AND(NOT(god=first_year),(method_reg="Метод индексации"))</f>
        <v>1</v>
      </c>
      <c r="C236"/>
      <c r="D236"/>
      <c r="E236" s="478">
        <v>19.5</v>
      </c>
      <c r="F236"/>
      <c r="G236"/>
      <c r="H236"/>
      <c r="I236"/>
      <c r="J236"/>
      <c r="K236"/>
      <c r="L236"/>
      <c r="M236"/>
      <c r="N236"/>
      <c r="O236"/>
      <c r="P236"/>
      <c r="Q236"/>
      <c r="R236"/>
      <c r="S236"/>
      <c r="T236"/>
      <c r="U236"/>
      <c r="V236"/>
      <c r="W236"/>
      <c r="X236" s="318"/>
      <c r="Y236"/>
      <c r="Z236" s="44"/>
      <c r="AA236"/>
      <c r="AB236" s="1041" t="s">
        <v>313</v>
      </c>
      <c r="AC236" s="1048"/>
      <c r="AD236" s="1042"/>
      <c r="AE236" s="364" t="s">
        <v>160</v>
      </c>
      <c r="AF236" s="476"/>
      <c r="AG236" t="s">
        <v>314</v>
      </c>
      <c r="AH236"/>
      <c r="AI236"/>
      <c r="AJ236" s="327"/>
      <c r="AK236" s="327"/>
      <c r="AL236" s="327"/>
      <c r="AM236" s="327"/>
      <c r="AN236" s="327"/>
      <c r="AO236"/>
      <c r="AP236"/>
      <c r="AQ236"/>
      <c r="AR236"/>
      <c r="AS236"/>
      <c r="AT236"/>
      <c r="AU236"/>
      <c r="AV236"/>
      <c r="AW236"/>
      <c r="AX236"/>
      <c r="AY236"/>
      <c r="AZ236"/>
      <c r="BA236"/>
    </row>
    <row r="237" spans="1:53" ht="11.25" customHeight="1">
      <c r="Z237" s="44"/>
      <c r="AF237" s="41"/>
    </row>
  </sheetData>
  <sheetProtection formatColumns="0" formatRows="0" insertRows="0" deleteColumns="0" deleteRows="0" sort="0" autoFilter="0"/>
  <mergeCells count="16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23:AC233"/>
    <mergeCell ref="AB234:AD234"/>
    <mergeCell ref="AB236:AD236"/>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36:AD136"/>
    <mergeCell ref="AB137:AB142"/>
    <mergeCell ref="AC137:AD137"/>
    <mergeCell ref="AC138:AD138"/>
    <mergeCell ref="AC139:AD139"/>
    <mergeCell ref="AC140:AD140"/>
    <mergeCell ref="AC141:AD141"/>
    <mergeCell ref="AC142:AD142"/>
    <mergeCell ref="AB151:AD151"/>
    <mergeCell ref="AB150:AD150"/>
    <mergeCell ref="AB143:AB14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61:AE161"/>
    <mergeCell ref="AB153:AC156"/>
    <mergeCell ref="AB158:AE158"/>
    <mergeCell ref="AB159:AE159"/>
    <mergeCell ref="AB160:AE160"/>
    <mergeCell ref="Z194:Z207"/>
    <mergeCell ref="AF194:AF207"/>
    <mergeCell ref="AA194:AA207"/>
    <mergeCell ref="Z208:Z221"/>
    <mergeCell ref="AF208:AF221"/>
    <mergeCell ref="AA208:AA221"/>
    <mergeCell ref="Z180:Z193"/>
    <mergeCell ref="AF180:AF193"/>
    <mergeCell ref="AB176:AC178"/>
    <mergeCell ref="AB179:AC222"/>
    <mergeCell ref="AA180:AA193"/>
  </mergeCells>
  <dataValidations count="26">
    <dataValidation type="list" allowBlank="1" showInputMessage="1" showErrorMessage="1" errorTitle="Внимание" error="Пожалуйста, выберите значение из списка!" sqref="AE53 AE108 AE84 AE96 AE122 AE136 AE69 AE71:AE72 AE234 AE175 AE151" xr:uid="{00000000-0002-0000-0400-000000000000}">
      <formula1>YES_NO</formula1>
    </dataValidation>
    <dataValidation type="list" showInputMessage="1" showErrorMessage="1" errorTitle="Внимание" error="Пожалуйста, выберите значение из списка" sqref="AE55" xr:uid="{00000000-0002-0000-0400-000001000000}">
      <formula1>OWNERSHIP_TYPE</formula1>
    </dataValidation>
    <dataValidation type="list" showInputMessage="1" showErrorMessage="1" errorTitle="Внимание" error="Пожалуйста, выберите значение из списка" sqref="AE54" xr:uid="{00000000-0002-0000-0400-000002000000}">
      <formula1>STATE_SHARE</formula1>
    </dataValidation>
    <dataValidation type="list" showDropDown="1" sqref="Z24" xr:uid="{00000000-0002-0000-0400-000003000000}">
      <formula1>year_list2</formula1>
    </dataValidation>
    <dataValidation type="list" showDropDown="1" sqref="Z26" xr:uid="{00000000-0002-0000-0400-000004000000}">
      <formula1>period_list</formula1>
    </dataValidation>
    <dataValidation type="list" showDropDown="1" sqref="Z45" xr:uid="{00000000-0002-0000-0400-000005000000}">
      <formula1>okopf_list</formula1>
    </dataValidation>
    <dataValidation type="list" showDropDown="1" sqref="Z53 Z234 Z71:Z72 Z84 Z96 Z108 Z122 Z136 Z151 Z56:Z60" xr:uid="{00000000-0002-0000-0400-000006000000}">
      <formula1>YES_NO</formula1>
    </dataValidation>
    <dataValidation type="list" showDropDown="1" showInputMessage="1" showErrorMessage="1" sqref="Z55" xr:uid="{00000000-0002-0000-0400-000007000000}">
      <formula1>OWNERSHIP_TYPE</formula1>
    </dataValidation>
    <dataValidation type="date" operator="notEqual" allowBlank="1" showInputMessage="1" showErrorMessage="1" sqref="Z81 Z88 Z100 Z126:Z134 Z140:Z148 Z76 Z93 Z105 Z112:Z120 Z178:Z179 Z222" xr:uid="{00000000-0002-0000-0400-000008000000}">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9000000}">
      <formula1>DOCUMENT_TYPES</formula1>
    </dataValidation>
    <dataValidation type="list" showInputMessage="1" showErrorMessage="1" errorTitle="Внимание" error="Пожалуйста, выберите значение из списка!" sqref="AE26" xr:uid="{00000000-0002-0000-0400-00000A000000}">
      <formula1>period_list</formula1>
    </dataValidation>
    <dataValidation type="list" showDropDown="1" showInputMessage="1" showErrorMessage="1" sqref="Z94 Z77 Z61:Z62 Z82 Z89 Z101 Z106" xr:uid="{00000000-0002-0000-0400-00000B000000}">
      <formula1>"FAS_URL"</formula1>
    </dataValidation>
    <dataValidation type="list" showDropDown="1" sqref="Z40" xr:uid="{00000000-0002-0000-0400-00000C000000}">
      <formula1>subsidiary_list</formula1>
    </dataValidation>
    <dataValidation type="list" showInputMessage="1" showErrorMessage="1" errorTitle="Внимание" error="Пожалуйста, выберите значение из списка!" sqref="AE25" xr:uid="{00000000-0002-0000-0400-00000D000000}">
      <formula1>YEAR_LIST</formula1>
    </dataValidation>
    <dataValidation type="list" allowBlank="1" showInputMessage="1" showErrorMessage="1" errorTitle="Ошибка" error="Выберите значение из списка" prompt="Выберите значение из списка" sqref="AE192 AE206 AE220" xr:uid="{00000000-0002-0000-0400-00000E000000}">
      <formula1>YEAR_LIST</formula1>
    </dataValidation>
    <dataValidation type="list" allowBlank="1" showInputMessage="1" showErrorMessage="1" errorTitle="Ошибка" error="Выберите значение из списка" prompt="Выберите значение из списка" sqref="AE193 AE207 AE221" xr:uid="{00000000-0002-0000-0400-00000F000000}">
      <formula1>period_list</formula1>
    </dataValidation>
    <dataValidation type="list" allowBlank="1" showInputMessage="1" showErrorMessage="1" errorTitle="Внимание" error="Пожалуйста, выберите значение из списка!" sqref="AE191 AE205 AE219" xr:uid="{00000000-0002-0000-0400-000010000000}">
      <formula1>TARIFF_CALC_METHOD</formula1>
    </dataValidation>
    <dataValidation type="list" allowBlank="1" showInputMessage="1" showErrorMessage="1" errorTitle="Ошибка" error="Выберите значение из списка" prompt="Выберите значение из списка" sqref="AE183 AE197 AE211" xr:uid="{00000000-0002-0000-0400-000011000000}">
      <formula1>tariff_type_list</formula1>
    </dataValidation>
    <dataValidation type="list" allowBlank="1" showInputMessage="1" showErrorMessage="1" sqref="AE23" xr:uid="{00000000-0002-0000-0400-000012000000}">
      <formula1>metod_list</formula1>
    </dataValidation>
    <dataValidation type="list" allowBlank="1" showInputMessage="1" showErrorMessage="1" sqref="AE236" xr:uid="{00000000-0002-0000-0400-000013000000}">
      <formula1>YES_NO</formula1>
    </dataValidation>
    <dataValidation type="list" allowBlank="1" showInputMessage="1" showErrorMessage="1" sqref="AB179" xr:uid="{00000000-0002-0000-0400-000014000000}">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15000000}">
      <formula1>COLDVSNA_VTARIFF</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16000000}">
      <formula1>COLDVSNA_VTOV</formula1>
    </dataValidation>
    <dataValidation type="textLength" operator="lessThanOrEqual" allowBlank="1" showInputMessage="1" showErrorMessage="1" errorTitle="Ошибка" error="Допускается ввод не более 900 символов!" sqref="AE65:AE67" xr:uid="{00000000-0002-0000-0400-000017000000}">
      <formula1>900</formula1>
    </dataValidation>
    <dataValidation type="list" allowBlank="1" showInputMessage="1" showErrorMessage="1" errorTitle="Ошибка" error="Выберите значение из списка" sqref="AE210" xr:uid="{00000000-0002-0000-0400-000018000000}">
      <formula1>VOTV_VTARIFF</formula1>
    </dataValidation>
    <dataValidation type="list" allowBlank="1" showInputMessage="1" showErrorMessage="1" errorTitle="Ошибка" error="Выберите значение из списка" sqref="AE213" xr:uid="{00000000-0002-0000-0400-000019000000}">
      <formula1>VOTV_VTOV</formula1>
    </dataValidation>
  </dataValidations>
  <hyperlinks>
    <hyperlink ref="AE49" r:id="rId1" xr:uid="{28AAD9EC-720E-7A38-4718-980BA7118328}"/>
    <hyperlink ref="AE61" r:id="rId2" xr:uid="{0E14A9F8-AD84-3018-1D78-4F6F41D6CC38}"/>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7DA55-2E08-43BA-2375-B34E500F4E98}">
  <sheetPr>
    <tabColor theme="3" tint="0.59999389629810485"/>
    <outlinePr summaryBelow="0" summaryRight="0"/>
    <pageSetUpPr fitToPage="1"/>
  </sheetPr>
  <dimension ref="A1:AR38"/>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cols>
    <col min="1" max="1" width="3.5703125" style="83" hidden="1" customWidth="1"/>
    <col min="2" max="2" width="8.5703125" style="338" hidden="1" customWidth="1"/>
    <col min="3" max="4" width="3.5703125" style="83" hidden="1" customWidth="1"/>
    <col min="5" max="5" width="3.5703125" style="593" hidden="1" customWidth="1"/>
    <col min="6" max="16" width="3.5703125" style="83" hidden="1" customWidth="1"/>
    <col min="17" max="17" width="3.5703125" style="643" hidden="1" customWidth="1"/>
    <col min="18" max="19" width="3.5703125" style="83" hidden="1" customWidth="1"/>
    <col min="20" max="20" width="3.5703125" style="327" hidden="1" customWidth="1"/>
    <col min="21" max="21" width="8.5703125" style="83" hidden="1" customWidth="1"/>
    <col min="22" max="25" width="6" style="83" hidden="1" customWidth="1"/>
    <col min="26" max="26" width="5.140625" style="83" hidden="1" customWidth="1"/>
    <col min="27" max="27" width="3.7109375" style="83" customWidth="1"/>
    <col min="28" max="28" width="11" style="39" customWidth="1"/>
    <col min="29" max="30" width="45" style="39" customWidth="1"/>
    <col min="31" max="31" width="14" style="52" customWidth="1"/>
    <col min="32" max="32" width="35" style="52" customWidth="1"/>
    <col min="33" max="33" width="35" style="39" customWidth="1"/>
    <col min="34" max="34" width="9.140625" style="39"/>
    <col min="35" max="41" width="9.140625" style="83" hidden="1"/>
    <col min="42" max="44" width="9.140625" style="39" hidden="1"/>
  </cols>
  <sheetData>
    <row r="1" spans="1:41" ht="11.25" hidden="1" customHeight="1">
      <c r="E1" s="83"/>
      <c r="F1" s="83" t="s">
        <v>315</v>
      </c>
      <c r="G1" s="83" t="s">
        <v>316</v>
      </c>
      <c r="U1" s="367" t="s">
        <v>93</v>
      </c>
      <c r="V1" s="365" t="s">
        <v>98</v>
      </c>
      <c r="W1" s="365" t="s">
        <v>94</v>
      </c>
      <c r="X1" s="365" t="s">
        <v>95</v>
      </c>
      <c r="Y1" s="365" t="s">
        <v>96</v>
      </c>
      <c r="Z1" s="365" t="s">
        <v>100</v>
      </c>
      <c r="AA1" s="367" t="s">
        <v>97</v>
      </c>
      <c r="AB1" s="366" t="s">
        <v>317</v>
      </c>
      <c r="AC1" s="366" t="s">
        <v>99</v>
      </c>
      <c r="AI1" s="83" t="s">
        <v>318</v>
      </c>
      <c r="AJ1" s="83" t="s">
        <v>319</v>
      </c>
      <c r="AK1" s="83" t="s">
        <v>320</v>
      </c>
      <c r="AL1" s="83" t="s">
        <v>321</v>
      </c>
      <c r="AM1" s="83" t="s">
        <v>322</v>
      </c>
      <c r="AN1" s="83" t="s">
        <v>323</v>
      </c>
      <c r="AO1" s="83" t="s">
        <v>324</v>
      </c>
    </row>
    <row r="2" spans="1:41" s="348" customFormat="1" ht="11.25" hidden="1" customHeight="1">
      <c r="A2" s="338"/>
      <c r="B2" s="644" t="s">
        <v>19</v>
      </c>
      <c r="C2" s="338"/>
      <c r="D2" s="338"/>
      <c r="E2" s="338"/>
      <c r="F2" s="338"/>
      <c r="G2" s="338"/>
      <c r="H2" s="338"/>
      <c r="I2" s="338"/>
      <c r="J2" s="338"/>
      <c r="K2" s="338"/>
      <c r="L2" s="338"/>
      <c r="M2" s="338"/>
      <c r="N2" s="338"/>
      <c r="O2" s="338"/>
      <c r="P2" s="338"/>
      <c r="Q2" s="338"/>
      <c r="R2" s="338"/>
      <c r="S2" s="338"/>
      <c r="T2" s="490"/>
      <c r="U2" s="223"/>
      <c r="V2" s="338"/>
      <c r="W2" s="338"/>
      <c r="X2" s="338"/>
      <c r="Y2" s="338"/>
      <c r="Z2" s="338"/>
      <c r="AA2" s="338"/>
      <c r="AI2" s="338"/>
      <c r="AJ2" s="338"/>
      <c r="AK2" s="338"/>
      <c r="AL2" s="338"/>
      <c r="AM2" s="338"/>
      <c r="AN2" s="338"/>
      <c r="AO2" s="338"/>
    </row>
    <row r="3" spans="1:41" ht="11.25" hidden="1" customHeight="1">
      <c r="E3" s="83"/>
    </row>
    <row r="4" spans="1:41" ht="11.25" hidden="1" customHeight="1">
      <c r="E4" s="83"/>
    </row>
    <row r="5" spans="1:41" s="468" customFormat="1" ht="11.25" hidden="1" customHeight="1">
      <c r="A5" s="83"/>
      <c r="B5" s="338"/>
      <c r="C5" s="83"/>
      <c r="D5" s="83"/>
      <c r="E5" s="645" t="s">
        <v>20</v>
      </c>
      <c r="F5" s="593"/>
      <c r="G5" s="593"/>
      <c r="H5" s="593"/>
      <c r="I5" s="593"/>
      <c r="J5" s="593"/>
      <c r="K5" s="593"/>
      <c r="L5" s="593"/>
      <c r="M5" s="593"/>
      <c r="N5" s="593"/>
      <c r="O5" s="593"/>
      <c r="P5" s="593"/>
      <c r="Q5" s="646"/>
      <c r="R5" s="593"/>
      <c r="S5" s="593"/>
      <c r="T5" s="491"/>
      <c r="U5" s="593"/>
      <c r="V5" s="593"/>
      <c r="W5" s="593"/>
      <c r="X5" s="593"/>
      <c r="Y5" s="593"/>
      <c r="Z5" s="593"/>
      <c r="AA5" s="462" t="s">
        <v>325</v>
      </c>
      <c r="AB5" s="477">
        <v>11</v>
      </c>
      <c r="AC5" s="477">
        <v>45</v>
      </c>
      <c r="AD5" s="477">
        <v>45</v>
      </c>
      <c r="AE5" s="477">
        <v>14</v>
      </c>
      <c r="AF5" s="477">
        <v>35</v>
      </c>
      <c r="AG5" s="477">
        <v>35</v>
      </c>
      <c r="AH5" s="468" t="s">
        <v>325</v>
      </c>
      <c r="AI5" s="593"/>
      <c r="AJ5" s="593"/>
      <c r="AK5" s="593"/>
      <c r="AL5" s="593"/>
      <c r="AM5" s="593"/>
      <c r="AN5" s="593"/>
      <c r="AO5" s="593"/>
    </row>
    <row r="6" spans="1:41" ht="11.25" hidden="1" customHeight="1">
      <c r="A6" s="83" t="s">
        <v>326</v>
      </c>
      <c r="AC6" s="39" t="s">
        <v>327</v>
      </c>
      <c r="AD6" s="39" t="s">
        <v>328</v>
      </c>
      <c r="AE6" s="39" t="s">
        <v>329</v>
      </c>
      <c r="AF6" s="52" t="s">
        <v>330</v>
      </c>
      <c r="AG6" s="39" t="s">
        <v>331</v>
      </c>
    </row>
    <row r="7" spans="1:41" s="83" customFormat="1" ht="11.25" hidden="1" customHeight="1">
      <c r="B7" s="338"/>
      <c r="E7" s="593"/>
      <c r="Q7" s="643"/>
      <c r="T7" s="327"/>
      <c r="AE7" s="136"/>
      <c r="AF7" s="136"/>
    </row>
    <row r="8" spans="1:41" s="83" customFormat="1" ht="11.25" hidden="1" customHeight="1">
      <c r="B8" s="338"/>
      <c r="E8" s="593"/>
      <c r="Q8" s="643"/>
      <c r="T8" s="327"/>
      <c r="AE8" s="136"/>
      <c r="AF8" s="136"/>
    </row>
    <row r="9" spans="1:41" s="83" customFormat="1" ht="11.25" hidden="1" customHeight="1">
      <c r="A9" s="83" t="s">
        <v>332</v>
      </c>
      <c r="B9" s="338"/>
      <c r="E9" s="593"/>
      <c r="Q9" s="643"/>
      <c r="T9" s="327"/>
      <c r="AE9" s="136"/>
      <c r="AF9" s="136" t="str" cm="1">
        <f t="array" ref="AF9">AF24</f>
        <v xml:space="preserve">Тип муниципального образования </v>
      </c>
      <c r="AG9" s="136" t="str" cm="1">
        <f t="array" ref="AG9">AG24</f>
        <v>Дополнительные сведения</v>
      </c>
    </row>
    <row r="10" spans="1:41" s="83" customFormat="1" ht="11.25" hidden="1" customHeight="1">
      <c r="A10" s="83" t="s">
        <v>333</v>
      </c>
      <c r="B10" s="338"/>
      <c r="E10" s="593"/>
      <c r="Q10" s="643"/>
      <c r="T10" s="327"/>
      <c r="AC10" s="83" t="s">
        <v>320</v>
      </c>
      <c r="AD10" s="83" t="s">
        <v>321</v>
      </c>
      <c r="AE10" s="136" t="s">
        <v>322</v>
      </c>
      <c r="AF10" s="136"/>
    </row>
    <row r="11" spans="1:41" s="83" customFormat="1" ht="11.25" hidden="1" customHeight="1">
      <c r="B11" s="338"/>
      <c r="E11" s="593"/>
      <c r="Q11" s="647"/>
      <c r="T11" s="327"/>
      <c r="AE11" s="136"/>
    </row>
    <row r="12" spans="1:41" s="83" customFormat="1" ht="11.25" hidden="1" customHeight="1">
      <c r="B12" s="338"/>
      <c r="E12" s="593"/>
      <c r="Q12" s="647"/>
      <c r="T12" s="327"/>
    </row>
    <row r="13" spans="1:41" s="83" customFormat="1" ht="11.25" hidden="1" customHeight="1">
      <c r="B13" s="338"/>
      <c r="E13" s="593"/>
      <c r="Q13" s="647"/>
      <c r="T13" s="327"/>
    </row>
    <row r="14" spans="1:41" s="83" customFormat="1" ht="11.25" hidden="1" customHeight="1">
      <c r="B14" s="338"/>
      <c r="E14" s="593"/>
      <c r="Q14" s="647"/>
      <c r="T14" s="327"/>
    </row>
    <row r="15" spans="1:41" s="83" customFormat="1" ht="11.25" hidden="1" customHeight="1">
      <c r="B15" s="338"/>
      <c r="E15" s="593"/>
      <c r="Q15" s="647"/>
      <c r="T15" s="327"/>
    </row>
    <row r="16" spans="1:41" s="83" customFormat="1" ht="11.25" hidden="1" customHeight="1">
      <c r="B16" s="338"/>
      <c r="E16" s="593"/>
      <c r="Q16" s="647"/>
      <c r="T16" s="327"/>
    </row>
    <row r="17" spans="5:41" ht="11.25" hidden="1" customHeight="1">
      <c r="Q17" s="647"/>
      <c r="AE17" s="39"/>
      <c r="AF17" s="39"/>
    </row>
    <row r="18" spans="5:41" ht="11.25" hidden="1" customHeight="1">
      <c r="Q18" s="647"/>
      <c r="AC18" s="39" t="s">
        <v>334</v>
      </c>
      <c r="AD18" s="39" t="s">
        <v>335</v>
      </c>
      <c r="AE18" s="39"/>
      <c r="AF18" s="39"/>
    </row>
    <row r="19" spans="5:41" ht="11.25" hidden="1" customHeight="1">
      <c r="Q19" s="647"/>
      <c r="AE19" s="39"/>
      <c r="AF19" s="39"/>
    </row>
    <row r="20" spans="5:41" ht="11.25" hidden="1" customHeight="1">
      <c r="Q20" s="647"/>
      <c r="AE20" s="39"/>
      <c r="AF20" s="39"/>
    </row>
    <row r="21" spans="5:41" ht="15" customHeight="1">
      <c r="E21" s="593" t="s">
        <v>336</v>
      </c>
      <c r="Q21" s="647"/>
      <c r="U21" s="327"/>
      <c r="V21" s="327"/>
      <c r="W21" s="327"/>
      <c r="X21" s="327"/>
      <c r="Y21" s="327"/>
      <c r="Z21" s="327"/>
      <c r="AA21" s="327"/>
      <c r="AB21" s="50"/>
      <c r="AC21" s="280" t="str" cm="1">
        <f t="array" ref="AC21">tpl_title</f>
        <v>Кемеровская область / 2026 / ООО "Энергосервис г. Гурьевска" (ИНН:4202049045, КПП:420201001) / ДПР: 2024-2028</v>
      </c>
      <c r="AD21" s="50"/>
      <c r="AE21" s="50"/>
      <c r="AF21" s="50"/>
    </row>
    <row r="22" spans="5:41" ht="30" customHeight="1">
      <c r="E22" s="593" t="s">
        <v>337</v>
      </c>
      <c r="Q22" s="647"/>
      <c r="S22" s="327"/>
      <c r="U22" s="327"/>
      <c r="V22" s="327"/>
      <c r="W22" s="327"/>
      <c r="X22" s="327"/>
      <c r="Y22" s="327"/>
      <c r="Z22" s="327"/>
      <c r="AA22" s="327"/>
      <c r="AB22" s="1052" t="s">
        <v>35</v>
      </c>
      <c r="AC22" s="1053"/>
      <c r="AD22" s="1053"/>
      <c r="AE22" s="1053"/>
      <c r="AF22" s="1053"/>
      <c r="AG22" s="1053"/>
    </row>
    <row r="23" spans="5:41" ht="11.25" customHeight="1">
      <c r="E23" s="473" t="s">
        <v>338</v>
      </c>
      <c r="Q23" s="647"/>
      <c r="U23" s="648"/>
      <c r="V23" s="648"/>
      <c r="W23" s="648"/>
      <c r="X23" s="648"/>
      <c r="Y23" s="648"/>
      <c r="Z23" s="648"/>
      <c r="AA23" s="648"/>
      <c r="AB23" s="51"/>
      <c r="AC23" s="51"/>
      <c r="AD23" s="51"/>
      <c r="AG23" s="52"/>
    </row>
    <row r="24" spans="5:41" ht="28.5" customHeight="1">
      <c r="E24" s="593" t="s">
        <v>339</v>
      </c>
      <c r="U24" s="648"/>
      <c r="V24" s="648"/>
      <c r="W24" s="648"/>
      <c r="X24" s="648"/>
      <c r="Y24" s="648"/>
      <c r="Z24" s="648"/>
      <c r="AA24" s="648"/>
      <c r="AB24" s="53" t="s">
        <v>22</v>
      </c>
      <c r="AC24" s="54" t="s">
        <v>334</v>
      </c>
      <c r="AD24" s="54" t="s">
        <v>335</v>
      </c>
      <c r="AE24" s="54" t="s">
        <v>340</v>
      </c>
      <c r="AF24" s="286" t="s">
        <v>341</v>
      </c>
      <c r="AG24" s="55" t="s">
        <v>272</v>
      </c>
    </row>
    <row r="25" spans="5:41" ht="11.25" hidden="1" customHeight="1">
      <c r="E25" s="593">
        <v>0</v>
      </c>
      <c r="U25" s="648"/>
      <c r="V25" s="648"/>
      <c r="W25" s="648"/>
      <c r="X25" s="648"/>
      <c r="Y25" s="648"/>
      <c r="Z25" s="648"/>
      <c r="AA25" s="648"/>
      <c r="AB25" s="533"/>
      <c r="AC25" s="533"/>
      <c r="AD25" s="533"/>
      <c r="AE25" s="533"/>
      <c r="AF25" s="533"/>
      <c r="AG25" s="533"/>
    </row>
    <row r="26" spans="5:41" ht="15" hidden="1" customHeight="1">
      <c r="E26" s="593" t="s">
        <v>336</v>
      </c>
      <c r="F26" s="78" cm="1">
        <f t="array" ref="F26">Y26</f>
        <v>0</v>
      </c>
      <c r="U26" s="367" t="b">
        <f>Y26&gt;0</f>
        <v>0</v>
      </c>
      <c r="V26" s="368"/>
      <c r="W26" s="223" t="s">
        <v>264</v>
      </c>
      <c r="X26" s="368"/>
      <c r="Y26" s="1050">
        <v>0</v>
      </c>
      <c r="Z26" s="1051"/>
      <c r="AA26" s="649"/>
      <c r="AB26" s="113" t="str" cm="1">
        <f t="array" ref="AB26">INDEX('Общие сведения'!$AG$179:$AG$222,MATCH($Y26,'Общие сведения'!$Z$179:$Z$222,0))</f>
        <v xml:space="preserve">Тариф 0 () - </v>
      </c>
      <c r="AC26" s="107"/>
      <c r="AD26" s="107"/>
      <c r="AE26" s="107"/>
      <c r="AF26" s="107"/>
      <c r="AG26" s="107"/>
    </row>
    <row r="27" spans="5:41" ht="15" hidden="1" customHeight="1">
      <c r="E27" s="593" t="s">
        <v>336</v>
      </c>
      <c r="F27" s="78" cm="1">
        <f t="array" aca="1" ref="F27" ca="1">OFFSET(E27,-1,1)</f>
        <v>0</v>
      </c>
      <c r="G27" s="83" cm="1">
        <f t="array" ref="G27">AB27</f>
        <v>0</v>
      </c>
      <c r="T27" s="650"/>
      <c r="U27" s="367" t="b">
        <f ca="1">AND(F27&gt;0,AB27&gt;0)</f>
        <v>0</v>
      </c>
      <c r="V27" s="64"/>
      <c r="X27" s="528" t="s">
        <v>173</v>
      </c>
      <c r="Y27" s="1050"/>
      <c r="Z27" s="1051"/>
      <c r="AA27" s="493" t="s">
        <v>174</v>
      </c>
      <c r="AB27" s="484">
        <v>0</v>
      </c>
      <c r="AC27" s="551"/>
      <c r="AD27" s="112"/>
      <c r="AE27" s="112"/>
      <c r="AF27" s="829"/>
      <c r="AG27" s="830"/>
      <c r="AI27" s="83" t="s">
        <v>342</v>
      </c>
      <c r="AJ27" s="83" t="s">
        <v>343</v>
      </c>
      <c r="AK27" s="83" cm="1">
        <f t="array" ref="AK27">AC27</f>
        <v>0</v>
      </c>
      <c r="AL27" s="83" cm="1">
        <f t="array" ref="AL27">AD27</f>
        <v>0</v>
      </c>
      <c r="AM27" s="83" cm="1">
        <f t="array" ref="AM27">AE27</f>
        <v>0</v>
      </c>
      <c r="AO27" s="83" t="b">
        <v>1</v>
      </c>
    </row>
    <row r="28" spans="5:41" ht="15" hidden="1" customHeight="1">
      <c r="E28" s="593" t="s">
        <v>336</v>
      </c>
      <c r="F28" s="78" cm="1">
        <f t="array" aca="1" ref="F28" ca="1">OFFSET(E28,-1,1)</f>
        <v>0</v>
      </c>
      <c r="G28" s="83" t="s">
        <v>344</v>
      </c>
      <c r="P28" s="528"/>
      <c r="U28" s="367" t="b" cm="1">
        <f t="array" ref="U28">U26</f>
        <v>0</v>
      </c>
      <c r="X28" s="528" t="s">
        <v>345</v>
      </c>
      <c r="Y28" s="1050"/>
      <c r="Z28" s="1051"/>
      <c r="AB28" s="108"/>
      <c r="AC28" s="191" t="s">
        <v>346</v>
      </c>
      <c r="AD28" s="109"/>
      <c r="AE28" s="109"/>
      <c r="AF28" s="109"/>
      <c r="AG28" s="110"/>
      <c r="AN28" s="83" t="s">
        <v>343</v>
      </c>
    </row>
    <row r="29" spans="5:41" ht="15" customHeight="1">
      <c r="E29" s="593" t="s">
        <v>336</v>
      </c>
      <c r="F29" s="78" t="str" cm="1">
        <f t="array" ref="F29">Y29</f>
        <v>1</v>
      </c>
      <c r="U29" s="367" t="b">
        <f>Y29&gt;0</f>
        <v>1</v>
      </c>
      <c r="V29" s="368"/>
      <c r="W29" s="223" t="str" cm="1">
        <f t="array" ref="W29">'Общие сведения'!$AG$194</f>
        <v>Тариф 1 (Водоснабжение) - тариф на питьевую воду (Доп. признак не требуется)</v>
      </c>
      <c r="X29" s="368"/>
      <c r="Y29" s="1050" t="s">
        <v>275</v>
      </c>
      <c r="Z29" s="1051"/>
      <c r="AA29" s="649"/>
      <c r="AB29" s="113" t="str" cm="1">
        <f t="array" ref="AB29">'Общие сведения'!$AG$194</f>
        <v>Тариф 1 (Водоснабжение) - тариф на питьевую воду (Доп. признак не требуется)</v>
      </c>
      <c r="AC29" s="107"/>
      <c r="AD29" s="107"/>
      <c r="AE29" s="107"/>
      <c r="AF29" s="107"/>
      <c r="AG29" s="107"/>
    </row>
    <row r="30" spans="5:41" ht="15" hidden="1" customHeight="1">
      <c r="E30" s="593" t="s">
        <v>336</v>
      </c>
      <c r="F30" s="78" t="str" cm="1">
        <f t="array" aca="1" ref="F30" ca="1">OFFSET(E30,-1,1)</f>
        <v>1</v>
      </c>
      <c r="G30" s="83" cm="1">
        <f t="array" ref="G30">AB30</f>
        <v>0</v>
      </c>
      <c r="T30" s="650"/>
      <c r="U30" s="367" t="b">
        <f ca="1">AND(F30&gt;0,AB30&gt;0)</f>
        <v>0</v>
      </c>
      <c r="V30" s="64"/>
      <c r="X30" s="528" t="s">
        <v>173</v>
      </c>
      <c r="Y30" s="1050"/>
      <c r="Z30" s="1051"/>
      <c r="AA30" s="493" t="s">
        <v>174</v>
      </c>
      <c r="AB30" s="484">
        <v>0</v>
      </c>
      <c r="AC30" s="551"/>
      <c r="AD30" s="112"/>
      <c r="AE30" s="112"/>
      <c r="AF30" s="829"/>
      <c r="AG30" s="830"/>
      <c r="AI30" s="83" t="s">
        <v>342</v>
      </c>
      <c r="AJ30" s="83" t="s">
        <v>343</v>
      </c>
      <c r="AK30" s="83" cm="1">
        <f t="array" ref="AK30">AC30</f>
        <v>0</v>
      </c>
      <c r="AL30" s="83" cm="1">
        <f t="array" ref="AL30">AD30</f>
        <v>0</v>
      </c>
      <c r="AM30" s="83" cm="1">
        <f t="array" ref="AM30">AE30</f>
        <v>0</v>
      </c>
      <c r="AO30" s="83" t="b">
        <v>1</v>
      </c>
    </row>
    <row r="31" spans="5:41" ht="18.75" customHeight="1">
      <c r="E31" s="593" t="s">
        <v>336</v>
      </c>
      <c r="F31" s="78" t="str" cm="1">
        <f t="array" aca="1" ref="F31" ca="1">OFFSET(E31,-1,1)</f>
        <v>1</v>
      </c>
      <c r="G31" s="83" t="str" cm="1">
        <f t="array" ref="G31">AB31</f>
        <v>1</v>
      </c>
      <c r="T31" s="650"/>
      <c r="U31" s="367" t="b">
        <f ca="1">AND(F31&gt;0,AB31&gt;0)</f>
        <v>1</v>
      </c>
      <c r="V31" s="64"/>
      <c r="X31" s="528"/>
      <c r="Y31" s="1050"/>
      <c r="Z31" s="1051"/>
      <c r="AA31" s="493" t="s">
        <v>174</v>
      </c>
      <c r="AB31" s="484" t="s">
        <v>275</v>
      </c>
      <c r="AC31" s="551" t="s">
        <v>347</v>
      </c>
      <c r="AD31" s="112" t="s">
        <v>347</v>
      </c>
      <c r="AE31" s="112" t="s">
        <v>348</v>
      </c>
      <c r="AF31" s="633"/>
      <c r="AG31" s="128"/>
      <c r="AI31" s="83" t="s">
        <v>342</v>
      </c>
      <c r="AJ31" s="83" t="s">
        <v>343</v>
      </c>
      <c r="AK31" s="83" t="str" cm="1">
        <f t="array" ref="AK31">AC31</f>
        <v>Гурьевский муниципальный округ</v>
      </c>
      <c r="AL31" s="83" t="str" cm="1">
        <f t="array" ref="AL31">AD31</f>
        <v>Гурьевский муниципальный округ</v>
      </c>
      <c r="AM31" s="83" t="str" cm="1">
        <f t="array" ref="AM31">AE31</f>
        <v>32502000</v>
      </c>
      <c r="AO31" s="83" t="b">
        <v>1</v>
      </c>
    </row>
    <row r="32" spans="5:41" ht="15" customHeight="1">
      <c r="E32" s="593" t="s">
        <v>336</v>
      </c>
      <c r="F32" s="78" t="str" cm="1">
        <f t="array" aca="1" ref="F32" ca="1">OFFSET(E32,-1,1)</f>
        <v>1</v>
      </c>
      <c r="G32" s="83" t="s">
        <v>344</v>
      </c>
      <c r="P32" s="528"/>
      <c r="U32" s="367" t="b" cm="1">
        <f t="array" ref="U32">U29</f>
        <v>1</v>
      </c>
      <c r="X32" s="528" t="s">
        <v>345</v>
      </c>
      <c r="Y32" s="1050"/>
      <c r="Z32" s="1051"/>
      <c r="AB32" s="108"/>
      <c r="AC32" s="191" t="s">
        <v>346</v>
      </c>
      <c r="AD32" s="109"/>
      <c r="AE32" s="109"/>
      <c r="AF32" s="109"/>
      <c r="AG32" s="110"/>
      <c r="AN32" s="83" t="s">
        <v>343</v>
      </c>
    </row>
    <row r="33" spans="1:44" ht="15" customHeight="1">
      <c r="E33" s="593" t="s">
        <v>336</v>
      </c>
      <c r="F33" s="78" t="str" cm="1">
        <f t="array" ref="F33">Y33</f>
        <v>2</v>
      </c>
      <c r="U33" s="367" t="b">
        <f>Y33&gt;0</f>
        <v>1</v>
      </c>
      <c r="V33" s="368"/>
      <c r="W33" s="223" t="str" cm="1">
        <f t="array" ref="W33">'Общие сведения'!$AG$208</f>
        <v>Тариф 2 (Водоотведение) - тариф на водоотведение (Доп. признак не требуется)</v>
      </c>
      <c r="X33" s="368"/>
      <c r="Y33" s="1050" t="s">
        <v>285</v>
      </c>
      <c r="Z33" s="1051"/>
      <c r="AA33" s="649"/>
      <c r="AB33" s="113" t="str" cm="1">
        <f t="array" ref="AB33">'Общие сведения'!$AG$208</f>
        <v>Тариф 2 (Водоотведение) - тариф на водоотведение (Доп. признак не требуется)</v>
      </c>
      <c r="AC33" s="107"/>
      <c r="AD33" s="107"/>
      <c r="AE33" s="107"/>
      <c r="AF33" s="107"/>
      <c r="AG33" s="107"/>
    </row>
    <row r="34" spans="1:44" ht="15" hidden="1" customHeight="1">
      <c r="E34" s="593" t="s">
        <v>336</v>
      </c>
      <c r="F34" s="78" t="str" cm="1">
        <f t="array" aca="1" ref="F34" ca="1">OFFSET(E34,-1,1)</f>
        <v>2</v>
      </c>
      <c r="G34" s="83" cm="1">
        <f t="array" ref="G34">AB34</f>
        <v>0</v>
      </c>
      <c r="T34" s="650"/>
      <c r="U34" s="367" t="b">
        <f ca="1">AND(F34&gt;0,AB34&gt;0)</f>
        <v>0</v>
      </c>
      <c r="V34" s="64"/>
      <c r="X34" s="528" t="s">
        <v>173</v>
      </c>
      <c r="Y34" s="1050"/>
      <c r="Z34" s="1051"/>
      <c r="AA34" s="493" t="s">
        <v>174</v>
      </c>
      <c r="AB34" s="484">
        <v>0</v>
      </c>
      <c r="AC34" s="551"/>
      <c r="AD34" s="112"/>
      <c r="AE34" s="112"/>
      <c r="AF34" s="829"/>
      <c r="AG34" s="830"/>
      <c r="AI34" s="83" t="s">
        <v>342</v>
      </c>
      <c r="AJ34" s="83" t="s">
        <v>343</v>
      </c>
      <c r="AK34" s="83" cm="1">
        <f t="array" ref="AK34">AC34</f>
        <v>0</v>
      </c>
      <c r="AL34" s="83" cm="1">
        <f t="array" ref="AL34">AD34</f>
        <v>0</v>
      </c>
      <c r="AM34" s="83" cm="1">
        <f t="array" ref="AM34">AE34</f>
        <v>0</v>
      </c>
      <c r="AO34" s="83" t="b">
        <v>1</v>
      </c>
    </row>
    <row r="35" spans="1:44" ht="18.75" customHeight="1">
      <c r="E35" s="593" t="s">
        <v>336</v>
      </c>
      <c r="F35" s="78" t="str" cm="1">
        <f t="array" aca="1" ref="F35" ca="1">OFFSET(E35,-1,1)</f>
        <v>2</v>
      </c>
      <c r="G35" s="83" t="str" cm="1">
        <f t="array" ref="G35">AB35</f>
        <v>1</v>
      </c>
      <c r="T35" s="650"/>
      <c r="U35" s="367" t="b">
        <f ca="1">AND(F35&gt;0,AB35&gt;0)</f>
        <v>1</v>
      </c>
      <c r="V35" s="64"/>
      <c r="X35" s="528"/>
      <c r="Y35" s="1050"/>
      <c r="Z35" s="1051"/>
      <c r="AA35" s="493" t="s">
        <v>174</v>
      </c>
      <c r="AB35" s="484" t="s">
        <v>275</v>
      </c>
      <c r="AC35" s="551" t="s">
        <v>347</v>
      </c>
      <c r="AD35" s="112" t="s">
        <v>347</v>
      </c>
      <c r="AE35" s="112" t="s">
        <v>348</v>
      </c>
      <c r="AF35" s="633"/>
      <c r="AG35" s="128"/>
      <c r="AI35" s="83" t="s">
        <v>342</v>
      </c>
      <c r="AJ35" s="83" t="s">
        <v>343</v>
      </c>
      <c r="AK35" s="83" t="str" cm="1">
        <f t="array" ref="AK35">AC35</f>
        <v>Гурьевский муниципальный округ</v>
      </c>
      <c r="AL35" s="83" t="str" cm="1">
        <f t="array" ref="AL35">AD35</f>
        <v>Гурьевский муниципальный округ</v>
      </c>
      <c r="AM35" s="83" t="str" cm="1">
        <f t="array" ref="AM35">AE35</f>
        <v>32502000</v>
      </c>
      <c r="AO35" s="83" t="b">
        <v>1</v>
      </c>
    </row>
    <row r="36" spans="1:44" ht="15" customHeight="1">
      <c r="E36" s="593" t="s">
        <v>336</v>
      </c>
      <c r="F36" s="78" t="str" cm="1">
        <f t="array" aca="1" ref="F36" ca="1">OFFSET(E36,-1,1)</f>
        <v>2</v>
      </c>
      <c r="G36" s="83" t="s">
        <v>344</v>
      </c>
      <c r="P36" s="528"/>
      <c r="U36" s="367" t="b" cm="1">
        <f t="array" ref="U36">U33</f>
        <v>1</v>
      </c>
      <c r="X36" s="528" t="s">
        <v>345</v>
      </c>
      <c r="Y36" s="1050"/>
      <c r="Z36" s="1051"/>
      <c r="AB36" s="108"/>
      <c r="AC36" s="191" t="s">
        <v>346</v>
      </c>
      <c r="AD36" s="109"/>
      <c r="AE36" s="109"/>
      <c r="AF36" s="109"/>
      <c r="AG36" s="110"/>
      <c r="AN36" s="83" t="s">
        <v>343</v>
      </c>
    </row>
    <row r="37" spans="1:44" ht="14.25" customHeight="1">
      <c r="A37" s="327"/>
      <c r="B37" s="490"/>
      <c r="C37" s="327"/>
      <c r="D37" s="327"/>
      <c r="E37" s="491" t="s">
        <v>338</v>
      </c>
      <c r="F37" s="327"/>
      <c r="G37" s="327"/>
      <c r="H37" s="327"/>
      <c r="I37" s="327"/>
      <c r="J37" s="327"/>
      <c r="K37" s="327"/>
      <c r="L37" s="327"/>
      <c r="M37" s="327"/>
      <c r="N37" s="327"/>
      <c r="O37" s="327"/>
      <c r="P37" s="327"/>
      <c r="Q37" s="327"/>
      <c r="R37" s="327"/>
      <c r="S37" s="327"/>
      <c r="U37" s="327"/>
      <c r="V37" s="41" t="s">
        <v>177</v>
      </c>
      <c r="W37" s="528" t="s">
        <v>349</v>
      </c>
      <c r="X37" s="327"/>
      <c r="Y37" s="327"/>
      <c r="Z37" s="327"/>
      <c r="AA37" s="327"/>
      <c r="AB37"/>
      <c r="AC37" s="37"/>
      <c r="AD37" s="37"/>
      <c r="AE37" s="37"/>
      <c r="AF37" s="37"/>
      <c r="AG37"/>
      <c r="AH37"/>
      <c r="AI37" s="327"/>
      <c r="AJ37" s="327"/>
      <c r="AK37" s="327"/>
      <c r="AL37" s="327"/>
      <c r="AM37" s="327"/>
      <c r="AN37" s="327"/>
      <c r="AO37" s="327"/>
      <c r="AP37"/>
      <c r="AQ37" s="38"/>
      <c r="AR37"/>
    </row>
    <row r="38" spans="1:44" ht="11.25" hidden="1" customHeight="1">
      <c r="A38" s="327"/>
      <c r="B38" s="490"/>
      <c r="C38" s="327"/>
      <c r="D38" s="327"/>
      <c r="E38" s="491"/>
      <c r="F38" s="651"/>
      <c r="G38" s="327"/>
      <c r="H38" s="327"/>
      <c r="I38" s="327"/>
      <c r="J38" s="327"/>
      <c r="K38" s="327"/>
      <c r="L38" s="327"/>
      <c r="M38" s="327"/>
      <c r="N38" s="327"/>
      <c r="O38" s="327"/>
      <c r="P38" s="327"/>
      <c r="Q38" s="327"/>
      <c r="R38" s="327"/>
      <c r="S38" s="327"/>
      <c r="U38" s="327"/>
      <c r="V38" s="327"/>
      <c r="W38" s="327"/>
      <c r="X38" s="327"/>
      <c r="Y38" s="327"/>
      <c r="Z38" s="327"/>
      <c r="AA38" s="327"/>
      <c r="AB38"/>
      <c r="AC38" s="37"/>
      <c r="AD38" s="37"/>
      <c r="AE38" s="37"/>
      <c r="AF38" s="37"/>
      <c r="AG38" s="37"/>
      <c r="AH38"/>
      <c r="AI38" s="327"/>
      <c r="AJ38" s="327"/>
      <c r="AK38" s="327"/>
      <c r="AL38" s="327"/>
      <c r="AM38" s="327"/>
      <c r="AN38" s="327"/>
      <c r="AO38" s="327"/>
      <c r="AP38"/>
      <c r="AQ38"/>
      <c r="AR38" s="38"/>
    </row>
  </sheetData>
  <sheetProtection formatColumns="0" formatRows="0" insertRows="0" deleteColumns="0" deleteRows="0" sort="0" autoFilter="0"/>
  <mergeCells count="7">
    <mergeCell ref="Y33:Y36"/>
    <mergeCell ref="Z33:Z36"/>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0000000}">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1000000}">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2000000}">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3000000}">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4000000}">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5000000}">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6000000}">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7000000}">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8000000}">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9000000}">
      <formula1>0</formula1>
      <formula2>10000000</formula2>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98988-F89D-3082-EDA8-EA955364A7C6}">
  <sheetPr>
    <tabColor theme="3" tint="0.59999389629810485"/>
    <outlinePr summaryBelow="0" summaryRight="0"/>
    <pageSetUpPr fitToPage="1"/>
  </sheetPr>
  <dimension ref="A1:BE69"/>
  <sheetViews>
    <sheetView showGridLines="0" workbookViewId="0">
      <pane xSplit="31" ySplit="25" topLeftCell="AF49" activePane="bottomRight" state="frozen"/>
      <selection pane="topRight" activeCell="AF1" sqref="AF1"/>
      <selection pane="bottomLeft" activeCell="A26" sqref="A26"/>
      <selection pane="bottomRight" activeCell="AJ51" sqref="AJ51"/>
    </sheetView>
  </sheetViews>
  <sheetFormatPr defaultColWidth="8.7109375" defaultRowHeight="11.25" customHeight="1"/>
  <cols>
    <col min="1" max="1" width="3.5703125" style="39" hidden="1" customWidth="1"/>
    <col min="2" max="2" width="8.5703125" style="338" hidden="1" customWidth="1"/>
    <col min="3" max="4" width="3.5703125" style="39" hidden="1" customWidth="1"/>
    <col min="5" max="5" width="3.5703125" style="474" hidden="1" customWidth="1"/>
    <col min="6" max="7" width="4" style="39" hidden="1" customWidth="1"/>
    <col min="8" max="9" width="3.5703125" style="39" hidden="1" customWidth="1"/>
    <col min="10" max="10" width="12.42578125" style="39" hidden="1" customWidth="1"/>
    <col min="11" max="11" width="9.7109375" style="39" hidden="1" customWidth="1"/>
    <col min="12" max="16" width="3.5703125" style="39" hidden="1" customWidth="1"/>
    <col min="17" max="17" width="5.5703125" style="39" hidden="1" customWidth="1"/>
    <col min="18" max="19" width="3.5703125" style="39"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39" customWidth="1"/>
    <col min="29" max="29" width="11" style="39" customWidth="1"/>
    <col min="30" max="30" width="70" style="39" customWidth="1"/>
    <col min="31" max="31" width="15" style="39" customWidth="1"/>
    <col min="32" max="32" width="20" style="39" customWidth="1"/>
    <col min="33" max="33" width="20" style="52" customWidth="1"/>
    <col min="34" max="35" width="20" style="39" customWidth="1"/>
    <col min="36" max="36" width="20" style="52" customWidth="1"/>
    <col min="37" max="37" width="3.7109375" style="39" customWidth="1"/>
    <col min="38" max="38" width="8.7109375" style="39" hidden="1"/>
    <col min="39" max="42" width="8.7109375" style="669" hidden="1"/>
    <col min="43" max="44" width="8.7109375" style="468" hidden="1"/>
    <col min="45" max="57" width="8.7109375" style="39" hidden="1"/>
  </cols>
  <sheetData>
    <row r="1" spans="1:44" s="83" customFormat="1" ht="11.25" hidden="1" customHeight="1">
      <c r="B1" s="338"/>
      <c r="E1" s="223"/>
      <c r="F1" s="83" t="s">
        <v>315</v>
      </c>
      <c r="H1" s="83" t="s">
        <v>326</v>
      </c>
      <c r="J1" s="83" t="s">
        <v>350</v>
      </c>
      <c r="P1" s="83" t="s">
        <v>351</v>
      </c>
      <c r="T1" s="327"/>
      <c r="U1" s="367" t="s">
        <v>317</v>
      </c>
      <c r="V1" s="365" t="s">
        <v>93</v>
      </c>
      <c r="W1" s="365" t="s">
        <v>98</v>
      </c>
      <c r="X1" s="365" t="s">
        <v>94</v>
      </c>
      <c r="Y1" s="365" t="s">
        <v>95</v>
      </c>
      <c r="Z1" s="365" t="s">
        <v>96</v>
      </c>
      <c r="AA1" s="365" t="s">
        <v>100</v>
      </c>
      <c r="AB1" s="367" t="s">
        <v>97</v>
      </c>
      <c r="AC1" s="367"/>
      <c r="AD1" s="367" t="s">
        <v>99</v>
      </c>
      <c r="AG1" s="136"/>
      <c r="AJ1" s="136"/>
      <c r="AM1" s="662" t="s">
        <v>318</v>
      </c>
      <c r="AN1" s="662" t="s">
        <v>319</v>
      </c>
      <c r="AO1" s="662" t="s">
        <v>320</v>
      </c>
      <c r="AP1" s="662" t="s">
        <v>352</v>
      </c>
      <c r="AQ1" s="593" t="s">
        <v>323</v>
      </c>
      <c r="AR1" s="593" t="s">
        <v>324</v>
      </c>
    </row>
    <row r="2" spans="1:44" s="338" customFormat="1" ht="11.25" hidden="1" customHeight="1">
      <c r="B2" s="644" t="s">
        <v>19</v>
      </c>
      <c r="T2" s="490"/>
      <c r="U2" s="490"/>
      <c r="V2" s="490"/>
      <c r="W2" s="490"/>
      <c r="X2" s="490"/>
      <c r="Y2" s="490"/>
      <c r="Z2" s="490"/>
      <c r="AA2" s="490"/>
      <c r="AF2" s="644" t="b">
        <f>method_reg&lt;&gt;"Метод сравнения аналогов"</f>
        <v>1</v>
      </c>
      <c r="AG2" s="644" t="b">
        <f>method_reg&lt;&gt;"Метод сравнения аналогов"</f>
        <v>1</v>
      </c>
      <c r="AH2" s="338" t="b" cm="1">
        <f t="array" ref="AH2">isOrgDeclare</f>
        <v>1</v>
      </c>
      <c r="AM2" s="661"/>
      <c r="AN2" s="661"/>
      <c r="AO2" s="661"/>
      <c r="AP2" s="661"/>
      <c r="AQ2" s="668"/>
      <c r="AR2" s="668"/>
    </row>
    <row r="3" spans="1:44" s="83" customFormat="1" ht="11.25" hidden="1" customHeight="1">
      <c r="B3" s="338"/>
      <c r="E3" s="223"/>
      <c r="T3" s="327"/>
      <c r="U3" s="327"/>
      <c r="V3" s="327"/>
      <c r="W3" s="327"/>
      <c r="X3" s="327"/>
      <c r="Y3" s="327"/>
      <c r="Z3" s="327"/>
      <c r="AA3" s="327"/>
      <c r="AG3" s="136"/>
      <c r="AJ3" s="136"/>
      <c r="AM3" s="662"/>
      <c r="AN3" s="662"/>
      <c r="AO3" s="662"/>
      <c r="AP3" s="662"/>
      <c r="AQ3" s="593"/>
      <c r="AR3" s="593"/>
    </row>
    <row r="4" spans="1:44" s="83" customFormat="1" ht="11.25" hidden="1" customHeight="1">
      <c r="B4" s="338"/>
      <c r="E4" s="223"/>
      <c r="T4" s="327"/>
      <c r="U4" s="327"/>
      <c r="V4" s="327"/>
      <c r="W4" s="327"/>
      <c r="X4" s="327"/>
      <c r="Y4" s="327"/>
      <c r="Z4" s="327"/>
      <c r="AA4" s="327"/>
      <c r="AG4" s="136"/>
      <c r="AJ4" s="136"/>
      <c r="AM4" s="662"/>
      <c r="AN4" s="662"/>
      <c r="AO4" s="662"/>
      <c r="AP4" s="662"/>
      <c r="AQ4" s="593"/>
      <c r="AR4" s="593"/>
    </row>
    <row r="5" spans="1:44" s="595" customFormat="1" ht="11.25" hidden="1" customHeight="1">
      <c r="A5" s="223"/>
      <c r="B5" s="338"/>
      <c r="C5" s="223"/>
      <c r="D5" s="223"/>
      <c r="E5" s="595" t="s">
        <v>20</v>
      </c>
      <c r="T5" s="658"/>
      <c r="U5" s="658"/>
      <c r="V5" s="658"/>
      <c r="W5" s="658"/>
      <c r="X5" s="658"/>
      <c r="Y5" s="658"/>
      <c r="Z5" s="658"/>
      <c r="AA5" s="658"/>
      <c r="AB5" s="462">
        <v>3</v>
      </c>
      <c r="AC5" s="462">
        <v>11</v>
      </c>
      <c r="AD5" s="462">
        <v>70</v>
      </c>
      <c r="AE5" s="462">
        <v>15</v>
      </c>
      <c r="AF5" s="462">
        <v>20</v>
      </c>
      <c r="AG5" s="462">
        <v>20</v>
      </c>
      <c r="AH5" s="462">
        <v>20</v>
      </c>
      <c r="AI5" s="462">
        <v>20</v>
      </c>
      <c r="AJ5" s="462">
        <v>20</v>
      </c>
      <c r="AK5" s="595" t="s">
        <v>325</v>
      </c>
      <c r="AM5" s="663"/>
      <c r="AN5" s="663"/>
      <c r="AO5" s="663"/>
      <c r="AP5" s="663"/>
    </row>
    <row r="6" spans="1:44" s="83" customFormat="1" ht="11.25" hidden="1" customHeight="1">
      <c r="A6" s="83" t="s">
        <v>353</v>
      </c>
      <c r="B6" s="338"/>
      <c r="E6" s="595"/>
      <c r="T6" s="327"/>
      <c r="U6" s="327"/>
      <c r="V6" s="327"/>
      <c r="W6" s="327"/>
      <c r="X6" s="327"/>
      <c r="Y6" s="327"/>
      <c r="Z6" s="327"/>
      <c r="AA6" s="327"/>
      <c r="AF6" s="83">
        <f>god-2</f>
        <v>2024</v>
      </c>
      <c r="AG6" s="83">
        <f>god-1</f>
        <v>2025</v>
      </c>
      <c r="AH6" s="83" cm="1">
        <f t="array" ref="AH6">god</f>
        <v>2026</v>
      </c>
      <c r="AI6" s="83" cm="1">
        <f t="array" ref="AI6">god</f>
        <v>2026</v>
      </c>
      <c r="AJ6" s="83" cm="1">
        <f t="array" ref="AJ6">god</f>
        <v>2026</v>
      </c>
      <c r="AM6" s="662"/>
      <c r="AN6" s="662"/>
      <c r="AO6" s="662"/>
      <c r="AP6" s="662"/>
      <c r="AQ6" s="593"/>
      <c r="AR6" s="593"/>
    </row>
    <row r="7" spans="1:44" s="83" customFormat="1" ht="11.25" hidden="1" customHeight="1">
      <c r="A7" s="83" t="s">
        <v>354</v>
      </c>
      <c r="B7" s="338"/>
      <c r="E7" s="595"/>
      <c r="T7" s="327"/>
      <c r="U7" s="327"/>
      <c r="V7" s="327"/>
      <c r="W7" s="327"/>
      <c r="X7" s="327"/>
      <c r="Y7" s="327"/>
      <c r="Z7" s="327"/>
      <c r="AA7" s="327"/>
      <c r="AF7" s="280" t="str" cm="1">
        <f t="array" ref="AF7">AF25</f>
        <v>Принято органом регулирования</v>
      </c>
      <c r="AG7" s="280" t="s">
        <v>355</v>
      </c>
      <c r="AH7" s="280" t="s">
        <v>356</v>
      </c>
      <c r="AI7" s="280" t="s">
        <v>355</v>
      </c>
      <c r="AJ7" s="280" t="s">
        <v>357</v>
      </c>
      <c r="AM7" s="662"/>
      <c r="AN7" s="662"/>
      <c r="AO7" s="662"/>
      <c r="AP7" s="662"/>
      <c r="AQ7" s="593"/>
      <c r="AR7" s="593"/>
    </row>
    <row r="8" spans="1:44" s="83" customFormat="1" ht="11.25" hidden="1" customHeight="1">
      <c r="B8" s="338"/>
      <c r="E8" s="595"/>
      <c r="T8" s="327"/>
      <c r="U8" s="327"/>
      <c r="V8" s="327"/>
      <c r="W8" s="327"/>
      <c r="X8" s="327"/>
      <c r="Y8" s="327"/>
      <c r="Z8" s="327"/>
      <c r="AA8" s="327"/>
      <c r="AG8" s="136"/>
      <c r="AJ8" s="136"/>
      <c r="AM8" s="662"/>
      <c r="AN8" s="662"/>
      <c r="AO8" s="662"/>
      <c r="AP8" s="662"/>
      <c r="AQ8" s="593"/>
      <c r="AR8" s="593"/>
    </row>
    <row r="9" spans="1:44" s="662" customFormat="1" ht="11.25" hidden="1" customHeight="1">
      <c r="A9" s="662" t="s">
        <v>358</v>
      </c>
      <c r="B9" s="661"/>
      <c r="E9" s="663"/>
      <c r="T9" s="664"/>
      <c r="U9" s="664"/>
      <c r="V9" s="664"/>
      <c r="W9" s="664"/>
      <c r="X9" s="664"/>
      <c r="Y9" s="664"/>
      <c r="Z9" s="664"/>
      <c r="AA9" s="664"/>
      <c r="AF9" s="662" cm="1">
        <f t="array" ref="AF9">AF6</f>
        <v>2024</v>
      </c>
      <c r="AG9" s="662" cm="1">
        <f t="array" ref="AG9">AG6</f>
        <v>2025</v>
      </c>
      <c r="AH9" s="662" cm="1">
        <f t="array" ref="AH9">AH6</f>
        <v>2026</v>
      </c>
      <c r="AI9" s="662" cm="1">
        <f t="array" ref="AI9">AI6</f>
        <v>2026</v>
      </c>
      <c r="AQ9" s="593"/>
      <c r="AR9" s="593"/>
    </row>
    <row r="10" spans="1:44" s="662" customFormat="1" ht="11.25" hidden="1" customHeight="1">
      <c r="A10" s="662" t="s">
        <v>359</v>
      </c>
      <c r="B10" s="661"/>
      <c r="E10" s="663"/>
      <c r="T10" s="664"/>
      <c r="U10" s="664"/>
      <c r="V10" s="664"/>
      <c r="W10" s="664"/>
      <c r="X10" s="664"/>
      <c r="Y10" s="664"/>
      <c r="Z10" s="664"/>
      <c r="AA10" s="664"/>
      <c r="AF10" s="662" t="str" cm="1">
        <f t="array" ref="AF10">AF25</f>
        <v>Принято органом регулирования</v>
      </c>
      <c r="AG10" s="662" t="str" cm="1">
        <f t="array" ref="AG10">AG25</f>
        <v>Принято органом регулирования</v>
      </c>
      <c r="AH10" s="662" t="str" cm="1">
        <f t="array" ref="AH10">AH25</f>
        <v>Предложение организации</v>
      </c>
      <c r="AI10" s="662" t="str" cm="1">
        <f t="array" ref="AI10">AI25</f>
        <v>Принято органом регулирования</v>
      </c>
      <c r="AQ10" s="593"/>
      <c r="AR10" s="593"/>
    </row>
    <row r="11" spans="1:44" s="662" customFormat="1" ht="11.25" hidden="1" customHeight="1">
      <c r="A11" s="662" t="s">
        <v>360</v>
      </c>
      <c r="B11" s="661"/>
      <c r="E11" s="663"/>
      <c r="T11" s="664"/>
      <c r="U11" s="664"/>
      <c r="V11" s="664"/>
      <c r="W11" s="664"/>
      <c r="X11" s="664"/>
      <c r="Y11" s="664"/>
      <c r="Z11" s="664"/>
      <c r="AA11" s="664"/>
      <c r="AG11" s="660"/>
      <c r="AJ11" s="660" t="str" cm="1">
        <f t="array" ref="AJ11">AJ24</f>
        <v>Комментарии</v>
      </c>
      <c r="AQ11" s="593"/>
      <c r="AR11" s="593"/>
    </row>
    <row r="12" spans="1:44" s="662" customFormat="1" ht="11.25" hidden="1" customHeight="1">
      <c r="A12" s="662" t="s">
        <v>333</v>
      </c>
      <c r="B12" s="661"/>
      <c r="E12" s="663"/>
      <c r="T12" s="664"/>
      <c r="U12" s="664"/>
      <c r="V12" s="664"/>
      <c r="W12" s="664"/>
      <c r="X12" s="664"/>
      <c r="Y12" s="664"/>
      <c r="Z12" s="664"/>
      <c r="AA12" s="664"/>
      <c r="AB12" s="664"/>
      <c r="AD12" s="662" t="s">
        <v>320</v>
      </c>
      <c r="AE12" s="662" t="s">
        <v>352</v>
      </c>
      <c r="AG12" s="660"/>
      <c r="AJ12" s="660"/>
      <c r="AQ12" s="593"/>
      <c r="AR12" s="593"/>
    </row>
    <row r="13" spans="1:44" s="83" customFormat="1" ht="11.25" hidden="1" customHeight="1">
      <c r="B13" s="338"/>
      <c r="E13" s="595"/>
      <c r="T13" s="327"/>
      <c r="U13" s="327"/>
      <c r="V13" s="327"/>
      <c r="W13" s="327"/>
      <c r="X13" s="327"/>
      <c r="Y13" s="327"/>
      <c r="Z13" s="327"/>
      <c r="AA13" s="327"/>
      <c r="AB13" s="327"/>
      <c r="AC13" s="327"/>
      <c r="AD13" s="659"/>
      <c r="AE13" s="659"/>
      <c r="AF13" s="659"/>
      <c r="AG13" s="659"/>
      <c r="AJ13" s="659"/>
      <c r="AM13" s="662"/>
      <c r="AN13" s="662"/>
      <c r="AO13" s="662"/>
      <c r="AP13" s="662"/>
      <c r="AQ13" s="593"/>
      <c r="AR13" s="593"/>
    </row>
    <row r="14" spans="1:44" s="83" customFormat="1" ht="11.25" hidden="1" customHeight="1">
      <c r="B14" s="338"/>
      <c r="E14" s="595"/>
      <c r="T14" s="327"/>
      <c r="U14" s="327"/>
      <c r="V14" s="327"/>
      <c r="W14" s="327"/>
      <c r="X14" s="327"/>
      <c r="Y14" s="327"/>
      <c r="Z14" s="327"/>
      <c r="AA14" s="327"/>
      <c r="AB14" s="327"/>
      <c r="AC14" s="327"/>
      <c r="AD14" s="659"/>
      <c r="AE14" s="659"/>
      <c r="AF14" s="659"/>
      <c r="AG14" s="659"/>
      <c r="AJ14" s="659"/>
      <c r="AM14" s="662"/>
      <c r="AN14" s="662"/>
      <c r="AO14" s="662"/>
      <c r="AP14" s="662"/>
      <c r="AQ14" s="593"/>
      <c r="AR14" s="593"/>
    </row>
    <row r="15" spans="1:44" s="83" customFormat="1" ht="11.25" hidden="1" customHeight="1">
      <c r="B15" s="338"/>
      <c r="E15" s="595"/>
      <c r="T15" s="327"/>
      <c r="U15" s="327"/>
      <c r="V15" s="327"/>
      <c r="W15" s="327"/>
      <c r="X15" s="327"/>
      <c r="Y15" s="327"/>
      <c r="Z15" s="327"/>
      <c r="AA15" s="327"/>
      <c r="AB15" s="327"/>
      <c r="AC15" s="327"/>
      <c r="AD15" s="659"/>
      <c r="AE15" s="659"/>
      <c r="AF15" s="659"/>
      <c r="AG15" s="659"/>
      <c r="AJ15" s="659"/>
      <c r="AM15" s="662"/>
      <c r="AN15" s="662"/>
      <c r="AO15" s="662"/>
      <c r="AP15" s="662"/>
      <c r="AQ15" s="593"/>
      <c r="AR15" s="593"/>
    </row>
    <row r="16" spans="1:44" s="83" customFormat="1" ht="11.25" hidden="1" customHeight="1">
      <c r="B16" s="338"/>
      <c r="E16" s="595"/>
      <c r="T16" s="327"/>
      <c r="U16" s="327"/>
      <c r="V16" s="327"/>
      <c r="W16" s="327"/>
      <c r="X16" s="327"/>
      <c r="Y16" s="327"/>
      <c r="Z16" s="327"/>
      <c r="AA16" s="327"/>
      <c r="AB16" s="327"/>
      <c r="AC16" s="327"/>
      <c r="AD16" s="659"/>
      <c r="AE16" s="659"/>
      <c r="AF16" s="659"/>
      <c r="AG16" s="659"/>
      <c r="AJ16" s="659"/>
      <c r="AM16" s="662"/>
      <c r="AN16" s="662"/>
      <c r="AO16" s="662"/>
      <c r="AP16" s="662"/>
      <c r="AQ16" s="593"/>
      <c r="AR16" s="593"/>
    </row>
    <row r="17" spans="1:57" s="83" customFormat="1" ht="11.25" hidden="1" customHeight="1">
      <c r="B17" s="338"/>
      <c r="E17" s="595"/>
      <c r="T17" s="327"/>
      <c r="U17" s="327"/>
      <c r="V17" s="327"/>
      <c r="W17" s="327"/>
      <c r="X17" s="327"/>
      <c r="Y17" s="327"/>
      <c r="Z17" s="327"/>
      <c r="AA17" s="327"/>
      <c r="AB17" s="327"/>
      <c r="AC17" s="327"/>
      <c r="AD17" s="659"/>
      <c r="AE17" s="659"/>
      <c r="AF17" s="659"/>
      <c r="AG17" s="659"/>
      <c r="AJ17" s="659"/>
      <c r="AM17" s="662"/>
      <c r="AN17" s="662"/>
      <c r="AO17" s="662"/>
      <c r="AP17" s="662"/>
      <c r="AQ17" s="593"/>
      <c r="AR17" s="593"/>
    </row>
    <row r="18" spans="1:57" s="83" customFormat="1" ht="11.25" hidden="1" customHeight="1">
      <c r="A18" s="83" t="s">
        <v>361</v>
      </c>
      <c r="B18" s="338"/>
      <c r="E18" s="595"/>
      <c r="T18" s="327"/>
      <c r="U18" s="327"/>
      <c r="V18" s="327"/>
      <c r="W18" s="327"/>
      <c r="X18" s="327"/>
      <c r="Y18" s="327"/>
      <c r="Z18" s="327"/>
      <c r="AA18" s="327"/>
      <c r="AB18" s="327"/>
      <c r="AC18" s="327"/>
      <c r="AD18" s="136" t="s">
        <v>194</v>
      </c>
      <c r="AE18" s="659"/>
      <c r="AF18" s="659"/>
      <c r="AG18" s="659"/>
      <c r="AJ18" s="659"/>
      <c r="AM18" s="662"/>
      <c r="AN18" s="662"/>
      <c r="AO18" s="662"/>
      <c r="AP18" s="662"/>
      <c r="AQ18" s="593"/>
      <c r="AR18" s="593"/>
    </row>
    <row r="19" spans="1:57" s="83" customFormat="1" ht="11.25" hidden="1" customHeight="1">
      <c r="B19" s="338"/>
      <c r="E19" s="595"/>
      <c r="T19" s="327"/>
      <c r="U19" s="327"/>
      <c r="V19" s="327"/>
      <c r="W19" s="327"/>
      <c r="X19" s="327"/>
      <c r="Y19" s="327"/>
      <c r="Z19" s="327"/>
      <c r="AA19" s="327"/>
      <c r="AB19" s="327"/>
      <c r="AC19" s="327"/>
      <c r="AD19" s="659"/>
      <c r="AE19" s="659"/>
      <c r="AF19" s="659"/>
      <c r="AG19" s="659"/>
      <c r="AJ19" s="659"/>
      <c r="AM19" s="662"/>
      <c r="AN19" s="662"/>
      <c r="AO19" s="662"/>
      <c r="AP19" s="662"/>
      <c r="AQ19" s="593"/>
      <c r="AR19" s="593"/>
    </row>
    <row r="20" spans="1:57" s="83" customFormat="1" ht="11.25" hidden="1" customHeight="1">
      <c r="B20" s="338"/>
      <c r="E20" s="595"/>
      <c r="T20" s="327"/>
      <c r="U20" s="327"/>
      <c r="V20" s="327"/>
      <c r="W20" s="327"/>
      <c r="X20" s="327"/>
      <c r="Y20" s="327"/>
      <c r="Z20" s="327"/>
      <c r="AA20" s="327"/>
      <c r="AB20" s="327"/>
      <c r="AC20" s="327"/>
      <c r="AD20" s="659"/>
      <c r="AE20" s="659"/>
      <c r="AF20" s="659"/>
      <c r="AG20" s="659"/>
      <c r="AJ20" s="659"/>
      <c r="AM20" s="662"/>
      <c r="AN20" s="662"/>
      <c r="AO20" s="662"/>
      <c r="AP20" s="662"/>
      <c r="AQ20" s="593"/>
      <c r="AR20" s="593"/>
    </row>
    <row r="21" spans="1:57" s="83" customFormat="1" ht="14.65" customHeight="1">
      <c r="B21" s="338"/>
      <c r="E21" s="595">
        <v>15</v>
      </c>
      <c r="T21" s="327"/>
      <c r="U21" s="327"/>
      <c r="V21" s="327"/>
      <c r="W21" s="327"/>
      <c r="X21" s="327"/>
      <c r="Y21" s="327"/>
      <c r="Z21" s="327"/>
      <c r="AA21" s="327"/>
      <c r="AB21" s="78"/>
      <c r="AD21" s="280" t="str" cm="1">
        <f t="array" ref="AD21">tpl_title</f>
        <v>Кемеровская область / 2026 / ООО "Энергосервис г. Гурьевска" (ИНН:4202049045, КПП:420201001) / ДПР: 2024-2028</v>
      </c>
      <c r="AM21" s="662"/>
      <c r="AN21" s="662"/>
      <c r="AO21" s="662"/>
      <c r="AP21" s="662"/>
      <c r="AQ21" s="593"/>
      <c r="AR21" s="593"/>
    </row>
    <row r="22" spans="1:57" ht="20.45" customHeight="1">
      <c r="E22" s="474">
        <v>21</v>
      </c>
      <c r="S22"/>
      <c r="AB22"/>
      <c r="AC22" s="1052" t="s">
        <v>37</v>
      </c>
      <c r="AD22" s="1053"/>
      <c r="AE22" s="1053"/>
      <c r="AF22" s="1053"/>
      <c r="AG22" s="1053"/>
      <c r="AH22" s="1053"/>
      <c r="AI22" s="1053"/>
      <c r="AJ22" s="1053"/>
    </row>
    <row r="23" spans="1:57" ht="8.85" customHeight="1">
      <c r="E23" s="474">
        <v>9</v>
      </c>
      <c r="AB23" s="51"/>
      <c r="AC23" s="51"/>
      <c r="AD23" s="51"/>
      <c r="AE23" s="51"/>
      <c r="AF23" s="51"/>
      <c r="AG23" s="1057"/>
      <c r="AH23" s="1057"/>
      <c r="AI23" s="33"/>
      <c r="AJ23" s="33"/>
    </row>
    <row r="24" spans="1:57" ht="20.45" customHeight="1">
      <c r="E24" s="474">
        <v>21</v>
      </c>
      <c r="AB24" s="51"/>
      <c r="AC24" s="1058" t="s">
        <v>22</v>
      </c>
      <c r="AD24" s="1058" t="s">
        <v>362</v>
      </c>
      <c r="AE24" s="1058" t="s">
        <v>363</v>
      </c>
      <c r="AF24" s="273" t="str">
        <f>god-2&amp;" год"</f>
        <v>2024 год</v>
      </c>
      <c r="AG24" s="30" t="str">
        <f>god-1&amp;" год"</f>
        <v>2025 год</v>
      </c>
      <c r="AH24" s="734" t="str">
        <f>god&amp;" год"</f>
        <v>2026 год</v>
      </c>
      <c r="AI24" s="30" t="str">
        <f>god&amp;" год"</f>
        <v>2026 год</v>
      </c>
      <c r="AJ24" s="1059" t="s">
        <v>364</v>
      </c>
    </row>
    <row r="25" spans="1:57" s="57" customFormat="1" ht="35.1" customHeight="1">
      <c r="B25" s="62"/>
      <c r="E25" s="469">
        <v>36</v>
      </c>
      <c r="F25" s="57" t="s">
        <v>365</v>
      </c>
      <c r="AC25" s="1058"/>
      <c r="AD25" s="1058"/>
      <c r="AE25" s="1058"/>
      <c r="AF25" s="30" t="s">
        <v>355</v>
      </c>
      <c r="AG25" s="30" t="s">
        <v>355</v>
      </c>
      <c r="AH25" s="734" t="s">
        <v>356</v>
      </c>
      <c r="AI25" s="30" t="s">
        <v>355</v>
      </c>
      <c r="AJ25" s="1060"/>
      <c r="AM25" s="665"/>
      <c r="AN25" s="665"/>
      <c r="AO25" s="665"/>
      <c r="AP25" s="665"/>
      <c r="AQ25" s="459"/>
      <c r="AR25" s="459"/>
    </row>
    <row r="26" spans="1:57" ht="11.25" customHeight="1">
      <c r="A26"/>
      <c r="B26" s="490"/>
      <c r="C26"/>
      <c r="D26"/>
      <c r="E26" s="467" t="s">
        <v>366</v>
      </c>
      <c r="F26" s="105"/>
      <c r="G26" s="105"/>
      <c r="H26"/>
      <c r="I26"/>
      <c r="J26"/>
      <c r="K26"/>
      <c r="L26"/>
      <c r="M26"/>
      <c r="N26"/>
      <c r="O26"/>
      <c r="P26"/>
      <c r="Q26"/>
      <c r="R26"/>
      <c r="S26"/>
      <c r="T26" t="s">
        <v>367</v>
      </c>
      <c r="AB26"/>
      <c r="AC26"/>
      <c r="AD26" s="37"/>
      <c r="AE26" s="37"/>
      <c r="AF26" s="37"/>
      <c r="AG26" s="37"/>
      <c r="AH26"/>
      <c r="AI26"/>
      <c r="AJ26"/>
      <c r="AK26"/>
      <c r="AL26"/>
      <c r="AM26" s="670"/>
      <c r="AN26" s="670"/>
      <c r="AO26" s="670"/>
      <c r="AP26" s="670"/>
      <c r="AQ26" s="465"/>
      <c r="AR26" s="672"/>
      <c r="AS26"/>
      <c r="AT26"/>
      <c r="AU26"/>
      <c r="AV26"/>
      <c r="AW26"/>
      <c r="AX26"/>
      <c r="AY26"/>
      <c r="AZ26"/>
      <c r="BA26"/>
      <c r="BB26"/>
      <c r="BC26"/>
      <c r="BD26"/>
      <c r="BE26"/>
    </row>
    <row r="27" spans="1:57" s="57" customFormat="1" ht="14.65" hidden="1" customHeight="1">
      <c r="B27" s="62"/>
      <c r="E27" s="469">
        <v>15</v>
      </c>
      <c r="F27" s="57" cm="1">
        <f t="array" ref="F27">Z27</f>
        <v>0</v>
      </c>
      <c r="T27" s="718" cm="1">
        <f t="array" ref="T27">INDEX('Общие сведения'!$AE$179:$AE$222,MATCH($Z27,'Общие сведения'!$Z$179:$Z$222,0))</f>
        <v>0</v>
      </c>
      <c r="V27" s="365" t="b">
        <f>Z27&gt;0</f>
        <v>0</v>
      </c>
      <c r="X27" s="57" t="s">
        <v>264</v>
      </c>
      <c r="Z27" s="1064">
        <v>0</v>
      </c>
      <c r="AA27" s="1065"/>
      <c r="AC27" s="113" t="str" cm="1">
        <f t="array" ref="AC27">INDEX('Общие сведения'!$AG$179:$AG$222,MATCH($Z27,'Общие сведения'!$Z$179:$Z$222,0))</f>
        <v xml:space="preserve">Тариф 0 () - </v>
      </c>
      <c r="AD27" s="113"/>
      <c r="AE27" s="107"/>
      <c r="AF27" s="107"/>
      <c r="AG27" s="107"/>
      <c r="AH27" s="107"/>
      <c r="AI27" s="107"/>
      <c r="AJ27" s="107"/>
      <c r="AM27" s="665"/>
      <c r="AN27" s="665"/>
      <c r="AO27" s="665"/>
      <c r="AP27" s="665"/>
      <c r="AQ27" s="459"/>
      <c r="AR27" s="459"/>
    </row>
    <row r="28" spans="1:57" s="57" customFormat="1" ht="14.65" hidden="1" customHeight="1">
      <c r="B28" s="644" t="b">
        <f>AND(T27="Водоснабжение",method_reg&lt;&gt;"Метод сравнения аналогов")</f>
        <v>0</v>
      </c>
      <c r="E28" s="469">
        <v>15</v>
      </c>
      <c r="F28" s="78" cm="1">
        <f t="array" aca="1" ref="F28" ca="1">OFFSET(E28,-1,1)</f>
        <v>0</v>
      </c>
      <c r="G28" s="377"/>
      <c r="H28" s="57" t="s">
        <v>327</v>
      </c>
      <c r="I28" s="57" t="s">
        <v>368</v>
      </c>
      <c r="J28" s="57" t="str">
        <f t="shared" ref="J28:J36" si="0">AD28&amp;"::"&amp;AE28</f>
        <v>Водонасосные станции (водозаборные узлы)::ед.</v>
      </c>
      <c r="K28" s="59"/>
      <c r="V28" s="365" t="b" cm="1">
        <f t="array" ref="V28">V27</f>
        <v>0</v>
      </c>
      <c r="Z28" s="1064"/>
      <c r="AA28" s="1065"/>
      <c r="AC28" s="117">
        <v>1</v>
      </c>
      <c r="AD28" s="115" t="s">
        <v>369</v>
      </c>
      <c r="AE28" s="58" t="s">
        <v>370</v>
      </c>
      <c r="AF28" s="831"/>
      <c r="AG28" s="831"/>
      <c r="AH28" s="831"/>
      <c r="AI28" s="831"/>
      <c r="AJ28" s="832"/>
      <c r="AM28" s="665" t="s">
        <v>371</v>
      </c>
      <c r="AN28" s="665"/>
      <c r="AO28" s="665"/>
      <c r="AP28" s="665"/>
      <c r="AQ28" s="459"/>
      <c r="AR28" s="459"/>
    </row>
    <row r="29" spans="1:57" s="57" customFormat="1" ht="14.65" hidden="1" customHeight="1">
      <c r="B29" s="644" t="b" cm="1">
        <f t="array" ref="B29">B28</f>
        <v>0</v>
      </c>
      <c r="E29" s="469">
        <v>15</v>
      </c>
      <c r="F29" s="78" cm="1">
        <f t="array" aca="1" ref="F29" ca="1">OFFSET(E29,-1,1)</f>
        <v>0</v>
      </c>
      <c r="G29" s="78"/>
      <c r="H29" s="57" t="s">
        <v>327</v>
      </c>
      <c r="I29" s="57" t="s">
        <v>368</v>
      </c>
      <c r="J29" s="57" t="str">
        <f t="shared" si="0"/>
        <v>Скважины::ед.</v>
      </c>
      <c r="V29" s="365" t="b" cm="1">
        <f t="array" ref="V29">V28</f>
        <v>0</v>
      </c>
      <c r="Z29" s="1064"/>
      <c r="AA29" s="1065"/>
      <c r="AC29" s="117">
        <v>2</v>
      </c>
      <c r="AD29" s="115" t="s">
        <v>372</v>
      </c>
      <c r="AE29" s="58" t="s">
        <v>370</v>
      </c>
      <c r="AF29" s="831"/>
      <c r="AG29" s="831"/>
      <c r="AH29" s="831"/>
      <c r="AI29" s="831"/>
      <c r="AJ29" s="832"/>
      <c r="AM29" s="665" t="s">
        <v>373</v>
      </c>
      <c r="AN29" s="665"/>
      <c r="AO29" s="665"/>
      <c r="AP29" s="665"/>
      <c r="AQ29" s="459"/>
      <c r="AR29" s="459"/>
    </row>
    <row r="30" spans="1:57" s="57" customFormat="1" ht="14.65" hidden="1" customHeight="1">
      <c r="B30" s="644" t="b">
        <f>T27="Водоснабжение"</f>
        <v>0</v>
      </c>
      <c r="E30" s="469">
        <v>15</v>
      </c>
      <c r="F30" s="78" cm="1">
        <f t="array" aca="1" ref="F30" ca="1">OFFSET(E30,-1,1)</f>
        <v>0</v>
      </c>
      <c r="G30" s="78" t="s">
        <v>51</v>
      </c>
      <c r="H30" s="57" t="s">
        <v>327</v>
      </c>
      <c r="I30" s="57" t="s">
        <v>368</v>
      </c>
      <c r="J30" s="57" t="str">
        <f t="shared" si="0"/>
        <v>Подкачивающие насосные станции::ед.</v>
      </c>
      <c r="L30" s="57" t="s">
        <v>51</v>
      </c>
      <c r="V30" s="365" t="b" cm="1">
        <f t="array" ref="V30">V29</f>
        <v>0</v>
      </c>
      <c r="Z30" s="1064"/>
      <c r="AA30" s="1065"/>
      <c r="AC30" s="117">
        <f>IF(B29,3,1)</f>
        <v>1</v>
      </c>
      <c r="AD30" s="115" t="s">
        <v>374</v>
      </c>
      <c r="AE30" s="58" t="s">
        <v>370</v>
      </c>
      <c r="AF30" s="831"/>
      <c r="AG30" s="831"/>
      <c r="AH30" s="831"/>
      <c r="AI30" s="831"/>
      <c r="AJ30" s="832"/>
      <c r="AM30" s="665" t="s">
        <v>375</v>
      </c>
      <c r="AN30" s="665"/>
      <c r="AO30" s="665"/>
      <c r="AP30" s="665"/>
      <c r="AQ30" s="459"/>
      <c r="AR30" s="459"/>
    </row>
    <row r="31" spans="1:57" s="57" customFormat="1" ht="14.65" hidden="1" customHeight="1">
      <c r="B31" s="644" t="b" cm="1">
        <f t="array" ref="B31">B29</f>
        <v>0</v>
      </c>
      <c r="E31" s="469">
        <v>15</v>
      </c>
      <c r="F31" s="78" cm="1">
        <f t="array" aca="1" ref="F31" ca="1">OFFSET(E31,-1,1)</f>
        <v>0</v>
      </c>
      <c r="G31" s="78"/>
      <c r="H31" s="57" t="s">
        <v>327</v>
      </c>
      <c r="I31" s="57" t="s">
        <v>368</v>
      </c>
      <c r="J31" s="57" t="str">
        <f t="shared" si="0"/>
        <v>Водонапорные башни::ед.</v>
      </c>
      <c r="V31" s="365" t="b" cm="1">
        <f t="array" ref="V31">V30</f>
        <v>0</v>
      </c>
      <c r="Z31" s="1064"/>
      <c r="AA31" s="1065"/>
      <c r="AC31" s="117">
        <v>4</v>
      </c>
      <c r="AD31" s="115" t="s">
        <v>376</v>
      </c>
      <c r="AE31" s="58" t="s">
        <v>370</v>
      </c>
      <c r="AF31" s="831"/>
      <c r="AG31" s="831"/>
      <c r="AH31" s="831"/>
      <c r="AI31" s="831"/>
      <c r="AJ31" s="832"/>
      <c r="AM31" s="665" t="s">
        <v>377</v>
      </c>
      <c r="AN31" s="665"/>
      <c r="AO31" s="665"/>
      <c r="AP31" s="665"/>
      <c r="AQ31" s="459"/>
      <c r="AR31" s="459"/>
    </row>
    <row r="32" spans="1:57" s="57" customFormat="1" ht="14.65" hidden="1" customHeight="1">
      <c r="B32" s="644" t="b">
        <f>T27="Водоснабжение"</f>
        <v>0</v>
      </c>
      <c r="E32" s="469">
        <v>15</v>
      </c>
      <c r="F32" s="78" cm="1">
        <f t="array" aca="1" ref="F32" ca="1">OFFSET(E32,-1,1)</f>
        <v>0</v>
      </c>
      <c r="G32" s="78"/>
      <c r="H32" s="57" t="s">
        <v>327</v>
      </c>
      <c r="I32" s="57" t="s">
        <v>368</v>
      </c>
      <c r="J32" s="57" t="str">
        <f t="shared" si="0"/>
        <v>Водопроводные сети::км</v>
      </c>
      <c r="P32" s="57" t="s">
        <v>378</v>
      </c>
      <c r="Q32" s="57" t="s">
        <v>379</v>
      </c>
      <c r="V32" s="365" t="b" cm="1">
        <f t="array" ref="V32">V31</f>
        <v>0</v>
      </c>
      <c r="Z32" s="1064"/>
      <c r="AA32" s="1065"/>
      <c r="AC32" s="117">
        <f>IF(B29,5,2)</f>
        <v>2</v>
      </c>
      <c r="AD32" s="115" t="s">
        <v>380</v>
      </c>
      <c r="AE32" s="58" t="s">
        <v>381</v>
      </c>
      <c r="AF32" s="833"/>
      <c r="AG32" s="833"/>
      <c r="AH32" s="833"/>
      <c r="AI32" s="833"/>
      <c r="AJ32" s="832"/>
      <c r="AM32" s="665" t="s">
        <v>382</v>
      </c>
      <c r="AN32" s="665"/>
      <c r="AO32" s="665"/>
      <c r="AP32" s="665"/>
      <c r="AQ32" s="459"/>
      <c r="AR32" s="459"/>
    </row>
    <row r="33" spans="1:57" s="57" customFormat="1" ht="14.65" hidden="1" customHeight="1">
      <c r="B33" s="644" t="b">
        <f>AND(T27="Водоотведение",method_reg&lt;&gt;"Метод сравнения аналогов")</f>
        <v>0</v>
      </c>
      <c r="E33" s="469">
        <v>15</v>
      </c>
      <c r="F33" s="78" cm="1">
        <f t="array" aca="1" ref="F33" ca="1">OFFSET(E33,-1,1)</f>
        <v>0</v>
      </c>
      <c r="G33" s="377"/>
      <c r="H33" s="57" t="s">
        <v>327</v>
      </c>
      <c r="I33" s="57" t="s">
        <v>368</v>
      </c>
      <c r="J33" s="57" t="str">
        <f t="shared" si="0"/>
        <v>Биологические очистные сооружения::ед.</v>
      </c>
      <c r="K33" s="59"/>
      <c r="V33" s="365" t="b" cm="1">
        <f t="array" ref="V33">V32</f>
        <v>0</v>
      </c>
      <c r="Z33" s="1064"/>
      <c r="AA33" s="1065"/>
      <c r="AC33" s="117">
        <v>1</v>
      </c>
      <c r="AD33" s="115" t="s">
        <v>383</v>
      </c>
      <c r="AE33" s="58" t="s">
        <v>370</v>
      </c>
      <c r="AF33" s="831"/>
      <c r="AG33" s="831"/>
      <c r="AH33" s="831"/>
      <c r="AI33" s="831"/>
      <c r="AJ33" s="832"/>
      <c r="AM33" s="665" t="s">
        <v>384</v>
      </c>
      <c r="AN33" s="665"/>
      <c r="AO33" s="665"/>
      <c r="AP33" s="665"/>
      <c r="AQ33" s="459"/>
      <c r="AR33" s="459"/>
    </row>
    <row r="34" spans="1:57" s="57" customFormat="1" ht="14.65" hidden="1" customHeight="1">
      <c r="B34" s="644" t="b">
        <f>T27="Водоотведение"</f>
        <v>0</v>
      </c>
      <c r="E34" s="469">
        <v>15</v>
      </c>
      <c r="F34" s="78" cm="1">
        <f t="array" aca="1" ref="F34" ca="1">OFFSET(E34,-1,1)</f>
        <v>0</v>
      </c>
      <c r="G34" s="78" t="s">
        <v>51</v>
      </c>
      <c r="H34" s="57" t="s">
        <v>327</v>
      </c>
      <c r="I34" s="57" t="s">
        <v>368</v>
      </c>
      <c r="J34" s="57" t="str">
        <f t="shared" si="0"/>
        <v>Канализационные насосные станции::ед.</v>
      </c>
      <c r="V34" s="365" t="b" cm="1">
        <f t="array" ref="V34">V33</f>
        <v>0</v>
      </c>
      <c r="Z34" s="1064"/>
      <c r="AA34" s="1065"/>
      <c r="AC34" s="117">
        <f>IF(B33,2,1)</f>
        <v>1</v>
      </c>
      <c r="AD34" s="115" t="s">
        <v>385</v>
      </c>
      <c r="AE34" s="58" t="s">
        <v>370</v>
      </c>
      <c r="AF34" s="831"/>
      <c r="AG34" s="831"/>
      <c r="AH34" s="831"/>
      <c r="AI34" s="831"/>
      <c r="AJ34" s="832"/>
      <c r="AM34" s="665" t="s">
        <v>386</v>
      </c>
      <c r="AN34" s="665"/>
      <c r="AO34" s="665"/>
      <c r="AP34" s="665"/>
      <c r="AQ34" s="459"/>
      <c r="AR34" s="459"/>
    </row>
    <row r="35" spans="1:57" s="57" customFormat="1" ht="14.65" hidden="1" customHeight="1">
      <c r="B35" s="644" t="b" cm="1">
        <f t="array" ref="B35">B34</f>
        <v>0</v>
      </c>
      <c r="E35" s="469">
        <v>15</v>
      </c>
      <c r="F35" s="78" cm="1">
        <f t="array" aca="1" ref="F35" ca="1">OFFSET(E35,-1,1)</f>
        <v>0</v>
      </c>
      <c r="G35" s="78"/>
      <c r="H35" s="57" t="s">
        <v>327</v>
      </c>
      <c r="I35" s="57" t="s">
        <v>368</v>
      </c>
      <c r="J35" s="57" t="str">
        <f t="shared" si="0"/>
        <v>Канализационные сети::км</v>
      </c>
      <c r="L35" s="57" t="s">
        <v>51</v>
      </c>
      <c r="P35" s="57" t="s">
        <v>378</v>
      </c>
      <c r="Q35" s="57" t="s">
        <v>379</v>
      </c>
      <c r="V35" s="365" t="b" cm="1">
        <f t="array" ref="V35">V34</f>
        <v>0</v>
      </c>
      <c r="Z35" s="1064"/>
      <c r="AA35" s="1065"/>
      <c r="AC35" s="117">
        <f>AC34+1</f>
        <v>2</v>
      </c>
      <c r="AD35" s="115" t="s">
        <v>387</v>
      </c>
      <c r="AE35" s="58" t="s">
        <v>381</v>
      </c>
      <c r="AF35" s="833"/>
      <c r="AG35" s="833"/>
      <c r="AH35" s="833"/>
      <c r="AI35" s="833"/>
      <c r="AJ35" s="832"/>
      <c r="AM35" s="665" t="s">
        <v>388</v>
      </c>
      <c r="AN35" s="665"/>
      <c r="AO35" s="665"/>
      <c r="AP35" s="665"/>
      <c r="AQ35" s="459"/>
      <c r="AR35" s="459"/>
    </row>
    <row r="36" spans="1:57" s="59" customFormat="1" ht="14.65" hidden="1" customHeight="1">
      <c r="B36" s="62"/>
      <c r="E36" s="475">
        <v>15</v>
      </c>
      <c r="F36" s="78" cm="1">
        <f t="array" aca="1" ref="F36" ca="1">OFFSET(E36,-1,1)</f>
        <v>0</v>
      </c>
      <c r="G36" s="78"/>
      <c r="H36" s="59" t="s">
        <v>327</v>
      </c>
      <c r="I36" s="59" t="s">
        <v>368</v>
      </c>
      <c r="J36" s="59" t="str">
        <f t="shared" si="0"/>
        <v>::</v>
      </c>
      <c r="U36" s="57">
        <v>0</v>
      </c>
      <c r="V36" s="365" t="b">
        <f ca="1">AND(F36&gt;0,U36&gt;0)</f>
        <v>0</v>
      </c>
      <c r="Y36" s="528" t="s">
        <v>173</v>
      </c>
      <c r="Z36" s="1064"/>
      <c r="AA36" s="1065"/>
      <c r="AB36" s="332" t="s">
        <v>174</v>
      </c>
      <c r="AC36" s="117">
        <f ca="1">IF(OFFSET(C36,-8-U36,-1),5,IF(OFFSET(C36,-3-U36,-1),3,2))+U36</f>
        <v>2</v>
      </c>
      <c r="AD36" s="834"/>
      <c r="AE36" s="835"/>
      <c r="AF36" s="833"/>
      <c r="AG36" s="833"/>
      <c r="AH36" s="833"/>
      <c r="AI36" s="833"/>
      <c r="AJ36" s="832"/>
      <c r="AM36" s="671" t="s">
        <v>389</v>
      </c>
      <c r="AN36" s="671" t="s">
        <v>390</v>
      </c>
      <c r="AO36" s="673" cm="1">
        <f t="array" ref="AO36">AD36</f>
        <v>0</v>
      </c>
      <c r="AP36" s="673" cm="1">
        <f t="array" ref="AP36">AE36</f>
        <v>0</v>
      </c>
      <c r="AQ36" s="513"/>
      <c r="AR36" s="513" t="b">
        <v>1</v>
      </c>
    </row>
    <row r="37" spans="1:57" s="57" customFormat="1" ht="14.65" hidden="1" customHeight="1">
      <c r="B37" s="62"/>
      <c r="E37" s="469">
        <v>15</v>
      </c>
      <c r="F37" s="78" cm="1">
        <f t="array" aca="1" ref="F37" ca="1">OFFSET(E37,-1,1)</f>
        <v>0</v>
      </c>
      <c r="G37" s="78"/>
      <c r="J37" s="56" t="s">
        <v>391</v>
      </c>
      <c r="V37" s="365" t="b" cm="1">
        <f t="array" ref="V37">V35</f>
        <v>0</v>
      </c>
      <c r="Y37" s="528" t="s">
        <v>392</v>
      </c>
      <c r="Z37" s="1064"/>
      <c r="AA37" s="1065"/>
      <c r="AC37" s="108"/>
      <c r="AD37" s="229" t="s">
        <v>177</v>
      </c>
      <c r="AE37" s="109"/>
      <c r="AF37" s="109"/>
      <c r="AG37" s="109"/>
      <c r="AH37" s="109"/>
      <c r="AI37" s="109"/>
      <c r="AJ37" s="120"/>
      <c r="AM37" s="665"/>
      <c r="AN37" s="665"/>
      <c r="AO37" s="665"/>
      <c r="AP37" s="665"/>
      <c r="AQ37" s="459" t="s">
        <v>390</v>
      </c>
      <c r="AR37" s="459"/>
    </row>
    <row r="38" spans="1:57" s="57" customFormat="1" ht="14.65" hidden="1" customHeight="1">
      <c r="B38" s="62"/>
      <c r="E38" s="469">
        <v>15</v>
      </c>
      <c r="F38" s="78" cm="1">
        <f t="array" aca="1" ref="F38" ca="1">OFFSET(E38,-1,1)</f>
        <v>0</v>
      </c>
      <c r="G38" s="78"/>
      <c r="H38" s="57" t="s">
        <v>328</v>
      </c>
      <c r="I38" s="57" t="s">
        <v>368</v>
      </c>
      <c r="J38" s="283" t="str" cm="1">
        <f t="array" ref="J38">AD38</f>
        <v>Краткое описание технологического процесса</v>
      </c>
      <c r="V38" s="365" t="b" cm="1">
        <f t="array" ref="V38">V37</f>
        <v>0</v>
      </c>
      <c r="Z38" s="1064"/>
      <c r="AA38" s="1065"/>
      <c r="AC38" s="117"/>
      <c r="AD38" s="115" t="s">
        <v>393</v>
      </c>
      <c r="AE38" s="58"/>
      <c r="AF38" s="1066"/>
      <c r="AG38" s="1067"/>
      <c r="AH38" s="1067"/>
      <c r="AI38" s="1067"/>
      <c r="AJ38" s="1068"/>
      <c r="AM38" s="665" t="s">
        <v>394</v>
      </c>
      <c r="AN38" s="665"/>
      <c r="AO38" s="665"/>
      <c r="AP38" s="665"/>
      <c r="AQ38" s="459"/>
      <c r="AR38" s="459"/>
    </row>
    <row r="39" spans="1:57" s="408" customFormat="1" ht="14.25" customHeight="1">
      <c r="A39" s="57"/>
      <c r="B39" s="62"/>
      <c r="C39" s="57"/>
      <c r="D39" s="57"/>
      <c r="E39" s="469">
        <v>15</v>
      </c>
      <c r="F39" s="57" t="str" cm="1">
        <f t="array" ref="F39">Z39</f>
        <v>1</v>
      </c>
      <c r="G39" s="57"/>
      <c r="H39" s="57"/>
      <c r="I39" s="57"/>
      <c r="J39" s="57"/>
      <c r="K39" s="57"/>
      <c r="L39" s="57"/>
      <c r="M39" s="57"/>
      <c r="N39" s="57"/>
      <c r="O39" s="57"/>
      <c r="P39" s="57"/>
      <c r="Q39" s="57"/>
      <c r="R39" s="57"/>
      <c r="S39" s="57"/>
      <c r="T39" s="718" t="str" cm="1">
        <f t="array" ref="T39">INDEX('Общие сведения'!$AE$179:$AE$222,MATCH($Z39,'Общие сведения'!$Z$179:$Z$222,0))</f>
        <v>Водоснабжение</v>
      </c>
      <c r="U39" s="57"/>
      <c r="V39" s="365" t="b">
        <f>Z39&gt;0</f>
        <v>1</v>
      </c>
      <c r="W39" s="57"/>
      <c r="X39" s="57" t="str" cm="1">
        <f t="array" ref="X39">'Список территорий'!$AB$29</f>
        <v>Тариф 1 (Водоснабжение) - тариф на питьевую воду (Доп. признак не требуется)</v>
      </c>
      <c r="Y39" s="57"/>
      <c r="Z39" s="1064" t="s">
        <v>275</v>
      </c>
      <c r="AA39" s="1065"/>
      <c r="AB39" s="57"/>
      <c r="AC39" s="113" t="str" cm="1">
        <f t="array" ref="AC39">'Список территорий'!$AB$29</f>
        <v>Тариф 1 (Водоснабжение) - тариф на питьевую воду (Доп. признак не требуется)</v>
      </c>
      <c r="AD39" s="113"/>
      <c r="AE39" s="107"/>
      <c r="AF39" s="107"/>
      <c r="AG39" s="107"/>
      <c r="AH39" s="107"/>
      <c r="AI39" s="107"/>
      <c r="AJ39" s="107"/>
      <c r="AK39" s="57"/>
      <c r="AL39" s="57"/>
      <c r="AM39" s="665"/>
      <c r="AN39" s="665"/>
      <c r="AO39" s="665"/>
      <c r="AP39" s="665"/>
      <c r="AQ39" s="459"/>
      <c r="AR39" s="459"/>
      <c r="AS39" s="57"/>
      <c r="AT39" s="57"/>
      <c r="AU39" s="57"/>
      <c r="AV39" s="57"/>
      <c r="AW39" s="57"/>
      <c r="AX39" s="57"/>
      <c r="AY39" s="57"/>
      <c r="AZ39" s="57"/>
      <c r="BA39" s="57"/>
      <c r="BB39" s="57"/>
      <c r="BC39" s="57"/>
      <c r="BD39" s="57"/>
      <c r="BE39" s="57"/>
    </row>
    <row r="40" spans="1:57" s="408" customFormat="1" ht="14.65" customHeight="1">
      <c r="A40" s="57"/>
      <c r="B40" s="644" t="b">
        <f>AND(T39="Водоснабжение",method_reg&lt;&gt;"Метод сравнения аналогов")</f>
        <v>1</v>
      </c>
      <c r="C40" s="57"/>
      <c r="D40" s="57"/>
      <c r="E40" s="469">
        <v>15</v>
      </c>
      <c r="F40" s="78" t="str" cm="1">
        <f t="array" aca="1" ref="F40" ca="1">OFFSET(E40,-1,1)</f>
        <v>1</v>
      </c>
      <c r="G40" s="377"/>
      <c r="H40" s="57" t="s">
        <v>327</v>
      </c>
      <c r="I40" s="57" t="s">
        <v>368</v>
      </c>
      <c r="J40" s="57" t="str">
        <f t="shared" ref="J40:J48" si="1">AD40&amp;"::"&amp;AE40</f>
        <v>Водонасосные станции (водозаборные узлы)::ед.</v>
      </c>
      <c r="K40" s="59"/>
      <c r="L40" s="57"/>
      <c r="M40" s="57"/>
      <c r="N40" s="57"/>
      <c r="O40" s="57"/>
      <c r="P40" s="57"/>
      <c r="Q40" s="57"/>
      <c r="R40" s="57"/>
      <c r="S40" s="57"/>
      <c r="T40" s="57"/>
      <c r="U40" s="57"/>
      <c r="V40" s="365" t="b" cm="1">
        <f t="array" ref="V40">V39</f>
        <v>1</v>
      </c>
      <c r="W40" s="57"/>
      <c r="X40" s="57"/>
      <c r="Y40" s="57"/>
      <c r="Z40" s="1064"/>
      <c r="AA40" s="1065"/>
      <c r="AB40" s="57"/>
      <c r="AC40" s="117">
        <v>1</v>
      </c>
      <c r="AD40" s="115" t="s">
        <v>369</v>
      </c>
      <c r="AE40" s="58" t="s">
        <v>370</v>
      </c>
      <c r="AF40" s="121">
        <v>2</v>
      </c>
      <c r="AG40" s="121">
        <v>2</v>
      </c>
      <c r="AH40" s="121">
        <v>2</v>
      </c>
      <c r="AI40" s="121">
        <v>2</v>
      </c>
      <c r="AJ40" s="122"/>
      <c r="AK40" s="57"/>
      <c r="AL40" s="57"/>
      <c r="AM40" s="665" t="s">
        <v>371</v>
      </c>
      <c r="AN40" s="665"/>
      <c r="AO40" s="665"/>
      <c r="AP40" s="665"/>
      <c r="AQ40" s="459"/>
      <c r="AR40" s="459"/>
      <c r="AS40" s="57"/>
      <c r="AT40" s="57"/>
      <c r="AU40" s="57"/>
      <c r="AV40" s="57"/>
      <c r="AW40" s="57"/>
      <c r="AX40" s="57"/>
      <c r="AY40" s="57"/>
      <c r="AZ40" s="57"/>
      <c r="BA40" s="57"/>
      <c r="BB40" s="57"/>
      <c r="BC40" s="57"/>
      <c r="BD40" s="57"/>
      <c r="BE40" s="57"/>
    </row>
    <row r="41" spans="1:57" s="408" customFormat="1" ht="14.65" customHeight="1">
      <c r="A41" s="57"/>
      <c r="B41" s="644" t="b" cm="1">
        <f t="array" ref="B41">B40</f>
        <v>1</v>
      </c>
      <c r="C41" s="57"/>
      <c r="D41" s="57"/>
      <c r="E41" s="469">
        <v>15</v>
      </c>
      <c r="F41" s="78" t="str" cm="1">
        <f t="array" aca="1" ref="F41" ca="1">OFFSET(E41,-1,1)</f>
        <v>1</v>
      </c>
      <c r="G41" s="78"/>
      <c r="H41" s="57" t="s">
        <v>327</v>
      </c>
      <c r="I41" s="57" t="s">
        <v>368</v>
      </c>
      <c r="J41" s="57" t="str">
        <f t="shared" si="1"/>
        <v>Скважины::ед.</v>
      </c>
      <c r="K41" s="57"/>
      <c r="L41" s="57"/>
      <c r="M41" s="57"/>
      <c r="N41" s="57"/>
      <c r="O41" s="57"/>
      <c r="P41" s="57"/>
      <c r="Q41" s="57"/>
      <c r="R41" s="57"/>
      <c r="S41" s="57"/>
      <c r="T41" s="57"/>
      <c r="U41" s="57"/>
      <c r="V41" s="365" t="b" cm="1">
        <f t="array" ref="V41">V40</f>
        <v>1</v>
      </c>
      <c r="W41" s="57"/>
      <c r="X41" s="57"/>
      <c r="Y41" s="57"/>
      <c r="Z41" s="1064"/>
      <c r="AA41" s="1065"/>
      <c r="AB41" s="57"/>
      <c r="AC41" s="117">
        <v>2</v>
      </c>
      <c r="AD41" s="115" t="s">
        <v>372</v>
      </c>
      <c r="AE41" s="58" t="s">
        <v>370</v>
      </c>
      <c r="AF41" s="121">
        <v>10</v>
      </c>
      <c r="AG41" s="121">
        <v>10</v>
      </c>
      <c r="AH41" s="121">
        <v>10</v>
      </c>
      <c r="AI41" s="121">
        <v>10</v>
      </c>
      <c r="AJ41" s="122"/>
      <c r="AK41" s="57"/>
      <c r="AL41" s="57"/>
      <c r="AM41" s="665" t="s">
        <v>373</v>
      </c>
      <c r="AN41" s="665"/>
      <c r="AO41" s="665"/>
      <c r="AP41" s="665"/>
      <c r="AQ41" s="459"/>
      <c r="AR41" s="459"/>
      <c r="AS41" s="57"/>
      <c r="AT41" s="57"/>
      <c r="AU41" s="57"/>
      <c r="AV41" s="57"/>
      <c r="AW41" s="57"/>
      <c r="AX41" s="57"/>
      <c r="AY41" s="57"/>
      <c r="AZ41" s="57"/>
      <c r="BA41" s="57"/>
      <c r="BB41" s="57"/>
      <c r="BC41" s="57"/>
      <c r="BD41" s="57"/>
      <c r="BE41" s="57"/>
    </row>
    <row r="42" spans="1:57" s="408" customFormat="1" ht="14.25" customHeight="1">
      <c r="A42" s="57"/>
      <c r="B42" s="644" t="b">
        <f>T39="Водоснабжение"</f>
        <v>1</v>
      </c>
      <c r="C42" s="57"/>
      <c r="D42" s="57"/>
      <c r="E42" s="469">
        <v>15</v>
      </c>
      <c r="F42" s="78" t="str" cm="1">
        <f t="array" aca="1" ref="F42" ca="1">OFFSET(E42,-1,1)</f>
        <v>1</v>
      </c>
      <c r="G42" s="78" t="s">
        <v>51</v>
      </c>
      <c r="H42" s="57" t="s">
        <v>327</v>
      </c>
      <c r="I42" s="57" t="s">
        <v>368</v>
      </c>
      <c r="J42" s="57" t="str">
        <f t="shared" si="1"/>
        <v>Подкачивающие насосные станции::ед.</v>
      </c>
      <c r="K42" s="57"/>
      <c r="L42" s="57" t="s">
        <v>51</v>
      </c>
      <c r="M42" s="57"/>
      <c r="N42" s="57"/>
      <c r="O42" s="57"/>
      <c r="P42" s="57"/>
      <c r="Q42" s="57"/>
      <c r="R42" s="57"/>
      <c r="S42" s="57"/>
      <c r="T42" s="57"/>
      <c r="U42" s="57"/>
      <c r="V42" s="365" t="b" cm="1">
        <f t="array" ref="V42">V41</f>
        <v>1</v>
      </c>
      <c r="W42" s="57"/>
      <c r="X42" s="57"/>
      <c r="Y42" s="57"/>
      <c r="Z42" s="1064"/>
      <c r="AA42" s="1065"/>
      <c r="AB42" s="57"/>
      <c r="AC42" s="117">
        <f>IF(B41,3,1)</f>
        <v>3</v>
      </c>
      <c r="AD42" s="115" t="s">
        <v>374</v>
      </c>
      <c r="AE42" s="58" t="s">
        <v>370</v>
      </c>
      <c r="AF42" s="121"/>
      <c r="AG42" s="121"/>
      <c r="AH42" s="121"/>
      <c r="AI42" s="121"/>
      <c r="AJ42" s="122"/>
      <c r="AK42" s="57"/>
      <c r="AL42" s="57"/>
      <c r="AM42" s="665" t="s">
        <v>375</v>
      </c>
      <c r="AN42" s="665"/>
      <c r="AO42" s="665"/>
      <c r="AP42" s="665"/>
      <c r="AQ42" s="459"/>
      <c r="AR42" s="459"/>
      <c r="AS42" s="57"/>
      <c r="AT42" s="57"/>
      <c r="AU42" s="57"/>
      <c r="AV42" s="57"/>
      <c r="AW42" s="57"/>
      <c r="AX42" s="57"/>
      <c r="AY42" s="57"/>
      <c r="AZ42" s="57"/>
      <c r="BA42" s="57"/>
      <c r="BB42" s="57"/>
      <c r="BC42" s="57"/>
      <c r="BD42" s="57"/>
      <c r="BE42" s="57"/>
    </row>
    <row r="43" spans="1:57" s="408" customFormat="1" ht="14.65" customHeight="1">
      <c r="A43" s="57"/>
      <c r="B43" s="644" t="b" cm="1">
        <f t="array" ref="B43">B41</f>
        <v>1</v>
      </c>
      <c r="C43" s="57"/>
      <c r="D43" s="57"/>
      <c r="E43" s="469">
        <v>15</v>
      </c>
      <c r="F43" s="78" t="str" cm="1">
        <f t="array" aca="1" ref="F43" ca="1">OFFSET(E43,-1,1)</f>
        <v>1</v>
      </c>
      <c r="G43" s="78"/>
      <c r="H43" s="57" t="s">
        <v>327</v>
      </c>
      <c r="I43" s="57" t="s">
        <v>368</v>
      </c>
      <c r="J43" s="57" t="str">
        <f t="shared" si="1"/>
        <v>Водонапорные башни::ед.</v>
      </c>
      <c r="K43" s="57"/>
      <c r="L43" s="57"/>
      <c r="M43" s="57"/>
      <c r="N43" s="57"/>
      <c r="O43" s="57"/>
      <c r="P43" s="57"/>
      <c r="Q43" s="57"/>
      <c r="R43" s="57"/>
      <c r="S43" s="57"/>
      <c r="T43" s="57"/>
      <c r="U43" s="57"/>
      <c r="V43" s="365" t="b" cm="1">
        <f t="array" ref="V43">V42</f>
        <v>1</v>
      </c>
      <c r="W43" s="57"/>
      <c r="X43" s="57"/>
      <c r="Y43" s="57"/>
      <c r="Z43" s="1064"/>
      <c r="AA43" s="1065"/>
      <c r="AB43" s="57"/>
      <c r="AC43" s="117">
        <v>4</v>
      </c>
      <c r="AD43" s="115" t="s">
        <v>376</v>
      </c>
      <c r="AE43" s="58" t="s">
        <v>370</v>
      </c>
      <c r="AF43" s="121">
        <v>2</v>
      </c>
      <c r="AG43" s="121">
        <v>2</v>
      </c>
      <c r="AH43" s="121">
        <v>2</v>
      </c>
      <c r="AI43" s="121">
        <v>2</v>
      </c>
      <c r="AJ43" s="122"/>
      <c r="AK43" s="57"/>
      <c r="AL43" s="57"/>
      <c r="AM43" s="665" t="s">
        <v>377</v>
      </c>
      <c r="AN43" s="665"/>
      <c r="AO43" s="665"/>
      <c r="AP43" s="665"/>
      <c r="AQ43" s="459"/>
      <c r="AR43" s="459"/>
      <c r="AS43" s="57"/>
      <c r="AT43" s="57"/>
      <c r="AU43" s="57"/>
      <c r="AV43" s="57"/>
      <c r="AW43" s="57"/>
      <c r="AX43" s="57"/>
      <c r="AY43" s="57"/>
      <c r="AZ43" s="57"/>
      <c r="BA43" s="57"/>
      <c r="BB43" s="57"/>
      <c r="BC43" s="57"/>
      <c r="BD43" s="57"/>
      <c r="BE43" s="57"/>
    </row>
    <row r="44" spans="1:57" s="408" customFormat="1" ht="14.65" customHeight="1">
      <c r="A44" s="57"/>
      <c r="B44" s="644" t="b">
        <f>T39="Водоснабжение"</f>
        <v>1</v>
      </c>
      <c r="C44" s="57"/>
      <c r="D44" s="57"/>
      <c r="E44" s="469">
        <v>15</v>
      </c>
      <c r="F44" s="78" t="str" cm="1">
        <f t="array" aca="1" ref="F44" ca="1">OFFSET(E44,-1,1)</f>
        <v>1</v>
      </c>
      <c r="G44" s="78"/>
      <c r="H44" s="57" t="s">
        <v>327</v>
      </c>
      <c r="I44" s="57" t="s">
        <v>368</v>
      </c>
      <c r="J44" s="57" t="str">
        <f t="shared" si="1"/>
        <v>Водопроводные сети::км</v>
      </c>
      <c r="K44" s="57"/>
      <c r="L44" s="57"/>
      <c r="M44" s="57"/>
      <c r="N44" s="57"/>
      <c r="O44" s="57"/>
      <c r="P44" s="57" t="s">
        <v>378</v>
      </c>
      <c r="Q44" s="57" t="s">
        <v>379</v>
      </c>
      <c r="R44" s="57"/>
      <c r="S44" s="57"/>
      <c r="T44" s="57"/>
      <c r="U44" s="57"/>
      <c r="V44" s="365" t="b" cm="1">
        <f t="array" ref="V44">V43</f>
        <v>1</v>
      </c>
      <c r="W44" s="57"/>
      <c r="X44" s="57"/>
      <c r="Y44" s="57"/>
      <c r="Z44" s="1064"/>
      <c r="AA44" s="1065"/>
      <c r="AB44" s="57"/>
      <c r="AC44" s="117">
        <f>IF(B41,5,2)</f>
        <v>5</v>
      </c>
      <c r="AD44" s="115" t="s">
        <v>380</v>
      </c>
      <c r="AE44" s="58" t="s">
        <v>381</v>
      </c>
      <c r="AF44" s="76">
        <v>117.1</v>
      </c>
      <c r="AG44" s="76">
        <v>117.1</v>
      </c>
      <c r="AH44" s="76">
        <v>117.1</v>
      </c>
      <c r="AI44" s="76">
        <v>117.1</v>
      </c>
      <c r="AJ44" s="122"/>
      <c r="AK44" s="57"/>
      <c r="AL44" s="57"/>
      <c r="AM44" s="665" t="s">
        <v>382</v>
      </c>
      <c r="AN44" s="665"/>
      <c r="AO44" s="665"/>
      <c r="AP44" s="665"/>
      <c r="AQ44" s="459"/>
      <c r="AR44" s="459"/>
      <c r="AS44" s="57"/>
      <c r="AT44" s="57"/>
      <c r="AU44" s="57"/>
      <c r="AV44" s="57"/>
      <c r="AW44" s="57"/>
      <c r="AX44" s="57"/>
      <c r="AY44" s="57"/>
      <c r="AZ44" s="57"/>
      <c r="BA44" s="57"/>
      <c r="BB44" s="57"/>
      <c r="BC44" s="57"/>
      <c r="BD44" s="57"/>
      <c r="BE44" s="57"/>
    </row>
    <row r="45" spans="1:57" s="408" customFormat="1" ht="14.25" hidden="1" customHeight="1">
      <c r="A45" s="57"/>
      <c r="B45" s="644" t="b">
        <f>AND(T39="Водоотведение",method_reg&lt;&gt;"Метод сравнения аналогов")</f>
        <v>0</v>
      </c>
      <c r="C45" s="57"/>
      <c r="D45" s="57"/>
      <c r="E45" s="469">
        <v>15</v>
      </c>
      <c r="F45" s="78" t="str" cm="1">
        <f t="array" aca="1" ref="F45" ca="1">OFFSET(E45,-1,1)</f>
        <v>1</v>
      </c>
      <c r="G45" s="377"/>
      <c r="H45" s="57" t="s">
        <v>327</v>
      </c>
      <c r="I45" s="57" t="s">
        <v>368</v>
      </c>
      <c r="J45" s="57" t="str">
        <f t="shared" si="1"/>
        <v>Биологические очистные сооружения::ед.</v>
      </c>
      <c r="K45" s="59"/>
      <c r="L45" s="57"/>
      <c r="M45" s="57"/>
      <c r="N45" s="57"/>
      <c r="O45" s="57"/>
      <c r="P45" s="57"/>
      <c r="Q45" s="57"/>
      <c r="R45" s="57"/>
      <c r="S45" s="57"/>
      <c r="T45" s="57"/>
      <c r="U45" s="57"/>
      <c r="V45" s="365" t="b" cm="1">
        <f t="array" ref="V45">V44</f>
        <v>1</v>
      </c>
      <c r="W45" s="57"/>
      <c r="X45" s="57"/>
      <c r="Y45" s="57"/>
      <c r="Z45" s="1064"/>
      <c r="AA45" s="1065"/>
      <c r="AB45" s="57"/>
      <c r="AC45" s="117">
        <v>1</v>
      </c>
      <c r="AD45" s="115" t="s">
        <v>383</v>
      </c>
      <c r="AE45" s="58" t="s">
        <v>370</v>
      </c>
      <c r="AF45" s="831"/>
      <c r="AG45" s="831"/>
      <c r="AH45" s="831"/>
      <c r="AI45" s="831"/>
      <c r="AJ45" s="832"/>
      <c r="AK45" s="57"/>
      <c r="AL45" s="57"/>
      <c r="AM45" s="665" t="s">
        <v>384</v>
      </c>
      <c r="AN45" s="665"/>
      <c r="AO45" s="665"/>
      <c r="AP45" s="665"/>
      <c r="AQ45" s="459"/>
      <c r="AR45" s="459"/>
      <c r="AS45" s="57"/>
      <c r="AT45" s="57"/>
      <c r="AU45" s="57"/>
      <c r="AV45" s="57"/>
      <c r="AW45" s="57"/>
      <c r="AX45" s="57"/>
      <c r="AY45" s="57"/>
      <c r="AZ45" s="57"/>
      <c r="BA45" s="57"/>
      <c r="BB45" s="57"/>
      <c r="BC45" s="57"/>
      <c r="BD45" s="57"/>
      <c r="BE45" s="57"/>
    </row>
    <row r="46" spans="1:57" s="408" customFormat="1" ht="14.25" hidden="1" customHeight="1">
      <c r="A46" s="57"/>
      <c r="B46" s="644" t="b">
        <f>T39="Водоотведение"</f>
        <v>0</v>
      </c>
      <c r="C46" s="57"/>
      <c r="D46" s="57"/>
      <c r="E46" s="469">
        <v>15</v>
      </c>
      <c r="F46" s="78" t="str" cm="1">
        <f t="array" aca="1" ref="F46" ca="1">OFFSET(E46,-1,1)</f>
        <v>1</v>
      </c>
      <c r="G46" s="78" t="s">
        <v>51</v>
      </c>
      <c r="H46" s="57" t="s">
        <v>327</v>
      </c>
      <c r="I46" s="57" t="s">
        <v>368</v>
      </c>
      <c r="J46" s="57" t="str">
        <f t="shared" si="1"/>
        <v>Канализационные насосные станции::ед.</v>
      </c>
      <c r="K46" s="57"/>
      <c r="L46" s="57"/>
      <c r="M46" s="57"/>
      <c r="N46" s="57"/>
      <c r="O46" s="57"/>
      <c r="P46" s="57"/>
      <c r="Q46" s="57"/>
      <c r="R46" s="57"/>
      <c r="S46" s="57"/>
      <c r="T46" s="57"/>
      <c r="U46" s="57"/>
      <c r="V46" s="365" t="b" cm="1">
        <f t="array" ref="V46">V45</f>
        <v>1</v>
      </c>
      <c r="W46" s="57"/>
      <c r="X46" s="57"/>
      <c r="Y46" s="57"/>
      <c r="Z46" s="1064"/>
      <c r="AA46" s="1065"/>
      <c r="AB46" s="57"/>
      <c r="AC46" s="117">
        <f>IF(B45,2,1)</f>
        <v>1</v>
      </c>
      <c r="AD46" s="115" t="s">
        <v>385</v>
      </c>
      <c r="AE46" s="58" t="s">
        <v>370</v>
      </c>
      <c r="AF46" s="831"/>
      <c r="AG46" s="831"/>
      <c r="AH46" s="831"/>
      <c r="AI46" s="831"/>
      <c r="AJ46" s="832"/>
      <c r="AK46" s="57"/>
      <c r="AL46" s="57"/>
      <c r="AM46" s="665" t="s">
        <v>386</v>
      </c>
      <c r="AN46" s="665"/>
      <c r="AO46" s="665"/>
      <c r="AP46" s="665"/>
      <c r="AQ46" s="459"/>
      <c r="AR46" s="459"/>
      <c r="AS46" s="57"/>
      <c r="AT46" s="57"/>
      <c r="AU46" s="57"/>
      <c r="AV46" s="57"/>
      <c r="AW46" s="57"/>
      <c r="AX46" s="57"/>
      <c r="AY46" s="57"/>
      <c r="AZ46" s="57"/>
      <c r="BA46" s="57"/>
      <c r="BB46" s="57"/>
      <c r="BC46" s="57"/>
      <c r="BD46" s="57"/>
      <c r="BE46" s="57"/>
    </row>
    <row r="47" spans="1:57" s="408" customFormat="1" ht="14.25" hidden="1" customHeight="1">
      <c r="A47" s="57"/>
      <c r="B47" s="644" t="b" cm="1">
        <f t="array" ref="B47">B46</f>
        <v>0</v>
      </c>
      <c r="C47" s="57"/>
      <c r="D47" s="57"/>
      <c r="E47" s="469">
        <v>15</v>
      </c>
      <c r="F47" s="78" t="str" cm="1">
        <f t="array" aca="1" ref="F47" ca="1">OFFSET(E47,-1,1)</f>
        <v>1</v>
      </c>
      <c r="G47" s="78"/>
      <c r="H47" s="57" t="s">
        <v>327</v>
      </c>
      <c r="I47" s="57" t="s">
        <v>368</v>
      </c>
      <c r="J47" s="57" t="str">
        <f t="shared" si="1"/>
        <v>Канализационные сети::км</v>
      </c>
      <c r="K47" s="57"/>
      <c r="L47" s="57" t="s">
        <v>51</v>
      </c>
      <c r="M47" s="57"/>
      <c r="N47" s="57"/>
      <c r="O47" s="57"/>
      <c r="P47" s="57" t="s">
        <v>378</v>
      </c>
      <c r="Q47" s="57" t="s">
        <v>379</v>
      </c>
      <c r="R47" s="57"/>
      <c r="S47" s="57"/>
      <c r="T47" s="57"/>
      <c r="U47" s="57"/>
      <c r="V47" s="365" t="b" cm="1">
        <f t="array" ref="V47">V46</f>
        <v>1</v>
      </c>
      <c r="W47" s="57"/>
      <c r="X47" s="57"/>
      <c r="Y47" s="57"/>
      <c r="Z47" s="1064"/>
      <c r="AA47" s="1065"/>
      <c r="AB47" s="57"/>
      <c r="AC47" s="117">
        <f>AC46+1</f>
        <v>2</v>
      </c>
      <c r="AD47" s="115" t="s">
        <v>387</v>
      </c>
      <c r="AE47" s="58" t="s">
        <v>381</v>
      </c>
      <c r="AF47" s="833"/>
      <c r="AG47" s="833"/>
      <c r="AH47" s="833"/>
      <c r="AI47" s="833"/>
      <c r="AJ47" s="832"/>
      <c r="AK47" s="57"/>
      <c r="AL47" s="57"/>
      <c r="AM47" s="665" t="s">
        <v>388</v>
      </c>
      <c r="AN47" s="665"/>
      <c r="AO47" s="665"/>
      <c r="AP47" s="665"/>
      <c r="AQ47" s="459"/>
      <c r="AR47" s="459"/>
      <c r="AS47" s="57"/>
      <c r="AT47" s="57"/>
      <c r="AU47" s="57"/>
      <c r="AV47" s="57"/>
      <c r="AW47" s="57"/>
      <c r="AX47" s="57"/>
      <c r="AY47" s="57"/>
      <c r="AZ47" s="57"/>
      <c r="BA47" s="57"/>
      <c r="BB47" s="57"/>
      <c r="BC47" s="57"/>
      <c r="BD47" s="57"/>
      <c r="BE47" s="57"/>
    </row>
    <row r="48" spans="1:57" s="59" customFormat="1" ht="14.25" hidden="1" customHeight="1">
      <c r="B48" s="62"/>
      <c r="E48" s="475">
        <v>15</v>
      </c>
      <c r="F48" s="78" t="str" cm="1">
        <f t="array" aca="1" ref="F48" ca="1">OFFSET(E48,-1,1)</f>
        <v>1</v>
      </c>
      <c r="G48" s="78"/>
      <c r="H48" s="59" t="s">
        <v>327</v>
      </c>
      <c r="I48" s="59" t="s">
        <v>368</v>
      </c>
      <c r="J48" s="59" t="str">
        <f t="shared" si="1"/>
        <v>::</v>
      </c>
      <c r="U48" s="57">
        <v>0</v>
      </c>
      <c r="V48" s="365" t="b">
        <f ca="1">AND(F48&gt;0,U48&gt;0)</f>
        <v>0</v>
      </c>
      <c r="Y48" s="528" t="s">
        <v>173</v>
      </c>
      <c r="Z48" s="1064"/>
      <c r="AA48" s="1065"/>
      <c r="AB48" s="332" t="s">
        <v>174</v>
      </c>
      <c r="AC48" s="117">
        <f ca="1">IF(OFFSET(C48,-8-U48,-1),5,IF(OFFSET(C48,-3-U48,-1),3,2))+U48</f>
        <v>5</v>
      </c>
      <c r="AD48" s="834"/>
      <c r="AE48" s="835"/>
      <c r="AF48" s="833"/>
      <c r="AG48" s="833"/>
      <c r="AH48" s="833"/>
      <c r="AI48" s="833"/>
      <c r="AJ48" s="832"/>
      <c r="AM48" s="671" t="s">
        <v>389</v>
      </c>
      <c r="AN48" s="671" t="s">
        <v>390</v>
      </c>
      <c r="AO48" s="673" cm="1">
        <f t="array" ref="AO48">AD48</f>
        <v>0</v>
      </c>
      <c r="AP48" s="673" cm="1">
        <f t="array" ref="AP48">AE48</f>
        <v>0</v>
      </c>
      <c r="AQ48" s="513"/>
      <c r="AR48" s="513" t="b">
        <v>1</v>
      </c>
    </row>
    <row r="49" spans="1:57" s="408" customFormat="1" ht="14.25" customHeight="1">
      <c r="A49" s="57"/>
      <c r="B49" s="62"/>
      <c r="C49" s="57"/>
      <c r="D49" s="57"/>
      <c r="E49" s="469">
        <v>15</v>
      </c>
      <c r="F49" s="78" t="str" cm="1">
        <f t="array" aca="1" ref="F49" ca="1">OFFSET(E49,-1,1)</f>
        <v>1</v>
      </c>
      <c r="G49" s="78"/>
      <c r="H49" s="57"/>
      <c r="I49" s="57"/>
      <c r="J49" s="56" t="s">
        <v>391</v>
      </c>
      <c r="K49" s="57"/>
      <c r="L49" s="57"/>
      <c r="M49" s="57"/>
      <c r="N49" s="57"/>
      <c r="O49" s="57"/>
      <c r="P49" s="57"/>
      <c r="Q49" s="57"/>
      <c r="R49" s="57"/>
      <c r="S49" s="57"/>
      <c r="T49" s="57"/>
      <c r="U49" s="57"/>
      <c r="V49" s="365" t="b" cm="1">
        <f t="array" ref="V49">V47</f>
        <v>1</v>
      </c>
      <c r="W49" s="57"/>
      <c r="X49" s="57"/>
      <c r="Y49" s="528" t="s">
        <v>392</v>
      </c>
      <c r="Z49" s="1064"/>
      <c r="AA49" s="1065"/>
      <c r="AB49" s="57"/>
      <c r="AC49" s="108"/>
      <c r="AD49" s="229" t="s">
        <v>177</v>
      </c>
      <c r="AE49" s="109"/>
      <c r="AF49" s="109"/>
      <c r="AG49" s="109"/>
      <c r="AH49" s="109"/>
      <c r="AI49" s="109"/>
      <c r="AJ49" s="120"/>
      <c r="AK49" s="57"/>
      <c r="AL49" s="57"/>
      <c r="AM49" s="665"/>
      <c r="AN49" s="665"/>
      <c r="AO49" s="665"/>
      <c r="AP49" s="665"/>
      <c r="AQ49" s="459" t="s">
        <v>390</v>
      </c>
      <c r="AR49" s="459"/>
      <c r="AS49" s="57"/>
      <c r="AT49" s="57"/>
      <c r="AU49" s="57"/>
      <c r="AV49" s="57"/>
      <c r="AW49" s="57"/>
      <c r="AX49" s="57"/>
      <c r="AY49" s="57"/>
      <c r="AZ49" s="57"/>
      <c r="BA49" s="57"/>
      <c r="BB49" s="57"/>
      <c r="BC49" s="57"/>
      <c r="BD49" s="57"/>
      <c r="BE49" s="57"/>
    </row>
    <row r="50" spans="1:57" s="408" customFormat="1" ht="107.25" customHeight="1">
      <c r="A50" s="57"/>
      <c r="B50" s="62"/>
      <c r="C50" s="57"/>
      <c r="D50" s="57"/>
      <c r="E50" s="469">
        <v>15</v>
      </c>
      <c r="F50" s="78" t="str" cm="1">
        <f t="array" aca="1" ref="F50" ca="1">OFFSET(E50,-1,1)</f>
        <v>1</v>
      </c>
      <c r="G50" s="78"/>
      <c r="H50" s="57" t="s">
        <v>328</v>
      </c>
      <c r="I50" s="57" t="s">
        <v>368</v>
      </c>
      <c r="J50" s="283" t="str" cm="1">
        <f t="array" ref="J50">AD50</f>
        <v>Краткое описание технологического процесса</v>
      </c>
      <c r="K50" s="57"/>
      <c r="L50" s="57"/>
      <c r="M50" s="57"/>
      <c r="N50" s="57"/>
      <c r="O50" s="57"/>
      <c r="P50" s="57"/>
      <c r="Q50" s="57"/>
      <c r="R50" s="57"/>
      <c r="S50" s="57"/>
      <c r="T50" s="57"/>
      <c r="U50" s="57"/>
      <c r="V50" s="365" t="b" cm="1">
        <f t="array" ref="V50">V49</f>
        <v>1</v>
      </c>
      <c r="W50" s="57"/>
      <c r="X50" s="57"/>
      <c r="Y50" s="57"/>
      <c r="Z50" s="1064"/>
      <c r="AA50" s="1065"/>
      <c r="AB50" s="57"/>
      <c r="AC50" s="117"/>
      <c r="AD50" s="115" t="s">
        <v>393</v>
      </c>
      <c r="AE50" s="58"/>
      <c r="AF50" s="1061" t="s">
        <v>395</v>
      </c>
      <c r="AG50" s="1062"/>
      <c r="AH50" s="1062"/>
      <c r="AI50" s="1062"/>
      <c r="AJ50" s="1063"/>
      <c r="AK50" s="57"/>
      <c r="AL50" s="57"/>
      <c r="AM50" s="665" t="s">
        <v>394</v>
      </c>
      <c r="AN50" s="665"/>
      <c r="AO50" s="665"/>
      <c r="AP50" s="665"/>
      <c r="AQ50" s="459"/>
      <c r="AR50" s="459"/>
      <c r="AS50" s="57"/>
      <c r="AT50" s="57"/>
      <c r="AU50" s="57"/>
      <c r="AV50" s="57"/>
      <c r="AW50" s="57"/>
      <c r="AX50" s="57"/>
      <c r="AY50" s="57"/>
      <c r="AZ50" s="57"/>
      <c r="BA50" s="57"/>
      <c r="BB50" s="57"/>
      <c r="BC50" s="57"/>
      <c r="BD50" s="57"/>
      <c r="BE50" s="57"/>
    </row>
    <row r="51" spans="1:57" s="408" customFormat="1" ht="14.25" customHeight="1">
      <c r="A51" s="57"/>
      <c r="B51" s="62"/>
      <c r="C51" s="57"/>
      <c r="D51" s="57"/>
      <c r="E51" s="469">
        <v>15</v>
      </c>
      <c r="F51" s="57" t="str" cm="1">
        <f t="array" ref="F51">Z51</f>
        <v>2</v>
      </c>
      <c r="G51" s="57"/>
      <c r="H51" s="57"/>
      <c r="I51" s="57"/>
      <c r="J51" s="57"/>
      <c r="K51" s="57"/>
      <c r="L51" s="57"/>
      <c r="M51" s="57"/>
      <c r="N51" s="57"/>
      <c r="O51" s="57"/>
      <c r="P51" s="57"/>
      <c r="Q51" s="57"/>
      <c r="R51" s="57"/>
      <c r="S51" s="57"/>
      <c r="T51" s="718" t="str" cm="1">
        <f t="array" ref="T51">INDEX('Общие сведения'!$AE$179:$AE$222,MATCH($Z51,'Общие сведения'!$Z$179:$Z$222,0))</f>
        <v>Водоотведение</v>
      </c>
      <c r="U51" s="57"/>
      <c r="V51" s="365" t="b">
        <f>Z51&gt;0</f>
        <v>1</v>
      </c>
      <c r="W51" s="57"/>
      <c r="X51" s="57" t="str" cm="1">
        <f t="array" ref="X51">'Список территорий'!$AB$33</f>
        <v>Тариф 2 (Водоотведение) - тариф на водоотведение (Доп. признак не требуется)</v>
      </c>
      <c r="Y51" s="57"/>
      <c r="Z51" s="1064" t="s">
        <v>285</v>
      </c>
      <c r="AA51" s="1065"/>
      <c r="AB51" s="57"/>
      <c r="AC51" s="113" t="str" cm="1">
        <f t="array" ref="AC51">'Список территорий'!$AB$33</f>
        <v>Тариф 2 (Водоотведение) - тариф на водоотведение (Доп. признак не требуется)</v>
      </c>
      <c r="AD51" s="113"/>
      <c r="AE51" s="107"/>
      <c r="AF51" s="107"/>
      <c r="AG51" s="107"/>
      <c r="AH51" s="107"/>
      <c r="AI51" s="107"/>
      <c r="AJ51" s="107"/>
      <c r="AK51" s="57"/>
      <c r="AL51" s="57"/>
      <c r="AM51" s="665"/>
      <c r="AN51" s="665"/>
      <c r="AO51" s="665"/>
      <c r="AP51" s="665"/>
      <c r="AQ51" s="459"/>
      <c r="AR51" s="459"/>
      <c r="AS51" s="57"/>
      <c r="AT51" s="57"/>
      <c r="AU51" s="57"/>
      <c r="AV51" s="57"/>
      <c r="AW51" s="57"/>
      <c r="AX51" s="57"/>
      <c r="AY51" s="57"/>
      <c r="AZ51" s="57"/>
      <c r="BA51" s="57"/>
      <c r="BB51" s="57"/>
      <c r="BC51" s="57"/>
      <c r="BD51" s="57"/>
      <c r="BE51" s="57"/>
    </row>
    <row r="52" spans="1:57" s="408" customFormat="1" ht="14.25" hidden="1" customHeight="1">
      <c r="A52" s="57"/>
      <c r="B52" s="644" t="b">
        <f>AND(T51="Водоснабжение",method_reg&lt;&gt;"Метод сравнения аналогов")</f>
        <v>0</v>
      </c>
      <c r="C52" s="57"/>
      <c r="D52" s="57"/>
      <c r="E52" s="469">
        <v>15</v>
      </c>
      <c r="F52" s="78" t="str" cm="1">
        <f t="array" aca="1" ref="F52" ca="1">OFFSET(E52,-1,1)</f>
        <v>2</v>
      </c>
      <c r="G52" s="377"/>
      <c r="H52" s="57" t="s">
        <v>327</v>
      </c>
      <c r="I52" s="57" t="s">
        <v>368</v>
      </c>
      <c r="J52" s="57" t="str">
        <f t="shared" ref="J52:J60" si="2">AD52&amp;"::"&amp;AE52</f>
        <v>Водонасосные станции (водозаборные узлы)::ед.</v>
      </c>
      <c r="K52" s="59"/>
      <c r="L52" s="57"/>
      <c r="M52" s="57"/>
      <c r="N52" s="57"/>
      <c r="O52" s="57"/>
      <c r="P52" s="57"/>
      <c r="Q52" s="57"/>
      <c r="R52" s="57"/>
      <c r="S52" s="57"/>
      <c r="T52" s="57"/>
      <c r="U52" s="57"/>
      <c r="V52" s="365" t="b" cm="1">
        <f t="array" ref="V52">V51</f>
        <v>1</v>
      </c>
      <c r="W52" s="57"/>
      <c r="X52" s="57"/>
      <c r="Y52" s="57"/>
      <c r="Z52" s="1064"/>
      <c r="AA52" s="1065"/>
      <c r="AB52" s="57"/>
      <c r="AC52" s="117">
        <v>1</v>
      </c>
      <c r="AD52" s="115" t="s">
        <v>369</v>
      </c>
      <c r="AE52" s="58" t="s">
        <v>370</v>
      </c>
      <c r="AF52" s="831"/>
      <c r="AG52" s="831"/>
      <c r="AH52" s="831"/>
      <c r="AI52" s="831"/>
      <c r="AJ52" s="832"/>
      <c r="AK52" s="57"/>
      <c r="AL52" s="57"/>
      <c r="AM52" s="665" t="s">
        <v>371</v>
      </c>
      <c r="AN52" s="665"/>
      <c r="AO52" s="665"/>
      <c r="AP52" s="665"/>
      <c r="AQ52" s="459"/>
      <c r="AR52" s="459"/>
      <c r="AS52" s="57"/>
      <c r="AT52" s="57"/>
      <c r="AU52" s="57"/>
      <c r="AV52" s="57"/>
      <c r="AW52" s="57"/>
      <c r="AX52" s="57"/>
      <c r="AY52" s="57"/>
      <c r="AZ52" s="57"/>
      <c r="BA52" s="57"/>
      <c r="BB52" s="57"/>
      <c r="BC52" s="57"/>
      <c r="BD52" s="57"/>
      <c r="BE52" s="57"/>
    </row>
    <row r="53" spans="1:57" s="408" customFormat="1" ht="14.25" hidden="1" customHeight="1">
      <c r="A53" s="57"/>
      <c r="B53" s="644" t="b" cm="1">
        <f t="array" ref="B53">B52</f>
        <v>0</v>
      </c>
      <c r="C53" s="57"/>
      <c r="D53" s="57"/>
      <c r="E53" s="469">
        <v>15</v>
      </c>
      <c r="F53" s="78" t="str" cm="1">
        <f t="array" aca="1" ref="F53" ca="1">OFFSET(E53,-1,1)</f>
        <v>2</v>
      </c>
      <c r="G53" s="78"/>
      <c r="H53" s="57" t="s">
        <v>327</v>
      </c>
      <c r="I53" s="57" t="s">
        <v>368</v>
      </c>
      <c r="J53" s="57" t="str">
        <f t="shared" si="2"/>
        <v>Скважины::ед.</v>
      </c>
      <c r="K53" s="57"/>
      <c r="L53" s="57"/>
      <c r="M53" s="57"/>
      <c r="N53" s="57"/>
      <c r="O53" s="57"/>
      <c r="P53" s="57"/>
      <c r="Q53" s="57"/>
      <c r="R53" s="57"/>
      <c r="S53" s="57"/>
      <c r="T53" s="57"/>
      <c r="U53" s="57"/>
      <c r="V53" s="365" t="b" cm="1">
        <f t="array" ref="V53">V52</f>
        <v>1</v>
      </c>
      <c r="W53" s="57"/>
      <c r="X53" s="57"/>
      <c r="Y53" s="57"/>
      <c r="Z53" s="1064"/>
      <c r="AA53" s="1065"/>
      <c r="AB53" s="57"/>
      <c r="AC53" s="117">
        <v>2</v>
      </c>
      <c r="AD53" s="115" t="s">
        <v>372</v>
      </c>
      <c r="AE53" s="58" t="s">
        <v>370</v>
      </c>
      <c r="AF53" s="831"/>
      <c r="AG53" s="831"/>
      <c r="AH53" s="831"/>
      <c r="AI53" s="831"/>
      <c r="AJ53" s="832"/>
      <c r="AK53" s="57"/>
      <c r="AL53" s="57"/>
      <c r="AM53" s="665" t="s">
        <v>373</v>
      </c>
      <c r="AN53" s="665"/>
      <c r="AO53" s="665"/>
      <c r="AP53" s="665"/>
      <c r="AQ53" s="459"/>
      <c r="AR53" s="459"/>
      <c r="AS53" s="57"/>
      <c r="AT53" s="57"/>
      <c r="AU53" s="57"/>
      <c r="AV53" s="57"/>
      <c r="AW53" s="57"/>
      <c r="AX53" s="57"/>
      <c r="AY53" s="57"/>
      <c r="AZ53" s="57"/>
      <c r="BA53" s="57"/>
      <c r="BB53" s="57"/>
      <c r="BC53" s="57"/>
      <c r="BD53" s="57"/>
      <c r="BE53" s="57"/>
    </row>
    <row r="54" spans="1:57" s="408" customFormat="1" ht="14.25" hidden="1" customHeight="1">
      <c r="A54" s="57"/>
      <c r="B54" s="644" t="b">
        <f>T51="Водоснабжение"</f>
        <v>0</v>
      </c>
      <c r="C54" s="57"/>
      <c r="D54" s="57"/>
      <c r="E54" s="469">
        <v>15</v>
      </c>
      <c r="F54" s="78" t="str" cm="1">
        <f t="array" aca="1" ref="F54" ca="1">OFFSET(E54,-1,1)</f>
        <v>2</v>
      </c>
      <c r="G54" s="78" t="s">
        <v>51</v>
      </c>
      <c r="H54" s="57" t="s">
        <v>327</v>
      </c>
      <c r="I54" s="57" t="s">
        <v>368</v>
      </c>
      <c r="J54" s="57" t="str">
        <f t="shared" si="2"/>
        <v>Подкачивающие насосные станции::ед.</v>
      </c>
      <c r="K54" s="57"/>
      <c r="L54" s="57" t="s">
        <v>51</v>
      </c>
      <c r="M54" s="57"/>
      <c r="N54" s="57"/>
      <c r="O54" s="57"/>
      <c r="P54" s="57"/>
      <c r="Q54" s="57"/>
      <c r="R54" s="57"/>
      <c r="S54" s="57"/>
      <c r="T54" s="57"/>
      <c r="U54" s="57"/>
      <c r="V54" s="365" t="b" cm="1">
        <f t="array" ref="V54">V53</f>
        <v>1</v>
      </c>
      <c r="W54" s="57"/>
      <c r="X54" s="57"/>
      <c r="Y54" s="57"/>
      <c r="Z54" s="1064"/>
      <c r="AA54" s="1065"/>
      <c r="AB54" s="57"/>
      <c r="AC54" s="117">
        <f>IF(B53,3,1)</f>
        <v>1</v>
      </c>
      <c r="AD54" s="115" t="s">
        <v>374</v>
      </c>
      <c r="AE54" s="58" t="s">
        <v>370</v>
      </c>
      <c r="AF54" s="831"/>
      <c r="AG54" s="831"/>
      <c r="AH54" s="831"/>
      <c r="AI54" s="831"/>
      <c r="AJ54" s="832"/>
      <c r="AK54" s="57"/>
      <c r="AL54" s="57"/>
      <c r="AM54" s="665" t="s">
        <v>375</v>
      </c>
      <c r="AN54" s="665"/>
      <c r="AO54" s="665"/>
      <c r="AP54" s="665"/>
      <c r="AQ54" s="459"/>
      <c r="AR54" s="459"/>
      <c r="AS54" s="57"/>
      <c r="AT54" s="57"/>
      <c r="AU54" s="57"/>
      <c r="AV54" s="57"/>
      <c r="AW54" s="57"/>
      <c r="AX54" s="57"/>
      <c r="AY54" s="57"/>
      <c r="AZ54" s="57"/>
      <c r="BA54" s="57"/>
      <c r="BB54" s="57"/>
      <c r="BC54" s="57"/>
      <c r="BD54" s="57"/>
      <c r="BE54" s="57"/>
    </row>
    <row r="55" spans="1:57" s="408" customFormat="1" ht="14.25" hidden="1" customHeight="1">
      <c r="A55" s="57"/>
      <c r="B55" s="644" t="b" cm="1">
        <f t="array" ref="B55">B53</f>
        <v>0</v>
      </c>
      <c r="C55" s="57"/>
      <c r="D55" s="57"/>
      <c r="E55" s="469">
        <v>15</v>
      </c>
      <c r="F55" s="78" t="str" cm="1">
        <f t="array" aca="1" ref="F55" ca="1">OFFSET(E55,-1,1)</f>
        <v>2</v>
      </c>
      <c r="G55" s="78"/>
      <c r="H55" s="57" t="s">
        <v>327</v>
      </c>
      <c r="I55" s="57" t="s">
        <v>368</v>
      </c>
      <c r="J55" s="57" t="str">
        <f t="shared" si="2"/>
        <v>Водонапорные башни::ед.</v>
      </c>
      <c r="K55" s="57"/>
      <c r="L55" s="57"/>
      <c r="M55" s="57"/>
      <c r="N55" s="57"/>
      <c r="O55" s="57"/>
      <c r="P55" s="57"/>
      <c r="Q55" s="57"/>
      <c r="R55" s="57"/>
      <c r="S55" s="57"/>
      <c r="T55" s="57"/>
      <c r="U55" s="57"/>
      <c r="V55" s="365" t="b" cm="1">
        <f t="array" ref="V55">V54</f>
        <v>1</v>
      </c>
      <c r="W55" s="57"/>
      <c r="X55" s="57"/>
      <c r="Y55" s="57"/>
      <c r="Z55" s="1064"/>
      <c r="AA55" s="1065"/>
      <c r="AB55" s="57"/>
      <c r="AC55" s="117">
        <v>4</v>
      </c>
      <c r="AD55" s="115" t="s">
        <v>376</v>
      </c>
      <c r="AE55" s="58" t="s">
        <v>370</v>
      </c>
      <c r="AF55" s="831"/>
      <c r="AG55" s="831"/>
      <c r="AH55" s="831"/>
      <c r="AI55" s="831"/>
      <c r="AJ55" s="832"/>
      <c r="AK55" s="57"/>
      <c r="AL55" s="57"/>
      <c r="AM55" s="665" t="s">
        <v>377</v>
      </c>
      <c r="AN55" s="665"/>
      <c r="AO55" s="665"/>
      <c r="AP55" s="665"/>
      <c r="AQ55" s="459"/>
      <c r="AR55" s="459"/>
      <c r="AS55" s="57"/>
      <c r="AT55" s="57"/>
      <c r="AU55" s="57"/>
      <c r="AV55" s="57"/>
      <c r="AW55" s="57"/>
      <c r="AX55" s="57"/>
      <c r="AY55" s="57"/>
      <c r="AZ55" s="57"/>
      <c r="BA55" s="57"/>
      <c r="BB55" s="57"/>
      <c r="BC55" s="57"/>
      <c r="BD55" s="57"/>
      <c r="BE55" s="57"/>
    </row>
    <row r="56" spans="1:57" s="408" customFormat="1" ht="14.25" hidden="1" customHeight="1">
      <c r="A56" s="57"/>
      <c r="B56" s="644" t="b">
        <f>T51="Водоснабжение"</f>
        <v>0</v>
      </c>
      <c r="C56" s="57"/>
      <c r="D56" s="57"/>
      <c r="E56" s="469">
        <v>15</v>
      </c>
      <c r="F56" s="78" t="str" cm="1">
        <f t="array" aca="1" ref="F56" ca="1">OFFSET(E56,-1,1)</f>
        <v>2</v>
      </c>
      <c r="G56" s="78"/>
      <c r="H56" s="57" t="s">
        <v>327</v>
      </c>
      <c r="I56" s="57" t="s">
        <v>368</v>
      </c>
      <c r="J56" s="57" t="str">
        <f t="shared" si="2"/>
        <v>Водопроводные сети::км</v>
      </c>
      <c r="K56" s="57"/>
      <c r="L56" s="57"/>
      <c r="M56" s="57"/>
      <c r="N56" s="57"/>
      <c r="O56" s="57"/>
      <c r="P56" s="57" t="s">
        <v>378</v>
      </c>
      <c r="Q56" s="57" t="s">
        <v>379</v>
      </c>
      <c r="R56" s="57"/>
      <c r="S56" s="57"/>
      <c r="T56" s="57"/>
      <c r="U56" s="57"/>
      <c r="V56" s="365" t="b" cm="1">
        <f t="array" ref="V56">V55</f>
        <v>1</v>
      </c>
      <c r="W56" s="57"/>
      <c r="X56" s="57"/>
      <c r="Y56" s="57"/>
      <c r="Z56" s="1064"/>
      <c r="AA56" s="1065"/>
      <c r="AB56" s="57"/>
      <c r="AC56" s="117">
        <f>IF(B53,5,2)</f>
        <v>2</v>
      </c>
      <c r="AD56" s="115" t="s">
        <v>380</v>
      </c>
      <c r="AE56" s="58" t="s">
        <v>381</v>
      </c>
      <c r="AF56" s="833"/>
      <c r="AG56" s="833"/>
      <c r="AH56" s="833"/>
      <c r="AI56" s="833"/>
      <c r="AJ56" s="832"/>
      <c r="AK56" s="57"/>
      <c r="AL56" s="57"/>
      <c r="AM56" s="665" t="s">
        <v>382</v>
      </c>
      <c r="AN56" s="665"/>
      <c r="AO56" s="665"/>
      <c r="AP56" s="665"/>
      <c r="AQ56" s="459"/>
      <c r="AR56" s="459"/>
      <c r="AS56" s="57"/>
      <c r="AT56" s="57"/>
      <c r="AU56" s="57"/>
      <c r="AV56" s="57"/>
      <c r="AW56" s="57"/>
      <c r="AX56" s="57"/>
      <c r="AY56" s="57"/>
      <c r="AZ56" s="57"/>
      <c r="BA56" s="57"/>
      <c r="BB56" s="57"/>
      <c r="BC56" s="57"/>
      <c r="BD56" s="57"/>
      <c r="BE56" s="57"/>
    </row>
    <row r="57" spans="1:57" s="408" customFormat="1" ht="14.65" customHeight="1">
      <c r="A57" s="57"/>
      <c r="B57" s="644" t="b">
        <f>AND(T51="Водоотведение",method_reg&lt;&gt;"Метод сравнения аналогов")</f>
        <v>1</v>
      </c>
      <c r="C57" s="57"/>
      <c r="D57" s="57"/>
      <c r="E57" s="469">
        <v>15</v>
      </c>
      <c r="F57" s="78" t="str" cm="1">
        <f t="array" aca="1" ref="F57" ca="1">OFFSET(E57,-1,1)</f>
        <v>2</v>
      </c>
      <c r="G57" s="377"/>
      <c r="H57" s="57" t="s">
        <v>327</v>
      </c>
      <c r="I57" s="57" t="s">
        <v>368</v>
      </c>
      <c r="J57" s="57" t="str">
        <f t="shared" si="2"/>
        <v>Биологические очистные сооружения::ед.</v>
      </c>
      <c r="K57" s="59"/>
      <c r="L57" s="57"/>
      <c r="M57" s="57"/>
      <c r="N57" s="57"/>
      <c r="O57" s="57"/>
      <c r="P57" s="57"/>
      <c r="Q57" s="57"/>
      <c r="R57" s="57"/>
      <c r="S57" s="57"/>
      <c r="T57" s="57"/>
      <c r="U57" s="57"/>
      <c r="V57" s="365" t="b" cm="1">
        <f t="array" ref="V57">V56</f>
        <v>1</v>
      </c>
      <c r="W57" s="57"/>
      <c r="X57" s="57"/>
      <c r="Y57" s="57"/>
      <c r="Z57" s="1064"/>
      <c r="AA57" s="1065"/>
      <c r="AB57" s="57"/>
      <c r="AC57" s="117">
        <v>1</v>
      </c>
      <c r="AD57" s="115" t="s">
        <v>383</v>
      </c>
      <c r="AE57" s="58" t="s">
        <v>370</v>
      </c>
      <c r="AF57" s="121">
        <v>2</v>
      </c>
      <c r="AG57" s="121">
        <v>2</v>
      </c>
      <c r="AH57" s="121">
        <v>2</v>
      </c>
      <c r="AI57" s="121">
        <v>2</v>
      </c>
      <c r="AJ57" s="122"/>
      <c r="AK57" s="57"/>
      <c r="AL57" s="57"/>
      <c r="AM57" s="665" t="s">
        <v>384</v>
      </c>
      <c r="AN57" s="665"/>
      <c r="AO57" s="665"/>
      <c r="AP57" s="665"/>
      <c r="AQ57" s="459"/>
      <c r="AR57" s="459"/>
      <c r="AS57" s="57"/>
      <c r="AT57" s="57"/>
      <c r="AU57" s="57"/>
      <c r="AV57" s="57"/>
      <c r="AW57" s="57"/>
      <c r="AX57" s="57"/>
      <c r="AY57" s="57"/>
      <c r="AZ57" s="57"/>
      <c r="BA57" s="57"/>
      <c r="BB57" s="57"/>
      <c r="BC57" s="57"/>
      <c r="BD57" s="57"/>
      <c r="BE57" s="57"/>
    </row>
    <row r="58" spans="1:57" s="408" customFormat="1" ht="14.65" customHeight="1">
      <c r="A58" s="57"/>
      <c r="B58" s="644" t="b">
        <f>T51="Водоотведение"</f>
        <v>1</v>
      </c>
      <c r="C58" s="57"/>
      <c r="D58" s="57"/>
      <c r="E58" s="469">
        <v>15</v>
      </c>
      <c r="F58" s="78" t="str" cm="1">
        <f t="array" aca="1" ref="F58" ca="1">OFFSET(E58,-1,1)</f>
        <v>2</v>
      </c>
      <c r="G58" s="78" t="s">
        <v>51</v>
      </c>
      <c r="H58" s="57" t="s">
        <v>327</v>
      </c>
      <c r="I58" s="57" t="s">
        <v>368</v>
      </c>
      <c r="J58" s="57" t="str">
        <f t="shared" si="2"/>
        <v>Канализационные насосные станции::ед.</v>
      </c>
      <c r="K58" s="57"/>
      <c r="L58" s="57"/>
      <c r="M58" s="57"/>
      <c r="N58" s="57"/>
      <c r="O58" s="57"/>
      <c r="P58" s="57"/>
      <c r="Q58" s="57"/>
      <c r="R58" s="57"/>
      <c r="S58" s="57"/>
      <c r="T58" s="57"/>
      <c r="U58" s="57"/>
      <c r="V58" s="365" t="b" cm="1">
        <f t="array" ref="V58">V57</f>
        <v>1</v>
      </c>
      <c r="W58" s="57"/>
      <c r="X58" s="57"/>
      <c r="Y58" s="57"/>
      <c r="Z58" s="1064"/>
      <c r="AA58" s="1065"/>
      <c r="AB58" s="57"/>
      <c r="AC58" s="117">
        <f>IF(B57,2,1)</f>
        <v>2</v>
      </c>
      <c r="AD58" s="115" t="s">
        <v>385</v>
      </c>
      <c r="AE58" s="58" t="s">
        <v>370</v>
      </c>
      <c r="AF58" s="121">
        <v>5</v>
      </c>
      <c r="AG58" s="121">
        <v>5</v>
      </c>
      <c r="AH58" s="121">
        <v>5</v>
      </c>
      <c r="AI58" s="121">
        <v>5</v>
      </c>
      <c r="AJ58" s="122"/>
      <c r="AK58" s="57"/>
      <c r="AL58" s="57"/>
      <c r="AM58" s="665" t="s">
        <v>386</v>
      </c>
      <c r="AN58" s="665"/>
      <c r="AO58" s="665"/>
      <c r="AP58" s="665"/>
      <c r="AQ58" s="459"/>
      <c r="AR58" s="459"/>
      <c r="AS58" s="57"/>
      <c r="AT58" s="57"/>
      <c r="AU58" s="57"/>
      <c r="AV58" s="57"/>
      <c r="AW58" s="57"/>
      <c r="AX58" s="57"/>
      <c r="AY58" s="57"/>
      <c r="AZ58" s="57"/>
      <c r="BA58" s="57"/>
      <c r="BB58" s="57"/>
      <c r="BC58" s="57"/>
      <c r="BD58" s="57"/>
      <c r="BE58" s="57"/>
    </row>
    <row r="59" spans="1:57" s="408" customFormat="1" ht="14.65" customHeight="1">
      <c r="A59" s="57"/>
      <c r="B59" s="644" t="b" cm="1">
        <f t="array" ref="B59">B58</f>
        <v>1</v>
      </c>
      <c r="C59" s="57"/>
      <c r="D59" s="57"/>
      <c r="E59" s="469">
        <v>15</v>
      </c>
      <c r="F59" s="78" t="str" cm="1">
        <f t="array" aca="1" ref="F59" ca="1">OFFSET(E59,-1,1)</f>
        <v>2</v>
      </c>
      <c r="G59" s="78"/>
      <c r="H59" s="57" t="s">
        <v>327</v>
      </c>
      <c r="I59" s="57" t="s">
        <v>368</v>
      </c>
      <c r="J59" s="57" t="str">
        <f t="shared" si="2"/>
        <v>Канализационные сети::км</v>
      </c>
      <c r="K59" s="57"/>
      <c r="L59" s="57" t="s">
        <v>51</v>
      </c>
      <c r="M59" s="57"/>
      <c r="N59" s="57"/>
      <c r="O59" s="57"/>
      <c r="P59" s="57" t="s">
        <v>378</v>
      </c>
      <c r="Q59" s="57" t="s">
        <v>379</v>
      </c>
      <c r="R59" s="57"/>
      <c r="S59" s="57"/>
      <c r="T59" s="57"/>
      <c r="U59" s="57"/>
      <c r="V59" s="365" t="b" cm="1">
        <f t="array" ref="V59">V58</f>
        <v>1</v>
      </c>
      <c r="W59" s="57"/>
      <c r="X59" s="57"/>
      <c r="Y59" s="57"/>
      <c r="Z59" s="1064"/>
      <c r="AA59" s="1065"/>
      <c r="AB59" s="57"/>
      <c r="AC59" s="117">
        <f>AC58+1</f>
        <v>3</v>
      </c>
      <c r="AD59" s="115" t="s">
        <v>387</v>
      </c>
      <c r="AE59" s="58" t="s">
        <v>381</v>
      </c>
      <c r="AF59" s="76">
        <v>30</v>
      </c>
      <c r="AG59" s="76">
        <v>30</v>
      </c>
      <c r="AH59" s="76">
        <v>30</v>
      </c>
      <c r="AI59" s="76">
        <v>30</v>
      </c>
      <c r="AJ59" s="122"/>
      <c r="AK59" s="57"/>
      <c r="AL59" s="57"/>
      <c r="AM59" s="665" t="s">
        <v>388</v>
      </c>
      <c r="AN59" s="665"/>
      <c r="AO59" s="665"/>
      <c r="AP59" s="665"/>
      <c r="AQ59" s="459"/>
      <c r="AR59" s="459"/>
      <c r="AS59" s="57"/>
      <c r="AT59" s="57"/>
      <c r="AU59" s="57"/>
      <c r="AV59" s="57"/>
      <c r="AW59" s="57"/>
      <c r="AX59" s="57"/>
      <c r="AY59" s="57"/>
      <c r="AZ59" s="57"/>
      <c r="BA59" s="57"/>
      <c r="BB59" s="57"/>
      <c r="BC59" s="57"/>
      <c r="BD59" s="57"/>
      <c r="BE59" s="57"/>
    </row>
    <row r="60" spans="1:57" s="59" customFormat="1" ht="14.25" hidden="1" customHeight="1">
      <c r="B60" s="62"/>
      <c r="E60" s="475">
        <v>15</v>
      </c>
      <c r="F60" s="78" t="str" cm="1">
        <f t="array" aca="1" ref="F60" ca="1">OFFSET(E60,-1,1)</f>
        <v>2</v>
      </c>
      <c r="G60" s="78"/>
      <c r="H60" s="59" t="s">
        <v>327</v>
      </c>
      <c r="I60" s="59" t="s">
        <v>368</v>
      </c>
      <c r="J60" s="59" t="str">
        <f t="shared" si="2"/>
        <v>::</v>
      </c>
      <c r="U60" s="57">
        <v>0</v>
      </c>
      <c r="V60" s="365" t="b">
        <f ca="1">AND(F60&gt;0,U60&gt;0)</f>
        <v>0</v>
      </c>
      <c r="Y60" s="528" t="s">
        <v>173</v>
      </c>
      <c r="Z60" s="1064"/>
      <c r="AA60" s="1065"/>
      <c r="AB60" s="332" t="s">
        <v>174</v>
      </c>
      <c r="AC60" s="117">
        <f ca="1">IF(OFFSET(C60,-8-U60,-1),5,IF(OFFSET(C60,-3-U60,-1),3,2))+U60</f>
        <v>3</v>
      </c>
      <c r="AD60" s="834"/>
      <c r="AE60" s="835"/>
      <c r="AF60" s="833"/>
      <c r="AG60" s="833"/>
      <c r="AH60" s="833"/>
      <c r="AI60" s="833"/>
      <c r="AJ60" s="832"/>
      <c r="AM60" s="671" t="s">
        <v>389</v>
      </c>
      <c r="AN60" s="671" t="s">
        <v>390</v>
      </c>
      <c r="AO60" s="673" cm="1">
        <f t="array" ref="AO60">AD60</f>
        <v>0</v>
      </c>
      <c r="AP60" s="673" cm="1">
        <f t="array" ref="AP60">AE60</f>
        <v>0</v>
      </c>
      <c r="AQ60" s="513"/>
      <c r="AR60" s="513" t="b">
        <v>1</v>
      </c>
    </row>
    <row r="61" spans="1:57" s="408" customFormat="1" ht="14.25" customHeight="1">
      <c r="A61" s="57"/>
      <c r="B61" s="62"/>
      <c r="C61" s="57"/>
      <c r="D61" s="57"/>
      <c r="E61" s="469">
        <v>15</v>
      </c>
      <c r="F61" s="78" t="str" cm="1">
        <f t="array" aca="1" ref="F61" ca="1">OFFSET(E61,-1,1)</f>
        <v>2</v>
      </c>
      <c r="G61" s="78"/>
      <c r="H61" s="57"/>
      <c r="I61" s="57"/>
      <c r="J61" s="56" t="s">
        <v>391</v>
      </c>
      <c r="K61" s="57"/>
      <c r="L61" s="57"/>
      <c r="M61" s="57"/>
      <c r="N61" s="57"/>
      <c r="O61" s="57"/>
      <c r="P61" s="57"/>
      <c r="Q61" s="57"/>
      <c r="R61" s="57"/>
      <c r="S61" s="57"/>
      <c r="T61" s="57"/>
      <c r="U61" s="57"/>
      <c r="V61" s="365" t="b" cm="1">
        <f t="array" ref="V61">V59</f>
        <v>1</v>
      </c>
      <c r="W61" s="57"/>
      <c r="X61" s="57"/>
      <c r="Y61" s="528" t="s">
        <v>392</v>
      </c>
      <c r="Z61" s="1064"/>
      <c r="AA61" s="1065"/>
      <c r="AB61" s="57"/>
      <c r="AC61" s="108"/>
      <c r="AD61" s="229" t="s">
        <v>177</v>
      </c>
      <c r="AE61" s="109"/>
      <c r="AF61" s="109"/>
      <c r="AG61" s="109"/>
      <c r="AH61" s="109"/>
      <c r="AI61" s="109"/>
      <c r="AJ61" s="120"/>
      <c r="AK61" s="57"/>
      <c r="AL61" s="57"/>
      <c r="AM61" s="665"/>
      <c r="AN61" s="665"/>
      <c r="AO61" s="665"/>
      <c r="AP61" s="665"/>
      <c r="AQ61" s="459" t="s">
        <v>390</v>
      </c>
      <c r="AR61" s="459"/>
      <c r="AS61" s="57"/>
      <c r="AT61" s="57"/>
      <c r="AU61" s="57"/>
      <c r="AV61" s="57"/>
      <c r="AW61" s="57"/>
      <c r="AX61" s="57"/>
      <c r="AY61" s="57"/>
      <c r="AZ61" s="57"/>
      <c r="BA61" s="57"/>
      <c r="BB61" s="57"/>
      <c r="BC61" s="57"/>
      <c r="BD61" s="57"/>
      <c r="BE61" s="57"/>
    </row>
    <row r="62" spans="1:57" s="408" customFormat="1" ht="107.25" customHeight="1">
      <c r="A62" s="57"/>
      <c r="B62" s="62"/>
      <c r="C62" s="57"/>
      <c r="D62" s="57"/>
      <c r="E62" s="469">
        <v>15</v>
      </c>
      <c r="F62" s="78" t="str" cm="1">
        <f t="array" aca="1" ref="F62" ca="1">OFFSET(E62,-1,1)</f>
        <v>2</v>
      </c>
      <c r="G62" s="78"/>
      <c r="H62" s="57" t="s">
        <v>328</v>
      </c>
      <c r="I62" s="57" t="s">
        <v>368</v>
      </c>
      <c r="J62" s="283" t="str" cm="1">
        <f t="array" ref="J62">AD62</f>
        <v>Краткое описание технологического процесса</v>
      </c>
      <c r="K62" s="57"/>
      <c r="L62" s="57"/>
      <c r="M62" s="57"/>
      <c r="N62" s="57"/>
      <c r="O62" s="57"/>
      <c r="P62" s="57"/>
      <c r="Q62" s="57"/>
      <c r="R62" s="57"/>
      <c r="S62" s="57"/>
      <c r="T62" s="57"/>
      <c r="U62" s="57"/>
      <c r="V62" s="365" t="b" cm="1">
        <f t="array" ref="V62">V61</f>
        <v>1</v>
      </c>
      <c r="W62" s="57"/>
      <c r="X62" s="57"/>
      <c r="Y62" s="57"/>
      <c r="Z62" s="1064"/>
      <c r="AA62" s="1065"/>
      <c r="AB62" s="57"/>
      <c r="AC62" s="117"/>
      <c r="AD62" s="115" t="s">
        <v>393</v>
      </c>
      <c r="AE62" s="58"/>
      <c r="AF62" s="1061" t="s">
        <v>396</v>
      </c>
      <c r="AG62" s="1062"/>
      <c r="AH62" s="1062"/>
      <c r="AI62" s="1062"/>
      <c r="AJ62" s="1063"/>
      <c r="AK62" s="57"/>
      <c r="AL62" s="57"/>
      <c r="AM62" s="665" t="s">
        <v>394</v>
      </c>
      <c r="AN62" s="665"/>
      <c r="AO62" s="665"/>
      <c r="AP62" s="665"/>
      <c r="AQ62" s="459"/>
      <c r="AR62" s="459"/>
      <c r="AS62" s="57"/>
      <c r="AT62" s="57"/>
      <c r="AU62" s="57"/>
      <c r="AV62" s="57"/>
      <c r="AW62" s="57"/>
      <c r="AX62" s="57"/>
      <c r="AY62" s="57"/>
      <c r="AZ62" s="57"/>
      <c r="BA62" s="57"/>
      <c r="BB62" s="57"/>
      <c r="BC62" s="57"/>
      <c r="BD62" s="57"/>
      <c r="BE62" s="57"/>
    </row>
    <row r="63" spans="1:57" s="57" customFormat="1" ht="14.65" customHeight="1">
      <c r="B63" s="62"/>
      <c r="E63" s="469">
        <v>15</v>
      </c>
      <c r="F63" s="283"/>
      <c r="G63" s="283"/>
      <c r="J63" s="283"/>
      <c r="W63" s="57" t="s">
        <v>177</v>
      </c>
      <c r="X63" s="75" t="s">
        <v>397</v>
      </c>
      <c r="Z63" s="36"/>
      <c r="AC63" s="61"/>
      <c r="AD63" s="39"/>
      <c r="AE63" s="393"/>
      <c r="AF63" s="136"/>
      <c r="AG63" s="136"/>
      <c r="AH63" s="136"/>
      <c r="AI63" s="136"/>
      <c r="AJ63" s="136"/>
      <c r="AM63" s="665"/>
      <c r="AN63" s="665"/>
      <c r="AO63" s="665"/>
      <c r="AP63" s="665"/>
      <c r="AQ63" s="459"/>
      <c r="AR63" s="459"/>
    </row>
    <row r="64" spans="1:57" s="36" customFormat="1" ht="11.65" customHeight="1">
      <c r="B64" s="65"/>
      <c r="E64" s="472">
        <v>12</v>
      </c>
      <c r="Q64" s="327"/>
      <c r="R64" s="327"/>
      <c r="S64" s="327"/>
      <c r="T64" s="327"/>
      <c r="W64" s="78"/>
      <c r="AC64" s="1069" t="s">
        <v>398</v>
      </c>
      <c r="AD64" s="1070"/>
      <c r="AE64" s="1070"/>
      <c r="AF64" s="1070"/>
      <c r="AG64" s="1070"/>
      <c r="AH64" s="1070"/>
      <c r="AI64" s="1070"/>
      <c r="AJ64" s="1071"/>
      <c r="AK64" s="23"/>
      <c r="AL64" s="23"/>
      <c r="AM64" s="670"/>
      <c r="AN64" s="670"/>
      <c r="AO64" s="670"/>
      <c r="AP64" s="670"/>
      <c r="AQ64" s="465"/>
      <c r="AR64" s="465"/>
      <c r="AS64" s="23"/>
      <c r="AT64" s="23"/>
      <c r="AU64" s="23"/>
      <c r="AV64" s="23"/>
      <c r="AW64" s="23"/>
      <c r="AX64" s="23"/>
      <c r="AY64" s="23"/>
      <c r="AZ64" s="23"/>
      <c r="BA64" s="23"/>
      <c r="BB64" s="23"/>
      <c r="BC64" s="23"/>
      <c r="BD64" s="23"/>
    </row>
    <row r="65" spans="2:56" s="36" customFormat="1" ht="14.65" customHeight="1">
      <c r="B65" s="65"/>
      <c r="E65" s="472">
        <v>15</v>
      </c>
      <c r="Q65" s="327"/>
      <c r="R65" s="327"/>
      <c r="S65" s="327"/>
      <c r="T65" s="327"/>
      <c r="W65" s="78"/>
      <c r="AB65" s="492"/>
      <c r="AC65" s="1072"/>
      <c r="AD65" s="1073"/>
      <c r="AE65" s="1073"/>
      <c r="AF65" s="1073"/>
      <c r="AG65" s="1073"/>
      <c r="AH65" s="1073"/>
      <c r="AI65" s="1073"/>
      <c r="AJ65" s="1074"/>
      <c r="AK65" s="23"/>
      <c r="AL65" s="23"/>
      <c r="AM65" s="670"/>
      <c r="AN65" s="670"/>
      <c r="AO65" s="670"/>
      <c r="AP65" s="670"/>
      <c r="AQ65" s="465"/>
      <c r="AR65" s="465"/>
      <c r="AS65" s="23"/>
      <c r="AT65" s="23"/>
      <c r="AU65" s="23"/>
      <c r="AV65" s="23"/>
      <c r="AW65" s="23"/>
      <c r="AX65" s="23"/>
      <c r="AY65" s="23"/>
      <c r="AZ65" s="23"/>
      <c r="BA65" s="23"/>
      <c r="BB65" s="23"/>
      <c r="BC65" s="23"/>
      <c r="BD65" s="23"/>
    </row>
    <row r="66" spans="2:56" s="36" customFormat="1" ht="14.65" hidden="1" customHeight="1">
      <c r="B66" s="65"/>
      <c r="E66" s="472">
        <v>15</v>
      </c>
      <c r="Q66" s="327"/>
      <c r="R66" s="327"/>
      <c r="S66" s="327"/>
      <c r="T66" s="327"/>
      <c r="V66" s="365" t="b">
        <f>ROW(Y66)&gt;ROW(X$66)</f>
        <v>0</v>
      </c>
      <c r="W66" s="78"/>
      <c r="Y66" s="528" t="s">
        <v>173</v>
      </c>
      <c r="AB66" s="493" t="s">
        <v>174</v>
      </c>
      <c r="AC66" s="1054"/>
      <c r="AD66" s="1055"/>
      <c r="AE66" s="1055"/>
      <c r="AF66" s="1055"/>
      <c r="AG66" s="1055"/>
      <c r="AH66" s="1055"/>
      <c r="AI66" s="1055"/>
      <c r="AJ66" s="1056"/>
      <c r="AK66" s="23"/>
      <c r="AL66" s="23"/>
      <c r="AM66" s="670"/>
      <c r="AN66" s="670"/>
      <c r="AO66" s="670"/>
      <c r="AP66" s="670"/>
      <c r="AQ66" s="465"/>
      <c r="AR66" s="465"/>
      <c r="AS66" s="23"/>
      <c r="AT66" s="23"/>
      <c r="AU66" s="23"/>
      <c r="AV66" s="23"/>
      <c r="AW66" s="23"/>
      <c r="AX66" s="23"/>
      <c r="AY66" s="23"/>
      <c r="AZ66" s="23"/>
      <c r="BA66" s="23"/>
      <c r="BB66" s="23"/>
      <c r="BC66" s="23"/>
      <c r="BD66" s="23"/>
    </row>
    <row r="67" spans="2:56" s="36" customFormat="1" ht="14.65" customHeight="1">
      <c r="B67" s="65"/>
      <c r="E67" s="472">
        <v>15</v>
      </c>
      <c r="Q67" s="327"/>
      <c r="R67" s="327"/>
      <c r="S67" s="327"/>
      <c r="T67" s="327"/>
      <c r="Y67" s="528" t="s">
        <v>399</v>
      </c>
      <c r="AC67" s="485"/>
      <c r="AD67" s="111" t="s">
        <v>400</v>
      </c>
      <c r="AE67" s="231"/>
      <c r="AF67" s="232"/>
      <c r="AG67" s="232"/>
      <c r="AH67" s="232"/>
      <c r="AI67" s="232"/>
      <c r="AJ67" s="495"/>
      <c r="AK67" s="23"/>
      <c r="AL67" s="23"/>
      <c r="AM67" s="670"/>
      <c r="AN67" s="670"/>
      <c r="AO67" s="670"/>
      <c r="AP67" s="670"/>
      <c r="AQ67" s="465"/>
      <c r="AR67" s="465"/>
      <c r="AS67" s="23"/>
      <c r="AT67" s="23"/>
      <c r="AU67" s="23"/>
      <c r="AV67" s="23"/>
      <c r="AW67" s="23"/>
      <c r="AX67" s="23"/>
      <c r="AY67" s="23"/>
      <c r="AZ67" s="23"/>
      <c r="BA67" s="23"/>
      <c r="BB67" s="23"/>
      <c r="BC67" s="23"/>
      <c r="BD67" s="23"/>
    </row>
    <row r="68" spans="2:56" customFormat="1" ht="11.25" customHeight="1">
      <c r="B68" s="490"/>
      <c r="E68" s="467"/>
      <c r="F68" s="23"/>
      <c r="G68" s="23"/>
      <c r="H68" s="23"/>
      <c r="I68" s="23"/>
      <c r="J68" s="23"/>
      <c r="AD68" s="37"/>
      <c r="AE68" s="37"/>
      <c r="AF68" s="37"/>
      <c r="AG68" s="37"/>
      <c r="AM68" s="670"/>
      <c r="AN68" s="670"/>
      <c r="AO68" s="670"/>
      <c r="AP68" s="670"/>
      <c r="AQ68" s="465"/>
      <c r="AR68" s="672"/>
    </row>
    <row r="69" spans="2:56" customFormat="1" ht="11.25" hidden="1" customHeight="1">
      <c r="B69" s="490"/>
      <c r="E69" s="467"/>
      <c r="F69" s="23"/>
      <c r="G69" s="23"/>
      <c r="H69" s="23"/>
      <c r="I69" s="23"/>
      <c r="J69" s="23"/>
      <c r="AD69" s="37"/>
      <c r="AE69" s="37"/>
      <c r="AF69" s="37"/>
      <c r="AG69" s="37"/>
      <c r="AM69" s="670"/>
      <c r="AN69" s="670"/>
      <c r="AO69" s="670"/>
      <c r="AP69" s="670"/>
      <c r="AQ69" s="465"/>
      <c r="AR69" s="672"/>
    </row>
  </sheetData>
  <sheetProtection formatColumns="0" formatRows="0" insertRows="0" deleteColumns="0" deleteRows="0" sort="0" autoFilter="0"/>
  <mergeCells count="18">
    <mergeCell ref="Z27:Z38"/>
    <mergeCell ref="AA27:AA38"/>
    <mergeCell ref="AF38:AJ38"/>
    <mergeCell ref="AC64:AJ64"/>
    <mergeCell ref="AC65:AJ65"/>
    <mergeCell ref="Z39:Z50"/>
    <mergeCell ref="AA39:AA50"/>
    <mergeCell ref="Z51:Z62"/>
    <mergeCell ref="AA51:AA62"/>
    <mergeCell ref="AC66:AJ66"/>
    <mergeCell ref="AC22:AJ22"/>
    <mergeCell ref="AG23:AH23"/>
    <mergeCell ref="AC24:AC25"/>
    <mergeCell ref="AD24:AD25"/>
    <mergeCell ref="AE24:AE25"/>
    <mergeCell ref="AJ24:AJ25"/>
    <mergeCell ref="AF50:AJ50"/>
    <mergeCell ref="AF62:AJ62"/>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xr:uid="{00000000-0002-0000-0600-000000000000}">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68491-9A18-D96B-11E8-2BE80CD308C8}">
  <sheetPr>
    <tabColor theme="3" tint="0.59999389629810485"/>
    <outlinePr summaryBelow="0" summaryRight="0"/>
    <pageSetUpPr fitToPage="1"/>
  </sheetPr>
  <dimension ref="A1:AS61"/>
  <sheetViews>
    <sheetView showGridLines="0" workbookViewId="0">
      <pane xSplit="29" ySplit="24" topLeftCell="AD30" activePane="bottomRight" state="frozen"/>
      <selection pane="topRight" activeCell="AD1" sqref="AD1"/>
      <selection pane="bottomLeft" activeCell="A25" sqref="A25"/>
      <selection pane="bottomRight" activeCell="AC41" sqref="AC41"/>
    </sheetView>
  </sheetViews>
  <sheetFormatPr defaultColWidth="8.7109375" defaultRowHeight="11.25" customHeight="1"/>
  <cols>
    <col min="1" max="1" width="3.5703125" style="83" hidden="1" customWidth="1"/>
    <col min="2" max="2" width="8.5703125" style="338" hidden="1" customWidth="1"/>
    <col min="3" max="4" width="3.5703125" style="83" hidden="1" customWidth="1"/>
    <col min="5" max="5" width="3.5703125" style="595" hidden="1" customWidth="1"/>
    <col min="6" max="6" width="4" style="83" hidden="1" customWidth="1"/>
    <col min="7" max="8" width="3.5703125" style="83" hidden="1" customWidth="1"/>
    <col min="9" max="9" width="12.42578125" style="83" hidden="1" customWidth="1"/>
    <col min="10" max="18" width="3.5703125" style="83" hidden="1" customWidth="1"/>
    <col min="19" max="19" width="3.5703125" style="327" hidden="1" customWidth="1"/>
    <col min="20" max="20" width="6.140625" style="327" hidden="1" customWidth="1"/>
    <col min="21" max="21" width="10.140625" style="327" hidden="1" customWidth="1"/>
    <col min="22" max="22" width="5.85546875" style="327" hidden="1" customWidth="1"/>
    <col min="23" max="24" width="6.140625" style="327" hidden="1" customWidth="1"/>
    <col min="25" max="25" width="5.5703125" style="327" hidden="1" customWidth="1"/>
    <col min="26" max="26" width="5.28515625" style="327" hidden="1" customWidth="1"/>
    <col min="27" max="27" width="3" style="83" customWidth="1"/>
    <col min="28" max="28" width="11" style="39" customWidth="1"/>
    <col min="29" max="29" width="70" style="39" customWidth="1"/>
    <col min="30" max="30" width="15" style="39" customWidth="1"/>
    <col min="31" max="31" width="20" style="39" customWidth="1"/>
    <col min="32" max="32" width="20" style="52" customWidth="1"/>
    <col min="33" max="34" width="20" style="39" customWidth="1"/>
    <col min="35" max="35" width="3" style="83" customWidth="1"/>
    <col min="36" max="36" width="8.7109375" style="83" hidden="1"/>
    <col min="37" max="43" width="8.7109375" style="662" hidden="1"/>
    <col min="44" max="44" width="8.7109375" style="593" hidden="1"/>
    <col min="45" max="45" width="8.7109375" style="468" hidden="1"/>
  </cols>
  <sheetData>
    <row r="1" spans="1:45" s="83" customFormat="1" ht="11.25" hidden="1" customHeight="1">
      <c r="B1" s="338"/>
      <c r="E1" s="223"/>
      <c r="F1" s="83" t="s">
        <v>315</v>
      </c>
      <c r="S1" s="327"/>
      <c r="T1" s="327"/>
      <c r="U1" s="365" t="s">
        <v>93</v>
      </c>
      <c r="V1" s="365" t="s">
        <v>98</v>
      </c>
      <c r="W1" s="365" t="s">
        <v>94</v>
      </c>
      <c r="X1" s="365" t="s">
        <v>95</v>
      </c>
      <c r="Y1" s="365" t="s">
        <v>96</v>
      </c>
      <c r="Z1" s="365" t="s">
        <v>100</v>
      </c>
      <c r="AA1" s="367" t="s">
        <v>97</v>
      </c>
      <c r="AB1" s="367" t="s">
        <v>317</v>
      </c>
      <c r="AC1" s="367" t="s">
        <v>99</v>
      </c>
      <c r="AF1" s="136"/>
      <c r="AK1" s="656" t="s">
        <v>318</v>
      </c>
      <c r="AL1" s="660" t="s">
        <v>319</v>
      </c>
      <c r="AM1" s="660" t="s">
        <v>320</v>
      </c>
      <c r="AN1" s="660" t="s">
        <v>401</v>
      </c>
      <c r="AO1" s="660" t="s">
        <v>402</v>
      </c>
      <c r="AP1" s="660" t="s">
        <v>403</v>
      </c>
      <c r="AQ1" s="660" t="s">
        <v>404</v>
      </c>
      <c r="AR1" s="197" t="s">
        <v>323</v>
      </c>
      <c r="AS1" s="197" t="s">
        <v>324</v>
      </c>
    </row>
    <row r="2" spans="1:45" s="338" customFormat="1" ht="11.25" hidden="1" customHeight="1">
      <c r="B2" s="644" t="s">
        <v>19</v>
      </c>
      <c r="S2" s="490"/>
      <c r="T2" s="490"/>
      <c r="U2" s="490"/>
      <c r="V2" s="490"/>
      <c r="W2" s="490"/>
      <c r="X2" s="490"/>
      <c r="Y2" s="490"/>
      <c r="Z2" s="490"/>
      <c r="AK2" s="661"/>
      <c r="AL2" s="661"/>
      <c r="AM2" s="661"/>
      <c r="AN2" s="661"/>
      <c r="AO2" s="661"/>
      <c r="AP2" s="661"/>
      <c r="AQ2" s="661"/>
      <c r="AR2" s="668"/>
      <c r="AS2" s="668"/>
    </row>
    <row r="3" spans="1:45" s="83" customFormat="1" ht="11.25" hidden="1" customHeight="1">
      <c r="B3" s="338"/>
      <c r="E3" s="223"/>
      <c r="S3" s="327"/>
      <c r="T3" s="327"/>
      <c r="U3" s="327"/>
      <c r="V3" s="327"/>
      <c r="W3" s="327"/>
      <c r="X3" s="327"/>
      <c r="Y3" s="327"/>
      <c r="Z3" s="327"/>
      <c r="AF3" s="136"/>
      <c r="AK3" s="662"/>
      <c r="AL3" s="662"/>
      <c r="AM3" s="662"/>
      <c r="AN3" s="662"/>
      <c r="AO3" s="662"/>
      <c r="AP3" s="662"/>
      <c r="AQ3" s="662"/>
      <c r="AR3" s="593"/>
      <c r="AS3" s="593"/>
    </row>
    <row r="4" spans="1:45" s="83" customFormat="1" ht="11.25" hidden="1" customHeight="1">
      <c r="B4" s="338"/>
      <c r="E4" s="223"/>
      <c r="S4" s="327"/>
      <c r="T4" s="327"/>
      <c r="U4" s="327"/>
      <c r="V4" s="327"/>
      <c r="W4" s="327"/>
      <c r="X4" s="327"/>
      <c r="Y4" s="327"/>
      <c r="Z4" s="327"/>
      <c r="AF4" s="136"/>
      <c r="AK4" s="662"/>
      <c r="AL4" s="662"/>
      <c r="AM4" s="662"/>
      <c r="AN4" s="662"/>
      <c r="AO4" s="662"/>
      <c r="AP4" s="662"/>
      <c r="AQ4" s="662"/>
      <c r="AR4" s="593"/>
      <c r="AS4" s="593"/>
    </row>
    <row r="5" spans="1:45" s="595" customFormat="1" ht="11.25" hidden="1" customHeight="1">
      <c r="A5" s="223"/>
      <c r="B5" s="338"/>
      <c r="C5" s="223"/>
      <c r="D5" s="223"/>
      <c r="E5" s="595" t="s">
        <v>20</v>
      </c>
      <c r="S5" s="658"/>
      <c r="T5" s="658"/>
      <c r="U5" s="658"/>
      <c r="V5" s="658"/>
      <c r="W5" s="658"/>
      <c r="X5" s="658"/>
      <c r="Y5" s="658"/>
      <c r="Z5" s="658"/>
      <c r="AA5" s="462">
        <v>3</v>
      </c>
      <c r="AB5" s="462">
        <v>11</v>
      </c>
      <c r="AC5" s="462">
        <v>70</v>
      </c>
      <c r="AD5" s="462">
        <v>15</v>
      </c>
      <c r="AE5" s="462">
        <v>20</v>
      </c>
      <c r="AF5" s="462">
        <v>20</v>
      </c>
      <c r="AG5" s="462">
        <v>20</v>
      </c>
      <c r="AH5" s="462">
        <v>20</v>
      </c>
      <c r="AI5" s="595">
        <v>3</v>
      </c>
      <c r="AK5" s="663"/>
      <c r="AL5" s="663"/>
      <c r="AM5" s="663"/>
      <c r="AN5" s="663"/>
      <c r="AO5" s="663"/>
      <c r="AP5" s="663"/>
      <c r="AQ5" s="663"/>
    </row>
    <row r="6" spans="1:45" s="83" customFormat="1" ht="11.25" hidden="1" customHeight="1">
      <c r="B6" s="338"/>
      <c r="E6" s="595"/>
      <c r="S6" s="327"/>
      <c r="T6" s="327"/>
      <c r="U6" s="327"/>
      <c r="V6" s="327"/>
      <c r="W6" s="327"/>
      <c r="X6" s="327"/>
      <c r="Y6" s="327"/>
      <c r="Z6" s="327"/>
      <c r="AK6" s="662"/>
      <c r="AL6" s="662"/>
      <c r="AM6" s="662"/>
      <c r="AN6" s="662"/>
      <c r="AO6" s="662"/>
      <c r="AP6" s="662"/>
      <c r="AQ6" s="662"/>
      <c r="AR6" s="593"/>
      <c r="AS6" s="593"/>
    </row>
    <row r="7" spans="1:45" s="83" customFormat="1" ht="11.25" hidden="1" customHeight="1">
      <c r="B7" s="338"/>
      <c r="E7" s="595"/>
      <c r="S7" s="327"/>
      <c r="T7" s="327"/>
      <c r="U7" s="327"/>
      <c r="V7" s="327"/>
      <c r="W7" s="327"/>
      <c r="X7" s="327"/>
      <c r="Y7" s="327"/>
      <c r="Z7" s="327"/>
      <c r="AE7" s="280"/>
      <c r="AF7" s="280"/>
      <c r="AG7" s="280"/>
      <c r="AH7" s="280"/>
      <c r="AK7" s="662"/>
      <c r="AL7" s="662"/>
      <c r="AM7" s="662"/>
      <c r="AN7" s="662"/>
      <c r="AO7" s="662"/>
      <c r="AP7" s="662"/>
      <c r="AQ7" s="662"/>
      <c r="AR7" s="593"/>
      <c r="AS7" s="593"/>
    </row>
    <row r="8" spans="1:45" s="83" customFormat="1" ht="11.25" hidden="1" customHeight="1">
      <c r="B8" s="338"/>
      <c r="E8" s="595"/>
      <c r="S8" s="327"/>
      <c r="T8" s="327"/>
      <c r="U8" s="327"/>
      <c r="V8" s="327"/>
      <c r="W8" s="327"/>
      <c r="X8" s="327"/>
      <c r="Y8" s="327"/>
      <c r="Z8" s="327"/>
      <c r="AF8" s="136"/>
      <c r="AK8" s="662"/>
      <c r="AL8" s="662"/>
      <c r="AM8" s="662"/>
      <c r="AN8" s="662"/>
      <c r="AO8" s="662"/>
      <c r="AP8" s="662"/>
      <c r="AQ8" s="662"/>
      <c r="AR8" s="593"/>
      <c r="AS8" s="593"/>
    </row>
    <row r="9" spans="1:45" s="662" customFormat="1" ht="11.25" hidden="1" customHeight="1">
      <c r="A9" s="656" t="s">
        <v>405</v>
      </c>
      <c r="B9" s="661"/>
      <c r="E9" s="663"/>
      <c r="S9" s="664"/>
      <c r="T9" s="664"/>
      <c r="U9" s="664"/>
      <c r="V9" s="664"/>
      <c r="W9" s="664"/>
      <c r="X9" s="664"/>
      <c r="Y9" s="664"/>
      <c r="Z9" s="664"/>
      <c r="AF9" s="660"/>
      <c r="AH9" s="662" t="str" cm="1">
        <f t="array" ref="AH9">AH24</f>
        <v>Срок действия</v>
      </c>
      <c r="AR9" s="593"/>
      <c r="AS9" s="593"/>
    </row>
    <row r="10" spans="1:45" s="662" customFormat="1" ht="11.25" hidden="1" customHeight="1">
      <c r="A10" s="656" t="s">
        <v>333</v>
      </c>
      <c r="B10" s="661"/>
      <c r="E10" s="663"/>
      <c r="S10" s="664"/>
      <c r="T10" s="664"/>
      <c r="U10" s="664"/>
      <c r="V10" s="664"/>
      <c r="W10" s="664"/>
      <c r="X10" s="664"/>
      <c r="Y10" s="664"/>
      <c r="Z10" s="664"/>
      <c r="AC10" s="657" t="s">
        <v>320</v>
      </c>
      <c r="AD10" s="657" t="s">
        <v>401</v>
      </c>
      <c r="AE10" s="657" t="s">
        <v>402</v>
      </c>
      <c r="AF10" s="657" t="s">
        <v>403</v>
      </c>
      <c r="AG10" s="657" t="s">
        <v>404</v>
      </c>
      <c r="AR10" s="593"/>
      <c r="AS10" s="593"/>
    </row>
    <row r="11" spans="1:45" s="83" customFormat="1" ht="11.25" hidden="1" customHeight="1">
      <c r="B11" s="338"/>
      <c r="E11" s="595"/>
      <c r="S11" s="327"/>
      <c r="T11" s="327"/>
      <c r="U11" s="327"/>
      <c r="V11" s="327"/>
      <c r="W11" s="327"/>
      <c r="X11" s="327"/>
      <c r="Y11" s="327"/>
      <c r="Z11" s="327"/>
      <c r="AF11" s="136"/>
      <c r="AK11" s="662"/>
      <c r="AL11" s="662"/>
      <c r="AM11" s="662"/>
      <c r="AN11" s="662"/>
      <c r="AO11" s="662"/>
      <c r="AP11" s="662"/>
      <c r="AQ11" s="662"/>
      <c r="AR11" s="593"/>
      <c r="AS11" s="593"/>
    </row>
    <row r="12" spans="1:45" s="83" customFormat="1" ht="11.25" hidden="1" customHeight="1">
      <c r="B12" s="338"/>
      <c r="E12" s="595"/>
      <c r="S12" s="327"/>
      <c r="T12" s="327"/>
      <c r="U12" s="327"/>
      <c r="V12" s="327"/>
      <c r="W12" s="327"/>
      <c r="X12" s="327"/>
      <c r="Y12" s="327"/>
      <c r="Z12" s="327"/>
      <c r="AA12" s="327"/>
      <c r="AB12" s="327"/>
      <c r="AC12" s="659"/>
      <c r="AD12" s="659"/>
      <c r="AF12" s="136"/>
      <c r="AK12" s="662"/>
      <c r="AL12" s="662"/>
      <c r="AM12" s="662"/>
      <c r="AN12" s="662"/>
      <c r="AO12" s="662"/>
      <c r="AP12" s="662"/>
      <c r="AQ12" s="662"/>
      <c r="AR12" s="593"/>
      <c r="AS12" s="593"/>
    </row>
    <row r="13" spans="1:45" s="83" customFormat="1" ht="11.25" hidden="1" customHeight="1">
      <c r="B13" s="338"/>
      <c r="E13" s="595"/>
      <c r="S13" s="327"/>
      <c r="T13" s="327"/>
      <c r="U13" s="327"/>
      <c r="V13" s="327"/>
      <c r="W13" s="327"/>
      <c r="X13" s="327"/>
      <c r="Y13" s="327"/>
      <c r="Z13" s="327"/>
      <c r="AA13" s="327"/>
      <c r="AB13" s="327"/>
      <c r="AC13" s="659"/>
      <c r="AD13" s="659"/>
      <c r="AE13" s="659"/>
      <c r="AF13" s="659"/>
      <c r="AK13" s="662"/>
      <c r="AL13" s="662"/>
      <c r="AM13" s="662"/>
      <c r="AN13" s="662"/>
      <c r="AO13" s="662"/>
      <c r="AP13" s="662"/>
      <c r="AQ13" s="662"/>
      <c r="AR13" s="593"/>
      <c r="AS13" s="593"/>
    </row>
    <row r="14" spans="1:45" s="83" customFormat="1" ht="11.25" hidden="1" customHeight="1">
      <c r="B14" s="338"/>
      <c r="E14" s="595"/>
      <c r="S14" s="327"/>
      <c r="T14" s="327"/>
      <c r="U14" s="327"/>
      <c r="V14" s="327"/>
      <c r="W14" s="327"/>
      <c r="X14" s="327"/>
      <c r="Y14" s="327"/>
      <c r="Z14" s="327"/>
      <c r="AA14" s="327"/>
      <c r="AB14" s="327"/>
      <c r="AC14" s="659"/>
      <c r="AD14" s="659"/>
      <c r="AE14" s="659"/>
      <c r="AF14" s="659"/>
      <c r="AK14" s="662"/>
      <c r="AL14" s="662"/>
      <c r="AM14" s="662"/>
      <c r="AN14" s="662"/>
      <c r="AO14" s="662"/>
      <c r="AP14" s="662"/>
      <c r="AQ14" s="662"/>
      <c r="AR14" s="593"/>
      <c r="AS14" s="593"/>
    </row>
    <row r="15" spans="1:45" s="83" customFormat="1" ht="11.25" hidden="1" customHeight="1">
      <c r="B15" s="338"/>
      <c r="E15" s="595"/>
      <c r="S15" s="327"/>
      <c r="T15" s="327"/>
      <c r="U15" s="327"/>
      <c r="V15" s="327"/>
      <c r="W15" s="327"/>
      <c r="X15" s="327"/>
      <c r="Y15" s="327"/>
      <c r="Z15" s="327"/>
      <c r="AA15" s="327"/>
      <c r="AB15" s="327"/>
      <c r="AC15" s="659"/>
      <c r="AD15" s="659"/>
      <c r="AE15" s="659"/>
      <c r="AF15" s="659"/>
      <c r="AK15" s="662"/>
      <c r="AL15" s="662"/>
      <c r="AM15" s="662"/>
      <c r="AN15" s="662"/>
      <c r="AO15" s="662"/>
      <c r="AP15" s="662"/>
      <c r="AQ15" s="662"/>
      <c r="AR15" s="593"/>
      <c r="AS15" s="593"/>
    </row>
    <row r="16" spans="1:45" s="83" customFormat="1" ht="11.25" hidden="1" customHeight="1">
      <c r="B16" s="338"/>
      <c r="E16" s="595"/>
      <c r="S16" s="327"/>
      <c r="T16" s="327"/>
      <c r="U16" s="327"/>
      <c r="V16" s="327"/>
      <c r="W16" s="327"/>
      <c r="X16" s="327"/>
      <c r="Y16" s="327"/>
      <c r="Z16" s="327"/>
      <c r="AA16" s="327"/>
      <c r="AB16" s="327"/>
      <c r="AC16" s="659"/>
      <c r="AD16" s="659"/>
      <c r="AE16" s="659"/>
      <c r="AF16" s="659"/>
      <c r="AK16" s="662"/>
      <c r="AL16" s="662"/>
      <c r="AM16" s="662"/>
      <c r="AN16" s="662"/>
      <c r="AO16" s="662"/>
      <c r="AP16" s="662"/>
      <c r="AQ16" s="662"/>
      <c r="AR16" s="593"/>
      <c r="AS16" s="593"/>
    </row>
    <row r="17" spans="1:45" s="83" customFormat="1" ht="11.25" hidden="1" customHeight="1">
      <c r="B17" s="338"/>
      <c r="E17" s="595"/>
      <c r="S17" s="327"/>
      <c r="T17" s="327"/>
      <c r="U17" s="327"/>
      <c r="V17" s="327"/>
      <c r="W17" s="327"/>
      <c r="X17" s="327"/>
      <c r="Y17" s="327"/>
      <c r="Z17" s="327"/>
      <c r="AA17" s="327"/>
      <c r="AB17" s="327"/>
      <c r="AC17" s="659"/>
      <c r="AD17" s="659"/>
      <c r="AE17" s="659"/>
      <c r="AF17" s="659"/>
      <c r="AK17" s="662"/>
      <c r="AL17" s="662"/>
      <c r="AM17" s="662"/>
      <c r="AN17" s="662"/>
      <c r="AO17" s="662"/>
      <c r="AP17" s="662"/>
      <c r="AQ17" s="662"/>
      <c r="AR17" s="593"/>
      <c r="AS17" s="593"/>
    </row>
    <row r="18" spans="1:45" s="83" customFormat="1" ht="11.25" hidden="1" customHeight="1">
      <c r="B18" s="338"/>
      <c r="E18" s="595"/>
      <c r="S18" s="327"/>
      <c r="T18" s="327"/>
      <c r="U18" s="327"/>
      <c r="V18" s="327"/>
      <c r="W18" s="327"/>
      <c r="X18" s="327"/>
      <c r="Y18" s="327"/>
      <c r="Z18" s="327"/>
      <c r="AA18" s="327"/>
      <c r="AB18" s="327"/>
      <c r="AC18" s="136"/>
      <c r="AD18" s="659"/>
      <c r="AE18" s="659"/>
      <c r="AF18" s="659"/>
      <c r="AK18" s="662"/>
      <c r="AL18" s="662"/>
      <c r="AM18" s="662"/>
      <c r="AN18" s="662"/>
      <c r="AO18" s="662"/>
      <c r="AP18" s="662"/>
      <c r="AQ18" s="662"/>
      <c r="AR18" s="593"/>
      <c r="AS18" s="593"/>
    </row>
    <row r="19" spans="1:45" s="83" customFormat="1" ht="11.25" hidden="1" customHeight="1">
      <c r="B19" s="338"/>
      <c r="E19" s="595"/>
      <c r="S19" s="327"/>
      <c r="T19" s="327"/>
      <c r="U19" s="327"/>
      <c r="V19" s="327"/>
      <c r="W19" s="327"/>
      <c r="X19" s="327"/>
      <c r="Y19" s="327"/>
      <c r="Z19" s="327"/>
      <c r="AA19" s="327"/>
      <c r="AB19" s="327"/>
      <c r="AC19" s="659"/>
      <c r="AD19" s="659"/>
      <c r="AE19" s="659"/>
      <c r="AF19" s="659"/>
      <c r="AK19" s="662"/>
      <c r="AL19" s="662"/>
      <c r="AM19" s="662"/>
      <c r="AN19" s="662"/>
      <c r="AO19" s="662"/>
      <c r="AP19" s="662"/>
      <c r="AQ19" s="662"/>
      <c r="AR19" s="593"/>
      <c r="AS19" s="593"/>
    </row>
    <row r="20" spans="1:45" s="83" customFormat="1" ht="11.25" hidden="1" customHeight="1">
      <c r="B20" s="338"/>
      <c r="E20" s="595"/>
      <c r="S20" s="327"/>
      <c r="T20" s="327"/>
      <c r="U20" s="327"/>
      <c r="V20" s="327"/>
      <c r="W20" s="327"/>
      <c r="X20" s="327"/>
      <c r="Y20" s="327"/>
      <c r="Z20" s="327"/>
      <c r="AA20" s="327"/>
      <c r="AB20" s="327"/>
      <c r="AC20" s="659"/>
      <c r="AD20" s="659"/>
      <c r="AE20" s="659"/>
      <c r="AF20" s="659"/>
      <c r="AK20" s="662"/>
      <c r="AL20" s="662"/>
      <c r="AM20" s="662"/>
      <c r="AN20" s="662"/>
      <c r="AO20" s="662"/>
      <c r="AP20" s="662"/>
      <c r="AQ20" s="662"/>
      <c r="AR20" s="593"/>
      <c r="AS20" s="593"/>
    </row>
    <row r="21" spans="1:45" s="83" customFormat="1" ht="14.65" customHeight="1">
      <c r="B21" s="338"/>
      <c r="E21" s="595">
        <v>15</v>
      </c>
      <c r="S21" s="327"/>
      <c r="T21" s="327"/>
      <c r="U21" s="327"/>
      <c r="V21" s="327"/>
      <c r="W21" s="327"/>
      <c r="X21" s="327"/>
      <c r="Y21" s="327"/>
      <c r="Z21" s="327"/>
      <c r="AA21" s="78"/>
      <c r="AC21" s="280" t="str" cm="1">
        <f t="array" ref="AC21">tpl_title</f>
        <v>Кемеровская область / 2026 / ООО "Энергосервис г. Гурьевска" (ИНН:4202049045, КПП:420201001) / ДПР: 2024-2028</v>
      </c>
      <c r="AK21" s="662"/>
      <c r="AL21" s="662"/>
      <c r="AM21" s="662"/>
      <c r="AN21" s="662"/>
      <c r="AO21" s="662"/>
      <c r="AP21" s="662"/>
      <c r="AQ21" s="662"/>
      <c r="AR21" s="593"/>
      <c r="AS21" s="593"/>
    </row>
    <row r="22" spans="1:45" ht="20.45" customHeight="1">
      <c r="E22" s="474">
        <v>21</v>
      </c>
      <c r="R22" s="327"/>
      <c r="AA22" s="327"/>
      <c r="AB22" s="1052" t="s">
        <v>406</v>
      </c>
      <c r="AC22" s="1053"/>
      <c r="AD22" s="1053"/>
      <c r="AE22" s="1053"/>
      <c r="AF22" s="1053"/>
      <c r="AG22" s="1053"/>
      <c r="AH22" s="1053"/>
    </row>
    <row r="23" spans="1:45" ht="8.85" customHeight="1">
      <c r="E23" s="474">
        <v>9</v>
      </c>
      <c r="AA23" s="648"/>
      <c r="AB23" s="51"/>
      <c r="AC23" s="51"/>
      <c r="AD23" s="51"/>
      <c r="AE23" s="51"/>
      <c r="AF23" s="1057"/>
      <c r="AG23" s="1057"/>
      <c r="AH23" s="33"/>
    </row>
    <row r="24" spans="1:45" s="57" customFormat="1" ht="20.45" customHeight="1">
      <c r="B24" s="62"/>
      <c r="E24" s="474">
        <v>21</v>
      </c>
      <c r="AB24" s="119" t="s">
        <v>22</v>
      </c>
      <c r="AC24" s="118" t="s">
        <v>407</v>
      </c>
      <c r="AD24" s="118" t="s">
        <v>408</v>
      </c>
      <c r="AE24" s="118" t="s">
        <v>409</v>
      </c>
      <c r="AF24" s="118" t="s">
        <v>410</v>
      </c>
      <c r="AG24" s="118" t="s">
        <v>411</v>
      </c>
      <c r="AH24" s="118" t="s">
        <v>412</v>
      </c>
      <c r="AK24" s="665"/>
      <c r="AL24" s="665"/>
      <c r="AM24" s="665"/>
      <c r="AN24" s="665"/>
      <c r="AO24" s="665"/>
      <c r="AP24" s="665"/>
      <c r="AQ24" s="665"/>
      <c r="AR24" s="459"/>
      <c r="AS24" s="459"/>
    </row>
    <row r="25" spans="1:45" ht="11.25" hidden="1" customHeight="1">
      <c r="A25" s="327"/>
      <c r="B25" s="490"/>
      <c r="C25" s="327"/>
      <c r="D25" s="327"/>
      <c r="E25" s="469">
        <v>0</v>
      </c>
      <c r="F25" s="489"/>
      <c r="G25" s="327"/>
      <c r="H25" s="327"/>
      <c r="I25" s="327"/>
      <c r="J25" s="327"/>
      <c r="K25" s="327"/>
      <c r="L25" s="327"/>
      <c r="M25" s="327"/>
      <c r="N25" s="327"/>
      <c r="O25" s="327"/>
      <c r="P25" s="327"/>
      <c r="Q25" s="327"/>
      <c r="R25" s="327"/>
      <c r="AA25" s="327"/>
      <c r="AB25" s="642"/>
      <c r="AC25" s="37"/>
      <c r="AD25" s="37"/>
      <c r="AE25" s="37"/>
      <c r="AF25" s="37"/>
      <c r="AG25"/>
      <c r="AH25"/>
      <c r="AI25" s="327"/>
      <c r="AJ25" s="327"/>
      <c r="AK25" s="664"/>
      <c r="AL25" s="664"/>
      <c r="AM25" s="664"/>
      <c r="AN25" s="664"/>
      <c r="AO25" s="664"/>
      <c r="AP25" s="666"/>
      <c r="AQ25" s="664"/>
      <c r="AR25" s="491"/>
      <c r="AS25" s="465"/>
    </row>
    <row r="26" spans="1:45" s="57" customFormat="1" ht="15" hidden="1" customHeight="1">
      <c r="B26" s="62"/>
      <c r="E26" s="467" t="s">
        <v>336</v>
      </c>
      <c r="F26" s="57" cm="1">
        <f t="array" ref="F26">Y26</f>
        <v>0</v>
      </c>
      <c r="U26" s="365" t="b">
        <f>Y26&gt;0</f>
        <v>0</v>
      </c>
      <c r="W26" s="57" t="s">
        <v>264</v>
      </c>
      <c r="Y26" s="1075">
        <v>0</v>
      </c>
      <c r="Z26" s="1065"/>
      <c r="AB26" s="113" t="str" cm="1">
        <f t="array" ref="AB26">INDEX('Общие сведения'!$AG$179:$AG$222,MATCH($Y26,'Общие сведения'!$Z$179:$Z$222,0))</f>
        <v xml:space="preserve">Тариф 0 () - </v>
      </c>
      <c r="AC26" s="113"/>
      <c r="AD26" s="107"/>
      <c r="AE26" s="107"/>
      <c r="AF26" s="107"/>
      <c r="AG26" s="107"/>
      <c r="AH26" s="107"/>
      <c r="AK26" s="665"/>
      <c r="AL26" s="665"/>
      <c r="AM26" s="665"/>
      <c r="AN26" s="665"/>
      <c r="AO26" s="665"/>
      <c r="AP26" s="665"/>
      <c r="AQ26" s="665"/>
      <c r="AR26" s="459"/>
      <c r="AS26" s="459"/>
    </row>
    <row r="27" spans="1:45" s="57" customFormat="1" ht="15" hidden="1" customHeight="1">
      <c r="B27" s="62"/>
      <c r="E27" s="469">
        <v>0</v>
      </c>
      <c r="F27" s="57" cm="1">
        <f t="array" aca="1" ref="F27" ca="1">OFFSET(G27,-1,-1)</f>
        <v>0</v>
      </c>
      <c r="U27" s="365" t="b">
        <v>0</v>
      </c>
      <c r="Y27" s="1075"/>
      <c r="Z27" s="1065"/>
      <c r="AB27" s="113"/>
      <c r="AC27" s="113"/>
      <c r="AD27" s="107"/>
      <c r="AE27" s="107"/>
      <c r="AF27" s="107"/>
      <c r="AG27" s="107"/>
      <c r="AH27" s="107"/>
      <c r="AK27" s="665"/>
      <c r="AL27" s="665"/>
      <c r="AM27" s="665"/>
      <c r="AN27" s="665"/>
      <c r="AO27" s="665"/>
      <c r="AP27" s="665"/>
      <c r="AQ27" s="665"/>
      <c r="AR27" s="459"/>
      <c r="AS27" s="459"/>
    </row>
    <row r="28" spans="1:45" s="41" customFormat="1" ht="14.65" hidden="1" customHeight="1">
      <c r="B28" s="62"/>
      <c r="E28" s="469">
        <v>15</v>
      </c>
      <c r="F28" s="41" cm="1">
        <f t="array" aca="1" ref="F28" ca="1">OFFSET(G28,-1,-1)</f>
        <v>0</v>
      </c>
      <c r="I28" s="41" t="s">
        <v>413</v>
      </c>
      <c r="K28" s="41" t="s">
        <v>414</v>
      </c>
      <c r="U28" s="365" t="b">
        <f ca="1">AND(F28&gt;0,AB28&gt;0)</f>
        <v>0</v>
      </c>
      <c r="X28" s="528" t="s">
        <v>173</v>
      </c>
      <c r="Y28" s="1075"/>
      <c r="Z28" s="1065"/>
      <c r="AA28" s="493" t="s">
        <v>174</v>
      </c>
      <c r="AB28" s="26">
        <v>0</v>
      </c>
      <c r="AC28" s="205" t="str">
        <f>I28&amp;" :: "&amp;K28</f>
        <v>Наименование объекта :: адрес</v>
      </c>
      <c r="AD28" s="205"/>
      <c r="AE28" s="205"/>
      <c r="AF28" s="317"/>
      <c r="AG28" s="317"/>
      <c r="AH28" s="832"/>
      <c r="AK28" s="667" t="s">
        <v>415</v>
      </c>
      <c r="AL28" s="667" t="s">
        <v>416</v>
      </c>
      <c r="AM28" s="667" t="str" cm="1">
        <f t="array" ref="AM28">AC28</f>
        <v>Наименование объекта :: адрес</v>
      </c>
      <c r="AN28" s="667" cm="1">
        <f t="array" ref="AN28">AD28</f>
        <v>0</v>
      </c>
      <c r="AO28" s="667" cm="1">
        <f t="array" ref="AO28">AE28</f>
        <v>0</v>
      </c>
      <c r="AP28" s="667" cm="1">
        <f t="array" ref="AP28">AF28</f>
        <v>0</v>
      </c>
      <c r="AQ28" s="667" cm="1">
        <f t="array" ref="AQ28">AG28</f>
        <v>0</v>
      </c>
      <c r="AR28" s="460"/>
      <c r="AS28" s="460" t="b">
        <v>1</v>
      </c>
    </row>
    <row r="29" spans="1:45" s="57" customFormat="1" ht="10.7" hidden="1" customHeight="1">
      <c r="B29" s="62"/>
      <c r="E29" s="469">
        <v>11</v>
      </c>
      <c r="F29" s="57" cm="1">
        <f t="array" aca="1" ref="F29" ca="1">OFFSET(G29,-1,-1)</f>
        <v>0</v>
      </c>
      <c r="U29" s="365" t="b">
        <f ca="1">F29&gt;0</f>
        <v>0</v>
      </c>
      <c r="X29" s="528" t="s">
        <v>417</v>
      </c>
      <c r="Y29" s="1075"/>
      <c r="Z29" s="1065"/>
      <c r="AB29" s="108"/>
      <c r="AC29" s="111" t="s">
        <v>418</v>
      </c>
      <c r="AD29" s="109"/>
      <c r="AE29" s="109"/>
      <c r="AF29" s="109"/>
      <c r="AG29" s="109"/>
      <c r="AH29" s="120"/>
      <c r="AK29" s="665"/>
      <c r="AL29" s="665"/>
      <c r="AM29" s="665"/>
      <c r="AN29" s="665"/>
      <c r="AO29" s="665"/>
      <c r="AP29" s="665"/>
      <c r="AQ29" s="665"/>
      <c r="AR29" s="459" t="s">
        <v>416</v>
      </c>
      <c r="AS29" s="459"/>
    </row>
    <row r="30" spans="1:45" s="408" customFormat="1" ht="15" customHeight="1">
      <c r="A30" s="57"/>
      <c r="B30" s="62"/>
      <c r="C30" s="57"/>
      <c r="D30" s="57"/>
      <c r="E30" s="467" t="s">
        <v>336</v>
      </c>
      <c r="F30" s="57" t="str" cm="1">
        <f t="array" ref="F30">Y30</f>
        <v>1</v>
      </c>
      <c r="G30" s="57"/>
      <c r="H30" s="57"/>
      <c r="I30" s="57"/>
      <c r="J30" s="57"/>
      <c r="K30" s="57"/>
      <c r="L30" s="57"/>
      <c r="M30" s="57"/>
      <c r="N30" s="57"/>
      <c r="O30" s="57"/>
      <c r="P30" s="57"/>
      <c r="Q30" s="57"/>
      <c r="R30" s="57"/>
      <c r="S30" s="57"/>
      <c r="T30" s="57"/>
      <c r="U30" s="365" t="b">
        <f>Y30&gt;0</f>
        <v>1</v>
      </c>
      <c r="V30" s="57"/>
      <c r="W30" s="57" t="str" cm="1">
        <f t="array" ref="W30">'Перечень объектов'!$AC$39</f>
        <v>Тариф 1 (Водоснабжение) - тариф на питьевую воду (Доп. признак не требуется)</v>
      </c>
      <c r="X30" s="57"/>
      <c r="Y30" s="1075" t="s">
        <v>275</v>
      </c>
      <c r="Z30" s="1065"/>
      <c r="AA30" s="57"/>
      <c r="AB30" s="113" t="str" cm="1">
        <f t="array" ref="AB30">'Перечень объектов'!$AC$39</f>
        <v>Тариф 1 (Водоснабжение) - тариф на питьевую воду (Доп. признак не требуется)</v>
      </c>
      <c r="AC30" s="113"/>
      <c r="AD30" s="107"/>
      <c r="AE30" s="107"/>
      <c r="AF30" s="107"/>
      <c r="AG30" s="107"/>
      <c r="AH30" s="107"/>
      <c r="AI30" s="57"/>
      <c r="AJ30" s="57"/>
      <c r="AK30" s="665"/>
      <c r="AL30" s="665"/>
      <c r="AM30" s="665"/>
      <c r="AN30" s="665"/>
      <c r="AO30" s="665"/>
      <c r="AP30" s="665"/>
      <c r="AQ30" s="665"/>
      <c r="AR30" s="459"/>
      <c r="AS30" s="459"/>
    </row>
    <row r="31" spans="1:45" s="408" customFormat="1" ht="15" hidden="1" customHeight="1">
      <c r="A31" s="57"/>
      <c r="B31" s="62"/>
      <c r="C31" s="57"/>
      <c r="D31" s="57"/>
      <c r="E31" s="469">
        <v>0</v>
      </c>
      <c r="F31" s="57" t="str" cm="1">
        <f t="array" aca="1" ref="F31" ca="1">OFFSET(G31,-1,-1)</f>
        <v>1</v>
      </c>
      <c r="G31" s="57"/>
      <c r="H31" s="57"/>
      <c r="I31" s="57"/>
      <c r="J31" s="57"/>
      <c r="K31" s="57"/>
      <c r="L31" s="57"/>
      <c r="M31" s="57"/>
      <c r="N31" s="57"/>
      <c r="O31" s="57"/>
      <c r="P31" s="57"/>
      <c r="Q31" s="57"/>
      <c r="R31" s="57"/>
      <c r="S31" s="57"/>
      <c r="T31" s="57"/>
      <c r="U31" s="365" t="b">
        <v>0</v>
      </c>
      <c r="V31" s="57"/>
      <c r="W31" s="57"/>
      <c r="X31" s="57"/>
      <c r="Y31" s="1075"/>
      <c r="Z31" s="1065"/>
      <c r="AA31" s="57"/>
      <c r="AB31" s="113"/>
      <c r="AC31" s="113"/>
      <c r="AD31" s="107"/>
      <c r="AE31" s="107"/>
      <c r="AF31" s="107"/>
      <c r="AG31" s="107"/>
      <c r="AH31" s="107"/>
      <c r="AI31" s="57"/>
      <c r="AJ31" s="57"/>
      <c r="AK31" s="665"/>
      <c r="AL31" s="665"/>
      <c r="AM31" s="665"/>
      <c r="AN31" s="665"/>
      <c r="AO31" s="665"/>
      <c r="AP31" s="665"/>
      <c r="AQ31" s="665"/>
      <c r="AR31" s="459"/>
      <c r="AS31" s="459"/>
    </row>
    <row r="32" spans="1:45" s="41" customFormat="1" ht="14.25" hidden="1" customHeight="1">
      <c r="B32" s="62"/>
      <c r="E32" s="469">
        <v>15</v>
      </c>
      <c r="F32" s="41" t="str" cm="1">
        <f t="array" aca="1" ref="F32" ca="1">OFFSET(G32,-1,-1)</f>
        <v>1</v>
      </c>
      <c r="I32" s="41" t="s">
        <v>413</v>
      </c>
      <c r="K32" s="41" t="s">
        <v>414</v>
      </c>
      <c r="U32" s="365" t="b">
        <f ca="1">AND(F32&gt;0,AB32&gt;0)</f>
        <v>0</v>
      </c>
      <c r="X32" s="528" t="s">
        <v>173</v>
      </c>
      <c r="Y32" s="1075"/>
      <c r="Z32" s="1065"/>
      <c r="AA32" s="493" t="s">
        <v>174</v>
      </c>
      <c r="AB32" s="26">
        <v>0</v>
      </c>
      <c r="AC32" s="205" t="str">
        <f>I32&amp;" :: "&amp;K32</f>
        <v>Наименование объекта :: адрес</v>
      </c>
      <c r="AD32" s="205"/>
      <c r="AE32" s="205"/>
      <c r="AF32" s="317"/>
      <c r="AG32" s="317"/>
      <c r="AH32" s="832"/>
      <c r="AK32" s="667" t="s">
        <v>415</v>
      </c>
      <c r="AL32" s="667" t="s">
        <v>416</v>
      </c>
      <c r="AM32" s="667" t="str" cm="1">
        <f t="array" ref="AM32">AC32</f>
        <v>Наименование объекта :: адрес</v>
      </c>
      <c r="AN32" s="667" cm="1">
        <f t="array" ref="AN32">AD32</f>
        <v>0</v>
      </c>
      <c r="AO32" s="667" cm="1">
        <f t="array" ref="AO32">AE32</f>
        <v>0</v>
      </c>
      <c r="AP32" s="667" cm="1">
        <f t="array" ref="AP32">AF32</f>
        <v>0</v>
      </c>
      <c r="AQ32" s="667" cm="1">
        <f t="array" ref="AQ32">AG32</f>
        <v>0</v>
      </c>
      <c r="AR32" s="460"/>
      <c r="AS32" s="460" t="b">
        <v>1</v>
      </c>
    </row>
    <row r="33" spans="1:45" s="41" customFormat="1" ht="18.75" customHeight="1">
      <c r="B33" s="62"/>
      <c r="E33" s="469">
        <v>15</v>
      </c>
      <c r="F33" s="41" t="str" cm="1">
        <f t="array" aca="1" ref="F33" ca="1">OFFSET(G33,-1,-1)</f>
        <v>1</v>
      </c>
      <c r="I33" s="41" t="s">
        <v>419</v>
      </c>
      <c r="K33" s="41" t="s">
        <v>420</v>
      </c>
      <c r="U33" s="365" t="b">
        <f ca="1">AND(F33&gt;0,AB33&gt;0)</f>
        <v>1</v>
      </c>
      <c r="X33" s="528"/>
      <c r="Y33" s="1075"/>
      <c r="Z33" s="1065"/>
      <c r="AA33" s="493" t="s">
        <v>174</v>
      </c>
      <c r="AB33" s="26" t="s">
        <v>275</v>
      </c>
      <c r="AC33" s="205" t="str">
        <f>I33&amp;" :: "&amp;K33</f>
        <v>Малосалаирский водозабор :: г Гурьевск, км. Трасса Гурьевск-Малая Салаирка 5, 0</v>
      </c>
      <c r="AD33" s="205" t="s">
        <v>421</v>
      </c>
      <c r="AE33" s="205" t="s">
        <v>422</v>
      </c>
      <c r="AF33" s="317" t="s">
        <v>423</v>
      </c>
      <c r="AG33" s="317" t="s">
        <v>424</v>
      </c>
      <c r="AH33" s="122"/>
      <c r="AK33" s="667" t="s">
        <v>415</v>
      </c>
      <c r="AL33" s="667" t="s">
        <v>416</v>
      </c>
      <c r="AM33" s="667" t="str" cm="1">
        <f t="array" ref="AM33">AC33</f>
        <v>Малосалаирский водозабор :: г Гурьевск, км. Трасса Гурьевск-Малая Салаирка 5, 0</v>
      </c>
      <c r="AN33" s="667" t="str" cm="1">
        <f t="array" ref="AN33">AD33</f>
        <v>аренда</v>
      </c>
      <c r="AO33" s="667" t="str" cm="1">
        <f t="array" ref="AO33">AE33</f>
        <v>договор</v>
      </c>
      <c r="AP33" s="667" t="str" cm="1">
        <f t="array" ref="AP33">AF33</f>
        <v>87/1</v>
      </c>
      <c r="AQ33" s="667" t="str" cm="1">
        <f t="array" ref="AQ33">AG33</f>
        <v>20.05.2015</v>
      </c>
      <c r="AR33" s="460"/>
      <c r="AS33" s="460" t="b">
        <v>1</v>
      </c>
    </row>
    <row r="34" spans="1:45" s="41" customFormat="1" ht="18.75" customHeight="1">
      <c r="B34" s="62"/>
      <c r="E34" s="469">
        <v>15</v>
      </c>
      <c r="F34" s="41" t="str" cm="1">
        <f t="array" aca="1" ref="F34" ca="1">OFFSET(G34,-1,-1)</f>
        <v>1</v>
      </c>
      <c r="I34" s="41" t="s">
        <v>425</v>
      </c>
      <c r="K34" s="41" t="s">
        <v>426</v>
      </c>
      <c r="U34" s="365" t="b">
        <f ca="1">AND(F34&gt;0,AB34&gt;0)</f>
        <v>1</v>
      </c>
      <c r="X34" s="528"/>
      <c r="Y34" s="1075"/>
      <c r="Z34" s="1065"/>
      <c r="AA34" s="493" t="s">
        <v>174</v>
      </c>
      <c r="AB34" s="26" t="s">
        <v>285</v>
      </c>
      <c r="AC34" s="205" t="str">
        <f>I34&amp;" :: "&amp;K34</f>
        <v>скважина п.Лесной :: г Гурьевск, пер.Лесной, 2б</v>
      </c>
      <c r="AD34" s="205" t="s">
        <v>421</v>
      </c>
      <c r="AE34" s="205" t="s">
        <v>422</v>
      </c>
      <c r="AF34" s="317" t="s">
        <v>427</v>
      </c>
      <c r="AG34" s="317" t="s">
        <v>428</v>
      </c>
      <c r="AH34" s="122"/>
      <c r="AK34" s="667" t="s">
        <v>415</v>
      </c>
      <c r="AL34" s="667" t="s">
        <v>416</v>
      </c>
      <c r="AM34" s="667" t="str" cm="1">
        <f t="array" ref="AM34">AC34</f>
        <v>скважина п.Лесной :: г Гурьевск, пер.Лесной, 2б</v>
      </c>
      <c r="AN34" s="667" t="str" cm="1">
        <f t="array" ref="AN34">AD34</f>
        <v>аренда</v>
      </c>
      <c r="AO34" s="667" t="str" cm="1">
        <f t="array" ref="AO34">AE34</f>
        <v>договор</v>
      </c>
      <c r="AP34" s="667" t="str" cm="1">
        <f t="array" ref="AP34">AF34</f>
        <v>116</v>
      </c>
      <c r="AQ34" s="667" t="str" cm="1">
        <f t="array" ref="AQ34">AG34</f>
        <v>13.08.2018</v>
      </c>
      <c r="AR34" s="460"/>
      <c r="AS34" s="460" t="b">
        <v>1</v>
      </c>
    </row>
    <row r="35" spans="1:45" s="41" customFormat="1" ht="18.75" customHeight="1">
      <c r="B35" s="62"/>
      <c r="E35" s="469">
        <v>15</v>
      </c>
      <c r="F35" s="41" t="str" cm="1">
        <f t="array" aca="1" ref="F35" ca="1">OFFSET(G35,-1,-1)</f>
        <v>1</v>
      </c>
      <c r="I35" s="41" t="s">
        <v>429</v>
      </c>
      <c r="K35" s="41" t="s">
        <v>430</v>
      </c>
      <c r="U35" s="365" t="b">
        <f ca="1">AND(F35&gt;0,AB35&gt;0)</f>
        <v>1</v>
      </c>
      <c r="X35" s="528"/>
      <c r="Y35" s="1075"/>
      <c r="Z35" s="1065"/>
      <c r="AA35" s="493" t="s">
        <v>174</v>
      </c>
      <c r="AB35" s="26" t="s">
        <v>325</v>
      </c>
      <c r="AC35" s="205" t="str">
        <f>I35&amp;" :: "&amp;K35</f>
        <v>Горновский водозабор :: г Гурьевск, ул.Р.Люксембург, 64</v>
      </c>
      <c r="AD35" s="205" t="s">
        <v>421</v>
      </c>
      <c r="AE35" s="205" t="s">
        <v>422</v>
      </c>
      <c r="AF35" s="317" t="s">
        <v>423</v>
      </c>
      <c r="AG35" s="317" t="s">
        <v>424</v>
      </c>
      <c r="AH35" s="122"/>
      <c r="AK35" s="667" t="s">
        <v>415</v>
      </c>
      <c r="AL35" s="667" t="s">
        <v>416</v>
      </c>
      <c r="AM35" s="667" t="str" cm="1">
        <f t="array" ref="AM35">AC35</f>
        <v>Горновский водозабор :: г Гурьевск, ул.Р.Люксембург, 64</v>
      </c>
      <c r="AN35" s="667" t="str" cm="1">
        <f t="array" ref="AN35">AD35</f>
        <v>аренда</v>
      </c>
      <c r="AO35" s="667" t="str" cm="1">
        <f t="array" ref="AO35">AE35</f>
        <v>договор</v>
      </c>
      <c r="AP35" s="667" t="str" cm="1">
        <f t="array" ref="AP35">AF35</f>
        <v>87/1</v>
      </c>
      <c r="AQ35" s="667" t="str" cm="1">
        <f t="array" ref="AQ35">AG35</f>
        <v>20.05.2015</v>
      </c>
      <c r="AR35" s="460"/>
      <c r="AS35" s="460" t="b">
        <v>1</v>
      </c>
    </row>
    <row r="36" spans="1:45" s="41" customFormat="1" ht="18.75" customHeight="1">
      <c r="B36" s="62"/>
      <c r="E36" s="469">
        <v>15</v>
      </c>
      <c r="F36" s="41" t="str" cm="1">
        <f t="array" aca="1" ref="F36" ca="1">OFFSET(G36,-1,-1)</f>
        <v>1</v>
      </c>
      <c r="I36" s="41" t="s">
        <v>431</v>
      </c>
      <c r="K36" s="41" t="s">
        <v>432</v>
      </c>
      <c r="U36" s="365" t="b">
        <f ca="1">AND(F36&gt;0,AB36&gt;0)</f>
        <v>1</v>
      </c>
      <c r="X36" s="528"/>
      <c r="Y36" s="1075"/>
      <c r="Z36" s="1065"/>
      <c r="AA36" s="493" t="s">
        <v>174</v>
      </c>
      <c r="AB36" s="26" t="s">
        <v>433</v>
      </c>
      <c r="AC36" s="205" t="str">
        <f>I36&amp;" :: "&amp;K36</f>
        <v>Скважина ул.Энгельса :: г Гурьевск, ул.Энгельса, 171</v>
      </c>
      <c r="AD36" s="205" t="s">
        <v>421</v>
      </c>
      <c r="AE36" s="205" t="s">
        <v>422</v>
      </c>
      <c r="AF36" s="317" t="s">
        <v>423</v>
      </c>
      <c r="AG36" s="317" t="s">
        <v>424</v>
      </c>
      <c r="AH36" s="122"/>
      <c r="AK36" s="667" t="s">
        <v>415</v>
      </c>
      <c r="AL36" s="667" t="s">
        <v>416</v>
      </c>
      <c r="AM36" s="667" t="str" cm="1">
        <f t="array" ref="AM36">AC36</f>
        <v>Скважина ул.Энгельса :: г Гурьевск, ул.Энгельса, 171</v>
      </c>
      <c r="AN36" s="667" t="str" cm="1">
        <f t="array" ref="AN36">AD36</f>
        <v>аренда</v>
      </c>
      <c r="AO36" s="667" t="str" cm="1">
        <f t="array" ref="AO36">AE36</f>
        <v>договор</v>
      </c>
      <c r="AP36" s="667" t="str" cm="1">
        <f t="array" ref="AP36">AF36</f>
        <v>87/1</v>
      </c>
      <c r="AQ36" s="667" t="str" cm="1">
        <f t="array" ref="AQ36">AG36</f>
        <v>20.05.2015</v>
      </c>
      <c r="AR36" s="460"/>
      <c r="AS36" s="460" t="b">
        <v>1</v>
      </c>
    </row>
    <row r="37" spans="1:45" s="408" customFormat="1" ht="10.5" customHeight="1">
      <c r="A37" s="57"/>
      <c r="B37" s="62"/>
      <c r="C37" s="57"/>
      <c r="D37" s="57"/>
      <c r="E37" s="469">
        <v>11</v>
      </c>
      <c r="F37" s="57" t="str" cm="1">
        <f t="array" aca="1" ref="F37" ca="1">OFFSET(G37,-1,-1)</f>
        <v>1</v>
      </c>
      <c r="G37" s="57"/>
      <c r="H37" s="57"/>
      <c r="I37" s="57"/>
      <c r="J37" s="57"/>
      <c r="K37" s="57"/>
      <c r="L37" s="57"/>
      <c r="M37" s="57"/>
      <c r="N37" s="57"/>
      <c r="O37" s="57"/>
      <c r="P37" s="57"/>
      <c r="Q37" s="57"/>
      <c r="R37" s="57"/>
      <c r="S37" s="57"/>
      <c r="T37" s="57"/>
      <c r="U37" s="365" t="b">
        <f ca="1">F37&gt;0</f>
        <v>1</v>
      </c>
      <c r="V37" s="57"/>
      <c r="W37" s="57"/>
      <c r="X37" s="528" t="s">
        <v>417</v>
      </c>
      <c r="Y37" s="1075"/>
      <c r="Z37" s="1065"/>
      <c r="AA37" s="57"/>
      <c r="AB37" s="108"/>
      <c r="AC37" s="111" t="s">
        <v>418</v>
      </c>
      <c r="AD37" s="109"/>
      <c r="AE37" s="109"/>
      <c r="AF37" s="109"/>
      <c r="AG37" s="109"/>
      <c r="AH37" s="120"/>
      <c r="AI37" s="57"/>
      <c r="AJ37" s="57"/>
      <c r="AK37" s="665"/>
      <c r="AL37" s="665"/>
      <c r="AM37" s="665"/>
      <c r="AN37" s="665"/>
      <c r="AO37" s="665"/>
      <c r="AP37" s="665"/>
      <c r="AQ37" s="665"/>
      <c r="AR37" s="459" t="s">
        <v>416</v>
      </c>
      <c r="AS37" s="459"/>
    </row>
    <row r="38" spans="1:45" s="408" customFormat="1" ht="15" customHeight="1">
      <c r="A38" s="57"/>
      <c r="B38" s="62"/>
      <c r="C38" s="57"/>
      <c r="D38" s="57"/>
      <c r="E38" s="467" t="s">
        <v>336</v>
      </c>
      <c r="F38" s="57" t="str" cm="1">
        <f t="array" ref="F38">Y38</f>
        <v>2</v>
      </c>
      <c r="G38" s="57"/>
      <c r="H38" s="57"/>
      <c r="I38" s="57"/>
      <c r="J38" s="57"/>
      <c r="K38" s="57"/>
      <c r="L38" s="57"/>
      <c r="M38" s="57"/>
      <c r="N38" s="57"/>
      <c r="O38" s="57"/>
      <c r="P38" s="57"/>
      <c r="Q38" s="57"/>
      <c r="R38" s="57"/>
      <c r="S38" s="57"/>
      <c r="T38" s="57"/>
      <c r="U38" s="365" t="b">
        <f>Y38&gt;0</f>
        <v>1</v>
      </c>
      <c r="V38" s="57"/>
      <c r="W38" s="57" t="str" cm="1">
        <f t="array" ref="W38">'Перечень объектов'!$AC$51</f>
        <v>Тариф 2 (Водоотведение) - тариф на водоотведение (Доп. признак не требуется)</v>
      </c>
      <c r="X38" s="57"/>
      <c r="Y38" s="1075" t="s">
        <v>285</v>
      </c>
      <c r="Z38" s="1065"/>
      <c r="AA38" s="57"/>
      <c r="AB38" s="113" t="str" cm="1">
        <f t="array" ref="AB38">'Перечень объектов'!$AC$51</f>
        <v>Тариф 2 (Водоотведение) - тариф на водоотведение (Доп. признак не требуется)</v>
      </c>
      <c r="AC38" s="113"/>
      <c r="AD38" s="107"/>
      <c r="AE38" s="107"/>
      <c r="AF38" s="107"/>
      <c r="AG38" s="107"/>
      <c r="AH38" s="107"/>
      <c r="AI38" s="57"/>
      <c r="AJ38" s="57"/>
      <c r="AK38" s="665"/>
      <c r="AL38" s="665"/>
      <c r="AM38" s="665"/>
      <c r="AN38" s="665"/>
      <c r="AO38" s="665"/>
      <c r="AP38" s="665"/>
      <c r="AQ38" s="665"/>
      <c r="AR38" s="459"/>
      <c r="AS38" s="459"/>
    </row>
    <row r="39" spans="1:45" s="408" customFormat="1" ht="15" hidden="1" customHeight="1">
      <c r="A39" s="57"/>
      <c r="B39" s="62"/>
      <c r="C39" s="57"/>
      <c r="D39" s="57"/>
      <c r="E39" s="469">
        <v>0</v>
      </c>
      <c r="F39" s="57" t="str" cm="1">
        <f t="array" aca="1" ref="F39" ca="1">OFFSET(G39,-1,-1)</f>
        <v>2</v>
      </c>
      <c r="G39" s="57"/>
      <c r="H39" s="57"/>
      <c r="I39" s="57"/>
      <c r="J39" s="57"/>
      <c r="K39" s="57"/>
      <c r="L39" s="57"/>
      <c r="M39" s="57"/>
      <c r="N39" s="57"/>
      <c r="O39" s="57"/>
      <c r="P39" s="57"/>
      <c r="Q39" s="57"/>
      <c r="R39" s="57"/>
      <c r="S39" s="57"/>
      <c r="T39" s="57"/>
      <c r="U39" s="365" t="b">
        <v>0</v>
      </c>
      <c r="V39" s="57"/>
      <c r="W39" s="57"/>
      <c r="X39" s="57"/>
      <c r="Y39" s="1075"/>
      <c r="Z39" s="1065"/>
      <c r="AA39" s="57"/>
      <c r="AB39" s="113"/>
      <c r="AC39" s="113"/>
      <c r="AD39" s="107"/>
      <c r="AE39" s="107"/>
      <c r="AF39" s="107"/>
      <c r="AG39" s="107"/>
      <c r="AH39" s="107"/>
      <c r="AI39" s="57"/>
      <c r="AJ39" s="57"/>
      <c r="AK39" s="665"/>
      <c r="AL39" s="665"/>
      <c r="AM39" s="665"/>
      <c r="AN39" s="665"/>
      <c r="AO39" s="665"/>
      <c r="AP39" s="665"/>
      <c r="AQ39" s="665"/>
      <c r="AR39" s="459"/>
      <c r="AS39" s="459"/>
    </row>
    <row r="40" spans="1:45" s="41" customFormat="1" ht="14.25" hidden="1" customHeight="1">
      <c r="B40" s="62"/>
      <c r="E40" s="469">
        <v>15</v>
      </c>
      <c r="F40" s="41" t="str" cm="1">
        <f t="array" aca="1" ref="F40" ca="1">OFFSET(G40,-1,-1)</f>
        <v>2</v>
      </c>
      <c r="I40" s="41" t="s">
        <v>413</v>
      </c>
      <c r="K40" s="41" t="s">
        <v>414</v>
      </c>
      <c r="U40" s="365" t="b">
        <f t="shared" ref="U40:U46" ca="1" si="0">AND(F40&gt;0,AB40&gt;0)</f>
        <v>0</v>
      </c>
      <c r="X40" s="528" t="s">
        <v>173</v>
      </c>
      <c r="Y40" s="1075"/>
      <c r="Z40" s="1065"/>
      <c r="AA40" s="493" t="s">
        <v>174</v>
      </c>
      <c r="AB40" s="26">
        <v>0</v>
      </c>
      <c r="AC40" s="205" t="str">
        <f t="shared" ref="AC40:AC46" si="1">I40&amp;" :: "&amp;K40</f>
        <v>Наименование объекта :: адрес</v>
      </c>
      <c r="AD40" s="205"/>
      <c r="AE40" s="205"/>
      <c r="AF40" s="317"/>
      <c r="AG40" s="317"/>
      <c r="AH40" s="832"/>
      <c r="AK40" s="667" t="s">
        <v>415</v>
      </c>
      <c r="AL40" s="667" t="s">
        <v>416</v>
      </c>
      <c r="AM40" s="667" t="str" cm="1">
        <f t="array" ref="AM40">AC40</f>
        <v>Наименование объекта :: адрес</v>
      </c>
      <c r="AN40" s="667" cm="1">
        <f t="array" ref="AN40">AD40</f>
        <v>0</v>
      </c>
      <c r="AO40" s="667" cm="1">
        <f t="array" ref="AO40">AE40</f>
        <v>0</v>
      </c>
      <c r="AP40" s="667" cm="1">
        <f t="array" ref="AP40">AF40</f>
        <v>0</v>
      </c>
      <c r="AQ40" s="667" cm="1">
        <f t="array" ref="AQ40">AG40</f>
        <v>0</v>
      </c>
      <c r="AR40" s="460"/>
      <c r="AS40" s="460" t="b">
        <v>1</v>
      </c>
    </row>
    <row r="41" spans="1:45" s="41" customFormat="1" ht="18.75" customHeight="1">
      <c r="B41" s="62"/>
      <c r="E41" s="469">
        <v>15</v>
      </c>
      <c r="F41" s="41" t="str" cm="1">
        <f t="array" aca="1" ref="F41" ca="1">OFFSET(G41,-1,-1)</f>
        <v>2</v>
      </c>
      <c r="I41" s="41" t="s">
        <v>434</v>
      </c>
      <c r="K41" s="41" t="s">
        <v>435</v>
      </c>
      <c r="U41" s="365" t="b">
        <f t="shared" ca="1" si="0"/>
        <v>1</v>
      </c>
      <c r="X41" s="528"/>
      <c r="Y41" s="1075"/>
      <c r="Z41" s="1065"/>
      <c r="AA41" s="493" t="s">
        <v>174</v>
      </c>
      <c r="AB41" s="26" t="s">
        <v>275</v>
      </c>
      <c r="AC41" s="205" t="str">
        <f t="shared" si="1"/>
        <v>Очистные сооружения :: г Гурьевск, ул.Вокзальная, 1</v>
      </c>
      <c r="AD41" s="205" t="s">
        <v>421</v>
      </c>
      <c r="AE41" s="205" t="s">
        <v>422</v>
      </c>
      <c r="AF41" s="317" t="s">
        <v>423</v>
      </c>
      <c r="AG41" s="317" t="s">
        <v>424</v>
      </c>
      <c r="AH41" s="122"/>
      <c r="AK41" s="667" t="s">
        <v>415</v>
      </c>
      <c r="AL41" s="667" t="s">
        <v>416</v>
      </c>
      <c r="AM41" s="667" t="str" cm="1">
        <f t="array" ref="AM41">AC41</f>
        <v>Очистные сооружения :: г Гурьевск, ул.Вокзальная, 1</v>
      </c>
      <c r="AN41" s="667" t="str" cm="1">
        <f t="array" ref="AN41">AD41</f>
        <v>аренда</v>
      </c>
      <c r="AO41" s="667" t="str" cm="1">
        <f t="array" ref="AO41">AE41</f>
        <v>договор</v>
      </c>
      <c r="AP41" s="667" t="str" cm="1">
        <f t="array" ref="AP41">AF41</f>
        <v>87/1</v>
      </c>
      <c r="AQ41" s="667" t="str" cm="1">
        <f t="array" ref="AQ41">AG41</f>
        <v>20.05.2015</v>
      </c>
      <c r="AR41" s="460"/>
      <c r="AS41" s="460" t="b">
        <v>1</v>
      </c>
    </row>
    <row r="42" spans="1:45" s="41" customFormat="1" ht="18.75" customHeight="1">
      <c r="B42" s="62"/>
      <c r="E42" s="469">
        <v>15</v>
      </c>
      <c r="F42" s="41" t="str" cm="1">
        <f t="array" aca="1" ref="F42" ca="1">OFFSET(G42,-1,-1)</f>
        <v>2</v>
      </c>
      <c r="I42" s="41" t="s">
        <v>436</v>
      </c>
      <c r="K42" s="41" t="s">
        <v>437</v>
      </c>
      <c r="U42" s="365" t="b">
        <f t="shared" ca="1" si="0"/>
        <v>1</v>
      </c>
      <c r="X42" s="528"/>
      <c r="Y42" s="1075"/>
      <c r="Z42" s="1065"/>
      <c r="AA42" s="493" t="s">
        <v>174</v>
      </c>
      <c r="AB42" s="26" t="s">
        <v>285</v>
      </c>
      <c r="AC42" s="205" t="str">
        <f t="shared" si="1"/>
        <v>КНС №5 :: г Гурьевск, ул.Есенина, б/н</v>
      </c>
      <c r="AD42" s="205" t="s">
        <v>421</v>
      </c>
      <c r="AE42" s="205" t="s">
        <v>422</v>
      </c>
      <c r="AF42" s="317" t="s">
        <v>423</v>
      </c>
      <c r="AG42" s="317" t="s">
        <v>424</v>
      </c>
      <c r="AH42" s="122"/>
      <c r="AK42" s="667" t="s">
        <v>415</v>
      </c>
      <c r="AL42" s="667" t="s">
        <v>416</v>
      </c>
      <c r="AM42" s="667" t="str" cm="1">
        <f t="array" ref="AM42">AC42</f>
        <v>КНС №5 :: г Гурьевск, ул.Есенина, б/н</v>
      </c>
      <c r="AN42" s="667" t="str" cm="1">
        <f t="array" ref="AN42">AD42</f>
        <v>аренда</v>
      </c>
      <c r="AO42" s="667" t="str" cm="1">
        <f t="array" ref="AO42">AE42</f>
        <v>договор</v>
      </c>
      <c r="AP42" s="667" t="str" cm="1">
        <f t="array" ref="AP42">AF42</f>
        <v>87/1</v>
      </c>
      <c r="AQ42" s="667" t="str" cm="1">
        <f t="array" ref="AQ42">AG42</f>
        <v>20.05.2015</v>
      </c>
      <c r="AR42" s="460"/>
      <c r="AS42" s="460" t="b">
        <v>1</v>
      </c>
    </row>
    <row r="43" spans="1:45" s="41" customFormat="1" ht="18.75" customHeight="1">
      <c r="B43" s="62"/>
      <c r="E43" s="469">
        <v>15</v>
      </c>
      <c r="F43" s="41" t="str" cm="1">
        <f t="array" aca="1" ref="F43" ca="1">OFFSET(G43,-1,-1)</f>
        <v>2</v>
      </c>
      <c r="I43" s="41" t="s">
        <v>438</v>
      </c>
      <c r="K43" s="41" t="s">
        <v>439</v>
      </c>
      <c r="U43" s="365" t="b">
        <f t="shared" ca="1" si="0"/>
        <v>1</v>
      </c>
      <c r="X43" s="528"/>
      <c r="Y43" s="1075"/>
      <c r="Z43" s="1065"/>
      <c r="AA43" s="493" t="s">
        <v>174</v>
      </c>
      <c r="AB43" s="26" t="s">
        <v>325</v>
      </c>
      <c r="AC43" s="205" t="str">
        <f t="shared" si="1"/>
        <v>КНС 1 :: г Гурьевск, ул.Кирова, 36а</v>
      </c>
      <c r="AD43" s="205" t="s">
        <v>421</v>
      </c>
      <c r="AE43" s="205" t="s">
        <v>422</v>
      </c>
      <c r="AF43" s="317" t="s">
        <v>423</v>
      </c>
      <c r="AG43" s="317" t="s">
        <v>424</v>
      </c>
      <c r="AH43" s="122"/>
      <c r="AK43" s="667" t="s">
        <v>415</v>
      </c>
      <c r="AL43" s="667" t="s">
        <v>416</v>
      </c>
      <c r="AM43" s="667" t="str" cm="1">
        <f t="array" ref="AM43">AC43</f>
        <v>КНС 1 :: г Гурьевск, ул.Кирова, 36а</v>
      </c>
      <c r="AN43" s="667" t="str" cm="1">
        <f t="array" ref="AN43">AD43</f>
        <v>аренда</v>
      </c>
      <c r="AO43" s="667" t="str" cm="1">
        <f t="array" ref="AO43">AE43</f>
        <v>договор</v>
      </c>
      <c r="AP43" s="667" t="str" cm="1">
        <f t="array" ref="AP43">AF43</f>
        <v>87/1</v>
      </c>
      <c r="AQ43" s="667" t="str" cm="1">
        <f t="array" ref="AQ43">AG43</f>
        <v>20.05.2015</v>
      </c>
      <c r="AR43" s="460"/>
      <c r="AS43" s="460" t="b">
        <v>1</v>
      </c>
    </row>
    <row r="44" spans="1:45" s="41" customFormat="1" ht="18.75" customHeight="1">
      <c r="B44" s="62"/>
      <c r="E44" s="469">
        <v>15</v>
      </c>
      <c r="F44" s="41" t="str" cm="1">
        <f t="array" aca="1" ref="F44" ca="1">OFFSET(G44,-1,-1)</f>
        <v>2</v>
      </c>
      <c r="I44" s="41" t="s">
        <v>440</v>
      </c>
      <c r="K44" s="41" t="s">
        <v>441</v>
      </c>
      <c r="U44" s="365" t="b">
        <f t="shared" ca="1" si="0"/>
        <v>1</v>
      </c>
      <c r="X44" s="528"/>
      <c r="Y44" s="1075"/>
      <c r="Z44" s="1065"/>
      <c r="AA44" s="493" t="s">
        <v>174</v>
      </c>
      <c r="AB44" s="26" t="s">
        <v>433</v>
      </c>
      <c r="AC44" s="205" t="str">
        <f t="shared" si="1"/>
        <v>КНС 4 :: г Гурьевск, ул.Ленина, 102а</v>
      </c>
      <c r="AD44" s="205" t="s">
        <v>421</v>
      </c>
      <c r="AE44" s="205" t="s">
        <v>422</v>
      </c>
      <c r="AF44" s="317" t="s">
        <v>423</v>
      </c>
      <c r="AG44" s="317" t="s">
        <v>424</v>
      </c>
      <c r="AH44" s="122"/>
      <c r="AK44" s="667" t="s">
        <v>415</v>
      </c>
      <c r="AL44" s="667" t="s">
        <v>416</v>
      </c>
      <c r="AM44" s="667" t="str" cm="1">
        <f t="array" ref="AM44">AC44</f>
        <v>КНС 4 :: г Гурьевск, ул.Ленина, 102а</v>
      </c>
      <c r="AN44" s="667" t="str" cm="1">
        <f t="array" ref="AN44">AD44</f>
        <v>аренда</v>
      </c>
      <c r="AO44" s="667" t="str" cm="1">
        <f t="array" ref="AO44">AE44</f>
        <v>договор</v>
      </c>
      <c r="AP44" s="667" t="str" cm="1">
        <f t="array" ref="AP44">AF44</f>
        <v>87/1</v>
      </c>
      <c r="AQ44" s="667" t="str" cm="1">
        <f t="array" ref="AQ44">AG44</f>
        <v>20.05.2015</v>
      </c>
      <c r="AR44" s="460"/>
      <c r="AS44" s="460" t="b">
        <v>1</v>
      </c>
    </row>
    <row r="45" spans="1:45" s="41" customFormat="1" ht="18.75" customHeight="1">
      <c r="B45" s="62"/>
      <c r="E45" s="469">
        <v>15</v>
      </c>
      <c r="F45" s="41" t="str" cm="1">
        <f t="array" aca="1" ref="F45" ca="1">OFFSET(G45,-1,-1)</f>
        <v>2</v>
      </c>
      <c r="I45" s="41" t="s">
        <v>442</v>
      </c>
      <c r="K45" s="41" t="s">
        <v>443</v>
      </c>
      <c r="U45" s="365" t="b">
        <f t="shared" ca="1" si="0"/>
        <v>1</v>
      </c>
      <c r="X45" s="528"/>
      <c r="Y45" s="1075"/>
      <c r="Z45" s="1065"/>
      <c r="AA45" s="493" t="s">
        <v>174</v>
      </c>
      <c r="AB45" s="26" t="s">
        <v>444</v>
      </c>
      <c r="AC45" s="205" t="str">
        <f t="shared" si="1"/>
        <v>КНС 2 :: г Гурьевск, ул.Ленина, 54а</v>
      </c>
      <c r="AD45" s="205" t="s">
        <v>421</v>
      </c>
      <c r="AE45" s="205" t="s">
        <v>422</v>
      </c>
      <c r="AF45" s="317" t="s">
        <v>423</v>
      </c>
      <c r="AG45" s="317" t="s">
        <v>424</v>
      </c>
      <c r="AH45" s="122"/>
      <c r="AK45" s="667" t="s">
        <v>415</v>
      </c>
      <c r="AL45" s="667" t="s">
        <v>416</v>
      </c>
      <c r="AM45" s="667" t="str" cm="1">
        <f t="array" ref="AM45">AC45</f>
        <v>КНС 2 :: г Гурьевск, ул.Ленина, 54а</v>
      </c>
      <c r="AN45" s="667" t="str" cm="1">
        <f t="array" ref="AN45">AD45</f>
        <v>аренда</v>
      </c>
      <c r="AO45" s="667" t="str" cm="1">
        <f t="array" ref="AO45">AE45</f>
        <v>договор</v>
      </c>
      <c r="AP45" s="667" t="str" cm="1">
        <f t="array" ref="AP45">AF45</f>
        <v>87/1</v>
      </c>
      <c r="AQ45" s="667" t="str" cm="1">
        <f t="array" ref="AQ45">AG45</f>
        <v>20.05.2015</v>
      </c>
      <c r="AR45" s="460"/>
      <c r="AS45" s="460" t="b">
        <v>1</v>
      </c>
    </row>
    <row r="46" spans="1:45" s="41" customFormat="1" ht="18.75" customHeight="1">
      <c r="B46" s="62"/>
      <c r="E46" s="469">
        <v>15</v>
      </c>
      <c r="F46" s="41" t="str" cm="1">
        <f t="array" aca="1" ref="F46" ca="1">OFFSET(G46,-1,-1)</f>
        <v>2</v>
      </c>
      <c r="I46" s="41" t="s">
        <v>445</v>
      </c>
      <c r="K46" s="41" t="s">
        <v>446</v>
      </c>
      <c r="U46" s="365" t="b">
        <f t="shared" ca="1" si="0"/>
        <v>1</v>
      </c>
      <c r="X46" s="528"/>
      <c r="Y46" s="1075"/>
      <c r="Z46" s="1065"/>
      <c r="AA46" s="493" t="s">
        <v>174</v>
      </c>
      <c r="AB46" s="26" t="s">
        <v>447</v>
      </c>
      <c r="AC46" s="205" t="str">
        <f t="shared" si="1"/>
        <v>КНС 3 :: г Гурьевск, ул.Ленина, 70б</v>
      </c>
      <c r="AD46" s="205" t="s">
        <v>421</v>
      </c>
      <c r="AE46" s="205" t="s">
        <v>422</v>
      </c>
      <c r="AF46" s="317" t="s">
        <v>423</v>
      </c>
      <c r="AG46" s="317" t="s">
        <v>424</v>
      </c>
      <c r="AH46" s="122"/>
      <c r="AK46" s="667" t="s">
        <v>415</v>
      </c>
      <c r="AL46" s="667" t="s">
        <v>416</v>
      </c>
      <c r="AM46" s="667" t="str" cm="1">
        <f t="array" ref="AM46">AC46</f>
        <v>КНС 3 :: г Гурьевск, ул.Ленина, 70б</v>
      </c>
      <c r="AN46" s="667" t="str" cm="1">
        <f t="array" ref="AN46">AD46</f>
        <v>аренда</v>
      </c>
      <c r="AO46" s="667" t="str" cm="1">
        <f t="array" ref="AO46">AE46</f>
        <v>договор</v>
      </c>
      <c r="AP46" s="667" t="str" cm="1">
        <f t="array" ref="AP46">AF46</f>
        <v>87/1</v>
      </c>
      <c r="AQ46" s="667" t="str" cm="1">
        <f t="array" ref="AQ46">AG46</f>
        <v>20.05.2015</v>
      </c>
      <c r="AR46" s="460"/>
      <c r="AS46" s="460" t="b">
        <v>1</v>
      </c>
    </row>
    <row r="47" spans="1:45" s="408" customFormat="1" ht="10.5" customHeight="1">
      <c r="A47" s="57"/>
      <c r="B47" s="62"/>
      <c r="C47" s="57"/>
      <c r="D47" s="57"/>
      <c r="E47" s="469">
        <v>11</v>
      </c>
      <c r="F47" s="57" t="str" cm="1">
        <f t="array" aca="1" ref="F47" ca="1">OFFSET(G47,-1,-1)</f>
        <v>2</v>
      </c>
      <c r="G47" s="57"/>
      <c r="H47" s="57"/>
      <c r="I47" s="57"/>
      <c r="J47" s="57"/>
      <c r="K47" s="57"/>
      <c r="L47" s="57"/>
      <c r="M47" s="57"/>
      <c r="N47" s="57"/>
      <c r="O47" s="57"/>
      <c r="P47" s="57"/>
      <c r="Q47" s="57"/>
      <c r="R47" s="57"/>
      <c r="S47" s="57"/>
      <c r="T47" s="57"/>
      <c r="U47" s="365" t="b">
        <f ca="1">F47&gt;0</f>
        <v>1</v>
      </c>
      <c r="V47" s="57"/>
      <c r="W47" s="57"/>
      <c r="X47" s="528" t="s">
        <v>417</v>
      </c>
      <c r="Y47" s="1075"/>
      <c r="Z47" s="1065"/>
      <c r="AA47" s="57"/>
      <c r="AB47" s="108"/>
      <c r="AC47" s="111" t="s">
        <v>418</v>
      </c>
      <c r="AD47" s="109"/>
      <c r="AE47" s="109"/>
      <c r="AF47" s="109"/>
      <c r="AG47" s="109"/>
      <c r="AH47" s="120"/>
      <c r="AI47" s="57"/>
      <c r="AJ47" s="57"/>
      <c r="AK47" s="665"/>
      <c r="AL47" s="665"/>
      <c r="AM47" s="665"/>
      <c r="AN47" s="665"/>
      <c r="AO47" s="665"/>
      <c r="AP47" s="665"/>
      <c r="AQ47" s="665"/>
      <c r="AR47" s="459" t="s">
        <v>416</v>
      </c>
      <c r="AS47" s="459"/>
    </row>
    <row r="48" spans="1:45" ht="10.7" customHeight="1">
      <c r="A48" s="327"/>
      <c r="B48" s="327"/>
      <c r="C48" s="327"/>
      <c r="D48" s="327"/>
      <c r="E48" s="469">
        <v>11</v>
      </c>
      <c r="F48" s="327"/>
      <c r="G48" s="327"/>
      <c r="H48" s="327"/>
      <c r="I48" s="327"/>
      <c r="J48" s="327"/>
      <c r="K48" s="327"/>
      <c r="L48" s="327"/>
      <c r="M48" s="327"/>
      <c r="N48" s="327"/>
      <c r="O48" s="327"/>
      <c r="P48" s="327"/>
      <c r="Q48" s="327"/>
      <c r="R48" s="327"/>
      <c r="V48" s="57" t="s">
        <v>177</v>
      </c>
      <c r="W48" s="75" t="s">
        <v>448</v>
      </c>
      <c r="AA48" s="327"/>
      <c r="AI48" s="327"/>
      <c r="AJ48" s="327"/>
      <c r="AK48" s="664"/>
      <c r="AL48" s="664"/>
      <c r="AM48" s="664"/>
      <c r="AN48" s="664"/>
      <c r="AO48" s="664"/>
      <c r="AP48" s="664"/>
      <c r="AQ48" s="664"/>
      <c r="AR48" s="491"/>
      <c r="AS48" s="465"/>
    </row>
    <row r="49" spans="1:45" ht="11.25" hidden="1" customHeight="1">
      <c r="A49" s="327"/>
      <c r="B49" s="490"/>
      <c r="C49" s="327"/>
      <c r="D49" s="327"/>
      <c r="E49" s="469"/>
      <c r="F49" s="327"/>
      <c r="G49" s="327"/>
      <c r="H49" s="327"/>
      <c r="I49" s="327"/>
      <c r="J49" s="327"/>
      <c r="K49" s="327"/>
      <c r="L49" s="327"/>
      <c r="M49" s="327"/>
      <c r="N49" s="327"/>
      <c r="O49" s="327"/>
      <c r="P49" s="327"/>
      <c r="Q49" s="327"/>
      <c r="R49" s="327"/>
      <c r="AA49" s="327"/>
      <c r="AB49"/>
      <c r="AC49" s="37"/>
      <c r="AD49" s="37"/>
      <c r="AE49" s="37"/>
      <c r="AF49" s="37"/>
      <c r="AG49"/>
      <c r="AH49"/>
      <c r="AI49" s="327"/>
      <c r="AJ49" s="327"/>
      <c r="AK49" s="664"/>
      <c r="AL49" s="664"/>
      <c r="AM49" s="664"/>
      <c r="AN49" s="664"/>
      <c r="AO49" s="664"/>
      <c r="AP49" s="666"/>
      <c r="AQ49" s="664"/>
      <c r="AR49" s="491"/>
      <c r="AS49" s="465"/>
    </row>
    <row r="50" spans="1:45" ht="11.25" hidden="1" customHeight="1">
      <c r="E50" s="469"/>
    </row>
    <row r="51" spans="1:45" ht="11.25" hidden="1" customHeight="1">
      <c r="E51" s="469"/>
    </row>
    <row r="52" spans="1:45" ht="11.25" hidden="1" customHeight="1">
      <c r="E52" s="469"/>
    </row>
    <row r="53" spans="1:45" ht="11.25" hidden="1" customHeight="1">
      <c r="E53" s="469"/>
    </row>
    <row r="54" spans="1:45" ht="11.25" hidden="1" customHeight="1">
      <c r="E54" s="475"/>
    </row>
    <row r="55" spans="1:45" ht="11.25" hidden="1" customHeight="1">
      <c r="E55" s="469"/>
    </row>
    <row r="56" spans="1:45" ht="11.25" hidden="1" customHeight="1">
      <c r="E56" s="469"/>
    </row>
    <row r="57" spans="1:45" ht="11.25" hidden="1" customHeight="1">
      <c r="E57" s="469"/>
    </row>
    <row r="58" spans="1:45" ht="11.25" hidden="1" customHeight="1">
      <c r="E58" s="472"/>
    </row>
    <row r="59" spans="1:45" ht="11.25" hidden="1" customHeight="1">
      <c r="E59" s="472"/>
    </row>
    <row r="60" spans="1:45" ht="11.25" hidden="1" customHeight="1">
      <c r="E60" s="472"/>
    </row>
    <row r="61" spans="1:45" ht="11.25" hidden="1" customHeight="1">
      <c r="E61" s="472"/>
    </row>
  </sheetData>
  <sheetProtection formatColumns="0" formatRows="0" insertRows="0" deleteColumns="0" deleteRows="0" sort="0" autoFilter="0"/>
  <mergeCells count="8">
    <mergeCell ref="Y38:Y47"/>
    <mergeCell ref="Z38:Z47"/>
    <mergeCell ref="AB22:AH22"/>
    <mergeCell ref="AF23:AG23"/>
    <mergeCell ref="Y26:Y29"/>
    <mergeCell ref="Z26:Z29"/>
    <mergeCell ref="Y30:Y37"/>
    <mergeCell ref="Z30:Z37"/>
  </mergeCells>
  <dataValidations count="1">
    <dataValidation type="list" showDropDown="1" errorTitle="Ошибка" error="Выберите значение из списка" prompt="Выберите значение из списка" sqref="AD29 AD37 AD47"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29E78-B485-2F68-AC18-76480B1CA658}">
  <sheetPr>
    <tabColor theme="3" tint="0.59999389629810485"/>
    <outlinePr summaryBelow="0" summaryRight="0"/>
    <pageSetUpPr fitToPage="1"/>
  </sheetPr>
  <dimension ref="A1:BM109"/>
  <sheetViews>
    <sheetView showGridLines="0" workbookViewId="0">
      <pane xSplit="30" ySplit="26" topLeftCell="AE55" activePane="bottomRight" state="frozen"/>
      <selection pane="topRight" activeCell="AE1" sqref="AE1"/>
      <selection pane="bottomLeft" activeCell="A27" sqref="A27"/>
      <selection pane="bottomRight" activeCell="AJ58" sqref="AJ58"/>
    </sheetView>
  </sheetViews>
  <sheetFormatPr defaultColWidth="9.140625" defaultRowHeight="11.25" customHeight="1"/>
  <cols>
    <col min="1" max="1" width="3.5703125" style="57" hidden="1" customWidth="1"/>
    <col min="2" max="2" width="8.7109375" style="62" hidden="1" customWidth="1"/>
    <col min="3" max="4" width="3.5703125" style="57" hidden="1" customWidth="1"/>
    <col min="5" max="5" width="3.5703125" style="459" hidden="1" customWidth="1"/>
    <col min="6" max="6" width="8.5703125" style="288" hidden="1" customWidth="1"/>
    <col min="7" max="7" width="7.5703125" style="57" hidden="1" customWidth="1"/>
    <col min="8" max="20" width="3.5703125" style="57" hidden="1" customWidth="1"/>
    <col min="21" max="21" width="8.5703125" style="57" hidden="1" customWidth="1"/>
    <col min="22" max="26" width="6" style="57" hidden="1" customWidth="1"/>
    <col min="27" max="27" width="3" style="57" customWidth="1"/>
    <col min="28" max="28" width="11" style="41" customWidth="1"/>
    <col min="29" max="29" width="33.42578125" style="75" customWidth="1"/>
    <col min="30" max="30" width="15" style="57" customWidth="1"/>
    <col min="31" max="37" width="11.28515625" style="57" customWidth="1"/>
    <col min="38" max="39" width="15" style="57" customWidth="1"/>
    <col min="40" max="40" width="42.28515625" style="57" customWidth="1"/>
    <col min="41" max="58" width="15" style="57" hidden="1" customWidth="1"/>
    <col min="59" max="59" width="3" style="57" customWidth="1"/>
    <col min="60" max="60" width="9.140625" style="57" hidden="1"/>
    <col min="61" max="63" width="9.140625" style="665" hidden="1"/>
    <col min="64" max="65" width="9.140625" style="459" hidden="1"/>
  </cols>
  <sheetData>
    <row r="1" spans="1:65" ht="11.25" hidden="1" customHeight="1">
      <c r="E1" s="57"/>
      <c r="F1" s="288" t="s">
        <v>315</v>
      </c>
      <c r="H1" s="57" t="s">
        <v>326</v>
      </c>
      <c r="U1" s="365" t="s">
        <v>93</v>
      </c>
      <c r="V1" s="365" t="s">
        <v>98</v>
      </c>
      <c r="W1" s="365" t="s">
        <v>94</v>
      </c>
      <c r="X1" s="365" t="s">
        <v>95</v>
      </c>
      <c r="Y1" s="365" t="s">
        <v>96</v>
      </c>
      <c r="Z1" s="365" t="s">
        <v>100</v>
      </c>
      <c r="AA1" s="365" t="s">
        <v>97</v>
      </c>
      <c r="AB1" s="365" t="s">
        <v>317</v>
      </c>
      <c r="AC1" s="365" t="s">
        <v>99</v>
      </c>
      <c r="BI1" s="665" t="s">
        <v>318</v>
      </c>
      <c r="BJ1" s="665" t="s">
        <v>319</v>
      </c>
      <c r="BK1" s="665" t="s">
        <v>320</v>
      </c>
      <c r="BL1" s="459" t="s">
        <v>323</v>
      </c>
      <c r="BM1" s="459" t="s">
        <v>324</v>
      </c>
    </row>
    <row r="2" spans="1:65" s="62" customFormat="1" ht="11.25" hidden="1" customHeight="1">
      <c r="B2" s="354" t="s">
        <v>19</v>
      </c>
      <c r="F2" s="546"/>
      <c r="AC2" s="351"/>
      <c r="AF2" s="62" t="b" cm="1">
        <f t="array" ref="AF2">isOrgDeclare</f>
        <v>1</v>
      </c>
      <c r="AJ2" s="62" t="b" cm="1">
        <f t="array" ref="AJ2">isOrgDeclare</f>
        <v>1</v>
      </c>
      <c r="AM2" s="62" t="b" cm="1">
        <f t="array" ref="AM2">isOrgDeclare</f>
        <v>1</v>
      </c>
      <c r="AO2" s="354" t="b">
        <f t="shared" ref="AO2:AW2" si="0">AND(AO6&lt;=last_year_vis,isOrgDeclare)</f>
        <v>0</v>
      </c>
      <c r="AP2" s="354" t="b">
        <f t="shared" si="0"/>
        <v>0</v>
      </c>
      <c r="AQ2" s="354" t="b">
        <f t="shared" si="0"/>
        <v>0</v>
      </c>
      <c r="AR2" s="354" t="b">
        <f t="shared" si="0"/>
        <v>0</v>
      </c>
      <c r="AS2" s="354" t="b">
        <f t="shared" si="0"/>
        <v>0</v>
      </c>
      <c r="AT2" s="354" t="b">
        <f t="shared" si="0"/>
        <v>0</v>
      </c>
      <c r="AU2" s="354" t="b">
        <f t="shared" si="0"/>
        <v>0</v>
      </c>
      <c r="AV2" s="354" t="b">
        <f t="shared" si="0"/>
        <v>0</v>
      </c>
      <c r="AW2" s="354" t="b">
        <f t="shared" si="0"/>
        <v>0</v>
      </c>
      <c r="AX2" s="354" t="b">
        <f t="shared" ref="AX2:BF2" si="1">AX6&lt;=last_year_vis</f>
        <v>0</v>
      </c>
      <c r="AY2" s="354" t="b">
        <f t="shared" si="1"/>
        <v>0</v>
      </c>
      <c r="AZ2" s="354" t="b">
        <f t="shared" si="1"/>
        <v>0</v>
      </c>
      <c r="BA2" s="354" t="b">
        <f t="shared" si="1"/>
        <v>0</v>
      </c>
      <c r="BB2" s="354" t="b">
        <f t="shared" si="1"/>
        <v>0</v>
      </c>
      <c r="BC2" s="354" t="b">
        <f t="shared" si="1"/>
        <v>0</v>
      </c>
      <c r="BD2" s="354" t="b">
        <f t="shared" si="1"/>
        <v>0</v>
      </c>
      <c r="BE2" s="354" t="b">
        <f t="shared" si="1"/>
        <v>0</v>
      </c>
      <c r="BF2" s="354" t="b">
        <f t="shared" si="1"/>
        <v>0</v>
      </c>
      <c r="BI2" s="674"/>
      <c r="BJ2" s="674"/>
      <c r="BK2" s="674"/>
      <c r="BL2" s="679"/>
      <c r="BM2" s="679"/>
    </row>
    <row r="3" spans="1:65" ht="11.25" hidden="1" customHeight="1">
      <c r="E3" s="57"/>
    </row>
    <row r="4" spans="1:65" ht="11.25" hidden="1" customHeight="1">
      <c r="E4" s="57"/>
    </row>
    <row r="5" spans="1:65" s="459" customFormat="1" ht="11.25" hidden="1" customHeight="1">
      <c r="A5" s="57"/>
      <c r="B5" s="62"/>
      <c r="C5" s="57"/>
      <c r="D5" s="57"/>
      <c r="E5" s="459" t="s">
        <v>20</v>
      </c>
      <c r="F5" s="547"/>
      <c r="AA5" s="459">
        <v>3</v>
      </c>
      <c r="AB5" s="460">
        <v>11</v>
      </c>
      <c r="AC5" s="471">
        <v>40</v>
      </c>
      <c r="AD5" s="459">
        <v>15</v>
      </c>
      <c r="AE5" s="459">
        <v>15</v>
      </c>
      <c r="AF5" s="459">
        <v>15</v>
      </c>
      <c r="AG5" s="459">
        <v>15</v>
      </c>
      <c r="AH5" s="459">
        <v>17.71</v>
      </c>
      <c r="AI5" s="459">
        <v>15</v>
      </c>
      <c r="AJ5" s="459">
        <v>15</v>
      </c>
      <c r="AK5" s="459">
        <v>15</v>
      </c>
      <c r="AL5" s="459">
        <v>15</v>
      </c>
      <c r="AM5" s="459">
        <v>15</v>
      </c>
      <c r="AN5" s="459">
        <v>15</v>
      </c>
      <c r="AO5" s="459">
        <v>15</v>
      </c>
      <c r="AP5" s="459">
        <v>15</v>
      </c>
      <c r="AQ5" s="459">
        <v>15</v>
      </c>
      <c r="AR5" s="459">
        <v>15</v>
      </c>
      <c r="AS5" s="459">
        <v>15</v>
      </c>
      <c r="AT5" s="459">
        <v>15</v>
      </c>
      <c r="AU5" s="459">
        <v>15</v>
      </c>
      <c r="AV5" s="459">
        <v>15</v>
      </c>
      <c r="AW5" s="459">
        <v>15</v>
      </c>
      <c r="AX5" s="459">
        <v>15</v>
      </c>
      <c r="AY5" s="459">
        <v>15</v>
      </c>
      <c r="AZ5" s="459">
        <v>15</v>
      </c>
      <c r="BA5" s="459">
        <v>15</v>
      </c>
      <c r="BB5" s="459">
        <v>15</v>
      </c>
      <c r="BC5" s="459">
        <v>15</v>
      </c>
      <c r="BD5" s="459">
        <v>15</v>
      </c>
      <c r="BE5" s="459">
        <v>15</v>
      </c>
      <c r="BF5" s="459">
        <v>15</v>
      </c>
      <c r="BG5" s="459">
        <v>3</v>
      </c>
      <c r="BI5" s="665"/>
      <c r="BJ5" s="665"/>
      <c r="BK5" s="665"/>
    </row>
    <row r="6" spans="1:65" ht="11.25" hidden="1" customHeight="1">
      <c r="A6" s="57" t="s">
        <v>353</v>
      </c>
      <c r="AE6" s="57">
        <f>god-2</f>
        <v>2024</v>
      </c>
      <c r="AF6" s="57">
        <f>god-2</f>
        <v>2024</v>
      </c>
      <c r="AG6" s="57">
        <f>god-2</f>
        <v>2024</v>
      </c>
      <c r="AH6" s="57">
        <f>god-2</f>
        <v>2024</v>
      </c>
      <c r="AI6" s="57">
        <f>god-1</f>
        <v>2025</v>
      </c>
      <c r="AJ6" s="57" cm="1">
        <f t="array" ref="AJ6">god</f>
        <v>2026</v>
      </c>
      <c r="AK6" s="57" cm="1">
        <f t="array" ref="AK6">god</f>
        <v>2026</v>
      </c>
      <c r="AL6" s="57" cm="1">
        <f t="array" ref="AL6">god</f>
        <v>2026</v>
      </c>
      <c r="AM6" s="57" cm="1">
        <f t="array" ref="AM6">god</f>
        <v>2026</v>
      </c>
      <c r="AN6" s="57" cm="1">
        <f t="array" ref="AN6">god</f>
        <v>2026</v>
      </c>
      <c r="AO6" s="57">
        <f>god+1</f>
        <v>2027</v>
      </c>
      <c r="AP6" s="57">
        <f>god+2</f>
        <v>2028</v>
      </c>
      <c r="AQ6" s="57">
        <f>god+3</f>
        <v>2029</v>
      </c>
      <c r="AR6" s="57">
        <f>god+4</f>
        <v>2030</v>
      </c>
      <c r="AS6" s="57">
        <f>god+5</f>
        <v>2031</v>
      </c>
      <c r="AT6" s="57">
        <f>god+6</f>
        <v>2032</v>
      </c>
      <c r="AU6" s="57">
        <f>god+7</f>
        <v>2033</v>
      </c>
      <c r="AV6" s="57">
        <f>god+8</f>
        <v>2034</v>
      </c>
      <c r="AW6" s="57">
        <f>god+9</f>
        <v>2035</v>
      </c>
      <c r="AX6" s="57">
        <f>god+1</f>
        <v>2027</v>
      </c>
      <c r="AY6" s="57">
        <f>god+2</f>
        <v>2028</v>
      </c>
      <c r="AZ6" s="57">
        <f>god+3</f>
        <v>2029</v>
      </c>
      <c r="BA6" s="57">
        <f>god+4</f>
        <v>2030</v>
      </c>
      <c r="BB6" s="57">
        <f>god+5</f>
        <v>2031</v>
      </c>
      <c r="BC6" s="57">
        <f>god+6</f>
        <v>2032</v>
      </c>
      <c r="BD6" s="57">
        <f>god+7</f>
        <v>2033</v>
      </c>
      <c r="BE6" s="57">
        <f>god+8</f>
        <v>2034</v>
      </c>
      <c r="BF6" s="57">
        <f>god+9</f>
        <v>2035</v>
      </c>
    </row>
    <row r="7" spans="1:65" ht="11.25" hidden="1" customHeight="1">
      <c r="A7" s="57" t="s">
        <v>354</v>
      </c>
      <c r="AE7" s="57" t="str" cm="1">
        <f t="array" ref="AE7">AE25</f>
        <v>Принято органом регулирования</v>
      </c>
      <c r="AF7" s="57" t="str" cm="1">
        <f t="array" ref="AF7">AF25</f>
        <v>Факт по данным организации</v>
      </c>
      <c r="AG7" s="57" t="str" cm="1">
        <f t="array" ref="AG7">AG25</f>
        <v>Факт, принятый органом регулирования</v>
      </c>
      <c r="AH7" s="57" t="s">
        <v>357</v>
      </c>
      <c r="AI7" s="57" t="str" cm="1">
        <f t="array" ref="AI7">AI25</f>
        <v>Принято органом регулирования</v>
      </c>
      <c r="AJ7" s="57" t="str" cm="1">
        <f t="array" ref="AJ7">AJ25</f>
        <v>Предложение организации</v>
      </c>
      <c r="AK7" s="57" t="str" cm="1">
        <f t="array" ref="AK7">AK25</f>
        <v>Принято органом регулирования</v>
      </c>
      <c r="AL7" s="57" t="str" cm="1">
        <f t="array" ref="AL7">AL25</f>
        <v>% роста / снижения</v>
      </c>
      <c r="AM7" s="57" t="str" cm="1">
        <f t="array" ref="AM7">AM25</f>
        <v>Отклонение (принято органом регулирования - заявлено организацией)</v>
      </c>
      <c r="AN7" s="57" t="s">
        <v>357</v>
      </c>
      <c r="AO7" s="57" t="str" cm="1">
        <f t="array" ref="AO7">AO25</f>
        <v>Предложение организации</v>
      </c>
      <c r="AP7" s="57" t="str" cm="1">
        <f t="array" ref="AP7">AP25</f>
        <v>Предложение организации</v>
      </c>
      <c r="AQ7" s="57" t="str" cm="1">
        <f t="array" ref="AQ7">AQ25</f>
        <v>Предложение организации</v>
      </c>
      <c r="AR7" s="57" t="str" cm="1">
        <f t="array" ref="AR7">AR25</f>
        <v>Предложение организации</v>
      </c>
      <c r="AS7" s="57" t="str" cm="1">
        <f t="array" ref="AS7">AS25</f>
        <v>Предложение организации</v>
      </c>
      <c r="AT7" s="57" t="str" cm="1">
        <f t="array" ref="AT7">AT25</f>
        <v>Предложение организации</v>
      </c>
      <c r="AU7" s="57" t="str" cm="1">
        <f t="array" ref="AU7">AU25</f>
        <v>Предложение организации</v>
      </c>
      <c r="AV7" s="57" t="str" cm="1">
        <f t="array" ref="AV7">AV25</f>
        <v>Предложение организации</v>
      </c>
      <c r="AW7" s="57" t="str" cm="1">
        <f t="array" ref="AW7">AW25</f>
        <v>Предложение организации</v>
      </c>
      <c r="AX7" s="57" t="str" cm="1">
        <f t="array" ref="AX7">AX25</f>
        <v>Принято органом регулирования</v>
      </c>
      <c r="AY7" s="57" t="str" cm="1">
        <f t="array" ref="AY7">AY25</f>
        <v>Принято органом регулирования</v>
      </c>
      <c r="AZ7" s="57" t="str" cm="1">
        <f t="array" ref="AZ7">AZ25</f>
        <v>Принято органом регулирования</v>
      </c>
      <c r="BA7" s="57" t="str" cm="1">
        <f t="array" ref="BA7">BA25</f>
        <v>Принято органом регулирования</v>
      </c>
      <c r="BB7" s="57" t="str" cm="1">
        <f t="array" ref="BB7">BB25</f>
        <v>Принято органом регулирования</v>
      </c>
      <c r="BC7" s="57" t="str" cm="1">
        <f t="array" ref="BC7">BC25</f>
        <v>Принято органом регулирования</v>
      </c>
      <c r="BD7" s="57" t="str" cm="1">
        <f t="array" ref="BD7">BD25</f>
        <v>Принято органом регулирования</v>
      </c>
      <c r="BE7" s="57" t="str" cm="1">
        <f t="array" ref="BE7">BE25</f>
        <v>Принято органом регулирования</v>
      </c>
      <c r="BF7" s="57" t="str" cm="1">
        <f t="array" ref="BF7">BF25</f>
        <v>Принято органом регулирования</v>
      </c>
    </row>
    <row r="8" spans="1:65" ht="11.25" hidden="1" customHeight="1">
      <c r="AE8" s="57" t="str">
        <f t="shared" ref="AE8:BF8" si="2">AE6&amp;AE7</f>
        <v>2024Принято органом регулирования</v>
      </c>
      <c r="AF8" s="57" t="str">
        <f t="shared" si="2"/>
        <v>2024Факт по данным организации</v>
      </c>
      <c r="AG8" s="57" t="str">
        <f t="shared" si="2"/>
        <v>2024Факт, принятый органом регулирования</v>
      </c>
      <c r="AH8" s="57" t="str">
        <f t="shared" si="2"/>
        <v>2024Не определено</v>
      </c>
      <c r="AI8" s="57" t="str">
        <f t="shared" si="2"/>
        <v>2025Принято органом регулирования</v>
      </c>
      <c r="AJ8" s="57" t="str">
        <f t="shared" si="2"/>
        <v>2026Предложение организации</v>
      </c>
      <c r="AK8" s="57" t="str">
        <f t="shared" si="2"/>
        <v>2026Принято органом регулирования</v>
      </c>
      <c r="AL8" s="57" t="str">
        <f t="shared" si="2"/>
        <v>2026% роста / снижения</v>
      </c>
      <c r="AM8" s="57" t="str">
        <f t="shared" si="2"/>
        <v>2026Отклонение (принято органом регулирования - заявлено организацией)</v>
      </c>
      <c r="AN8" s="57" t="str">
        <f t="shared" si="2"/>
        <v>2026Не определено</v>
      </c>
      <c r="AO8" s="57" t="str">
        <f t="shared" si="2"/>
        <v>2027Предложение организации</v>
      </c>
      <c r="AP8" s="57" t="str">
        <f t="shared" si="2"/>
        <v>2028Предложение организации</v>
      </c>
      <c r="AQ8" s="57" t="str">
        <f t="shared" si="2"/>
        <v>2029Предложение организации</v>
      </c>
      <c r="AR8" s="57" t="str">
        <f t="shared" si="2"/>
        <v>2030Предложение организации</v>
      </c>
      <c r="AS8" s="57" t="str">
        <f t="shared" si="2"/>
        <v>2031Предложение организации</v>
      </c>
      <c r="AT8" s="57" t="str">
        <f t="shared" si="2"/>
        <v>2032Предложение организации</v>
      </c>
      <c r="AU8" s="57" t="str">
        <f t="shared" si="2"/>
        <v>2033Предложение организации</v>
      </c>
      <c r="AV8" s="57" t="str">
        <f t="shared" si="2"/>
        <v>2034Предложение организации</v>
      </c>
      <c r="AW8" s="57" t="str">
        <f t="shared" si="2"/>
        <v>2035Предложение организации</v>
      </c>
      <c r="AX8" s="57" t="str">
        <f t="shared" si="2"/>
        <v>2027Принято органом регулирования</v>
      </c>
      <c r="AY8" s="57" t="str">
        <f t="shared" si="2"/>
        <v>2028Принято органом регулирования</v>
      </c>
      <c r="AZ8" s="57" t="str">
        <f t="shared" si="2"/>
        <v>2029Принято органом регулирования</v>
      </c>
      <c r="BA8" s="57" t="str">
        <f t="shared" si="2"/>
        <v>2030Принято органом регулирования</v>
      </c>
      <c r="BB8" s="57" t="str">
        <f t="shared" si="2"/>
        <v>2031Принято органом регулирования</v>
      </c>
      <c r="BC8" s="57" t="str">
        <f t="shared" si="2"/>
        <v>2032Принято органом регулирования</v>
      </c>
      <c r="BD8" s="57" t="str">
        <f t="shared" si="2"/>
        <v>2033Принято органом регулирования</v>
      </c>
      <c r="BE8" s="57" t="str">
        <f t="shared" si="2"/>
        <v>2034Принято органом регулирования</v>
      </c>
      <c r="BF8" s="57" t="str">
        <f t="shared" si="2"/>
        <v>2035Принято органом регулирования</v>
      </c>
    </row>
    <row r="9" spans="1:65" s="665" customFormat="1" ht="11.25" hidden="1" customHeight="1">
      <c r="A9" s="665" t="s">
        <v>358</v>
      </c>
      <c r="B9" s="674"/>
      <c r="F9" s="675"/>
      <c r="AB9" s="667"/>
      <c r="AC9" s="676"/>
      <c r="AE9" s="665" cm="1">
        <f t="array" ref="AE9">AE6</f>
        <v>2024</v>
      </c>
      <c r="AF9" s="665" cm="1">
        <f t="array" ref="AF9">AF6</f>
        <v>2024</v>
      </c>
      <c r="AG9" s="665" cm="1">
        <f t="array" ref="AG9">AG6</f>
        <v>2024</v>
      </c>
      <c r="AH9" s="665" cm="1">
        <f t="array" ref="AH9">AH6</f>
        <v>2024</v>
      </c>
      <c r="AI9" s="665" cm="1">
        <f t="array" ref="AI9">AI6</f>
        <v>2025</v>
      </c>
      <c r="AJ9" s="665" cm="1">
        <f t="array" ref="AJ9">AJ6</f>
        <v>2026</v>
      </c>
      <c r="AK9" s="665" cm="1">
        <f t="array" ref="AK9">AK6</f>
        <v>2026</v>
      </c>
      <c r="AL9" s="665" cm="1">
        <f t="array" ref="AL9">AL6</f>
        <v>2026</v>
      </c>
      <c r="AM9" s="665" cm="1">
        <f t="array" ref="AM9">AM6</f>
        <v>2026</v>
      </c>
      <c r="AN9" s="665" cm="1">
        <f t="array" ref="AN9">AN6</f>
        <v>2026</v>
      </c>
      <c r="AO9" s="665" cm="1">
        <f t="array" ref="AO9">AO6</f>
        <v>2027</v>
      </c>
      <c r="AP9" s="665" cm="1">
        <f t="array" ref="AP9">AP6</f>
        <v>2028</v>
      </c>
      <c r="AQ9" s="665" cm="1">
        <f t="array" ref="AQ9">AQ6</f>
        <v>2029</v>
      </c>
      <c r="AR9" s="665" cm="1">
        <f t="array" ref="AR9">AR6</f>
        <v>2030</v>
      </c>
      <c r="AS9" s="665" cm="1">
        <f t="array" ref="AS9">AS6</f>
        <v>2031</v>
      </c>
      <c r="AT9" s="665" cm="1">
        <f t="array" ref="AT9">AT6</f>
        <v>2032</v>
      </c>
      <c r="AU9" s="665" cm="1">
        <f t="array" ref="AU9">AU6</f>
        <v>2033</v>
      </c>
      <c r="AV9" s="665" cm="1">
        <f t="array" ref="AV9">AV6</f>
        <v>2034</v>
      </c>
      <c r="AW9" s="665" cm="1">
        <f t="array" ref="AW9">AW6</f>
        <v>2035</v>
      </c>
      <c r="AX9" s="665" cm="1">
        <f t="array" ref="AX9">AX6</f>
        <v>2027</v>
      </c>
      <c r="AY9" s="665" cm="1">
        <f t="array" ref="AY9">AY6</f>
        <v>2028</v>
      </c>
      <c r="AZ9" s="665" cm="1">
        <f t="array" ref="AZ9">AZ6</f>
        <v>2029</v>
      </c>
      <c r="BA9" s="665" cm="1">
        <f t="array" ref="BA9">BA6</f>
        <v>2030</v>
      </c>
      <c r="BB9" s="665" cm="1">
        <f t="array" ref="BB9">BB6</f>
        <v>2031</v>
      </c>
      <c r="BC9" s="665" cm="1">
        <f t="array" ref="BC9">BC6</f>
        <v>2032</v>
      </c>
      <c r="BD9" s="665" cm="1">
        <f t="array" ref="BD9">BD6</f>
        <v>2033</v>
      </c>
      <c r="BE9" s="665" cm="1">
        <f t="array" ref="BE9">BE6</f>
        <v>2034</v>
      </c>
      <c r="BF9" s="665" cm="1">
        <f t="array" ref="BF9">BF6</f>
        <v>2035</v>
      </c>
      <c r="BL9" s="459"/>
      <c r="BM9" s="459"/>
    </row>
    <row r="10" spans="1:65" s="665" customFormat="1" ht="11.25" hidden="1" customHeight="1">
      <c r="A10" s="665" t="s">
        <v>359</v>
      </c>
      <c r="B10" s="674"/>
      <c r="F10" s="675"/>
      <c r="AB10" s="667"/>
      <c r="AC10" s="676"/>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I10" s="665" t="str" cm="1">
        <f t="array" ref="AI10">AI25</f>
        <v>Принято органом регулирования</v>
      </c>
      <c r="AJ10" s="665" t="str" cm="1">
        <f t="array" ref="AJ10">AJ25</f>
        <v>Предложение организации</v>
      </c>
      <c r="AK10" s="665" t="str" cm="1">
        <f t="array" ref="AK10">AK25</f>
        <v>Принято органом регулирования</v>
      </c>
      <c r="AL10" s="665" t="str" cm="1">
        <f t="array" ref="AL10">AL25</f>
        <v>% роста / снижения</v>
      </c>
      <c r="AM10" s="665" t="str" cm="1">
        <f t="array" ref="AM10">AM25</f>
        <v>Отклонение (принято органом регулирования - заявлено организацией)</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Предложение организации</v>
      </c>
      <c r="AT10" s="665" t="str" cm="1">
        <f t="array" ref="AT10">AT25</f>
        <v>Предложение организации</v>
      </c>
      <c r="AU10" s="665" t="str" cm="1">
        <f t="array" ref="AU10">AU25</f>
        <v>Предложение организации</v>
      </c>
      <c r="AV10" s="665" t="str" cm="1">
        <f t="array" ref="AV10">AV25</f>
        <v>Предложение организации</v>
      </c>
      <c r="AW10" s="665" t="str" cm="1">
        <f t="array" ref="AW10">AW25</f>
        <v>Предложение организации</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C10" s="665" t="str" cm="1">
        <f t="array" ref="BC10">BC25</f>
        <v>Принято органом регулирования</v>
      </c>
      <c r="BD10" s="665" t="str" cm="1">
        <f t="array" ref="BD10">BD25</f>
        <v>Принято органом регулирования</v>
      </c>
      <c r="BE10" s="665" t="str" cm="1">
        <f t="array" ref="BE10">BE25</f>
        <v>Принято органом регулирования</v>
      </c>
      <c r="BF10" s="665" t="str" cm="1">
        <f t="array" ref="BF10">BF25</f>
        <v>Принято органом регулирования</v>
      </c>
      <c r="BL10" s="459"/>
      <c r="BM10" s="459"/>
    </row>
    <row r="11" spans="1:65" s="665" customFormat="1" ht="11.25" hidden="1" customHeight="1">
      <c r="A11" s="665" t="s">
        <v>360</v>
      </c>
      <c r="B11" s="674"/>
      <c r="F11" s="675"/>
      <c r="AB11" s="667"/>
      <c r="AC11" s="676"/>
      <c r="AH11" s="665" t="str" cm="1">
        <f t="array" ref="AH11">AH25</f>
        <v>Комментарии</v>
      </c>
      <c r="AN11" s="665" t="str" cm="1">
        <f t="array" ref="AN11">AN25</f>
        <v>Комментарии</v>
      </c>
      <c r="BL11" s="459"/>
      <c r="BM11" s="459"/>
    </row>
    <row r="12" spans="1:65" s="665" customFormat="1" ht="11.25" hidden="1" customHeight="1">
      <c r="A12" s="665" t="s">
        <v>333</v>
      </c>
      <c r="B12" s="674"/>
      <c r="F12" s="675"/>
      <c r="AB12" s="667"/>
      <c r="AC12" s="676" t="s">
        <v>320</v>
      </c>
      <c r="BL12" s="459"/>
      <c r="BM12" s="459"/>
    </row>
    <row r="13" spans="1:65" ht="11.25" hidden="1" customHeight="1"/>
    <row r="14" spans="1:65" ht="11.25" hidden="1" customHeight="1"/>
    <row r="15" spans="1:65" ht="11.25" hidden="1" customHeight="1"/>
    <row r="16" spans="1:65" ht="11.25" hidden="1" customHeight="1"/>
    <row r="17" spans="1:65" ht="11.25" hidden="1" customHeight="1"/>
    <row r="18" spans="1:65" ht="11.25" hidden="1" customHeight="1">
      <c r="A18" s="57" t="s">
        <v>361</v>
      </c>
      <c r="AC18" s="75" t="s">
        <v>449</v>
      </c>
    </row>
    <row r="19" spans="1:65" ht="11.25" hidden="1" customHeight="1"/>
    <row r="20" spans="1:65" ht="11.25" hidden="1" customHeight="1"/>
    <row r="21" spans="1:65" ht="14.65" customHeight="1">
      <c r="E21" s="459">
        <v>15</v>
      </c>
      <c r="AA21" s="78"/>
      <c r="AC21" s="3" t="str" cm="1">
        <f t="array" ref="AC21">tpl_title</f>
        <v>Кемеровская область / 2026 / ООО "Энергосервис г. Гурьевска" (ИНН:4202049045, КПП:420201001) / ДПР: 2024-2028</v>
      </c>
      <c r="AD21" s="60"/>
      <c r="AE21" s="61"/>
    </row>
    <row r="22" spans="1:65" ht="21.95" customHeight="1">
      <c r="E22" s="459">
        <v>22.5</v>
      </c>
      <c r="AB22" s="237" t="s">
        <v>41</v>
      </c>
      <c r="AC22" s="125"/>
      <c r="AD22" s="125"/>
      <c r="AE22" s="125"/>
      <c r="AF22" s="125"/>
      <c r="AG22" s="125"/>
      <c r="AH22" s="125"/>
      <c r="AI22" s="126"/>
      <c r="AJ22" s="126"/>
      <c r="AK22" s="126"/>
      <c r="AL22" s="126"/>
      <c r="AM22" s="126"/>
      <c r="AN22" s="126"/>
      <c r="AO22" s="126"/>
      <c r="AP22" s="126"/>
      <c r="AQ22" s="126"/>
      <c r="AR22" s="126"/>
      <c r="AS22" s="126"/>
      <c r="AT22" s="126"/>
      <c r="AU22" s="126"/>
      <c r="AV22" s="126"/>
      <c r="AW22" s="126"/>
      <c r="AX22" s="126"/>
      <c r="AY22" s="126"/>
      <c r="AZ22" s="126"/>
      <c r="BA22" s="126"/>
      <c r="BB22" s="126"/>
      <c r="BC22" s="126"/>
      <c r="BD22" s="126"/>
      <c r="BE22" s="126"/>
      <c r="BF22" s="126"/>
    </row>
    <row r="23" spans="1:65" s="67" customFormat="1" ht="10.9" customHeight="1">
      <c r="B23" s="62"/>
      <c r="E23" s="469">
        <v>11.25</v>
      </c>
      <c r="F23" s="288"/>
      <c r="AA23" s="62"/>
      <c r="AB23" s="63"/>
      <c r="AC23" s="64"/>
      <c r="AD23" s="65"/>
      <c r="AE23" s="66"/>
      <c r="BI23" s="677"/>
      <c r="BJ23" s="677"/>
      <c r="BK23" s="677"/>
      <c r="BL23" s="469"/>
      <c r="BM23" s="469"/>
    </row>
    <row r="24" spans="1:65" ht="14.65" customHeight="1">
      <c r="E24" s="459">
        <v>15</v>
      </c>
      <c r="AB24" s="1077" t="s">
        <v>22</v>
      </c>
      <c r="AC24" s="1077" t="s">
        <v>449</v>
      </c>
      <c r="AD24" s="1077" t="s">
        <v>363</v>
      </c>
      <c r="AE24" s="31" t="str">
        <f>god-2&amp;" год"</f>
        <v>2024 год</v>
      </c>
      <c r="AF24" s="735" t="str">
        <f>god-2&amp;" год"</f>
        <v>2024 год</v>
      </c>
      <c r="AG24" s="31" t="str">
        <f>god-2&amp;" год"</f>
        <v>2024 год</v>
      </c>
      <c r="AH24" s="31" t="str">
        <f>god-2&amp;" год"</f>
        <v>2024 год</v>
      </c>
      <c r="AI24" s="31" t="str">
        <f>god-1&amp;" год"</f>
        <v>2025 год</v>
      </c>
      <c r="AJ24" s="735" t="str">
        <f>god&amp;" год"</f>
        <v>2026 год</v>
      </c>
      <c r="AK24" s="31" t="str">
        <f>god&amp;" год"</f>
        <v>2026 год</v>
      </c>
      <c r="AL24" s="31" t="str">
        <f>god&amp;" год"</f>
        <v>2026 год</v>
      </c>
      <c r="AM24" s="31" t="str">
        <f>god&amp;" год"</f>
        <v>2026 год</v>
      </c>
      <c r="AN24" s="31" t="str">
        <f>god&amp;" год"</f>
        <v>2026 год</v>
      </c>
      <c r="AO24" s="735" t="str">
        <f>god+1&amp;" год"</f>
        <v>2027 год</v>
      </c>
      <c r="AP24" s="735" t="str">
        <f>god+2&amp;" год"</f>
        <v>2028 год</v>
      </c>
      <c r="AQ24" s="735" t="str">
        <f>god+3&amp;" год"</f>
        <v>2029 год</v>
      </c>
      <c r="AR24" s="735" t="str">
        <f>god+4&amp;" год"</f>
        <v>2030 год</v>
      </c>
      <c r="AS24" s="735" t="str">
        <f>god+5&amp;" год"</f>
        <v>2031 год</v>
      </c>
      <c r="AT24" s="735" t="str">
        <f>god+6&amp;" год"</f>
        <v>2032 год</v>
      </c>
      <c r="AU24" s="735" t="str">
        <f>god+7&amp;" год"</f>
        <v>2033 год</v>
      </c>
      <c r="AV24" s="735" t="str">
        <f>god+8&amp;" год"</f>
        <v>2034 год</v>
      </c>
      <c r="AW24" s="735" t="str">
        <f>god+9&amp;" год"</f>
        <v>2035 год</v>
      </c>
      <c r="AX24" s="31" t="str">
        <f>god+1&amp;" год"</f>
        <v>2027 год</v>
      </c>
      <c r="AY24" s="31" t="str">
        <f>god+2&amp;" год"</f>
        <v>2028 год</v>
      </c>
      <c r="AZ24" s="31" t="str">
        <f>god+3&amp;" год"</f>
        <v>2029 год</v>
      </c>
      <c r="BA24" s="31" t="str">
        <f>god+4&amp;" год"</f>
        <v>2030 год</v>
      </c>
      <c r="BB24" s="31" t="str">
        <f>god+5&amp;" год"</f>
        <v>2031 год</v>
      </c>
      <c r="BC24" s="31" t="str">
        <f>god+6&amp;" год"</f>
        <v>2032 год</v>
      </c>
      <c r="BD24" s="31" t="str">
        <f>god+7&amp;" год"</f>
        <v>2033 год</v>
      </c>
      <c r="BE24" s="31" t="str">
        <f>god+8&amp;" год"</f>
        <v>2034 год</v>
      </c>
      <c r="BF24" s="31" t="str">
        <f>god+9&amp;" год"</f>
        <v>2035 год</v>
      </c>
    </row>
    <row r="25" spans="1:65" ht="67.349999999999994" customHeight="1">
      <c r="E25" s="459">
        <v>69</v>
      </c>
      <c r="F25" s="288" t="s">
        <v>365</v>
      </c>
      <c r="AB25" s="1077"/>
      <c r="AC25" s="1077"/>
      <c r="AD25" s="1077"/>
      <c r="AE25" s="30" t="s">
        <v>355</v>
      </c>
      <c r="AF25" s="736" t="s">
        <v>450</v>
      </c>
      <c r="AG25" s="31" t="s">
        <v>451</v>
      </c>
      <c r="AH25" s="31" t="s">
        <v>364</v>
      </c>
      <c r="AI25" s="31" t="s">
        <v>355</v>
      </c>
      <c r="AJ25" s="734" t="s">
        <v>356</v>
      </c>
      <c r="AK25" s="31" t="s">
        <v>355</v>
      </c>
      <c r="AL25" s="123" t="s">
        <v>452</v>
      </c>
      <c r="AM25" s="123" t="s">
        <v>453</v>
      </c>
      <c r="AN25" s="31" t="s">
        <v>364</v>
      </c>
      <c r="AO25" s="735" t="s">
        <v>356</v>
      </c>
      <c r="AP25" s="735" t="s">
        <v>356</v>
      </c>
      <c r="AQ25" s="735" t="s">
        <v>356</v>
      </c>
      <c r="AR25" s="735" t="s">
        <v>356</v>
      </c>
      <c r="AS25" s="735" t="s">
        <v>356</v>
      </c>
      <c r="AT25" s="735" t="s">
        <v>356</v>
      </c>
      <c r="AU25" s="735" t="s">
        <v>356</v>
      </c>
      <c r="AV25" s="735" t="s">
        <v>356</v>
      </c>
      <c r="AW25" s="735" t="s">
        <v>356</v>
      </c>
      <c r="AX25" s="31" t="s">
        <v>355</v>
      </c>
      <c r="AY25" s="31" t="s">
        <v>355</v>
      </c>
      <c r="AZ25" s="31" t="s">
        <v>355</v>
      </c>
      <c r="BA25" s="31" t="s">
        <v>355</v>
      </c>
      <c r="BB25" s="31" t="s">
        <v>355</v>
      </c>
      <c r="BC25" s="31" t="s">
        <v>355</v>
      </c>
      <c r="BD25" s="31" t="s">
        <v>355</v>
      </c>
      <c r="BE25" s="31" t="s">
        <v>355</v>
      </c>
      <c r="BF25" s="31" t="s">
        <v>355</v>
      </c>
    </row>
    <row r="26" spans="1:65" ht="19.5" customHeight="1">
      <c r="A26" s="327"/>
      <c r="B26" s="490"/>
      <c r="C26" s="327"/>
      <c r="D26" s="327"/>
      <c r="E26" s="491">
        <v>20</v>
      </c>
      <c r="F26" s="545" t="s">
        <v>454</v>
      </c>
      <c r="G26" s="327"/>
      <c r="H26" s="327"/>
      <c r="I26" s="327"/>
      <c r="J26" s="327"/>
      <c r="K26" s="327"/>
      <c r="L26" s="327"/>
      <c r="M26" s="327"/>
      <c r="N26" s="327"/>
      <c r="O26" s="327"/>
      <c r="P26" s="327"/>
      <c r="Q26" s="327"/>
      <c r="R26" s="327"/>
      <c r="S26" s="327"/>
      <c r="T26" s="327"/>
      <c r="U26" s="327"/>
      <c r="V26" s="327"/>
      <c r="W26" s="327"/>
      <c r="X26" s="327"/>
      <c r="Y26" s="327"/>
      <c r="Z26" s="327"/>
      <c r="AA26"/>
      <c r="AB26" s="28"/>
      <c r="AC26" s="248" t="s">
        <v>455</v>
      </c>
      <c r="AD26" s="71" t="s">
        <v>456</v>
      </c>
      <c r="AE26" s="836"/>
      <c r="AF26" s="836"/>
      <c r="AG26" s="836"/>
      <c r="AH26" s="636"/>
      <c r="AI26" s="836">
        <v>5</v>
      </c>
      <c r="AJ26" s="836"/>
      <c r="AK26" s="836">
        <v>5</v>
      </c>
      <c r="AL26" s="212">
        <f>IF(AI26&lt;&gt;0,AK26/AI26,0)</f>
        <v>1</v>
      </c>
      <c r="AM26" s="211">
        <f>AK26-AJ26</f>
        <v>5</v>
      </c>
      <c r="AN26" s="636"/>
      <c r="AO26" s="837"/>
      <c r="AP26" s="837"/>
      <c r="AQ26" s="837"/>
      <c r="AR26" s="837"/>
      <c r="AS26" s="837"/>
      <c r="AT26" s="837"/>
      <c r="AU26" s="837"/>
      <c r="AV26" s="837"/>
      <c r="AW26" s="837"/>
      <c r="AX26" s="837"/>
      <c r="AY26" s="837"/>
      <c r="AZ26" s="837"/>
      <c r="BA26" s="837"/>
      <c r="BB26" s="837"/>
      <c r="BC26" s="837"/>
      <c r="BD26" s="837"/>
      <c r="BE26" s="837"/>
      <c r="BF26" s="837"/>
      <c r="BG26"/>
      <c r="BH26"/>
      <c r="BI26" s="670" t="s">
        <v>457</v>
      </c>
      <c r="BJ26" s="670"/>
      <c r="BK26" s="670"/>
      <c r="BL26" s="465"/>
      <c r="BM26" s="465"/>
    </row>
    <row r="27" spans="1:65" ht="11.25" hidden="1" customHeight="1">
      <c r="A27" s="327"/>
      <c r="B27" s="490"/>
      <c r="C27" s="327"/>
      <c r="D27" s="327"/>
      <c r="E27" s="491">
        <v>0</v>
      </c>
      <c r="F27" s="545"/>
      <c r="G27" s="327"/>
      <c r="H27" s="327"/>
      <c r="I27" s="327"/>
      <c r="J27" s="327"/>
      <c r="K27" s="327"/>
      <c r="L27" s="327"/>
      <c r="M27" s="327"/>
      <c r="N27" s="327"/>
      <c r="O27" s="327"/>
      <c r="P27" s="327"/>
      <c r="Q27" s="327"/>
      <c r="R27" s="327"/>
      <c r="S27" s="327"/>
      <c r="T27" s="327"/>
      <c r="U27" s="327"/>
      <c r="V27" s="327"/>
      <c r="W27" s="327"/>
      <c r="X27" s="327"/>
      <c r="Y27" s="327"/>
      <c r="Z27" s="327"/>
      <c r="AA27"/>
      <c r="AB27" s="534"/>
      <c r="AC27" s="79"/>
      <c r="AD27" s="61"/>
      <c r="AE27" s="637"/>
      <c r="AF27" s="637"/>
      <c r="AG27" s="637"/>
      <c r="AH27" s="637"/>
      <c r="AI27" s="637"/>
      <c r="AJ27" s="637"/>
      <c r="AK27" s="637"/>
      <c r="AL27" s="637"/>
      <c r="AM27" s="637"/>
      <c r="AN27" s="637"/>
      <c r="AO27" s="637"/>
      <c r="AP27" s="637"/>
      <c r="AQ27" s="637"/>
      <c r="AR27" s="637"/>
      <c r="AS27" s="637"/>
      <c r="AT27" s="637"/>
      <c r="AU27" s="637"/>
      <c r="AV27" s="637"/>
      <c r="AW27" s="637"/>
      <c r="AX27" s="637"/>
      <c r="AY27" s="637"/>
      <c r="AZ27" s="637"/>
      <c r="BA27" s="637"/>
      <c r="BB27" s="637"/>
      <c r="BC27" s="637"/>
      <c r="BD27" s="637"/>
      <c r="BE27" s="637"/>
      <c r="BF27" s="637"/>
      <c r="BG27"/>
      <c r="BH27"/>
      <c r="BI27" s="670"/>
      <c r="BJ27" s="670"/>
      <c r="BK27" s="670"/>
      <c r="BL27" s="465"/>
      <c r="BM27" s="465"/>
    </row>
    <row r="28" spans="1:65" s="79" customFormat="1" ht="14.65" hidden="1" customHeight="1">
      <c r="B28" s="338"/>
      <c r="E28" s="470">
        <v>15</v>
      </c>
      <c r="F28" s="288" cm="1">
        <f t="array" ref="F28">Y28</f>
        <v>0</v>
      </c>
      <c r="U28" s="365" t="b">
        <f>Y28&gt;0</f>
        <v>0</v>
      </c>
      <c r="W28" s="79" t="s">
        <v>264</v>
      </c>
      <c r="Y28" s="1050">
        <v>0</v>
      </c>
      <c r="Z28" s="1076"/>
      <c r="AB28" s="116" t="str" cm="1">
        <f t="array" ref="AB28">INDEX('Общие сведения'!$AG$179:$AG$222,MATCH($Y28,'Общие сведения'!$Z$179:$Z$222,0))</f>
        <v xml:space="preserve">Тариф 0 () - </v>
      </c>
      <c r="AC28" s="113"/>
      <c r="AD28" s="107"/>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I28" s="678"/>
      <c r="BJ28" s="678"/>
      <c r="BK28" s="678"/>
      <c r="BL28" s="470"/>
      <c r="BM28" s="470"/>
    </row>
    <row r="29" spans="1:65" ht="14.65" hidden="1" customHeight="1">
      <c r="E29" s="459">
        <v>15</v>
      </c>
      <c r="F29" s="3" cm="1">
        <f t="array" aca="1" ref="F29" ca="1">OFFSET(E29,-1,1)</f>
        <v>0</v>
      </c>
      <c r="G29" s="57" t="s">
        <v>458</v>
      </c>
      <c r="U29" s="365" t="b" cm="1">
        <f t="array" ref="U29">U28</f>
        <v>0</v>
      </c>
      <c r="Y29" s="1050"/>
      <c r="Z29" s="1076"/>
      <c r="AB29" s="201"/>
      <c r="AC29" s="202" t="s">
        <v>459</v>
      </c>
      <c r="AD29" s="203"/>
      <c r="AE29" s="203"/>
      <c r="AF29" s="203"/>
      <c r="AG29" s="203"/>
      <c r="AH29" s="203"/>
      <c r="AI29" s="226">
        <f>(1-AI30/100)*(1+AI31/100)*(1+AI33/100)</f>
        <v>1</v>
      </c>
      <c r="AJ29" s="226">
        <f>(1-AJ30/100)*(1+AJ31/100)*(1+AJ33/100)</f>
        <v>1</v>
      </c>
      <c r="AK29" s="226">
        <f>(1-AK30/100)*(1+AK31/100)*(1+AK33/100)</f>
        <v>1</v>
      </c>
      <c r="AL29" s="203"/>
      <c r="AM29" s="203"/>
      <c r="AN29" s="203"/>
      <c r="AO29" s="226">
        <f t="shared" ref="AO29:BF29" si="3">(1-AO30/100)*(1+AO31/100)*(1+AO33/100)</f>
        <v>1</v>
      </c>
      <c r="AP29" s="226">
        <f t="shared" si="3"/>
        <v>1</v>
      </c>
      <c r="AQ29" s="226">
        <f t="shared" si="3"/>
        <v>1</v>
      </c>
      <c r="AR29" s="226">
        <f t="shared" si="3"/>
        <v>1</v>
      </c>
      <c r="AS29" s="226">
        <f t="shared" si="3"/>
        <v>1</v>
      </c>
      <c r="AT29" s="226">
        <f t="shared" si="3"/>
        <v>1</v>
      </c>
      <c r="AU29" s="226">
        <f t="shared" si="3"/>
        <v>1</v>
      </c>
      <c r="AV29" s="226">
        <f t="shared" si="3"/>
        <v>1</v>
      </c>
      <c r="AW29" s="226">
        <f t="shared" si="3"/>
        <v>1</v>
      </c>
      <c r="AX29" s="226">
        <f t="shared" si="3"/>
        <v>1</v>
      </c>
      <c r="AY29" s="226">
        <f t="shared" si="3"/>
        <v>1</v>
      </c>
      <c r="AZ29" s="226">
        <f t="shared" si="3"/>
        <v>1</v>
      </c>
      <c r="BA29" s="226">
        <f t="shared" si="3"/>
        <v>1</v>
      </c>
      <c r="BB29" s="226">
        <f t="shared" si="3"/>
        <v>1</v>
      </c>
      <c r="BC29" s="226">
        <f t="shared" si="3"/>
        <v>1</v>
      </c>
      <c r="BD29" s="226">
        <f t="shared" si="3"/>
        <v>1</v>
      </c>
      <c r="BE29" s="226">
        <f t="shared" si="3"/>
        <v>1</v>
      </c>
      <c r="BF29" s="226">
        <f t="shared" si="3"/>
        <v>1</v>
      </c>
    </row>
    <row r="30" spans="1:65" ht="21.95" hidden="1" customHeight="1">
      <c r="B30" s="354" t="b">
        <f>method_reg&lt;&gt;"Метод экономически обоснованных расходов"</f>
        <v>1</v>
      </c>
      <c r="E30" s="459">
        <v>22.5</v>
      </c>
      <c r="F30" s="3" cm="1">
        <f t="array" aca="1" ref="F30" ca="1">OFFSET(E30,-1,1)</f>
        <v>0</v>
      </c>
      <c r="G30" s="57" t="s">
        <v>460</v>
      </c>
      <c r="H30" s="57" t="s">
        <v>461</v>
      </c>
      <c r="U30" s="365" t="b" cm="1">
        <f t="array" ref="U30">U29</f>
        <v>0</v>
      </c>
      <c r="Y30" s="1050"/>
      <c r="Z30" s="1076"/>
      <c r="AB30" s="68">
        <v>1</v>
      </c>
      <c r="AC30" s="69" t="s">
        <v>462</v>
      </c>
      <c r="AD30" s="71" t="s">
        <v>456</v>
      </c>
      <c r="AE30" s="838"/>
      <c r="AF30" s="838"/>
      <c r="AG30" s="838"/>
      <c r="AH30" s="839"/>
      <c r="AI30" s="838"/>
      <c r="AJ30" s="838"/>
      <c r="AK30" s="838"/>
      <c r="AL30" s="212">
        <f>IF(AI30&lt;&gt;0,AK30/AI30,0)</f>
        <v>0</v>
      </c>
      <c r="AM30" s="211">
        <f>AK30-AJ30</f>
        <v>0</v>
      </c>
      <c r="AN30" s="839"/>
      <c r="AO30" s="838"/>
      <c r="AP30" s="838"/>
      <c r="AQ30" s="838"/>
      <c r="AR30" s="838"/>
      <c r="AS30" s="838"/>
      <c r="AT30" s="838"/>
      <c r="AU30" s="838"/>
      <c r="AV30" s="838"/>
      <c r="AW30" s="838"/>
      <c r="AX30" s="838"/>
      <c r="AY30" s="838"/>
      <c r="AZ30" s="838"/>
      <c r="BA30" s="838"/>
      <c r="BB30" s="838"/>
      <c r="BC30" s="838"/>
      <c r="BD30" s="838"/>
      <c r="BE30" s="838"/>
      <c r="BF30" s="838"/>
      <c r="BI30" s="665" t="s">
        <v>463</v>
      </c>
    </row>
    <row r="31" spans="1:65" ht="14.65" hidden="1" customHeight="1">
      <c r="E31" s="459">
        <v>15</v>
      </c>
      <c r="F31" s="3" cm="1">
        <f t="array" aca="1" ref="F31" ca="1">OFFSET(E31,-1,1)</f>
        <v>0</v>
      </c>
      <c r="G31" s="57" t="s">
        <v>464</v>
      </c>
      <c r="H31" s="57" t="s">
        <v>465</v>
      </c>
      <c r="U31" s="365" t="b" cm="1">
        <f t="array" ref="U31">U30</f>
        <v>0</v>
      </c>
      <c r="Y31" s="1050"/>
      <c r="Z31" s="1076"/>
      <c r="AB31" s="68">
        <f>IF(B30,2,1)</f>
        <v>2</v>
      </c>
      <c r="AC31" s="70" t="s">
        <v>466</v>
      </c>
      <c r="AD31" s="71" t="s">
        <v>456</v>
      </c>
      <c r="AE31" s="838"/>
      <c r="AF31" s="838"/>
      <c r="AG31" s="838"/>
      <c r="AH31" s="839"/>
      <c r="AI31" s="838"/>
      <c r="AJ31" s="838"/>
      <c r="AK31" s="838"/>
      <c r="AL31" s="212">
        <f>IF(AI31&lt;&gt;0,AK31/AI31,0)</f>
        <v>0</v>
      </c>
      <c r="AM31" s="211">
        <f>AK31-AJ31</f>
        <v>0</v>
      </c>
      <c r="AN31" s="839"/>
      <c r="AO31" s="838"/>
      <c r="AP31" s="838"/>
      <c r="AQ31" s="838"/>
      <c r="AR31" s="838"/>
      <c r="AS31" s="838"/>
      <c r="AT31" s="838"/>
      <c r="AU31" s="838"/>
      <c r="AV31" s="838"/>
      <c r="AW31" s="838"/>
      <c r="AX31" s="838"/>
      <c r="AY31" s="838"/>
      <c r="AZ31" s="838"/>
      <c r="BA31" s="838"/>
      <c r="BB31" s="838"/>
      <c r="BC31" s="838"/>
      <c r="BD31" s="838"/>
      <c r="BE31" s="838"/>
      <c r="BF31" s="838"/>
      <c r="BI31" s="665" t="s">
        <v>467</v>
      </c>
    </row>
    <row r="32" spans="1:65" ht="14.65" hidden="1" customHeight="1">
      <c r="E32" s="459">
        <v>15</v>
      </c>
      <c r="F32" s="3" cm="1">
        <f t="array" aca="1" ref="F32" ca="1">OFFSET(E32,-1,1)</f>
        <v>0</v>
      </c>
      <c r="H32" s="57" t="s">
        <v>468</v>
      </c>
      <c r="U32" s="365" t="b" cm="1">
        <f t="array" ref="U32">U31</f>
        <v>0</v>
      </c>
      <c r="Y32" s="1050"/>
      <c r="Z32" s="1076"/>
      <c r="AB32" s="68">
        <f>AB31+1</f>
        <v>3</v>
      </c>
      <c r="AC32" s="72" t="s">
        <v>469</v>
      </c>
      <c r="AD32" s="71" t="s">
        <v>456</v>
      </c>
      <c r="AE32" s="838"/>
      <c r="AF32" s="838"/>
      <c r="AG32" s="838"/>
      <c r="AH32" s="839"/>
      <c r="AI32" s="838"/>
      <c r="AJ32" s="838"/>
      <c r="AK32" s="838"/>
      <c r="AL32" s="212">
        <f>IF(AI32&lt;&gt;0,AK32/AI32,0)</f>
        <v>0</v>
      </c>
      <c r="AM32" s="211">
        <f>AK32-AJ32</f>
        <v>0</v>
      </c>
      <c r="AN32" s="839"/>
      <c r="AO32" s="838"/>
      <c r="AP32" s="838"/>
      <c r="AQ32" s="838"/>
      <c r="AR32" s="838"/>
      <c r="AS32" s="838"/>
      <c r="AT32" s="838"/>
      <c r="AU32" s="838"/>
      <c r="AV32" s="838"/>
      <c r="AW32" s="838"/>
      <c r="AX32" s="838"/>
      <c r="AY32" s="838"/>
      <c r="AZ32" s="838"/>
      <c r="BA32" s="838"/>
      <c r="BB32" s="838"/>
      <c r="BC32" s="838"/>
      <c r="BD32" s="838"/>
      <c r="BE32" s="838"/>
      <c r="BF32" s="838"/>
      <c r="BI32" s="665" t="s">
        <v>470</v>
      </c>
    </row>
    <row r="33" spans="1:65" ht="14.65" hidden="1" customHeight="1">
      <c r="B33" s="354" t="b">
        <f>method_reg&lt;&gt;"Метод экономически обоснованных расходов"</f>
        <v>1</v>
      </c>
      <c r="E33" s="459">
        <v>15</v>
      </c>
      <c r="F33" s="3" cm="1">
        <f t="array" aca="1" ref="F33" ca="1">OFFSET(E33,-1,1)</f>
        <v>0</v>
      </c>
      <c r="G33" s="57" t="s">
        <v>471</v>
      </c>
      <c r="H33" s="57" t="s">
        <v>472</v>
      </c>
      <c r="U33" s="365" t="b" cm="1">
        <f t="array" ref="U33">U32</f>
        <v>0</v>
      </c>
      <c r="Y33" s="1050"/>
      <c r="Z33" s="1076"/>
      <c r="AB33" s="68">
        <v>4</v>
      </c>
      <c r="AC33" s="70" t="s">
        <v>473</v>
      </c>
      <c r="AD33" s="71" t="s">
        <v>456</v>
      </c>
      <c r="AE33" s="838"/>
      <c r="AF33" s="838"/>
      <c r="AG33" s="838"/>
      <c r="AH33" s="839"/>
      <c r="AI33" s="838"/>
      <c r="AJ33" s="838"/>
      <c r="AK33" s="838"/>
      <c r="AL33" s="212">
        <f>IF(AI33&lt;&gt;0,AK33/AI33,0)</f>
        <v>0</v>
      </c>
      <c r="AM33" s="211">
        <f>AK33-AJ33</f>
        <v>0</v>
      </c>
      <c r="AN33" s="839"/>
      <c r="AO33" s="838"/>
      <c r="AP33" s="838"/>
      <c r="AQ33" s="838"/>
      <c r="AR33" s="838"/>
      <c r="AS33" s="838"/>
      <c r="AT33" s="838"/>
      <c r="AU33" s="838"/>
      <c r="AV33" s="838"/>
      <c r="AW33" s="838"/>
      <c r="AX33" s="838"/>
      <c r="AY33" s="838"/>
      <c r="AZ33" s="838"/>
      <c r="BA33" s="838"/>
      <c r="BB33" s="838"/>
      <c r="BC33" s="838"/>
      <c r="BD33" s="838"/>
      <c r="BE33" s="838"/>
      <c r="BF33" s="838"/>
      <c r="BI33" s="665" t="s">
        <v>474</v>
      </c>
    </row>
    <row r="34" spans="1:65" s="23" customFormat="1" ht="14.65" hidden="1" customHeight="1">
      <c r="A34" s="57"/>
      <c r="B34" s="354"/>
      <c r="C34" s="57"/>
      <c r="D34" s="57"/>
      <c r="E34" s="459">
        <v>15</v>
      </c>
      <c r="F34" s="280" cm="1">
        <f t="array" aca="1" ref="F34" ca="1">OFFSET(E34,-1,1)</f>
        <v>0</v>
      </c>
      <c r="G34" s="57"/>
      <c r="H34" s="57"/>
      <c r="I34" s="57"/>
      <c r="J34" s="57"/>
      <c r="K34" s="57"/>
      <c r="L34" s="57"/>
      <c r="M34" s="57"/>
      <c r="N34" s="57"/>
      <c r="O34" s="57"/>
      <c r="P34" s="57"/>
      <c r="Q34" s="57"/>
      <c r="R34" s="57"/>
      <c r="S34" s="57"/>
      <c r="T34" s="57"/>
      <c r="U34" s="365" t="b" cm="1">
        <f t="array" ref="U34">U33</f>
        <v>0</v>
      </c>
      <c r="V34" s="57"/>
      <c r="W34" s="57"/>
      <c r="X34" s="57"/>
      <c r="Y34" s="1050"/>
      <c r="Z34" s="1076"/>
      <c r="AA34" s="57"/>
      <c r="AB34" s="68">
        <v>5</v>
      </c>
      <c r="AC34" s="70" t="s">
        <v>475</v>
      </c>
      <c r="AD34" s="71" t="s">
        <v>456</v>
      </c>
      <c r="AE34" s="838"/>
      <c r="AF34" s="838"/>
      <c r="AG34" s="838"/>
      <c r="AH34" s="839"/>
      <c r="AI34" s="838"/>
      <c r="AJ34" s="838"/>
      <c r="AK34" s="838"/>
      <c r="AL34" s="212">
        <f>IF(AI34&lt;&gt;0,AK34/AI34,0)</f>
        <v>0</v>
      </c>
      <c r="AM34" s="211">
        <f>AK34-AJ34</f>
        <v>0</v>
      </c>
      <c r="AN34" s="839"/>
      <c r="AO34" s="838"/>
      <c r="AP34" s="838"/>
      <c r="AQ34" s="838"/>
      <c r="AR34" s="838"/>
      <c r="AS34" s="838"/>
      <c r="AT34" s="838"/>
      <c r="AU34" s="838"/>
      <c r="AV34" s="838"/>
      <c r="AW34" s="838"/>
      <c r="AX34" s="838"/>
      <c r="AY34" s="838"/>
      <c r="AZ34" s="838"/>
      <c r="BA34" s="838"/>
      <c r="BB34" s="838"/>
      <c r="BC34" s="838"/>
      <c r="BD34" s="838"/>
      <c r="BE34" s="838"/>
      <c r="BF34" s="838"/>
      <c r="BG34" s="57"/>
      <c r="BH34" s="57"/>
      <c r="BI34" s="665" t="s">
        <v>476</v>
      </c>
      <c r="BJ34" s="665"/>
      <c r="BK34" s="665"/>
      <c r="BL34" s="459"/>
      <c r="BM34" s="459"/>
    </row>
    <row r="35" spans="1:65" ht="14.65" hidden="1" customHeight="1">
      <c r="E35" s="459">
        <v>15</v>
      </c>
      <c r="F35" s="3" cm="1">
        <f t="array" aca="1" ref="F35" ca="1">OFFSET(E35,-1,1)</f>
        <v>0</v>
      </c>
      <c r="U35" s="365" t="b" cm="1">
        <f t="array" ref="U35">U33</f>
        <v>0</v>
      </c>
      <c r="Y35" s="1050"/>
      <c r="Z35" s="1076"/>
      <c r="AB35" s="201"/>
      <c r="AC35" s="202" t="s">
        <v>477</v>
      </c>
      <c r="AD35" s="203"/>
      <c r="AE35" s="208"/>
      <c r="AF35" s="208"/>
      <c r="AG35" s="208"/>
      <c r="AH35" s="203"/>
      <c r="AI35" s="208"/>
      <c r="AJ35" s="208"/>
      <c r="AK35" s="208"/>
      <c r="AL35" s="213"/>
      <c r="AM35" s="208"/>
      <c r="AN35" s="203"/>
      <c r="AO35" s="208"/>
      <c r="AP35" s="208"/>
      <c r="AQ35" s="208"/>
      <c r="AR35" s="208"/>
      <c r="AS35" s="208"/>
      <c r="AT35" s="208"/>
      <c r="AU35" s="208"/>
      <c r="AV35" s="208"/>
      <c r="AW35" s="208"/>
      <c r="AX35" s="208"/>
      <c r="AY35" s="208"/>
      <c r="AZ35" s="208"/>
      <c r="BA35" s="208"/>
      <c r="BB35" s="208"/>
      <c r="BC35" s="208"/>
      <c r="BD35" s="208"/>
      <c r="BE35" s="208"/>
      <c r="BF35" s="214"/>
    </row>
    <row r="36" spans="1:65" ht="14.65" hidden="1" customHeight="1">
      <c r="E36" s="459">
        <v>15</v>
      </c>
      <c r="F36" s="3" cm="1">
        <f t="array" aca="1" ref="F36" ca="1">OFFSET(E36,-1,1)</f>
        <v>0</v>
      </c>
      <c r="G36" s="57" t="s">
        <v>478</v>
      </c>
      <c r="H36" s="57" t="s">
        <v>479</v>
      </c>
      <c r="U36" s="365" t="b" cm="1">
        <f t="array" ref="U36">U35</f>
        <v>0</v>
      </c>
      <c r="Y36" s="1050"/>
      <c r="Z36" s="1076"/>
      <c r="AB36" s="68">
        <v>1</v>
      </c>
      <c r="AC36" s="70" t="s">
        <v>480</v>
      </c>
      <c r="AD36" s="71" t="s">
        <v>456</v>
      </c>
      <c r="AE36" s="840"/>
      <c r="AF36" s="840"/>
      <c r="AG36" s="840"/>
      <c r="AH36" s="839"/>
      <c r="AI36" s="840"/>
      <c r="AJ36" s="840"/>
      <c r="AK36" s="840"/>
      <c r="AL36" s="212">
        <f>IF(AI36&lt;&gt;0,AK36/AI36,0)</f>
        <v>0</v>
      </c>
      <c r="AM36" s="211">
        <f>AK36-AJ36</f>
        <v>0</v>
      </c>
      <c r="AN36" s="839"/>
      <c r="AO36" s="840"/>
      <c r="AP36" s="840"/>
      <c r="AQ36" s="840"/>
      <c r="AR36" s="840"/>
      <c r="AS36" s="840"/>
      <c r="AT36" s="840"/>
      <c r="AU36" s="840"/>
      <c r="AV36" s="840"/>
      <c r="AW36" s="840"/>
      <c r="AX36" s="840"/>
      <c r="AY36" s="840"/>
      <c r="AZ36" s="840"/>
      <c r="BA36" s="840"/>
      <c r="BB36" s="840"/>
      <c r="BC36" s="840"/>
      <c r="BD36" s="840"/>
      <c r="BE36" s="840"/>
      <c r="BF36" s="840"/>
      <c r="BI36" s="665" t="s">
        <v>481</v>
      </c>
    </row>
    <row r="37" spans="1:65" ht="15" hidden="1" customHeight="1">
      <c r="E37" s="459">
        <v>0</v>
      </c>
      <c r="F37" s="3" cm="1">
        <f t="array" aca="1" ref="F37" ca="1">OFFSET(E37,-1,1)</f>
        <v>0</v>
      </c>
      <c r="H37" s="57" t="s">
        <v>482</v>
      </c>
      <c r="U37" s="365" t="b" cm="1">
        <f t="array" ref="U37">U36</f>
        <v>0</v>
      </c>
      <c r="Y37" s="1050"/>
      <c r="Z37" s="1076"/>
      <c r="AB37" s="68">
        <v>2</v>
      </c>
      <c r="AC37" s="70" t="s">
        <v>455</v>
      </c>
      <c r="AD37" s="71" t="s">
        <v>456</v>
      </c>
      <c r="AE37" s="840"/>
      <c r="AF37" s="838"/>
      <c r="AG37" s="840"/>
      <c r="AH37" s="839"/>
      <c r="AI37" s="840"/>
      <c r="AJ37" s="840"/>
      <c r="AK37" s="840"/>
      <c r="AL37" s="212">
        <f>IF(AI37&lt;&gt;0,AK37/AI37,0)</f>
        <v>0</v>
      </c>
      <c r="AM37" s="211">
        <f>AK37-AJ37</f>
        <v>0</v>
      </c>
      <c r="AN37" s="839"/>
      <c r="AO37" s="840"/>
      <c r="AP37" s="840"/>
      <c r="AQ37" s="840"/>
      <c r="AR37" s="840"/>
      <c r="AS37" s="840"/>
      <c r="AT37" s="840"/>
      <c r="AU37" s="840"/>
      <c r="AV37" s="840"/>
      <c r="AW37" s="840"/>
      <c r="AX37" s="840"/>
      <c r="AY37" s="840"/>
      <c r="AZ37" s="840"/>
      <c r="BA37" s="840"/>
      <c r="BB37" s="840"/>
      <c r="BC37" s="840"/>
      <c r="BD37" s="840"/>
      <c r="BE37" s="840"/>
      <c r="BF37" s="840"/>
      <c r="BI37" s="665" t="s">
        <v>483</v>
      </c>
    </row>
    <row r="38" spans="1:65" ht="14.65" hidden="1" customHeight="1">
      <c r="E38" s="459">
        <v>15</v>
      </c>
      <c r="F38" s="3" cm="1">
        <f t="array" aca="1" ref="F38" ca="1">OFFSET(E38,-1,1)</f>
        <v>0</v>
      </c>
      <c r="U38" s="365" t="b" cm="1">
        <f t="array" ref="U38">U37</f>
        <v>0</v>
      </c>
      <c r="Y38" s="1050"/>
      <c r="Z38" s="1076"/>
      <c r="AB38" s="447">
        <v>2</v>
      </c>
      <c r="AC38" s="448" t="s">
        <v>484</v>
      </c>
      <c r="AD38" s="32"/>
      <c r="AE38" s="449"/>
      <c r="AF38" s="450"/>
      <c r="AG38" s="451"/>
      <c r="AH38" s="452"/>
      <c r="AI38" s="449"/>
      <c r="AJ38" s="450"/>
      <c r="AK38" s="450"/>
      <c r="AL38" s="453"/>
      <c r="AM38" s="450"/>
      <c r="AN38" s="452"/>
      <c r="AO38" s="449"/>
      <c r="AP38" s="449"/>
      <c r="AQ38" s="449"/>
      <c r="AR38" s="449"/>
      <c r="AS38" s="449"/>
      <c r="AT38" s="449"/>
      <c r="AU38" s="449"/>
      <c r="AV38" s="449"/>
      <c r="AW38" s="449"/>
      <c r="AX38" s="449"/>
      <c r="AY38" s="449"/>
      <c r="AZ38" s="449"/>
      <c r="BA38" s="449"/>
      <c r="BB38" s="449"/>
      <c r="BC38" s="449"/>
      <c r="BD38" s="449"/>
      <c r="BE38" s="449"/>
      <c r="BF38" s="449"/>
      <c r="BI38" s="665" t="s">
        <v>485</v>
      </c>
    </row>
    <row r="39" spans="1:65" ht="21.95" hidden="1" customHeight="1">
      <c r="E39" s="459">
        <v>22.5</v>
      </c>
      <c r="F39" s="3" cm="1">
        <f t="array" aca="1" ref="F39" ca="1">OFFSET(E39,-1,1)</f>
        <v>0</v>
      </c>
      <c r="H39" s="57" t="s">
        <v>486</v>
      </c>
      <c r="U39" s="365" t="b" cm="1">
        <f t="array" ref="U39">U38</f>
        <v>0</v>
      </c>
      <c r="Y39" s="1050"/>
      <c r="Z39" s="1076"/>
      <c r="AB39" s="152" t="s">
        <v>487</v>
      </c>
      <c r="AC39" s="146" t="s">
        <v>488</v>
      </c>
      <c r="AD39" s="29" t="s">
        <v>489</v>
      </c>
      <c r="AE39" s="841"/>
      <c r="AF39" s="842"/>
      <c r="AG39" s="785"/>
      <c r="AH39" s="843"/>
      <c r="AI39" s="841"/>
      <c r="AJ39" s="842"/>
      <c r="AK39" s="842"/>
      <c r="AL39" s="456">
        <f>IF(AI39&lt;&gt;0,AK39/AI39,0)</f>
        <v>0</v>
      </c>
      <c r="AM39" s="457">
        <f>AK39-AJ39</f>
        <v>0</v>
      </c>
      <c r="AN39" s="843"/>
      <c r="AO39" s="841"/>
      <c r="AP39" s="841"/>
      <c r="AQ39" s="841"/>
      <c r="AR39" s="841"/>
      <c r="AS39" s="841"/>
      <c r="AT39" s="841"/>
      <c r="AU39" s="841"/>
      <c r="AV39" s="841"/>
      <c r="AW39" s="841"/>
      <c r="AX39" s="841"/>
      <c r="AY39" s="841"/>
      <c r="AZ39" s="841"/>
      <c r="BA39" s="841"/>
      <c r="BB39" s="841"/>
      <c r="BC39" s="841"/>
      <c r="BD39" s="841"/>
      <c r="BE39" s="841"/>
      <c r="BF39" s="841"/>
      <c r="BI39" s="665" t="s">
        <v>490</v>
      </c>
    </row>
    <row r="40" spans="1:65" ht="21.95" hidden="1" customHeight="1">
      <c r="E40" s="459">
        <v>22.5</v>
      </c>
      <c r="F40" s="3" cm="1">
        <f t="array" aca="1" ref="F40" ca="1">OFFSET(E40,-1,1)</f>
        <v>0</v>
      </c>
      <c r="I40" s="57" cm="1">
        <f t="array" ref="I40">AC40</f>
        <v>0</v>
      </c>
      <c r="U40" s="365" t="b">
        <f ca="1">AND(F40&gt;0,--RIGHT(AB40,1)&gt;1)</f>
        <v>0</v>
      </c>
      <c r="X40" s="528" t="s">
        <v>173</v>
      </c>
      <c r="Y40" s="1050"/>
      <c r="Z40" s="1076"/>
      <c r="AA40" s="332" t="s">
        <v>174</v>
      </c>
      <c r="AB40" s="152" t="s">
        <v>487</v>
      </c>
      <c r="AC40" s="789"/>
      <c r="AD40" s="29" t="s">
        <v>489</v>
      </c>
      <c r="AE40" s="841"/>
      <c r="AF40" s="842"/>
      <c r="AG40" s="785"/>
      <c r="AH40" s="843"/>
      <c r="AI40" s="841"/>
      <c r="AJ40" s="842"/>
      <c r="AK40" s="842"/>
      <c r="AL40" s="456">
        <f>IF(AI40&lt;&gt;0,AK40/AI40,0)</f>
        <v>0</v>
      </c>
      <c r="AM40" s="457">
        <f>AK40-AJ40</f>
        <v>0</v>
      </c>
      <c r="AN40" s="843"/>
      <c r="AO40" s="841"/>
      <c r="AP40" s="841"/>
      <c r="AQ40" s="841"/>
      <c r="AR40" s="841"/>
      <c r="AS40" s="841"/>
      <c r="AT40" s="841"/>
      <c r="AU40" s="841"/>
      <c r="AV40" s="841"/>
      <c r="AW40" s="841"/>
      <c r="AX40" s="841"/>
      <c r="AY40" s="841"/>
      <c r="AZ40" s="841"/>
      <c r="BA40" s="841"/>
      <c r="BB40" s="841"/>
      <c r="BC40" s="841"/>
      <c r="BD40" s="841"/>
      <c r="BE40" s="841"/>
      <c r="BF40" s="841"/>
      <c r="BI40" s="665" t="s">
        <v>490</v>
      </c>
      <c r="BJ40" s="665" t="s">
        <v>491</v>
      </c>
      <c r="BK40" s="665" cm="1">
        <f t="array" ref="BK40">AC40</f>
        <v>0</v>
      </c>
      <c r="BM40" s="459" t="b">
        <v>1</v>
      </c>
    </row>
    <row r="41" spans="1:65" ht="14.65" hidden="1" customHeight="1">
      <c r="E41" s="459">
        <v>15</v>
      </c>
      <c r="F41" s="3" cm="1">
        <f t="array" aca="1" ref="F41" ca="1">OFFSET(E41,-1,1)</f>
        <v>0</v>
      </c>
      <c r="U41" s="365" t="b">
        <f ca="1">F41&gt;0</f>
        <v>0</v>
      </c>
      <c r="X41" s="528" t="s">
        <v>399</v>
      </c>
      <c r="Y41" s="1050"/>
      <c r="Z41" s="1076"/>
      <c r="AB41" s="108"/>
      <c r="AC41" s="229" t="s">
        <v>177</v>
      </c>
      <c r="AD41" s="109"/>
      <c r="AE41" s="109"/>
      <c r="AF41" s="109"/>
      <c r="AG41" s="109"/>
      <c r="AH41" s="109"/>
      <c r="AI41" s="109"/>
      <c r="AJ41" s="109"/>
      <c r="AK41" s="109"/>
      <c r="AL41" s="109"/>
      <c r="AM41" s="109"/>
      <c r="AN41" s="109"/>
      <c r="AO41" s="109"/>
      <c r="AP41" s="109"/>
      <c r="AQ41" s="109"/>
      <c r="AR41" s="109"/>
      <c r="AS41" s="109"/>
      <c r="AT41" s="109"/>
      <c r="AU41" s="109"/>
      <c r="AV41" s="109"/>
      <c r="AW41" s="109"/>
      <c r="AX41" s="109"/>
      <c r="AY41" s="109"/>
      <c r="AZ41" s="109"/>
      <c r="BA41" s="109"/>
      <c r="BB41" s="109"/>
      <c r="BC41" s="109"/>
      <c r="BD41" s="109"/>
      <c r="BE41" s="109"/>
      <c r="BF41" s="109"/>
      <c r="BL41" s="459" t="s">
        <v>491</v>
      </c>
    </row>
    <row r="42" spans="1:65" ht="21.95" hidden="1" customHeight="1">
      <c r="E42" s="459">
        <v>22.5</v>
      </c>
      <c r="F42" s="3" cm="1">
        <f t="array" aca="1" ref="F42" ca="1">OFFSET(E42,-1,1)</f>
        <v>0</v>
      </c>
      <c r="H42" s="57" t="s">
        <v>492</v>
      </c>
      <c r="U42" s="365" t="b" cm="1">
        <f t="array" aca="1" ref="U42" ca="1">U41</f>
        <v>0</v>
      </c>
      <c r="Y42" s="1050"/>
      <c r="Z42" s="1076"/>
      <c r="AB42" s="439" t="s">
        <v>493</v>
      </c>
      <c r="AC42" s="440" t="s">
        <v>494</v>
      </c>
      <c r="AD42" s="436" t="s">
        <v>489</v>
      </c>
      <c r="AE42" s="844"/>
      <c r="AF42" s="845"/>
      <c r="AG42" s="846"/>
      <c r="AH42" s="847"/>
      <c r="AI42" s="844"/>
      <c r="AJ42" s="845"/>
      <c r="AK42" s="845"/>
      <c r="AL42" s="445">
        <f>IF(AI42&lt;&gt;0,AK42/AI42,0)</f>
        <v>0</v>
      </c>
      <c r="AM42" s="446">
        <f>AK42-AJ42</f>
        <v>0</v>
      </c>
      <c r="AN42" s="847"/>
      <c r="AO42" s="844"/>
      <c r="AP42" s="844"/>
      <c r="AQ42" s="844"/>
      <c r="AR42" s="844"/>
      <c r="AS42" s="844"/>
      <c r="AT42" s="844"/>
      <c r="AU42" s="844"/>
      <c r="AV42" s="844"/>
      <c r="AW42" s="844"/>
      <c r="AX42" s="844"/>
      <c r="AY42" s="844"/>
      <c r="AZ42" s="844"/>
      <c r="BA42" s="844"/>
      <c r="BB42" s="844"/>
      <c r="BC42" s="844"/>
      <c r="BD42" s="844"/>
      <c r="BE42" s="844"/>
      <c r="BF42" s="844"/>
      <c r="BI42" s="665" t="s">
        <v>495</v>
      </c>
    </row>
    <row r="43" spans="1:65" ht="21.95" hidden="1" customHeight="1">
      <c r="E43" s="459">
        <v>22.5</v>
      </c>
      <c r="F43" s="3" cm="1">
        <f t="array" aca="1" ref="F43" ca="1">OFFSET(E43,-1,1)</f>
        <v>0</v>
      </c>
      <c r="I43" s="57" cm="1">
        <f t="array" ref="I43">AC43</f>
        <v>0</v>
      </c>
      <c r="U43" s="365" t="b">
        <f ca="1">AND(F43&gt;0,--RIGHT(AB43,1)&gt;1)</f>
        <v>0</v>
      </c>
      <c r="X43" s="528" t="s">
        <v>173</v>
      </c>
      <c r="Y43" s="1050"/>
      <c r="Z43" s="1076"/>
      <c r="AA43" s="332" t="s">
        <v>174</v>
      </c>
      <c r="AB43" s="439" t="s">
        <v>493</v>
      </c>
      <c r="AC43" s="848"/>
      <c r="AD43" s="436" t="s">
        <v>489</v>
      </c>
      <c r="AE43" s="844"/>
      <c r="AF43" s="845"/>
      <c r="AG43" s="846"/>
      <c r="AH43" s="847"/>
      <c r="AI43" s="844"/>
      <c r="AJ43" s="845"/>
      <c r="AK43" s="845"/>
      <c r="AL43" s="445">
        <f>IF(AI43&lt;&gt;0,AK43/AI43,0)</f>
        <v>0</v>
      </c>
      <c r="AM43" s="446">
        <f>AK43-AJ43</f>
        <v>0</v>
      </c>
      <c r="AN43" s="847"/>
      <c r="AO43" s="844"/>
      <c r="AP43" s="844"/>
      <c r="AQ43" s="844"/>
      <c r="AR43" s="844"/>
      <c r="AS43" s="844"/>
      <c r="AT43" s="844"/>
      <c r="AU43" s="844"/>
      <c r="AV43" s="844"/>
      <c r="AW43" s="844"/>
      <c r="AX43" s="844"/>
      <c r="AY43" s="844"/>
      <c r="AZ43" s="844"/>
      <c r="BA43" s="844"/>
      <c r="BB43" s="844"/>
      <c r="BC43" s="844"/>
      <c r="BD43" s="844"/>
      <c r="BE43" s="844"/>
      <c r="BF43" s="844"/>
      <c r="BI43" s="665" t="s">
        <v>495</v>
      </c>
      <c r="BJ43" s="665" t="s">
        <v>496</v>
      </c>
      <c r="BK43" s="665" cm="1">
        <f t="array" ref="BK43">AC43</f>
        <v>0</v>
      </c>
      <c r="BM43" s="459" t="b">
        <v>1</v>
      </c>
    </row>
    <row r="44" spans="1:65" ht="14.65" hidden="1" customHeight="1">
      <c r="E44" s="459">
        <v>15</v>
      </c>
      <c r="F44" s="3" cm="1">
        <f t="array" aca="1" ref="F44" ca="1">OFFSET(E44,-1,1)</f>
        <v>0</v>
      </c>
      <c r="U44" s="365" t="b">
        <f ca="1">F44&gt;0</f>
        <v>0</v>
      </c>
      <c r="X44" s="528" t="s">
        <v>399</v>
      </c>
      <c r="Y44" s="1050"/>
      <c r="Z44" s="1076"/>
      <c r="AB44" s="108"/>
      <c r="AC44" s="229" t="s">
        <v>177</v>
      </c>
      <c r="AD44" s="109"/>
      <c r="AE44" s="109"/>
      <c r="AF44" s="109"/>
      <c r="AG44" s="109"/>
      <c r="AH44" s="109"/>
      <c r="AI44" s="109"/>
      <c r="AJ44" s="109"/>
      <c r="AK44" s="109"/>
      <c r="AL44" s="109"/>
      <c r="AM44" s="109"/>
      <c r="AN44" s="109"/>
      <c r="AO44" s="109"/>
      <c r="AP44" s="109"/>
      <c r="AQ44" s="109"/>
      <c r="AR44" s="109"/>
      <c r="AS44" s="109"/>
      <c r="AT44" s="109"/>
      <c r="AU44" s="109"/>
      <c r="AV44" s="109"/>
      <c r="AW44" s="109"/>
      <c r="AX44" s="109"/>
      <c r="AY44" s="109"/>
      <c r="AZ44" s="109"/>
      <c r="BA44" s="109"/>
      <c r="BB44" s="109"/>
      <c r="BC44" s="109"/>
      <c r="BD44" s="109"/>
      <c r="BE44" s="109"/>
      <c r="BF44" s="109"/>
      <c r="BL44" s="459" t="s">
        <v>496</v>
      </c>
    </row>
    <row r="45" spans="1:65" ht="21.95" hidden="1" customHeight="1">
      <c r="E45" s="459">
        <v>22.5</v>
      </c>
      <c r="F45" s="3" cm="1">
        <f t="array" aca="1" ref="F45" ca="1">OFFSET(E45,-1,1)</f>
        <v>0</v>
      </c>
      <c r="H45" s="57" t="s">
        <v>497</v>
      </c>
      <c r="U45" s="365" t="b" cm="1">
        <f t="array" aca="1" ref="U45" ca="1">U44</f>
        <v>0</v>
      </c>
      <c r="Y45" s="1050"/>
      <c r="Z45" s="1076"/>
      <c r="AB45" s="58" t="s">
        <v>498</v>
      </c>
      <c r="AC45" s="124" t="s">
        <v>499</v>
      </c>
      <c r="AD45" s="30" t="s">
        <v>489</v>
      </c>
      <c r="AE45" s="838"/>
      <c r="AF45" s="840"/>
      <c r="AG45" s="849"/>
      <c r="AH45" s="839"/>
      <c r="AI45" s="838"/>
      <c r="AJ45" s="840"/>
      <c r="AK45" s="840"/>
      <c r="AL45" s="212">
        <f>IF(AI45&lt;&gt;0,AK45/AI45,0)</f>
        <v>0</v>
      </c>
      <c r="AM45" s="211">
        <f>AK45-AJ45</f>
        <v>0</v>
      </c>
      <c r="AN45" s="839"/>
      <c r="AO45" s="838"/>
      <c r="AP45" s="838"/>
      <c r="AQ45" s="838"/>
      <c r="AR45" s="838"/>
      <c r="AS45" s="838"/>
      <c r="AT45" s="838"/>
      <c r="AU45" s="838"/>
      <c r="AV45" s="838"/>
      <c r="AW45" s="838"/>
      <c r="AX45" s="838"/>
      <c r="AY45" s="838"/>
      <c r="AZ45" s="838"/>
      <c r="BA45" s="838"/>
      <c r="BB45" s="838"/>
      <c r="BC45" s="838"/>
      <c r="BD45" s="838"/>
      <c r="BE45" s="838"/>
      <c r="BF45" s="838"/>
      <c r="BI45" s="665" t="s">
        <v>500</v>
      </c>
    </row>
    <row r="46" spans="1:65" ht="21.95" hidden="1" customHeight="1">
      <c r="E46" s="459">
        <v>22.5</v>
      </c>
      <c r="F46" s="3" cm="1">
        <f t="array" aca="1" ref="F46" ca="1">OFFSET(E46,-1,1)</f>
        <v>0</v>
      </c>
      <c r="I46" s="57" cm="1">
        <f t="array" ref="I46">AC46</f>
        <v>0</v>
      </c>
      <c r="U46" s="365" t="b">
        <f ca="1">AND(F46&gt;0,--RIGHT(AB46,1)&gt;1)</f>
        <v>0</v>
      </c>
      <c r="X46" s="528" t="s">
        <v>173</v>
      </c>
      <c r="Y46" s="1050"/>
      <c r="Z46" s="1076"/>
      <c r="AA46" s="332" t="s">
        <v>174</v>
      </c>
      <c r="AB46" s="58" t="s">
        <v>498</v>
      </c>
      <c r="AC46" s="850"/>
      <c r="AD46" s="30" t="s">
        <v>489</v>
      </c>
      <c r="AE46" s="838"/>
      <c r="AF46" s="840"/>
      <c r="AG46" s="849"/>
      <c r="AH46" s="839"/>
      <c r="AI46" s="838"/>
      <c r="AJ46" s="840"/>
      <c r="AK46" s="840"/>
      <c r="AL46" s="212">
        <f>IF(AI46&lt;&gt;0,AK46/AI46,0)</f>
        <v>0</v>
      </c>
      <c r="AM46" s="211">
        <f>AK46-AJ46</f>
        <v>0</v>
      </c>
      <c r="AN46" s="839"/>
      <c r="AO46" s="838"/>
      <c r="AP46" s="838"/>
      <c r="AQ46" s="838"/>
      <c r="AR46" s="838"/>
      <c r="AS46" s="838"/>
      <c r="AT46" s="838"/>
      <c r="AU46" s="838"/>
      <c r="AV46" s="838"/>
      <c r="AW46" s="838"/>
      <c r="AX46" s="838"/>
      <c r="AY46" s="838"/>
      <c r="AZ46" s="838"/>
      <c r="BA46" s="838"/>
      <c r="BB46" s="838"/>
      <c r="BC46" s="838"/>
      <c r="BD46" s="838"/>
      <c r="BE46" s="838"/>
      <c r="BF46" s="838"/>
      <c r="BI46" s="665" t="s">
        <v>500</v>
      </c>
      <c r="BJ46" s="665" t="s">
        <v>501</v>
      </c>
      <c r="BK46" s="665" cm="1">
        <f t="array" ref="BK46">AC46</f>
        <v>0</v>
      </c>
      <c r="BM46" s="459" t="b">
        <v>1</v>
      </c>
    </row>
    <row r="47" spans="1:65" ht="14.65" hidden="1" customHeight="1">
      <c r="E47" s="459">
        <v>15</v>
      </c>
      <c r="F47" s="3" cm="1">
        <f t="array" aca="1" ref="F47" ca="1">OFFSET(E47,-1,1)</f>
        <v>0</v>
      </c>
      <c r="U47" s="365" t="b">
        <f ca="1">F47&gt;0</f>
        <v>0</v>
      </c>
      <c r="X47" s="528" t="s">
        <v>399</v>
      </c>
      <c r="Y47" s="1050"/>
      <c r="Z47" s="1076"/>
      <c r="AB47" s="108"/>
      <c r="AC47" s="229" t="s">
        <v>177</v>
      </c>
      <c r="AD47" s="109"/>
      <c r="AE47" s="109"/>
      <c r="AF47" s="109"/>
      <c r="AG47" s="109"/>
      <c r="AH47" s="109"/>
      <c r="AI47" s="109"/>
      <c r="AJ47" s="109"/>
      <c r="AK47" s="109"/>
      <c r="AL47" s="109"/>
      <c r="AM47" s="109"/>
      <c r="AN47" s="109"/>
      <c r="AO47" s="109"/>
      <c r="AP47" s="109"/>
      <c r="AQ47" s="109"/>
      <c r="AR47" s="109"/>
      <c r="AS47" s="109"/>
      <c r="AT47" s="109"/>
      <c r="AU47" s="109"/>
      <c r="AV47" s="109"/>
      <c r="AW47" s="109"/>
      <c r="AX47" s="109"/>
      <c r="AY47" s="109"/>
      <c r="AZ47" s="109"/>
      <c r="BA47" s="109"/>
      <c r="BB47" s="109"/>
      <c r="BC47" s="109"/>
      <c r="BD47" s="109"/>
      <c r="BE47" s="109"/>
      <c r="BF47" s="109"/>
      <c r="BL47" s="459" t="s">
        <v>501</v>
      </c>
    </row>
    <row r="48" spans="1:65" ht="21.95" hidden="1" customHeight="1">
      <c r="E48" s="459">
        <v>22.5</v>
      </c>
      <c r="F48" s="3" cm="1">
        <f t="array" aca="1" ref="F48" ca="1">OFFSET(E48,-1,1)</f>
        <v>0</v>
      </c>
      <c r="H48" s="57" t="s">
        <v>502</v>
      </c>
      <c r="U48" s="365" t="b" cm="1">
        <f t="array" aca="1" ref="U48" ca="1">U47</f>
        <v>0</v>
      </c>
      <c r="Y48" s="1050"/>
      <c r="Z48" s="1076"/>
      <c r="AB48" s="58" t="s">
        <v>503</v>
      </c>
      <c r="AC48" s="124" t="s">
        <v>504</v>
      </c>
      <c r="AD48" s="30" t="s">
        <v>489</v>
      </c>
      <c r="AE48" s="838"/>
      <c r="AF48" s="840"/>
      <c r="AG48" s="849"/>
      <c r="AH48" s="839"/>
      <c r="AI48" s="838"/>
      <c r="AJ48" s="840"/>
      <c r="AK48" s="840"/>
      <c r="AL48" s="212">
        <f>IF(AI48&lt;&gt;0,AK48/AI48,0)</f>
        <v>0</v>
      </c>
      <c r="AM48" s="211">
        <f>AK48-AJ48</f>
        <v>0</v>
      </c>
      <c r="AN48" s="839"/>
      <c r="AO48" s="838"/>
      <c r="AP48" s="838"/>
      <c r="AQ48" s="838"/>
      <c r="AR48" s="838"/>
      <c r="AS48" s="838"/>
      <c r="AT48" s="838"/>
      <c r="AU48" s="838"/>
      <c r="AV48" s="838"/>
      <c r="AW48" s="838"/>
      <c r="AX48" s="838"/>
      <c r="AY48" s="838"/>
      <c r="AZ48" s="838"/>
      <c r="BA48" s="838"/>
      <c r="BB48" s="838"/>
      <c r="BC48" s="838"/>
      <c r="BD48" s="838"/>
      <c r="BE48" s="838"/>
      <c r="BF48" s="838"/>
      <c r="BI48" s="665" t="s">
        <v>505</v>
      </c>
    </row>
    <row r="49" spans="1:65" ht="21.95" hidden="1" customHeight="1">
      <c r="E49" s="459">
        <v>22.5</v>
      </c>
      <c r="F49" s="3" cm="1">
        <f t="array" aca="1" ref="F49" ca="1">OFFSET(E49,-1,1)</f>
        <v>0</v>
      </c>
      <c r="I49" s="57" cm="1">
        <f t="array" ref="I49">AC49</f>
        <v>0</v>
      </c>
      <c r="U49" s="365" t="b">
        <f ca="1">AND(F49&gt;0,--RIGHT(AB49,1)&gt;1)</f>
        <v>0</v>
      </c>
      <c r="X49" s="528" t="s">
        <v>173</v>
      </c>
      <c r="Y49" s="1050"/>
      <c r="Z49" s="1076"/>
      <c r="AA49" s="332" t="s">
        <v>174</v>
      </c>
      <c r="AB49" s="58" t="s">
        <v>503</v>
      </c>
      <c r="AC49" s="850"/>
      <c r="AD49" s="30" t="s">
        <v>489</v>
      </c>
      <c r="AE49" s="838"/>
      <c r="AF49" s="840"/>
      <c r="AG49" s="849"/>
      <c r="AH49" s="839"/>
      <c r="AI49" s="838"/>
      <c r="AJ49" s="840"/>
      <c r="AK49" s="840"/>
      <c r="AL49" s="212">
        <f>IF(AI49&lt;&gt;0,AK49/AI49,0)</f>
        <v>0</v>
      </c>
      <c r="AM49" s="211">
        <f>AK49-AJ49</f>
        <v>0</v>
      </c>
      <c r="AN49" s="839"/>
      <c r="AO49" s="838"/>
      <c r="AP49" s="838"/>
      <c r="AQ49" s="838"/>
      <c r="AR49" s="838"/>
      <c r="AS49" s="838"/>
      <c r="AT49" s="838"/>
      <c r="AU49" s="838"/>
      <c r="AV49" s="838"/>
      <c r="AW49" s="838"/>
      <c r="AX49" s="838"/>
      <c r="AY49" s="838"/>
      <c r="AZ49" s="838"/>
      <c r="BA49" s="838"/>
      <c r="BB49" s="838"/>
      <c r="BC49" s="838"/>
      <c r="BD49" s="838"/>
      <c r="BE49" s="838"/>
      <c r="BF49" s="838"/>
      <c r="BI49" s="665" t="s">
        <v>505</v>
      </c>
      <c r="BJ49" s="665" t="s">
        <v>506</v>
      </c>
      <c r="BK49" s="665" cm="1">
        <f t="array" ref="BK49">AC49</f>
        <v>0</v>
      </c>
      <c r="BM49" s="459" t="b">
        <v>1</v>
      </c>
    </row>
    <row r="50" spans="1:65" ht="14.65" hidden="1" customHeight="1">
      <c r="E50" s="459">
        <v>15</v>
      </c>
      <c r="F50" s="3" cm="1">
        <f t="array" aca="1" ref="F50" ca="1">OFFSET(E50,-1,1)</f>
        <v>0</v>
      </c>
      <c r="U50" s="365" t="b">
        <f ca="1">F50&gt;0</f>
        <v>0</v>
      </c>
      <c r="X50" s="528" t="s">
        <v>399</v>
      </c>
      <c r="Y50" s="1050"/>
      <c r="Z50" s="1076"/>
      <c r="AB50" s="108"/>
      <c r="AC50" s="229" t="s">
        <v>177</v>
      </c>
      <c r="AD50" s="109"/>
      <c r="AE50" s="109"/>
      <c r="AF50" s="109"/>
      <c r="AG50" s="109"/>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L50" s="459" t="s">
        <v>506</v>
      </c>
    </row>
    <row r="51" spans="1:65" ht="14.65" hidden="1" customHeight="1">
      <c r="E51" s="459">
        <v>15</v>
      </c>
      <c r="F51" s="3" cm="1">
        <f t="array" aca="1" ref="F51" ca="1">OFFSET(E51,-1,1)</f>
        <v>0</v>
      </c>
      <c r="H51" s="57" t="s">
        <v>331</v>
      </c>
      <c r="U51" s="365" t="b" cm="1">
        <f t="array" aca="1" ref="U51" ca="1">U50</f>
        <v>0</v>
      </c>
      <c r="Y51" s="1050"/>
      <c r="Z51" s="1076"/>
      <c r="AB51" s="68">
        <v>3</v>
      </c>
      <c r="AC51" s="74" t="s">
        <v>507</v>
      </c>
      <c r="AD51" s="71" t="s">
        <v>456</v>
      </c>
      <c r="AE51" s="838"/>
      <c r="AF51" s="840"/>
      <c r="AG51" s="849"/>
      <c r="AH51" s="839"/>
      <c r="AI51" s="838"/>
      <c r="AJ51" s="840"/>
      <c r="AK51" s="840"/>
      <c r="AL51" s="212">
        <f>IF(AI51&lt;&gt;0,AK51/AI51,0)</f>
        <v>0</v>
      </c>
      <c r="AM51" s="211">
        <f>AK51-AJ51</f>
        <v>0</v>
      </c>
      <c r="AN51" s="839"/>
      <c r="AO51" s="838"/>
      <c r="AP51" s="838"/>
      <c r="AQ51" s="838"/>
      <c r="AR51" s="838"/>
      <c r="AS51" s="838"/>
      <c r="AT51" s="838"/>
      <c r="AU51" s="838"/>
      <c r="AV51" s="838"/>
      <c r="AW51" s="838"/>
      <c r="AX51" s="838"/>
      <c r="AY51" s="838"/>
      <c r="AZ51" s="838"/>
      <c r="BA51" s="838"/>
      <c r="BB51" s="838"/>
      <c r="BC51" s="838"/>
      <c r="BD51" s="838"/>
      <c r="BE51" s="838"/>
      <c r="BF51" s="838"/>
      <c r="BI51" s="665" t="s">
        <v>508</v>
      </c>
    </row>
    <row r="52" spans="1:65" ht="14.65" hidden="1" customHeight="1">
      <c r="E52" s="459">
        <v>15</v>
      </c>
      <c r="F52" s="3" cm="1">
        <f t="array" aca="1" ref="F52" ca="1">OFFSET(E52,-1,1)</f>
        <v>0</v>
      </c>
      <c r="H52" s="57" t="s">
        <v>330</v>
      </c>
      <c r="U52" s="365" t="b" cm="1">
        <f t="array" aca="1" ref="U52" ca="1">U51</f>
        <v>0</v>
      </c>
      <c r="Y52" s="1050"/>
      <c r="Z52" s="1076"/>
      <c r="AB52" s="68">
        <v>4</v>
      </c>
      <c r="AC52" s="74" t="s">
        <v>509</v>
      </c>
      <c r="AD52" s="71" t="s">
        <v>456</v>
      </c>
      <c r="AE52" s="838"/>
      <c r="AF52" s="840"/>
      <c r="AG52" s="849"/>
      <c r="AH52" s="839"/>
      <c r="AI52" s="838"/>
      <c r="AJ52" s="840"/>
      <c r="AK52" s="840"/>
      <c r="AL52" s="212">
        <f>IF(AI52&lt;&gt;0,AK52/AI52,0)</f>
        <v>0</v>
      </c>
      <c r="AM52" s="211">
        <f>AK52-AJ52</f>
        <v>0</v>
      </c>
      <c r="AN52" s="839"/>
      <c r="AO52" s="838"/>
      <c r="AP52" s="838"/>
      <c r="AQ52" s="838"/>
      <c r="AR52" s="838"/>
      <c r="AS52" s="838"/>
      <c r="AT52" s="838"/>
      <c r="AU52" s="838"/>
      <c r="AV52" s="838"/>
      <c r="AW52" s="838"/>
      <c r="AX52" s="838"/>
      <c r="AY52" s="838"/>
      <c r="AZ52" s="838"/>
      <c r="BA52" s="838"/>
      <c r="BB52" s="838"/>
      <c r="BC52" s="838"/>
      <c r="BD52" s="838"/>
      <c r="BE52" s="838"/>
      <c r="BF52" s="838"/>
      <c r="BI52" s="665" t="s">
        <v>510</v>
      </c>
    </row>
    <row r="53" spans="1:65" ht="14.65" hidden="1" customHeight="1">
      <c r="E53" s="459">
        <v>15</v>
      </c>
      <c r="F53" s="3" cm="1">
        <f t="array" aca="1" ref="F53" ca="1">OFFSET(E53,-1,1)</f>
        <v>0</v>
      </c>
      <c r="H53" s="57" t="s">
        <v>511</v>
      </c>
      <c r="U53" s="365" t="b" cm="1">
        <f t="array" aca="1" ref="U53" ca="1">U52</f>
        <v>0</v>
      </c>
      <c r="Y53" s="1050"/>
      <c r="Z53" s="1076"/>
      <c r="AB53" s="58" t="s">
        <v>444</v>
      </c>
      <c r="AC53" s="73" t="s">
        <v>512</v>
      </c>
      <c r="AD53" s="71"/>
      <c r="AE53" s="849"/>
      <c r="AF53" s="849"/>
      <c r="AG53" s="849"/>
      <c r="AH53" s="784"/>
      <c r="AI53" s="849"/>
      <c r="AJ53" s="849"/>
      <c r="AK53" s="849"/>
      <c r="AL53" s="212">
        <f>IF(AI53&lt;&gt;0,AK53/AI53,0)</f>
        <v>0</v>
      </c>
      <c r="AM53" s="211">
        <f>AK53-AJ53</f>
        <v>0</v>
      </c>
      <c r="AN53" s="784"/>
      <c r="AO53" s="849"/>
      <c r="AP53" s="849"/>
      <c r="AQ53" s="849"/>
      <c r="AR53" s="849"/>
      <c r="AS53" s="849"/>
      <c r="AT53" s="849"/>
      <c r="AU53" s="849"/>
      <c r="AV53" s="849"/>
      <c r="AW53" s="849"/>
      <c r="AX53" s="849"/>
      <c r="AY53" s="849"/>
      <c r="AZ53" s="849"/>
      <c r="BA53" s="849"/>
      <c r="BB53" s="849"/>
      <c r="BC53" s="849"/>
      <c r="BD53" s="849"/>
      <c r="BE53" s="849"/>
      <c r="BF53" s="849"/>
      <c r="BI53" s="665" t="s">
        <v>513</v>
      </c>
    </row>
    <row r="54" spans="1:65" ht="14.65" hidden="1" customHeight="1">
      <c r="E54" s="459">
        <v>15</v>
      </c>
      <c r="F54" s="3" cm="1">
        <f t="array" aca="1" ref="F54" ca="1">OFFSET(E54,-1,1)</f>
        <v>0</v>
      </c>
      <c r="H54" s="57" t="s">
        <v>514</v>
      </c>
      <c r="U54" s="365" t="b" cm="1">
        <f t="array" aca="1" ref="U54" ca="1">U53</f>
        <v>0</v>
      </c>
      <c r="Y54" s="1050"/>
      <c r="Z54" s="1076"/>
      <c r="AB54" s="58" t="s">
        <v>447</v>
      </c>
      <c r="AC54" s="72" t="s">
        <v>515</v>
      </c>
      <c r="AD54" s="71"/>
      <c r="AE54" s="849"/>
      <c r="AF54" s="849"/>
      <c r="AG54" s="849"/>
      <c r="AH54" s="784"/>
      <c r="AI54" s="849"/>
      <c r="AJ54" s="849"/>
      <c r="AK54" s="849"/>
      <c r="AL54" s="212">
        <f>IF(AI54&lt;&gt;0,AK54/AI54,0)</f>
        <v>0</v>
      </c>
      <c r="AM54" s="211">
        <f>AK54-AJ54</f>
        <v>0</v>
      </c>
      <c r="AN54" s="784"/>
      <c r="AO54" s="849"/>
      <c r="AP54" s="849"/>
      <c r="AQ54" s="849"/>
      <c r="AR54" s="849"/>
      <c r="AS54" s="849"/>
      <c r="AT54" s="849"/>
      <c r="AU54" s="849"/>
      <c r="AV54" s="849"/>
      <c r="AW54" s="849"/>
      <c r="AX54" s="849"/>
      <c r="AY54" s="849"/>
      <c r="AZ54" s="849"/>
      <c r="BA54" s="849"/>
      <c r="BB54" s="849"/>
      <c r="BC54" s="849"/>
      <c r="BD54" s="849"/>
      <c r="BE54" s="849"/>
      <c r="BF54" s="849"/>
      <c r="BI54" s="665" t="s">
        <v>516</v>
      </c>
    </row>
    <row r="55" spans="1:65" s="851" customFormat="1" ht="14.25" customHeight="1">
      <c r="A55" s="79"/>
      <c r="B55" s="338"/>
      <c r="C55" s="79"/>
      <c r="D55" s="79"/>
      <c r="E55" s="470">
        <v>15</v>
      </c>
      <c r="F55" s="288" t="str" cm="1">
        <f t="array" ref="F55">Y55</f>
        <v>1</v>
      </c>
      <c r="G55" s="79"/>
      <c r="H55" s="79"/>
      <c r="I55" s="79"/>
      <c r="J55" s="79"/>
      <c r="K55" s="79"/>
      <c r="L55" s="79"/>
      <c r="M55" s="79"/>
      <c r="N55" s="79"/>
      <c r="O55" s="79"/>
      <c r="P55" s="79"/>
      <c r="Q55" s="79"/>
      <c r="R55" s="79"/>
      <c r="S55" s="79"/>
      <c r="T55" s="79"/>
      <c r="U55" s="365" t="b">
        <f>Y55&gt;0</f>
        <v>1</v>
      </c>
      <c r="V55" s="79"/>
      <c r="W55" s="79" t="str" cm="1">
        <f t="array" ref="W55">'Список объектов'!$AB$30</f>
        <v>Тариф 1 (Водоснабжение) - тариф на питьевую воду (Доп. признак не требуется)</v>
      </c>
      <c r="X55" s="79"/>
      <c r="Y55" s="1050" t="s">
        <v>275</v>
      </c>
      <c r="Z55" s="1076"/>
      <c r="AA55" s="79"/>
      <c r="AB55" s="116" t="str" cm="1">
        <f t="array" ref="AB55">'Список объектов'!$AB$30</f>
        <v>Тариф 1 (Водоснабжение) - тариф на питьевую воду (Доп. признак не требуется)</v>
      </c>
      <c r="AC55" s="113"/>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79"/>
      <c r="BH55" s="79"/>
      <c r="BI55" s="678"/>
      <c r="BJ55" s="678"/>
      <c r="BK55" s="678"/>
      <c r="BL55" s="470"/>
      <c r="BM55" s="470"/>
    </row>
    <row r="56" spans="1:65" ht="14.25" customHeight="1">
      <c r="E56" s="459">
        <v>15</v>
      </c>
      <c r="F56" s="3" t="str" cm="1">
        <f t="array" aca="1" ref="F56" ca="1">OFFSET(E56,-1,1)</f>
        <v>1</v>
      </c>
      <c r="G56" s="57" t="s">
        <v>458</v>
      </c>
      <c r="U56" s="365" t="b" cm="1">
        <f t="array" ref="U56">U55</f>
        <v>1</v>
      </c>
      <c r="Y56" s="1050"/>
      <c r="Z56" s="1076"/>
      <c r="AB56" s="201"/>
      <c r="AC56" s="202" t="s">
        <v>459</v>
      </c>
      <c r="AD56" s="203"/>
      <c r="AE56" s="203"/>
      <c r="AF56" s="203"/>
      <c r="AG56" s="203"/>
      <c r="AH56" s="203"/>
      <c r="AI56" s="226">
        <f>(1-AI57/100)*(1+AI58/100)*(1+AI60/100)</f>
        <v>1.0580000000000001</v>
      </c>
      <c r="AJ56" s="226">
        <f>(1-AJ57/100)*(1+AJ58/100)*(1+AJ60/100)</f>
        <v>1.08</v>
      </c>
      <c r="AK56" s="226">
        <f>(1-AK57/100)*(1+AK58/100)*(1+AK60/100)</f>
        <v>1.0404899999999999</v>
      </c>
      <c r="AL56" s="203"/>
      <c r="AM56" s="203"/>
      <c r="AN56" s="203"/>
      <c r="AO56" s="226">
        <f t="shared" ref="AO56:BF56" si="4">(1-AO57/100)*(1+AO58/100)*(1+AO60/100)</f>
        <v>1</v>
      </c>
      <c r="AP56" s="226">
        <f t="shared" si="4"/>
        <v>1</v>
      </c>
      <c r="AQ56" s="226">
        <f t="shared" si="4"/>
        <v>1</v>
      </c>
      <c r="AR56" s="226">
        <f t="shared" si="4"/>
        <v>1</v>
      </c>
      <c r="AS56" s="226">
        <f t="shared" si="4"/>
        <v>1</v>
      </c>
      <c r="AT56" s="226">
        <f t="shared" si="4"/>
        <v>1</v>
      </c>
      <c r="AU56" s="226">
        <f t="shared" si="4"/>
        <v>1</v>
      </c>
      <c r="AV56" s="226">
        <f t="shared" si="4"/>
        <v>1</v>
      </c>
      <c r="AW56" s="226">
        <f t="shared" si="4"/>
        <v>1</v>
      </c>
      <c r="AX56" s="226">
        <f t="shared" si="4"/>
        <v>1</v>
      </c>
      <c r="AY56" s="226">
        <f t="shared" si="4"/>
        <v>1</v>
      </c>
      <c r="AZ56" s="226">
        <f t="shared" si="4"/>
        <v>1</v>
      </c>
      <c r="BA56" s="226">
        <f t="shared" si="4"/>
        <v>1</v>
      </c>
      <c r="BB56" s="226">
        <f t="shared" si="4"/>
        <v>1</v>
      </c>
      <c r="BC56" s="226">
        <f t="shared" si="4"/>
        <v>1</v>
      </c>
      <c r="BD56" s="226">
        <f t="shared" si="4"/>
        <v>1</v>
      </c>
      <c r="BE56" s="226">
        <f t="shared" si="4"/>
        <v>1</v>
      </c>
      <c r="BF56" s="226">
        <f t="shared" si="4"/>
        <v>1</v>
      </c>
    </row>
    <row r="57" spans="1:65" ht="21.95" customHeight="1">
      <c r="B57" s="354" t="b">
        <f>method_reg&lt;&gt;"Метод экономически обоснованных расходов"</f>
        <v>1</v>
      </c>
      <c r="E57" s="459">
        <v>22.5</v>
      </c>
      <c r="F57" s="3" t="str" cm="1">
        <f t="array" aca="1" ref="F57" ca="1">OFFSET(E57,-1,1)</f>
        <v>1</v>
      </c>
      <c r="G57" s="57" t="s">
        <v>460</v>
      </c>
      <c r="H57" s="57" t="s">
        <v>461</v>
      </c>
      <c r="U57" s="365" t="b" cm="1">
        <f t="array" ref="U57">U56</f>
        <v>1</v>
      </c>
      <c r="Y57" s="1050"/>
      <c r="Z57" s="1076"/>
      <c r="AB57" s="68">
        <v>1</v>
      </c>
      <c r="AC57" s="69" t="s">
        <v>462</v>
      </c>
      <c r="AD57" s="71" t="s">
        <v>456</v>
      </c>
      <c r="AE57" s="207"/>
      <c r="AF57" s="207"/>
      <c r="AG57" s="207"/>
      <c r="AH57" s="132"/>
      <c r="AI57" s="207">
        <v>0</v>
      </c>
      <c r="AJ57" s="207"/>
      <c r="AK57" s="207">
        <v>1</v>
      </c>
      <c r="AL57" s="212">
        <f>IF(AI57&lt;&gt;0,AK57/AI57,0)</f>
        <v>0</v>
      </c>
      <c r="AM57" s="211">
        <f>AK57-AJ57</f>
        <v>1</v>
      </c>
      <c r="AN57" s="132"/>
      <c r="AO57" s="838"/>
      <c r="AP57" s="838"/>
      <c r="AQ57" s="838"/>
      <c r="AR57" s="838"/>
      <c r="AS57" s="838"/>
      <c r="AT57" s="838"/>
      <c r="AU57" s="838"/>
      <c r="AV57" s="838"/>
      <c r="AW57" s="838"/>
      <c r="AX57" s="838"/>
      <c r="AY57" s="838"/>
      <c r="AZ57" s="838"/>
      <c r="BA57" s="838"/>
      <c r="BB57" s="838"/>
      <c r="BC57" s="838"/>
      <c r="BD57" s="838"/>
      <c r="BE57" s="838"/>
      <c r="BF57" s="838"/>
      <c r="BI57" s="665" t="s">
        <v>463</v>
      </c>
    </row>
    <row r="58" spans="1:65" ht="107.25" customHeight="1">
      <c r="E58" s="459">
        <v>15</v>
      </c>
      <c r="F58" s="3" t="str" cm="1">
        <f t="array" aca="1" ref="F58" ca="1">OFFSET(E58,-1,1)</f>
        <v>1</v>
      </c>
      <c r="G58" s="57" t="s">
        <v>464</v>
      </c>
      <c r="H58" s="57" t="s">
        <v>465</v>
      </c>
      <c r="U58" s="365" t="b" cm="1">
        <f t="array" ref="U58">U57</f>
        <v>1</v>
      </c>
      <c r="Y58" s="1050"/>
      <c r="Z58" s="1076"/>
      <c r="AB58" s="68">
        <f>IF(B57,2,1)</f>
        <v>2</v>
      </c>
      <c r="AC58" s="70" t="s">
        <v>466</v>
      </c>
      <c r="AD58" s="71" t="s">
        <v>456</v>
      </c>
      <c r="AE58" s="207">
        <v>8</v>
      </c>
      <c r="AF58" s="207">
        <v>8.5</v>
      </c>
      <c r="AG58" s="207">
        <v>8.5</v>
      </c>
      <c r="AH58" s="132"/>
      <c r="AI58" s="207">
        <v>5.8</v>
      </c>
      <c r="AJ58" s="207">
        <v>8</v>
      </c>
      <c r="AK58" s="207">
        <v>5.0999999999999996</v>
      </c>
      <c r="AL58" s="212">
        <f>IF(AI58&lt;&gt;0,AK58/AI58,0)</f>
        <v>0.87931034482758619</v>
      </c>
      <c r="AM58" s="211">
        <f>AK58-AJ58</f>
        <v>-2.9000000000000004</v>
      </c>
      <c r="AN58" s="132" t="s">
        <v>517</v>
      </c>
      <c r="AO58" s="838"/>
      <c r="AP58" s="838"/>
      <c r="AQ58" s="838"/>
      <c r="AR58" s="838"/>
      <c r="AS58" s="838"/>
      <c r="AT58" s="838"/>
      <c r="AU58" s="838"/>
      <c r="AV58" s="838"/>
      <c r="AW58" s="838"/>
      <c r="AX58" s="838"/>
      <c r="AY58" s="838"/>
      <c r="AZ58" s="838"/>
      <c r="BA58" s="838"/>
      <c r="BB58" s="838"/>
      <c r="BC58" s="838"/>
      <c r="BD58" s="838"/>
      <c r="BE58" s="838"/>
      <c r="BF58" s="838"/>
      <c r="BI58" s="665" t="s">
        <v>467</v>
      </c>
    </row>
    <row r="59" spans="1:65" ht="14.65" customHeight="1">
      <c r="E59" s="459">
        <v>15</v>
      </c>
      <c r="F59" s="3" t="str" cm="1">
        <f t="array" aca="1" ref="F59" ca="1">OFFSET(E59,-1,1)</f>
        <v>1</v>
      </c>
      <c r="H59" s="57" t="s">
        <v>468</v>
      </c>
      <c r="U59" s="365" t="b" cm="1">
        <f t="array" ref="U59">U58</f>
        <v>1</v>
      </c>
      <c r="Y59" s="1050"/>
      <c r="Z59" s="1076"/>
      <c r="AB59" s="68">
        <f>AB58+1</f>
        <v>3</v>
      </c>
      <c r="AC59" s="72" t="s">
        <v>469</v>
      </c>
      <c r="AD59" s="71" t="s">
        <v>456</v>
      </c>
      <c r="AE59" s="207">
        <v>5.0999999999999996</v>
      </c>
      <c r="AF59" s="207">
        <v>5.9</v>
      </c>
      <c r="AG59" s="207">
        <v>5.9</v>
      </c>
      <c r="AH59" s="132"/>
      <c r="AI59" s="207">
        <v>9.8000000000000007</v>
      </c>
      <c r="AJ59" s="207">
        <v>9.8000000000000007</v>
      </c>
      <c r="AK59" s="207">
        <v>13.2</v>
      </c>
      <c r="AL59" s="212">
        <f>IF(AI59&lt;&gt;0,AK59/AI59,0)</f>
        <v>1.3469387755102038</v>
      </c>
      <c r="AM59" s="211">
        <f>AK59-AJ59</f>
        <v>3.3999999999999986</v>
      </c>
      <c r="AN59" s="132"/>
      <c r="AO59" s="838"/>
      <c r="AP59" s="838"/>
      <c r="AQ59" s="838"/>
      <c r="AR59" s="838"/>
      <c r="AS59" s="838"/>
      <c r="AT59" s="838"/>
      <c r="AU59" s="838"/>
      <c r="AV59" s="838"/>
      <c r="AW59" s="838"/>
      <c r="AX59" s="838"/>
      <c r="AY59" s="838"/>
      <c r="AZ59" s="838"/>
      <c r="BA59" s="838"/>
      <c r="BB59" s="838"/>
      <c r="BC59" s="838"/>
      <c r="BD59" s="838"/>
      <c r="BE59" s="838"/>
      <c r="BF59" s="838"/>
      <c r="BI59" s="665" t="s">
        <v>470</v>
      </c>
    </row>
    <row r="60" spans="1:65" ht="14.25" customHeight="1">
      <c r="B60" s="354" t="b">
        <f>method_reg&lt;&gt;"Метод экономически обоснованных расходов"</f>
        <v>1</v>
      </c>
      <c r="E60" s="459">
        <v>15</v>
      </c>
      <c r="F60" s="3" t="str" cm="1">
        <f t="array" aca="1" ref="F60" ca="1">OFFSET(E60,-1,1)</f>
        <v>1</v>
      </c>
      <c r="G60" s="57" t="s">
        <v>471</v>
      </c>
      <c r="H60" s="57" t="s">
        <v>472</v>
      </c>
      <c r="U60" s="365" t="b" cm="1">
        <f t="array" ref="U60">U59</f>
        <v>1</v>
      </c>
      <c r="Y60" s="1050"/>
      <c r="Z60" s="1076"/>
      <c r="AB60" s="68">
        <v>4</v>
      </c>
      <c r="AC60" s="70" t="s">
        <v>473</v>
      </c>
      <c r="AD60" s="71" t="s">
        <v>456</v>
      </c>
      <c r="AE60" s="207"/>
      <c r="AF60" s="207"/>
      <c r="AG60" s="207"/>
      <c r="AH60" s="132"/>
      <c r="AI60" s="207"/>
      <c r="AJ60" s="207"/>
      <c r="AK60" s="207"/>
      <c r="AL60" s="212">
        <f>IF(AI60&lt;&gt;0,AK60/AI60,0)</f>
        <v>0</v>
      </c>
      <c r="AM60" s="211">
        <f>AK60-AJ60</f>
        <v>0</v>
      </c>
      <c r="AN60" s="132"/>
      <c r="AO60" s="838"/>
      <c r="AP60" s="838"/>
      <c r="AQ60" s="838"/>
      <c r="AR60" s="838"/>
      <c r="AS60" s="838"/>
      <c r="AT60" s="838"/>
      <c r="AU60" s="838"/>
      <c r="AV60" s="838"/>
      <c r="AW60" s="838"/>
      <c r="AX60" s="838"/>
      <c r="AY60" s="838"/>
      <c r="AZ60" s="838"/>
      <c r="BA60" s="838"/>
      <c r="BB60" s="838"/>
      <c r="BC60" s="838"/>
      <c r="BD60" s="838"/>
      <c r="BE60" s="838"/>
      <c r="BF60" s="838"/>
      <c r="BI60" s="665" t="s">
        <v>474</v>
      </c>
    </row>
    <row r="61" spans="1:65" s="23" customFormat="1" ht="14.25" customHeight="1">
      <c r="A61" s="57"/>
      <c r="B61" s="354"/>
      <c r="C61" s="57"/>
      <c r="D61" s="57"/>
      <c r="E61" s="459">
        <v>15</v>
      </c>
      <c r="F61" s="280" t="str" cm="1">
        <f t="array" aca="1" ref="F61" ca="1">OFFSET(E61,-1,1)</f>
        <v>1</v>
      </c>
      <c r="G61" s="57"/>
      <c r="H61" s="57"/>
      <c r="I61" s="57"/>
      <c r="J61" s="57"/>
      <c r="K61" s="57"/>
      <c r="L61" s="57"/>
      <c r="M61" s="57"/>
      <c r="N61" s="57"/>
      <c r="O61" s="57"/>
      <c r="P61" s="57"/>
      <c r="Q61" s="57"/>
      <c r="R61" s="57"/>
      <c r="S61" s="57"/>
      <c r="T61" s="57"/>
      <c r="U61" s="365" t="b" cm="1">
        <f t="array" ref="U61">U60</f>
        <v>1</v>
      </c>
      <c r="V61" s="57"/>
      <c r="W61" s="57"/>
      <c r="X61" s="57"/>
      <c r="Y61" s="1050"/>
      <c r="Z61" s="1076"/>
      <c r="AA61" s="57"/>
      <c r="AB61" s="68">
        <v>5</v>
      </c>
      <c r="AC61" s="70" t="s">
        <v>475</v>
      </c>
      <c r="AD61" s="71" t="s">
        <v>456</v>
      </c>
      <c r="AE61" s="207"/>
      <c r="AF61" s="207"/>
      <c r="AG61" s="207"/>
      <c r="AH61" s="132"/>
      <c r="AI61" s="207"/>
      <c r="AJ61" s="207"/>
      <c r="AK61" s="207"/>
      <c r="AL61" s="212">
        <f>IF(AI61&lt;&gt;0,AK61/AI61,0)</f>
        <v>0</v>
      </c>
      <c r="AM61" s="211">
        <f>AK61-AJ61</f>
        <v>0</v>
      </c>
      <c r="AN61" s="132"/>
      <c r="AO61" s="838"/>
      <c r="AP61" s="838"/>
      <c r="AQ61" s="838"/>
      <c r="AR61" s="838"/>
      <c r="AS61" s="838"/>
      <c r="AT61" s="838"/>
      <c r="AU61" s="838"/>
      <c r="AV61" s="838"/>
      <c r="AW61" s="838"/>
      <c r="AX61" s="838"/>
      <c r="AY61" s="838"/>
      <c r="AZ61" s="838"/>
      <c r="BA61" s="838"/>
      <c r="BB61" s="838"/>
      <c r="BC61" s="838"/>
      <c r="BD61" s="838"/>
      <c r="BE61" s="838"/>
      <c r="BF61" s="838"/>
      <c r="BG61" s="57"/>
      <c r="BH61" s="57"/>
      <c r="BI61" s="665" t="s">
        <v>476</v>
      </c>
      <c r="BJ61" s="665"/>
      <c r="BK61" s="665"/>
      <c r="BL61" s="459"/>
      <c r="BM61" s="459"/>
    </row>
    <row r="62" spans="1:65" ht="14.25" customHeight="1">
      <c r="E62" s="459">
        <v>15</v>
      </c>
      <c r="F62" s="3" t="str" cm="1">
        <f t="array" aca="1" ref="F62" ca="1">OFFSET(E62,-1,1)</f>
        <v>1</v>
      </c>
      <c r="U62" s="365" t="b" cm="1">
        <f t="array" ref="U62">U60</f>
        <v>1</v>
      </c>
      <c r="Y62" s="1050"/>
      <c r="Z62" s="1076"/>
      <c r="AB62" s="201"/>
      <c r="AC62" s="202" t="s">
        <v>477</v>
      </c>
      <c r="AD62" s="203"/>
      <c r="AE62" s="208"/>
      <c r="AF62" s="208"/>
      <c r="AG62" s="208"/>
      <c r="AH62" s="203"/>
      <c r="AI62" s="208"/>
      <c r="AJ62" s="208"/>
      <c r="AK62" s="208"/>
      <c r="AL62" s="213"/>
      <c r="AM62" s="208"/>
      <c r="AN62" s="203"/>
      <c r="AO62" s="208"/>
      <c r="AP62" s="208"/>
      <c r="AQ62" s="208"/>
      <c r="AR62" s="208"/>
      <c r="AS62" s="208"/>
      <c r="AT62" s="208"/>
      <c r="AU62" s="208"/>
      <c r="AV62" s="208"/>
      <c r="AW62" s="208"/>
      <c r="AX62" s="208"/>
      <c r="AY62" s="208"/>
      <c r="AZ62" s="208"/>
      <c r="BA62" s="208"/>
      <c r="BB62" s="208"/>
      <c r="BC62" s="208"/>
      <c r="BD62" s="208"/>
      <c r="BE62" s="208"/>
      <c r="BF62" s="214"/>
    </row>
    <row r="63" spans="1:65" ht="44.25" customHeight="1">
      <c r="E63" s="459">
        <v>15</v>
      </c>
      <c r="F63" s="3" t="str" cm="1">
        <f t="array" aca="1" ref="F63" ca="1">OFFSET(E63,-1,1)</f>
        <v>1</v>
      </c>
      <c r="G63" s="57" t="s">
        <v>478</v>
      </c>
      <c r="H63" s="57" t="s">
        <v>479</v>
      </c>
      <c r="U63" s="365" t="b" cm="1">
        <f t="array" ref="U63">U62</f>
        <v>1</v>
      </c>
      <c r="Y63" s="1050"/>
      <c r="Z63" s="1076"/>
      <c r="AB63" s="68">
        <v>1</v>
      </c>
      <c r="AC63" s="70" t="s">
        <v>480</v>
      </c>
      <c r="AD63" s="71" t="s">
        <v>456</v>
      </c>
      <c r="AE63" s="209">
        <v>30.2</v>
      </c>
      <c r="AF63" s="209">
        <v>24.797000000000001</v>
      </c>
      <c r="AG63" s="209"/>
      <c r="AH63" s="132"/>
      <c r="AI63" s="209">
        <v>30.2</v>
      </c>
      <c r="AJ63" s="209">
        <v>30.2</v>
      </c>
      <c r="AK63" s="209">
        <v>30.2</v>
      </c>
      <c r="AL63" s="212">
        <f>IF(AI63&lt;&gt;0,AK63/AI63,0)</f>
        <v>1</v>
      </c>
      <c r="AM63" s="211">
        <f>AK63-AJ63</f>
        <v>0</v>
      </c>
      <c r="AN63" s="132" t="s">
        <v>518</v>
      </c>
      <c r="AO63" s="840"/>
      <c r="AP63" s="840"/>
      <c r="AQ63" s="840"/>
      <c r="AR63" s="840"/>
      <c r="AS63" s="840"/>
      <c r="AT63" s="840"/>
      <c r="AU63" s="840"/>
      <c r="AV63" s="840"/>
      <c r="AW63" s="840"/>
      <c r="AX63" s="840"/>
      <c r="AY63" s="840"/>
      <c r="AZ63" s="840"/>
      <c r="BA63" s="840"/>
      <c r="BB63" s="840"/>
      <c r="BC63" s="840"/>
      <c r="BD63" s="840"/>
      <c r="BE63" s="840"/>
      <c r="BF63" s="840"/>
      <c r="BI63" s="665" t="s">
        <v>481</v>
      </c>
    </row>
    <row r="64" spans="1:65" ht="15" hidden="1" customHeight="1">
      <c r="E64" s="459">
        <v>0</v>
      </c>
      <c r="F64" s="3" t="str" cm="1">
        <f t="array" aca="1" ref="F64" ca="1">OFFSET(E64,-1,1)</f>
        <v>1</v>
      </c>
      <c r="H64" s="57" t="s">
        <v>482</v>
      </c>
      <c r="U64" s="365" t="b" cm="1">
        <f t="array" ref="U64">U63</f>
        <v>1</v>
      </c>
      <c r="Y64" s="1050"/>
      <c r="Z64" s="1076"/>
      <c r="AB64" s="68">
        <v>2</v>
      </c>
      <c r="AC64" s="70" t="s">
        <v>455</v>
      </c>
      <c r="AD64" s="71" t="s">
        <v>456</v>
      </c>
      <c r="AE64" s="840"/>
      <c r="AF64" s="838"/>
      <c r="AG64" s="840"/>
      <c r="AH64" s="839"/>
      <c r="AI64" s="840"/>
      <c r="AJ64" s="840"/>
      <c r="AK64" s="840"/>
      <c r="AL64" s="212">
        <f>IF(AI64&lt;&gt;0,AK64/AI64,0)</f>
        <v>0</v>
      </c>
      <c r="AM64" s="211">
        <f>AK64-AJ64</f>
        <v>0</v>
      </c>
      <c r="AN64" s="839"/>
      <c r="AO64" s="840"/>
      <c r="AP64" s="840"/>
      <c r="AQ64" s="840"/>
      <c r="AR64" s="840"/>
      <c r="AS64" s="840"/>
      <c r="AT64" s="840"/>
      <c r="AU64" s="840"/>
      <c r="AV64" s="840"/>
      <c r="AW64" s="840"/>
      <c r="AX64" s="840"/>
      <c r="AY64" s="840"/>
      <c r="AZ64" s="840"/>
      <c r="BA64" s="840"/>
      <c r="BB64" s="840"/>
      <c r="BC64" s="840"/>
      <c r="BD64" s="840"/>
      <c r="BE64" s="840"/>
      <c r="BF64" s="840"/>
      <c r="BI64" s="665" t="s">
        <v>483</v>
      </c>
    </row>
    <row r="65" spans="5:65" ht="14.25" customHeight="1">
      <c r="E65" s="459">
        <v>15</v>
      </c>
      <c r="F65" s="3" t="str" cm="1">
        <f t="array" aca="1" ref="F65" ca="1">OFFSET(E65,-1,1)</f>
        <v>1</v>
      </c>
      <c r="U65" s="365" t="b" cm="1">
        <f t="array" ref="U65">U64</f>
        <v>1</v>
      </c>
      <c r="Y65" s="1050"/>
      <c r="Z65" s="1076"/>
      <c r="AB65" s="447">
        <v>2</v>
      </c>
      <c r="AC65" s="448" t="s">
        <v>484</v>
      </c>
      <c r="AD65" s="32"/>
      <c r="AE65" s="449"/>
      <c r="AF65" s="450"/>
      <c r="AG65" s="451"/>
      <c r="AH65" s="452"/>
      <c r="AI65" s="449"/>
      <c r="AJ65" s="450"/>
      <c r="AK65" s="450"/>
      <c r="AL65" s="453"/>
      <c r="AM65" s="450"/>
      <c r="AN65" s="452"/>
      <c r="AO65" s="449"/>
      <c r="AP65" s="449"/>
      <c r="AQ65" s="449"/>
      <c r="AR65" s="449"/>
      <c r="AS65" s="449"/>
      <c r="AT65" s="449"/>
      <c r="AU65" s="449"/>
      <c r="AV65" s="449"/>
      <c r="AW65" s="449"/>
      <c r="AX65" s="449"/>
      <c r="AY65" s="449"/>
      <c r="AZ65" s="449"/>
      <c r="BA65" s="449"/>
      <c r="BB65" s="449"/>
      <c r="BC65" s="449"/>
      <c r="BD65" s="449"/>
      <c r="BE65" s="449"/>
      <c r="BF65" s="449"/>
      <c r="BI65" s="665" t="s">
        <v>485</v>
      </c>
    </row>
    <row r="66" spans="5:65" ht="0" hidden="1" customHeight="1">
      <c r="E66" s="459">
        <v>22.5</v>
      </c>
      <c r="F66" s="3" t="str" cm="1">
        <f t="array" aca="1" ref="F66" ca="1">OFFSET(E66,-1,1)</f>
        <v>1</v>
      </c>
      <c r="H66" s="57" t="s">
        <v>486</v>
      </c>
      <c r="U66" s="365" t="b" cm="1">
        <f t="array" ref="U66">U65</f>
        <v>1</v>
      </c>
      <c r="Y66" s="1050"/>
      <c r="Z66" s="1076"/>
      <c r="AB66" s="152" t="s">
        <v>487</v>
      </c>
      <c r="AC66" s="146" t="s">
        <v>488</v>
      </c>
      <c r="AD66" s="29" t="s">
        <v>489</v>
      </c>
      <c r="AE66" s="228"/>
      <c r="AF66" s="454"/>
      <c r="AG66" s="455"/>
      <c r="AH66" s="230"/>
      <c r="AI66" s="228"/>
      <c r="AJ66" s="454"/>
      <c r="AK66" s="454"/>
      <c r="AL66" s="456">
        <f>IF(AI66&lt;&gt;0,AK66/AI66,0)</f>
        <v>0</v>
      </c>
      <c r="AM66" s="457">
        <f>AK66-AJ66</f>
        <v>0</v>
      </c>
      <c r="AN66" s="230"/>
      <c r="AO66" s="841"/>
      <c r="AP66" s="841"/>
      <c r="AQ66" s="841"/>
      <c r="AR66" s="841"/>
      <c r="AS66" s="841"/>
      <c r="AT66" s="841"/>
      <c r="AU66" s="841"/>
      <c r="AV66" s="841"/>
      <c r="AW66" s="841"/>
      <c r="AX66" s="841"/>
      <c r="AY66" s="841"/>
      <c r="AZ66" s="841"/>
      <c r="BA66" s="841"/>
      <c r="BB66" s="841"/>
      <c r="BC66" s="841"/>
      <c r="BD66" s="841"/>
      <c r="BE66" s="841"/>
      <c r="BF66" s="841"/>
      <c r="BI66" s="665" t="s">
        <v>490</v>
      </c>
    </row>
    <row r="67" spans="5:65" ht="21.75" hidden="1" customHeight="1">
      <c r="E67" s="459">
        <v>22.5</v>
      </c>
      <c r="F67" s="3" t="str" cm="1">
        <f t="array" aca="1" ref="F67" ca="1">OFFSET(E67,-1,1)</f>
        <v>1</v>
      </c>
      <c r="I67" s="57" cm="1">
        <f t="array" ref="I67">AC67</f>
        <v>0</v>
      </c>
      <c r="U67" s="365" t="b">
        <f ca="1">AND(F67&gt;0,--RIGHT(AB67,1)&gt;1)</f>
        <v>0</v>
      </c>
      <c r="X67" s="528" t="s">
        <v>173</v>
      </c>
      <c r="Y67" s="1050"/>
      <c r="Z67" s="1076"/>
      <c r="AA67" s="332" t="s">
        <v>174</v>
      </c>
      <c r="AB67" s="152" t="s">
        <v>487</v>
      </c>
      <c r="AC67" s="789"/>
      <c r="AD67" s="29" t="s">
        <v>489</v>
      </c>
      <c r="AE67" s="841"/>
      <c r="AF67" s="842"/>
      <c r="AG67" s="785"/>
      <c r="AH67" s="843"/>
      <c r="AI67" s="841"/>
      <c r="AJ67" s="842"/>
      <c r="AK67" s="842"/>
      <c r="AL67" s="456">
        <f>IF(AI67&lt;&gt;0,AK67/AI67,0)</f>
        <v>0</v>
      </c>
      <c r="AM67" s="457">
        <f>AK67-AJ67</f>
        <v>0</v>
      </c>
      <c r="AN67" s="843"/>
      <c r="AO67" s="841"/>
      <c r="AP67" s="841"/>
      <c r="AQ67" s="841"/>
      <c r="AR67" s="841"/>
      <c r="AS67" s="841"/>
      <c r="AT67" s="841"/>
      <c r="AU67" s="841"/>
      <c r="AV67" s="841"/>
      <c r="AW67" s="841"/>
      <c r="AX67" s="841"/>
      <c r="AY67" s="841"/>
      <c r="AZ67" s="841"/>
      <c r="BA67" s="841"/>
      <c r="BB67" s="841"/>
      <c r="BC67" s="841"/>
      <c r="BD67" s="841"/>
      <c r="BE67" s="841"/>
      <c r="BF67" s="841"/>
      <c r="BI67" s="665" t="s">
        <v>490</v>
      </c>
      <c r="BJ67" s="665" t="s">
        <v>491</v>
      </c>
      <c r="BK67" s="665" cm="1">
        <f t="array" ref="BK67">AC67</f>
        <v>0</v>
      </c>
      <c r="BM67" s="459" t="b">
        <v>1</v>
      </c>
    </row>
    <row r="68" spans="5:65" ht="0" hidden="1" customHeight="1">
      <c r="E68" s="459">
        <v>15</v>
      </c>
      <c r="F68" s="3" t="str" cm="1">
        <f t="array" aca="1" ref="F68" ca="1">OFFSET(E68,-1,1)</f>
        <v>1</v>
      </c>
      <c r="U68" s="365" t="b">
        <f ca="1">F68&gt;0</f>
        <v>1</v>
      </c>
      <c r="X68" s="528" t="s">
        <v>399</v>
      </c>
      <c r="Y68" s="1050"/>
      <c r="Z68" s="1076"/>
      <c r="AB68" s="108"/>
      <c r="AC68" s="229" t="s">
        <v>177</v>
      </c>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09"/>
      <c r="BA68" s="109"/>
      <c r="BB68" s="109"/>
      <c r="BC68" s="109"/>
      <c r="BD68" s="109"/>
      <c r="BE68" s="109"/>
      <c r="BF68" s="109"/>
      <c r="BL68" s="459" t="s">
        <v>491</v>
      </c>
    </row>
    <row r="69" spans="5:65" ht="0" hidden="1" customHeight="1">
      <c r="E69" s="459">
        <v>22.5</v>
      </c>
      <c r="F69" s="3" t="str" cm="1">
        <f t="array" aca="1" ref="F69" ca="1">OFFSET(E69,-1,1)</f>
        <v>1</v>
      </c>
      <c r="H69" s="57" t="s">
        <v>492</v>
      </c>
      <c r="U69" s="365" t="b" cm="1">
        <f t="array" aca="1" ref="U69" ca="1">U68</f>
        <v>1</v>
      </c>
      <c r="Y69" s="1050"/>
      <c r="Z69" s="1076"/>
      <c r="AB69" s="439" t="s">
        <v>493</v>
      </c>
      <c r="AC69" s="440" t="s">
        <v>494</v>
      </c>
      <c r="AD69" s="436" t="s">
        <v>489</v>
      </c>
      <c r="AE69" s="441"/>
      <c r="AF69" s="442"/>
      <c r="AG69" s="443"/>
      <c r="AH69" s="444"/>
      <c r="AI69" s="441"/>
      <c r="AJ69" s="442"/>
      <c r="AK69" s="442"/>
      <c r="AL69" s="445">
        <f>IF(AI69&lt;&gt;0,AK69/AI69,0)</f>
        <v>0</v>
      </c>
      <c r="AM69" s="446">
        <f>AK69-AJ69</f>
        <v>0</v>
      </c>
      <c r="AN69" s="444"/>
      <c r="AO69" s="844"/>
      <c r="AP69" s="844"/>
      <c r="AQ69" s="844"/>
      <c r="AR69" s="844"/>
      <c r="AS69" s="844"/>
      <c r="AT69" s="844"/>
      <c r="AU69" s="844"/>
      <c r="AV69" s="844"/>
      <c r="AW69" s="844"/>
      <c r="AX69" s="844"/>
      <c r="AY69" s="844"/>
      <c r="AZ69" s="844"/>
      <c r="BA69" s="844"/>
      <c r="BB69" s="844"/>
      <c r="BC69" s="844"/>
      <c r="BD69" s="844"/>
      <c r="BE69" s="844"/>
      <c r="BF69" s="844"/>
      <c r="BI69" s="665" t="s">
        <v>495</v>
      </c>
    </row>
    <row r="70" spans="5:65" ht="21.75" hidden="1" customHeight="1">
      <c r="E70" s="459">
        <v>22.5</v>
      </c>
      <c r="F70" s="3" t="str" cm="1">
        <f t="array" aca="1" ref="F70" ca="1">OFFSET(E70,-1,1)</f>
        <v>1</v>
      </c>
      <c r="I70" s="57" cm="1">
        <f t="array" ref="I70">AC70</f>
        <v>0</v>
      </c>
      <c r="U70" s="365" t="b">
        <f ca="1">AND(F70&gt;0,--RIGHT(AB70,1)&gt;1)</f>
        <v>0</v>
      </c>
      <c r="X70" s="528" t="s">
        <v>173</v>
      </c>
      <c r="Y70" s="1050"/>
      <c r="Z70" s="1076"/>
      <c r="AA70" s="332" t="s">
        <v>174</v>
      </c>
      <c r="AB70" s="439" t="s">
        <v>493</v>
      </c>
      <c r="AC70" s="848"/>
      <c r="AD70" s="436" t="s">
        <v>489</v>
      </c>
      <c r="AE70" s="844"/>
      <c r="AF70" s="845"/>
      <c r="AG70" s="846"/>
      <c r="AH70" s="847"/>
      <c r="AI70" s="844"/>
      <c r="AJ70" s="845"/>
      <c r="AK70" s="845"/>
      <c r="AL70" s="445">
        <f>IF(AI70&lt;&gt;0,AK70/AI70,0)</f>
        <v>0</v>
      </c>
      <c r="AM70" s="446">
        <f>AK70-AJ70</f>
        <v>0</v>
      </c>
      <c r="AN70" s="847"/>
      <c r="AO70" s="844"/>
      <c r="AP70" s="844"/>
      <c r="AQ70" s="844"/>
      <c r="AR70" s="844"/>
      <c r="AS70" s="844"/>
      <c r="AT70" s="844"/>
      <c r="AU70" s="844"/>
      <c r="AV70" s="844"/>
      <c r="AW70" s="844"/>
      <c r="AX70" s="844"/>
      <c r="AY70" s="844"/>
      <c r="AZ70" s="844"/>
      <c r="BA70" s="844"/>
      <c r="BB70" s="844"/>
      <c r="BC70" s="844"/>
      <c r="BD70" s="844"/>
      <c r="BE70" s="844"/>
      <c r="BF70" s="844"/>
      <c r="BI70" s="665" t="s">
        <v>495</v>
      </c>
      <c r="BJ70" s="665" t="s">
        <v>496</v>
      </c>
      <c r="BK70" s="665" cm="1">
        <f t="array" ref="BK70">AC70</f>
        <v>0</v>
      </c>
      <c r="BM70" s="459" t="b">
        <v>1</v>
      </c>
    </row>
    <row r="71" spans="5:65" ht="0" hidden="1" customHeight="1">
      <c r="E71" s="459">
        <v>15</v>
      </c>
      <c r="F71" s="3" t="str" cm="1">
        <f t="array" aca="1" ref="F71" ca="1">OFFSET(E71,-1,1)</f>
        <v>1</v>
      </c>
      <c r="U71" s="365" t="b">
        <f ca="1">F71&gt;0</f>
        <v>1</v>
      </c>
      <c r="X71" s="528" t="s">
        <v>399</v>
      </c>
      <c r="Y71" s="1050"/>
      <c r="Z71" s="1076"/>
      <c r="AB71" s="108"/>
      <c r="AC71" s="229" t="s">
        <v>177</v>
      </c>
      <c r="AD71" s="109"/>
      <c r="AE71" s="109"/>
      <c r="AF71" s="109"/>
      <c r="AG71" s="109"/>
      <c r="AH71" s="109"/>
      <c r="AI71" s="109"/>
      <c r="AJ71" s="109"/>
      <c r="AK71" s="109"/>
      <c r="AL71" s="109"/>
      <c r="AM71" s="109"/>
      <c r="AN71" s="109"/>
      <c r="AO71" s="109"/>
      <c r="AP71" s="109"/>
      <c r="AQ71" s="109"/>
      <c r="AR71" s="109"/>
      <c r="AS71" s="109"/>
      <c r="AT71" s="109"/>
      <c r="AU71" s="109"/>
      <c r="AV71" s="109"/>
      <c r="AW71" s="109"/>
      <c r="AX71" s="109"/>
      <c r="AY71" s="109"/>
      <c r="AZ71" s="109"/>
      <c r="BA71" s="109"/>
      <c r="BB71" s="109"/>
      <c r="BC71" s="109"/>
      <c r="BD71" s="109"/>
      <c r="BE71" s="109"/>
      <c r="BF71" s="109"/>
      <c r="BL71" s="459" t="s">
        <v>496</v>
      </c>
    </row>
    <row r="72" spans="5:65" ht="23.25" customHeight="1">
      <c r="E72" s="459">
        <v>22.5</v>
      </c>
      <c r="F72" s="3" t="str" cm="1">
        <f t="array" aca="1" ref="F72" ca="1">OFFSET(E72,-1,1)</f>
        <v>1</v>
      </c>
      <c r="H72" s="57" t="s">
        <v>497</v>
      </c>
      <c r="U72" s="365" t="b" cm="1">
        <f t="array" aca="1" ref="U72" ca="1">U71</f>
        <v>1</v>
      </c>
      <c r="Y72" s="1050"/>
      <c r="Z72" s="1076"/>
      <c r="AB72" s="58" t="s">
        <v>498</v>
      </c>
      <c r="AC72" s="124" t="s">
        <v>499</v>
      </c>
      <c r="AD72" s="30" t="s">
        <v>489</v>
      </c>
      <c r="AE72" s="207">
        <v>283</v>
      </c>
      <c r="AF72" s="209">
        <v>283</v>
      </c>
      <c r="AG72" s="210" cm="1">
        <f t="array" ref="AG72">AF72</f>
        <v>283</v>
      </c>
      <c r="AH72" s="132"/>
      <c r="AI72" s="207">
        <v>326</v>
      </c>
      <c r="AJ72" s="209">
        <v>345</v>
      </c>
      <c r="AK72" s="209">
        <f>326*1.085</f>
        <v>353.71</v>
      </c>
      <c r="AL72" s="212">
        <f>IF(AI72&lt;&gt;0,AK72/AI72,0)</f>
        <v>1.085</v>
      </c>
      <c r="AM72" s="211">
        <f>AK72-AJ72</f>
        <v>8.7099999999999795</v>
      </c>
      <c r="AN72" s="132" t="s">
        <v>519</v>
      </c>
      <c r="AO72" s="838"/>
      <c r="AP72" s="838"/>
      <c r="AQ72" s="838"/>
      <c r="AR72" s="838"/>
      <c r="AS72" s="838"/>
      <c r="AT72" s="838"/>
      <c r="AU72" s="838"/>
      <c r="AV72" s="838"/>
      <c r="AW72" s="838"/>
      <c r="AX72" s="838"/>
      <c r="AY72" s="838"/>
      <c r="AZ72" s="838"/>
      <c r="BA72" s="838"/>
      <c r="BB72" s="838"/>
      <c r="BC72" s="838"/>
      <c r="BD72" s="838"/>
      <c r="BE72" s="838"/>
      <c r="BF72" s="838"/>
      <c r="BI72" s="665" t="s">
        <v>500</v>
      </c>
    </row>
    <row r="73" spans="5:65" ht="21.75" hidden="1" customHeight="1">
      <c r="E73" s="459">
        <v>22.5</v>
      </c>
      <c r="F73" s="3" t="str" cm="1">
        <f t="array" aca="1" ref="F73" ca="1">OFFSET(E73,-1,1)</f>
        <v>1</v>
      </c>
      <c r="I73" s="57" cm="1">
        <f t="array" ref="I73">AC73</f>
        <v>0</v>
      </c>
      <c r="U73" s="365" t="b">
        <f ca="1">AND(F73&gt;0,--RIGHT(AB73,1)&gt;1)</f>
        <v>0</v>
      </c>
      <c r="X73" s="528" t="s">
        <v>173</v>
      </c>
      <c r="Y73" s="1050"/>
      <c r="Z73" s="1076"/>
      <c r="AA73" s="332" t="s">
        <v>174</v>
      </c>
      <c r="AB73" s="58" t="s">
        <v>498</v>
      </c>
      <c r="AC73" s="850"/>
      <c r="AD73" s="30" t="s">
        <v>489</v>
      </c>
      <c r="AE73" s="838"/>
      <c r="AF73" s="840"/>
      <c r="AG73" s="849"/>
      <c r="AH73" s="839"/>
      <c r="AI73" s="838"/>
      <c r="AJ73" s="840"/>
      <c r="AK73" s="840"/>
      <c r="AL73" s="212">
        <f>IF(AI73&lt;&gt;0,AK73/AI73,0)</f>
        <v>0</v>
      </c>
      <c r="AM73" s="211">
        <f>AK73-AJ73</f>
        <v>0</v>
      </c>
      <c r="AN73" s="839"/>
      <c r="AO73" s="838"/>
      <c r="AP73" s="838"/>
      <c r="AQ73" s="838"/>
      <c r="AR73" s="838"/>
      <c r="AS73" s="838"/>
      <c r="AT73" s="838"/>
      <c r="AU73" s="838"/>
      <c r="AV73" s="838"/>
      <c r="AW73" s="838"/>
      <c r="AX73" s="838"/>
      <c r="AY73" s="838"/>
      <c r="AZ73" s="838"/>
      <c r="BA73" s="838"/>
      <c r="BB73" s="838"/>
      <c r="BC73" s="838"/>
      <c r="BD73" s="838"/>
      <c r="BE73" s="838"/>
      <c r="BF73" s="838"/>
      <c r="BI73" s="665" t="s">
        <v>500</v>
      </c>
      <c r="BJ73" s="665" t="s">
        <v>501</v>
      </c>
      <c r="BK73" s="665" cm="1">
        <f t="array" ref="BK73">AC73</f>
        <v>0</v>
      </c>
      <c r="BM73" s="459" t="b">
        <v>1</v>
      </c>
    </row>
    <row r="74" spans="5:65" ht="0" hidden="1" customHeight="1">
      <c r="E74" s="459">
        <v>15</v>
      </c>
      <c r="F74" s="3" t="str" cm="1">
        <f t="array" aca="1" ref="F74" ca="1">OFFSET(E74,-1,1)</f>
        <v>1</v>
      </c>
      <c r="U74" s="365" t="b">
        <f ca="1">F74&gt;0</f>
        <v>1</v>
      </c>
      <c r="X74" s="528" t="s">
        <v>399</v>
      </c>
      <c r="Y74" s="1050"/>
      <c r="Z74" s="1076"/>
      <c r="AB74" s="108"/>
      <c r="AC74" s="229" t="s">
        <v>177</v>
      </c>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09"/>
      <c r="BA74" s="109"/>
      <c r="BB74" s="109"/>
      <c r="BC74" s="109"/>
      <c r="BD74" s="109"/>
      <c r="BE74" s="109"/>
      <c r="BF74" s="109"/>
      <c r="BL74" s="459" t="s">
        <v>501</v>
      </c>
    </row>
    <row r="75" spans="5:65" ht="23.25" customHeight="1">
      <c r="E75" s="459">
        <v>22.5</v>
      </c>
      <c r="F75" s="3" t="str" cm="1">
        <f t="array" aca="1" ref="F75" ca="1">OFFSET(E75,-1,1)</f>
        <v>1</v>
      </c>
      <c r="H75" s="57" t="s">
        <v>502</v>
      </c>
      <c r="U75" s="365" t="b" cm="1">
        <f t="array" aca="1" ref="U75" ca="1">U74</f>
        <v>1</v>
      </c>
      <c r="Y75" s="1050"/>
      <c r="Z75" s="1076"/>
      <c r="AB75" s="58" t="s">
        <v>503</v>
      </c>
      <c r="AC75" s="124" t="s">
        <v>504</v>
      </c>
      <c r="AD75" s="30" t="s">
        <v>489</v>
      </c>
      <c r="AE75" s="207">
        <v>1336.5</v>
      </c>
      <c r="AF75" s="209">
        <f>330*4.05</f>
        <v>1336.5</v>
      </c>
      <c r="AG75" s="210" cm="1">
        <f t="array" ref="AG75">AF75</f>
        <v>1336.5</v>
      </c>
      <c r="AH75" s="132"/>
      <c r="AI75" s="207">
        <v>1534.5</v>
      </c>
      <c r="AJ75" s="209">
        <v>1623.5</v>
      </c>
      <c r="AK75" s="209">
        <f>330*4.65*1.085</f>
        <v>1664.9325000000001</v>
      </c>
      <c r="AL75" s="212">
        <f>IF(AI75&lt;&gt;0,AK75/AI75,0)</f>
        <v>1.0850000000000002</v>
      </c>
      <c r="AM75" s="211">
        <f>AK75-AJ75</f>
        <v>41.432500000000118</v>
      </c>
      <c r="AN75" s="132" t="s">
        <v>519</v>
      </c>
      <c r="AO75" s="838"/>
      <c r="AP75" s="838"/>
      <c r="AQ75" s="838"/>
      <c r="AR75" s="838"/>
      <c r="AS75" s="838"/>
      <c r="AT75" s="838"/>
      <c r="AU75" s="838"/>
      <c r="AV75" s="838"/>
      <c r="AW75" s="838"/>
      <c r="AX75" s="838"/>
      <c r="AY75" s="838"/>
      <c r="AZ75" s="838"/>
      <c r="BA75" s="838"/>
      <c r="BB75" s="838"/>
      <c r="BC75" s="838"/>
      <c r="BD75" s="838"/>
      <c r="BE75" s="838"/>
      <c r="BF75" s="838"/>
      <c r="BI75" s="665" t="s">
        <v>505</v>
      </c>
    </row>
    <row r="76" spans="5:65" ht="21.75" hidden="1" customHeight="1">
      <c r="E76" s="459">
        <v>22.5</v>
      </c>
      <c r="F76" s="3" t="str" cm="1">
        <f t="array" aca="1" ref="F76" ca="1">OFFSET(E76,-1,1)</f>
        <v>1</v>
      </c>
      <c r="I76" s="57" cm="1">
        <f t="array" ref="I76">AC76</f>
        <v>0</v>
      </c>
      <c r="U76" s="365" t="b">
        <f ca="1">AND(F76&gt;0,--RIGHT(AB76,1)&gt;1)</f>
        <v>0</v>
      </c>
      <c r="X76" s="528" t="s">
        <v>173</v>
      </c>
      <c r="Y76" s="1050"/>
      <c r="Z76" s="1076"/>
      <c r="AA76" s="332" t="s">
        <v>174</v>
      </c>
      <c r="AB76" s="58" t="s">
        <v>503</v>
      </c>
      <c r="AC76" s="850"/>
      <c r="AD76" s="30" t="s">
        <v>489</v>
      </c>
      <c r="AE76" s="838"/>
      <c r="AF76" s="840"/>
      <c r="AG76" s="849"/>
      <c r="AH76" s="839"/>
      <c r="AI76" s="838"/>
      <c r="AJ76" s="840"/>
      <c r="AK76" s="840"/>
      <c r="AL76" s="212">
        <f>IF(AI76&lt;&gt;0,AK76/AI76,0)</f>
        <v>0</v>
      </c>
      <c r="AM76" s="211">
        <f>AK76-AJ76</f>
        <v>0</v>
      </c>
      <c r="AN76" s="839"/>
      <c r="AO76" s="838"/>
      <c r="AP76" s="838"/>
      <c r="AQ76" s="838"/>
      <c r="AR76" s="838"/>
      <c r="AS76" s="838"/>
      <c r="AT76" s="838"/>
      <c r="AU76" s="838"/>
      <c r="AV76" s="838"/>
      <c r="AW76" s="838"/>
      <c r="AX76" s="838"/>
      <c r="AY76" s="838"/>
      <c r="AZ76" s="838"/>
      <c r="BA76" s="838"/>
      <c r="BB76" s="838"/>
      <c r="BC76" s="838"/>
      <c r="BD76" s="838"/>
      <c r="BE76" s="838"/>
      <c r="BF76" s="838"/>
      <c r="BI76" s="665" t="s">
        <v>505</v>
      </c>
      <c r="BJ76" s="665" t="s">
        <v>506</v>
      </c>
      <c r="BK76" s="665" cm="1">
        <f t="array" ref="BK76">AC76</f>
        <v>0</v>
      </c>
      <c r="BM76" s="459" t="b">
        <v>1</v>
      </c>
    </row>
    <row r="77" spans="5:65" ht="0" hidden="1" customHeight="1">
      <c r="E77" s="459">
        <v>15</v>
      </c>
      <c r="F77" s="3" t="str" cm="1">
        <f t="array" aca="1" ref="F77" ca="1">OFFSET(E77,-1,1)</f>
        <v>1</v>
      </c>
      <c r="U77" s="365" t="b">
        <f ca="1">F77&gt;0</f>
        <v>1</v>
      </c>
      <c r="X77" s="528" t="s">
        <v>399</v>
      </c>
      <c r="Y77" s="1050"/>
      <c r="Z77" s="1076"/>
      <c r="AB77" s="108"/>
      <c r="AC77" s="229" t="s">
        <v>177</v>
      </c>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c r="BF77" s="109"/>
      <c r="BL77" s="459" t="s">
        <v>506</v>
      </c>
    </row>
    <row r="78" spans="5:65" ht="14.25" customHeight="1">
      <c r="E78" s="459">
        <v>15</v>
      </c>
      <c r="F78" s="3" t="str" cm="1">
        <f t="array" aca="1" ref="F78" ca="1">OFFSET(E78,-1,1)</f>
        <v>1</v>
      </c>
      <c r="H78" s="57" t="s">
        <v>331</v>
      </c>
      <c r="U78" s="365" t="b" cm="1">
        <f t="array" aca="1" ref="U78" ca="1">U77</f>
        <v>1</v>
      </c>
      <c r="Y78" s="1050"/>
      <c r="Z78" s="1076"/>
      <c r="AB78" s="68">
        <v>3</v>
      </c>
      <c r="AC78" s="74" t="s">
        <v>507</v>
      </c>
      <c r="AD78" s="71" t="s">
        <v>456</v>
      </c>
      <c r="AE78" s="207"/>
      <c r="AF78" s="209"/>
      <c r="AG78" s="210"/>
      <c r="AH78" s="132"/>
      <c r="AI78" s="207"/>
      <c r="AJ78" s="209"/>
      <c r="AK78" s="209"/>
      <c r="AL78" s="212">
        <f>IF(AI78&lt;&gt;0,AK78/AI78,0)</f>
        <v>0</v>
      </c>
      <c r="AM78" s="211">
        <f>AK78-AJ78</f>
        <v>0</v>
      </c>
      <c r="AN78" s="132"/>
      <c r="AO78" s="838"/>
      <c r="AP78" s="838"/>
      <c r="AQ78" s="838"/>
      <c r="AR78" s="838"/>
      <c r="AS78" s="838"/>
      <c r="AT78" s="838"/>
      <c r="AU78" s="838"/>
      <c r="AV78" s="838"/>
      <c r="AW78" s="838"/>
      <c r="AX78" s="838"/>
      <c r="AY78" s="838"/>
      <c r="AZ78" s="838"/>
      <c r="BA78" s="838"/>
      <c r="BB78" s="838"/>
      <c r="BC78" s="838"/>
      <c r="BD78" s="838"/>
      <c r="BE78" s="838"/>
      <c r="BF78" s="838"/>
      <c r="BI78" s="665" t="s">
        <v>508</v>
      </c>
    </row>
    <row r="79" spans="5:65" ht="26.25" customHeight="1">
      <c r="E79" s="459">
        <v>15</v>
      </c>
      <c r="F79" s="3" t="str" cm="1">
        <f t="array" aca="1" ref="F79" ca="1">OFFSET(E79,-1,1)</f>
        <v>1</v>
      </c>
      <c r="H79" s="57" t="s">
        <v>330</v>
      </c>
      <c r="U79" s="365" t="b" cm="1">
        <f t="array" aca="1" ref="U79" ca="1">U78</f>
        <v>1</v>
      </c>
      <c r="Y79" s="1050"/>
      <c r="Z79" s="1076"/>
      <c r="AB79" s="68">
        <v>4</v>
      </c>
      <c r="AC79" s="74" t="s">
        <v>509</v>
      </c>
      <c r="AD79" s="71" t="s">
        <v>456</v>
      </c>
      <c r="AE79" s="207">
        <v>1</v>
      </c>
      <c r="AF79" s="209">
        <v>1</v>
      </c>
      <c r="AG79" s="210">
        <v>1</v>
      </c>
      <c r="AH79" s="132"/>
      <c r="AI79" s="207">
        <v>1</v>
      </c>
      <c r="AJ79" s="209">
        <v>1</v>
      </c>
      <c r="AK79" s="209">
        <v>1</v>
      </c>
      <c r="AL79" s="212">
        <f>IF(AI79&lt;&gt;0,AK79/AI79,0)</f>
        <v>1</v>
      </c>
      <c r="AM79" s="211">
        <f>AK79-AJ79</f>
        <v>0</v>
      </c>
      <c r="AN79" s="132" t="s">
        <v>520</v>
      </c>
      <c r="AO79" s="838"/>
      <c r="AP79" s="838"/>
      <c r="AQ79" s="838"/>
      <c r="AR79" s="838"/>
      <c r="AS79" s="838"/>
      <c r="AT79" s="838"/>
      <c r="AU79" s="838"/>
      <c r="AV79" s="838"/>
      <c r="AW79" s="838"/>
      <c r="AX79" s="838"/>
      <c r="AY79" s="838"/>
      <c r="AZ79" s="838"/>
      <c r="BA79" s="838"/>
      <c r="BB79" s="838"/>
      <c r="BC79" s="838"/>
      <c r="BD79" s="838"/>
      <c r="BE79" s="838"/>
      <c r="BF79" s="838"/>
      <c r="BI79" s="665" t="s">
        <v>510</v>
      </c>
    </row>
    <row r="80" spans="5:65" ht="14.65" customHeight="1">
      <c r="E80" s="459">
        <v>15</v>
      </c>
      <c r="F80" s="3" t="str" cm="1">
        <f t="array" aca="1" ref="F80" ca="1">OFFSET(E80,-1,1)</f>
        <v>1</v>
      </c>
      <c r="H80" s="57" t="s">
        <v>511</v>
      </c>
      <c r="U80" s="365" t="b" cm="1">
        <f t="array" aca="1" ref="U80" ca="1">U79</f>
        <v>1</v>
      </c>
      <c r="Y80" s="1050"/>
      <c r="Z80" s="1076"/>
      <c r="AB80" s="58" t="s">
        <v>444</v>
      </c>
      <c r="AC80" s="73" t="s">
        <v>512</v>
      </c>
      <c r="AD80" s="71"/>
      <c r="AE80" s="210">
        <v>37.36</v>
      </c>
      <c r="AF80" s="210">
        <v>37.36</v>
      </c>
      <c r="AG80" s="210">
        <v>37.36</v>
      </c>
      <c r="AH80" s="215"/>
      <c r="AI80" s="210">
        <v>37.36</v>
      </c>
      <c r="AJ80" s="210">
        <v>37.36</v>
      </c>
      <c r="AK80" s="210">
        <v>37.36</v>
      </c>
      <c r="AL80" s="212">
        <f>IF(AI80&lt;&gt;0,AK80/AI80,0)</f>
        <v>1</v>
      </c>
      <c r="AM80" s="211">
        <f>AK80-AJ80</f>
        <v>0</v>
      </c>
      <c r="AN80" s="215"/>
      <c r="AO80" s="849"/>
      <c r="AP80" s="849"/>
      <c r="AQ80" s="849"/>
      <c r="AR80" s="849"/>
      <c r="AS80" s="849"/>
      <c r="AT80" s="849"/>
      <c r="AU80" s="849"/>
      <c r="AV80" s="849"/>
      <c r="AW80" s="849"/>
      <c r="AX80" s="849"/>
      <c r="AY80" s="849"/>
      <c r="AZ80" s="849"/>
      <c r="BA80" s="849"/>
      <c r="BB80" s="849"/>
      <c r="BC80" s="849"/>
      <c r="BD80" s="849"/>
      <c r="BE80" s="849"/>
      <c r="BF80" s="849"/>
      <c r="BI80" s="665" t="s">
        <v>513</v>
      </c>
    </row>
    <row r="81" spans="1:65" ht="14.65" customHeight="1">
      <c r="E81" s="459">
        <v>15</v>
      </c>
      <c r="F81" s="3" t="str" cm="1">
        <f t="array" aca="1" ref="F81" ca="1">OFFSET(E81,-1,1)</f>
        <v>1</v>
      </c>
      <c r="H81" s="57" t="s">
        <v>514</v>
      </c>
      <c r="U81" s="365" t="b" cm="1">
        <f t="array" aca="1" ref="U81" ca="1">U80</f>
        <v>1</v>
      </c>
      <c r="Y81" s="1050"/>
      <c r="Z81" s="1076"/>
      <c r="AB81" s="58" t="s">
        <v>447</v>
      </c>
      <c r="AC81" s="72" t="s">
        <v>515</v>
      </c>
      <c r="AD81" s="71"/>
      <c r="AE81" s="210">
        <v>37.36</v>
      </c>
      <c r="AF81" s="210">
        <v>37.36</v>
      </c>
      <c r="AG81" s="210">
        <v>37.36</v>
      </c>
      <c r="AH81" s="215"/>
      <c r="AI81" s="210">
        <v>37.36</v>
      </c>
      <c r="AJ81" s="210">
        <v>37.36</v>
      </c>
      <c r="AK81" s="210">
        <v>37.36</v>
      </c>
      <c r="AL81" s="212">
        <f>IF(AI81&lt;&gt;0,AK81/AI81,0)</f>
        <v>1</v>
      </c>
      <c r="AM81" s="211">
        <f>AK81-AJ81</f>
        <v>0</v>
      </c>
      <c r="AN81" s="215"/>
      <c r="AO81" s="849"/>
      <c r="AP81" s="849"/>
      <c r="AQ81" s="849"/>
      <c r="AR81" s="849"/>
      <c r="AS81" s="849"/>
      <c r="AT81" s="849"/>
      <c r="AU81" s="849"/>
      <c r="AV81" s="849"/>
      <c r="AW81" s="849"/>
      <c r="AX81" s="849"/>
      <c r="AY81" s="849"/>
      <c r="AZ81" s="849"/>
      <c r="BA81" s="849"/>
      <c r="BB81" s="849"/>
      <c r="BC81" s="849"/>
      <c r="BD81" s="849"/>
      <c r="BE81" s="849"/>
      <c r="BF81" s="849"/>
      <c r="BI81" s="665" t="s">
        <v>516</v>
      </c>
    </row>
    <row r="82" spans="1:65" s="851" customFormat="1" ht="14.25" customHeight="1">
      <c r="A82" s="79"/>
      <c r="B82" s="338"/>
      <c r="C82" s="79"/>
      <c r="D82" s="79"/>
      <c r="E82" s="470">
        <v>15</v>
      </c>
      <c r="F82" s="288" t="str" cm="1">
        <f t="array" ref="F82">Y82</f>
        <v>2</v>
      </c>
      <c r="G82" s="79"/>
      <c r="H82" s="79"/>
      <c r="I82" s="79"/>
      <c r="J82" s="79"/>
      <c r="K82" s="79"/>
      <c r="L82" s="79"/>
      <c r="M82" s="79"/>
      <c r="N82" s="79"/>
      <c r="O82" s="79"/>
      <c r="P82" s="79"/>
      <c r="Q82" s="79"/>
      <c r="R82" s="79"/>
      <c r="S82" s="79"/>
      <c r="T82" s="79"/>
      <c r="U82" s="365" t="b">
        <f>Y82&gt;0</f>
        <v>1</v>
      </c>
      <c r="V82" s="79"/>
      <c r="W82" s="79" t="str" cm="1">
        <f t="array" ref="W82">'Список объектов'!$AB$38</f>
        <v>Тариф 2 (Водоотведение) - тариф на водоотведение (Доп. признак не требуется)</v>
      </c>
      <c r="X82" s="79"/>
      <c r="Y82" s="1050" t="s">
        <v>285</v>
      </c>
      <c r="Z82" s="1076"/>
      <c r="AA82" s="79"/>
      <c r="AB82" s="116" t="str" cm="1">
        <f t="array" ref="AB82">'Список объектов'!$AB$38</f>
        <v>Тариф 2 (Водоотведение) - тариф на водоотведение (Доп. признак не требуется)</v>
      </c>
      <c r="AC82" s="113"/>
      <c r="AD82" s="107"/>
      <c r="AE82" s="107"/>
      <c r="AF82" s="107"/>
      <c r="AG82" s="107"/>
      <c r="AH82" s="107"/>
      <c r="AI82" s="107"/>
      <c r="AJ82" s="107"/>
      <c r="AK82" s="107"/>
      <c r="AL82" s="107"/>
      <c r="AM82" s="107"/>
      <c r="AN82" s="107"/>
      <c r="AO82" s="107"/>
      <c r="AP82" s="107"/>
      <c r="AQ82" s="107"/>
      <c r="AR82" s="107"/>
      <c r="AS82" s="107"/>
      <c r="AT82" s="107"/>
      <c r="AU82" s="107"/>
      <c r="AV82" s="107"/>
      <c r="AW82" s="107"/>
      <c r="AX82" s="107"/>
      <c r="AY82" s="107"/>
      <c r="AZ82" s="107"/>
      <c r="BA82" s="107"/>
      <c r="BB82" s="107"/>
      <c r="BC82" s="107"/>
      <c r="BD82" s="107"/>
      <c r="BE82" s="107"/>
      <c r="BF82" s="107"/>
      <c r="BG82" s="79"/>
      <c r="BH82" s="79"/>
      <c r="BI82" s="678"/>
      <c r="BJ82" s="678"/>
      <c r="BK82" s="678"/>
      <c r="BL82" s="470"/>
      <c r="BM82" s="470"/>
    </row>
    <row r="83" spans="1:65" ht="14.25" customHeight="1">
      <c r="E83" s="459">
        <v>15</v>
      </c>
      <c r="F83" s="3" t="str" cm="1">
        <f t="array" aca="1" ref="F83" ca="1">OFFSET(E83,-1,1)</f>
        <v>2</v>
      </c>
      <c r="G83" s="57" t="s">
        <v>458</v>
      </c>
      <c r="U83" s="365" t="b" cm="1">
        <f t="array" ref="U83">U82</f>
        <v>1</v>
      </c>
      <c r="Y83" s="1050"/>
      <c r="Z83" s="1076"/>
      <c r="AB83" s="201"/>
      <c r="AC83" s="202" t="s">
        <v>459</v>
      </c>
      <c r="AD83" s="203"/>
      <c r="AE83" s="203"/>
      <c r="AF83" s="203"/>
      <c r="AG83" s="203"/>
      <c r="AH83" s="203"/>
      <c r="AI83" s="226">
        <f>(1-AI84/100)*(1+AI85/100)*(1+AI87/100)</f>
        <v>1.0580000000000001</v>
      </c>
      <c r="AJ83" s="226">
        <f>(1-AJ84/100)*(1+AJ85/100)*(1+AJ87/100)</f>
        <v>1.08</v>
      </c>
      <c r="AK83" s="226">
        <f>(1-AK84/100)*(1+AK85/100)*(1+AK87/100)</f>
        <v>1.0404899999999999</v>
      </c>
      <c r="AL83" s="203"/>
      <c r="AM83" s="203"/>
      <c r="AN83" s="203"/>
      <c r="AO83" s="226">
        <f t="shared" ref="AO83:BF83" si="5">(1-AO84/100)*(1+AO85/100)*(1+AO87/100)</f>
        <v>1</v>
      </c>
      <c r="AP83" s="226">
        <f t="shared" si="5"/>
        <v>1</v>
      </c>
      <c r="AQ83" s="226">
        <f t="shared" si="5"/>
        <v>1</v>
      </c>
      <c r="AR83" s="226">
        <f t="shared" si="5"/>
        <v>1</v>
      </c>
      <c r="AS83" s="226">
        <f t="shared" si="5"/>
        <v>1</v>
      </c>
      <c r="AT83" s="226">
        <f t="shared" si="5"/>
        <v>1</v>
      </c>
      <c r="AU83" s="226">
        <f t="shared" si="5"/>
        <v>1</v>
      </c>
      <c r="AV83" s="226">
        <f t="shared" si="5"/>
        <v>1</v>
      </c>
      <c r="AW83" s="226">
        <f t="shared" si="5"/>
        <v>1</v>
      </c>
      <c r="AX83" s="226">
        <f t="shared" si="5"/>
        <v>1</v>
      </c>
      <c r="AY83" s="226">
        <f t="shared" si="5"/>
        <v>1</v>
      </c>
      <c r="AZ83" s="226">
        <f t="shared" si="5"/>
        <v>1</v>
      </c>
      <c r="BA83" s="226">
        <f t="shared" si="5"/>
        <v>1</v>
      </c>
      <c r="BB83" s="226">
        <f t="shared" si="5"/>
        <v>1</v>
      </c>
      <c r="BC83" s="226">
        <f t="shared" si="5"/>
        <v>1</v>
      </c>
      <c r="BD83" s="226">
        <f t="shared" si="5"/>
        <v>1</v>
      </c>
      <c r="BE83" s="226">
        <f t="shared" si="5"/>
        <v>1</v>
      </c>
      <c r="BF83" s="226">
        <f t="shared" si="5"/>
        <v>1</v>
      </c>
    </row>
    <row r="84" spans="1:65" ht="21.95" customHeight="1">
      <c r="B84" s="354" t="b">
        <f>method_reg&lt;&gt;"Метод экономически обоснованных расходов"</f>
        <v>1</v>
      </c>
      <c r="E84" s="459">
        <v>22.5</v>
      </c>
      <c r="F84" s="3" t="str" cm="1">
        <f t="array" aca="1" ref="F84" ca="1">OFFSET(E84,-1,1)</f>
        <v>2</v>
      </c>
      <c r="G84" s="57" t="s">
        <v>460</v>
      </c>
      <c r="H84" s="57" t="s">
        <v>461</v>
      </c>
      <c r="U84" s="365" t="b" cm="1">
        <f t="array" ref="U84">U83</f>
        <v>1</v>
      </c>
      <c r="Y84" s="1050"/>
      <c r="Z84" s="1076"/>
      <c r="AB84" s="68">
        <v>1</v>
      </c>
      <c r="AC84" s="69" t="s">
        <v>462</v>
      </c>
      <c r="AD84" s="71" t="s">
        <v>456</v>
      </c>
      <c r="AE84" s="207"/>
      <c r="AF84" s="207"/>
      <c r="AG84" s="207"/>
      <c r="AH84" s="132"/>
      <c r="AI84" s="207">
        <v>0</v>
      </c>
      <c r="AJ84" s="207"/>
      <c r="AK84" s="207">
        <v>1</v>
      </c>
      <c r="AL84" s="212">
        <f>IF(AI84&lt;&gt;0,AK84/AI84,0)</f>
        <v>0</v>
      </c>
      <c r="AM84" s="211">
        <f>AK84-AJ84</f>
        <v>1</v>
      </c>
      <c r="AN84" s="132"/>
      <c r="AO84" s="838"/>
      <c r="AP84" s="838"/>
      <c r="AQ84" s="838"/>
      <c r="AR84" s="838"/>
      <c r="AS84" s="838"/>
      <c r="AT84" s="838"/>
      <c r="AU84" s="838"/>
      <c r="AV84" s="838"/>
      <c r="AW84" s="838"/>
      <c r="AX84" s="838"/>
      <c r="AY84" s="838"/>
      <c r="AZ84" s="838"/>
      <c r="BA84" s="838"/>
      <c r="BB84" s="838"/>
      <c r="BC84" s="838"/>
      <c r="BD84" s="838"/>
      <c r="BE84" s="838"/>
      <c r="BF84" s="838"/>
      <c r="BI84" s="665" t="s">
        <v>463</v>
      </c>
    </row>
    <row r="85" spans="1:65" ht="107.25" customHeight="1">
      <c r="E85" s="459">
        <v>15</v>
      </c>
      <c r="F85" s="3" t="str" cm="1">
        <f t="array" aca="1" ref="F85" ca="1">OFFSET(E85,-1,1)</f>
        <v>2</v>
      </c>
      <c r="G85" s="57" t="s">
        <v>464</v>
      </c>
      <c r="H85" s="57" t="s">
        <v>465</v>
      </c>
      <c r="U85" s="365" t="b" cm="1">
        <f t="array" ref="U85">U84</f>
        <v>1</v>
      </c>
      <c r="Y85" s="1050"/>
      <c r="Z85" s="1076"/>
      <c r="AB85" s="68">
        <f>IF(B84,2,1)</f>
        <v>2</v>
      </c>
      <c r="AC85" s="70" t="s">
        <v>466</v>
      </c>
      <c r="AD85" s="71" t="s">
        <v>456</v>
      </c>
      <c r="AE85" s="207">
        <v>8</v>
      </c>
      <c r="AF85" s="207">
        <v>8.5</v>
      </c>
      <c r="AG85" s="207">
        <v>8.5</v>
      </c>
      <c r="AH85" s="132"/>
      <c r="AI85" s="207">
        <v>5.8</v>
      </c>
      <c r="AJ85" s="207">
        <v>8</v>
      </c>
      <c r="AK85" s="207">
        <v>5.0999999999999996</v>
      </c>
      <c r="AL85" s="212">
        <f>IF(AI85&lt;&gt;0,AK85/AI85,0)</f>
        <v>0.87931034482758619</v>
      </c>
      <c r="AM85" s="211">
        <f>AK85-AJ85</f>
        <v>-2.9000000000000004</v>
      </c>
      <c r="AN85" s="132" t="s">
        <v>517</v>
      </c>
      <c r="AO85" s="838"/>
      <c r="AP85" s="838"/>
      <c r="AQ85" s="838"/>
      <c r="AR85" s="838"/>
      <c r="AS85" s="838"/>
      <c r="AT85" s="838"/>
      <c r="AU85" s="838"/>
      <c r="AV85" s="838"/>
      <c r="AW85" s="838"/>
      <c r="AX85" s="838"/>
      <c r="AY85" s="838"/>
      <c r="AZ85" s="838"/>
      <c r="BA85" s="838"/>
      <c r="BB85" s="838"/>
      <c r="BC85" s="838"/>
      <c r="BD85" s="838"/>
      <c r="BE85" s="838"/>
      <c r="BF85" s="838"/>
      <c r="BI85" s="665" t="s">
        <v>467</v>
      </c>
    </row>
    <row r="86" spans="1:65" ht="14.65" customHeight="1">
      <c r="E86" s="459">
        <v>15</v>
      </c>
      <c r="F86" s="3" t="str" cm="1">
        <f t="array" aca="1" ref="F86" ca="1">OFFSET(E86,-1,1)</f>
        <v>2</v>
      </c>
      <c r="H86" s="57" t="s">
        <v>468</v>
      </c>
      <c r="U86" s="365" t="b" cm="1">
        <f t="array" ref="U86">U85</f>
        <v>1</v>
      </c>
      <c r="Y86" s="1050"/>
      <c r="Z86" s="1076"/>
      <c r="AB86" s="68">
        <f>AB85+1</f>
        <v>3</v>
      </c>
      <c r="AC86" s="72" t="s">
        <v>469</v>
      </c>
      <c r="AD86" s="71" t="s">
        <v>456</v>
      </c>
      <c r="AE86" s="207">
        <v>5.0999999999999996</v>
      </c>
      <c r="AF86" s="207">
        <v>5.9</v>
      </c>
      <c r="AG86" s="207">
        <v>5.9</v>
      </c>
      <c r="AH86" s="132"/>
      <c r="AI86" s="207">
        <v>9.8000000000000007</v>
      </c>
      <c r="AJ86" s="207">
        <v>9.8000000000000007</v>
      </c>
      <c r="AK86" s="207">
        <v>13.2</v>
      </c>
      <c r="AL86" s="212">
        <f>IF(AI86&lt;&gt;0,AK86/AI86,0)</f>
        <v>1.3469387755102038</v>
      </c>
      <c r="AM86" s="211">
        <f>AK86-AJ86</f>
        <v>3.3999999999999986</v>
      </c>
      <c r="AN86" s="132"/>
      <c r="AO86" s="838"/>
      <c r="AP86" s="838"/>
      <c r="AQ86" s="838"/>
      <c r="AR86" s="838"/>
      <c r="AS86" s="838"/>
      <c r="AT86" s="838"/>
      <c r="AU86" s="838"/>
      <c r="AV86" s="838"/>
      <c r="AW86" s="838"/>
      <c r="AX86" s="838"/>
      <c r="AY86" s="838"/>
      <c r="AZ86" s="838"/>
      <c r="BA86" s="838"/>
      <c r="BB86" s="838"/>
      <c r="BC86" s="838"/>
      <c r="BD86" s="838"/>
      <c r="BE86" s="838"/>
      <c r="BF86" s="838"/>
      <c r="BI86" s="665" t="s">
        <v>470</v>
      </c>
    </row>
    <row r="87" spans="1:65" ht="14.25" customHeight="1">
      <c r="B87" s="354" t="b">
        <f>method_reg&lt;&gt;"Метод экономически обоснованных расходов"</f>
        <v>1</v>
      </c>
      <c r="E87" s="459">
        <v>15</v>
      </c>
      <c r="F87" s="3" t="str" cm="1">
        <f t="array" aca="1" ref="F87" ca="1">OFFSET(E87,-1,1)</f>
        <v>2</v>
      </c>
      <c r="G87" s="57" t="s">
        <v>471</v>
      </c>
      <c r="H87" s="57" t="s">
        <v>472</v>
      </c>
      <c r="U87" s="365" t="b" cm="1">
        <f t="array" ref="U87">U86</f>
        <v>1</v>
      </c>
      <c r="Y87" s="1050"/>
      <c r="Z87" s="1076"/>
      <c r="AB87" s="68">
        <v>4</v>
      </c>
      <c r="AC87" s="70" t="s">
        <v>473</v>
      </c>
      <c r="AD87" s="71" t="s">
        <v>456</v>
      </c>
      <c r="AE87" s="207"/>
      <c r="AF87" s="207"/>
      <c r="AG87" s="207"/>
      <c r="AH87" s="132"/>
      <c r="AI87" s="207"/>
      <c r="AJ87" s="207"/>
      <c r="AK87" s="207"/>
      <c r="AL87" s="212">
        <f>IF(AI87&lt;&gt;0,AK87/AI87,0)</f>
        <v>0</v>
      </c>
      <c r="AM87" s="211">
        <f>AK87-AJ87</f>
        <v>0</v>
      </c>
      <c r="AN87" s="132"/>
      <c r="AO87" s="838"/>
      <c r="AP87" s="838"/>
      <c r="AQ87" s="838"/>
      <c r="AR87" s="838"/>
      <c r="AS87" s="838"/>
      <c r="AT87" s="838"/>
      <c r="AU87" s="838"/>
      <c r="AV87" s="838"/>
      <c r="AW87" s="838"/>
      <c r="AX87" s="838"/>
      <c r="AY87" s="838"/>
      <c r="AZ87" s="838"/>
      <c r="BA87" s="838"/>
      <c r="BB87" s="838"/>
      <c r="BC87" s="838"/>
      <c r="BD87" s="838"/>
      <c r="BE87" s="838"/>
      <c r="BF87" s="838"/>
      <c r="BI87" s="665" t="s">
        <v>474</v>
      </c>
    </row>
    <row r="88" spans="1:65" s="23" customFormat="1" ht="14.25" customHeight="1">
      <c r="A88" s="57"/>
      <c r="B88" s="354"/>
      <c r="C88" s="57"/>
      <c r="D88" s="57"/>
      <c r="E88" s="459">
        <v>15</v>
      </c>
      <c r="F88" s="280" t="str" cm="1">
        <f t="array" aca="1" ref="F88" ca="1">OFFSET(E88,-1,1)</f>
        <v>2</v>
      </c>
      <c r="G88" s="57"/>
      <c r="H88" s="57"/>
      <c r="I88" s="57"/>
      <c r="J88" s="57"/>
      <c r="K88" s="57"/>
      <c r="L88" s="57"/>
      <c r="M88" s="57"/>
      <c r="N88" s="57"/>
      <c r="O88" s="57"/>
      <c r="P88" s="57"/>
      <c r="Q88" s="57"/>
      <c r="R88" s="57"/>
      <c r="S88" s="57"/>
      <c r="T88" s="57"/>
      <c r="U88" s="365" t="b" cm="1">
        <f t="array" ref="U88">U87</f>
        <v>1</v>
      </c>
      <c r="V88" s="57"/>
      <c r="W88" s="57"/>
      <c r="X88" s="57"/>
      <c r="Y88" s="1050"/>
      <c r="Z88" s="1076"/>
      <c r="AA88" s="57"/>
      <c r="AB88" s="68">
        <v>5</v>
      </c>
      <c r="AC88" s="70" t="s">
        <v>475</v>
      </c>
      <c r="AD88" s="71" t="s">
        <v>456</v>
      </c>
      <c r="AE88" s="207"/>
      <c r="AF88" s="207"/>
      <c r="AG88" s="207"/>
      <c r="AH88" s="132"/>
      <c r="AI88" s="207"/>
      <c r="AJ88" s="207"/>
      <c r="AK88" s="207"/>
      <c r="AL88" s="212">
        <f>IF(AI88&lt;&gt;0,AK88/AI88,0)</f>
        <v>0</v>
      </c>
      <c r="AM88" s="211">
        <f>AK88-AJ88</f>
        <v>0</v>
      </c>
      <c r="AN88" s="132"/>
      <c r="AO88" s="838"/>
      <c r="AP88" s="838"/>
      <c r="AQ88" s="838"/>
      <c r="AR88" s="838"/>
      <c r="AS88" s="838"/>
      <c r="AT88" s="838"/>
      <c r="AU88" s="838"/>
      <c r="AV88" s="838"/>
      <c r="AW88" s="838"/>
      <c r="AX88" s="838"/>
      <c r="AY88" s="838"/>
      <c r="AZ88" s="838"/>
      <c r="BA88" s="838"/>
      <c r="BB88" s="838"/>
      <c r="BC88" s="838"/>
      <c r="BD88" s="838"/>
      <c r="BE88" s="838"/>
      <c r="BF88" s="838"/>
      <c r="BG88" s="57"/>
      <c r="BH88" s="57"/>
      <c r="BI88" s="665" t="s">
        <v>476</v>
      </c>
      <c r="BJ88" s="665"/>
      <c r="BK88" s="665"/>
      <c r="BL88" s="459"/>
      <c r="BM88" s="459"/>
    </row>
    <row r="89" spans="1:65" ht="14.25" customHeight="1">
      <c r="E89" s="459">
        <v>15</v>
      </c>
      <c r="F89" s="3" t="str" cm="1">
        <f t="array" aca="1" ref="F89" ca="1">OFFSET(E89,-1,1)</f>
        <v>2</v>
      </c>
      <c r="U89" s="365" t="b" cm="1">
        <f t="array" ref="U89">U87</f>
        <v>1</v>
      </c>
      <c r="Y89" s="1050"/>
      <c r="Z89" s="1076"/>
      <c r="AB89" s="201"/>
      <c r="AC89" s="202" t="s">
        <v>477</v>
      </c>
      <c r="AD89" s="203"/>
      <c r="AE89" s="208"/>
      <c r="AF89" s="208"/>
      <c r="AG89" s="208"/>
      <c r="AH89" s="203"/>
      <c r="AI89" s="208"/>
      <c r="AJ89" s="208"/>
      <c r="AK89" s="208"/>
      <c r="AL89" s="213"/>
      <c r="AM89" s="208"/>
      <c r="AN89" s="203"/>
      <c r="AO89" s="208"/>
      <c r="AP89" s="208"/>
      <c r="AQ89" s="208"/>
      <c r="AR89" s="208"/>
      <c r="AS89" s="208"/>
      <c r="AT89" s="208"/>
      <c r="AU89" s="208"/>
      <c r="AV89" s="208"/>
      <c r="AW89" s="208"/>
      <c r="AX89" s="208"/>
      <c r="AY89" s="208"/>
      <c r="AZ89" s="208"/>
      <c r="BA89" s="208"/>
      <c r="BB89" s="208"/>
      <c r="BC89" s="208"/>
      <c r="BD89" s="208"/>
      <c r="BE89" s="208"/>
      <c r="BF89" s="214"/>
    </row>
    <row r="90" spans="1:65" ht="44.25" customHeight="1">
      <c r="E90" s="459">
        <v>15</v>
      </c>
      <c r="F90" s="3" t="str" cm="1">
        <f t="array" aca="1" ref="F90" ca="1">OFFSET(E90,-1,1)</f>
        <v>2</v>
      </c>
      <c r="G90" s="57" t="s">
        <v>478</v>
      </c>
      <c r="H90" s="57" t="s">
        <v>479</v>
      </c>
      <c r="U90" s="365" t="b" cm="1">
        <f t="array" ref="U90">U89</f>
        <v>1</v>
      </c>
      <c r="Y90" s="1050"/>
      <c r="Z90" s="1076"/>
      <c r="AB90" s="68">
        <v>1</v>
      </c>
      <c r="AC90" s="70" t="s">
        <v>480</v>
      </c>
      <c r="AD90" s="71" t="s">
        <v>456</v>
      </c>
      <c r="AE90" s="209">
        <v>30.2</v>
      </c>
      <c r="AF90" s="209">
        <v>24.321999999999999</v>
      </c>
      <c r="AG90" s="209">
        <v>30.2</v>
      </c>
      <c r="AH90" s="132"/>
      <c r="AI90" s="209">
        <v>30.2</v>
      </c>
      <c r="AJ90" s="209">
        <v>30.2</v>
      </c>
      <c r="AK90" s="209">
        <v>30.2</v>
      </c>
      <c r="AL90" s="212">
        <f>IF(AI90&lt;&gt;0,AK90/AI90,0)</f>
        <v>1</v>
      </c>
      <c r="AM90" s="211">
        <f>AK90-AJ90</f>
        <v>0</v>
      </c>
      <c r="AN90" s="132" t="s">
        <v>518</v>
      </c>
      <c r="AO90" s="840"/>
      <c r="AP90" s="840"/>
      <c r="AQ90" s="840"/>
      <c r="AR90" s="840"/>
      <c r="AS90" s="840"/>
      <c r="AT90" s="840"/>
      <c r="AU90" s="840"/>
      <c r="AV90" s="840"/>
      <c r="AW90" s="840"/>
      <c r="AX90" s="840"/>
      <c r="AY90" s="840"/>
      <c r="AZ90" s="840"/>
      <c r="BA90" s="840"/>
      <c r="BB90" s="840"/>
      <c r="BC90" s="840"/>
      <c r="BD90" s="840"/>
      <c r="BE90" s="840"/>
      <c r="BF90" s="840"/>
      <c r="BI90" s="665" t="s">
        <v>481</v>
      </c>
    </row>
    <row r="91" spans="1:65" ht="15" hidden="1" customHeight="1">
      <c r="E91" s="459">
        <v>0</v>
      </c>
      <c r="F91" s="3" t="str" cm="1">
        <f t="array" aca="1" ref="F91" ca="1">OFFSET(E91,-1,1)</f>
        <v>2</v>
      </c>
      <c r="H91" s="57" t="s">
        <v>482</v>
      </c>
      <c r="U91" s="365" t="b" cm="1">
        <f t="array" ref="U91">U90</f>
        <v>1</v>
      </c>
      <c r="Y91" s="1050"/>
      <c r="Z91" s="1076"/>
      <c r="AB91" s="68">
        <v>2</v>
      </c>
      <c r="AC91" s="70" t="s">
        <v>455</v>
      </c>
      <c r="AD91" s="71" t="s">
        <v>456</v>
      </c>
      <c r="AE91" s="840"/>
      <c r="AF91" s="838"/>
      <c r="AG91" s="840"/>
      <c r="AH91" s="839"/>
      <c r="AI91" s="840"/>
      <c r="AJ91" s="840"/>
      <c r="AK91" s="840"/>
      <c r="AL91" s="212">
        <f>IF(AI91&lt;&gt;0,AK91/AI91,0)</f>
        <v>0</v>
      </c>
      <c r="AM91" s="211">
        <f>AK91-AJ91</f>
        <v>0</v>
      </c>
      <c r="AN91" s="839"/>
      <c r="AO91" s="840"/>
      <c r="AP91" s="840"/>
      <c r="AQ91" s="840"/>
      <c r="AR91" s="840"/>
      <c r="AS91" s="840"/>
      <c r="AT91" s="840"/>
      <c r="AU91" s="840"/>
      <c r="AV91" s="840"/>
      <c r="AW91" s="840"/>
      <c r="AX91" s="840"/>
      <c r="AY91" s="840"/>
      <c r="AZ91" s="840"/>
      <c r="BA91" s="840"/>
      <c r="BB91" s="840"/>
      <c r="BC91" s="840"/>
      <c r="BD91" s="840"/>
      <c r="BE91" s="840"/>
      <c r="BF91" s="840"/>
      <c r="BI91" s="665" t="s">
        <v>483</v>
      </c>
    </row>
    <row r="92" spans="1:65" ht="0" hidden="1" customHeight="1">
      <c r="E92" s="459">
        <v>15</v>
      </c>
      <c r="F92" s="3" t="str" cm="1">
        <f t="array" aca="1" ref="F92" ca="1">OFFSET(E92,-1,1)</f>
        <v>2</v>
      </c>
      <c r="U92" s="365" t="b" cm="1">
        <f t="array" ref="U92">U91</f>
        <v>1</v>
      </c>
      <c r="Y92" s="1050"/>
      <c r="Z92" s="1076"/>
      <c r="AB92" s="447">
        <v>2</v>
      </c>
      <c r="AC92" s="448" t="s">
        <v>484</v>
      </c>
      <c r="AD92" s="32"/>
      <c r="AE92" s="449"/>
      <c r="AF92" s="450"/>
      <c r="AG92" s="451"/>
      <c r="AH92" s="452"/>
      <c r="AI92" s="449"/>
      <c r="AJ92" s="450"/>
      <c r="AK92" s="450"/>
      <c r="AL92" s="453"/>
      <c r="AM92" s="450"/>
      <c r="AN92" s="452"/>
      <c r="AO92" s="449"/>
      <c r="AP92" s="449"/>
      <c r="AQ92" s="449"/>
      <c r="AR92" s="449"/>
      <c r="AS92" s="449"/>
      <c r="AT92" s="449"/>
      <c r="AU92" s="449"/>
      <c r="AV92" s="449"/>
      <c r="AW92" s="449"/>
      <c r="AX92" s="449"/>
      <c r="AY92" s="449"/>
      <c r="AZ92" s="449"/>
      <c r="BA92" s="449"/>
      <c r="BB92" s="449"/>
      <c r="BC92" s="449"/>
      <c r="BD92" s="449"/>
      <c r="BE92" s="449"/>
      <c r="BF92" s="449"/>
      <c r="BI92" s="665" t="s">
        <v>485</v>
      </c>
    </row>
    <row r="93" spans="1:65" ht="0" hidden="1" customHeight="1">
      <c r="E93" s="459">
        <v>22.5</v>
      </c>
      <c r="F93" s="3" t="str" cm="1">
        <f t="array" aca="1" ref="F93" ca="1">OFFSET(E93,-1,1)</f>
        <v>2</v>
      </c>
      <c r="H93" s="57" t="s">
        <v>486</v>
      </c>
      <c r="U93" s="365" t="b" cm="1">
        <f t="array" ref="U93">U92</f>
        <v>1</v>
      </c>
      <c r="Y93" s="1050"/>
      <c r="Z93" s="1076"/>
      <c r="AB93" s="152" t="s">
        <v>487</v>
      </c>
      <c r="AC93" s="146" t="s">
        <v>488</v>
      </c>
      <c r="AD93" s="29" t="s">
        <v>489</v>
      </c>
      <c r="AE93" s="228"/>
      <c r="AF93" s="454"/>
      <c r="AG93" s="455"/>
      <c r="AH93" s="230"/>
      <c r="AI93" s="228"/>
      <c r="AJ93" s="454"/>
      <c r="AK93" s="454"/>
      <c r="AL93" s="456">
        <f>IF(AI93&lt;&gt;0,AK93/AI93,0)</f>
        <v>0</v>
      </c>
      <c r="AM93" s="457">
        <f>AK93-AJ93</f>
        <v>0</v>
      </c>
      <c r="AN93" s="230"/>
      <c r="AO93" s="841"/>
      <c r="AP93" s="841"/>
      <c r="AQ93" s="841"/>
      <c r="AR93" s="841"/>
      <c r="AS93" s="841"/>
      <c r="AT93" s="841"/>
      <c r="AU93" s="841"/>
      <c r="AV93" s="841"/>
      <c r="AW93" s="841"/>
      <c r="AX93" s="841"/>
      <c r="AY93" s="841"/>
      <c r="AZ93" s="841"/>
      <c r="BA93" s="841"/>
      <c r="BB93" s="841"/>
      <c r="BC93" s="841"/>
      <c r="BD93" s="841"/>
      <c r="BE93" s="841"/>
      <c r="BF93" s="841"/>
      <c r="BI93" s="665" t="s">
        <v>490</v>
      </c>
    </row>
    <row r="94" spans="1:65" ht="21.75" hidden="1" customHeight="1">
      <c r="E94" s="459">
        <v>22.5</v>
      </c>
      <c r="F94" s="3" t="str" cm="1">
        <f t="array" aca="1" ref="F94" ca="1">OFFSET(E94,-1,1)</f>
        <v>2</v>
      </c>
      <c r="I94" s="57" cm="1">
        <f t="array" ref="I94">AC94</f>
        <v>0</v>
      </c>
      <c r="U94" s="365" t="b">
        <f ca="1">AND(F94&gt;0,--RIGHT(AB94,1)&gt;1)</f>
        <v>0</v>
      </c>
      <c r="X94" s="528" t="s">
        <v>173</v>
      </c>
      <c r="Y94" s="1050"/>
      <c r="Z94" s="1076"/>
      <c r="AA94" s="332" t="s">
        <v>174</v>
      </c>
      <c r="AB94" s="152" t="s">
        <v>487</v>
      </c>
      <c r="AC94" s="789"/>
      <c r="AD94" s="29" t="s">
        <v>489</v>
      </c>
      <c r="AE94" s="841"/>
      <c r="AF94" s="842"/>
      <c r="AG94" s="785"/>
      <c r="AH94" s="843"/>
      <c r="AI94" s="841"/>
      <c r="AJ94" s="842"/>
      <c r="AK94" s="842"/>
      <c r="AL94" s="456">
        <f>IF(AI94&lt;&gt;0,AK94/AI94,0)</f>
        <v>0</v>
      </c>
      <c r="AM94" s="457">
        <f>AK94-AJ94</f>
        <v>0</v>
      </c>
      <c r="AN94" s="843"/>
      <c r="AO94" s="841"/>
      <c r="AP94" s="841"/>
      <c r="AQ94" s="841"/>
      <c r="AR94" s="841"/>
      <c r="AS94" s="841"/>
      <c r="AT94" s="841"/>
      <c r="AU94" s="841"/>
      <c r="AV94" s="841"/>
      <c r="AW94" s="841"/>
      <c r="AX94" s="841"/>
      <c r="AY94" s="841"/>
      <c r="AZ94" s="841"/>
      <c r="BA94" s="841"/>
      <c r="BB94" s="841"/>
      <c r="BC94" s="841"/>
      <c r="BD94" s="841"/>
      <c r="BE94" s="841"/>
      <c r="BF94" s="841"/>
      <c r="BI94" s="665" t="s">
        <v>490</v>
      </c>
      <c r="BJ94" s="665" t="s">
        <v>491</v>
      </c>
      <c r="BK94" s="665" cm="1">
        <f t="array" ref="BK94">AC94</f>
        <v>0</v>
      </c>
      <c r="BM94" s="459" t="b">
        <v>1</v>
      </c>
    </row>
    <row r="95" spans="1:65" ht="0" hidden="1" customHeight="1">
      <c r="E95" s="459">
        <v>15</v>
      </c>
      <c r="F95" s="3" t="str" cm="1">
        <f t="array" aca="1" ref="F95" ca="1">OFFSET(E95,-1,1)</f>
        <v>2</v>
      </c>
      <c r="U95" s="365" t="b">
        <f ca="1">F95&gt;0</f>
        <v>1</v>
      </c>
      <c r="X95" s="528" t="s">
        <v>399</v>
      </c>
      <c r="Y95" s="1050"/>
      <c r="Z95" s="1076"/>
      <c r="AB95" s="108"/>
      <c r="AC95" s="229" t="s">
        <v>177</v>
      </c>
      <c r="AD95" s="109"/>
      <c r="AE95" s="109"/>
      <c r="AF95" s="109"/>
      <c r="AG95" s="109"/>
      <c r="AH95" s="109"/>
      <c r="AI95" s="109"/>
      <c r="AJ95" s="109"/>
      <c r="AK95" s="109"/>
      <c r="AL95" s="109"/>
      <c r="AM95" s="109"/>
      <c r="AN95" s="109"/>
      <c r="AO95" s="109"/>
      <c r="AP95" s="109"/>
      <c r="AQ95" s="109"/>
      <c r="AR95" s="109"/>
      <c r="AS95" s="109"/>
      <c r="AT95" s="109"/>
      <c r="AU95" s="109"/>
      <c r="AV95" s="109"/>
      <c r="AW95" s="109"/>
      <c r="AX95" s="109"/>
      <c r="AY95" s="109"/>
      <c r="AZ95" s="109"/>
      <c r="BA95" s="109"/>
      <c r="BB95" s="109"/>
      <c r="BC95" s="109"/>
      <c r="BD95" s="109"/>
      <c r="BE95" s="109"/>
      <c r="BF95" s="109"/>
      <c r="BL95" s="459" t="s">
        <v>491</v>
      </c>
    </row>
    <row r="96" spans="1:65" ht="0" hidden="1" customHeight="1">
      <c r="E96" s="459">
        <v>22.5</v>
      </c>
      <c r="F96" s="3" t="str" cm="1">
        <f t="array" aca="1" ref="F96" ca="1">OFFSET(E96,-1,1)</f>
        <v>2</v>
      </c>
      <c r="H96" s="57" t="s">
        <v>492</v>
      </c>
      <c r="U96" s="365" t="b" cm="1">
        <f t="array" aca="1" ref="U96" ca="1">U95</f>
        <v>1</v>
      </c>
      <c r="Y96" s="1050"/>
      <c r="Z96" s="1076"/>
      <c r="AB96" s="439" t="s">
        <v>493</v>
      </c>
      <c r="AC96" s="440" t="s">
        <v>494</v>
      </c>
      <c r="AD96" s="436" t="s">
        <v>489</v>
      </c>
      <c r="AE96" s="441"/>
      <c r="AF96" s="442"/>
      <c r="AG96" s="443"/>
      <c r="AH96" s="444"/>
      <c r="AI96" s="441"/>
      <c r="AJ96" s="442"/>
      <c r="AK96" s="442"/>
      <c r="AL96" s="445">
        <f>IF(AI96&lt;&gt;0,AK96/AI96,0)</f>
        <v>0</v>
      </c>
      <c r="AM96" s="446">
        <f>AK96-AJ96</f>
        <v>0</v>
      </c>
      <c r="AN96" s="444"/>
      <c r="AO96" s="844"/>
      <c r="AP96" s="844"/>
      <c r="AQ96" s="844"/>
      <c r="AR96" s="844"/>
      <c r="AS96" s="844"/>
      <c r="AT96" s="844"/>
      <c r="AU96" s="844"/>
      <c r="AV96" s="844"/>
      <c r="AW96" s="844"/>
      <c r="AX96" s="844"/>
      <c r="AY96" s="844"/>
      <c r="AZ96" s="844"/>
      <c r="BA96" s="844"/>
      <c r="BB96" s="844"/>
      <c r="BC96" s="844"/>
      <c r="BD96" s="844"/>
      <c r="BE96" s="844"/>
      <c r="BF96" s="844"/>
      <c r="BI96" s="665" t="s">
        <v>495</v>
      </c>
    </row>
    <row r="97" spans="5:65" ht="0" hidden="1" customHeight="1">
      <c r="E97" s="459">
        <v>22.5</v>
      </c>
      <c r="F97" s="3" t="str" cm="1">
        <f t="array" aca="1" ref="F97" ca="1">OFFSET(E97,-1,1)</f>
        <v>2</v>
      </c>
      <c r="I97" s="57" cm="1">
        <f t="array" ref="I97">AC97</f>
        <v>0</v>
      </c>
      <c r="U97" s="365" t="b">
        <f ca="1">AND(F97&gt;0,--RIGHT(AB97,1)&gt;1)</f>
        <v>0</v>
      </c>
      <c r="X97" s="528" t="s">
        <v>173</v>
      </c>
      <c r="Y97" s="1050"/>
      <c r="Z97" s="1076"/>
      <c r="AA97" s="332" t="s">
        <v>174</v>
      </c>
      <c r="AB97" s="439" t="s">
        <v>493</v>
      </c>
      <c r="AC97" s="848"/>
      <c r="AD97" s="436" t="s">
        <v>489</v>
      </c>
      <c r="AE97" s="844"/>
      <c r="AF97" s="845"/>
      <c r="AG97" s="846"/>
      <c r="AH97" s="847"/>
      <c r="AI97" s="844"/>
      <c r="AJ97" s="845"/>
      <c r="AK97" s="845"/>
      <c r="AL97" s="445">
        <f>IF(AI97&lt;&gt;0,AK97/AI97,0)</f>
        <v>0</v>
      </c>
      <c r="AM97" s="446">
        <f>AK97-AJ97</f>
        <v>0</v>
      </c>
      <c r="AN97" s="847"/>
      <c r="AO97" s="844"/>
      <c r="AP97" s="844"/>
      <c r="AQ97" s="844"/>
      <c r="AR97" s="844"/>
      <c r="AS97" s="844"/>
      <c r="AT97" s="844"/>
      <c r="AU97" s="844"/>
      <c r="AV97" s="844"/>
      <c r="AW97" s="844"/>
      <c r="AX97" s="844"/>
      <c r="AY97" s="844"/>
      <c r="AZ97" s="844"/>
      <c r="BA97" s="844"/>
      <c r="BB97" s="844"/>
      <c r="BC97" s="844"/>
      <c r="BD97" s="844"/>
      <c r="BE97" s="844"/>
      <c r="BF97" s="844"/>
      <c r="BI97" s="665" t="s">
        <v>495</v>
      </c>
      <c r="BJ97" s="665" t="s">
        <v>496</v>
      </c>
      <c r="BK97" s="665" cm="1">
        <f t="array" ref="BK97">AC97</f>
        <v>0</v>
      </c>
      <c r="BM97" s="459" t="b">
        <v>1</v>
      </c>
    </row>
    <row r="98" spans="5:65" ht="0" hidden="1" customHeight="1">
      <c r="E98" s="459">
        <v>15</v>
      </c>
      <c r="F98" s="3" t="str" cm="1">
        <f t="array" aca="1" ref="F98" ca="1">OFFSET(E98,-1,1)</f>
        <v>2</v>
      </c>
      <c r="U98" s="365" t="b">
        <f ca="1">F98&gt;0</f>
        <v>1</v>
      </c>
      <c r="X98" s="528" t="s">
        <v>399</v>
      </c>
      <c r="Y98" s="1050"/>
      <c r="Z98" s="1076"/>
      <c r="AB98" s="108"/>
      <c r="AC98" s="229" t="s">
        <v>177</v>
      </c>
      <c r="AD98" s="109"/>
      <c r="AE98" s="109"/>
      <c r="AF98" s="109"/>
      <c r="AG98" s="109"/>
      <c r="AH98" s="109"/>
      <c r="AI98" s="109"/>
      <c r="AJ98" s="109"/>
      <c r="AK98" s="109"/>
      <c r="AL98" s="109"/>
      <c r="AM98" s="109"/>
      <c r="AN98" s="109"/>
      <c r="AO98" s="109"/>
      <c r="AP98" s="109"/>
      <c r="AQ98" s="109"/>
      <c r="AR98" s="109"/>
      <c r="AS98" s="109"/>
      <c r="AT98" s="109"/>
      <c r="AU98" s="109"/>
      <c r="AV98" s="109"/>
      <c r="AW98" s="109"/>
      <c r="AX98" s="109"/>
      <c r="AY98" s="109"/>
      <c r="AZ98" s="109"/>
      <c r="BA98" s="109"/>
      <c r="BB98" s="109"/>
      <c r="BC98" s="109"/>
      <c r="BD98" s="109"/>
      <c r="BE98" s="109"/>
      <c r="BF98" s="109"/>
      <c r="BL98" s="459" t="s">
        <v>496</v>
      </c>
    </row>
    <row r="99" spans="5:65" ht="0" hidden="1" customHeight="1">
      <c r="E99" s="459">
        <v>22.5</v>
      </c>
      <c r="F99" s="3" t="str" cm="1">
        <f t="array" aca="1" ref="F99" ca="1">OFFSET(E99,-1,1)</f>
        <v>2</v>
      </c>
      <c r="H99" s="57" t="s">
        <v>497</v>
      </c>
      <c r="U99" s="365" t="b" cm="1">
        <f t="array" aca="1" ref="U99" ca="1">U98</f>
        <v>1</v>
      </c>
      <c r="Y99" s="1050"/>
      <c r="Z99" s="1076"/>
      <c r="AB99" s="58" t="s">
        <v>498</v>
      </c>
      <c r="AC99" s="124" t="s">
        <v>499</v>
      </c>
      <c r="AD99" s="30" t="s">
        <v>489</v>
      </c>
      <c r="AE99" s="207"/>
      <c r="AF99" s="209"/>
      <c r="AG99" s="210"/>
      <c r="AH99" s="132"/>
      <c r="AI99" s="207"/>
      <c r="AJ99" s="209"/>
      <c r="AK99" s="209"/>
      <c r="AL99" s="212">
        <f>IF(AI99&lt;&gt;0,AK99/AI99,0)</f>
        <v>0</v>
      </c>
      <c r="AM99" s="211">
        <f>AK99-AJ99</f>
        <v>0</v>
      </c>
      <c r="AN99" s="132"/>
      <c r="AO99" s="838"/>
      <c r="AP99" s="838"/>
      <c r="AQ99" s="838"/>
      <c r="AR99" s="838"/>
      <c r="AS99" s="838"/>
      <c r="AT99" s="838"/>
      <c r="AU99" s="838"/>
      <c r="AV99" s="838"/>
      <c r="AW99" s="838"/>
      <c r="AX99" s="838"/>
      <c r="AY99" s="838"/>
      <c r="AZ99" s="838"/>
      <c r="BA99" s="838"/>
      <c r="BB99" s="838"/>
      <c r="BC99" s="838"/>
      <c r="BD99" s="838"/>
      <c r="BE99" s="838"/>
      <c r="BF99" s="838"/>
      <c r="BI99" s="665" t="s">
        <v>500</v>
      </c>
    </row>
    <row r="100" spans="5:65" ht="0" hidden="1" customHeight="1">
      <c r="E100" s="459">
        <v>22.5</v>
      </c>
      <c r="F100" s="3" t="str" cm="1">
        <f t="array" aca="1" ref="F100" ca="1">OFFSET(E100,-1,1)</f>
        <v>2</v>
      </c>
      <c r="I100" s="57" cm="1">
        <f t="array" ref="I100">AC100</f>
        <v>0</v>
      </c>
      <c r="U100" s="365" t="b">
        <f ca="1">AND(F100&gt;0,--RIGHT(AB100,1)&gt;1)</f>
        <v>0</v>
      </c>
      <c r="X100" s="528" t="s">
        <v>173</v>
      </c>
      <c r="Y100" s="1050"/>
      <c r="Z100" s="1076"/>
      <c r="AA100" s="332" t="s">
        <v>174</v>
      </c>
      <c r="AB100" s="58" t="s">
        <v>498</v>
      </c>
      <c r="AC100" s="850"/>
      <c r="AD100" s="30" t="s">
        <v>489</v>
      </c>
      <c r="AE100" s="838"/>
      <c r="AF100" s="840"/>
      <c r="AG100" s="849"/>
      <c r="AH100" s="839"/>
      <c r="AI100" s="838"/>
      <c r="AJ100" s="840"/>
      <c r="AK100" s="840"/>
      <c r="AL100" s="212">
        <f>IF(AI100&lt;&gt;0,AK100/AI100,0)</f>
        <v>0</v>
      </c>
      <c r="AM100" s="211">
        <f>AK100-AJ100</f>
        <v>0</v>
      </c>
      <c r="AN100" s="839"/>
      <c r="AO100" s="838"/>
      <c r="AP100" s="838"/>
      <c r="AQ100" s="838"/>
      <c r="AR100" s="838"/>
      <c r="AS100" s="838"/>
      <c r="AT100" s="838"/>
      <c r="AU100" s="838"/>
      <c r="AV100" s="838"/>
      <c r="AW100" s="838"/>
      <c r="AX100" s="838"/>
      <c r="AY100" s="838"/>
      <c r="AZ100" s="838"/>
      <c r="BA100" s="838"/>
      <c r="BB100" s="838"/>
      <c r="BC100" s="838"/>
      <c r="BD100" s="838"/>
      <c r="BE100" s="838"/>
      <c r="BF100" s="838"/>
      <c r="BI100" s="665" t="s">
        <v>500</v>
      </c>
      <c r="BJ100" s="665" t="s">
        <v>501</v>
      </c>
      <c r="BK100" s="665" cm="1">
        <f t="array" ref="BK100">AC100</f>
        <v>0</v>
      </c>
      <c r="BM100" s="459" t="b">
        <v>1</v>
      </c>
    </row>
    <row r="101" spans="5:65" ht="0" hidden="1" customHeight="1">
      <c r="E101" s="459">
        <v>15</v>
      </c>
      <c r="F101" s="3" t="str" cm="1">
        <f t="array" aca="1" ref="F101" ca="1">OFFSET(E101,-1,1)</f>
        <v>2</v>
      </c>
      <c r="U101" s="365" t="b">
        <f ca="1">F101&gt;0</f>
        <v>1</v>
      </c>
      <c r="X101" s="528" t="s">
        <v>399</v>
      </c>
      <c r="Y101" s="1050"/>
      <c r="Z101" s="1076"/>
      <c r="AB101" s="108"/>
      <c r="AC101" s="229" t="s">
        <v>177</v>
      </c>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109"/>
      <c r="BF101" s="109"/>
      <c r="BL101" s="459" t="s">
        <v>501</v>
      </c>
    </row>
    <row r="102" spans="5:65" ht="0" hidden="1" customHeight="1">
      <c r="E102" s="459">
        <v>22.5</v>
      </c>
      <c r="F102" s="3" t="str" cm="1">
        <f t="array" aca="1" ref="F102" ca="1">OFFSET(E102,-1,1)</f>
        <v>2</v>
      </c>
      <c r="H102" s="57" t="s">
        <v>502</v>
      </c>
      <c r="U102" s="365" t="b" cm="1">
        <f t="array" aca="1" ref="U102" ca="1">U101</f>
        <v>1</v>
      </c>
      <c r="Y102" s="1050"/>
      <c r="Z102" s="1076"/>
      <c r="AB102" s="58" t="s">
        <v>503</v>
      </c>
      <c r="AC102" s="124" t="s">
        <v>504</v>
      </c>
      <c r="AD102" s="30" t="s">
        <v>489</v>
      </c>
      <c r="AE102" s="207"/>
      <c r="AF102" s="209"/>
      <c r="AG102" s="210"/>
      <c r="AH102" s="132"/>
      <c r="AI102" s="207"/>
      <c r="AJ102" s="209"/>
      <c r="AK102" s="209"/>
      <c r="AL102" s="212">
        <f>IF(AI102&lt;&gt;0,AK102/AI102,0)</f>
        <v>0</v>
      </c>
      <c r="AM102" s="211">
        <f>AK102-AJ102</f>
        <v>0</v>
      </c>
      <c r="AN102" s="132"/>
      <c r="AO102" s="838"/>
      <c r="AP102" s="838"/>
      <c r="AQ102" s="838"/>
      <c r="AR102" s="838"/>
      <c r="AS102" s="838"/>
      <c r="AT102" s="838"/>
      <c r="AU102" s="838"/>
      <c r="AV102" s="838"/>
      <c r="AW102" s="838"/>
      <c r="AX102" s="838"/>
      <c r="AY102" s="838"/>
      <c r="AZ102" s="838"/>
      <c r="BA102" s="838"/>
      <c r="BB102" s="838"/>
      <c r="BC102" s="838"/>
      <c r="BD102" s="838"/>
      <c r="BE102" s="838"/>
      <c r="BF102" s="838"/>
      <c r="BI102" s="665" t="s">
        <v>505</v>
      </c>
    </row>
    <row r="103" spans="5:65" ht="0" hidden="1" customHeight="1">
      <c r="E103" s="459">
        <v>22.5</v>
      </c>
      <c r="F103" s="3" t="str" cm="1">
        <f t="array" aca="1" ref="F103" ca="1">OFFSET(E103,-1,1)</f>
        <v>2</v>
      </c>
      <c r="I103" s="57" cm="1">
        <f t="array" ref="I103">AC103</f>
        <v>0</v>
      </c>
      <c r="U103" s="365" t="b">
        <f ca="1">AND(F103&gt;0,--RIGHT(AB103,1)&gt;1)</f>
        <v>0</v>
      </c>
      <c r="X103" s="528" t="s">
        <v>173</v>
      </c>
      <c r="Y103" s="1050"/>
      <c r="Z103" s="1076"/>
      <c r="AA103" s="332" t="s">
        <v>174</v>
      </c>
      <c r="AB103" s="58" t="s">
        <v>503</v>
      </c>
      <c r="AC103" s="850"/>
      <c r="AD103" s="30" t="s">
        <v>489</v>
      </c>
      <c r="AE103" s="838"/>
      <c r="AF103" s="840"/>
      <c r="AG103" s="849"/>
      <c r="AH103" s="839"/>
      <c r="AI103" s="838"/>
      <c r="AJ103" s="840"/>
      <c r="AK103" s="840"/>
      <c r="AL103" s="212">
        <f>IF(AI103&lt;&gt;0,AK103/AI103,0)</f>
        <v>0</v>
      </c>
      <c r="AM103" s="211">
        <f>AK103-AJ103</f>
        <v>0</v>
      </c>
      <c r="AN103" s="839"/>
      <c r="AO103" s="838"/>
      <c r="AP103" s="838"/>
      <c r="AQ103" s="838"/>
      <c r="AR103" s="838"/>
      <c r="AS103" s="838"/>
      <c r="AT103" s="838"/>
      <c r="AU103" s="838"/>
      <c r="AV103" s="838"/>
      <c r="AW103" s="838"/>
      <c r="AX103" s="838"/>
      <c r="AY103" s="838"/>
      <c r="AZ103" s="838"/>
      <c r="BA103" s="838"/>
      <c r="BB103" s="838"/>
      <c r="BC103" s="838"/>
      <c r="BD103" s="838"/>
      <c r="BE103" s="838"/>
      <c r="BF103" s="838"/>
      <c r="BI103" s="665" t="s">
        <v>505</v>
      </c>
      <c r="BJ103" s="665" t="s">
        <v>506</v>
      </c>
      <c r="BK103" s="665" cm="1">
        <f t="array" ref="BK103">AC103</f>
        <v>0</v>
      </c>
      <c r="BM103" s="459" t="b">
        <v>1</v>
      </c>
    </row>
    <row r="104" spans="5:65" ht="0" hidden="1" customHeight="1">
      <c r="E104" s="459">
        <v>15</v>
      </c>
      <c r="F104" s="3" t="str" cm="1">
        <f t="array" aca="1" ref="F104" ca="1">OFFSET(E104,-1,1)</f>
        <v>2</v>
      </c>
      <c r="U104" s="365" t="b">
        <f ca="1">F104&gt;0</f>
        <v>1</v>
      </c>
      <c r="X104" s="528" t="s">
        <v>399</v>
      </c>
      <c r="Y104" s="1050"/>
      <c r="Z104" s="1076"/>
      <c r="AB104" s="108"/>
      <c r="AC104" s="229" t="s">
        <v>177</v>
      </c>
      <c r="AD104" s="109"/>
      <c r="AE104" s="109"/>
      <c r="AF104" s="109"/>
      <c r="AG104" s="109"/>
      <c r="AH104" s="109"/>
      <c r="AI104" s="109"/>
      <c r="AJ104" s="109"/>
      <c r="AK104" s="109"/>
      <c r="AL104" s="109"/>
      <c r="AM104" s="109"/>
      <c r="AN104" s="109"/>
      <c r="AO104" s="109"/>
      <c r="AP104" s="109"/>
      <c r="AQ104" s="109"/>
      <c r="AR104" s="109"/>
      <c r="AS104" s="109"/>
      <c r="AT104" s="109"/>
      <c r="AU104" s="109"/>
      <c r="AV104" s="109"/>
      <c r="AW104" s="109"/>
      <c r="AX104" s="109"/>
      <c r="AY104" s="109"/>
      <c r="AZ104" s="109"/>
      <c r="BA104" s="109"/>
      <c r="BB104" s="109"/>
      <c r="BC104" s="109"/>
      <c r="BD104" s="109"/>
      <c r="BE104" s="109"/>
      <c r="BF104" s="109"/>
      <c r="BL104" s="459" t="s">
        <v>506</v>
      </c>
    </row>
    <row r="105" spans="5:65" ht="14.25" customHeight="1">
      <c r="E105" s="459">
        <v>15</v>
      </c>
      <c r="F105" s="3" t="str" cm="1">
        <f t="array" aca="1" ref="F105" ca="1">OFFSET(E105,-1,1)</f>
        <v>2</v>
      </c>
      <c r="H105" s="57" t="s">
        <v>331</v>
      </c>
      <c r="U105" s="365" t="b" cm="1">
        <f t="array" aca="1" ref="U105" ca="1">U104</f>
        <v>1</v>
      </c>
      <c r="Y105" s="1050"/>
      <c r="Z105" s="1076"/>
      <c r="AB105" s="68">
        <v>3</v>
      </c>
      <c r="AC105" s="74" t="s">
        <v>507</v>
      </c>
      <c r="AD105" s="71" t="s">
        <v>456</v>
      </c>
      <c r="AE105" s="207"/>
      <c r="AF105" s="209"/>
      <c r="AG105" s="210"/>
      <c r="AH105" s="132"/>
      <c r="AI105" s="207"/>
      <c r="AJ105" s="209"/>
      <c r="AK105" s="209"/>
      <c r="AL105" s="212">
        <f>IF(AI105&lt;&gt;0,AK105/AI105,0)</f>
        <v>0</v>
      </c>
      <c r="AM105" s="211">
        <f>AK105-AJ105</f>
        <v>0</v>
      </c>
      <c r="AN105" s="132"/>
      <c r="AO105" s="838"/>
      <c r="AP105" s="838"/>
      <c r="AQ105" s="838"/>
      <c r="AR105" s="838"/>
      <c r="AS105" s="838"/>
      <c r="AT105" s="838"/>
      <c r="AU105" s="838"/>
      <c r="AV105" s="838"/>
      <c r="AW105" s="838"/>
      <c r="AX105" s="838"/>
      <c r="AY105" s="838"/>
      <c r="AZ105" s="838"/>
      <c r="BA105" s="838"/>
      <c r="BB105" s="838"/>
      <c r="BC105" s="838"/>
      <c r="BD105" s="838"/>
      <c r="BE105" s="838"/>
      <c r="BF105" s="838"/>
      <c r="BI105" s="665" t="s">
        <v>508</v>
      </c>
    </row>
    <row r="106" spans="5:65" ht="30" customHeight="1">
      <c r="E106" s="459">
        <v>15</v>
      </c>
      <c r="F106" s="3" t="str" cm="1">
        <f t="array" aca="1" ref="F106" ca="1">OFFSET(E106,-1,1)</f>
        <v>2</v>
      </c>
      <c r="H106" s="57" t="s">
        <v>330</v>
      </c>
      <c r="U106" s="365" t="b" cm="1">
        <f t="array" aca="1" ref="U106" ca="1">U105</f>
        <v>1</v>
      </c>
      <c r="Y106" s="1050"/>
      <c r="Z106" s="1076"/>
      <c r="AB106" s="68">
        <v>4</v>
      </c>
      <c r="AC106" s="74" t="s">
        <v>509</v>
      </c>
      <c r="AD106" s="71" t="s">
        <v>456</v>
      </c>
      <c r="AE106" s="207">
        <v>1</v>
      </c>
      <c r="AF106" s="209">
        <v>1</v>
      </c>
      <c r="AG106" s="210">
        <v>1</v>
      </c>
      <c r="AH106" s="132"/>
      <c r="AI106" s="207">
        <v>1</v>
      </c>
      <c r="AJ106" s="209">
        <v>1</v>
      </c>
      <c r="AK106" s="209">
        <v>1</v>
      </c>
      <c r="AL106" s="212">
        <f>IF(AI106&lt;&gt;0,AK106/AI106,0)</f>
        <v>1</v>
      </c>
      <c r="AM106" s="211">
        <f>AK106-AJ106</f>
        <v>0</v>
      </c>
      <c r="AN106" s="132" t="s">
        <v>520</v>
      </c>
      <c r="AO106" s="838"/>
      <c r="AP106" s="838"/>
      <c r="AQ106" s="838"/>
      <c r="AR106" s="838"/>
      <c r="AS106" s="838"/>
      <c r="AT106" s="838"/>
      <c r="AU106" s="838"/>
      <c r="AV106" s="838"/>
      <c r="AW106" s="838"/>
      <c r="AX106" s="838"/>
      <c r="AY106" s="838"/>
      <c r="AZ106" s="838"/>
      <c r="BA106" s="838"/>
      <c r="BB106" s="838"/>
      <c r="BC106" s="838"/>
      <c r="BD106" s="838"/>
      <c r="BE106" s="838"/>
      <c r="BF106" s="838"/>
      <c r="BI106" s="665" t="s">
        <v>510</v>
      </c>
    </row>
    <row r="107" spans="5:65" ht="14.65" customHeight="1">
      <c r="E107" s="459">
        <v>15</v>
      </c>
      <c r="F107" s="3" t="str" cm="1">
        <f t="array" aca="1" ref="F107" ca="1">OFFSET(E107,-1,1)</f>
        <v>2</v>
      </c>
      <c r="H107" s="57" t="s">
        <v>511</v>
      </c>
      <c r="U107" s="365" t="b" cm="1">
        <f t="array" aca="1" ref="U107" ca="1">U106</f>
        <v>1</v>
      </c>
      <c r="Y107" s="1050"/>
      <c r="Z107" s="1076"/>
      <c r="AB107" s="58" t="s">
        <v>444</v>
      </c>
      <c r="AC107" s="73" t="s">
        <v>512</v>
      </c>
      <c r="AD107" s="71"/>
      <c r="AE107" s="210">
        <v>62.64</v>
      </c>
      <c r="AF107" s="210">
        <v>62.64</v>
      </c>
      <c r="AG107" s="210">
        <v>62.64</v>
      </c>
      <c r="AH107" s="215"/>
      <c r="AI107" s="210">
        <v>62.64</v>
      </c>
      <c r="AJ107" s="210">
        <v>62.64</v>
      </c>
      <c r="AK107" s="210">
        <v>62.64</v>
      </c>
      <c r="AL107" s="212">
        <f>IF(AI107&lt;&gt;0,AK107/AI107,0)</f>
        <v>1</v>
      </c>
      <c r="AM107" s="211">
        <f>AK107-AJ107</f>
        <v>0</v>
      </c>
      <c r="AN107" s="215"/>
      <c r="AO107" s="849"/>
      <c r="AP107" s="849"/>
      <c r="AQ107" s="849"/>
      <c r="AR107" s="849"/>
      <c r="AS107" s="849"/>
      <c r="AT107" s="849"/>
      <c r="AU107" s="849"/>
      <c r="AV107" s="849"/>
      <c r="AW107" s="849"/>
      <c r="AX107" s="849"/>
      <c r="AY107" s="849"/>
      <c r="AZ107" s="849"/>
      <c r="BA107" s="849"/>
      <c r="BB107" s="849"/>
      <c r="BC107" s="849"/>
      <c r="BD107" s="849"/>
      <c r="BE107" s="849"/>
      <c r="BF107" s="849"/>
      <c r="BI107" s="665" t="s">
        <v>513</v>
      </c>
    </row>
    <row r="108" spans="5:65" ht="14.65" customHeight="1">
      <c r="E108" s="459">
        <v>15</v>
      </c>
      <c r="F108" s="3" t="str" cm="1">
        <f t="array" aca="1" ref="F108" ca="1">OFFSET(E108,-1,1)</f>
        <v>2</v>
      </c>
      <c r="H108" s="57" t="s">
        <v>514</v>
      </c>
      <c r="U108" s="365" t="b" cm="1">
        <f t="array" aca="1" ref="U108" ca="1">U107</f>
        <v>1</v>
      </c>
      <c r="Y108" s="1050"/>
      <c r="Z108" s="1076"/>
      <c r="AB108" s="58" t="s">
        <v>447</v>
      </c>
      <c r="AC108" s="72" t="s">
        <v>515</v>
      </c>
      <c r="AD108" s="71"/>
      <c r="AE108" s="210">
        <v>62.64</v>
      </c>
      <c r="AF108" s="210">
        <v>62.64</v>
      </c>
      <c r="AG108" s="210">
        <v>62.64</v>
      </c>
      <c r="AH108" s="215"/>
      <c r="AI108" s="210">
        <v>62.64</v>
      </c>
      <c r="AJ108" s="210">
        <v>62.64</v>
      </c>
      <c r="AK108" s="210">
        <v>62.64</v>
      </c>
      <c r="AL108" s="212">
        <f>IF(AI108&lt;&gt;0,AK108/AI108,0)</f>
        <v>1</v>
      </c>
      <c r="AM108" s="211">
        <f>AK108-AJ108</f>
        <v>0</v>
      </c>
      <c r="AN108" s="215"/>
      <c r="AO108" s="849"/>
      <c r="AP108" s="849"/>
      <c r="AQ108" s="849"/>
      <c r="AR108" s="849"/>
      <c r="AS108" s="849"/>
      <c r="AT108" s="849"/>
      <c r="AU108" s="849"/>
      <c r="AV108" s="849"/>
      <c r="AW108" s="849"/>
      <c r="AX108" s="849"/>
      <c r="AY108" s="849"/>
      <c r="AZ108" s="849"/>
      <c r="BA108" s="849"/>
      <c r="BB108" s="849"/>
      <c r="BC108" s="849"/>
      <c r="BD108" s="849"/>
      <c r="BE108" s="849"/>
      <c r="BF108" s="849"/>
      <c r="BI108" s="665" t="s">
        <v>516</v>
      </c>
    </row>
    <row r="109" spans="5:65" ht="10.9" customHeight="1">
      <c r="E109" s="459">
        <v>11.25</v>
      </c>
      <c r="V109" s="57" t="s">
        <v>177</v>
      </c>
      <c r="W109" s="75" t="s">
        <v>521</v>
      </c>
    </row>
  </sheetData>
  <sheetProtection formatColumns="0" formatRows="0" insertRows="0" deleteColumns="0" deleteRows="0" sort="0" autoFilter="0"/>
  <mergeCells count="9">
    <mergeCell ref="Y82:Y108"/>
    <mergeCell ref="Z82:Z108"/>
    <mergeCell ref="AB24:AB25"/>
    <mergeCell ref="AC24:AC25"/>
    <mergeCell ref="AD24:AD25"/>
    <mergeCell ref="Y28:Y54"/>
    <mergeCell ref="Z28:Z54"/>
    <mergeCell ref="Y55:Y81"/>
    <mergeCell ref="Z55:Z81"/>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E45:BE54 BE57:BE59 BE61 BE63:BE64 BE66:BE67 BE69:BE70 BE72:BE81 BE84:BE86 BE88 BE90:BE91 BE93:BE94 BE96:BE97 BE99:BE108 BD45:BD54 BD57:BD59 BD61 BD63:BD64 BD66:BD67 BD69:BD70 BD72:BD81 BD84:BD86 BD88 BD90:BD91 BD93:BD94 BD96:BD97 BD99:BD108 BC45:BC54 BC57:BC59 BC61 BC63:BC64 BC66:BC67 BC69:BC70 BC72:BC81 BC84:BC86 BC88 BC90:BC91 BC93:BC94 BC96:BC97 BC99:BC108 BB45:BB54 BB57:BB59 BB61 BB63:BB64 BB66:BB67 BB69:BB70 BB72:BB81 BB84:BB86 BB88 BB90:BB91 BB93:BB94 BB96:BB97 BB99:BB108 BA45:BA54 BA57:BA59 BA61 BA63:BA64 BA66:BA67 BA69:BA70 BA72:BA81 BA84:BA86 BA88 BA90:BA91 BA93:BA94 BA96:BA97 BA99:BA108 AZ45:AZ54 AZ57:AZ59 AZ61 AZ63:AZ64 AZ66:AZ67 AZ69:AZ70 AZ72:AZ81 AZ84:AZ86 AZ88 AZ90:AZ91 AZ93:AZ94 AZ96:AZ97 AZ99:AZ108 AY45:AY54 AY57:AY59 AY61 AY63:AY64 AY66:AY67 AY69:AY70 AY72:AY81 AY84:AY86 AY88 AY90:AY91 AY93:AY94 AY96:AY97 AY99:AY108 AX45:AX54 AX57:AX59 AX61 AX63:AX64 AX66:AX67 AX69:AX70 AX72:AX81 AX84:AX86 AX88 AX90:AX91 AX93:AX94 AX96:AX97 AX99:AX108 AW45:AW54 AW57:AW59 AW61 AW63:AW64 AW66:AW67 AW69:AW70 AW72:AW81 AW84:AW86 AW88 AW90:AW91 AW93:AW94 AW96:AW97 AW99:AW108 AV45:AV54 AV57:AV59 AV61 AV63:AV64 AV66:AV67 AV69:AV70 AV72:AV81 AV84:AV86 AV88 AV90:AV91 AV93:AV94 AV96:AV97 AV99:AV108 AU45:AU54 AU57:AU59 AU61 AU63:AU64 AU66:AU67 AU69:AU70 AU72:AU81 AU84:AU86 AU88 AU90:AU91 AU93:AU94 AU96:AU97 AU99:AU108 AT45:AT54 AT57:AT59 AT61 AT63:AT64 AT66:AT67 AT69:AT70 AT72:AT81 AT84:AT86 AT88 AT90:AT91 AT93:AT94 AT96:AT97 AT99:AT108 AS45:AS54 AS57:AS59 AS61 AS63:AS64 AS66:AS67 AS69:AS70 AS72:AS81 AS84:AS86 AS88 AS90:AS91 AS93:AS94 AS96:AS97 AS99:AS108 AR45:AR54 AR57:AR59 AR61 AR63:AR64 AR66:AR67 AR69:AR70 AR72:AR81 AR84:AR86 AR88 AR90:AR91 AR93:AR94 AR96:AR97 AR99:AR108 AQ45:AQ54 AQ57:AQ59 AQ61 AQ63:AQ64 AQ66:AQ67 AQ69:AQ70 AQ72:AQ81 AQ84:AQ86 AQ88 AQ90:AQ91 AQ93:AQ94 AQ96:AQ97 AQ99:AQ108 AP45:AP54 AP57:AP59 AP61 AP63:AP64 AP66:AP67 AP69:AP70 AP72:AP81 AP84:AP86 AP88 AP90:AP91 AP93:AP94 AP96:AP97 AP99:AP108 AO45:AO54 AO57:AO59 AO61 AO63:AO64 AO66:AO67 AO69:AO70 AO72:AO81 AO84:AO86 AO88 AO90:AO91 AO93:AO94 AO96:AO97 AO99:AO108 AG45:AG54 AG57:AG59 AG61 AG63:AG64 AG66:AG67 AG69:AG70 AG72:AG81 AG84:AG86 AG88 AG90:AG91 AG93:AG94 AG96:AG97 AG99:AG108 AF45:AF54 AF57:AF59 AF61 AF63:AF64 AF66:AF67 AF69:AF70 AF72:AF81 AF84:AF86 AF88 AF90:AF91 AF93:AF94 AF96:AF97 AF99:AF108 AE45:AE54 AE57:AE59 AE61 AE63:AE64 AE66:AE67 AE69:AE70 AE72:AE81 AE84:AE86 AE88 AE90:AE91 AE93:AE94 AE96:AE97 AE99:AE108 AK45:AK54 AK57:AK59 AK61 AK63:AK64 AK66:AK67 AK69:AK70 AK72:AK81 AK84:AK86 AK88 AK90:AK91 AK93:AK94 AK96:AK97 AK99:AK108 AJ45:AJ54 AJ57:AJ59 AJ61 AJ63:AJ64 AJ66:AJ67 AJ69:AJ70 AJ72:AJ81 AJ84:AJ86 AJ88 AJ90:AJ91 AJ93:AJ94 AJ96:AJ97 AJ99:AJ108 AI45:AI54 AI57:AI59 AI61 AI63:AI64 AI66:AI67 AI69:AI70 AI72:AI81 AI84:AI86 AI88 AI90:AI91 AI93:AI94 AI96:AI97 AI99:AI108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0000000}">
      <formula1>0</formula1>
      <formula2>9.99999999999999E+23</formula2>
    </dataValidation>
    <dataValidation allowBlank="1" showErrorMessage="1" errorTitle="Ошибка" error="Допускается ввод только неотрицательных чисел!" sqref="AH26 AN26 AE27:BF27" xr:uid="{00000000-0002-0000-08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97838-AB2D-D5D8-4108-14CF616CCE13}">
  <sheetPr>
    <tabColor rgb="FF8DB4E2"/>
    <outlinePr summaryBelow="0" summaryRight="0"/>
    <pageSetUpPr fitToPage="1"/>
  </sheetPr>
  <dimension ref="A1:BO42"/>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23"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c r="A1" s="852"/>
      <c r="B1" s="853"/>
      <c r="C1" s="853"/>
      <c r="D1" s="853"/>
      <c r="E1" s="57"/>
      <c r="F1" s="288" t="s">
        <v>315</v>
      </c>
      <c r="G1" s="853"/>
      <c r="H1" s="853"/>
      <c r="I1" s="853"/>
      <c r="J1" s="853"/>
      <c r="K1" s="853"/>
      <c r="L1" s="853"/>
      <c r="M1" s="853"/>
      <c r="N1" s="853"/>
      <c r="O1" s="853"/>
      <c r="P1" s="853"/>
      <c r="Q1" s="853"/>
      <c r="R1" s="853"/>
      <c r="S1" s="853"/>
      <c r="T1" s="853"/>
      <c r="U1" s="853"/>
      <c r="V1" s="365" t="s">
        <v>93</v>
      </c>
      <c r="W1" s="365" t="s">
        <v>98</v>
      </c>
      <c r="X1" s="365" t="s">
        <v>94</v>
      </c>
      <c r="Y1" s="365" t="s">
        <v>96</v>
      </c>
      <c r="Z1" s="365" t="s">
        <v>100</v>
      </c>
      <c r="AA1" s="852"/>
      <c r="AB1" s="852"/>
      <c r="AC1" s="852"/>
      <c r="AD1" s="853"/>
      <c r="AE1" s="853"/>
      <c r="AF1" s="853"/>
      <c r="AG1" s="333"/>
      <c r="AH1" s="853"/>
      <c r="AI1" s="853"/>
      <c r="AJ1" s="333"/>
      <c r="AK1" s="333"/>
      <c r="AL1" s="333"/>
      <c r="AM1" s="333"/>
      <c r="AN1" s="333"/>
      <c r="AO1" s="333"/>
      <c r="AP1" s="333"/>
      <c r="AQ1" s="333"/>
      <c r="AR1" s="333"/>
      <c r="AS1" s="853"/>
      <c r="AT1" s="333"/>
      <c r="AU1" s="333"/>
      <c r="AV1" s="333"/>
      <c r="AW1" s="333"/>
      <c r="AX1" s="333"/>
      <c r="AY1" s="333"/>
      <c r="AZ1" s="333"/>
      <c r="BA1" s="333"/>
      <c r="BB1" s="333"/>
      <c r="BC1" s="333"/>
      <c r="BD1" s="665" t="s">
        <v>318</v>
      </c>
      <c r="BE1" s="333"/>
      <c r="BF1" s="333"/>
      <c r="BG1" s="333"/>
      <c r="BH1" s="333"/>
      <c r="BI1" s="333"/>
      <c r="BJ1" s="333"/>
      <c r="BK1" s="333"/>
      <c r="BL1" s="333"/>
      <c r="BM1" s="333"/>
      <c r="BN1" s="333"/>
      <c r="BO1" s="333"/>
    </row>
    <row r="2" spans="1:67" ht="11.25" hidden="1" customHeight="1">
      <c r="A2" s="853"/>
      <c r="B2" s="354" t="s">
        <v>19</v>
      </c>
      <c r="C2" s="853"/>
      <c r="D2" s="853"/>
      <c r="E2" s="853"/>
      <c r="F2" s="546"/>
      <c r="G2" s="853"/>
      <c r="H2" s="853"/>
      <c r="I2" s="853"/>
      <c r="J2" s="853"/>
      <c r="K2" s="853"/>
      <c r="L2" s="853"/>
      <c r="M2" s="853"/>
      <c r="N2" s="853"/>
      <c r="O2" s="853"/>
      <c r="P2" s="853"/>
      <c r="Q2" s="853"/>
      <c r="R2" s="853"/>
      <c r="S2" s="853"/>
      <c r="T2" s="853"/>
      <c r="U2" s="853"/>
      <c r="V2" s="853"/>
      <c r="W2" s="853"/>
      <c r="X2" s="853"/>
      <c r="Y2" s="853"/>
      <c r="Z2" s="853"/>
      <c r="AA2" s="853"/>
      <c r="AB2" s="853"/>
      <c r="AC2" s="351"/>
      <c r="AD2" s="853"/>
      <c r="AE2" s="853"/>
      <c r="AF2" s="853" t="b" cm="1">
        <f t="array" ref="AF2">isOrgDeclare</f>
        <v>1</v>
      </c>
      <c r="AG2" s="333"/>
      <c r="AH2" s="853"/>
      <c r="AI2" s="853" t="b" cm="1">
        <f t="array" ref="AI2">isOrgDeclare</f>
        <v>1</v>
      </c>
      <c r="AJ2" s="354" t="b">
        <f t="shared" ref="AJ2:AR2" si="0">AND(AJ6&lt;last_year_vis,isOrgDeclare)</f>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853"/>
      <c r="AT2" s="354" t="b">
        <f t="shared" ref="AT2:BB2" si="1">AT6&lt;last_year_vis</f>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C2" s="333"/>
      <c r="BD2" s="674"/>
      <c r="BE2" s="291"/>
      <c r="BF2" s="291"/>
      <c r="BG2" s="291"/>
      <c r="BH2" s="291"/>
      <c r="BI2" s="291"/>
      <c r="BJ2" s="333"/>
      <c r="BK2" s="333"/>
      <c r="BL2" s="333"/>
      <c r="BM2" s="333"/>
      <c r="BN2" s="333"/>
      <c r="BO2" s="333"/>
    </row>
    <row r="3" spans="1:67" ht="11.25" hidden="1" customHeight="1">
      <c r="A3" s="853"/>
      <c r="B3" s="853"/>
      <c r="C3" s="853"/>
      <c r="D3" s="853"/>
      <c r="E3" s="57"/>
      <c r="F3" s="853"/>
      <c r="G3" s="853"/>
      <c r="H3" s="853"/>
      <c r="I3" s="853"/>
      <c r="J3" s="853"/>
      <c r="K3" s="853"/>
      <c r="L3" s="853"/>
      <c r="M3" s="853"/>
      <c r="N3" s="853"/>
      <c r="O3" s="853"/>
      <c r="P3" s="853"/>
      <c r="Q3" s="853"/>
      <c r="R3" s="853"/>
      <c r="S3" s="853"/>
      <c r="T3" s="853"/>
      <c r="U3" s="853"/>
      <c r="V3" s="853"/>
      <c r="W3" s="853"/>
      <c r="X3" s="853"/>
      <c r="Y3" s="853"/>
      <c r="Z3" s="853"/>
      <c r="AA3" s="853"/>
      <c r="AB3" s="853"/>
      <c r="AC3" s="853"/>
      <c r="AD3" s="853"/>
      <c r="AE3" s="853"/>
      <c r="AF3" s="853"/>
      <c r="AG3" s="333"/>
      <c r="AH3" s="853"/>
      <c r="AI3" s="853"/>
      <c r="AJ3" s="333"/>
      <c r="AK3" s="333"/>
      <c r="AL3" s="333"/>
      <c r="AM3" s="333"/>
      <c r="AN3" s="333"/>
      <c r="AO3" s="333"/>
      <c r="AP3" s="333"/>
      <c r="AQ3" s="333"/>
      <c r="AR3" s="333"/>
      <c r="AS3" s="853"/>
      <c r="AT3" s="333"/>
      <c r="AU3" s="333"/>
      <c r="AV3" s="333"/>
      <c r="AW3" s="333"/>
      <c r="AX3" s="333"/>
      <c r="AY3" s="333"/>
      <c r="AZ3" s="333"/>
      <c r="BA3" s="333"/>
      <c r="BB3" s="333"/>
      <c r="BC3" s="333"/>
      <c r="BD3" s="333"/>
      <c r="BE3" s="333"/>
      <c r="BF3" s="333"/>
      <c r="BG3" s="333"/>
      <c r="BH3" s="333"/>
      <c r="BI3" s="333"/>
      <c r="BJ3" s="333"/>
      <c r="BK3" s="333"/>
      <c r="BL3" s="333"/>
      <c r="BM3" s="333"/>
      <c r="BN3" s="333"/>
      <c r="BO3" s="333"/>
    </row>
    <row r="4" spans="1:67" ht="11.25" hidden="1" customHeight="1">
      <c r="A4" s="853"/>
      <c r="B4" s="853"/>
      <c r="C4" s="853"/>
      <c r="D4" s="853"/>
      <c r="E4" s="57"/>
      <c r="F4" s="853"/>
      <c r="G4" s="853"/>
      <c r="H4" s="853"/>
      <c r="I4" s="853"/>
      <c r="J4" s="853"/>
      <c r="K4" s="853"/>
      <c r="L4" s="853"/>
      <c r="M4" s="853"/>
      <c r="N4" s="853"/>
      <c r="O4" s="853"/>
      <c r="P4" s="853"/>
      <c r="Q4" s="853"/>
      <c r="R4" s="853"/>
      <c r="S4" s="853"/>
      <c r="T4" s="853"/>
      <c r="U4" s="853"/>
      <c r="V4" s="853"/>
      <c r="W4" s="853"/>
      <c r="X4" s="853"/>
      <c r="Y4" s="853"/>
      <c r="Z4" s="853"/>
      <c r="AA4" s="853"/>
      <c r="AB4" s="853"/>
      <c r="AC4" s="853"/>
      <c r="AD4" s="853"/>
      <c r="AE4" s="853"/>
      <c r="AF4" s="853"/>
      <c r="AG4" s="333"/>
      <c r="AH4" s="853"/>
      <c r="AI4" s="853"/>
      <c r="AJ4" s="333"/>
      <c r="AK4" s="333"/>
      <c r="AL4" s="333"/>
      <c r="AM4" s="333"/>
      <c r="AN4" s="333"/>
      <c r="AO4" s="333"/>
      <c r="AP4" s="333"/>
      <c r="AQ4" s="333"/>
      <c r="AR4" s="333"/>
      <c r="AS4" s="853"/>
      <c r="AT4" s="333"/>
      <c r="AU4" s="333"/>
      <c r="AV4" s="333"/>
      <c r="AW4" s="333"/>
      <c r="AX4" s="333"/>
      <c r="AY4" s="333"/>
      <c r="AZ4" s="333"/>
      <c r="BA4" s="333"/>
      <c r="BB4" s="333"/>
      <c r="BC4" s="333"/>
      <c r="BD4" s="333"/>
      <c r="BE4" s="333"/>
      <c r="BF4" s="333"/>
      <c r="BG4" s="333"/>
      <c r="BH4" s="333"/>
      <c r="BI4" s="333"/>
      <c r="BJ4" s="333"/>
      <c r="BK4" s="333"/>
      <c r="BL4" s="333"/>
      <c r="BM4" s="333"/>
      <c r="BN4" s="333"/>
      <c r="BO4" s="333"/>
    </row>
    <row r="5" spans="1:67" ht="11.25" hidden="1" customHeight="1">
      <c r="A5" s="57"/>
      <c r="B5" s="62"/>
      <c r="C5" s="57"/>
      <c r="D5" s="57"/>
      <c r="E5" s="459" t="s">
        <v>20</v>
      </c>
      <c r="F5" s="547"/>
      <c r="G5" s="853"/>
      <c r="H5" s="853"/>
      <c r="I5" s="853"/>
      <c r="J5" s="853"/>
      <c r="K5" s="853"/>
      <c r="L5" s="853"/>
      <c r="M5" s="853"/>
      <c r="N5" s="853"/>
      <c r="O5" s="853"/>
      <c r="P5" s="853"/>
      <c r="Q5" s="853"/>
      <c r="R5" s="853"/>
      <c r="S5" s="853"/>
      <c r="T5" s="853"/>
      <c r="U5" s="853"/>
      <c r="V5" s="853"/>
      <c r="W5" s="853"/>
      <c r="X5" s="853"/>
      <c r="Y5" s="853"/>
      <c r="Z5" s="853"/>
      <c r="AA5" s="459">
        <v>3</v>
      </c>
      <c r="AB5" s="460">
        <v>11</v>
      </c>
      <c r="AC5" s="471">
        <v>40</v>
      </c>
      <c r="AD5" s="459">
        <v>15</v>
      </c>
      <c r="AE5" s="459">
        <v>15</v>
      </c>
      <c r="AF5" s="459">
        <v>15</v>
      </c>
      <c r="AG5" s="459">
        <v>15</v>
      </c>
      <c r="AH5" s="459">
        <v>15</v>
      </c>
      <c r="AI5" s="459">
        <v>15</v>
      </c>
      <c r="AJ5" s="459">
        <v>15</v>
      </c>
      <c r="AK5" s="459">
        <v>15</v>
      </c>
      <c r="AL5" s="459">
        <v>15</v>
      </c>
      <c r="AM5" s="459">
        <v>15</v>
      </c>
      <c r="AN5" s="459">
        <v>15</v>
      </c>
      <c r="AO5" s="459">
        <v>15</v>
      </c>
      <c r="AP5" s="459">
        <v>15</v>
      </c>
      <c r="AQ5" s="459">
        <v>15</v>
      </c>
      <c r="AR5" s="459">
        <v>15</v>
      </c>
      <c r="AS5" s="459">
        <v>15</v>
      </c>
      <c r="AT5" s="459">
        <v>15</v>
      </c>
      <c r="AU5" s="459">
        <v>15</v>
      </c>
      <c r="AV5" s="459">
        <v>15</v>
      </c>
      <c r="AW5" s="459">
        <v>15</v>
      </c>
      <c r="AX5" s="459">
        <v>15</v>
      </c>
      <c r="AY5" s="459">
        <v>15</v>
      </c>
      <c r="AZ5" s="459">
        <v>15</v>
      </c>
      <c r="BA5" s="459">
        <v>15</v>
      </c>
      <c r="BB5" s="459">
        <v>15</v>
      </c>
      <c r="BC5" s="333"/>
      <c r="BD5" s="665"/>
      <c r="BE5" s="291"/>
      <c r="BF5" s="291"/>
      <c r="BG5" s="291"/>
      <c r="BH5" s="291"/>
      <c r="BI5" s="291"/>
      <c r="BJ5" s="333"/>
      <c r="BK5" s="333"/>
      <c r="BL5" s="333"/>
      <c r="BM5" s="333"/>
      <c r="BN5" s="333"/>
      <c r="BO5" s="333"/>
    </row>
    <row r="6" spans="1:67" ht="11.25" hidden="1" customHeight="1">
      <c r="A6" s="853"/>
      <c r="B6" s="853"/>
      <c r="C6" s="853"/>
      <c r="D6" s="853"/>
      <c r="E6" s="853"/>
      <c r="F6" s="853"/>
      <c r="G6" s="853"/>
      <c r="H6" s="853"/>
      <c r="I6" s="853"/>
      <c r="J6" s="853"/>
      <c r="K6" s="853"/>
      <c r="L6" s="853"/>
      <c r="M6" s="853"/>
      <c r="N6" s="853"/>
      <c r="O6" s="853"/>
      <c r="P6" s="853"/>
      <c r="Q6" s="853"/>
      <c r="R6" s="853"/>
      <c r="S6" s="853"/>
      <c r="T6" s="853"/>
      <c r="U6" s="853"/>
      <c r="V6" s="853"/>
      <c r="W6" s="853"/>
      <c r="X6" s="853"/>
      <c r="Y6" s="853"/>
      <c r="Z6" s="853"/>
      <c r="AA6" s="853"/>
      <c r="AB6" s="853"/>
      <c r="AC6" s="853"/>
      <c r="AD6" s="853"/>
      <c r="AE6" s="57">
        <f>god-2</f>
        <v>2024</v>
      </c>
      <c r="AF6" s="57">
        <f>god-2</f>
        <v>2024</v>
      </c>
      <c r="AG6" s="57">
        <f>god-2</f>
        <v>2024</v>
      </c>
      <c r="AH6" s="57">
        <f>god-1</f>
        <v>2025</v>
      </c>
      <c r="AI6" s="57" cm="1">
        <f t="array" ref="AI6">god</f>
        <v>2026</v>
      </c>
      <c r="AJ6" s="57">
        <f>god+1</f>
        <v>2027</v>
      </c>
      <c r="AK6" s="57">
        <f>god+2</f>
        <v>2028</v>
      </c>
      <c r="AL6" s="57">
        <f>god+3</f>
        <v>2029</v>
      </c>
      <c r="AM6" s="57">
        <f>god+4</f>
        <v>2030</v>
      </c>
      <c r="AN6" s="57">
        <f>god+5</f>
        <v>2031</v>
      </c>
      <c r="AO6" s="57">
        <f>god+6</f>
        <v>2032</v>
      </c>
      <c r="AP6" s="57">
        <f>god+7</f>
        <v>2033</v>
      </c>
      <c r="AQ6" s="57">
        <f>god+8</f>
        <v>2034</v>
      </c>
      <c r="AR6" s="57">
        <f>god+9</f>
        <v>2035</v>
      </c>
      <c r="AS6" s="57" cm="1">
        <f t="array" ref="AS6">god</f>
        <v>2026</v>
      </c>
      <c r="AT6" s="57">
        <f>god+1</f>
        <v>2027</v>
      </c>
      <c r="AU6" s="57">
        <f>god+2</f>
        <v>2028</v>
      </c>
      <c r="AV6" s="57">
        <f>god+3</f>
        <v>2029</v>
      </c>
      <c r="AW6" s="57">
        <f>god+4</f>
        <v>2030</v>
      </c>
      <c r="AX6" s="57">
        <f>god+5</f>
        <v>2031</v>
      </c>
      <c r="AY6" s="57">
        <f>god+6</f>
        <v>2032</v>
      </c>
      <c r="AZ6" s="57">
        <f>god+7</f>
        <v>2033</v>
      </c>
      <c r="BA6" s="57">
        <f>god+8</f>
        <v>2034</v>
      </c>
      <c r="BB6" s="57">
        <f>god+9</f>
        <v>2035</v>
      </c>
      <c r="BC6" s="333"/>
      <c r="BD6" s="333"/>
      <c r="BE6" s="333"/>
      <c r="BF6" s="333"/>
      <c r="BG6" s="333"/>
      <c r="BH6" s="333"/>
      <c r="BI6" s="333"/>
      <c r="BJ6" s="333"/>
      <c r="BK6" s="333"/>
      <c r="BL6" s="333"/>
      <c r="BM6" s="333"/>
      <c r="BN6" s="333"/>
      <c r="BO6" s="333"/>
    </row>
    <row r="7" spans="1:67" ht="11.25" hidden="1" customHeight="1">
      <c r="A7" s="853"/>
      <c r="B7" s="853"/>
      <c r="C7" s="853"/>
      <c r="D7" s="853"/>
      <c r="E7" s="853"/>
      <c r="F7" s="853"/>
      <c r="G7" s="853"/>
      <c r="H7" s="853"/>
      <c r="I7" s="853"/>
      <c r="J7" s="853"/>
      <c r="K7" s="853"/>
      <c r="L7" s="853"/>
      <c r="M7" s="853"/>
      <c r="N7" s="853"/>
      <c r="O7" s="853"/>
      <c r="P7" s="853"/>
      <c r="Q7" s="853"/>
      <c r="R7" s="853"/>
      <c r="S7" s="853"/>
      <c r="T7" s="853"/>
      <c r="U7" s="853"/>
      <c r="V7" s="853"/>
      <c r="W7" s="853"/>
      <c r="X7" s="853"/>
      <c r="Y7" s="853"/>
      <c r="Z7" s="853"/>
      <c r="AA7" s="853"/>
      <c r="AB7" s="853"/>
      <c r="AC7" s="853"/>
      <c r="AD7" s="853"/>
      <c r="AE7" s="57" t="str" cm="1">
        <f t="array" ref="AE7">AE25</f>
        <v>Принято органом регулирования</v>
      </c>
      <c r="AF7" s="57" t="str" cm="1">
        <f t="array" ref="AF7">AF25</f>
        <v>Факт по данным организации</v>
      </c>
      <c r="AG7" s="57" t="str" cm="1">
        <f t="array" ref="AG7">AG25</f>
        <v>Факт, принятый органом регулирования</v>
      </c>
      <c r="AH7" s="57" t="str" cm="1">
        <f t="array" ref="AH7">AH25</f>
        <v>Принято органом регулирования</v>
      </c>
      <c r="AI7" s="57" t="str" cm="1">
        <f t="array" ref="AI7">AI25</f>
        <v>Предложение организации</v>
      </c>
      <c r="AJ7" s="57" t="str" cm="1">
        <f t="array" ref="AJ7">AJ25</f>
        <v>Предложение организации</v>
      </c>
      <c r="AK7" s="57" t="str" cm="1">
        <f t="array" ref="AK7">AK25</f>
        <v>Предложение организации</v>
      </c>
      <c r="AL7" s="57" t="str" cm="1">
        <f t="array" ref="AL7">AL25</f>
        <v>Предложение организации</v>
      </c>
      <c r="AM7" s="57" t="str" cm="1">
        <f t="array" ref="AM7">AM25</f>
        <v>Предложение организации</v>
      </c>
      <c r="AN7" s="57" t="str" cm="1">
        <f t="array" ref="AN7">AN25</f>
        <v>Предложение организации</v>
      </c>
      <c r="AO7" s="57" t="str" cm="1">
        <f t="array" ref="AO7">AO25</f>
        <v>Предложение организации</v>
      </c>
      <c r="AP7" s="57" t="str" cm="1">
        <f t="array" ref="AP7">AP25</f>
        <v>Предложение организации</v>
      </c>
      <c r="AQ7" s="57" t="str" cm="1">
        <f t="array" ref="AQ7">AQ25</f>
        <v>Предложение организации</v>
      </c>
      <c r="AR7" s="57" t="str" cm="1">
        <f t="array" ref="AR7">AR25</f>
        <v>Предложение организации</v>
      </c>
      <c r="AS7" s="57" t="str" cm="1">
        <f t="array" ref="AS7">AS25</f>
        <v>Принято органом регулирования</v>
      </c>
      <c r="AT7" s="57" t="str" cm="1">
        <f t="array" ref="AT7">AT25</f>
        <v>Принято органом регулирования</v>
      </c>
      <c r="AU7" s="57" t="str" cm="1">
        <f t="array" ref="AU7">AU25</f>
        <v>Принято органом регулирования</v>
      </c>
      <c r="AV7" s="57" t="str" cm="1">
        <f t="array" ref="AV7">AV25</f>
        <v>Принято органом регулирования</v>
      </c>
      <c r="AW7" s="57" t="str" cm="1">
        <f t="array" ref="AW7">AW25</f>
        <v>Принято органом регулирования</v>
      </c>
      <c r="AX7" s="57" t="str" cm="1">
        <f t="array" ref="AX7">AX25</f>
        <v>Принято органом регулирования</v>
      </c>
      <c r="AY7" s="57" t="str" cm="1">
        <f t="array" ref="AY7">AY25</f>
        <v>Принято органом регулирования</v>
      </c>
      <c r="AZ7" s="57" t="str" cm="1">
        <f t="array" ref="AZ7">AZ25</f>
        <v>Принято органом регулирования</v>
      </c>
      <c r="BA7" s="57" t="str" cm="1">
        <f t="array" ref="BA7">BA25</f>
        <v>Принято органом регулирования</v>
      </c>
      <c r="BB7" s="57" t="str" cm="1">
        <f t="array" ref="BB7">BB25</f>
        <v>Принято органом регулирования</v>
      </c>
      <c r="BC7" s="333"/>
      <c r="BD7" s="333"/>
      <c r="BE7" s="333"/>
      <c r="BF7" s="333"/>
      <c r="BG7" s="333"/>
      <c r="BH7" s="333"/>
      <c r="BI7" s="333"/>
      <c r="BJ7" s="333"/>
      <c r="BK7" s="333"/>
      <c r="BL7" s="333"/>
      <c r="BM7" s="333"/>
      <c r="BN7" s="333"/>
      <c r="BO7" s="333"/>
    </row>
    <row r="8" spans="1:67" ht="11.25" hidden="1" customHeight="1">
      <c r="A8" s="853"/>
      <c r="B8" s="853"/>
      <c r="C8" s="853"/>
      <c r="D8" s="853"/>
      <c r="E8" s="853"/>
      <c r="F8" s="853"/>
      <c r="G8" s="853"/>
      <c r="H8" s="853"/>
      <c r="I8" s="853"/>
      <c r="J8" s="853"/>
      <c r="K8" s="853"/>
      <c r="L8" s="853"/>
      <c r="M8" s="853"/>
      <c r="N8" s="853"/>
      <c r="O8" s="853"/>
      <c r="P8" s="853"/>
      <c r="Q8" s="853"/>
      <c r="R8" s="853"/>
      <c r="S8" s="853"/>
      <c r="T8" s="853"/>
      <c r="U8" s="853"/>
      <c r="V8" s="853"/>
      <c r="W8" s="853"/>
      <c r="X8" s="853"/>
      <c r="Y8" s="853"/>
      <c r="Z8" s="853"/>
      <c r="AA8" s="853"/>
      <c r="AB8" s="853"/>
      <c r="AC8" s="853"/>
      <c r="AD8" s="853"/>
      <c r="AE8" s="57" t="str">
        <f t="shared" ref="AE8:BB8" si="2">AE6&amp;AE7</f>
        <v>2024Принято органом регулирования</v>
      </c>
      <c r="AF8" s="57" t="str">
        <f t="shared" si="2"/>
        <v>2024Факт по данным организации</v>
      </c>
      <c r="AG8" s="57" t="str">
        <f t="shared" si="2"/>
        <v>2024Факт, принятый органом регулирования</v>
      </c>
      <c r="AH8" s="57" t="str">
        <f t="shared" si="2"/>
        <v>2025Принято органом регулирования</v>
      </c>
      <c r="AI8" s="57" t="str">
        <f t="shared" si="2"/>
        <v>2026Предложение организации</v>
      </c>
      <c r="AJ8" s="57" t="str">
        <f t="shared" si="2"/>
        <v>2027Предложение организации</v>
      </c>
      <c r="AK8" s="57" t="str">
        <f t="shared" si="2"/>
        <v>2028Предложение организации</v>
      </c>
      <c r="AL8" s="57" t="str">
        <f t="shared" si="2"/>
        <v>2029Предложение организации</v>
      </c>
      <c r="AM8" s="57" t="str">
        <f t="shared" si="2"/>
        <v>2030Предложение организации</v>
      </c>
      <c r="AN8" s="57" t="str">
        <f t="shared" si="2"/>
        <v>2031Предложение организации</v>
      </c>
      <c r="AO8" s="57" t="str">
        <f t="shared" si="2"/>
        <v>2032Предложение организации</v>
      </c>
      <c r="AP8" s="57" t="str">
        <f t="shared" si="2"/>
        <v>2033Предложение организации</v>
      </c>
      <c r="AQ8" s="57" t="str">
        <f t="shared" si="2"/>
        <v>2034Предложение организации</v>
      </c>
      <c r="AR8" s="57" t="str">
        <f t="shared" si="2"/>
        <v>2035Предложение организации</v>
      </c>
      <c r="AS8" s="57" t="str">
        <f t="shared" si="2"/>
        <v>2026Принято органом регулирования</v>
      </c>
      <c r="AT8" s="57" t="str">
        <f t="shared" si="2"/>
        <v>2027Принято органом регулирования</v>
      </c>
      <c r="AU8" s="57" t="str">
        <f t="shared" si="2"/>
        <v>2028Принято органом регулирования</v>
      </c>
      <c r="AV8" s="57" t="str">
        <f t="shared" si="2"/>
        <v>2029Принято органом регулирования</v>
      </c>
      <c r="AW8" s="57" t="str">
        <f t="shared" si="2"/>
        <v>2030Принято органом регулирования</v>
      </c>
      <c r="AX8" s="57" t="str">
        <f t="shared" si="2"/>
        <v>2031Принято органом регулирования</v>
      </c>
      <c r="AY8" s="57" t="str">
        <f t="shared" si="2"/>
        <v>2032Принято органом регулирования</v>
      </c>
      <c r="AZ8" s="57" t="str">
        <f t="shared" si="2"/>
        <v>2033Принято органом регулирования</v>
      </c>
      <c r="BA8" s="57" t="str">
        <f t="shared" si="2"/>
        <v>2034Принято органом регулирования</v>
      </c>
      <c r="BB8" s="57" t="str">
        <f t="shared" si="2"/>
        <v>2035Принято органом регулирования</v>
      </c>
      <c r="BC8" s="333"/>
      <c r="BD8" s="333"/>
      <c r="BE8" s="333"/>
      <c r="BF8" s="333"/>
      <c r="BG8" s="333"/>
      <c r="BH8" s="333"/>
      <c r="BI8" s="333"/>
      <c r="BJ8" s="333"/>
      <c r="BK8" s="333"/>
      <c r="BL8" s="333"/>
      <c r="BM8" s="333"/>
      <c r="BN8" s="333"/>
      <c r="BO8" s="333"/>
    </row>
    <row r="9" spans="1:67" ht="11.25" hidden="1" customHeight="1">
      <c r="A9" s="665" t="s">
        <v>358</v>
      </c>
      <c r="B9" s="674"/>
      <c r="C9" s="853"/>
      <c r="D9" s="853"/>
      <c r="E9" s="853"/>
      <c r="F9" s="675"/>
      <c r="G9" s="853"/>
      <c r="H9" s="853"/>
      <c r="I9" s="853"/>
      <c r="J9" s="853"/>
      <c r="K9" s="853"/>
      <c r="L9" s="853"/>
      <c r="M9" s="853"/>
      <c r="N9" s="853"/>
      <c r="O9" s="853"/>
      <c r="P9" s="853"/>
      <c r="Q9" s="853"/>
      <c r="R9" s="853"/>
      <c r="S9" s="853"/>
      <c r="T9" s="853"/>
      <c r="U9" s="853"/>
      <c r="V9" s="853"/>
      <c r="W9" s="853"/>
      <c r="X9" s="853"/>
      <c r="Y9" s="853"/>
      <c r="Z9" s="853"/>
      <c r="AA9" s="853"/>
      <c r="AB9" s="667"/>
      <c r="AC9" s="676"/>
      <c r="AD9" s="853"/>
      <c r="AE9" s="665" cm="1">
        <f t="array" ref="AE9">AE6</f>
        <v>2024</v>
      </c>
      <c r="AF9" s="665" cm="1">
        <f t="array" ref="AF9">AF6</f>
        <v>2024</v>
      </c>
      <c r="AG9" s="665" cm="1">
        <f t="array" ref="AG9">AG6</f>
        <v>2024</v>
      </c>
      <c r="AH9" s="665" cm="1">
        <f t="array" ref="AH9">AH6</f>
        <v>2025</v>
      </c>
      <c r="AI9" s="665" cm="1">
        <f t="array" ref="AI9">AI6</f>
        <v>2026</v>
      </c>
      <c r="AJ9" s="665" cm="1">
        <f t="array" ref="AJ9">AJ6</f>
        <v>2027</v>
      </c>
      <c r="AK9" s="665" cm="1">
        <f t="array" ref="AK9">AK6</f>
        <v>2028</v>
      </c>
      <c r="AL9" s="665" cm="1">
        <f t="array" ref="AL9">AL6</f>
        <v>2029</v>
      </c>
      <c r="AM9" s="665" cm="1">
        <f t="array" ref="AM9">AM6</f>
        <v>2030</v>
      </c>
      <c r="AN9" s="665" cm="1">
        <f t="array" ref="AN9">AN6</f>
        <v>2031</v>
      </c>
      <c r="AO9" s="665" cm="1">
        <f t="array" ref="AO9">AO6</f>
        <v>2032</v>
      </c>
      <c r="AP9" s="665" cm="1">
        <f t="array" ref="AP9">AP6</f>
        <v>2033</v>
      </c>
      <c r="AQ9" s="665" cm="1">
        <f t="array" ref="AQ9">AQ6</f>
        <v>2034</v>
      </c>
      <c r="AR9" s="665" cm="1">
        <f t="array" ref="AR9">AR6</f>
        <v>2035</v>
      </c>
      <c r="AS9" s="665" cm="1">
        <f t="array" ref="AS9">AS6</f>
        <v>2026</v>
      </c>
      <c r="AT9" s="665" cm="1">
        <f t="array" ref="AT9">AT6</f>
        <v>2027</v>
      </c>
      <c r="AU9" s="665" cm="1">
        <f t="array" ref="AU9">AU6</f>
        <v>2028</v>
      </c>
      <c r="AV9" s="665" cm="1">
        <f t="array" ref="AV9">AV6</f>
        <v>2029</v>
      </c>
      <c r="AW9" s="665" cm="1">
        <f t="array" ref="AW9">AW6</f>
        <v>2030</v>
      </c>
      <c r="AX9" s="665" cm="1">
        <f t="array" ref="AX9">AX6</f>
        <v>2031</v>
      </c>
      <c r="AY9" s="665" cm="1">
        <f t="array" ref="AY9">AY6</f>
        <v>2032</v>
      </c>
      <c r="AZ9" s="665" cm="1">
        <f t="array" ref="AZ9">AZ6</f>
        <v>2033</v>
      </c>
      <c r="BA9" s="665" cm="1">
        <f t="array" ref="BA9">BA6</f>
        <v>2034</v>
      </c>
      <c r="BB9" s="665" cm="1">
        <f t="array" ref="BB9">BB6</f>
        <v>2035</v>
      </c>
      <c r="BC9" s="333"/>
      <c r="BD9" s="333"/>
      <c r="BE9" s="291"/>
      <c r="BF9" s="291"/>
      <c r="BG9" s="291"/>
      <c r="BH9" s="291"/>
      <c r="BI9" s="291"/>
      <c r="BJ9" s="333"/>
      <c r="BK9" s="333"/>
      <c r="BL9" s="333"/>
      <c r="BM9" s="333"/>
      <c r="BN9" s="333"/>
      <c r="BO9" s="333"/>
    </row>
    <row r="10" spans="1:67" ht="11.25" hidden="1" customHeight="1">
      <c r="A10" s="665" t="s">
        <v>359</v>
      </c>
      <c r="B10" s="674"/>
      <c r="C10" s="853"/>
      <c r="D10" s="853"/>
      <c r="E10" s="853"/>
      <c r="F10" s="675"/>
      <c r="G10" s="853"/>
      <c r="H10" s="853"/>
      <c r="I10" s="853"/>
      <c r="J10" s="853"/>
      <c r="K10" s="853"/>
      <c r="L10" s="853"/>
      <c r="M10" s="853"/>
      <c r="N10" s="853"/>
      <c r="O10" s="853"/>
      <c r="P10" s="853"/>
      <c r="Q10" s="853"/>
      <c r="R10" s="853"/>
      <c r="S10" s="853"/>
      <c r="T10" s="853"/>
      <c r="U10" s="853"/>
      <c r="V10" s="853"/>
      <c r="W10" s="853"/>
      <c r="X10" s="853"/>
      <c r="Y10" s="853"/>
      <c r="Z10" s="853"/>
      <c r="AA10" s="853"/>
      <c r="AB10" s="667"/>
      <c r="AC10" s="676"/>
      <c r="AD10" s="853"/>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Предложение организации</v>
      </c>
      <c r="AK10" s="665" t="str" cm="1">
        <f t="array" ref="AK10">AK25</f>
        <v>Предложение организации</v>
      </c>
      <c r="AL10" s="665" t="str" cm="1">
        <f t="array" ref="AL10">AL25</f>
        <v>Предложение организации</v>
      </c>
      <c r="AM10" s="665" t="str" cm="1">
        <f t="array" ref="AM10">AM25</f>
        <v>Предложение организации</v>
      </c>
      <c r="AN10" s="665" t="str" cm="1">
        <f t="array" ref="AN10">AN25</f>
        <v>Предложение организации</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C10" s="333"/>
      <c r="BD10" s="333"/>
      <c r="BE10" s="291"/>
      <c r="BF10" s="291"/>
      <c r="BG10" s="291"/>
      <c r="BH10" s="291"/>
      <c r="BI10" s="291"/>
      <c r="BJ10" s="333"/>
      <c r="BK10" s="333"/>
      <c r="BL10" s="333"/>
      <c r="BM10" s="333"/>
      <c r="BN10" s="333"/>
      <c r="BO10" s="333"/>
    </row>
    <row r="11" spans="1:67" ht="11.25" hidden="1" customHeight="1">
      <c r="A11" s="853"/>
      <c r="B11" s="853"/>
      <c r="C11" s="853"/>
      <c r="D11" s="853"/>
      <c r="E11" s="853"/>
      <c r="F11" s="853"/>
      <c r="G11" s="853"/>
      <c r="H11" s="853"/>
      <c r="I11" s="853"/>
      <c r="J11" s="853"/>
      <c r="K11" s="853"/>
      <c r="L11" s="853"/>
      <c r="M11" s="853"/>
      <c r="N11" s="853"/>
      <c r="O11" s="853"/>
      <c r="P11" s="853"/>
      <c r="Q11" s="853"/>
      <c r="R11" s="853"/>
      <c r="S11" s="853"/>
      <c r="T11" s="853"/>
      <c r="U11" s="853"/>
      <c r="V11" s="853"/>
      <c r="W11" s="853"/>
      <c r="X11" s="853"/>
      <c r="Y11" s="853"/>
      <c r="Z11" s="853"/>
      <c r="AA11" s="853"/>
      <c r="AB11" s="853"/>
      <c r="AC11" s="853"/>
      <c r="AD11" s="853"/>
      <c r="AE11" s="853"/>
      <c r="AF11" s="853"/>
      <c r="AG11" s="333"/>
      <c r="AH11" s="853"/>
      <c r="AI11" s="853"/>
      <c r="AJ11" s="333"/>
      <c r="AK11" s="333"/>
      <c r="AL11" s="333"/>
      <c r="AM11" s="333"/>
      <c r="AN11" s="333"/>
      <c r="AO11" s="333"/>
      <c r="AP11" s="333"/>
      <c r="AQ11" s="333"/>
      <c r="AR11" s="333"/>
      <c r="AS11" s="85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333"/>
    </row>
    <row r="12" spans="1:67" ht="11.25" hidden="1" customHeight="1">
      <c r="A12" s="853"/>
      <c r="B12" s="853"/>
      <c r="C12" s="853"/>
      <c r="D12" s="853"/>
      <c r="E12" s="853"/>
      <c r="F12" s="853"/>
      <c r="G12" s="853"/>
      <c r="H12" s="853"/>
      <c r="I12" s="853"/>
      <c r="J12" s="853"/>
      <c r="K12" s="853"/>
      <c r="L12" s="853"/>
      <c r="M12" s="853"/>
      <c r="N12" s="853"/>
      <c r="O12" s="853"/>
      <c r="P12" s="853"/>
      <c r="Q12" s="853"/>
      <c r="R12" s="853"/>
      <c r="S12" s="853"/>
      <c r="T12" s="853"/>
      <c r="U12" s="853"/>
      <c r="V12" s="853"/>
      <c r="W12" s="853"/>
      <c r="X12" s="853"/>
      <c r="Y12" s="853"/>
      <c r="Z12" s="853"/>
      <c r="AA12" s="853"/>
      <c r="AB12" s="853"/>
      <c r="AC12" s="853"/>
      <c r="AD12" s="853"/>
      <c r="AE12" s="853"/>
      <c r="AF12" s="853"/>
      <c r="AG12" s="333"/>
      <c r="AH12" s="853"/>
      <c r="AI12" s="853"/>
      <c r="AJ12" s="333"/>
      <c r="AK12" s="333"/>
      <c r="AL12" s="333"/>
      <c r="AM12" s="333"/>
      <c r="AN12" s="333"/>
      <c r="AO12" s="333"/>
      <c r="AP12" s="333"/>
      <c r="AQ12" s="333"/>
      <c r="AR12" s="333"/>
      <c r="AS12" s="853"/>
      <c r="AT12" s="333"/>
      <c r="AU12" s="333"/>
      <c r="AV12" s="333"/>
      <c r="AW12" s="333"/>
      <c r="AX12" s="333"/>
      <c r="AY12" s="333"/>
      <c r="AZ12" s="333"/>
      <c r="BA12" s="333"/>
      <c r="BB12" s="333"/>
      <c r="BC12" s="333"/>
      <c r="BD12" s="333"/>
      <c r="BE12" s="333"/>
      <c r="BF12" s="333"/>
      <c r="BG12" s="333"/>
      <c r="BH12" s="333"/>
      <c r="BI12" s="333"/>
      <c r="BJ12" s="333"/>
      <c r="BK12" s="333"/>
      <c r="BL12" s="333"/>
      <c r="BM12" s="333"/>
      <c r="BN12" s="333"/>
      <c r="BO12" s="333"/>
    </row>
    <row r="13" spans="1:67" ht="11.25" hidden="1" customHeight="1">
      <c r="A13" s="853"/>
      <c r="B13" s="853"/>
      <c r="C13" s="853"/>
      <c r="D13" s="853"/>
      <c r="E13" s="853"/>
      <c r="F13" s="853"/>
      <c r="G13" s="853"/>
      <c r="H13" s="853"/>
      <c r="I13" s="853"/>
      <c r="J13" s="853"/>
      <c r="K13" s="853"/>
      <c r="L13" s="853"/>
      <c r="M13" s="853"/>
      <c r="N13" s="853"/>
      <c r="O13" s="853"/>
      <c r="P13" s="853"/>
      <c r="Q13" s="853"/>
      <c r="R13" s="853"/>
      <c r="S13" s="853"/>
      <c r="T13" s="853"/>
      <c r="U13" s="853"/>
      <c r="V13" s="853"/>
      <c r="W13" s="853"/>
      <c r="X13" s="853"/>
      <c r="Y13" s="853"/>
      <c r="Z13" s="853"/>
      <c r="AA13" s="853"/>
      <c r="AB13" s="853"/>
      <c r="AC13" s="853"/>
      <c r="AD13" s="853"/>
      <c r="AE13" s="853"/>
      <c r="AF13" s="853"/>
      <c r="AG13" s="333"/>
      <c r="AH13" s="853"/>
      <c r="AI13" s="853"/>
      <c r="AJ13" s="333"/>
      <c r="AK13" s="333"/>
      <c r="AL13" s="333"/>
      <c r="AM13" s="333"/>
      <c r="AN13" s="333"/>
      <c r="AO13" s="333"/>
      <c r="AP13" s="333"/>
      <c r="AQ13" s="333"/>
      <c r="AR13" s="333"/>
      <c r="AS13" s="853"/>
      <c r="AT13" s="333"/>
      <c r="AU13" s="333"/>
      <c r="AV13" s="333"/>
      <c r="AW13" s="333"/>
      <c r="AX13" s="333"/>
      <c r="AY13" s="333"/>
      <c r="AZ13" s="333"/>
      <c r="BA13" s="333"/>
      <c r="BB13" s="333"/>
      <c r="BC13" s="333"/>
      <c r="BD13" s="333"/>
      <c r="BE13" s="333"/>
      <c r="BF13" s="333"/>
      <c r="BG13" s="333"/>
      <c r="BH13" s="333"/>
      <c r="BI13" s="333"/>
      <c r="BJ13" s="333"/>
      <c r="BK13" s="333"/>
      <c r="BL13" s="333"/>
      <c r="BM13" s="333"/>
      <c r="BN13" s="333"/>
      <c r="BO13" s="333"/>
    </row>
    <row r="14" spans="1:67" ht="11.25" hidden="1" customHeight="1">
      <c r="A14" s="853"/>
      <c r="B14" s="853"/>
      <c r="C14" s="853"/>
      <c r="D14" s="853"/>
      <c r="E14" s="853"/>
      <c r="F14" s="853"/>
      <c r="G14" s="853"/>
      <c r="H14" s="853"/>
      <c r="I14" s="853"/>
      <c r="J14" s="853"/>
      <c r="K14" s="853"/>
      <c r="L14" s="853"/>
      <c r="M14" s="853"/>
      <c r="N14" s="853"/>
      <c r="O14" s="853"/>
      <c r="P14" s="853"/>
      <c r="Q14" s="853"/>
      <c r="R14" s="853"/>
      <c r="S14" s="853"/>
      <c r="T14" s="853"/>
      <c r="U14" s="853"/>
      <c r="V14" s="853"/>
      <c r="W14" s="853"/>
      <c r="X14" s="853"/>
      <c r="Y14" s="853"/>
      <c r="Z14" s="853"/>
      <c r="AA14" s="853"/>
      <c r="AB14" s="853"/>
      <c r="AC14" s="853"/>
      <c r="AD14" s="853"/>
      <c r="AE14" s="853"/>
      <c r="AF14" s="853"/>
      <c r="AG14" s="333"/>
      <c r="AH14" s="853"/>
      <c r="AI14" s="853"/>
      <c r="AJ14" s="333"/>
      <c r="AK14" s="333"/>
      <c r="AL14" s="333"/>
      <c r="AM14" s="333"/>
      <c r="AN14" s="333"/>
      <c r="AO14" s="333"/>
      <c r="AP14" s="333"/>
      <c r="AQ14" s="333"/>
      <c r="AR14" s="333"/>
      <c r="AS14" s="853"/>
      <c r="AT14" s="333"/>
      <c r="AU14" s="333"/>
      <c r="AV14" s="333"/>
      <c r="AW14" s="333"/>
      <c r="AX14" s="333"/>
      <c r="AY14" s="333"/>
      <c r="AZ14" s="333"/>
      <c r="BA14" s="333"/>
      <c r="BB14" s="333"/>
      <c r="BC14" s="333"/>
      <c r="BD14" s="333"/>
      <c r="BE14" s="333"/>
      <c r="BF14" s="333"/>
      <c r="BG14" s="333"/>
      <c r="BH14" s="333"/>
      <c r="BI14" s="333"/>
      <c r="BJ14" s="333"/>
      <c r="BK14" s="333"/>
      <c r="BL14" s="333"/>
      <c r="BM14" s="333"/>
      <c r="BN14" s="333"/>
      <c r="BO14" s="333"/>
    </row>
    <row r="15" spans="1:67" ht="11.25" hidden="1" customHeight="1">
      <c r="A15" s="853"/>
      <c r="B15" s="853"/>
      <c r="C15" s="853"/>
      <c r="D15" s="853"/>
      <c r="E15" s="853"/>
      <c r="F15" s="853"/>
      <c r="G15" s="853"/>
      <c r="H15" s="853"/>
      <c r="I15" s="853"/>
      <c r="J15" s="853"/>
      <c r="K15" s="853"/>
      <c r="L15" s="853"/>
      <c r="M15" s="853"/>
      <c r="N15" s="853"/>
      <c r="O15" s="853"/>
      <c r="P15" s="853"/>
      <c r="Q15" s="853"/>
      <c r="R15" s="853"/>
      <c r="S15" s="853"/>
      <c r="T15" s="853"/>
      <c r="U15" s="853"/>
      <c r="V15" s="853"/>
      <c r="W15" s="853"/>
      <c r="X15" s="853"/>
      <c r="Y15" s="853"/>
      <c r="Z15" s="853"/>
      <c r="AA15" s="853"/>
      <c r="AB15" s="853"/>
      <c r="AC15" s="853"/>
      <c r="AD15" s="853"/>
      <c r="AE15" s="853"/>
      <c r="AF15" s="853"/>
      <c r="AG15" s="333"/>
      <c r="AH15" s="853"/>
      <c r="AI15" s="853"/>
      <c r="AJ15" s="333"/>
      <c r="AK15" s="333"/>
      <c r="AL15" s="333"/>
      <c r="AM15" s="333"/>
      <c r="AN15" s="333"/>
      <c r="AO15" s="333"/>
      <c r="AP15" s="333"/>
      <c r="AQ15" s="333"/>
      <c r="AR15" s="333"/>
      <c r="AS15" s="85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row>
    <row r="16" spans="1:67" ht="11.25" hidden="1" customHeight="1">
      <c r="A16" s="853"/>
      <c r="B16" s="853"/>
      <c r="C16" s="853"/>
      <c r="D16" s="853"/>
      <c r="E16" s="853"/>
      <c r="F16" s="853"/>
      <c r="G16" s="853"/>
      <c r="H16" s="853"/>
      <c r="I16" s="853"/>
      <c r="J16" s="853"/>
      <c r="K16" s="853"/>
      <c r="L16" s="853"/>
      <c r="M16" s="853"/>
      <c r="N16" s="853"/>
      <c r="O16" s="853"/>
      <c r="P16" s="853"/>
      <c r="Q16" s="853"/>
      <c r="R16" s="853"/>
      <c r="S16" s="853"/>
      <c r="T16" s="853"/>
      <c r="U16" s="853"/>
      <c r="V16" s="853"/>
      <c r="W16" s="853"/>
      <c r="X16" s="853"/>
      <c r="Y16" s="853"/>
      <c r="Z16" s="853"/>
      <c r="AA16" s="853"/>
      <c r="AB16" s="853"/>
      <c r="AC16" s="853"/>
      <c r="AD16" s="853"/>
      <c r="AE16" s="853"/>
      <c r="AF16" s="853"/>
      <c r="AG16" s="333"/>
      <c r="AH16" s="853"/>
      <c r="AI16" s="853"/>
      <c r="AJ16" s="333"/>
      <c r="AK16" s="333"/>
      <c r="AL16" s="333"/>
      <c r="AM16" s="333"/>
      <c r="AN16" s="333"/>
      <c r="AO16" s="333"/>
      <c r="AP16" s="333"/>
      <c r="AQ16" s="333"/>
      <c r="AR16" s="333"/>
      <c r="AS16" s="853"/>
      <c r="AT16" s="333"/>
      <c r="AU16" s="333"/>
      <c r="AV16" s="333"/>
      <c r="AW16" s="333"/>
      <c r="AX16" s="333"/>
      <c r="AY16" s="333"/>
      <c r="AZ16" s="333"/>
      <c r="BA16" s="333"/>
      <c r="BB16" s="333"/>
      <c r="BC16" s="333"/>
      <c r="BD16" s="333"/>
      <c r="BE16" s="333"/>
      <c r="BF16" s="333"/>
      <c r="BG16" s="333"/>
      <c r="BH16" s="333"/>
      <c r="BI16" s="333"/>
      <c r="BJ16" s="333"/>
      <c r="BK16" s="333"/>
      <c r="BL16" s="333"/>
      <c r="BM16" s="333"/>
      <c r="BN16" s="333"/>
      <c r="BO16" s="333"/>
    </row>
    <row r="17" spans="1:67" ht="11.25" hidden="1" customHeight="1">
      <c r="A17" s="853"/>
      <c r="B17" s="853"/>
      <c r="C17" s="853"/>
      <c r="D17" s="853"/>
      <c r="E17" s="853"/>
      <c r="F17" s="853"/>
      <c r="G17" s="853"/>
      <c r="H17" s="853"/>
      <c r="I17" s="853"/>
      <c r="J17" s="853"/>
      <c r="K17" s="853"/>
      <c r="L17" s="853"/>
      <c r="M17" s="853"/>
      <c r="N17" s="853"/>
      <c r="O17" s="853"/>
      <c r="P17" s="853"/>
      <c r="Q17" s="853"/>
      <c r="R17" s="853"/>
      <c r="S17" s="853"/>
      <c r="T17" s="853"/>
      <c r="U17" s="853"/>
      <c r="V17" s="853"/>
      <c r="W17" s="853"/>
      <c r="X17" s="853"/>
      <c r="Y17" s="853"/>
      <c r="Z17" s="853"/>
      <c r="AA17" s="853"/>
      <c r="AB17" s="853"/>
      <c r="AC17" s="853"/>
      <c r="AD17" s="853"/>
      <c r="AE17" s="853"/>
      <c r="AF17" s="853"/>
      <c r="AG17" s="333"/>
      <c r="AH17" s="853"/>
      <c r="AI17" s="853"/>
      <c r="AJ17" s="333"/>
      <c r="AK17" s="333"/>
      <c r="AL17" s="333"/>
      <c r="AM17" s="333"/>
      <c r="AN17" s="333"/>
      <c r="AO17" s="333"/>
      <c r="AP17" s="333"/>
      <c r="AQ17" s="333"/>
      <c r="AR17" s="333"/>
      <c r="AS17" s="853"/>
      <c r="AT17" s="333"/>
      <c r="AU17" s="333"/>
      <c r="AV17" s="333"/>
      <c r="AW17" s="333"/>
      <c r="AX17" s="333"/>
      <c r="AY17" s="333"/>
      <c r="AZ17" s="333"/>
      <c r="BA17" s="333"/>
      <c r="BB17" s="333"/>
      <c r="BC17" s="333"/>
      <c r="BD17" s="333"/>
      <c r="BE17" s="333"/>
      <c r="BF17" s="333"/>
      <c r="BG17" s="333"/>
      <c r="BH17" s="333"/>
      <c r="BI17" s="333"/>
      <c r="BJ17" s="333"/>
      <c r="BK17" s="333"/>
      <c r="BL17" s="333"/>
      <c r="BM17" s="333"/>
      <c r="BN17" s="333"/>
      <c r="BO17" s="333"/>
    </row>
    <row r="18" spans="1:67" ht="11.25" hidden="1" customHeight="1">
      <c r="A18" s="853"/>
      <c r="B18" s="853"/>
      <c r="C18" s="853"/>
      <c r="D18" s="853"/>
      <c r="E18" s="853"/>
      <c r="F18" s="853"/>
      <c r="G18" s="853"/>
      <c r="H18" s="853"/>
      <c r="I18" s="853"/>
      <c r="J18" s="853"/>
      <c r="K18" s="853"/>
      <c r="L18" s="853"/>
      <c r="M18" s="853"/>
      <c r="N18" s="853"/>
      <c r="O18" s="853"/>
      <c r="P18" s="853"/>
      <c r="Q18" s="853"/>
      <c r="R18" s="853"/>
      <c r="S18" s="853"/>
      <c r="T18" s="853"/>
      <c r="U18" s="853"/>
      <c r="V18" s="853"/>
      <c r="W18" s="853"/>
      <c r="X18" s="853"/>
      <c r="Y18" s="853"/>
      <c r="Z18" s="853"/>
      <c r="AA18" s="853"/>
      <c r="AB18" s="853"/>
      <c r="AC18" s="853"/>
      <c r="AD18" s="853"/>
      <c r="AE18" s="853"/>
      <c r="AF18" s="853"/>
      <c r="AG18" s="333"/>
      <c r="AH18" s="853"/>
      <c r="AI18" s="853"/>
      <c r="AJ18" s="333"/>
      <c r="AK18" s="333"/>
      <c r="AL18" s="333"/>
      <c r="AM18" s="333"/>
      <c r="AN18" s="333"/>
      <c r="AO18" s="333"/>
      <c r="AP18" s="333"/>
      <c r="AQ18" s="333"/>
      <c r="AR18" s="333"/>
      <c r="AS18" s="853"/>
      <c r="AT18" s="333"/>
      <c r="AU18" s="333"/>
      <c r="AV18" s="333"/>
      <c r="AW18" s="333"/>
      <c r="AX18" s="333"/>
      <c r="AY18" s="333"/>
      <c r="AZ18" s="333"/>
      <c r="BA18" s="333"/>
      <c r="BB18" s="333"/>
      <c r="BC18" s="333"/>
      <c r="BD18" s="333"/>
      <c r="BE18" s="333"/>
      <c r="BF18" s="333"/>
      <c r="BG18" s="333"/>
      <c r="BH18" s="333"/>
      <c r="BI18" s="333"/>
      <c r="BJ18" s="333"/>
      <c r="BK18" s="333"/>
      <c r="BL18" s="333"/>
      <c r="BM18" s="333"/>
      <c r="BN18" s="333"/>
      <c r="BO18" s="333"/>
    </row>
    <row r="19" spans="1:67" ht="11.25" hidden="1" customHeight="1">
      <c r="A19" s="853"/>
      <c r="B19" s="853"/>
      <c r="C19" s="853"/>
      <c r="D19" s="853"/>
      <c r="E19" s="853"/>
      <c r="F19" s="853"/>
      <c r="G19" s="853"/>
      <c r="H19" s="853"/>
      <c r="I19" s="853"/>
      <c r="J19" s="853"/>
      <c r="K19" s="853"/>
      <c r="L19" s="853"/>
      <c r="M19" s="853"/>
      <c r="N19" s="853"/>
      <c r="O19" s="853"/>
      <c r="P19" s="853"/>
      <c r="Q19" s="853"/>
      <c r="R19" s="853"/>
      <c r="S19" s="853"/>
      <c r="T19" s="853"/>
      <c r="U19" s="853"/>
      <c r="V19" s="853"/>
      <c r="W19" s="853"/>
      <c r="X19" s="853"/>
      <c r="Y19" s="853"/>
      <c r="Z19" s="853"/>
      <c r="AA19" s="853"/>
      <c r="AB19" s="853"/>
      <c r="AC19" s="853"/>
      <c r="AD19" s="853"/>
      <c r="AE19" s="853"/>
      <c r="AF19" s="853"/>
      <c r="AG19" s="333"/>
      <c r="AH19" s="853"/>
      <c r="AI19" s="853"/>
      <c r="AJ19" s="333"/>
      <c r="AK19" s="333"/>
      <c r="AL19" s="333"/>
      <c r="AM19" s="333"/>
      <c r="AN19" s="333"/>
      <c r="AO19" s="333"/>
      <c r="AP19" s="333"/>
      <c r="AQ19" s="333"/>
      <c r="AR19" s="333"/>
      <c r="AS19" s="853"/>
      <c r="AT19" s="333"/>
      <c r="AU19" s="333"/>
      <c r="AV19" s="333"/>
      <c r="AW19" s="333"/>
      <c r="AX19" s="333"/>
      <c r="AY19" s="333"/>
      <c r="AZ19" s="333"/>
      <c r="BA19" s="333"/>
      <c r="BB19" s="333"/>
      <c r="BC19" s="333"/>
      <c r="BD19" s="333"/>
      <c r="BE19" s="333"/>
      <c r="BF19" s="333"/>
      <c r="BG19" s="333"/>
      <c r="BH19" s="333"/>
      <c r="BI19" s="333"/>
      <c r="BJ19" s="333"/>
      <c r="BK19" s="333"/>
      <c r="BL19" s="333"/>
      <c r="BM19" s="333"/>
      <c r="BN19" s="333"/>
      <c r="BO19" s="333"/>
    </row>
    <row r="20" spans="1:67" ht="11.25" hidden="1" customHeight="1">
      <c r="A20" s="853"/>
      <c r="B20" s="853"/>
      <c r="C20" s="853"/>
      <c r="D20" s="853"/>
      <c r="E20" s="853"/>
      <c r="F20" s="853"/>
      <c r="G20" s="853"/>
      <c r="H20" s="853"/>
      <c r="I20" s="853"/>
      <c r="J20" s="853"/>
      <c r="K20" s="853"/>
      <c r="L20" s="853"/>
      <c r="M20" s="853"/>
      <c r="N20" s="853"/>
      <c r="O20" s="853"/>
      <c r="P20" s="853"/>
      <c r="Q20" s="853"/>
      <c r="R20" s="853"/>
      <c r="S20" s="853"/>
      <c r="T20" s="853"/>
      <c r="U20" s="853"/>
      <c r="V20" s="853"/>
      <c r="W20" s="853"/>
      <c r="X20" s="853"/>
      <c r="Y20" s="853"/>
      <c r="Z20" s="853"/>
      <c r="AA20" s="853"/>
      <c r="AB20" s="853"/>
      <c r="AC20" s="853"/>
      <c r="AD20" s="853"/>
      <c r="AE20" s="853"/>
      <c r="AF20" s="853"/>
      <c r="AG20" s="333"/>
      <c r="AH20" s="853"/>
      <c r="AI20" s="853"/>
      <c r="AJ20" s="333"/>
      <c r="AK20" s="333"/>
      <c r="AL20" s="333"/>
      <c r="AM20" s="333"/>
      <c r="AN20" s="333"/>
      <c r="AO20" s="333"/>
      <c r="AP20" s="333"/>
      <c r="AQ20" s="333"/>
      <c r="AR20" s="333"/>
      <c r="AS20" s="853"/>
      <c r="AT20" s="333"/>
      <c r="AU20" s="333"/>
      <c r="AV20" s="333"/>
      <c r="AW20" s="333"/>
      <c r="AX20" s="333"/>
      <c r="AY20" s="333"/>
      <c r="AZ20" s="333"/>
      <c r="BA20" s="333"/>
      <c r="BB20" s="333"/>
      <c r="BC20" s="333"/>
      <c r="BD20" s="333"/>
      <c r="BE20" s="333"/>
      <c r="BF20" s="333"/>
      <c r="BG20" s="333"/>
      <c r="BH20" s="333"/>
      <c r="BI20" s="333"/>
      <c r="BJ20" s="333"/>
      <c r="BK20" s="333"/>
      <c r="BL20" s="333"/>
      <c r="BM20" s="333"/>
      <c r="BN20" s="333"/>
      <c r="BO20" s="333"/>
    </row>
    <row r="21" spans="1:67" ht="14.65" customHeight="1">
      <c r="A21" s="853"/>
      <c r="B21" s="853"/>
      <c r="C21" s="853"/>
      <c r="D21" s="853"/>
      <c r="E21" s="459">
        <v>15</v>
      </c>
      <c r="F21" s="853"/>
      <c r="G21" s="853"/>
      <c r="H21" s="853"/>
      <c r="I21" s="853"/>
      <c r="J21" s="853"/>
      <c r="K21" s="853"/>
      <c r="L21" s="853"/>
      <c r="M21" s="853"/>
      <c r="N21" s="853"/>
      <c r="O21" s="853"/>
      <c r="P21" s="853"/>
      <c r="Q21" s="853"/>
      <c r="R21" s="853"/>
      <c r="S21" s="853"/>
      <c r="T21" s="853"/>
      <c r="U21" s="853"/>
      <c r="V21" s="853"/>
      <c r="W21" s="853"/>
      <c r="X21" s="853"/>
      <c r="Y21" s="853"/>
      <c r="Z21" s="853"/>
      <c r="AA21" s="78"/>
      <c r="AB21" s="853"/>
      <c r="AC21" s="280" t="str" cm="1">
        <f t="array" ref="AC21">tpl_title</f>
        <v>Кемеровская область / 2026 / ООО "Энергосервис г. Гурьевска" (ИНН:4202049045, КПП:420201001) / ДПР: 2024-2028</v>
      </c>
      <c r="AD21" s="60"/>
      <c r="AE21" s="61"/>
      <c r="AF21" s="853"/>
      <c r="AG21" s="333"/>
      <c r="AH21" s="853"/>
      <c r="AI21" s="853"/>
      <c r="AJ21" s="333"/>
      <c r="AK21" s="333"/>
      <c r="AL21" s="333"/>
      <c r="AM21" s="333"/>
      <c r="AN21" s="333"/>
      <c r="AO21" s="333"/>
      <c r="AP21" s="333"/>
      <c r="AQ21" s="333"/>
      <c r="AR21" s="333"/>
      <c r="AS21" s="853"/>
      <c r="AT21" s="333"/>
      <c r="AU21" s="333"/>
      <c r="AV21" s="333"/>
      <c r="AW21" s="333"/>
      <c r="AX21" s="333"/>
      <c r="AY21" s="333"/>
      <c r="AZ21" s="333"/>
      <c r="BA21" s="333"/>
      <c r="BB21" s="333"/>
      <c r="BC21" s="333"/>
      <c r="BD21" s="333"/>
      <c r="BE21" s="333"/>
      <c r="BF21" s="333"/>
      <c r="BG21" s="333"/>
      <c r="BH21" s="333"/>
      <c r="BI21" s="333"/>
      <c r="BJ21" s="333"/>
      <c r="BK21" s="333"/>
      <c r="BL21" s="333"/>
      <c r="BM21" s="333"/>
      <c r="BN21" s="333"/>
      <c r="BO21" s="333"/>
    </row>
    <row r="22" spans="1:67" ht="21.95" customHeight="1">
      <c r="A22" s="853"/>
      <c r="B22" s="853"/>
      <c r="C22" s="853"/>
      <c r="D22" s="853"/>
      <c r="E22" s="459">
        <v>22.5</v>
      </c>
      <c r="F22" s="853"/>
      <c r="G22" s="853"/>
      <c r="H22" s="853"/>
      <c r="I22" s="853"/>
      <c r="J22" s="853"/>
      <c r="K22" s="853"/>
      <c r="L22" s="853"/>
      <c r="M22" s="853"/>
      <c r="N22" s="853"/>
      <c r="O22" s="853"/>
      <c r="P22" s="853"/>
      <c r="Q22" s="853"/>
      <c r="R22" s="853"/>
      <c r="S22" s="853"/>
      <c r="T22" s="853"/>
      <c r="U22" s="853"/>
      <c r="V22" s="853"/>
      <c r="W22" s="853"/>
      <c r="X22" s="853"/>
      <c r="Y22" s="853"/>
      <c r="Z22" s="853"/>
      <c r="AA22" s="853"/>
      <c r="AB22" s="807" t="s">
        <v>473</v>
      </c>
      <c r="AC22" s="808"/>
      <c r="AD22" s="808"/>
      <c r="AE22" s="808"/>
      <c r="AF22" s="808"/>
      <c r="AG22" s="809"/>
      <c r="AH22" s="809"/>
      <c r="AI22" s="809"/>
      <c r="AJ22" s="809"/>
      <c r="AK22" s="809"/>
      <c r="AL22" s="809"/>
      <c r="AM22" s="809"/>
      <c r="AN22" s="809"/>
      <c r="AO22" s="809"/>
      <c r="AP22" s="809"/>
      <c r="AQ22" s="809"/>
      <c r="AR22" s="809"/>
      <c r="AS22" s="809"/>
      <c r="AT22" s="809"/>
      <c r="AU22" s="809"/>
      <c r="AV22" s="809"/>
      <c r="AW22" s="809"/>
      <c r="AX22" s="809"/>
      <c r="AY22" s="809"/>
      <c r="AZ22" s="809"/>
      <c r="BA22" s="809"/>
      <c r="BB22" s="809"/>
      <c r="BC22" s="333"/>
      <c r="BD22" s="333"/>
      <c r="BE22" s="333"/>
      <c r="BF22" s="333"/>
      <c r="BG22" s="333"/>
      <c r="BH22" s="333"/>
      <c r="BI22" s="333"/>
      <c r="BJ22" s="333"/>
      <c r="BK22" s="333"/>
      <c r="BL22" s="333"/>
      <c r="BM22" s="333"/>
      <c r="BN22" s="333"/>
      <c r="BO22" s="333"/>
    </row>
    <row r="23" spans="1:67" ht="14.65" customHeight="1">
      <c r="A23" s="853"/>
      <c r="B23" s="62"/>
      <c r="C23" s="853"/>
      <c r="D23" s="853"/>
      <c r="E23" s="469">
        <v>15</v>
      </c>
      <c r="F23" s="288"/>
      <c r="G23" s="853"/>
      <c r="H23" s="853"/>
      <c r="I23" s="853"/>
      <c r="J23" s="853"/>
      <c r="K23" s="853"/>
      <c r="L23" s="853"/>
      <c r="M23" s="853"/>
      <c r="N23" s="853"/>
      <c r="O23" s="853"/>
      <c r="P23" s="853"/>
      <c r="Q23" s="853"/>
      <c r="R23" s="853"/>
      <c r="S23" s="853"/>
      <c r="T23" s="853"/>
      <c r="U23" s="853"/>
      <c r="V23" s="853"/>
      <c r="W23" s="853"/>
      <c r="X23" s="853"/>
      <c r="Y23" s="853"/>
      <c r="Z23" s="853"/>
      <c r="AA23" s="62"/>
      <c r="AB23" s="63"/>
      <c r="AC23" s="64"/>
      <c r="AD23" s="65"/>
      <c r="AE23" s="66"/>
      <c r="AF23" s="853"/>
      <c r="AG23" s="333"/>
      <c r="AH23" s="853"/>
      <c r="AI23" s="853"/>
      <c r="AJ23" s="333"/>
      <c r="AK23" s="333"/>
      <c r="AL23" s="333"/>
      <c r="AM23" s="333"/>
      <c r="AN23" s="333"/>
      <c r="AO23" s="333"/>
      <c r="AP23" s="333"/>
      <c r="AQ23" s="333"/>
      <c r="AR23" s="333"/>
      <c r="AS23" s="853"/>
      <c r="AT23" s="333"/>
      <c r="AU23" s="333"/>
      <c r="AV23" s="333"/>
      <c r="AW23" s="333"/>
      <c r="AX23" s="333"/>
      <c r="AY23" s="333"/>
      <c r="AZ23" s="333"/>
      <c r="BA23" s="333"/>
      <c r="BB23" s="333"/>
      <c r="BC23" s="333"/>
      <c r="BD23" s="677"/>
      <c r="BE23" s="291"/>
      <c r="BF23" s="291"/>
      <c r="BG23" s="291"/>
      <c r="BH23" s="291"/>
      <c r="BI23" s="291"/>
      <c r="BJ23" s="333"/>
      <c r="BK23" s="333"/>
      <c r="BL23" s="333"/>
      <c r="BM23" s="333"/>
      <c r="BN23" s="333"/>
      <c r="BO23" s="333"/>
    </row>
    <row r="24" spans="1:67" ht="14.65" customHeight="1">
      <c r="A24" s="853"/>
      <c r="B24" s="853"/>
      <c r="C24" s="853"/>
      <c r="D24" s="853"/>
      <c r="E24" s="459">
        <v>15</v>
      </c>
      <c r="F24" s="853"/>
      <c r="G24" s="853"/>
      <c r="H24" s="853"/>
      <c r="I24" s="853"/>
      <c r="J24" s="853"/>
      <c r="K24" s="853"/>
      <c r="L24" s="853"/>
      <c r="M24" s="853"/>
      <c r="N24" s="853"/>
      <c r="O24" s="853"/>
      <c r="P24" s="853"/>
      <c r="Q24" s="853"/>
      <c r="R24" s="853"/>
      <c r="S24" s="853"/>
      <c r="T24" s="853"/>
      <c r="U24" s="853"/>
      <c r="V24" s="853"/>
      <c r="W24" s="853"/>
      <c r="X24" s="853"/>
      <c r="Y24" s="853"/>
      <c r="Z24" s="853"/>
      <c r="AA24" s="853"/>
      <c r="AB24" s="1077" t="s">
        <v>22</v>
      </c>
      <c r="AC24" s="1077" t="s">
        <v>449</v>
      </c>
      <c r="AD24" s="1077" t="s">
        <v>363</v>
      </c>
      <c r="AE24" s="31" t="str">
        <f>god-2&amp;" год"</f>
        <v>2024 год</v>
      </c>
      <c r="AF24" s="810" t="str">
        <f>god-2&amp;" год"</f>
        <v>2024 год</v>
      </c>
      <c r="AG24" s="31" t="str">
        <f>god-2&amp;" год"</f>
        <v>2024 год</v>
      </c>
      <c r="AH24" s="31" t="str">
        <f>god-1&amp;" год"</f>
        <v>2025 год</v>
      </c>
      <c r="AI24" s="810" t="str">
        <f>god&amp;" год"</f>
        <v>2026 год</v>
      </c>
      <c r="AJ24" s="810" t="str">
        <f>god+1&amp;" год"</f>
        <v>2027 год</v>
      </c>
      <c r="AK24" s="810" t="str">
        <f>god+2&amp;" год"</f>
        <v>2028 год</v>
      </c>
      <c r="AL24" s="810" t="str">
        <f>god+3&amp;" год"</f>
        <v>2029 год</v>
      </c>
      <c r="AM24" s="810" t="str">
        <f>god+4&amp;" год"</f>
        <v>2030 год</v>
      </c>
      <c r="AN24" s="810" t="str">
        <f>god+5&amp;" год"</f>
        <v>2031 год</v>
      </c>
      <c r="AO24" s="810" t="str">
        <f>god+6&amp;" год"</f>
        <v>2032 год</v>
      </c>
      <c r="AP24" s="810" t="str">
        <f>god+7&amp;" год"</f>
        <v>2033 год</v>
      </c>
      <c r="AQ24" s="810" t="str">
        <f>god+8&amp;" год"</f>
        <v>2034 год</v>
      </c>
      <c r="AR24" s="810" t="str">
        <f>god+9&amp;" год"</f>
        <v>2035 год</v>
      </c>
      <c r="AS24" s="31" t="str">
        <f>god&amp;" год"</f>
        <v>2026 год</v>
      </c>
      <c r="AT24" s="31" t="str">
        <f>god+1&amp;" год"</f>
        <v>2027 год</v>
      </c>
      <c r="AU24" s="31" t="str">
        <f>god+2&amp;" год"</f>
        <v>2028 год</v>
      </c>
      <c r="AV24" s="31" t="str">
        <f>god+3&amp;" год"</f>
        <v>2029 год</v>
      </c>
      <c r="AW24" s="31" t="str">
        <f>god+4&amp;" год"</f>
        <v>2030 год</v>
      </c>
      <c r="AX24" s="31" t="str">
        <f>god+5&amp;" год"</f>
        <v>2031 год</v>
      </c>
      <c r="AY24" s="31" t="str">
        <f>god+6&amp;" год"</f>
        <v>2032 год</v>
      </c>
      <c r="AZ24" s="31" t="str">
        <f>god+7&amp;" год"</f>
        <v>2033 год</v>
      </c>
      <c r="BA24" s="31" t="str">
        <f>god+8&amp;" год"</f>
        <v>2034 год</v>
      </c>
      <c r="BB24" s="31" t="str">
        <f>god+9&amp;" год"</f>
        <v>2035 год</v>
      </c>
      <c r="BC24" s="333"/>
      <c r="BD24" s="333"/>
      <c r="BE24" s="333"/>
      <c r="BF24" s="333"/>
      <c r="BG24" s="333"/>
      <c r="BH24" s="333"/>
      <c r="BI24" s="333"/>
      <c r="BJ24" s="333"/>
      <c r="BK24" s="333"/>
      <c r="BL24" s="333"/>
      <c r="BM24" s="333"/>
      <c r="BN24" s="333"/>
      <c r="BO24" s="333"/>
    </row>
    <row r="25" spans="1:67" ht="67.349999999999994" customHeight="1">
      <c r="A25" s="853"/>
      <c r="B25" s="853"/>
      <c r="C25" s="853"/>
      <c r="D25" s="853"/>
      <c r="E25" s="459">
        <v>69</v>
      </c>
      <c r="F25" s="853"/>
      <c r="G25" s="853"/>
      <c r="H25" s="853"/>
      <c r="I25" s="853"/>
      <c r="J25" s="853"/>
      <c r="K25" s="853"/>
      <c r="L25" s="853"/>
      <c r="M25" s="853"/>
      <c r="N25" s="853"/>
      <c r="O25" s="853"/>
      <c r="P25" s="853"/>
      <c r="Q25" s="853"/>
      <c r="R25" s="853"/>
      <c r="S25" s="853"/>
      <c r="T25" s="853"/>
      <c r="U25" s="853"/>
      <c r="V25" s="853"/>
      <c r="W25" s="853"/>
      <c r="X25" s="853"/>
      <c r="Y25" s="853"/>
      <c r="Z25" s="853"/>
      <c r="AA25" s="853"/>
      <c r="AB25" s="1077"/>
      <c r="AC25" s="1077"/>
      <c r="AD25" s="1077"/>
      <c r="AE25" s="30" t="s">
        <v>355</v>
      </c>
      <c r="AF25" s="811" t="s">
        <v>450</v>
      </c>
      <c r="AG25" s="31" t="s">
        <v>451</v>
      </c>
      <c r="AH25" s="31" t="s">
        <v>355</v>
      </c>
      <c r="AI25" s="811" t="s">
        <v>356</v>
      </c>
      <c r="AJ25" s="811" t="s">
        <v>356</v>
      </c>
      <c r="AK25" s="811" t="s">
        <v>356</v>
      </c>
      <c r="AL25" s="811" t="s">
        <v>356</v>
      </c>
      <c r="AM25" s="811" t="s">
        <v>356</v>
      </c>
      <c r="AN25" s="811" t="s">
        <v>356</v>
      </c>
      <c r="AO25" s="811" t="s">
        <v>356</v>
      </c>
      <c r="AP25" s="811" t="s">
        <v>356</v>
      </c>
      <c r="AQ25" s="811" t="s">
        <v>356</v>
      </c>
      <c r="AR25" s="811" t="s">
        <v>356</v>
      </c>
      <c r="AS25" s="31" t="s">
        <v>355</v>
      </c>
      <c r="AT25" s="31" t="s">
        <v>355</v>
      </c>
      <c r="AU25" s="31" t="s">
        <v>355</v>
      </c>
      <c r="AV25" s="31" t="s">
        <v>355</v>
      </c>
      <c r="AW25" s="31" t="s">
        <v>355</v>
      </c>
      <c r="AX25" s="31" t="s">
        <v>355</v>
      </c>
      <c r="AY25" s="31" t="s">
        <v>355</v>
      </c>
      <c r="AZ25" s="31" t="s">
        <v>355</v>
      </c>
      <c r="BA25" s="31" t="s">
        <v>355</v>
      </c>
      <c r="BB25" s="31" t="s">
        <v>355</v>
      </c>
      <c r="BC25" s="333"/>
      <c r="BD25" s="333"/>
      <c r="BE25" s="333"/>
      <c r="BF25" s="333"/>
      <c r="BG25" s="333"/>
      <c r="BH25" s="333"/>
      <c r="BI25" s="333"/>
      <c r="BJ25" s="333"/>
      <c r="BK25" s="333"/>
      <c r="BL25" s="333"/>
      <c r="BM25" s="333"/>
      <c r="BN25" s="333"/>
      <c r="BO25" s="333"/>
    </row>
    <row r="26" spans="1:67" s="31" customFormat="1" ht="11.25" hidden="1" customHeight="1">
      <c r="A26" s="327"/>
      <c r="B26" s="490"/>
      <c r="C26" s="327"/>
      <c r="D26" s="327"/>
      <c r="E26" s="491">
        <v>0</v>
      </c>
      <c r="F26" s="852"/>
      <c r="G26" s="327"/>
      <c r="H26" s="327"/>
      <c r="I26" s="327"/>
      <c r="J26" s="327"/>
      <c r="K26" s="327"/>
      <c r="L26" s="327"/>
      <c r="M26" s="327"/>
      <c r="N26" s="327"/>
      <c r="O26" s="327"/>
      <c r="P26" s="327"/>
      <c r="Q26" s="327"/>
      <c r="R26" s="327"/>
      <c r="S26" s="327"/>
      <c r="T26" s="327"/>
      <c r="U26" s="327"/>
      <c r="V26" s="327"/>
      <c r="W26" s="327"/>
      <c r="X26" s="327"/>
      <c r="Y26" s="327"/>
      <c r="Z26" s="327"/>
      <c r="AA26" s="853"/>
      <c r="AB26" s="812"/>
      <c r="AC26" s="79"/>
      <c r="AD26" s="61"/>
      <c r="AE26" s="637"/>
      <c r="AF26" s="637"/>
      <c r="AG26" s="637"/>
      <c r="AH26" s="637"/>
      <c r="AI26" s="637"/>
      <c r="AJ26" s="637"/>
      <c r="AK26" s="637"/>
      <c r="AL26" s="637"/>
      <c r="AM26" s="637"/>
      <c r="AN26" s="637"/>
      <c r="AO26" s="637"/>
      <c r="AP26" s="637"/>
      <c r="AQ26" s="637"/>
      <c r="AR26" s="637"/>
      <c r="AS26" s="637"/>
      <c r="AT26" s="637"/>
      <c r="AU26" s="637"/>
      <c r="AV26" s="637"/>
      <c r="AW26" s="637"/>
      <c r="AX26" s="637"/>
      <c r="AY26" s="637"/>
      <c r="AZ26" s="637"/>
      <c r="BA26" s="637"/>
      <c r="BB26" s="637"/>
      <c r="BC26" s="333"/>
      <c r="BD26" s="670"/>
      <c r="BE26" s="291"/>
      <c r="BF26" s="291"/>
      <c r="BG26" s="291"/>
      <c r="BH26" s="291"/>
      <c r="BI26" s="291"/>
      <c r="BJ26" s="333"/>
      <c r="BK26" s="333"/>
      <c r="BL26" s="333"/>
      <c r="BM26" s="333"/>
      <c r="BN26" s="333"/>
      <c r="BO26" s="333"/>
    </row>
    <row r="27" spans="1:67" s="35" customFormat="1" ht="14.65" hidden="1" customHeight="1">
      <c r="A27" s="333"/>
      <c r="B27" s="338"/>
      <c r="C27" s="333"/>
      <c r="D27" s="333"/>
      <c r="E27" s="470">
        <v>15</v>
      </c>
      <c r="F27" s="288" cm="1">
        <f t="array" ref="F27">Y27</f>
        <v>0</v>
      </c>
      <c r="G27" s="333"/>
      <c r="H27" s="333"/>
      <c r="I27" s="333"/>
      <c r="J27" s="333"/>
      <c r="K27" s="333"/>
      <c r="L27" s="333"/>
      <c r="M27" s="333"/>
      <c r="N27" s="333"/>
      <c r="O27" s="333"/>
      <c r="P27" s="333"/>
      <c r="Q27" s="333"/>
      <c r="R27" s="333"/>
      <c r="S27" s="333"/>
      <c r="T27" s="333"/>
      <c r="U27" s="333"/>
      <c r="V27" s="365" t="b">
        <f>Y27&gt;0</f>
        <v>0</v>
      </c>
      <c r="W27" s="333"/>
      <c r="X27" s="79" t="s">
        <v>264</v>
      </c>
      <c r="Y27" s="1050">
        <v>0</v>
      </c>
      <c r="Z27" s="1076"/>
      <c r="AA27" s="333"/>
      <c r="AB27" s="813" t="str" cm="1">
        <f t="array" ref="AB27">INDEX('Общие сведения'!$AG$179:$AG$222,MATCH($Y27,'Общие сведения'!$Z$179:$Z$222,0))</f>
        <v xml:space="preserve">Тариф 0 () - </v>
      </c>
      <c r="AC27" s="814"/>
      <c r="AD27" s="815"/>
      <c r="AE27" s="815"/>
      <c r="AF27" s="815"/>
      <c r="AG27" s="815"/>
      <c r="AH27" s="815"/>
      <c r="AI27" s="815"/>
      <c r="AJ27" s="815"/>
      <c r="AK27" s="815"/>
      <c r="AL27" s="815"/>
      <c r="AM27" s="815"/>
      <c r="AN27" s="815"/>
      <c r="AO27" s="815"/>
      <c r="AP27" s="815"/>
      <c r="AQ27" s="815"/>
      <c r="AR27" s="815"/>
      <c r="AS27" s="815"/>
      <c r="AT27" s="815"/>
      <c r="AU27" s="815"/>
      <c r="AV27" s="815"/>
      <c r="AW27" s="815"/>
      <c r="AX27" s="815"/>
      <c r="AY27" s="815"/>
      <c r="AZ27" s="815"/>
      <c r="BA27" s="815"/>
      <c r="BB27" s="815"/>
      <c r="BC27" s="333"/>
      <c r="BD27" s="678"/>
      <c r="BE27" s="291"/>
      <c r="BF27" s="291"/>
      <c r="BG27" s="291"/>
      <c r="BH27" s="291"/>
      <c r="BI27" s="291"/>
      <c r="BJ27" s="333"/>
      <c r="BK27" s="333"/>
      <c r="BL27" s="333"/>
      <c r="BM27" s="333"/>
      <c r="BN27" s="333"/>
      <c r="BO27" s="333"/>
    </row>
    <row r="28" spans="1:67" ht="21.95" hidden="1" customHeight="1">
      <c r="A28" s="333"/>
      <c r="B28" s="291"/>
      <c r="C28" s="333"/>
      <c r="D28" s="333"/>
      <c r="E28" s="459">
        <v>22.5</v>
      </c>
      <c r="F28" s="280" cm="1">
        <f t="array" aca="1" ref="F28" ca="1">OFFSET(E28,-1,1)</f>
        <v>0</v>
      </c>
      <c r="G28" s="333"/>
      <c r="H28" s="333"/>
      <c r="I28" s="333"/>
      <c r="J28" s="333"/>
      <c r="K28" s="333"/>
      <c r="L28" s="333"/>
      <c r="M28" s="333"/>
      <c r="N28" s="333"/>
      <c r="O28" s="333"/>
      <c r="P28" s="333"/>
      <c r="Q28" s="333"/>
      <c r="R28" s="333"/>
      <c r="S28" s="333"/>
      <c r="T28" s="333"/>
      <c r="U28" s="333"/>
      <c r="V28" s="365" t="b" cm="1">
        <f t="array" ref="V28">V27</f>
        <v>0</v>
      </c>
      <c r="W28" s="333"/>
      <c r="X28" s="333"/>
      <c r="Y28" s="1050"/>
      <c r="Z28" s="1076"/>
      <c r="AA28" s="333"/>
      <c r="AB28" s="68">
        <v>1</v>
      </c>
      <c r="AC28" s="70" t="s">
        <v>473</v>
      </c>
      <c r="AD28" s="71"/>
      <c r="AE28" s="838"/>
      <c r="AF28" s="838"/>
      <c r="AG28" s="838"/>
      <c r="AH28" s="838"/>
      <c r="AI28" s="838"/>
      <c r="AJ28" s="838"/>
      <c r="AK28" s="838"/>
      <c r="AL28" s="838"/>
      <c r="AM28" s="838"/>
      <c r="AN28" s="838"/>
      <c r="AO28" s="838"/>
      <c r="AP28" s="838"/>
      <c r="AQ28" s="838"/>
      <c r="AR28" s="838"/>
      <c r="AS28" s="838"/>
      <c r="AT28" s="838"/>
      <c r="AU28" s="838"/>
      <c r="AV28" s="838"/>
      <c r="AW28" s="838"/>
      <c r="AX28" s="838"/>
      <c r="AY28" s="838"/>
      <c r="AZ28" s="838"/>
      <c r="BA28" s="838"/>
      <c r="BB28" s="838"/>
      <c r="BC28" s="333"/>
      <c r="BD28" s="665" t="s">
        <v>522</v>
      </c>
      <c r="BE28" s="333"/>
      <c r="BF28" s="333"/>
      <c r="BG28" s="333"/>
      <c r="BH28" s="333"/>
      <c r="BI28" s="333"/>
      <c r="BJ28" s="333"/>
      <c r="BK28" s="333"/>
      <c r="BL28" s="333"/>
      <c r="BM28" s="333"/>
      <c r="BN28" s="333"/>
      <c r="BO28" s="333"/>
    </row>
    <row r="29" spans="1:67" ht="23.45" hidden="1" customHeight="1">
      <c r="A29" s="333"/>
      <c r="B29" s="333"/>
      <c r="C29" s="333"/>
      <c r="D29" s="333"/>
      <c r="E29" s="459">
        <v>24</v>
      </c>
      <c r="F29" s="280" cm="1">
        <f t="array" aca="1" ref="F29" ca="1">OFFSET(E29,-1,1)</f>
        <v>0</v>
      </c>
      <c r="G29" s="333"/>
      <c r="H29" s="333"/>
      <c r="I29" s="333"/>
      <c r="J29" s="333"/>
      <c r="K29" s="333"/>
      <c r="L29" s="333"/>
      <c r="M29" s="333"/>
      <c r="N29" s="333"/>
      <c r="O29" s="333"/>
      <c r="P29" s="333"/>
      <c r="Q29" s="333"/>
      <c r="R29" s="333"/>
      <c r="S29" s="333"/>
      <c r="T29" s="333"/>
      <c r="U29" s="333"/>
      <c r="V29" s="365" t="b" cm="1">
        <f t="array" ref="V29">V28</f>
        <v>0</v>
      </c>
      <c r="W29" s="333"/>
      <c r="X29" s="333"/>
      <c r="Y29" s="1050"/>
      <c r="Z29" s="1076"/>
      <c r="AA29" s="333"/>
      <c r="AB29" s="68">
        <v>2</v>
      </c>
      <c r="AC29" s="70" t="s">
        <v>523</v>
      </c>
      <c r="AD29" s="71" t="s">
        <v>456</v>
      </c>
      <c r="AE29" s="838"/>
      <c r="AF29" s="838"/>
      <c r="AG29" s="838"/>
      <c r="AH29" s="838"/>
      <c r="AI29" s="838"/>
      <c r="AJ29" s="838"/>
      <c r="AK29" s="838"/>
      <c r="AL29" s="838"/>
      <c r="AM29" s="838"/>
      <c r="AN29" s="838"/>
      <c r="AO29" s="838"/>
      <c r="AP29" s="838"/>
      <c r="AQ29" s="838"/>
      <c r="AR29" s="838"/>
      <c r="AS29" s="838"/>
      <c r="AT29" s="838"/>
      <c r="AU29" s="838"/>
      <c r="AV29" s="838"/>
      <c r="AW29" s="838"/>
      <c r="AX29" s="838"/>
      <c r="AY29" s="838"/>
      <c r="AZ29" s="838"/>
      <c r="BA29" s="838"/>
      <c r="BB29" s="838"/>
      <c r="BC29" s="333"/>
      <c r="BD29" s="665" t="s">
        <v>524</v>
      </c>
      <c r="BE29" s="333"/>
      <c r="BF29" s="333"/>
      <c r="BG29" s="333"/>
      <c r="BH29" s="333"/>
      <c r="BI29" s="333"/>
      <c r="BJ29" s="333"/>
      <c r="BK29" s="333"/>
      <c r="BL29" s="333"/>
      <c r="BM29" s="333"/>
      <c r="BN29" s="333"/>
      <c r="BO29" s="333"/>
    </row>
    <row r="30" spans="1:67" ht="69.400000000000006" hidden="1" customHeight="1">
      <c r="A30" s="333"/>
      <c r="B30" s="333"/>
      <c r="C30" s="333"/>
      <c r="D30" s="333"/>
      <c r="E30" s="459">
        <v>71.25</v>
      </c>
      <c r="F30" s="280" cm="1">
        <f t="array" aca="1" ref="F30" ca="1">OFFSET(E30,-1,1)</f>
        <v>0</v>
      </c>
      <c r="G30" s="333"/>
      <c r="H30" s="333"/>
      <c r="I30" s="333"/>
      <c r="J30" s="333"/>
      <c r="K30" s="333"/>
      <c r="L30" s="333"/>
      <c r="M30" s="333"/>
      <c r="N30" s="333"/>
      <c r="O30" s="333"/>
      <c r="P30" s="333"/>
      <c r="Q30" s="333"/>
      <c r="R30" s="333"/>
      <c r="S30" s="333"/>
      <c r="T30" s="333"/>
      <c r="U30" s="333"/>
      <c r="V30" s="365" t="b" cm="1">
        <f t="array" ref="V30">V29</f>
        <v>0</v>
      </c>
      <c r="W30" s="333"/>
      <c r="X30" s="333"/>
      <c r="Y30" s="1050"/>
      <c r="Z30" s="1076"/>
      <c r="AA30" s="333"/>
      <c r="AB30" s="68">
        <v>3</v>
      </c>
      <c r="AC30" s="72" t="s">
        <v>525</v>
      </c>
      <c r="AD30" s="71" t="s">
        <v>456</v>
      </c>
      <c r="AE30" s="838"/>
      <c r="AF30" s="838"/>
      <c r="AG30" s="838"/>
      <c r="AH30" s="838"/>
      <c r="AI30" s="838"/>
      <c r="AJ30" s="838"/>
      <c r="AK30" s="838"/>
      <c r="AL30" s="838"/>
      <c r="AM30" s="838"/>
      <c r="AN30" s="838"/>
      <c r="AO30" s="838"/>
      <c r="AP30" s="838"/>
      <c r="AQ30" s="838"/>
      <c r="AR30" s="838"/>
      <c r="AS30" s="838"/>
      <c r="AT30" s="838"/>
      <c r="AU30" s="838"/>
      <c r="AV30" s="838"/>
      <c r="AW30" s="838"/>
      <c r="AX30" s="838"/>
      <c r="AY30" s="838"/>
      <c r="AZ30" s="838"/>
      <c r="BA30" s="838"/>
      <c r="BB30" s="838"/>
      <c r="BC30" s="333"/>
      <c r="BD30" s="665" t="s">
        <v>526</v>
      </c>
      <c r="BE30" s="333"/>
      <c r="BF30" s="333"/>
      <c r="BG30" s="333"/>
      <c r="BH30" s="333"/>
      <c r="BI30" s="333"/>
      <c r="BJ30" s="333"/>
      <c r="BK30" s="333"/>
      <c r="BL30" s="333"/>
      <c r="BM30" s="333"/>
      <c r="BN30" s="333"/>
      <c r="BO30" s="333"/>
    </row>
    <row r="31" spans="1:67" ht="24.2" hidden="1" customHeight="1">
      <c r="A31" s="333"/>
      <c r="B31" s="291"/>
      <c r="C31" s="333"/>
      <c r="D31" s="333"/>
      <c r="E31" s="459">
        <v>24.75</v>
      </c>
      <c r="F31" s="280" cm="1">
        <f t="array" aca="1" ref="F31" ca="1">OFFSET(E31,-1,1)</f>
        <v>0</v>
      </c>
      <c r="G31" s="333"/>
      <c r="H31" s="333"/>
      <c r="I31" s="333"/>
      <c r="J31" s="333"/>
      <c r="K31" s="333"/>
      <c r="L31" s="333"/>
      <c r="M31" s="333"/>
      <c r="N31" s="333"/>
      <c r="O31" s="333"/>
      <c r="P31" s="333"/>
      <c r="Q31" s="333"/>
      <c r="R31" s="333"/>
      <c r="S31" s="333"/>
      <c r="T31" s="333"/>
      <c r="U31" s="333"/>
      <c r="V31" s="365" t="b" cm="1">
        <f t="array" ref="V31">V30</f>
        <v>0</v>
      </c>
      <c r="W31" s="333"/>
      <c r="X31" s="333"/>
      <c r="Y31" s="1050"/>
      <c r="Z31" s="1076"/>
      <c r="AA31" s="333"/>
      <c r="AB31" s="68">
        <v>4</v>
      </c>
      <c r="AC31" s="70" t="s">
        <v>462</v>
      </c>
      <c r="AD31" s="71"/>
      <c r="AE31" s="838"/>
      <c r="AF31" s="838"/>
      <c r="AG31" s="838"/>
      <c r="AH31" s="838"/>
      <c r="AI31" s="838"/>
      <c r="AJ31" s="838"/>
      <c r="AK31" s="838"/>
      <c r="AL31" s="838"/>
      <c r="AM31" s="838"/>
      <c r="AN31" s="838"/>
      <c r="AO31" s="838"/>
      <c r="AP31" s="838"/>
      <c r="AQ31" s="838"/>
      <c r="AR31" s="838"/>
      <c r="AS31" s="838"/>
      <c r="AT31" s="838"/>
      <c r="AU31" s="838"/>
      <c r="AV31" s="838"/>
      <c r="AW31" s="838"/>
      <c r="AX31" s="838"/>
      <c r="AY31" s="838"/>
      <c r="AZ31" s="838"/>
      <c r="BA31" s="838"/>
      <c r="BB31" s="838"/>
      <c r="BC31" s="333"/>
      <c r="BD31" s="665" t="s">
        <v>527</v>
      </c>
      <c r="BE31" s="333"/>
      <c r="BF31" s="333"/>
      <c r="BG31" s="333"/>
      <c r="BH31" s="333"/>
      <c r="BI31" s="333"/>
      <c r="BJ31" s="333"/>
      <c r="BK31" s="333"/>
      <c r="BL31" s="333"/>
      <c r="BM31" s="333"/>
      <c r="BN31" s="333"/>
      <c r="BO31" s="333"/>
    </row>
    <row r="32" spans="1:67" s="854" customFormat="1" ht="14.25" customHeight="1">
      <c r="A32" s="333"/>
      <c r="B32" s="338"/>
      <c r="C32" s="333"/>
      <c r="D32" s="333"/>
      <c r="E32" s="470">
        <v>15</v>
      </c>
      <c r="F32" s="288" t="str" cm="1">
        <f t="array" ref="F32">Y32</f>
        <v>1</v>
      </c>
      <c r="G32" s="333"/>
      <c r="H32" s="333"/>
      <c r="I32" s="333"/>
      <c r="J32" s="333"/>
      <c r="K32" s="333"/>
      <c r="L32" s="333"/>
      <c r="M32" s="333"/>
      <c r="N32" s="333"/>
      <c r="O32" s="333"/>
      <c r="P32" s="333"/>
      <c r="Q32" s="333"/>
      <c r="R32" s="333"/>
      <c r="S32" s="333"/>
      <c r="T32" s="333"/>
      <c r="U32" s="333"/>
      <c r="V32" s="365" t="b">
        <f>Y32&gt;0</f>
        <v>1</v>
      </c>
      <c r="W32" s="333"/>
      <c r="X32" s="79" t="str" cm="1">
        <f t="array" ref="X32">Сценарии!$AB$55</f>
        <v>Тариф 1 (Водоснабжение) - тариф на питьевую воду (Доп. признак не требуется)</v>
      </c>
      <c r="Y32" s="1050" t="s">
        <v>275</v>
      </c>
      <c r="Z32" s="1076"/>
      <c r="AA32" s="333"/>
      <c r="AB32" s="813" t="str" cm="1">
        <f t="array" ref="AB32">Сценарии!$AB$55</f>
        <v>Тариф 1 (Водоснабжение) - тариф на питьевую воду (Доп. признак не требуется)</v>
      </c>
      <c r="AC32" s="814"/>
      <c r="AD32" s="815"/>
      <c r="AE32" s="815"/>
      <c r="AF32" s="815"/>
      <c r="AG32" s="815"/>
      <c r="AH32" s="815"/>
      <c r="AI32" s="815"/>
      <c r="AJ32" s="815"/>
      <c r="AK32" s="815"/>
      <c r="AL32" s="815"/>
      <c r="AM32" s="815"/>
      <c r="AN32" s="815"/>
      <c r="AO32" s="815"/>
      <c r="AP32" s="815"/>
      <c r="AQ32" s="815"/>
      <c r="AR32" s="815"/>
      <c r="AS32" s="815"/>
      <c r="AT32" s="815"/>
      <c r="AU32" s="815"/>
      <c r="AV32" s="815"/>
      <c r="AW32" s="815"/>
      <c r="AX32" s="815"/>
      <c r="AY32" s="815"/>
      <c r="AZ32" s="815"/>
      <c r="BA32" s="815"/>
      <c r="BB32" s="815"/>
      <c r="BC32" s="333"/>
      <c r="BD32" s="678"/>
      <c r="BE32" s="291"/>
      <c r="BF32" s="291"/>
      <c r="BG32" s="291"/>
      <c r="BH32" s="291"/>
      <c r="BI32" s="291"/>
      <c r="BJ32" s="333"/>
      <c r="BK32" s="333"/>
      <c r="BL32" s="333"/>
      <c r="BM32" s="333"/>
      <c r="BN32" s="333"/>
      <c r="BO32" s="333"/>
    </row>
    <row r="33" spans="1:67" ht="21.75" customHeight="1">
      <c r="A33" s="333"/>
      <c r="B33" s="291"/>
      <c r="C33" s="333"/>
      <c r="D33" s="333"/>
      <c r="E33" s="459">
        <v>22.5</v>
      </c>
      <c r="F33" s="280" t="str" cm="1">
        <f t="array" aca="1" ref="F33" ca="1">OFFSET(E33,-1,1)</f>
        <v>1</v>
      </c>
      <c r="G33" s="333"/>
      <c r="H33" s="333"/>
      <c r="I33" s="333"/>
      <c r="J33" s="333"/>
      <c r="K33" s="333"/>
      <c r="L33" s="333"/>
      <c r="M33" s="333"/>
      <c r="N33" s="333"/>
      <c r="O33" s="333"/>
      <c r="P33" s="333"/>
      <c r="Q33" s="333"/>
      <c r="R33" s="333"/>
      <c r="S33" s="333"/>
      <c r="T33" s="333"/>
      <c r="U33" s="333"/>
      <c r="V33" s="365" t="b" cm="1">
        <f t="array" ref="V33">V32</f>
        <v>1</v>
      </c>
      <c r="W33" s="333"/>
      <c r="X33" s="333"/>
      <c r="Y33" s="1050"/>
      <c r="Z33" s="1076"/>
      <c r="AA33" s="333"/>
      <c r="AB33" s="68">
        <v>1</v>
      </c>
      <c r="AC33" s="70" t="s">
        <v>473</v>
      </c>
      <c r="AD33" s="71"/>
      <c r="AE33" s="207"/>
      <c r="AF33" s="207"/>
      <c r="AG33" s="207"/>
      <c r="AH33" s="207"/>
      <c r="AI33" s="207"/>
      <c r="AJ33" s="838"/>
      <c r="AK33" s="838"/>
      <c r="AL33" s="838"/>
      <c r="AM33" s="838"/>
      <c r="AN33" s="838"/>
      <c r="AO33" s="838"/>
      <c r="AP33" s="838"/>
      <c r="AQ33" s="838"/>
      <c r="AR33" s="838"/>
      <c r="AS33" s="207"/>
      <c r="AT33" s="838"/>
      <c r="AU33" s="838"/>
      <c r="AV33" s="838"/>
      <c r="AW33" s="838"/>
      <c r="AX33" s="838"/>
      <c r="AY33" s="838"/>
      <c r="AZ33" s="838"/>
      <c r="BA33" s="838"/>
      <c r="BB33" s="838"/>
      <c r="BC33" s="333"/>
      <c r="BD33" s="665" t="s">
        <v>522</v>
      </c>
      <c r="BE33" s="333"/>
      <c r="BF33" s="333"/>
      <c r="BG33" s="333"/>
      <c r="BH33" s="333"/>
      <c r="BI33" s="333"/>
      <c r="BJ33" s="333"/>
      <c r="BK33" s="333"/>
      <c r="BL33" s="333"/>
      <c r="BM33" s="333"/>
      <c r="BN33" s="333"/>
      <c r="BO33" s="333"/>
    </row>
    <row r="34" spans="1:67" ht="23.25" customHeight="1">
      <c r="A34" s="333"/>
      <c r="B34" s="333"/>
      <c r="C34" s="333"/>
      <c r="D34" s="333"/>
      <c r="E34" s="459">
        <v>24</v>
      </c>
      <c r="F34" s="280" t="str" cm="1">
        <f t="array" aca="1" ref="F34" ca="1">OFFSET(E34,-1,1)</f>
        <v>1</v>
      </c>
      <c r="G34" s="333"/>
      <c r="H34" s="333"/>
      <c r="I34" s="333"/>
      <c r="J34" s="333"/>
      <c r="K34" s="333"/>
      <c r="L34" s="333"/>
      <c r="M34" s="333"/>
      <c r="N34" s="333"/>
      <c r="O34" s="333"/>
      <c r="P34" s="333"/>
      <c r="Q34" s="333"/>
      <c r="R34" s="333"/>
      <c r="S34" s="333"/>
      <c r="T34" s="333"/>
      <c r="U34" s="333"/>
      <c r="V34" s="365" t="b" cm="1">
        <f t="array" ref="V34">V33</f>
        <v>1</v>
      </c>
      <c r="W34" s="333"/>
      <c r="X34" s="333"/>
      <c r="Y34" s="1050"/>
      <c r="Z34" s="1076"/>
      <c r="AA34" s="333"/>
      <c r="AB34" s="68">
        <v>2</v>
      </c>
      <c r="AC34" s="70" t="s">
        <v>523</v>
      </c>
      <c r="AD34" s="71" t="s">
        <v>456</v>
      </c>
      <c r="AE34" s="207"/>
      <c r="AF34" s="207"/>
      <c r="AG34" s="207"/>
      <c r="AH34" s="207"/>
      <c r="AI34" s="207"/>
      <c r="AJ34" s="838"/>
      <c r="AK34" s="838"/>
      <c r="AL34" s="838"/>
      <c r="AM34" s="838"/>
      <c r="AN34" s="838"/>
      <c r="AO34" s="838"/>
      <c r="AP34" s="838"/>
      <c r="AQ34" s="838"/>
      <c r="AR34" s="838"/>
      <c r="AS34" s="207"/>
      <c r="AT34" s="838"/>
      <c r="AU34" s="838"/>
      <c r="AV34" s="838"/>
      <c r="AW34" s="838"/>
      <c r="AX34" s="838"/>
      <c r="AY34" s="838"/>
      <c r="AZ34" s="838"/>
      <c r="BA34" s="838"/>
      <c r="BB34" s="838"/>
      <c r="BC34" s="333"/>
      <c r="BD34" s="665" t="s">
        <v>524</v>
      </c>
      <c r="BE34" s="333"/>
      <c r="BF34" s="333"/>
      <c r="BG34" s="333"/>
      <c r="BH34" s="333"/>
      <c r="BI34" s="333"/>
      <c r="BJ34" s="333"/>
      <c r="BK34" s="333"/>
      <c r="BL34" s="333"/>
      <c r="BM34" s="333"/>
      <c r="BN34" s="333"/>
      <c r="BO34" s="333"/>
    </row>
    <row r="35" spans="1:67" ht="69" customHeight="1">
      <c r="A35" s="333"/>
      <c r="B35" s="333"/>
      <c r="C35" s="333"/>
      <c r="D35" s="333"/>
      <c r="E35" s="459">
        <v>71.25</v>
      </c>
      <c r="F35" s="280" t="str" cm="1">
        <f t="array" aca="1" ref="F35" ca="1">OFFSET(E35,-1,1)</f>
        <v>1</v>
      </c>
      <c r="G35" s="333"/>
      <c r="H35" s="333"/>
      <c r="I35" s="333"/>
      <c r="J35" s="333"/>
      <c r="K35" s="333"/>
      <c r="L35" s="333"/>
      <c r="M35" s="333"/>
      <c r="N35" s="333"/>
      <c r="O35" s="333"/>
      <c r="P35" s="333"/>
      <c r="Q35" s="333"/>
      <c r="R35" s="333"/>
      <c r="S35" s="333"/>
      <c r="T35" s="333"/>
      <c r="U35" s="333"/>
      <c r="V35" s="365" t="b" cm="1">
        <f t="array" ref="V35">V34</f>
        <v>1</v>
      </c>
      <c r="W35" s="333"/>
      <c r="X35" s="333"/>
      <c r="Y35" s="1050"/>
      <c r="Z35" s="1076"/>
      <c r="AA35" s="333"/>
      <c r="AB35" s="68">
        <v>3</v>
      </c>
      <c r="AC35" s="72" t="s">
        <v>525</v>
      </c>
      <c r="AD35" s="71" t="s">
        <v>456</v>
      </c>
      <c r="AE35" s="207"/>
      <c r="AF35" s="207"/>
      <c r="AG35" s="207"/>
      <c r="AH35" s="207"/>
      <c r="AI35" s="207"/>
      <c r="AJ35" s="838"/>
      <c r="AK35" s="838"/>
      <c r="AL35" s="838"/>
      <c r="AM35" s="838"/>
      <c r="AN35" s="838"/>
      <c r="AO35" s="838"/>
      <c r="AP35" s="838"/>
      <c r="AQ35" s="838"/>
      <c r="AR35" s="838"/>
      <c r="AS35" s="207"/>
      <c r="AT35" s="838"/>
      <c r="AU35" s="838"/>
      <c r="AV35" s="838"/>
      <c r="AW35" s="838"/>
      <c r="AX35" s="838"/>
      <c r="AY35" s="838"/>
      <c r="AZ35" s="838"/>
      <c r="BA35" s="838"/>
      <c r="BB35" s="838"/>
      <c r="BC35" s="333"/>
      <c r="BD35" s="665" t="s">
        <v>526</v>
      </c>
      <c r="BE35" s="333"/>
      <c r="BF35" s="333"/>
      <c r="BG35" s="333"/>
      <c r="BH35" s="333"/>
      <c r="BI35" s="333"/>
      <c r="BJ35" s="333"/>
      <c r="BK35" s="333"/>
      <c r="BL35" s="333"/>
      <c r="BM35" s="333"/>
      <c r="BN35" s="333"/>
      <c r="BO35" s="333"/>
    </row>
    <row r="36" spans="1:67" ht="24" customHeight="1">
      <c r="A36" s="333"/>
      <c r="B36" s="291"/>
      <c r="C36" s="333"/>
      <c r="D36" s="333"/>
      <c r="E36" s="459">
        <v>24.75</v>
      </c>
      <c r="F36" s="280" t="str" cm="1">
        <f t="array" aca="1" ref="F36" ca="1">OFFSET(E36,-1,1)</f>
        <v>1</v>
      </c>
      <c r="G36" s="333"/>
      <c r="H36" s="333"/>
      <c r="I36" s="333"/>
      <c r="J36" s="333"/>
      <c r="K36" s="333"/>
      <c r="L36" s="333"/>
      <c r="M36" s="333"/>
      <c r="N36" s="333"/>
      <c r="O36" s="333"/>
      <c r="P36" s="333"/>
      <c r="Q36" s="333"/>
      <c r="R36" s="333"/>
      <c r="S36" s="333"/>
      <c r="T36" s="333"/>
      <c r="U36" s="333"/>
      <c r="V36" s="365" t="b" cm="1">
        <f t="array" ref="V36">V35</f>
        <v>1</v>
      </c>
      <c r="W36" s="333"/>
      <c r="X36" s="333"/>
      <c r="Y36" s="1050"/>
      <c r="Z36" s="1076"/>
      <c r="AA36" s="333"/>
      <c r="AB36" s="68">
        <v>4</v>
      </c>
      <c r="AC36" s="70" t="s">
        <v>462</v>
      </c>
      <c r="AD36" s="71"/>
      <c r="AE36" s="207"/>
      <c r="AF36" s="207"/>
      <c r="AG36" s="207"/>
      <c r="AH36" s="207"/>
      <c r="AI36" s="207"/>
      <c r="AJ36" s="838"/>
      <c r="AK36" s="838"/>
      <c r="AL36" s="838"/>
      <c r="AM36" s="838"/>
      <c r="AN36" s="838"/>
      <c r="AO36" s="838"/>
      <c r="AP36" s="838"/>
      <c r="AQ36" s="838"/>
      <c r="AR36" s="838"/>
      <c r="AS36" s="207"/>
      <c r="AT36" s="838"/>
      <c r="AU36" s="838"/>
      <c r="AV36" s="838"/>
      <c r="AW36" s="838"/>
      <c r="AX36" s="838"/>
      <c r="AY36" s="838"/>
      <c r="AZ36" s="838"/>
      <c r="BA36" s="838"/>
      <c r="BB36" s="838"/>
      <c r="BC36" s="333"/>
      <c r="BD36" s="665" t="s">
        <v>527</v>
      </c>
      <c r="BE36" s="333"/>
      <c r="BF36" s="333"/>
      <c r="BG36" s="333"/>
      <c r="BH36" s="333"/>
      <c r="BI36" s="333"/>
      <c r="BJ36" s="333"/>
      <c r="BK36" s="333"/>
      <c r="BL36" s="333"/>
      <c r="BM36" s="333"/>
      <c r="BN36" s="333"/>
      <c r="BO36" s="333"/>
    </row>
    <row r="37" spans="1:67" s="854" customFormat="1" ht="14.25" customHeight="1">
      <c r="A37" s="333"/>
      <c r="B37" s="338"/>
      <c r="C37" s="333"/>
      <c r="D37" s="333"/>
      <c r="E37" s="470">
        <v>15</v>
      </c>
      <c r="F37" s="288" t="str" cm="1">
        <f t="array" ref="F37">Y37</f>
        <v>2</v>
      </c>
      <c r="G37" s="333"/>
      <c r="H37" s="333"/>
      <c r="I37" s="333"/>
      <c r="J37" s="333"/>
      <c r="K37" s="333"/>
      <c r="L37" s="333"/>
      <c r="M37" s="333"/>
      <c r="N37" s="333"/>
      <c r="O37" s="333"/>
      <c r="P37" s="333"/>
      <c r="Q37" s="333"/>
      <c r="R37" s="333"/>
      <c r="S37" s="333"/>
      <c r="T37" s="333"/>
      <c r="U37" s="333"/>
      <c r="V37" s="365" t="b">
        <f>Y37&gt;0</f>
        <v>1</v>
      </c>
      <c r="W37" s="333"/>
      <c r="X37" s="79" t="str" cm="1">
        <f t="array" ref="X37">Сценарии!$AB$82</f>
        <v>Тариф 2 (Водоотведение) - тариф на водоотведение (Доп. признак не требуется)</v>
      </c>
      <c r="Y37" s="1050" t="s">
        <v>285</v>
      </c>
      <c r="Z37" s="1076"/>
      <c r="AA37" s="333"/>
      <c r="AB37" s="813" t="str" cm="1">
        <f t="array" ref="AB37">Сценарии!$AB$82</f>
        <v>Тариф 2 (Водоотведение) - тариф на водоотведение (Доп. признак не требуется)</v>
      </c>
      <c r="AC37" s="814"/>
      <c r="AD37" s="815"/>
      <c r="AE37" s="815"/>
      <c r="AF37" s="815"/>
      <c r="AG37" s="815"/>
      <c r="AH37" s="815"/>
      <c r="AI37" s="815"/>
      <c r="AJ37" s="815"/>
      <c r="AK37" s="815"/>
      <c r="AL37" s="815"/>
      <c r="AM37" s="815"/>
      <c r="AN37" s="815"/>
      <c r="AO37" s="815"/>
      <c r="AP37" s="815"/>
      <c r="AQ37" s="815"/>
      <c r="AR37" s="815"/>
      <c r="AS37" s="815"/>
      <c r="AT37" s="815"/>
      <c r="AU37" s="815"/>
      <c r="AV37" s="815"/>
      <c r="AW37" s="815"/>
      <c r="AX37" s="815"/>
      <c r="AY37" s="815"/>
      <c r="AZ37" s="815"/>
      <c r="BA37" s="815"/>
      <c r="BB37" s="815"/>
      <c r="BC37" s="333"/>
      <c r="BD37" s="678"/>
      <c r="BE37" s="291"/>
      <c r="BF37" s="291"/>
      <c r="BG37" s="291"/>
      <c r="BH37" s="291"/>
      <c r="BI37" s="291"/>
      <c r="BJ37" s="333"/>
      <c r="BK37" s="333"/>
      <c r="BL37" s="333"/>
      <c r="BM37" s="333"/>
      <c r="BN37" s="333"/>
      <c r="BO37" s="333"/>
    </row>
    <row r="38" spans="1:67" ht="21.75" customHeight="1">
      <c r="A38" s="333"/>
      <c r="B38" s="291"/>
      <c r="C38" s="333"/>
      <c r="D38" s="333"/>
      <c r="E38" s="459">
        <v>22.5</v>
      </c>
      <c r="F38" s="280" t="str" cm="1">
        <f t="array" aca="1" ref="F38" ca="1">OFFSET(E38,-1,1)</f>
        <v>2</v>
      </c>
      <c r="G38" s="333"/>
      <c r="H38" s="333"/>
      <c r="I38" s="333"/>
      <c r="J38" s="333"/>
      <c r="K38" s="333"/>
      <c r="L38" s="333"/>
      <c r="M38" s="333"/>
      <c r="N38" s="333"/>
      <c r="O38" s="333"/>
      <c r="P38" s="333"/>
      <c r="Q38" s="333"/>
      <c r="R38" s="333"/>
      <c r="S38" s="333"/>
      <c r="T38" s="333"/>
      <c r="U38" s="333"/>
      <c r="V38" s="365" t="b" cm="1">
        <f t="array" ref="V38">V37</f>
        <v>1</v>
      </c>
      <c r="W38" s="333"/>
      <c r="X38" s="333"/>
      <c r="Y38" s="1050"/>
      <c r="Z38" s="1076"/>
      <c r="AA38" s="333"/>
      <c r="AB38" s="68">
        <v>1</v>
      </c>
      <c r="AC38" s="70" t="s">
        <v>473</v>
      </c>
      <c r="AD38" s="71"/>
      <c r="AE38" s="207"/>
      <c r="AF38" s="207"/>
      <c r="AG38" s="207"/>
      <c r="AH38" s="207"/>
      <c r="AI38" s="207"/>
      <c r="AJ38" s="838"/>
      <c r="AK38" s="838"/>
      <c r="AL38" s="838"/>
      <c r="AM38" s="838"/>
      <c r="AN38" s="838"/>
      <c r="AO38" s="838"/>
      <c r="AP38" s="838"/>
      <c r="AQ38" s="838"/>
      <c r="AR38" s="838"/>
      <c r="AS38" s="207"/>
      <c r="AT38" s="838"/>
      <c r="AU38" s="838"/>
      <c r="AV38" s="838"/>
      <c r="AW38" s="838"/>
      <c r="AX38" s="838"/>
      <c r="AY38" s="838"/>
      <c r="AZ38" s="838"/>
      <c r="BA38" s="838"/>
      <c r="BB38" s="838"/>
      <c r="BC38" s="333"/>
      <c r="BD38" s="665" t="s">
        <v>522</v>
      </c>
      <c r="BE38" s="333"/>
      <c r="BF38" s="333"/>
      <c r="BG38" s="333"/>
      <c r="BH38" s="333"/>
      <c r="BI38" s="333"/>
      <c r="BJ38" s="333"/>
      <c r="BK38" s="333"/>
      <c r="BL38" s="333"/>
      <c r="BM38" s="333"/>
      <c r="BN38" s="333"/>
      <c r="BO38" s="333"/>
    </row>
    <row r="39" spans="1:67" ht="23.25" customHeight="1">
      <c r="A39" s="333"/>
      <c r="B39" s="333"/>
      <c r="C39" s="333"/>
      <c r="D39" s="333"/>
      <c r="E39" s="459">
        <v>24</v>
      </c>
      <c r="F39" s="280" t="str" cm="1">
        <f t="array" aca="1" ref="F39" ca="1">OFFSET(E39,-1,1)</f>
        <v>2</v>
      </c>
      <c r="G39" s="333"/>
      <c r="H39" s="333"/>
      <c r="I39" s="333"/>
      <c r="J39" s="333"/>
      <c r="K39" s="333"/>
      <c r="L39" s="333"/>
      <c r="M39" s="333"/>
      <c r="N39" s="333"/>
      <c r="O39" s="333"/>
      <c r="P39" s="333"/>
      <c r="Q39" s="333"/>
      <c r="R39" s="333"/>
      <c r="S39" s="333"/>
      <c r="T39" s="333"/>
      <c r="U39" s="333"/>
      <c r="V39" s="365" t="b" cm="1">
        <f t="array" ref="V39">V38</f>
        <v>1</v>
      </c>
      <c r="W39" s="333"/>
      <c r="X39" s="333"/>
      <c r="Y39" s="1050"/>
      <c r="Z39" s="1076"/>
      <c r="AA39" s="333"/>
      <c r="AB39" s="68">
        <v>2</v>
      </c>
      <c r="AC39" s="70" t="s">
        <v>523</v>
      </c>
      <c r="AD39" s="71" t="s">
        <v>456</v>
      </c>
      <c r="AE39" s="207"/>
      <c r="AF39" s="207"/>
      <c r="AG39" s="207"/>
      <c r="AH39" s="207"/>
      <c r="AI39" s="207"/>
      <c r="AJ39" s="838"/>
      <c r="AK39" s="838"/>
      <c r="AL39" s="838"/>
      <c r="AM39" s="838"/>
      <c r="AN39" s="838"/>
      <c r="AO39" s="838"/>
      <c r="AP39" s="838"/>
      <c r="AQ39" s="838"/>
      <c r="AR39" s="838"/>
      <c r="AS39" s="207"/>
      <c r="AT39" s="838"/>
      <c r="AU39" s="838"/>
      <c r="AV39" s="838"/>
      <c r="AW39" s="838"/>
      <c r="AX39" s="838"/>
      <c r="AY39" s="838"/>
      <c r="AZ39" s="838"/>
      <c r="BA39" s="838"/>
      <c r="BB39" s="838"/>
      <c r="BC39" s="333"/>
      <c r="BD39" s="665" t="s">
        <v>524</v>
      </c>
      <c r="BE39" s="333"/>
      <c r="BF39" s="333"/>
      <c r="BG39" s="333"/>
      <c r="BH39" s="333"/>
      <c r="BI39" s="333"/>
      <c r="BJ39" s="333"/>
      <c r="BK39" s="333"/>
      <c r="BL39" s="333"/>
      <c r="BM39" s="333"/>
      <c r="BN39" s="333"/>
      <c r="BO39" s="333"/>
    </row>
    <row r="40" spans="1:67" ht="69" customHeight="1">
      <c r="A40" s="333"/>
      <c r="B40" s="333"/>
      <c r="C40" s="333"/>
      <c r="D40" s="333"/>
      <c r="E40" s="459">
        <v>71.25</v>
      </c>
      <c r="F40" s="280" t="str" cm="1">
        <f t="array" aca="1" ref="F40" ca="1">OFFSET(E40,-1,1)</f>
        <v>2</v>
      </c>
      <c r="G40" s="333"/>
      <c r="H40" s="333"/>
      <c r="I40" s="333"/>
      <c r="J40" s="333"/>
      <c r="K40" s="333"/>
      <c r="L40" s="333"/>
      <c r="M40" s="333"/>
      <c r="N40" s="333"/>
      <c r="O40" s="333"/>
      <c r="P40" s="333"/>
      <c r="Q40" s="333"/>
      <c r="R40" s="333"/>
      <c r="S40" s="333"/>
      <c r="T40" s="333"/>
      <c r="U40" s="333"/>
      <c r="V40" s="365" t="b" cm="1">
        <f t="array" ref="V40">V39</f>
        <v>1</v>
      </c>
      <c r="W40" s="333"/>
      <c r="X40" s="333"/>
      <c r="Y40" s="1050"/>
      <c r="Z40" s="1076"/>
      <c r="AA40" s="333"/>
      <c r="AB40" s="68">
        <v>3</v>
      </c>
      <c r="AC40" s="72" t="s">
        <v>525</v>
      </c>
      <c r="AD40" s="71" t="s">
        <v>456</v>
      </c>
      <c r="AE40" s="207"/>
      <c r="AF40" s="207"/>
      <c r="AG40" s="207"/>
      <c r="AH40" s="207"/>
      <c r="AI40" s="207"/>
      <c r="AJ40" s="838"/>
      <c r="AK40" s="838"/>
      <c r="AL40" s="838"/>
      <c r="AM40" s="838"/>
      <c r="AN40" s="838"/>
      <c r="AO40" s="838"/>
      <c r="AP40" s="838"/>
      <c r="AQ40" s="838"/>
      <c r="AR40" s="838"/>
      <c r="AS40" s="207"/>
      <c r="AT40" s="838"/>
      <c r="AU40" s="838"/>
      <c r="AV40" s="838"/>
      <c r="AW40" s="838"/>
      <c r="AX40" s="838"/>
      <c r="AY40" s="838"/>
      <c r="AZ40" s="838"/>
      <c r="BA40" s="838"/>
      <c r="BB40" s="838"/>
      <c r="BC40" s="333"/>
      <c r="BD40" s="665" t="s">
        <v>526</v>
      </c>
      <c r="BE40" s="333"/>
      <c r="BF40" s="333"/>
      <c r="BG40" s="333"/>
      <c r="BH40" s="333"/>
      <c r="BI40" s="333"/>
      <c r="BJ40" s="333"/>
      <c r="BK40" s="333"/>
      <c r="BL40" s="333"/>
      <c r="BM40" s="333"/>
      <c r="BN40" s="333"/>
      <c r="BO40" s="333"/>
    </row>
    <row r="41" spans="1:67" ht="24" customHeight="1">
      <c r="A41" s="333"/>
      <c r="B41" s="291"/>
      <c r="C41" s="333"/>
      <c r="D41" s="333"/>
      <c r="E41" s="459">
        <v>24.75</v>
      </c>
      <c r="F41" s="280" t="str" cm="1">
        <f t="array" aca="1" ref="F41" ca="1">OFFSET(E41,-1,1)</f>
        <v>2</v>
      </c>
      <c r="G41" s="333"/>
      <c r="H41" s="333"/>
      <c r="I41" s="333"/>
      <c r="J41" s="333"/>
      <c r="K41" s="333"/>
      <c r="L41" s="333"/>
      <c r="M41" s="333"/>
      <c r="N41" s="333"/>
      <c r="O41" s="333"/>
      <c r="P41" s="333"/>
      <c r="Q41" s="333"/>
      <c r="R41" s="333"/>
      <c r="S41" s="333"/>
      <c r="T41" s="333"/>
      <c r="U41" s="333"/>
      <c r="V41" s="365" t="b" cm="1">
        <f t="array" ref="V41">V40</f>
        <v>1</v>
      </c>
      <c r="W41" s="333"/>
      <c r="X41" s="333"/>
      <c r="Y41" s="1050"/>
      <c r="Z41" s="1076"/>
      <c r="AA41" s="333"/>
      <c r="AB41" s="68">
        <v>4</v>
      </c>
      <c r="AC41" s="70" t="s">
        <v>462</v>
      </c>
      <c r="AD41" s="71"/>
      <c r="AE41" s="207"/>
      <c r="AF41" s="207"/>
      <c r="AG41" s="207"/>
      <c r="AH41" s="207"/>
      <c r="AI41" s="207"/>
      <c r="AJ41" s="838"/>
      <c r="AK41" s="838"/>
      <c r="AL41" s="838"/>
      <c r="AM41" s="838"/>
      <c r="AN41" s="838"/>
      <c r="AO41" s="838"/>
      <c r="AP41" s="838"/>
      <c r="AQ41" s="838"/>
      <c r="AR41" s="838"/>
      <c r="AS41" s="207"/>
      <c r="AT41" s="838"/>
      <c r="AU41" s="838"/>
      <c r="AV41" s="838"/>
      <c r="AW41" s="838"/>
      <c r="AX41" s="838"/>
      <c r="AY41" s="838"/>
      <c r="AZ41" s="838"/>
      <c r="BA41" s="838"/>
      <c r="BB41" s="838"/>
      <c r="BC41" s="333"/>
      <c r="BD41" s="665" t="s">
        <v>527</v>
      </c>
      <c r="BE41" s="333"/>
      <c r="BF41" s="333"/>
      <c r="BG41" s="333"/>
      <c r="BH41" s="333"/>
      <c r="BI41" s="333"/>
      <c r="BJ41" s="333"/>
      <c r="BK41" s="333"/>
      <c r="BL41" s="333"/>
      <c r="BM41" s="333"/>
      <c r="BN41" s="333"/>
      <c r="BO41" s="333"/>
    </row>
    <row r="42" spans="1:67" ht="10.7" customHeight="1">
      <c r="A42" s="57"/>
      <c r="B42" s="62"/>
      <c r="C42" s="57"/>
      <c r="D42" s="57"/>
      <c r="E42" s="459">
        <v>11</v>
      </c>
      <c r="F42" s="288" t="str" cm="1">
        <f t="array" aca="1" ref="F42" ca="1">OFFSET(E42,-1,1)</f>
        <v>2</v>
      </c>
      <c r="G42" s="57"/>
      <c r="H42" s="57"/>
      <c r="I42" s="57"/>
      <c r="J42" s="57"/>
      <c r="K42" s="57"/>
      <c r="L42" s="57"/>
      <c r="M42" s="57"/>
      <c r="N42" s="57"/>
      <c r="O42" s="57"/>
      <c r="P42" s="57"/>
      <c r="Q42" s="57"/>
      <c r="R42" s="57"/>
      <c r="S42" s="57"/>
      <c r="T42" s="57"/>
      <c r="U42" s="57"/>
      <c r="V42" s="57"/>
      <c r="W42" s="75" t="s">
        <v>177</v>
      </c>
      <c r="X42" s="855" t="s">
        <v>528</v>
      </c>
      <c r="Y42" s="57"/>
      <c r="Z42" s="57"/>
      <c r="AA42" s="57"/>
      <c r="AB42" s="41"/>
      <c r="AC42" s="75"/>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665"/>
      <c r="BE42" s="291"/>
      <c r="BF42" s="291"/>
      <c r="BG42" s="291"/>
      <c r="BH42" s="291"/>
      <c r="BI42" s="291"/>
      <c r="BJ42" s="57"/>
      <c r="BK42" s="57"/>
      <c r="BL42" s="57"/>
      <c r="BM42" s="57"/>
      <c r="BN42" s="57"/>
      <c r="BO42" s="57"/>
    </row>
  </sheetData>
  <sheetProtection formatColumns="0" formatRows="0" insertRows="0" deleteColumns="0" deleteRows="0" sort="0" autoFilter="0"/>
  <mergeCells count="9">
    <mergeCell ref="Y37:Y41"/>
    <mergeCell ref="Z37:Z41"/>
    <mergeCell ref="AB24:AB25"/>
    <mergeCell ref="AC24:AC25"/>
    <mergeCell ref="AD24:AD25"/>
    <mergeCell ref="Y27:Y31"/>
    <mergeCell ref="Z27:Z31"/>
    <mergeCell ref="Y32:Y36"/>
    <mergeCell ref="Z32:Z36"/>
  </mergeCells>
  <dataValidations count="2">
    <dataValidation allowBlank="1" showErrorMessage="1" errorTitle="Ошибка" error="Допускается ввод только неотрицательных чисел!" sqref="AE26:BB26" xr:uid="{00000000-0002-0000-0900-000000000000}"/>
    <dataValidation type="decimal" allowBlank="1" showErrorMessage="1" errorTitle="Ошибка" error="Допускается ввод только неотрицательных чисел!" sqref="BB29:BB31 BB34:BB36 BB39:BB41 BA29:BA31 BA34:BA36 BA39:BA41 AZ29:AZ31 AZ34:AZ36 AZ39:AZ41 AY29:AY31 AY34:AY36 AY39:AY41 AX29:AX31 AX34:AX36 AX39:AX41 AW29:AW31 AW34:AW36 AW39:AW41 AV29:AV31 AV34:AV36 AV39:AV41 AU29:AU31 AU34:AU36 AU39:AU41 AT29:AT31 AT34:AT36 AT39:AT41 AS29:AS31 AS34:AS36 AS39:AS41 AR29:AR31 AR34:AR36 AR39:AR41 AQ29:AQ31 AQ34:AQ36 AQ39:AQ41 AP29:AP31 AP34:AP36 AP39:AP41 AO29:AO31 AO34:AO36 AO39:AO41 AN29:AN31 AN34:AN36 AN39:AN41 AM29:AM31 AM34:AM36 AM39:AM41 AL29:AL31 AL34:AL36 AL39:AL41 AK29:AK31 AK34:AK36 AK39:AK41 AJ29:AJ31 AJ34:AJ36 AJ39:AJ41 AI29:AI31 AI34:AI36 AI39:AI41 AH29:AH31 AH34:AH36 AH39:AH41 AF29:AG31 AF34:AG36 AF39:AG41 AE29:AE31 AE34:AE36 AE39:AE41" xr:uid="{00000000-0002-0000-09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B34E8-1CB6-B868-5D28-5AF6DCBED6F8}">
  <sheetPr>
    <tabColor theme="6" tint="0.39997558519241921"/>
    <outlinePr summaryBelow="0" summaryRight="0"/>
    <pageSetUpPr fitToPage="1"/>
  </sheetPr>
  <dimension ref="A1:BF305"/>
  <sheetViews>
    <sheetView showGridLines="0" workbookViewId="0">
      <pane xSplit="30" ySplit="25" topLeftCell="AE143" activePane="bottomRight" state="frozen"/>
      <selection pane="topRight" activeCell="AE1" sqref="AE1"/>
      <selection pane="bottomLeft" activeCell="A26" sqref="A26"/>
      <selection pane="bottomRight" activeCell="AE131" sqref="AE131"/>
    </sheetView>
  </sheetViews>
  <sheetFormatPr defaultColWidth="9.140625" defaultRowHeight="11.25" customHeight="1"/>
  <cols>
    <col min="1" max="1" width="3.5703125" style="36" hidden="1" customWidth="1"/>
    <col min="2" max="2" width="8.85546875" style="65" hidden="1" customWidth="1"/>
    <col min="3" max="4" width="3.5703125" style="36" hidden="1" customWidth="1"/>
    <col min="5" max="5" width="3.5703125" style="472" hidden="1" customWidth="1"/>
    <col min="6" max="6" width="13.28515625" style="266" hidden="1" customWidth="1"/>
    <col min="7" max="7" width="11.42578125" style="36" hidden="1" customWidth="1"/>
    <col min="8" max="8" width="9.7109375" style="36" hidden="1" customWidth="1"/>
    <col min="9" max="9" width="6.42578125" style="36" hidden="1" customWidth="1"/>
    <col min="10" max="10" width="3.5703125" style="36" hidden="1" customWidth="1"/>
    <col min="11" max="11" width="6.140625" style="36" hidden="1" customWidth="1"/>
    <col min="12" max="15" width="3.5703125" style="36" hidden="1" customWidth="1"/>
    <col min="16" max="17" width="3.5703125" style="327" hidden="1" customWidth="1"/>
    <col min="18" max="18" width="7.7109375" style="327" hidden="1" customWidth="1"/>
    <col min="19" max="19" width="10" style="327" hidden="1" customWidth="1"/>
    <col min="20" max="20" width="10.42578125" style="327" hidden="1" customWidth="1"/>
    <col min="21" max="21" width="5.85546875" style="327" hidden="1" customWidth="1"/>
    <col min="22" max="22" width="6.140625" style="36" hidden="1" customWidth="1"/>
    <col min="23" max="23" width="5.5703125" style="327" hidden="1" customWidth="1"/>
    <col min="24" max="24" width="5.28515625" style="36" hidden="1" customWidth="1"/>
    <col min="25" max="26" width="3.5703125" style="36" hidden="1" customWidth="1"/>
    <col min="27" max="27" width="3" style="36" customWidth="1"/>
    <col min="28" max="28" width="11" style="79" customWidth="1"/>
    <col min="29" max="29" width="41.42578125" style="79" customWidth="1"/>
    <col min="30" max="30" width="10.28515625" style="79" customWidth="1"/>
    <col min="31" max="35" width="13" style="36" customWidth="1"/>
    <col min="36" max="44" width="13" style="36" hidden="1" customWidth="1"/>
    <col min="45" max="45" width="13" style="36" customWidth="1"/>
    <col min="46" max="54" width="13" style="36" hidden="1" customWidth="1"/>
    <col min="55" max="55" width="53" style="79" customWidth="1"/>
    <col min="56" max="56" width="3" style="36" customWidth="1"/>
    <col min="57" max="57" width="9.140625" style="36" hidden="1"/>
    <col min="58" max="58" width="9.140625" style="680" hidden="1"/>
  </cols>
  <sheetData>
    <row r="1" spans="1:58" ht="11.25" hidden="1" customHeight="1">
      <c r="E1" s="36"/>
      <c r="F1" s="266" t="s">
        <v>315</v>
      </c>
      <c r="H1" s="36" t="s">
        <v>326</v>
      </c>
      <c r="T1" s="365" t="s">
        <v>93</v>
      </c>
      <c r="U1" s="365" t="s">
        <v>98</v>
      </c>
      <c r="V1" s="365" t="s">
        <v>94</v>
      </c>
      <c r="W1" s="365" t="s">
        <v>95</v>
      </c>
      <c r="X1" s="365" t="s">
        <v>96</v>
      </c>
      <c r="Y1" s="365" t="s">
        <v>100</v>
      </c>
      <c r="Z1" s="365" t="s">
        <v>317</v>
      </c>
      <c r="AA1" s="365" t="s">
        <v>97</v>
      </c>
      <c r="AC1" s="365" t="s">
        <v>99</v>
      </c>
      <c r="BF1" s="680" t="s">
        <v>318</v>
      </c>
    </row>
    <row r="2" spans="1:58" s="65" customFormat="1" ht="11.25" hidden="1" customHeight="1">
      <c r="B2" s="353" t="s">
        <v>19</v>
      </c>
      <c r="F2" s="60"/>
      <c r="P2" s="490"/>
      <c r="Q2" s="490"/>
      <c r="R2" s="490"/>
      <c r="S2" s="490"/>
      <c r="T2" s="490"/>
      <c r="U2" s="490"/>
      <c r="W2" s="490"/>
      <c r="AB2" s="338"/>
      <c r="AC2" s="338"/>
      <c r="AD2" s="338"/>
      <c r="AF2" s="65" t="b" cm="1">
        <f t="array" ref="AF2">isOrgDeclare</f>
        <v>1</v>
      </c>
      <c r="AI2" s="354" t="b">
        <f t="shared" ref="AI2:AR2" si="0">AND(AI6&lt;=last_year_vis,isOrgDeclare)</f>
        <v>1</v>
      </c>
      <c r="AJ2" s="354" t="b">
        <f t="shared" si="0"/>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ref="AS2:BB2" si="1">AS6&lt;=last_year_vis</f>
        <v>1</v>
      </c>
      <c r="AT2" s="354" t="b">
        <f t="shared" si="1"/>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C2" s="338"/>
      <c r="BF2" s="681"/>
    </row>
    <row r="3" spans="1:58" ht="11.25" hidden="1" customHeight="1">
      <c r="E3" s="36"/>
    </row>
    <row r="4" spans="1:58" ht="11.25" hidden="1" customHeight="1">
      <c r="E4" s="36"/>
    </row>
    <row r="5" spans="1:58" s="472" customFormat="1" ht="11.25" hidden="1" customHeight="1">
      <c r="A5" s="36"/>
      <c r="B5" s="65"/>
      <c r="C5" s="36"/>
      <c r="D5" s="36"/>
      <c r="E5" s="472" t="s">
        <v>20</v>
      </c>
      <c r="F5" s="458"/>
      <c r="P5" s="491"/>
      <c r="Q5" s="491"/>
      <c r="R5" s="491"/>
      <c r="S5" s="491"/>
      <c r="T5" s="491"/>
      <c r="U5" s="491"/>
      <c r="W5" s="491"/>
      <c r="AA5" s="472">
        <v>3</v>
      </c>
      <c r="AB5" s="470">
        <v>11</v>
      </c>
      <c r="AC5" s="470">
        <v>50</v>
      </c>
      <c r="AD5" s="470">
        <v>10.29</v>
      </c>
      <c r="AE5" s="472">
        <v>13</v>
      </c>
      <c r="AF5" s="472">
        <v>13</v>
      </c>
      <c r="AG5" s="472">
        <v>13</v>
      </c>
      <c r="AH5" s="472">
        <v>13</v>
      </c>
      <c r="AI5" s="472">
        <v>13</v>
      </c>
      <c r="AJ5" s="472">
        <v>13</v>
      </c>
      <c r="AK5" s="472">
        <v>13</v>
      </c>
      <c r="AL5" s="472">
        <v>13</v>
      </c>
      <c r="AM5" s="472">
        <v>13</v>
      </c>
      <c r="AN5" s="472">
        <v>13</v>
      </c>
      <c r="AO5" s="472">
        <v>13</v>
      </c>
      <c r="AP5" s="472">
        <v>13</v>
      </c>
      <c r="AQ5" s="472">
        <v>13</v>
      </c>
      <c r="AR5" s="472">
        <v>13</v>
      </c>
      <c r="AS5" s="472">
        <v>13</v>
      </c>
      <c r="AT5" s="472">
        <v>13</v>
      </c>
      <c r="AU5" s="472">
        <v>13</v>
      </c>
      <c r="AV5" s="472">
        <v>13</v>
      </c>
      <c r="AW5" s="472">
        <v>13</v>
      </c>
      <c r="AX5" s="472">
        <v>13</v>
      </c>
      <c r="AY5" s="472">
        <v>13</v>
      </c>
      <c r="AZ5" s="472">
        <v>13</v>
      </c>
      <c r="BA5" s="472">
        <v>13</v>
      </c>
      <c r="BB5" s="472">
        <v>13</v>
      </c>
      <c r="BC5" s="470">
        <v>20</v>
      </c>
      <c r="BD5" s="472">
        <v>3</v>
      </c>
      <c r="BF5" s="680"/>
    </row>
    <row r="6" spans="1:58" ht="11.25" hidden="1" customHeight="1">
      <c r="A6" s="36" t="s">
        <v>353</v>
      </c>
      <c r="AE6" s="36">
        <f>god-2</f>
        <v>2024</v>
      </c>
      <c r="AF6" s="36">
        <f>god-2</f>
        <v>2024</v>
      </c>
      <c r="AG6" s="36">
        <f>god-2</f>
        <v>2024</v>
      </c>
      <c r="AH6" s="36">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58" ht="11.25" hidden="1" customHeight="1">
      <c r="A7" s="36" t="s">
        <v>354</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AJ25</f>
        <v>Предложение организации</v>
      </c>
      <c r="AK7" s="36" t="str" cm="1">
        <f t="array" ref="AK7">AK25</f>
        <v>Предложение организации</v>
      </c>
      <c r="AL7" s="36" t="str" cm="1">
        <f t="array" ref="AL7">AL25</f>
        <v>Предложение организации</v>
      </c>
      <c r="AM7" s="36" t="str" cm="1">
        <f t="array" ref="AM7">AM25</f>
        <v>Предложение организации</v>
      </c>
      <c r="AN7" s="36" t="str" cm="1">
        <f t="array" ref="AN7">AN25</f>
        <v>Предложение организации</v>
      </c>
      <c r="AO7" s="36" t="str" cm="1">
        <f t="array" ref="AO7">AO25</f>
        <v>Предложение организации</v>
      </c>
      <c r="AP7" s="36" t="str" cm="1">
        <f t="array" ref="AP7">AP25</f>
        <v>Предложение организации</v>
      </c>
      <c r="AQ7" s="36" t="str" cm="1">
        <f t="array" ref="AQ7">AQ25</f>
        <v>Предложение организации</v>
      </c>
      <c r="AR7" s="36" t="str" cm="1">
        <f t="array" ref="AR7">AR25</f>
        <v>Предложение организации</v>
      </c>
      <c r="AS7" s="36" t="str" cm="1">
        <f t="array" ref="AS7">AS25</f>
        <v>Принято органом регулирования</v>
      </c>
      <c r="AT7" s="36" t="str" cm="1">
        <f t="array" ref="AT7">AT25</f>
        <v>Принято органом регулирования</v>
      </c>
      <c r="AU7" s="36" t="str" cm="1">
        <f t="array" ref="AU7">AU25</f>
        <v>Принято органом регулирования</v>
      </c>
      <c r="AV7" s="36" t="str" cm="1">
        <f t="array" ref="AV7">AV25</f>
        <v>Принято органом регулирования</v>
      </c>
      <c r="AW7" s="36" t="str" cm="1">
        <f t="array" ref="AW7">AW25</f>
        <v>Принято органом регулирования</v>
      </c>
      <c r="AX7" s="36" t="str" cm="1">
        <f t="array" ref="AX7">AX25</f>
        <v>Принято органом регулирования</v>
      </c>
      <c r="AY7" s="36" t="str" cm="1">
        <f t="array" ref="AY7">AY25</f>
        <v>Принято органом регулирования</v>
      </c>
      <c r="AZ7" s="36" t="str" cm="1">
        <f t="array" ref="AZ7">AZ25</f>
        <v>Принято органом регулирования</v>
      </c>
      <c r="BA7" s="36" t="str" cm="1">
        <f t="array" ref="BA7">BA25</f>
        <v>Принято органом регулирования</v>
      </c>
      <c r="BB7" s="36" t="str" cm="1">
        <f t="array" ref="BB7">BB25</f>
        <v>Принято органом регулирования</v>
      </c>
    </row>
    <row r="8" spans="1:58" ht="11.25" hidden="1" customHeight="1">
      <c r="AE8" s="36" t="str">
        <f t="shared" ref="AE8:BB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2025Принято органом регулирования</v>
      </c>
      <c r="AI8" s="36" t="str">
        <f t="shared" si="2"/>
        <v>2026Предложение организации</v>
      </c>
      <c r="AJ8" s="36" t="str">
        <f t="shared" si="2"/>
        <v>2027Предложение организации</v>
      </c>
      <c r="AK8" s="36" t="str">
        <f t="shared" si="2"/>
        <v>2028Предложение организации</v>
      </c>
      <c r="AL8" s="36" t="str">
        <f t="shared" si="2"/>
        <v>2029Предложение организации</v>
      </c>
      <c r="AM8" s="36" t="str">
        <f t="shared" si="2"/>
        <v>2030Предложение организации</v>
      </c>
      <c r="AN8" s="36" t="str">
        <f t="shared" si="2"/>
        <v>2031Предложение организации</v>
      </c>
      <c r="AO8" s="36" t="str">
        <f t="shared" si="2"/>
        <v>2032Предложение организации</v>
      </c>
      <c r="AP8" s="36" t="str">
        <f t="shared" si="2"/>
        <v>2033Предложение организации</v>
      </c>
      <c r="AQ8" s="36" t="str">
        <f t="shared" si="2"/>
        <v>2034Предложение организации</v>
      </c>
      <c r="AR8" s="36" t="str">
        <f t="shared" si="2"/>
        <v>2035Предложение организации</v>
      </c>
      <c r="AS8" s="36" t="str">
        <f t="shared" si="2"/>
        <v>2026Принято органом регулирования</v>
      </c>
      <c r="AT8" s="36" t="str">
        <f t="shared" si="2"/>
        <v>2027Принято органом регулирования</v>
      </c>
      <c r="AU8" s="36" t="str">
        <f t="shared" si="2"/>
        <v>2028Принято органом регулирования</v>
      </c>
      <c r="AV8" s="36" t="str">
        <f t="shared" si="2"/>
        <v>2029Принято органом регулирования</v>
      </c>
      <c r="AW8" s="36" t="str">
        <f t="shared" si="2"/>
        <v>2030Принято органом регулирования</v>
      </c>
      <c r="AX8" s="36" t="str">
        <f t="shared" si="2"/>
        <v>2031Принято органом регулирования</v>
      </c>
      <c r="AY8" s="36" t="str">
        <f t="shared" si="2"/>
        <v>2032Принято органом регулирования</v>
      </c>
      <c r="AZ8" s="36" t="str">
        <f t="shared" si="2"/>
        <v>2033Принято органом регулирования</v>
      </c>
      <c r="BA8" s="36" t="str">
        <f t="shared" si="2"/>
        <v>2034Принято органом регулирования</v>
      </c>
      <c r="BB8" s="36" t="str">
        <f t="shared" si="2"/>
        <v>2035Принято органом регулирования</v>
      </c>
    </row>
    <row r="9" spans="1:58" s="680" customFormat="1" ht="11.25" hidden="1" customHeight="1">
      <c r="A9" s="680" t="s">
        <v>358</v>
      </c>
      <c r="B9" s="681"/>
      <c r="F9" s="682"/>
      <c r="P9" s="664"/>
      <c r="Q9" s="664"/>
      <c r="R9" s="664"/>
      <c r="S9" s="664"/>
      <c r="T9" s="664"/>
      <c r="U9" s="664"/>
      <c r="W9" s="664"/>
      <c r="AB9" s="678"/>
      <c r="AC9" s="678"/>
      <c r="AD9" s="678"/>
      <c r="AE9" s="680" cm="1">
        <f t="array" ref="AE9">AE6</f>
        <v>2024</v>
      </c>
      <c r="AF9" s="680" cm="1">
        <f t="array" ref="AF9">AF6</f>
        <v>2024</v>
      </c>
      <c r="AG9" s="680" cm="1">
        <f t="array" ref="AG9">AG6</f>
        <v>2024</v>
      </c>
      <c r="AH9" s="680" cm="1">
        <f t="array" ref="AH9">AH6</f>
        <v>2025</v>
      </c>
      <c r="AI9" s="680" cm="1">
        <f t="array" ref="AI9">AI6</f>
        <v>2026</v>
      </c>
      <c r="AJ9" s="680" cm="1">
        <f t="array" ref="AJ9">AJ6</f>
        <v>2027</v>
      </c>
      <c r="AK9" s="680" cm="1">
        <f t="array" ref="AK9">AK6</f>
        <v>2028</v>
      </c>
      <c r="AL9" s="680" cm="1">
        <f t="array" ref="AL9">AL6</f>
        <v>2029</v>
      </c>
      <c r="AM9" s="680" cm="1">
        <f t="array" ref="AM9">AM6</f>
        <v>2030</v>
      </c>
      <c r="AN9" s="680" cm="1">
        <f t="array" ref="AN9">AN6</f>
        <v>2031</v>
      </c>
      <c r="AO9" s="680" cm="1">
        <f t="array" ref="AO9">AO6</f>
        <v>2032</v>
      </c>
      <c r="AP9" s="680" cm="1">
        <f t="array" ref="AP9">AP6</f>
        <v>2033</v>
      </c>
      <c r="AQ9" s="680" cm="1">
        <f t="array" ref="AQ9">AQ6</f>
        <v>2034</v>
      </c>
      <c r="AR9" s="680" cm="1">
        <f t="array" ref="AR9">AR6</f>
        <v>2035</v>
      </c>
      <c r="AS9" s="680" cm="1">
        <f t="array" ref="AS9">AS6</f>
        <v>2026</v>
      </c>
      <c r="AT9" s="680" cm="1">
        <f t="array" ref="AT9">AT6</f>
        <v>2027</v>
      </c>
      <c r="AU9" s="680" cm="1">
        <f t="array" ref="AU9">AU6</f>
        <v>2028</v>
      </c>
      <c r="AV9" s="680" cm="1">
        <f t="array" ref="AV9">AV6</f>
        <v>2029</v>
      </c>
      <c r="AW9" s="680" cm="1">
        <f t="array" ref="AW9">AW6</f>
        <v>2030</v>
      </c>
      <c r="AX9" s="680" cm="1">
        <f t="array" ref="AX9">AX6</f>
        <v>2031</v>
      </c>
      <c r="AY9" s="680" cm="1">
        <f t="array" ref="AY9">AY6</f>
        <v>2032</v>
      </c>
      <c r="AZ9" s="680" cm="1">
        <f t="array" ref="AZ9">AZ6</f>
        <v>2033</v>
      </c>
      <c r="BA9" s="680" cm="1">
        <f t="array" ref="BA9">BA6</f>
        <v>2034</v>
      </c>
      <c r="BB9" s="680" cm="1">
        <f t="array" ref="BB9">BB6</f>
        <v>2035</v>
      </c>
      <c r="BC9" s="678"/>
    </row>
    <row r="10" spans="1:58" s="680" customFormat="1" ht="11.25" hidden="1" customHeight="1">
      <c r="A10" s="680" t="s">
        <v>359</v>
      </c>
      <c r="B10" s="681"/>
      <c r="F10" s="682"/>
      <c r="P10" s="664"/>
      <c r="Q10" s="664"/>
      <c r="R10" s="664"/>
      <c r="S10" s="664"/>
      <c r="T10" s="664"/>
      <c r="U10" s="664"/>
      <c r="W10" s="664"/>
      <c r="AB10" s="678"/>
      <c r="AC10" s="678"/>
      <c r="AD10" s="678"/>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78"/>
    </row>
    <row r="11" spans="1:58" s="680" customFormat="1" ht="11.25" hidden="1" customHeight="1">
      <c r="A11" s="680" t="s">
        <v>360</v>
      </c>
      <c r="B11" s="681"/>
      <c r="F11" s="682"/>
      <c r="P11" s="664"/>
      <c r="Q11" s="664"/>
      <c r="R11" s="664"/>
      <c r="S11" s="664"/>
      <c r="T11" s="664"/>
      <c r="U11" s="664"/>
      <c r="W11" s="664"/>
      <c r="AB11" s="678"/>
      <c r="AC11" s="678"/>
      <c r="AD11" s="678"/>
      <c r="BC11" s="678" t="str" cm="1">
        <f t="array" ref="BC11">BC24</f>
        <v>Ссылка на правовую норму (основание для принятия показателя в расчет тарифа)</v>
      </c>
    </row>
    <row r="12" spans="1:58" ht="11.25" hidden="1" customHeight="1">
      <c r="AD12" s="36"/>
    </row>
    <row r="13" spans="1:58" ht="11.25" hidden="1" customHeight="1"/>
    <row r="14" spans="1:58" ht="11.25" hidden="1" customHeight="1"/>
    <row r="15" spans="1:58" ht="11.25" hidden="1" customHeight="1"/>
    <row r="16" spans="1:58" ht="11.25" hidden="1" customHeight="1"/>
    <row r="17" spans="1:58" ht="11.25" hidden="1" customHeight="1"/>
    <row r="18" spans="1:58" ht="11.25" hidden="1" customHeight="1"/>
    <row r="19" spans="1:58" ht="11.25" hidden="1" customHeight="1"/>
    <row r="20" spans="1:58" ht="11.25" hidden="1" customHeight="1"/>
    <row r="21" spans="1:58" ht="14.65" customHeight="1">
      <c r="E21" s="472">
        <v>15</v>
      </c>
      <c r="AA21" s="78"/>
      <c r="AC21" s="3" t="str" cm="1">
        <f t="array" ref="AC21">tpl_title</f>
        <v>Кемеровская область / 2026 / ООО "Энергосервис г. Гурьевска" (ИНН:4202049045, КПП:420201001) / ДПР: 2024-2028</v>
      </c>
    </row>
    <row r="22" spans="1:58" s="78" customFormat="1" ht="19.5" customHeight="1">
      <c r="B22" s="65"/>
      <c r="E22" s="473">
        <v>20</v>
      </c>
      <c r="F22" s="3"/>
      <c r="AB22" s="238" t="s">
        <v>46</v>
      </c>
      <c r="AC22" s="127"/>
      <c r="AD22" s="127"/>
      <c r="AE22" s="127"/>
      <c r="AF22" s="127"/>
      <c r="AG22" s="127"/>
      <c r="AH22" s="127"/>
      <c r="AI22" s="127"/>
      <c r="AJ22" s="127"/>
      <c r="AK22" s="127"/>
      <c r="AL22" s="127"/>
      <c r="AM22" s="127"/>
      <c r="AN22" s="127"/>
      <c r="AO22" s="127"/>
      <c r="AP22" s="127"/>
      <c r="AQ22" s="127"/>
      <c r="AR22" s="127"/>
      <c r="AS22" s="127"/>
      <c r="AT22" s="127"/>
      <c r="AU22" s="127"/>
      <c r="AV22" s="127"/>
      <c r="AW22" s="127"/>
      <c r="AX22" s="127"/>
      <c r="AY22" s="127"/>
      <c r="AZ22" s="127"/>
      <c r="BA22" s="127"/>
      <c r="BB22" s="127"/>
      <c r="BC22" s="127"/>
      <c r="BF22" s="683"/>
    </row>
    <row r="23" spans="1:58" ht="10.9" customHeight="1">
      <c r="E23" s="472">
        <v>11.25</v>
      </c>
    </row>
    <row r="24" spans="1:58" s="79" customFormat="1" ht="14.65" customHeight="1">
      <c r="B24" s="65"/>
      <c r="E24" s="470">
        <v>15</v>
      </c>
      <c r="F24" s="139"/>
      <c r="AB24" s="1090" t="s">
        <v>22</v>
      </c>
      <c r="AC24" s="1091" t="s">
        <v>362</v>
      </c>
      <c r="AD24" s="1088" t="s">
        <v>363</v>
      </c>
      <c r="AE24" s="431" t="str">
        <f>god-2&amp;" год"</f>
        <v>2024 год</v>
      </c>
      <c r="AF24" s="737" t="str">
        <f>god-2&amp;" год"</f>
        <v>2024 год</v>
      </c>
      <c r="AG24" s="274" t="str">
        <f>god-2&amp;" год"</f>
        <v>2024 год</v>
      </c>
      <c r="AH24" s="32" t="str">
        <f>god-1&amp;" год"</f>
        <v>2025 год</v>
      </c>
      <c r="AI24" s="734" t="str">
        <f>god&amp;" год"</f>
        <v>2026 год</v>
      </c>
      <c r="AJ24" s="734" t="str">
        <f>god+1&amp;" год"</f>
        <v>2027 год</v>
      </c>
      <c r="AK24" s="734" t="str">
        <f>god+2&amp;" год"</f>
        <v>2028 год</v>
      </c>
      <c r="AL24" s="734" t="str">
        <f>god+3&amp;" год"</f>
        <v>2029 год</v>
      </c>
      <c r="AM24" s="734" t="str">
        <f>god+4&amp;" год"</f>
        <v>2030 год</v>
      </c>
      <c r="AN24" s="734" t="str">
        <f>god+5&amp;" год"</f>
        <v>2031 год</v>
      </c>
      <c r="AO24" s="734" t="str">
        <f>god+6&amp;" год"</f>
        <v>2032 год</v>
      </c>
      <c r="AP24" s="734" t="str">
        <f>god+7&amp;" год"</f>
        <v>2033 год</v>
      </c>
      <c r="AQ24" s="734" t="str">
        <f>god+8&amp;" год"</f>
        <v>2034 год</v>
      </c>
      <c r="AR24" s="734"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1089" t="s">
        <v>529</v>
      </c>
      <c r="BF24" s="678"/>
    </row>
    <row r="25" spans="1:58" s="79" customFormat="1" ht="68.45" customHeight="1">
      <c r="B25" s="65"/>
      <c r="E25" s="470">
        <v>70.25</v>
      </c>
      <c r="F25" s="139"/>
      <c r="AB25" s="1090"/>
      <c r="AC25" s="1091"/>
      <c r="AD25" s="1088"/>
      <c r="AE25" s="432" t="s">
        <v>355</v>
      </c>
      <c r="AF25" s="734" t="s">
        <v>450</v>
      </c>
      <c r="AG25" s="30" t="s">
        <v>451</v>
      </c>
      <c r="AH25" s="30" t="s">
        <v>355</v>
      </c>
      <c r="AI25" s="738" t="s">
        <v>356</v>
      </c>
      <c r="AJ25" s="738" t="s">
        <v>356</v>
      </c>
      <c r="AK25" s="738" t="s">
        <v>356</v>
      </c>
      <c r="AL25" s="738" t="s">
        <v>356</v>
      </c>
      <c r="AM25" s="738" t="s">
        <v>356</v>
      </c>
      <c r="AN25" s="738" t="s">
        <v>356</v>
      </c>
      <c r="AO25" s="738" t="s">
        <v>356</v>
      </c>
      <c r="AP25" s="738" t="s">
        <v>356</v>
      </c>
      <c r="AQ25" s="738" t="s">
        <v>356</v>
      </c>
      <c r="AR25" s="738" t="s">
        <v>356</v>
      </c>
      <c r="AS25" s="275" t="s">
        <v>355</v>
      </c>
      <c r="AT25" s="275" t="s">
        <v>355</v>
      </c>
      <c r="AU25" s="275" t="s">
        <v>355</v>
      </c>
      <c r="AV25" s="275" t="s">
        <v>355</v>
      </c>
      <c r="AW25" s="275" t="s">
        <v>355</v>
      </c>
      <c r="AX25" s="275" t="s">
        <v>355</v>
      </c>
      <c r="AY25" s="275" t="s">
        <v>355</v>
      </c>
      <c r="AZ25" s="275" t="s">
        <v>355</v>
      </c>
      <c r="BA25" s="275" t="s">
        <v>355</v>
      </c>
      <c r="BB25" s="275" t="s">
        <v>355</v>
      </c>
      <c r="BC25" s="1089"/>
      <c r="BF25" s="678"/>
    </row>
    <row r="26" spans="1:58" ht="15" hidden="1" customHeight="1">
      <c r="A26" s="327"/>
      <c r="B26" s="490"/>
      <c r="C26" s="327"/>
      <c r="D26" s="327"/>
      <c r="E26" s="491">
        <v>0</v>
      </c>
      <c r="F26" s="545"/>
      <c r="G26" s="327"/>
      <c r="H26" s="327"/>
      <c r="I26" s="327"/>
      <c r="J26" s="327"/>
      <c r="K26" s="327"/>
      <c r="L26" s="327"/>
      <c r="M26" s="327"/>
      <c r="N26" s="327"/>
      <c r="O26" s="327"/>
      <c r="R26" s="494" t="s">
        <v>263</v>
      </c>
      <c r="S26" s="494" t="s">
        <v>530</v>
      </c>
      <c r="T26" s="365"/>
      <c r="V26" s="327"/>
      <c r="X26" s="327"/>
      <c r="Y26" s="327"/>
      <c r="Z26" s="327"/>
      <c r="AA26" s="327"/>
      <c r="AB26"/>
      <c r="AC26" s="37"/>
      <c r="AD26" s="37"/>
      <c r="AE26" s="37"/>
      <c r="AF26" s="37"/>
      <c r="AG26"/>
      <c r="AH26"/>
      <c r="AI26"/>
      <c r="AJ26"/>
      <c r="AK26"/>
      <c r="AL26"/>
      <c r="AM26"/>
      <c r="AN26"/>
      <c r="AO26"/>
      <c r="AP26"/>
      <c r="AQ26" s="38"/>
      <c r="AR26"/>
      <c r="AS26"/>
      <c r="AT26"/>
      <c r="AU26"/>
      <c r="AV26"/>
      <c r="AW26"/>
      <c r="AX26"/>
      <c r="AY26"/>
      <c r="AZ26"/>
      <c r="BA26"/>
      <c r="BB26"/>
      <c r="BC26"/>
      <c r="BD26"/>
      <c r="BE26"/>
      <c r="BF26" s="670"/>
    </row>
    <row r="27" spans="1:58" ht="14.65" hidden="1" customHeight="1">
      <c r="E27" s="472">
        <v>15</v>
      </c>
      <c r="F27" s="266" cm="1">
        <f t="array" ref="F27">X27</f>
        <v>0</v>
      </c>
      <c r="T27" s="365" t="b">
        <f>X27&gt;0</f>
        <v>0</v>
      </c>
      <c r="V27" s="36" t="s">
        <v>264</v>
      </c>
      <c r="X27" s="1075">
        <v>0</v>
      </c>
      <c r="Y27" s="1064"/>
      <c r="AB27" s="113" t="str" cm="1">
        <f t="array" ref="AB27">INDEX('Общие сведения'!$AG$179:$AG$222,MATCH($X27,'Общие сведения'!$Z$179:$Z$222,0))</f>
        <v xml:space="preserve">Тариф 0 () - </v>
      </c>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row>
    <row r="28" spans="1:58" ht="14.65" hidden="1" customHeight="1">
      <c r="E28" s="472">
        <v>15</v>
      </c>
      <c r="F28" s="3" cm="1">
        <f t="array" aca="1" ref="F28" ca="1">OFFSET(E28,-1,1)</f>
        <v>0</v>
      </c>
      <c r="R28" s="327" t="b" cm="1">
        <f t="array" ref="R28">INDEX('Общие сведения'!$AN$179:$AN$222,MATCH($X27,'Общие сведения'!$Z$179:$Z$222,0))</f>
        <v>0</v>
      </c>
      <c r="S28" s="327" t="b">
        <f>IF(ISERROR(SEARCH("Водоснабжение",AB27)),FALSE,TRUE)</f>
        <v>0</v>
      </c>
      <c r="T28" s="365" t="b">
        <f>AND(X27&gt;0,S28,NOT(R28))</f>
        <v>0</v>
      </c>
      <c r="X28" s="1075"/>
      <c r="Y28" s="1064"/>
      <c r="AB28" s="172" t="s">
        <v>275</v>
      </c>
      <c r="AC28" s="248" t="s">
        <v>531</v>
      </c>
      <c r="AD28" s="30"/>
      <c r="AE28" s="427" cm="1">
        <f t="array" ref="AE28">INDEX('Общие сведения'!$AH$179:$AH$222,MATCH($X27,'Общие сведения'!$Z$179:$Z$222,0))</f>
        <v>0</v>
      </c>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8"/>
      <c r="BC28" s="839"/>
      <c r="BF28" s="680" t="s">
        <v>532</v>
      </c>
    </row>
    <row r="29" spans="1:58" ht="14.65" hidden="1" customHeight="1">
      <c r="E29" s="472">
        <v>15</v>
      </c>
      <c r="F29" s="3" cm="1">
        <f t="array" aca="1" ref="F29" ca="1">OFFSET(E29,-1,1)</f>
        <v>0</v>
      </c>
      <c r="H29" s="36" t="s">
        <v>331</v>
      </c>
      <c r="T29" s="365" t="b" cm="1">
        <f t="array" ref="T29">T28</f>
        <v>0</v>
      </c>
      <c r="X29" s="1075"/>
      <c r="Y29" s="1064"/>
      <c r="AB29" s="172" t="s">
        <v>285</v>
      </c>
      <c r="AC29" s="74" t="s">
        <v>533</v>
      </c>
      <c r="AD29" s="31" t="s">
        <v>534</v>
      </c>
      <c r="AE29" s="236">
        <f t="shared" ref="AE29:BB29" si="3">AE38+AE33-AE36</f>
        <v>0</v>
      </c>
      <c r="AF29" s="236">
        <f t="shared" si="3"/>
        <v>0</v>
      </c>
      <c r="AG29" s="236">
        <f t="shared" si="3"/>
        <v>0</v>
      </c>
      <c r="AH29" s="236">
        <f t="shared" si="3"/>
        <v>0</v>
      </c>
      <c r="AI29" s="236">
        <f t="shared" si="3"/>
        <v>0</v>
      </c>
      <c r="AJ29" s="236">
        <f t="shared" si="3"/>
        <v>0</v>
      </c>
      <c r="AK29" s="236">
        <f t="shared" si="3"/>
        <v>0</v>
      </c>
      <c r="AL29" s="236">
        <f t="shared" si="3"/>
        <v>0</v>
      </c>
      <c r="AM29" s="236">
        <f t="shared" si="3"/>
        <v>0</v>
      </c>
      <c r="AN29" s="236">
        <f t="shared" si="3"/>
        <v>0</v>
      </c>
      <c r="AO29" s="236">
        <f t="shared" si="3"/>
        <v>0</v>
      </c>
      <c r="AP29" s="236">
        <f t="shared" si="3"/>
        <v>0</v>
      </c>
      <c r="AQ29" s="236">
        <f t="shared" si="3"/>
        <v>0</v>
      </c>
      <c r="AR29" s="236">
        <f t="shared" si="3"/>
        <v>0</v>
      </c>
      <c r="AS29" s="236">
        <f t="shared" si="3"/>
        <v>0</v>
      </c>
      <c r="AT29" s="236">
        <f t="shared" si="3"/>
        <v>0</v>
      </c>
      <c r="AU29" s="236">
        <f t="shared" si="3"/>
        <v>0</v>
      </c>
      <c r="AV29" s="236">
        <f t="shared" si="3"/>
        <v>0</v>
      </c>
      <c r="AW29" s="236">
        <f t="shared" si="3"/>
        <v>0</v>
      </c>
      <c r="AX29" s="236">
        <f t="shared" si="3"/>
        <v>0</v>
      </c>
      <c r="AY29" s="236">
        <f t="shared" si="3"/>
        <v>0</v>
      </c>
      <c r="AZ29" s="236">
        <f t="shared" si="3"/>
        <v>0</v>
      </c>
      <c r="BA29" s="236">
        <f t="shared" si="3"/>
        <v>0</v>
      </c>
      <c r="BB29" s="236">
        <f t="shared" si="3"/>
        <v>0</v>
      </c>
      <c r="BC29" s="839"/>
      <c r="BF29" s="680" t="s">
        <v>535</v>
      </c>
    </row>
    <row r="30" spans="1:58" ht="14.65" hidden="1" customHeight="1">
      <c r="E30" s="472">
        <v>15</v>
      </c>
      <c r="F30" s="3" cm="1">
        <f t="array" aca="1" ref="F30" ca="1">OFFSET(E30,-1,1)</f>
        <v>0</v>
      </c>
      <c r="H30" s="36" t="s">
        <v>536</v>
      </c>
      <c r="T30" s="365" t="b" cm="1">
        <f t="array" ref="T30">T29</f>
        <v>0</v>
      </c>
      <c r="X30" s="1075"/>
      <c r="Y30" s="1064"/>
      <c r="AB30" s="172" t="s">
        <v>537</v>
      </c>
      <c r="AC30" s="124" t="s">
        <v>538</v>
      </c>
      <c r="AD30" s="31" t="s">
        <v>534</v>
      </c>
      <c r="AE30" s="849"/>
      <c r="AF30" s="849"/>
      <c r="AG30" s="849"/>
      <c r="AH30" s="849"/>
      <c r="AI30" s="849"/>
      <c r="AJ30" s="849"/>
      <c r="AK30" s="849"/>
      <c r="AL30" s="849"/>
      <c r="AM30" s="849"/>
      <c r="AN30" s="849"/>
      <c r="AO30" s="849"/>
      <c r="AP30" s="849"/>
      <c r="AQ30" s="849"/>
      <c r="AR30" s="849"/>
      <c r="AS30" s="849"/>
      <c r="AT30" s="849"/>
      <c r="AU30" s="849"/>
      <c r="AV30" s="849"/>
      <c r="AW30" s="849"/>
      <c r="AX30" s="849"/>
      <c r="AY30" s="849"/>
      <c r="AZ30" s="849"/>
      <c r="BA30" s="849"/>
      <c r="BB30" s="849"/>
      <c r="BC30" s="784"/>
      <c r="BF30" s="680" t="s">
        <v>539</v>
      </c>
    </row>
    <row r="31" spans="1:58" ht="14.65" hidden="1" customHeight="1">
      <c r="E31" s="472">
        <v>15</v>
      </c>
      <c r="F31" s="3" cm="1">
        <f t="array" aca="1" ref="F31" ca="1">OFFSET(E31,-1,1)</f>
        <v>0</v>
      </c>
      <c r="H31" s="36" t="s">
        <v>540</v>
      </c>
      <c r="T31" s="365" t="b" cm="1">
        <f t="array" ref="T31">T30</f>
        <v>0</v>
      </c>
      <c r="X31" s="1075"/>
      <c r="Y31" s="1064"/>
      <c r="AB31" s="172" t="s">
        <v>541</v>
      </c>
      <c r="AC31" s="124" t="s">
        <v>542</v>
      </c>
      <c r="AD31" s="31" t="s">
        <v>534</v>
      </c>
      <c r="AE31" s="849"/>
      <c r="AF31" s="849"/>
      <c r="AG31" s="849"/>
      <c r="AH31" s="849"/>
      <c r="AI31" s="849"/>
      <c r="AJ31" s="849"/>
      <c r="AK31" s="849"/>
      <c r="AL31" s="849"/>
      <c r="AM31" s="849"/>
      <c r="AN31" s="849"/>
      <c r="AO31" s="849"/>
      <c r="AP31" s="849"/>
      <c r="AQ31" s="849"/>
      <c r="AR31" s="849"/>
      <c r="AS31" s="849"/>
      <c r="AT31" s="849"/>
      <c r="AU31" s="849"/>
      <c r="AV31" s="849"/>
      <c r="AW31" s="849"/>
      <c r="AX31" s="849"/>
      <c r="AY31" s="849"/>
      <c r="AZ31" s="849"/>
      <c r="BA31" s="849"/>
      <c r="BB31" s="849"/>
      <c r="BC31" s="784"/>
      <c r="BF31" s="680" t="s">
        <v>543</v>
      </c>
    </row>
    <row r="32" spans="1:58" ht="21.95" hidden="1" customHeight="1">
      <c r="E32" s="472">
        <v>22.5</v>
      </c>
      <c r="F32" s="3" cm="1">
        <f t="array" aca="1" ref="F32" ca="1">OFFSET(E32,-1,1)</f>
        <v>0</v>
      </c>
      <c r="H32" s="36" t="s">
        <v>544</v>
      </c>
      <c r="T32" s="365" t="b" cm="1">
        <f t="array" ref="T32">T31</f>
        <v>0</v>
      </c>
      <c r="X32" s="1075"/>
      <c r="Y32" s="1064"/>
      <c r="AB32" s="172" t="s">
        <v>545</v>
      </c>
      <c r="AC32" s="74" t="s">
        <v>546</v>
      </c>
      <c r="AD32" s="31" t="s">
        <v>534</v>
      </c>
      <c r="AE32" s="849"/>
      <c r="AF32" s="849"/>
      <c r="AG32" s="849"/>
      <c r="AH32" s="849"/>
      <c r="AI32" s="849"/>
      <c r="AJ32" s="849"/>
      <c r="AK32" s="849"/>
      <c r="AL32" s="849"/>
      <c r="AM32" s="849"/>
      <c r="AN32" s="849"/>
      <c r="AO32" s="849"/>
      <c r="AP32" s="849"/>
      <c r="AQ32" s="849"/>
      <c r="AR32" s="849"/>
      <c r="AS32" s="849"/>
      <c r="AT32" s="849"/>
      <c r="AU32" s="849"/>
      <c r="AV32" s="849"/>
      <c r="AW32" s="849"/>
      <c r="AX32" s="849"/>
      <c r="AY32" s="849"/>
      <c r="AZ32" s="849"/>
      <c r="BA32" s="849"/>
      <c r="BB32" s="849"/>
      <c r="BC32" s="784"/>
      <c r="BF32" s="680" t="s">
        <v>547</v>
      </c>
    </row>
    <row r="33" spans="5:58" ht="14.65" hidden="1" customHeight="1">
      <c r="E33" s="472">
        <v>15</v>
      </c>
      <c r="F33" s="3" cm="1">
        <f t="array" aca="1" ref="F33" ca="1">OFFSET(E33,-1,1)</f>
        <v>0</v>
      </c>
      <c r="H33" s="36" t="s">
        <v>330</v>
      </c>
      <c r="T33" s="365" t="b" cm="1">
        <f t="array" ref="T33">T32</f>
        <v>0</v>
      </c>
      <c r="X33" s="1075"/>
      <c r="Y33" s="1064"/>
      <c r="AB33" s="172" t="s">
        <v>325</v>
      </c>
      <c r="AC33" s="74" t="s">
        <v>548</v>
      </c>
      <c r="AD33" s="31" t="s">
        <v>534</v>
      </c>
      <c r="AE33" s="236">
        <f t="shared" ref="AE33:BB33" si="4">SUM(AE34:AE35)</f>
        <v>0</v>
      </c>
      <c r="AF33" s="236">
        <f t="shared" si="4"/>
        <v>0</v>
      </c>
      <c r="AG33" s="236">
        <f t="shared" si="4"/>
        <v>0</v>
      </c>
      <c r="AH33" s="236">
        <f t="shared" si="4"/>
        <v>0</v>
      </c>
      <c r="AI33" s="236">
        <f t="shared" si="4"/>
        <v>0</v>
      </c>
      <c r="AJ33" s="236">
        <f t="shared" si="4"/>
        <v>0</v>
      </c>
      <c r="AK33" s="236">
        <f t="shared" si="4"/>
        <v>0</v>
      </c>
      <c r="AL33" s="236">
        <f t="shared" si="4"/>
        <v>0</v>
      </c>
      <c r="AM33" s="236">
        <f t="shared" si="4"/>
        <v>0</v>
      </c>
      <c r="AN33" s="236">
        <f t="shared" si="4"/>
        <v>0</v>
      </c>
      <c r="AO33" s="236">
        <f t="shared" si="4"/>
        <v>0</v>
      </c>
      <c r="AP33" s="236">
        <f t="shared" si="4"/>
        <v>0</v>
      </c>
      <c r="AQ33" s="236">
        <f t="shared" si="4"/>
        <v>0</v>
      </c>
      <c r="AR33" s="236">
        <f t="shared" si="4"/>
        <v>0</v>
      </c>
      <c r="AS33" s="236">
        <f t="shared" si="4"/>
        <v>0</v>
      </c>
      <c r="AT33" s="236">
        <f t="shared" si="4"/>
        <v>0</v>
      </c>
      <c r="AU33" s="236">
        <f t="shared" si="4"/>
        <v>0</v>
      </c>
      <c r="AV33" s="236">
        <f t="shared" si="4"/>
        <v>0</v>
      </c>
      <c r="AW33" s="236">
        <f t="shared" si="4"/>
        <v>0</v>
      </c>
      <c r="AX33" s="236">
        <f t="shared" si="4"/>
        <v>0</v>
      </c>
      <c r="AY33" s="236">
        <f t="shared" si="4"/>
        <v>0</v>
      </c>
      <c r="AZ33" s="236">
        <f t="shared" si="4"/>
        <v>0</v>
      </c>
      <c r="BA33" s="236">
        <f t="shared" si="4"/>
        <v>0</v>
      </c>
      <c r="BB33" s="236">
        <f t="shared" si="4"/>
        <v>0</v>
      </c>
      <c r="BC33" s="784"/>
      <c r="BF33" s="680" t="s">
        <v>549</v>
      </c>
    </row>
    <row r="34" spans="5:58" ht="14.65" hidden="1" customHeight="1">
      <c r="E34" s="472">
        <v>15</v>
      </c>
      <c r="F34" s="3" cm="1">
        <f t="array" aca="1" ref="F34" ca="1">OFFSET(E34,-1,1)</f>
        <v>0</v>
      </c>
      <c r="H34" s="36" t="s">
        <v>550</v>
      </c>
      <c r="T34" s="365" t="b" cm="1">
        <f t="array" ref="T34">T33</f>
        <v>0</v>
      </c>
      <c r="X34" s="1075"/>
      <c r="Y34" s="1064"/>
      <c r="AB34" s="172" t="s">
        <v>551</v>
      </c>
      <c r="AC34" s="124" t="s">
        <v>552</v>
      </c>
      <c r="AD34" s="31" t="s">
        <v>534</v>
      </c>
      <c r="AE34" s="849"/>
      <c r="AF34" s="849"/>
      <c r="AG34" s="849"/>
      <c r="AH34" s="849"/>
      <c r="AI34" s="849"/>
      <c r="AJ34" s="849"/>
      <c r="AK34" s="849"/>
      <c r="AL34" s="849"/>
      <c r="AM34" s="849"/>
      <c r="AN34" s="849"/>
      <c r="AO34" s="849"/>
      <c r="AP34" s="849"/>
      <c r="AQ34" s="849"/>
      <c r="AR34" s="849"/>
      <c r="AS34" s="849"/>
      <c r="AT34" s="849"/>
      <c r="AU34" s="849"/>
      <c r="AV34" s="849"/>
      <c r="AW34" s="849"/>
      <c r="AX34" s="849"/>
      <c r="AY34" s="849"/>
      <c r="AZ34" s="849"/>
      <c r="BA34" s="849"/>
      <c r="BB34" s="849"/>
      <c r="BC34" s="784"/>
      <c r="BF34" s="680" t="s">
        <v>553</v>
      </c>
    </row>
    <row r="35" spans="5:58" ht="14.65" hidden="1" customHeight="1">
      <c r="E35" s="472">
        <v>15</v>
      </c>
      <c r="F35" s="3" cm="1">
        <f t="array" aca="1" ref="F35" ca="1">OFFSET(E35,-1,1)</f>
        <v>0</v>
      </c>
      <c r="H35" s="36" t="s">
        <v>554</v>
      </c>
      <c r="T35" s="365" t="b" cm="1">
        <f t="array" ref="T35">T34</f>
        <v>0</v>
      </c>
      <c r="X35" s="1075"/>
      <c r="Y35" s="1064"/>
      <c r="AB35" s="172" t="s">
        <v>555</v>
      </c>
      <c r="AC35" s="124" t="s">
        <v>556</v>
      </c>
      <c r="AD35" s="31" t="s">
        <v>534</v>
      </c>
      <c r="AE35" s="849"/>
      <c r="AF35" s="849"/>
      <c r="AG35" s="849"/>
      <c r="AH35" s="849"/>
      <c r="AI35" s="849"/>
      <c r="AJ35" s="849"/>
      <c r="AK35" s="849"/>
      <c r="AL35" s="849"/>
      <c r="AM35" s="849"/>
      <c r="AN35" s="849"/>
      <c r="AO35" s="849"/>
      <c r="AP35" s="849"/>
      <c r="AQ35" s="849"/>
      <c r="AR35" s="849"/>
      <c r="AS35" s="849"/>
      <c r="AT35" s="849"/>
      <c r="AU35" s="849"/>
      <c r="AV35" s="849"/>
      <c r="AW35" s="849"/>
      <c r="AX35" s="849"/>
      <c r="AY35" s="849"/>
      <c r="AZ35" s="849"/>
      <c r="BA35" s="849"/>
      <c r="BB35" s="849"/>
      <c r="BC35" s="784"/>
      <c r="BF35" s="680" t="s">
        <v>557</v>
      </c>
    </row>
    <row r="36" spans="5:58" ht="14.65" hidden="1" customHeight="1">
      <c r="E36" s="472">
        <v>15</v>
      </c>
      <c r="F36" s="3" cm="1">
        <f t="array" aca="1" ref="F36" ca="1">OFFSET(E36,-1,1)</f>
        <v>0</v>
      </c>
      <c r="H36" s="36" t="s">
        <v>511</v>
      </c>
      <c r="T36" s="365" t="b" cm="1">
        <f t="array" ref="T36">T35</f>
        <v>0</v>
      </c>
      <c r="X36" s="1075"/>
      <c r="Y36" s="1064"/>
      <c r="AB36" s="172" t="s">
        <v>433</v>
      </c>
      <c r="AC36" s="248" t="s">
        <v>558</v>
      </c>
      <c r="AD36" s="31" t="s">
        <v>534</v>
      </c>
      <c r="AE36" s="838"/>
      <c r="AF36" s="838"/>
      <c r="AG36" s="838"/>
      <c r="AH36" s="838"/>
      <c r="AI36" s="838"/>
      <c r="AJ36" s="838"/>
      <c r="AK36" s="838"/>
      <c r="AL36" s="838"/>
      <c r="AM36" s="838"/>
      <c r="AN36" s="838"/>
      <c r="AO36" s="838"/>
      <c r="AP36" s="838"/>
      <c r="AQ36" s="838"/>
      <c r="AR36" s="838"/>
      <c r="AS36" s="838"/>
      <c r="AT36" s="838"/>
      <c r="AU36" s="838"/>
      <c r="AV36" s="838"/>
      <c r="AW36" s="838"/>
      <c r="AX36" s="838"/>
      <c r="AY36" s="838"/>
      <c r="AZ36" s="838"/>
      <c r="BA36" s="838"/>
      <c r="BB36" s="838"/>
      <c r="BC36" s="784"/>
      <c r="BF36" s="680" t="s">
        <v>559</v>
      </c>
    </row>
    <row r="37" spans="5:58" ht="14.65" hidden="1" customHeight="1">
      <c r="E37" s="472">
        <v>15</v>
      </c>
      <c r="F37" s="3" cm="1">
        <f t="array" aca="1" ref="F37" ca="1">OFFSET(E37,-1,1)</f>
        <v>0</v>
      </c>
      <c r="H37" s="36" t="s">
        <v>514</v>
      </c>
      <c r="T37" s="365" t="b" cm="1">
        <f t="array" ref="T37">T36</f>
        <v>0</v>
      </c>
      <c r="X37" s="1075"/>
      <c r="Y37" s="1064"/>
      <c r="AB37" s="172" t="s">
        <v>444</v>
      </c>
      <c r="AC37" s="248" t="s">
        <v>560</v>
      </c>
      <c r="AD37" s="31" t="s">
        <v>534</v>
      </c>
      <c r="AE37" s="849"/>
      <c r="AF37" s="849"/>
      <c r="AG37" s="849"/>
      <c r="AH37" s="849"/>
      <c r="AI37" s="849"/>
      <c r="AJ37" s="849"/>
      <c r="AK37" s="849"/>
      <c r="AL37" s="849"/>
      <c r="AM37" s="849"/>
      <c r="AN37" s="849"/>
      <c r="AO37" s="849"/>
      <c r="AP37" s="849"/>
      <c r="AQ37" s="849"/>
      <c r="AR37" s="849"/>
      <c r="AS37" s="849"/>
      <c r="AT37" s="849"/>
      <c r="AU37" s="849"/>
      <c r="AV37" s="849"/>
      <c r="AW37" s="849"/>
      <c r="AX37" s="849"/>
      <c r="AY37" s="849"/>
      <c r="AZ37" s="849"/>
      <c r="BA37" s="849"/>
      <c r="BB37" s="849"/>
      <c r="BC37" s="784"/>
      <c r="BF37" s="680" t="s">
        <v>561</v>
      </c>
    </row>
    <row r="38" spans="5:58" ht="14.65" hidden="1" customHeight="1">
      <c r="E38" s="472">
        <v>15</v>
      </c>
      <c r="F38" s="3" cm="1">
        <f t="array" aca="1" ref="F38" ca="1">OFFSET(E38,-1,1)</f>
        <v>0</v>
      </c>
      <c r="H38" s="36" t="s">
        <v>562</v>
      </c>
      <c r="T38" s="365" t="b" cm="1">
        <f t="array" ref="T38">T37</f>
        <v>0</v>
      </c>
      <c r="X38" s="1075"/>
      <c r="Y38" s="1064"/>
      <c r="AB38" s="172" t="s">
        <v>447</v>
      </c>
      <c r="AC38" s="74" t="s">
        <v>563</v>
      </c>
      <c r="AD38" s="31" t="s">
        <v>534</v>
      </c>
      <c r="AE38" s="236">
        <f t="shared" ref="AE38:BB38" si="5">AE44+AE42</f>
        <v>0</v>
      </c>
      <c r="AF38" s="236">
        <f t="shared" si="5"/>
        <v>0</v>
      </c>
      <c r="AG38" s="236">
        <f t="shared" si="5"/>
        <v>0</v>
      </c>
      <c r="AH38" s="236">
        <f t="shared" si="5"/>
        <v>0</v>
      </c>
      <c r="AI38" s="236">
        <f t="shared" si="5"/>
        <v>0</v>
      </c>
      <c r="AJ38" s="236">
        <f t="shared" si="5"/>
        <v>0</v>
      </c>
      <c r="AK38" s="236">
        <f t="shared" si="5"/>
        <v>0</v>
      </c>
      <c r="AL38" s="236">
        <f t="shared" si="5"/>
        <v>0</v>
      </c>
      <c r="AM38" s="236">
        <f t="shared" si="5"/>
        <v>0</v>
      </c>
      <c r="AN38" s="236">
        <f t="shared" si="5"/>
        <v>0</v>
      </c>
      <c r="AO38" s="236">
        <f t="shared" si="5"/>
        <v>0</v>
      </c>
      <c r="AP38" s="236">
        <f t="shared" si="5"/>
        <v>0</v>
      </c>
      <c r="AQ38" s="236">
        <f t="shared" si="5"/>
        <v>0</v>
      </c>
      <c r="AR38" s="236">
        <f t="shared" si="5"/>
        <v>0</v>
      </c>
      <c r="AS38" s="236">
        <f t="shared" si="5"/>
        <v>0</v>
      </c>
      <c r="AT38" s="236">
        <f t="shared" si="5"/>
        <v>0</v>
      </c>
      <c r="AU38" s="236">
        <f t="shared" si="5"/>
        <v>0</v>
      </c>
      <c r="AV38" s="236">
        <f t="shared" si="5"/>
        <v>0</v>
      </c>
      <c r="AW38" s="236">
        <f t="shared" si="5"/>
        <v>0</v>
      </c>
      <c r="AX38" s="236">
        <f t="shared" si="5"/>
        <v>0</v>
      </c>
      <c r="AY38" s="236">
        <f t="shared" si="5"/>
        <v>0</v>
      </c>
      <c r="AZ38" s="236">
        <f t="shared" si="5"/>
        <v>0</v>
      </c>
      <c r="BA38" s="236">
        <f t="shared" si="5"/>
        <v>0</v>
      </c>
      <c r="BB38" s="236">
        <f t="shared" si="5"/>
        <v>0</v>
      </c>
      <c r="BC38" s="784"/>
      <c r="BF38" s="680" t="s">
        <v>564</v>
      </c>
    </row>
    <row r="39" spans="5:58" ht="21.95" hidden="1" customHeight="1">
      <c r="E39" s="472">
        <v>22.5</v>
      </c>
      <c r="F39" s="3" cm="1">
        <f t="array" aca="1" ref="F39" ca="1">OFFSET(E39,-1,1)</f>
        <v>0</v>
      </c>
      <c r="H39" s="36" t="s">
        <v>565</v>
      </c>
      <c r="T39" s="365" t="b" cm="1">
        <f t="array" ref="T39">T38</f>
        <v>0</v>
      </c>
      <c r="X39" s="1075"/>
      <c r="Y39" s="1064"/>
      <c r="AB39" s="172" t="s">
        <v>566</v>
      </c>
      <c r="AC39" s="124" t="s">
        <v>567</v>
      </c>
      <c r="AD39" s="31" t="s">
        <v>534</v>
      </c>
      <c r="AE39" s="849"/>
      <c r="AF39" s="849"/>
      <c r="AG39" s="849"/>
      <c r="AH39" s="849"/>
      <c r="AI39" s="849"/>
      <c r="AJ39" s="849"/>
      <c r="AK39" s="849"/>
      <c r="AL39" s="849"/>
      <c r="AM39" s="849"/>
      <c r="AN39" s="849"/>
      <c r="AO39" s="849"/>
      <c r="AP39" s="849"/>
      <c r="AQ39" s="849"/>
      <c r="AR39" s="849"/>
      <c r="AS39" s="849"/>
      <c r="AT39" s="849"/>
      <c r="AU39" s="849"/>
      <c r="AV39" s="849"/>
      <c r="AW39" s="849"/>
      <c r="AX39" s="849"/>
      <c r="AY39" s="849"/>
      <c r="AZ39" s="849"/>
      <c r="BA39" s="849"/>
      <c r="BB39" s="849"/>
      <c r="BC39" s="784"/>
      <c r="BF39" s="680" t="s">
        <v>568</v>
      </c>
    </row>
    <row r="40" spans="5:58" ht="14.65" hidden="1" customHeight="1">
      <c r="E40" s="472">
        <v>15</v>
      </c>
      <c r="F40" s="3" cm="1">
        <f t="array" aca="1" ref="F40" ca="1">OFFSET(E40,-1,1)</f>
        <v>0</v>
      </c>
      <c r="H40" s="36" t="s">
        <v>569</v>
      </c>
      <c r="T40" s="365" t="b" cm="1">
        <f t="array" ref="T40">T39</f>
        <v>0</v>
      </c>
      <c r="X40" s="1075"/>
      <c r="Y40" s="1064"/>
      <c r="AB40" s="172" t="s">
        <v>570</v>
      </c>
      <c r="AC40" s="124" t="s">
        <v>571</v>
      </c>
      <c r="AD40" s="31" t="s">
        <v>534</v>
      </c>
      <c r="AE40" s="849"/>
      <c r="AF40" s="849"/>
      <c r="AG40" s="849"/>
      <c r="AH40" s="849"/>
      <c r="AI40" s="849"/>
      <c r="AJ40" s="849"/>
      <c r="AK40" s="849"/>
      <c r="AL40" s="849"/>
      <c r="AM40" s="849"/>
      <c r="AN40" s="849"/>
      <c r="AO40" s="849"/>
      <c r="AP40" s="849"/>
      <c r="AQ40" s="849"/>
      <c r="AR40" s="849"/>
      <c r="AS40" s="849"/>
      <c r="AT40" s="849"/>
      <c r="AU40" s="849"/>
      <c r="AV40" s="849"/>
      <c r="AW40" s="849"/>
      <c r="AX40" s="849"/>
      <c r="AY40" s="849"/>
      <c r="AZ40" s="849"/>
      <c r="BA40" s="849"/>
      <c r="BB40" s="849"/>
      <c r="BC40" s="784"/>
      <c r="BF40" s="680" t="s">
        <v>572</v>
      </c>
    </row>
    <row r="41" spans="5:58" ht="21.95" hidden="1" customHeight="1">
      <c r="E41" s="472">
        <v>22.5</v>
      </c>
      <c r="F41" s="3" cm="1">
        <f t="array" aca="1" ref="F41" ca="1">OFFSET(E41,-1,1)</f>
        <v>0</v>
      </c>
      <c r="H41" s="36" t="s">
        <v>573</v>
      </c>
      <c r="T41" s="365" t="b" cm="1">
        <f t="array" ref="T41">T40</f>
        <v>0</v>
      </c>
      <c r="X41" s="1075"/>
      <c r="Y41" s="1064"/>
      <c r="AB41" s="172" t="s">
        <v>574</v>
      </c>
      <c r="AC41" s="124" t="s">
        <v>575</v>
      </c>
      <c r="AD41" s="31" t="s">
        <v>534</v>
      </c>
      <c r="AE41" s="849"/>
      <c r="AF41" s="849"/>
      <c r="AG41" s="849"/>
      <c r="AH41" s="849"/>
      <c r="AI41" s="849"/>
      <c r="AJ41" s="849"/>
      <c r="AK41" s="849"/>
      <c r="AL41" s="849"/>
      <c r="AM41" s="849"/>
      <c r="AN41" s="849"/>
      <c r="AO41" s="849"/>
      <c r="AP41" s="849"/>
      <c r="AQ41" s="849"/>
      <c r="AR41" s="849"/>
      <c r="AS41" s="849"/>
      <c r="AT41" s="849"/>
      <c r="AU41" s="849"/>
      <c r="AV41" s="849"/>
      <c r="AW41" s="849"/>
      <c r="AX41" s="849"/>
      <c r="AY41" s="849"/>
      <c r="AZ41" s="849"/>
      <c r="BA41" s="849"/>
      <c r="BB41" s="849"/>
      <c r="BC41" s="784"/>
      <c r="BF41" s="680" t="s">
        <v>576</v>
      </c>
    </row>
    <row r="42" spans="5:58" ht="14.65" hidden="1" customHeight="1">
      <c r="E42" s="472">
        <v>15</v>
      </c>
      <c r="F42" s="3" cm="1">
        <f t="array" aca="1" ref="F42" ca="1">OFFSET(E42,-1,1)</f>
        <v>0</v>
      </c>
      <c r="H42" s="36" t="s">
        <v>577</v>
      </c>
      <c r="T42" s="365" t="b" cm="1">
        <f t="array" ref="T42">T41</f>
        <v>0</v>
      </c>
      <c r="X42" s="1075"/>
      <c r="Y42" s="1064"/>
      <c r="AB42" s="172" t="s">
        <v>578</v>
      </c>
      <c r="AC42" s="248" t="s">
        <v>579</v>
      </c>
      <c r="AD42" s="31" t="s">
        <v>534</v>
      </c>
      <c r="AE42" s="849"/>
      <c r="AF42" s="849"/>
      <c r="AG42" s="849"/>
      <c r="AH42" s="849"/>
      <c r="AI42" s="849"/>
      <c r="AJ42" s="849"/>
      <c r="AK42" s="849"/>
      <c r="AL42" s="849"/>
      <c r="AM42" s="849"/>
      <c r="AN42" s="849"/>
      <c r="AO42" s="849"/>
      <c r="AP42" s="849"/>
      <c r="AQ42" s="849"/>
      <c r="AR42" s="849"/>
      <c r="AS42" s="849"/>
      <c r="AT42" s="849"/>
      <c r="AU42" s="849"/>
      <c r="AV42" s="849"/>
      <c r="AW42" s="849"/>
      <c r="AX42" s="849"/>
      <c r="AY42" s="849"/>
      <c r="AZ42" s="849"/>
      <c r="BA42" s="849"/>
      <c r="BB42" s="849"/>
      <c r="BC42" s="784"/>
      <c r="BF42" s="680" t="s">
        <v>580</v>
      </c>
    </row>
    <row r="43" spans="5:58" ht="14.65" hidden="1" customHeight="1">
      <c r="E43" s="472">
        <v>15</v>
      </c>
      <c r="F43" s="3" cm="1">
        <f t="array" aca="1" ref="F43" ca="1">OFFSET(E43,-1,1)</f>
        <v>0</v>
      </c>
      <c r="H43" s="36" t="s">
        <v>581</v>
      </c>
      <c r="T43" s="365" t="b" cm="1">
        <f t="array" ref="T43">T42</f>
        <v>0</v>
      </c>
      <c r="X43" s="1075"/>
      <c r="Y43" s="1064"/>
      <c r="AB43" s="172" t="s">
        <v>582</v>
      </c>
      <c r="AC43" s="249" t="s">
        <v>583</v>
      </c>
      <c r="AD43" s="31" t="s">
        <v>456</v>
      </c>
      <c r="AE43" s="833">
        <f t="shared" ref="AE43:BB43" si="6">IF(AE38=0,0,AE42/AE38*100)</f>
        <v>0</v>
      </c>
      <c r="AF43" s="833">
        <f t="shared" si="6"/>
        <v>0</v>
      </c>
      <c r="AG43" s="833">
        <f t="shared" si="6"/>
        <v>0</v>
      </c>
      <c r="AH43" s="833">
        <f t="shared" si="6"/>
        <v>0</v>
      </c>
      <c r="AI43" s="833">
        <f t="shared" si="6"/>
        <v>0</v>
      </c>
      <c r="AJ43" s="833">
        <f t="shared" si="6"/>
        <v>0</v>
      </c>
      <c r="AK43" s="833">
        <f t="shared" si="6"/>
        <v>0</v>
      </c>
      <c r="AL43" s="833">
        <f t="shared" si="6"/>
        <v>0</v>
      </c>
      <c r="AM43" s="833">
        <f t="shared" si="6"/>
        <v>0</v>
      </c>
      <c r="AN43" s="833">
        <f t="shared" si="6"/>
        <v>0</v>
      </c>
      <c r="AO43" s="833">
        <f t="shared" si="6"/>
        <v>0</v>
      </c>
      <c r="AP43" s="833">
        <f t="shared" si="6"/>
        <v>0</v>
      </c>
      <c r="AQ43" s="833">
        <f t="shared" si="6"/>
        <v>0</v>
      </c>
      <c r="AR43" s="833">
        <f t="shared" si="6"/>
        <v>0</v>
      </c>
      <c r="AS43" s="833">
        <f t="shared" si="6"/>
        <v>0</v>
      </c>
      <c r="AT43" s="833">
        <f t="shared" si="6"/>
        <v>0</v>
      </c>
      <c r="AU43" s="833">
        <f t="shared" si="6"/>
        <v>0</v>
      </c>
      <c r="AV43" s="833">
        <f t="shared" si="6"/>
        <v>0</v>
      </c>
      <c r="AW43" s="833">
        <f t="shared" si="6"/>
        <v>0</v>
      </c>
      <c r="AX43" s="833">
        <f t="shared" si="6"/>
        <v>0</v>
      </c>
      <c r="AY43" s="833">
        <f t="shared" si="6"/>
        <v>0</v>
      </c>
      <c r="AZ43" s="833">
        <f t="shared" si="6"/>
        <v>0</v>
      </c>
      <c r="BA43" s="833">
        <f t="shared" si="6"/>
        <v>0</v>
      </c>
      <c r="BB43" s="833">
        <f t="shared" si="6"/>
        <v>0</v>
      </c>
      <c r="BC43" s="784"/>
      <c r="BF43" s="680" t="s">
        <v>584</v>
      </c>
    </row>
    <row r="44" spans="5:58" ht="14.65" hidden="1" customHeight="1">
      <c r="E44" s="472">
        <v>15</v>
      </c>
      <c r="F44" s="3" cm="1">
        <f t="array" aca="1" ref="F44" ca="1">OFFSET(E44,-1,1)</f>
        <v>0</v>
      </c>
      <c r="H44" s="36" t="s">
        <v>585</v>
      </c>
      <c r="T44" s="365" t="b" cm="1">
        <f t="array" ref="T44">T43</f>
        <v>0</v>
      </c>
      <c r="X44" s="1075"/>
      <c r="Y44" s="1064"/>
      <c r="AB44" s="172" t="s">
        <v>586</v>
      </c>
      <c r="AC44" s="248" t="s">
        <v>587</v>
      </c>
      <c r="AD44" s="31" t="s">
        <v>534</v>
      </c>
      <c r="AE44" s="236">
        <f t="shared" ref="AE44:BB44" si="7">AE45+AE49+AE52+AE62</f>
        <v>0</v>
      </c>
      <c r="AF44" s="236">
        <f t="shared" si="7"/>
        <v>0</v>
      </c>
      <c r="AG44" s="236">
        <f t="shared" si="7"/>
        <v>0</v>
      </c>
      <c r="AH44" s="236">
        <f t="shared" si="7"/>
        <v>0</v>
      </c>
      <c r="AI44" s="236">
        <f t="shared" si="7"/>
        <v>0</v>
      </c>
      <c r="AJ44" s="236">
        <f t="shared" si="7"/>
        <v>0</v>
      </c>
      <c r="AK44" s="236">
        <f t="shared" si="7"/>
        <v>0</v>
      </c>
      <c r="AL44" s="236">
        <f t="shared" si="7"/>
        <v>0</v>
      </c>
      <c r="AM44" s="236">
        <f t="shared" si="7"/>
        <v>0</v>
      </c>
      <c r="AN44" s="236">
        <f t="shared" si="7"/>
        <v>0</v>
      </c>
      <c r="AO44" s="236">
        <f t="shared" si="7"/>
        <v>0</v>
      </c>
      <c r="AP44" s="236">
        <f t="shared" si="7"/>
        <v>0</v>
      </c>
      <c r="AQ44" s="236">
        <f t="shared" si="7"/>
        <v>0</v>
      </c>
      <c r="AR44" s="236">
        <f t="shared" si="7"/>
        <v>0</v>
      </c>
      <c r="AS44" s="236">
        <f t="shared" si="7"/>
        <v>0</v>
      </c>
      <c r="AT44" s="236">
        <f t="shared" si="7"/>
        <v>0</v>
      </c>
      <c r="AU44" s="236">
        <f t="shared" si="7"/>
        <v>0</v>
      </c>
      <c r="AV44" s="236">
        <f t="shared" si="7"/>
        <v>0</v>
      </c>
      <c r="AW44" s="236">
        <f t="shared" si="7"/>
        <v>0</v>
      </c>
      <c r="AX44" s="236">
        <f t="shared" si="7"/>
        <v>0</v>
      </c>
      <c r="AY44" s="236">
        <f t="shared" si="7"/>
        <v>0</v>
      </c>
      <c r="AZ44" s="236">
        <f t="shared" si="7"/>
        <v>0</v>
      </c>
      <c r="BA44" s="236">
        <f t="shared" si="7"/>
        <v>0</v>
      </c>
      <c r="BB44" s="236">
        <f t="shared" si="7"/>
        <v>0</v>
      </c>
      <c r="BC44" s="784"/>
      <c r="BF44" s="680" t="s">
        <v>588</v>
      </c>
    </row>
    <row r="45" spans="5:58" ht="14.65" hidden="1" customHeight="1">
      <c r="E45" s="472">
        <v>15</v>
      </c>
      <c r="F45" s="3" cm="1">
        <f t="array" aca="1" ref="F45" ca="1">OFFSET(E45,-1,1)</f>
        <v>0</v>
      </c>
      <c r="G45" s="36" t="str">
        <f>IF(OwnNeedsInPO="да","ПО","")</f>
        <v/>
      </c>
      <c r="H45" s="36" t="s">
        <v>589</v>
      </c>
      <c r="T45" s="365" t="b" cm="1">
        <f t="array" ref="T45">T44</f>
        <v>0</v>
      </c>
      <c r="X45" s="1075"/>
      <c r="Y45" s="1064"/>
      <c r="AB45" s="172" t="s">
        <v>590</v>
      </c>
      <c r="AC45" s="124" t="s">
        <v>591</v>
      </c>
      <c r="AD45" s="31" t="s">
        <v>534</v>
      </c>
      <c r="AE45" s="236">
        <f t="shared" ref="AE45:BB45" si="8">SUM(AE46:AE48)</f>
        <v>0</v>
      </c>
      <c r="AF45" s="236">
        <f t="shared" si="8"/>
        <v>0</v>
      </c>
      <c r="AG45" s="236">
        <f t="shared" si="8"/>
        <v>0</v>
      </c>
      <c r="AH45" s="236">
        <f t="shared" si="8"/>
        <v>0</v>
      </c>
      <c r="AI45" s="236">
        <f t="shared" si="8"/>
        <v>0</v>
      </c>
      <c r="AJ45" s="236">
        <f t="shared" si="8"/>
        <v>0</v>
      </c>
      <c r="AK45" s="236">
        <f t="shared" si="8"/>
        <v>0</v>
      </c>
      <c r="AL45" s="236">
        <f t="shared" si="8"/>
        <v>0</v>
      </c>
      <c r="AM45" s="236">
        <f t="shared" si="8"/>
        <v>0</v>
      </c>
      <c r="AN45" s="236">
        <f t="shared" si="8"/>
        <v>0</v>
      </c>
      <c r="AO45" s="236">
        <f t="shared" si="8"/>
        <v>0</v>
      </c>
      <c r="AP45" s="236">
        <f t="shared" si="8"/>
        <v>0</v>
      </c>
      <c r="AQ45" s="236">
        <f t="shared" si="8"/>
        <v>0</v>
      </c>
      <c r="AR45" s="236">
        <f t="shared" si="8"/>
        <v>0</v>
      </c>
      <c r="AS45" s="236">
        <f t="shared" si="8"/>
        <v>0</v>
      </c>
      <c r="AT45" s="236">
        <f t="shared" si="8"/>
        <v>0</v>
      </c>
      <c r="AU45" s="236">
        <f t="shared" si="8"/>
        <v>0</v>
      </c>
      <c r="AV45" s="236">
        <f t="shared" si="8"/>
        <v>0</v>
      </c>
      <c r="AW45" s="236">
        <f t="shared" si="8"/>
        <v>0</v>
      </c>
      <c r="AX45" s="236">
        <f t="shared" si="8"/>
        <v>0</v>
      </c>
      <c r="AY45" s="236">
        <f t="shared" si="8"/>
        <v>0</v>
      </c>
      <c r="AZ45" s="236">
        <f t="shared" si="8"/>
        <v>0</v>
      </c>
      <c r="BA45" s="236">
        <f t="shared" si="8"/>
        <v>0</v>
      </c>
      <c r="BB45" s="236">
        <f t="shared" si="8"/>
        <v>0</v>
      </c>
      <c r="BC45" s="784"/>
      <c r="BF45" s="680" t="s">
        <v>592</v>
      </c>
    </row>
    <row r="46" spans="5:58" ht="14.65" hidden="1" customHeight="1">
      <c r="E46" s="472">
        <v>15</v>
      </c>
      <c r="F46" s="3" cm="1">
        <f t="array" aca="1" ref="F46" ca="1">OFFSET(E46,-1,1)</f>
        <v>0</v>
      </c>
      <c r="H46" s="36" t="s">
        <v>593</v>
      </c>
      <c r="T46" s="365" t="b" cm="1">
        <f t="array" ref="T46">T45</f>
        <v>0</v>
      </c>
      <c r="X46" s="1075"/>
      <c r="Y46" s="1064"/>
      <c r="AB46" s="172" t="s">
        <v>594</v>
      </c>
      <c r="AC46" s="250" t="s">
        <v>595</v>
      </c>
      <c r="AD46" s="31" t="s">
        <v>534</v>
      </c>
      <c r="AE46" s="849"/>
      <c r="AF46" s="849"/>
      <c r="AG46" s="849"/>
      <c r="AH46" s="849"/>
      <c r="AI46" s="849"/>
      <c r="AJ46" s="849"/>
      <c r="AK46" s="849"/>
      <c r="AL46" s="849"/>
      <c r="AM46" s="849"/>
      <c r="AN46" s="849"/>
      <c r="AO46" s="849"/>
      <c r="AP46" s="849"/>
      <c r="AQ46" s="849"/>
      <c r="AR46" s="849"/>
      <c r="AS46" s="849"/>
      <c r="AT46" s="849"/>
      <c r="AU46" s="849"/>
      <c r="AV46" s="849"/>
      <c r="AW46" s="849"/>
      <c r="AX46" s="849"/>
      <c r="AY46" s="849"/>
      <c r="AZ46" s="849"/>
      <c r="BA46" s="849"/>
      <c r="BB46" s="849"/>
      <c r="BC46" s="784"/>
      <c r="BF46" s="680" t="s">
        <v>596</v>
      </c>
    </row>
    <row r="47" spans="5:58" ht="14.65" hidden="1" customHeight="1">
      <c r="E47" s="472">
        <v>15</v>
      </c>
      <c r="F47" s="3" cm="1">
        <f t="array" aca="1" ref="F47" ca="1">OFFSET(E47,-1,1)</f>
        <v>0</v>
      </c>
      <c r="H47" s="36" t="s">
        <v>597</v>
      </c>
      <c r="T47" s="365" t="b" cm="1">
        <f t="array" ref="T47">T46</f>
        <v>0</v>
      </c>
      <c r="X47" s="1075"/>
      <c r="Y47" s="1064"/>
      <c r="AB47" s="172" t="s">
        <v>598</v>
      </c>
      <c r="AC47" s="250" t="s">
        <v>599</v>
      </c>
      <c r="AD47" s="31" t="s">
        <v>534</v>
      </c>
      <c r="AE47" s="849"/>
      <c r="AF47" s="849"/>
      <c r="AG47" s="849"/>
      <c r="AH47" s="849"/>
      <c r="AI47" s="849"/>
      <c r="AJ47" s="849"/>
      <c r="AK47" s="849"/>
      <c r="AL47" s="849"/>
      <c r="AM47" s="849"/>
      <c r="AN47" s="849"/>
      <c r="AO47" s="849"/>
      <c r="AP47" s="849"/>
      <c r="AQ47" s="849"/>
      <c r="AR47" s="849"/>
      <c r="AS47" s="849"/>
      <c r="AT47" s="849"/>
      <c r="AU47" s="849"/>
      <c r="AV47" s="849"/>
      <c r="AW47" s="849"/>
      <c r="AX47" s="849"/>
      <c r="AY47" s="849"/>
      <c r="AZ47" s="849"/>
      <c r="BA47" s="849"/>
      <c r="BB47" s="849"/>
      <c r="BC47" s="784"/>
      <c r="BF47" s="680" t="s">
        <v>600</v>
      </c>
    </row>
    <row r="48" spans="5:58" ht="14.65" hidden="1" customHeight="1">
      <c r="E48" s="472">
        <v>15</v>
      </c>
      <c r="F48" s="3" cm="1">
        <f t="array" aca="1" ref="F48" ca="1">OFFSET(E48,-1,1)</f>
        <v>0</v>
      </c>
      <c r="H48" s="36" t="s">
        <v>601</v>
      </c>
      <c r="T48" s="365" t="b" cm="1">
        <f t="array" ref="T48">T47</f>
        <v>0</v>
      </c>
      <c r="X48" s="1075"/>
      <c r="Y48" s="1064"/>
      <c r="AB48" s="172" t="s">
        <v>602</v>
      </c>
      <c r="AC48" s="250" t="s">
        <v>603</v>
      </c>
      <c r="AD48" s="31" t="s">
        <v>534</v>
      </c>
      <c r="AE48" s="849"/>
      <c r="AF48" s="849"/>
      <c r="AG48" s="849"/>
      <c r="AH48" s="849"/>
      <c r="AI48" s="849"/>
      <c r="AJ48" s="849"/>
      <c r="AK48" s="849"/>
      <c r="AL48" s="849"/>
      <c r="AM48" s="849"/>
      <c r="AN48" s="849"/>
      <c r="AO48" s="849"/>
      <c r="AP48" s="849"/>
      <c r="AQ48" s="849"/>
      <c r="AR48" s="849"/>
      <c r="AS48" s="849"/>
      <c r="AT48" s="849"/>
      <c r="AU48" s="849"/>
      <c r="AV48" s="849"/>
      <c r="AW48" s="849"/>
      <c r="AX48" s="849"/>
      <c r="AY48" s="849"/>
      <c r="AZ48" s="849"/>
      <c r="BA48" s="849"/>
      <c r="BB48" s="849"/>
      <c r="BC48" s="784"/>
      <c r="BF48" s="680" t="s">
        <v>604</v>
      </c>
    </row>
    <row r="49" spans="1:58" ht="14.65" hidden="1" customHeight="1">
      <c r="E49" s="472">
        <v>15</v>
      </c>
      <c r="F49" s="3" cm="1">
        <f t="array" aca="1" ref="F49" ca="1">OFFSET(E49,-1,1)</f>
        <v>0</v>
      </c>
      <c r="G49" s="36" t="s">
        <v>605</v>
      </c>
      <c r="H49" s="36" t="s">
        <v>606</v>
      </c>
      <c r="T49" s="365" t="b" cm="1">
        <f t="array" ref="T49">T48</f>
        <v>0</v>
      </c>
      <c r="X49" s="1075"/>
      <c r="Y49" s="1064"/>
      <c r="AB49" s="172" t="s">
        <v>607</v>
      </c>
      <c r="AC49" s="124" t="s">
        <v>608</v>
      </c>
      <c r="AD49" s="31" t="s">
        <v>534</v>
      </c>
      <c r="AE49" s="236">
        <f t="shared" ref="AE49:BB49" si="9">SUM(AE50:AE51)</f>
        <v>0</v>
      </c>
      <c r="AF49" s="236">
        <f t="shared" si="9"/>
        <v>0</v>
      </c>
      <c r="AG49" s="236">
        <f t="shared" si="9"/>
        <v>0</v>
      </c>
      <c r="AH49" s="236">
        <f t="shared" si="9"/>
        <v>0</v>
      </c>
      <c r="AI49" s="236">
        <f t="shared" si="9"/>
        <v>0</v>
      </c>
      <c r="AJ49" s="236">
        <f t="shared" si="9"/>
        <v>0</v>
      </c>
      <c r="AK49" s="236">
        <f t="shared" si="9"/>
        <v>0</v>
      </c>
      <c r="AL49" s="236">
        <f t="shared" si="9"/>
        <v>0</v>
      </c>
      <c r="AM49" s="236">
        <f t="shared" si="9"/>
        <v>0</v>
      </c>
      <c r="AN49" s="236">
        <f t="shared" si="9"/>
        <v>0</v>
      </c>
      <c r="AO49" s="236">
        <f t="shared" si="9"/>
        <v>0</v>
      </c>
      <c r="AP49" s="236">
        <f t="shared" si="9"/>
        <v>0</v>
      </c>
      <c r="AQ49" s="236">
        <f t="shared" si="9"/>
        <v>0</v>
      </c>
      <c r="AR49" s="236">
        <f t="shared" si="9"/>
        <v>0</v>
      </c>
      <c r="AS49" s="236">
        <f t="shared" si="9"/>
        <v>0</v>
      </c>
      <c r="AT49" s="236">
        <f t="shared" si="9"/>
        <v>0</v>
      </c>
      <c r="AU49" s="236">
        <f t="shared" si="9"/>
        <v>0</v>
      </c>
      <c r="AV49" s="236">
        <f t="shared" si="9"/>
        <v>0</v>
      </c>
      <c r="AW49" s="236">
        <f t="shared" si="9"/>
        <v>0</v>
      </c>
      <c r="AX49" s="236">
        <f t="shared" si="9"/>
        <v>0</v>
      </c>
      <c r="AY49" s="236">
        <f t="shared" si="9"/>
        <v>0</v>
      </c>
      <c r="AZ49" s="236">
        <f t="shared" si="9"/>
        <v>0</v>
      </c>
      <c r="BA49" s="236">
        <f t="shared" si="9"/>
        <v>0</v>
      </c>
      <c r="BB49" s="236">
        <f t="shared" si="9"/>
        <v>0</v>
      </c>
      <c r="BC49" s="784"/>
      <c r="BF49" s="680" t="s">
        <v>609</v>
      </c>
    </row>
    <row r="50" spans="1:58" ht="14.65" hidden="1" customHeight="1">
      <c r="E50" s="472">
        <v>15</v>
      </c>
      <c r="F50" s="3" cm="1">
        <f t="array" aca="1" ref="F50" ca="1">OFFSET(E50,-1,1)</f>
        <v>0</v>
      </c>
      <c r="H50" s="36" t="s">
        <v>610</v>
      </c>
      <c r="T50" s="365" t="b" cm="1">
        <f t="array" ref="T50">T49</f>
        <v>0</v>
      </c>
      <c r="X50" s="1075"/>
      <c r="Y50" s="1064"/>
      <c r="AB50" s="172" t="s">
        <v>611</v>
      </c>
      <c r="AC50" s="250" t="s">
        <v>612</v>
      </c>
      <c r="AD50" s="31" t="s">
        <v>534</v>
      </c>
      <c r="AE50" s="849"/>
      <c r="AF50" s="849"/>
      <c r="AG50" s="849"/>
      <c r="AH50" s="849"/>
      <c r="AI50" s="849"/>
      <c r="AJ50" s="849"/>
      <c r="AK50" s="849"/>
      <c r="AL50" s="849"/>
      <c r="AM50" s="849"/>
      <c r="AN50" s="849"/>
      <c r="AO50" s="849"/>
      <c r="AP50" s="849"/>
      <c r="AQ50" s="849"/>
      <c r="AR50" s="849"/>
      <c r="AS50" s="849"/>
      <c r="AT50" s="849"/>
      <c r="AU50" s="849"/>
      <c r="AV50" s="849"/>
      <c r="AW50" s="849"/>
      <c r="AX50" s="849"/>
      <c r="AY50" s="849"/>
      <c r="AZ50" s="849"/>
      <c r="BA50" s="849"/>
      <c r="BB50" s="849"/>
      <c r="BC50" s="784"/>
      <c r="BF50" s="680" t="s">
        <v>613</v>
      </c>
    </row>
    <row r="51" spans="1:58" ht="14.65" hidden="1" customHeight="1">
      <c r="E51" s="472">
        <v>15</v>
      </c>
      <c r="F51" s="3" cm="1">
        <f t="array" aca="1" ref="F51" ca="1">OFFSET(E51,-1,1)</f>
        <v>0</v>
      </c>
      <c r="H51" s="36" t="s">
        <v>614</v>
      </c>
      <c r="T51" s="365" t="b" cm="1">
        <f t="array" ref="T51">T50</f>
        <v>0</v>
      </c>
      <c r="X51" s="1075"/>
      <c r="Y51" s="1064"/>
      <c r="AB51" s="172" t="s">
        <v>615</v>
      </c>
      <c r="AC51" s="250" t="s">
        <v>616</v>
      </c>
      <c r="AD51" s="31" t="s">
        <v>534</v>
      </c>
      <c r="AE51" s="849"/>
      <c r="AF51" s="849"/>
      <c r="AG51" s="849"/>
      <c r="AH51" s="849"/>
      <c r="AI51" s="849"/>
      <c r="AJ51" s="849"/>
      <c r="AK51" s="849"/>
      <c r="AL51" s="849"/>
      <c r="AM51" s="849"/>
      <c r="AN51" s="849"/>
      <c r="AO51" s="849"/>
      <c r="AP51" s="849"/>
      <c r="AQ51" s="849"/>
      <c r="AR51" s="849"/>
      <c r="AS51" s="849"/>
      <c r="AT51" s="849"/>
      <c r="AU51" s="849"/>
      <c r="AV51" s="849"/>
      <c r="AW51" s="849"/>
      <c r="AX51" s="849"/>
      <c r="AY51" s="849"/>
      <c r="AZ51" s="849"/>
      <c r="BA51" s="849"/>
      <c r="BB51" s="849"/>
      <c r="BC51" s="784"/>
      <c r="BF51" s="680" t="s">
        <v>617</v>
      </c>
    </row>
    <row r="52" spans="1:58" ht="14.65" hidden="1" customHeight="1">
      <c r="E52" s="472">
        <v>15</v>
      </c>
      <c r="F52" s="3" cm="1">
        <f t="array" aca="1" ref="F52" ca="1">OFFSET(E52,-1,1)</f>
        <v>0</v>
      </c>
      <c r="G52" s="36" t="s">
        <v>605</v>
      </c>
      <c r="H52" s="36" t="s">
        <v>618</v>
      </c>
      <c r="T52" s="365" t="b" cm="1">
        <f t="array" ref="T52">T51</f>
        <v>0</v>
      </c>
      <c r="X52" s="1075"/>
      <c r="Y52" s="1064"/>
      <c r="AB52" s="172" t="s">
        <v>619</v>
      </c>
      <c r="AC52" s="124" t="s">
        <v>620</v>
      </c>
      <c r="AD52" s="31" t="s">
        <v>534</v>
      </c>
      <c r="AE52" s="236">
        <f t="shared" ref="AE52:BB52" si="10">AE53+AE56+AE59</f>
        <v>0</v>
      </c>
      <c r="AF52" s="236">
        <f t="shared" si="10"/>
        <v>0</v>
      </c>
      <c r="AG52" s="236">
        <f t="shared" si="10"/>
        <v>0</v>
      </c>
      <c r="AH52" s="236">
        <f t="shared" si="10"/>
        <v>0</v>
      </c>
      <c r="AI52" s="236">
        <f t="shared" si="10"/>
        <v>0</v>
      </c>
      <c r="AJ52" s="236">
        <f t="shared" si="10"/>
        <v>0</v>
      </c>
      <c r="AK52" s="236">
        <f t="shared" si="10"/>
        <v>0</v>
      </c>
      <c r="AL52" s="236">
        <f t="shared" si="10"/>
        <v>0</v>
      </c>
      <c r="AM52" s="236">
        <f t="shared" si="10"/>
        <v>0</v>
      </c>
      <c r="AN52" s="236">
        <f t="shared" si="10"/>
        <v>0</v>
      </c>
      <c r="AO52" s="236">
        <f t="shared" si="10"/>
        <v>0</v>
      </c>
      <c r="AP52" s="236">
        <f t="shared" si="10"/>
        <v>0</v>
      </c>
      <c r="AQ52" s="236">
        <f t="shared" si="10"/>
        <v>0</v>
      </c>
      <c r="AR52" s="236">
        <f t="shared" si="10"/>
        <v>0</v>
      </c>
      <c r="AS52" s="236">
        <f t="shared" si="10"/>
        <v>0</v>
      </c>
      <c r="AT52" s="236">
        <f t="shared" si="10"/>
        <v>0</v>
      </c>
      <c r="AU52" s="236">
        <f t="shared" si="10"/>
        <v>0</v>
      </c>
      <c r="AV52" s="236">
        <f t="shared" si="10"/>
        <v>0</v>
      </c>
      <c r="AW52" s="236">
        <f t="shared" si="10"/>
        <v>0</v>
      </c>
      <c r="AX52" s="236">
        <f t="shared" si="10"/>
        <v>0</v>
      </c>
      <c r="AY52" s="236">
        <f t="shared" si="10"/>
        <v>0</v>
      </c>
      <c r="AZ52" s="236">
        <f t="shared" si="10"/>
        <v>0</v>
      </c>
      <c r="BA52" s="236">
        <f t="shared" si="10"/>
        <v>0</v>
      </c>
      <c r="BB52" s="236">
        <f t="shared" si="10"/>
        <v>0</v>
      </c>
      <c r="BC52" s="784"/>
      <c r="BF52" s="680" t="s">
        <v>621</v>
      </c>
    </row>
    <row r="53" spans="1:58" ht="14.65" hidden="1" customHeight="1">
      <c r="E53" s="472">
        <v>15</v>
      </c>
      <c r="F53" s="3" cm="1">
        <f t="array" aca="1" ref="F53" ca="1">OFFSET(E53,-1,1)</f>
        <v>0</v>
      </c>
      <c r="H53" s="36" t="s">
        <v>622</v>
      </c>
      <c r="T53" s="365" t="b" cm="1">
        <f t="array" ref="T53">T52</f>
        <v>0</v>
      </c>
      <c r="X53" s="1075"/>
      <c r="Y53" s="1064"/>
      <c r="AB53" s="172" t="s">
        <v>623</v>
      </c>
      <c r="AC53" s="250" t="s">
        <v>624</v>
      </c>
      <c r="AD53" s="31" t="s">
        <v>534</v>
      </c>
      <c r="AE53" s="236">
        <f t="shared" ref="AE53:BB53" si="11">SUM(AE54:AE55)</f>
        <v>0</v>
      </c>
      <c r="AF53" s="236">
        <f t="shared" si="11"/>
        <v>0</v>
      </c>
      <c r="AG53" s="236">
        <f t="shared" si="11"/>
        <v>0</v>
      </c>
      <c r="AH53" s="236">
        <f t="shared" si="11"/>
        <v>0</v>
      </c>
      <c r="AI53" s="236">
        <f t="shared" si="11"/>
        <v>0</v>
      </c>
      <c r="AJ53" s="236">
        <f t="shared" si="11"/>
        <v>0</v>
      </c>
      <c r="AK53" s="236">
        <f t="shared" si="11"/>
        <v>0</v>
      </c>
      <c r="AL53" s="236">
        <f t="shared" si="11"/>
        <v>0</v>
      </c>
      <c r="AM53" s="236">
        <f t="shared" si="11"/>
        <v>0</v>
      </c>
      <c r="AN53" s="236">
        <f t="shared" si="11"/>
        <v>0</v>
      </c>
      <c r="AO53" s="236">
        <f t="shared" si="11"/>
        <v>0</v>
      </c>
      <c r="AP53" s="236">
        <f t="shared" si="11"/>
        <v>0</v>
      </c>
      <c r="AQ53" s="236">
        <f t="shared" si="11"/>
        <v>0</v>
      </c>
      <c r="AR53" s="236">
        <f t="shared" si="11"/>
        <v>0</v>
      </c>
      <c r="AS53" s="236">
        <f t="shared" si="11"/>
        <v>0</v>
      </c>
      <c r="AT53" s="236">
        <f t="shared" si="11"/>
        <v>0</v>
      </c>
      <c r="AU53" s="236">
        <f t="shared" si="11"/>
        <v>0</v>
      </c>
      <c r="AV53" s="236">
        <f t="shared" si="11"/>
        <v>0</v>
      </c>
      <c r="AW53" s="236">
        <f t="shared" si="11"/>
        <v>0</v>
      </c>
      <c r="AX53" s="236">
        <f t="shared" si="11"/>
        <v>0</v>
      </c>
      <c r="AY53" s="236">
        <f t="shared" si="11"/>
        <v>0</v>
      </c>
      <c r="AZ53" s="236">
        <f t="shared" si="11"/>
        <v>0</v>
      </c>
      <c r="BA53" s="236">
        <f t="shared" si="11"/>
        <v>0</v>
      </c>
      <c r="BB53" s="236">
        <f t="shared" si="11"/>
        <v>0</v>
      </c>
      <c r="BC53" s="784"/>
      <c r="BF53" s="680" t="s">
        <v>625</v>
      </c>
    </row>
    <row r="54" spans="1:58" ht="14.65" hidden="1" customHeight="1">
      <c r="E54" s="472">
        <v>15</v>
      </c>
      <c r="F54" s="3" cm="1">
        <f t="array" aca="1" ref="F54" ca="1">OFFSET(E54,-1,1)</f>
        <v>0</v>
      </c>
      <c r="H54" s="36" t="s">
        <v>626</v>
      </c>
      <c r="T54" s="365" t="b" cm="1">
        <f t="array" ref="T54">T53</f>
        <v>0</v>
      </c>
      <c r="X54" s="1075"/>
      <c r="Y54" s="1064"/>
      <c r="AB54" s="172" t="s">
        <v>627</v>
      </c>
      <c r="AC54" s="251" t="s">
        <v>612</v>
      </c>
      <c r="AD54" s="31" t="s">
        <v>534</v>
      </c>
      <c r="AE54" s="849"/>
      <c r="AF54" s="849"/>
      <c r="AG54" s="849"/>
      <c r="AH54" s="849"/>
      <c r="AI54" s="849"/>
      <c r="AJ54" s="849"/>
      <c r="AK54" s="849"/>
      <c r="AL54" s="849"/>
      <c r="AM54" s="849"/>
      <c r="AN54" s="849"/>
      <c r="AO54" s="849"/>
      <c r="AP54" s="849"/>
      <c r="AQ54" s="849"/>
      <c r="AR54" s="849"/>
      <c r="AS54" s="849"/>
      <c r="AT54" s="849"/>
      <c r="AU54" s="849"/>
      <c r="AV54" s="849"/>
      <c r="AW54" s="849"/>
      <c r="AX54" s="849"/>
      <c r="AY54" s="849"/>
      <c r="AZ54" s="849"/>
      <c r="BA54" s="849"/>
      <c r="BB54" s="849"/>
      <c r="BC54" s="784"/>
      <c r="BF54" s="680" t="s">
        <v>628</v>
      </c>
    </row>
    <row r="55" spans="1:58" ht="14.65" hidden="1" customHeight="1">
      <c r="E55" s="472">
        <v>15</v>
      </c>
      <c r="F55" s="3" cm="1">
        <f t="array" aca="1" ref="F55" ca="1">OFFSET(E55,-1,1)</f>
        <v>0</v>
      </c>
      <c r="H55" s="36" t="s">
        <v>629</v>
      </c>
      <c r="T55" s="365" t="b" cm="1">
        <f t="array" ref="T55">T54</f>
        <v>0</v>
      </c>
      <c r="X55" s="1075"/>
      <c r="Y55" s="1064"/>
      <c r="AB55" s="172" t="s">
        <v>630</v>
      </c>
      <c r="AC55" s="251" t="s">
        <v>616</v>
      </c>
      <c r="AD55" s="31" t="s">
        <v>534</v>
      </c>
      <c r="AE55" s="849"/>
      <c r="AF55" s="849"/>
      <c r="AG55" s="849"/>
      <c r="AH55" s="849"/>
      <c r="AI55" s="849"/>
      <c r="AJ55" s="849"/>
      <c r="AK55" s="849"/>
      <c r="AL55" s="849"/>
      <c r="AM55" s="849"/>
      <c r="AN55" s="849"/>
      <c r="AO55" s="849"/>
      <c r="AP55" s="849"/>
      <c r="AQ55" s="849"/>
      <c r="AR55" s="849"/>
      <c r="AS55" s="849"/>
      <c r="AT55" s="849"/>
      <c r="AU55" s="849"/>
      <c r="AV55" s="849"/>
      <c r="AW55" s="849"/>
      <c r="AX55" s="849"/>
      <c r="AY55" s="849"/>
      <c r="AZ55" s="849"/>
      <c r="BA55" s="849"/>
      <c r="BB55" s="849"/>
      <c r="BC55" s="784"/>
      <c r="BF55" s="680" t="s">
        <v>631</v>
      </c>
    </row>
    <row r="56" spans="1:58" ht="14.65" hidden="1" customHeight="1">
      <c r="E56" s="472">
        <v>15</v>
      </c>
      <c r="F56" s="3" cm="1">
        <f t="array" aca="1" ref="F56" ca="1">OFFSET(E56,-1,1)</f>
        <v>0</v>
      </c>
      <c r="G56" s="36" t="s">
        <v>632</v>
      </c>
      <c r="H56" s="36" t="s">
        <v>633</v>
      </c>
      <c r="T56" s="365" t="b" cm="1">
        <f t="array" ref="T56">T55</f>
        <v>0</v>
      </c>
      <c r="X56" s="1075"/>
      <c r="Y56" s="1064"/>
      <c r="AB56" s="172" t="s">
        <v>634</v>
      </c>
      <c r="AC56" s="250" t="s">
        <v>635</v>
      </c>
      <c r="AD56" s="31" t="s">
        <v>534</v>
      </c>
      <c r="AE56" s="236">
        <f t="shared" ref="AE56:BB56" si="12">SUM(AE57:AE58)</f>
        <v>0</v>
      </c>
      <c r="AF56" s="236">
        <f t="shared" si="12"/>
        <v>0</v>
      </c>
      <c r="AG56" s="236">
        <f t="shared" si="12"/>
        <v>0</v>
      </c>
      <c r="AH56" s="236">
        <f t="shared" si="12"/>
        <v>0</v>
      </c>
      <c r="AI56" s="236">
        <f t="shared" si="12"/>
        <v>0</v>
      </c>
      <c r="AJ56" s="236">
        <f t="shared" si="12"/>
        <v>0</v>
      </c>
      <c r="AK56" s="236">
        <f t="shared" si="12"/>
        <v>0</v>
      </c>
      <c r="AL56" s="236">
        <f t="shared" si="12"/>
        <v>0</v>
      </c>
      <c r="AM56" s="236">
        <f t="shared" si="12"/>
        <v>0</v>
      </c>
      <c r="AN56" s="236">
        <f t="shared" si="12"/>
        <v>0</v>
      </c>
      <c r="AO56" s="236">
        <f t="shared" si="12"/>
        <v>0</v>
      </c>
      <c r="AP56" s="236">
        <f t="shared" si="12"/>
        <v>0</v>
      </c>
      <c r="AQ56" s="236">
        <f t="shared" si="12"/>
        <v>0</v>
      </c>
      <c r="AR56" s="236">
        <f t="shared" si="12"/>
        <v>0</v>
      </c>
      <c r="AS56" s="236">
        <f t="shared" si="12"/>
        <v>0</v>
      </c>
      <c r="AT56" s="236">
        <f t="shared" si="12"/>
        <v>0</v>
      </c>
      <c r="AU56" s="236">
        <f t="shared" si="12"/>
        <v>0</v>
      </c>
      <c r="AV56" s="236">
        <f t="shared" si="12"/>
        <v>0</v>
      </c>
      <c r="AW56" s="236">
        <f t="shared" si="12"/>
        <v>0</v>
      </c>
      <c r="AX56" s="236">
        <f t="shared" si="12"/>
        <v>0</v>
      </c>
      <c r="AY56" s="236">
        <f t="shared" si="12"/>
        <v>0</v>
      </c>
      <c r="AZ56" s="236">
        <f t="shared" si="12"/>
        <v>0</v>
      </c>
      <c r="BA56" s="236">
        <f t="shared" si="12"/>
        <v>0</v>
      </c>
      <c r="BB56" s="236">
        <f t="shared" si="12"/>
        <v>0</v>
      </c>
      <c r="BC56" s="784"/>
      <c r="BF56" s="680" t="s">
        <v>636</v>
      </c>
    </row>
    <row r="57" spans="1:58" ht="14.65" hidden="1" customHeight="1">
      <c r="E57" s="472">
        <v>15</v>
      </c>
      <c r="F57" s="3" cm="1">
        <f t="array" aca="1" ref="F57" ca="1">OFFSET(E57,-1,1)</f>
        <v>0</v>
      </c>
      <c r="H57" s="36" t="s">
        <v>637</v>
      </c>
      <c r="T57" s="365" t="b" cm="1">
        <f t="array" ref="T57">T56</f>
        <v>0</v>
      </c>
      <c r="X57" s="1075"/>
      <c r="Y57" s="1064"/>
      <c r="AB57" s="172" t="s">
        <v>638</v>
      </c>
      <c r="AC57" s="251" t="s">
        <v>612</v>
      </c>
      <c r="AD57" s="31" t="s">
        <v>534</v>
      </c>
      <c r="AE57" s="849"/>
      <c r="AF57" s="849"/>
      <c r="AG57" s="849"/>
      <c r="AH57" s="849"/>
      <c r="AI57" s="849"/>
      <c r="AJ57" s="849"/>
      <c r="AK57" s="849"/>
      <c r="AL57" s="849"/>
      <c r="AM57" s="849"/>
      <c r="AN57" s="849"/>
      <c r="AO57" s="849"/>
      <c r="AP57" s="849"/>
      <c r="AQ57" s="849"/>
      <c r="AR57" s="849"/>
      <c r="AS57" s="849"/>
      <c r="AT57" s="849"/>
      <c r="AU57" s="849"/>
      <c r="AV57" s="849"/>
      <c r="AW57" s="849"/>
      <c r="AX57" s="849"/>
      <c r="AY57" s="849"/>
      <c r="AZ57" s="849"/>
      <c r="BA57" s="849"/>
      <c r="BB57" s="849"/>
      <c r="BC57" s="784"/>
      <c r="BF57" s="680" t="s">
        <v>639</v>
      </c>
    </row>
    <row r="58" spans="1:58" ht="14.65" hidden="1" customHeight="1">
      <c r="E58" s="472">
        <v>15</v>
      </c>
      <c r="F58" s="3" cm="1">
        <f t="array" aca="1" ref="F58" ca="1">OFFSET(E58,-1,1)</f>
        <v>0</v>
      </c>
      <c r="H58" s="36" t="s">
        <v>640</v>
      </c>
      <c r="T58" s="365" t="b" cm="1">
        <f t="array" ref="T58">T57</f>
        <v>0</v>
      </c>
      <c r="X58" s="1075"/>
      <c r="Y58" s="1064"/>
      <c r="AB58" s="172" t="s">
        <v>641</v>
      </c>
      <c r="AC58" s="251" t="s">
        <v>616</v>
      </c>
      <c r="AD58" s="31" t="s">
        <v>534</v>
      </c>
      <c r="AE58" s="849"/>
      <c r="AF58" s="849"/>
      <c r="AG58" s="849"/>
      <c r="AH58" s="849"/>
      <c r="AI58" s="849"/>
      <c r="AJ58" s="849"/>
      <c r="AK58" s="849"/>
      <c r="AL58" s="849"/>
      <c r="AM58" s="849"/>
      <c r="AN58" s="849"/>
      <c r="AO58" s="849"/>
      <c r="AP58" s="849"/>
      <c r="AQ58" s="849"/>
      <c r="AR58" s="849"/>
      <c r="AS58" s="849"/>
      <c r="AT58" s="849"/>
      <c r="AU58" s="849"/>
      <c r="AV58" s="849"/>
      <c r="AW58" s="849"/>
      <c r="AX58" s="849"/>
      <c r="AY58" s="849"/>
      <c r="AZ58" s="849"/>
      <c r="BA58" s="849"/>
      <c r="BB58" s="849"/>
      <c r="BC58" s="784"/>
      <c r="BF58" s="680" t="s">
        <v>642</v>
      </c>
    </row>
    <row r="59" spans="1:58" ht="14.65" hidden="1" customHeight="1">
      <c r="E59" s="472">
        <v>15</v>
      </c>
      <c r="F59" s="3" cm="1">
        <f t="array" aca="1" ref="F59" ca="1">OFFSET(E59,-1,1)</f>
        <v>0</v>
      </c>
      <c r="H59" s="36" t="s">
        <v>643</v>
      </c>
      <c r="T59" s="365" t="b" cm="1">
        <f t="array" ref="T59">T58</f>
        <v>0</v>
      </c>
      <c r="X59" s="1075"/>
      <c r="Y59" s="1064"/>
      <c r="AB59" s="172" t="s">
        <v>644</v>
      </c>
      <c r="AC59" s="250" t="s">
        <v>645</v>
      </c>
      <c r="AD59" s="31" t="s">
        <v>534</v>
      </c>
      <c r="AE59" s="236">
        <f t="shared" ref="AE59:BB59" si="13">SUM(AE60:AE61)</f>
        <v>0</v>
      </c>
      <c r="AF59" s="236">
        <f t="shared" si="13"/>
        <v>0</v>
      </c>
      <c r="AG59" s="236">
        <f t="shared" si="13"/>
        <v>0</v>
      </c>
      <c r="AH59" s="236">
        <f t="shared" si="13"/>
        <v>0</v>
      </c>
      <c r="AI59" s="236">
        <f t="shared" si="13"/>
        <v>0</v>
      </c>
      <c r="AJ59" s="236">
        <f t="shared" si="13"/>
        <v>0</v>
      </c>
      <c r="AK59" s="236">
        <f t="shared" si="13"/>
        <v>0</v>
      </c>
      <c r="AL59" s="236">
        <f t="shared" si="13"/>
        <v>0</v>
      </c>
      <c r="AM59" s="236">
        <f t="shared" si="13"/>
        <v>0</v>
      </c>
      <c r="AN59" s="236">
        <f t="shared" si="13"/>
        <v>0</v>
      </c>
      <c r="AO59" s="236">
        <f t="shared" si="13"/>
        <v>0</v>
      </c>
      <c r="AP59" s="236">
        <f t="shared" si="13"/>
        <v>0</v>
      </c>
      <c r="AQ59" s="236">
        <f t="shared" si="13"/>
        <v>0</v>
      </c>
      <c r="AR59" s="236">
        <f t="shared" si="13"/>
        <v>0</v>
      </c>
      <c r="AS59" s="236">
        <f t="shared" si="13"/>
        <v>0</v>
      </c>
      <c r="AT59" s="236">
        <f t="shared" si="13"/>
        <v>0</v>
      </c>
      <c r="AU59" s="236">
        <f t="shared" si="13"/>
        <v>0</v>
      </c>
      <c r="AV59" s="236">
        <f t="shared" si="13"/>
        <v>0</v>
      </c>
      <c r="AW59" s="236">
        <f t="shared" si="13"/>
        <v>0</v>
      </c>
      <c r="AX59" s="236">
        <f t="shared" si="13"/>
        <v>0</v>
      </c>
      <c r="AY59" s="236">
        <f t="shared" si="13"/>
        <v>0</v>
      </c>
      <c r="AZ59" s="236">
        <f t="shared" si="13"/>
        <v>0</v>
      </c>
      <c r="BA59" s="236">
        <f t="shared" si="13"/>
        <v>0</v>
      </c>
      <c r="BB59" s="236">
        <f t="shared" si="13"/>
        <v>0</v>
      </c>
      <c r="BC59" s="784"/>
      <c r="BF59" s="680" t="s">
        <v>646</v>
      </c>
    </row>
    <row r="60" spans="1:58" ht="14.65" hidden="1" customHeight="1">
      <c r="E60" s="472">
        <v>15</v>
      </c>
      <c r="F60" s="3" cm="1">
        <f t="array" aca="1" ref="F60" ca="1">OFFSET(E60,-1,1)</f>
        <v>0</v>
      </c>
      <c r="H60" s="36" t="s">
        <v>647</v>
      </c>
      <c r="T60" s="365" t="b" cm="1">
        <f t="array" ref="T60">T59</f>
        <v>0</v>
      </c>
      <c r="X60" s="1075"/>
      <c r="Y60" s="1064"/>
      <c r="AB60" s="172" t="s">
        <v>648</v>
      </c>
      <c r="AC60" s="251" t="s">
        <v>612</v>
      </c>
      <c r="AD60" s="31" t="s">
        <v>534</v>
      </c>
      <c r="AE60" s="849"/>
      <c r="AF60" s="849"/>
      <c r="AG60" s="849"/>
      <c r="AH60" s="849"/>
      <c r="AI60" s="849"/>
      <c r="AJ60" s="849"/>
      <c r="AK60" s="849"/>
      <c r="AL60" s="849"/>
      <c r="AM60" s="849"/>
      <c r="AN60" s="849"/>
      <c r="AO60" s="849"/>
      <c r="AP60" s="849"/>
      <c r="AQ60" s="849"/>
      <c r="AR60" s="849"/>
      <c r="AS60" s="849"/>
      <c r="AT60" s="849"/>
      <c r="AU60" s="849"/>
      <c r="AV60" s="849"/>
      <c r="AW60" s="849"/>
      <c r="AX60" s="849"/>
      <c r="AY60" s="849"/>
      <c r="AZ60" s="849"/>
      <c r="BA60" s="849"/>
      <c r="BB60" s="849"/>
      <c r="BC60" s="784"/>
      <c r="BF60" s="680" t="s">
        <v>649</v>
      </c>
    </row>
    <row r="61" spans="1:58" ht="14.65" hidden="1" customHeight="1">
      <c r="E61" s="472">
        <v>15</v>
      </c>
      <c r="F61" s="3" cm="1">
        <f t="array" aca="1" ref="F61" ca="1">OFFSET(E61,-1,1)</f>
        <v>0</v>
      </c>
      <c r="H61" s="36" t="s">
        <v>650</v>
      </c>
      <c r="T61" s="365" t="b" cm="1">
        <f t="array" ref="T61">T60</f>
        <v>0</v>
      </c>
      <c r="X61" s="1075"/>
      <c r="Y61" s="1064"/>
      <c r="AB61" s="172" t="s">
        <v>651</v>
      </c>
      <c r="AC61" s="251" t="s">
        <v>616</v>
      </c>
      <c r="AD61" s="31" t="s">
        <v>534</v>
      </c>
      <c r="AE61" s="849"/>
      <c r="AF61" s="849"/>
      <c r="AG61" s="849"/>
      <c r="AH61" s="849"/>
      <c r="AI61" s="849"/>
      <c r="AJ61" s="849"/>
      <c r="AK61" s="849"/>
      <c r="AL61" s="849"/>
      <c r="AM61" s="849"/>
      <c r="AN61" s="849"/>
      <c r="AO61" s="849"/>
      <c r="AP61" s="849"/>
      <c r="AQ61" s="849"/>
      <c r="AR61" s="849"/>
      <c r="AS61" s="849"/>
      <c r="AT61" s="849"/>
      <c r="AU61" s="849"/>
      <c r="AV61" s="849"/>
      <c r="AW61" s="849"/>
      <c r="AX61" s="849"/>
      <c r="AY61" s="849"/>
      <c r="AZ61" s="849"/>
      <c r="BA61" s="849"/>
      <c r="BB61" s="849"/>
      <c r="BC61" s="839"/>
      <c r="BF61" s="680" t="s">
        <v>652</v>
      </c>
    </row>
    <row r="62" spans="1:58" ht="21.95" hidden="1" customHeight="1">
      <c r="E62" s="472">
        <v>22.5</v>
      </c>
      <c r="F62" s="3" cm="1">
        <f t="array" aca="1" ref="F62" ca="1">OFFSET(E62,-1,1)</f>
        <v>0</v>
      </c>
      <c r="H62" s="36" t="s">
        <v>653</v>
      </c>
      <c r="I62" s="327"/>
      <c r="J62" s="327"/>
      <c r="T62" s="365" t="b" cm="1">
        <f t="array" ref="T62">T61</f>
        <v>0</v>
      </c>
      <c r="X62" s="1075"/>
      <c r="Y62" s="1064"/>
      <c r="AB62" s="172" t="s">
        <v>654</v>
      </c>
      <c r="AC62" s="252" t="s">
        <v>655</v>
      </c>
      <c r="AD62" s="31" t="s">
        <v>534</v>
      </c>
      <c r="AE62" s="838"/>
      <c r="AF62" s="838"/>
      <c r="AG62" s="838"/>
      <c r="AH62" s="838"/>
      <c r="AI62" s="838"/>
      <c r="AJ62" s="838"/>
      <c r="AK62" s="838"/>
      <c r="AL62" s="838"/>
      <c r="AM62" s="838"/>
      <c r="AN62" s="838"/>
      <c r="AO62" s="838"/>
      <c r="AP62" s="838"/>
      <c r="AQ62" s="838"/>
      <c r="AR62" s="838"/>
      <c r="AS62" s="838"/>
      <c r="AT62" s="838"/>
      <c r="AU62" s="838"/>
      <c r="AV62" s="838"/>
      <c r="AW62" s="838"/>
      <c r="AX62" s="838"/>
      <c r="AY62" s="838"/>
      <c r="AZ62" s="838"/>
      <c r="BA62" s="838"/>
      <c r="BB62" s="838"/>
      <c r="BC62" s="839"/>
      <c r="BF62" s="680" t="s">
        <v>656</v>
      </c>
    </row>
    <row r="63" spans="1:58" ht="14.65" hidden="1" customHeight="1">
      <c r="E63" s="472">
        <v>15</v>
      </c>
      <c r="F63" s="266" cm="1">
        <f t="array" aca="1" ref="F63" ca="1">OFFSET(E63,-1,1)</f>
        <v>0</v>
      </c>
      <c r="T63" s="365" t="b" cm="1">
        <f t="array" ref="T63">T62</f>
        <v>0</v>
      </c>
      <c r="X63" s="1075"/>
      <c r="Y63" s="1064"/>
      <c r="AB63" s="172" t="s">
        <v>657</v>
      </c>
      <c r="AC63" s="252" t="s">
        <v>658</v>
      </c>
      <c r="AD63" s="31" t="s">
        <v>534</v>
      </c>
      <c r="AE63" s="838"/>
      <c r="AF63" s="838"/>
      <c r="AG63" s="838"/>
      <c r="AH63" s="838"/>
      <c r="AI63" s="838"/>
      <c r="AJ63" s="838"/>
      <c r="AK63" s="838"/>
      <c r="AL63" s="838"/>
      <c r="AM63" s="838"/>
      <c r="AN63" s="838"/>
      <c r="AO63" s="838"/>
      <c r="AP63" s="838"/>
      <c r="AQ63" s="838"/>
      <c r="AR63" s="838"/>
      <c r="AS63" s="838"/>
      <c r="AT63" s="838"/>
      <c r="AU63" s="838"/>
      <c r="AV63" s="838"/>
      <c r="AW63" s="838"/>
      <c r="AX63" s="838"/>
      <c r="AY63" s="838"/>
      <c r="AZ63" s="838"/>
      <c r="BA63" s="838"/>
      <c r="BB63" s="838"/>
      <c r="BC63" s="839"/>
      <c r="BF63" s="680" t="s">
        <v>659</v>
      </c>
    </row>
    <row r="64" spans="1:58" ht="11.25" hidden="1" customHeight="1">
      <c r="A64" s="327"/>
      <c r="B64" s="490"/>
      <c r="C64" s="327"/>
      <c r="D64" s="327"/>
      <c r="E64" s="491" t="s">
        <v>366</v>
      </c>
      <c r="F64" s="774" cm="1">
        <f t="array" aca="1" ref="F64" ca="1">OFFSET(E64,-1,1)</f>
        <v>0</v>
      </c>
      <c r="G64" s="327"/>
      <c r="H64" s="327"/>
      <c r="I64"/>
      <c r="J64"/>
      <c r="L64" s="327"/>
      <c r="M64" s="327"/>
      <c r="N64" s="327"/>
      <c r="O64" s="327"/>
      <c r="T64" s="365" t="b">
        <v>0</v>
      </c>
      <c r="V64" s="327"/>
      <c r="X64" s="1075"/>
      <c r="Y64" s="1064"/>
      <c r="Z64" s="327"/>
      <c r="AA64" s="327"/>
      <c r="AB64"/>
      <c r="AC64" s="37"/>
      <c r="AD64" s="37"/>
      <c r="AE64" s="262"/>
      <c r="AF64" s="262"/>
      <c r="AG64" s="262"/>
      <c r="AH64" s="262"/>
      <c r="AI64" s="262"/>
      <c r="AJ64" s="263"/>
      <c r="AK64" s="262"/>
      <c r="AL64" s="262"/>
      <c r="AM64" s="262"/>
      <c r="AN64" s="262"/>
      <c r="AO64" s="262"/>
      <c r="AP64" s="262"/>
      <c r="AQ64" s="262"/>
      <c r="AR64" s="262"/>
      <c r="AS64" s="262"/>
      <c r="AT64" s="262"/>
      <c r="AU64" s="262"/>
      <c r="AV64" s="262"/>
      <c r="AW64" s="262"/>
      <c r="AX64" s="262"/>
      <c r="AY64" s="262"/>
      <c r="AZ64" s="262"/>
      <c r="BA64" s="262"/>
      <c r="BB64" s="262"/>
      <c r="BC64"/>
      <c r="BD64"/>
      <c r="BE64"/>
      <c r="BF64" s="670"/>
    </row>
    <row r="65" spans="1:58" ht="14.65" hidden="1" customHeight="1">
      <c r="E65" s="472">
        <v>15</v>
      </c>
      <c r="F65" s="3" cm="1">
        <f t="array" aca="1" ref="F65" ca="1">OFFSET(E65,-1,1)</f>
        <v>0</v>
      </c>
      <c r="R65" s="327" t="b" cm="1">
        <f t="array" ref="R65">INDEX('Общие сведения'!$AN$179:$AN$222,MATCH($X27,'Общие сведения'!$Z$179:$Z$222,0))</f>
        <v>0</v>
      </c>
      <c r="S65" s="327" t="b">
        <f>IF(ISERROR(SEARCH("Водоснабжение",AB27)),FALSE,TRUE)</f>
        <v>0</v>
      </c>
      <c r="T65" s="365" t="b">
        <f>AND(X27&gt;0,S65,R65)</f>
        <v>0</v>
      </c>
      <c r="X65" s="1075"/>
      <c r="Y65" s="1064"/>
      <c r="AB65" s="172" t="s">
        <v>275</v>
      </c>
      <c r="AC65" s="247" t="s">
        <v>531</v>
      </c>
      <c r="AD65" s="130"/>
      <c r="AE65" s="427" cm="1">
        <f t="array" ref="AE65">INDEX('Общие сведения'!$AH$179:$AH$222,MATCH($X27,'Общие сведения'!$Z$179:$Z$222,0))</f>
        <v>0</v>
      </c>
      <c r="AF65" s="277"/>
      <c r="AG65" s="277"/>
      <c r="AH65" s="277"/>
      <c r="AI65" s="277"/>
      <c r="AJ65" s="277"/>
      <c r="AK65" s="277"/>
      <c r="AL65" s="277"/>
      <c r="AM65" s="277"/>
      <c r="AN65" s="277"/>
      <c r="AO65" s="277"/>
      <c r="AP65" s="277"/>
      <c r="AQ65" s="277"/>
      <c r="AR65" s="277"/>
      <c r="AS65" s="277"/>
      <c r="AT65" s="277"/>
      <c r="AU65" s="277"/>
      <c r="AV65" s="277"/>
      <c r="AW65" s="277"/>
      <c r="AX65" s="277"/>
      <c r="AY65" s="277"/>
      <c r="AZ65" s="277"/>
      <c r="BA65" s="277"/>
      <c r="BB65" s="278"/>
      <c r="BC65" s="839"/>
      <c r="BF65" s="680" t="s">
        <v>660</v>
      </c>
    </row>
    <row r="66" spans="1:58" ht="14.65" hidden="1" customHeight="1">
      <c r="E66" s="472">
        <v>15</v>
      </c>
      <c r="F66" s="3" cm="1">
        <f t="array" aca="1" ref="F66" ca="1">OFFSET(E66,-1,1)</f>
        <v>0</v>
      </c>
      <c r="H66" s="36" t="s">
        <v>331</v>
      </c>
      <c r="T66" s="365" t="b" cm="1">
        <f t="array" ref="T66">T65</f>
        <v>0</v>
      </c>
      <c r="X66" s="1075"/>
      <c r="Y66" s="1064"/>
      <c r="AB66" s="172" t="s">
        <v>285</v>
      </c>
      <c r="AC66" s="253" t="s">
        <v>661</v>
      </c>
      <c r="AD66" s="31" t="s">
        <v>534</v>
      </c>
      <c r="AE66" s="264">
        <f t="shared" ref="AE66:BB66" si="14">AE70+AE72+AE75+AE78</f>
        <v>0</v>
      </c>
      <c r="AF66" s="264">
        <f t="shared" si="14"/>
        <v>0</v>
      </c>
      <c r="AG66" s="264">
        <f t="shared" si="14"/>
        <v>0</v>
      </c>
      <c r="AH66" s="264">
        <f t="shared" si="14"/>
        <v>0</v>
      </c>
      <c r="AI66" s="264">
        <f t="shared" si="14"/>
        <v>0</v>
      </c>
      <c r="AJ66" s="264">
        <f t="shared" si="14"/>
        <v>0</v>
      </c>
      <c r="AK66" s="264">
        <f t="shared" si="14"/>
        <v>0</v>
      </c>
      <c r="AL66" s="264">
        <f t="shared" si="14"/>
        <v>0</v>
      </c>
      <c r="AM66" s="264">
        <f t="shared" si="14"/>
        <v>0</v>
      </c>
      <c r="AN66" s="264">
        <f t="shared" si="14"/>
        <v>0</v>
      </c>
      <c r="AO66" s="264">
        <f t="shared" si="14"/>
        <v>0</v>
      </c>
      <c r="AP66" s="264">
        <f t="shared" si="14"/>
        <v>0</v>
      </c>
      <c r="AQ66" s="264">
        <f t="shared" si="14"/>
        <v>0</v>
      </c>
      <c r="AR66" s="264">
        <f t="shared" si="14"/>
        <v>0</v>
      </c>
      <c r="AS66" s="264">
        <f t="shared" si="14"/>
        <v>0</v>
      </c>
      <c r="AT66" s="264">
        <f t="shared" si="14"/>
        <v>0</v>
      </c>
      <c r="AU66" s="264">
        <f t="shared" si="14"/>
        <v>0</v>
      </c>
      <c r="AV66" s="264">
        <f t="shared" si="14"/>
        <v>0</v>
      </c>
      <c r="AW66" s="264">
        <f t="shared" si="14"/>
        <v>0</v>
      </c>
      <c r="AX66" s="264">
        <f t="shared" si="14"/>
        <v>0</v>
      </c>
      <c r="AY66" s="264">
        <f t="shared" si="14"/>
        <v>0</v>
      </c>
      <c r="AZ66" s="264">
        <f t="shared" si="14"/>
        <v>0</v>
      </c>
      <c r="BA66" s="264">
        <f t="shared" si="14"/>
        <v>0</v>
      </c>
      <c r="BB66" s="264">
        <f t="shared" si="14"/>
        <v>0</v>
      </c>
      <c r="BC66" s="839"/>
      <c r="BF66" s="680" t="s">
        <v>662</v>
      </c>
    </row>
    <row r="67" spans="1:58" ht="14.65" hidden="1" customHeight="1">
      <c r="E67" s="472">
        <v>15</v>
      </c>
      <c r="F67" s="3" cm="1">
        <f t="array" aca="1" ref="F67" ca="1">OFFSET(E67,-1,1)</f>
        <v>0</v>
      </c>
      <c r="H67" s="36" t="s">
        <v>536</v>
      </c>
      <c r="T67" s="365" t="b" cm="1">
        <f t="array" ref="T67">T66</f>
        <v>0</v>
      </c>
      <c r="X67" s="1075"/>
      <c r="Y67" s="1064"/>
      <c r="AB67" s="172" t="s">
        <v>537</v>
      </c>
      <c r="AC67" s="254" t="s">
        <v>663</v>
      </c>
      <c r="AD67" s="31" t="s">
        <v>534</v>
      </c>
      <c r="AE67" s="838"/>
      <c r="AF67" s="838"/>
      <c r="AG67" s="838"/>
      <c r="AH67" s="838"/>
      <c r="AI67" s="838"/>
      <c r="AJ67" s="838"/>
      <c r="AK67" s="838"/>
      <c r="AL67" s="838"/>
      <c r="AM67" s="838"/>
      <c r="AN67" s="838"/>
      <c r="AO67" s="838"/>
      <c r="AP67" s="838"/>
      <c r="AQ67" s="838"/>
      <c r="AR67" s="838"/>
      <c r="AS67" s="838"/>
      <c r="AT67" s="838"/>
      <c r="AU67" s="838"/>
      <c r="AV67" s="838"/>
      <c r="AW67" s="838"/>
      <c r="AX67" s="838"/>
      <c r="AY67" s="838"/>
      <c r="AZ67" s="838"/>
      <c r="BA67" s="838"/>
      <c r="BB67" s="838"/>
      <c r="BC67" s="839"/>
      <c r="BF67" s="680" t="s">
        <v>664</v>
      </c>
    </row>
    <row r="68" spans="1:58" ht="14.65" hidden="1" customHeight="1">
      <c r="E68" s="472">
        <v>15</v>
      </c>
      <c r="F68" s="3" cm="1">
        <f t="array" aca="1" ref="F68" ca="1">OFFSET(E68,-1,1)</f>
        <v>0</v>
      </c>
      <c r="H68" s="36" t="s">
        <v>540</v>
      </c>
      <c r="T68" s="365" t="b" cm="1">
        <f t="array" ref="T68">T67</f>
        <v>0</v>
      </c>
      <c r="X68" s="1075"/>
      <c r="Y68" s="1064"/>
      <c r="AB68" s="172" t="s">
        <v>541</v>
      </c>
      <c r="AC68" s="254" t="s">
        <v>665</v>
      </c>
      <c r="AD68" s="31" t="s">
        <v>534</v>
      </c>
      <c r="AE68" s="838"/>
      <c r="AF68" s="838"/>
      <c r="AG68" s="838"/>
      <c r="AH68" s="838"/>
      <c r="AI68" s="838"/>
      <c r="AJ68" s="838"/>
      <c r="AK68" s="838"/>
      <c r="AL68" s="838"/>
      <c r="AM68" s="838"/>
      <c r="AN68" s="838"/>
      <c r="AO68" s="838"/>
      <c r="AP68" s="838"/>
      <c r="AQ68" s="838"/>
      <c r="AR68" s="838"/>
      <c r="AS68" s="838"/>
      <c r="AT68" s="838"/>
      <c r="AU68" s="838"/>
      <c r="AV68" s="838"/>
      <c r="AW68" s="838"/>
      <c r="AX68" s="838"/>
      <c r="AY68" s="838"/>
      <c r="AZ68" s="838"/>
      <c r="BA68" s="838"/>
      <c r="BB68" s="838"/>
      <c r="BC68" s="839"/>
      <c r="BF68" s="680" t="s">
        <v>666</v>
      </c>
    </row>
    <row r="69" spans="1:58" ht="21.95" hidden="1" customHeight="1">
      <c r="E69" s="472">
        <v>22.5</v>
      </c>
      <c r="F69" s="3" cm="1">
        <f t="array" aca="1" ref="F69" ca="1">OFFSET(E69,-1,1)</f>
        <v>0</v>
      </c>
      <c r="H69" s="36" t="s">
        <v>544</v>
      </c>
      <c r="T69" s="365" t="b" cm="1">
        <f t="array" ref="T69">T68</f>
        <v>0</v>
      </c>
      <c r="X69" s="1075"/>
      <c r="Y69" s="1064"/>
      <c r="AB69" s="172" t="s">
        <v>545</v>
      </c>
      <c r="AC69" s="254" t="s">
        <v>667</v>
      </c>
      <c r="AD69" s="31" t="s">
        <v>534</v>
      </c>
      <c r="AE69" s="838"/>
      <c r="AF69" s="838"/>
      <c r="AG69" s="838"/>
      <c r="AH69" s="838"/>
      <c r="AI69" s="838"/>
      <c r="AJ69" s="838"/>
      <c r="AK69" s="838"/>
      <c r="AL69" s="838"/>
      <c r="AM69" s="838"/>
      <c r="AN69" s="838"/>
      <c r="AO69" s="838"/>
      <c r="AP69" s="838"/>
      <c r="AQ69" s="838"/>
      <c r="AR69" s="838"/>
      <c r="AS69" s="838"/>
      <c r="AT69" s="838"/>
      <c r="AU69" s="838"/>
      <c r="AV69" s="838"/>
      <c r="AW69" s="838"/>
      <c r="AX69" s="838"/>
      <c r="AY69" s="838"/>
      <c r="AZ69" s="838"/>
      <c r="BA69" s="838"/>
      <c r="BB69" s="838"/>
      <c r="BC69" s="839"/>
      <c r="BF69" s="680" t="s">
        <v>668</v>
      </c>
    </row>
    <row r="70" spans="1:58" ht="14.65" hidden="1" customHeight="1">
      <c r="E70" s="472">
        <v>15</v>
      </c>
      <c r="F70" s="3" cm="1">
        <f t="array" aca="1" ref="F70" ca="1">OFFSET(E70,-1,1)</f>
        <v>0</v>
      </c>
      <c r="H70" s="36" t="s">
        <v>330</v>
      </c>
      <c r="T70" s="365" t="b" cm="1">
        <f t="array" ref="T70">T69</f>
        <v>0</v>
      </c>
      <c r="X70" s="1075"/>
      <c r="Y70" s="1064"/>
      <c r="AB70" s="172" t="s">
        <v>325</v>
      </c>
      <c r="AC70" s="247" t="s">
        <v>579</v>
      </c>
      <c r="AD70" s="31" t="s">
        <v>534</v>
      </c>
      <c r="AE70" s="838"/>
      <c r="AF70" s="838"/>
      <c r="AG70" s="838"/>
      <c r="AH70" s="838"/>
      <c r="AI70" s="838"/>
      <c r="AJ70" s="838"/>
      <c r="AK70" s="838"/>
      <c r="AL70" s="838"/>
      <c r="AM70" s="838"/>
      <c r="AN70" s="838"/>
      <c r="AO70" s="838"/>
      <c r="AP70" s="838"/>
      <c r="AQ70" s="838"/>
      <c r="AR70" s="838"/>
      <c r="AS70" s="838"/>
      <c r="AT70" s="838"/>
      <c r="AU70" s="838"/>
      <c r="AV70" s="838"/>
      <c r="AW70" s="838"/>
      <c r="AX70" s="838"/>
      <c r="AY70" s="838"/>
      <c r="AZ70" s="838"/>
      <c r="BA70" s="838"/>
      <c r="BB70" s="838"/>
      <c r="BC70" s="839"/>
      <c r="BF70" s="680" t="s">
        <v>669</v>
      </c>
    </row>
    <row r="71" spans="1:58" ht="14.65" hidden="1" customHeight="1">
      <c r="E71" s="472">
        <v>15</v>
      </c>
      <c r="F71" s="3" cm="1">
        <f t="array" aca="1" ref="F71" ca="1">OFFSET(E71,-1,1)</f>
        <v>0</v>
      </c>
      <c r="H71" s="36" t="s">
        <v>550</v>
      </c>
      <c r="T71" s="365" t="b" cm="1">
        <f t="array" ref="T71">T70</f>
        <v>0</v>
      </c>
      <c r="X71" s="1075"/>
      <c r="Y71" s="1064"/>
      <c r="AB71" s="172" t="s">
        <v>551</v>
      </c>
      <c r="AC71" s="249" t="s">
        <v>583</v>
      </c>
      <c r="AD71" s="31" t="s">
        <v>456</v>
      </c>
      <c r="AE71" s="833">
        <f t="shared" ref="AE71:BB71" si="15">IF(AE66=0,0,AE70/AE66*100)</f>
        <v>0</v>
      </c>
      <c r="AF71" s="833">
        <f t="shared" si="15"/>
        <v>0</v>
      </c>
      <c r="AG71" s="833">
        <f t="shared" si="15"/>
        <v>0</v>
      </c>
      <c r="AH71" s="833">
        <f t="shared" si="15"/>
        <v>0</v>
      </c>
      <c r="AI71" s="833">
        <f t="shared" si="15"/>
        <v>0</v>
      </c>
      <c r="AJ71" s="833">
        <f t="shared" si="15"/>
        <v>0</v>
      </c>
      <c r="AK71" s="833">
        <f t="shared" si="15"/>
        <v>0</v>
      </c>
      <c r="AL71" s="833">
        <f t="shared" si="15"/>
        <v>0</v>
      </c>
      <c r="AM71" s="833">
        <f t="shared" si="15"/>
        <v>0</v>
      </c>
      <c r="AN71" s="833">
        <f t="shared" si="15"/>
        <v>0</v>
      </c>
      <c r="AO71" s="833">
        <f t="shared" si="15"/>
        <v>0</v>
      </c>
      <c r="AP71" s="833">
        <f t="shared" si="15"/>
        <v>0</v>
      </c>
      <c r="AQ71" s="833">
        <f t="shared" si="15"/>
        <v>0</v>
      </c>
      <c r="AR71" s="833">
        <f t="shared" si="15"/>
        <v>0</v>
      </c>
      <c r="AS71" s="833">
        <f t="shared" si="15"/>
        <v>0</v>
      </c>
      <c r="AT71" s="833">
        <f t="shared" si="15"/>
        <v>0</v>
      </c>
      <c r="AU71" s="833">
        <f t="shared" si="15"/>
        <v>0</v>
      </c>
      <c r="AV71" s="833">
        <f t="shared" si="15"/>
        <v>0</v>
      </c>
      <c r="AW71" s="833">
        <f t="shared" si="15"/>
        <v>0</v>
      </c>
      <c r="AX71" s="833">
        <f t="shared" si="15"/>
        <v>0</v>
      </c>
      <c r="AY71" s="833">
        <f t="shared" si="15"/>
        <v>0</v>
      </c>
      <c r="AZ71" s="833">
        <f t="shared" si="15"/>
        <v>0</v>
      </c>
      <c r="BA71" s="833">
        <f t="shared" si="15"/>
        <v>0</v>
      </c>
      <c r="BB71" s="833">
        <f t="shared" si="15"/>
        <v>0</v>
      </c>
      <c r="BC71" s="784"/>
      <c r="BF71" s="680" t="s">
        <v>670</v>
      </c>
    </row>
    <row r="72" spans="1:58" ht="14.65" hidden="1" customHeight="1">
      <c r="E72" s="472">
        <v>15</v>
      </c>
      <c r="F72" s="3" cm="1">
        <f t="array" aca="1" ref="F72" ca="1">OFFSET(E72,-1,1)</f>
        <v>0</v>
      </c>
      <c r="G72" s="36" t="str">
        <f>IF(OwnNeedsInPO="да","ПО","")</f>
        <v/>
      </c>
      <c r="H72" s="36" t="s">
        <v>511</v>
      </c>
      <c r="T72" s="365" t="b" cm="1">
        <f t="array" ref="T72">T71</f>
        <v>0</v>
      </c>
      <c r="X72" s="1075"/>
      <c r="Y72" s="1064"/>
      <c r="AB72" s="172" t="s">
        <v>433</v>
      </c>
      <c r="AC72" s="253" t="s">
        <v>591</v>
      </c>
      <c r="AD72" s="31" t="s">
        <v>534</v>
      </c>
      <c r="AE72" s="264">
        <f t="shared" ref="AE72:BB72" si="16">AE73+AE74</f>
        <v>0</v>
      </c>
      <c r="AF72" s="264">
        <f t="shared" si="16"/>
        <v>0</v>
      </c>
      <c r="AG72" s="264">
        <f t="shared" si="16"/>
        <v>0</v>
      </c>
      <c r="AH72" s="264">
        <f t="shared" si="16"/>
        <v>0</v>
      </c>
      <c r="AI72" s="264">
        <f t="shared" si="16"/>
        <v>0</v>
      </c>
      <c r="AJ72" s="264">
        <f t="shared" si="16"/>
        <v>0</v>
      </c>
      <c r="AK72" s="264">
        <f t="shared" si="16"/>
        <v>0</v>
      </c>
      <c r="AL72" s="264">
        <f t="shared" si="16"/>
        <v>0</v>
      </c>
      <c r="AM72" s="264">
        <f t="shared" si="16"/>
        <v>0</v>
      </c>
      <c r="AN72" s="264">
        <f t="shared" si="16"/>
        <v>0</v>
      </c>
      <c r="AO72" s="264">
        <f t="shared" si="16"/>
        <v>0</v>
      </c>
      <c r="AP72" s="264">
        <f t="shared" si="16"/>
        <v>0</v>
      </c>
      <c r="AQ72" s="264">
        <f t="shared" si="16"/>
        <v>0</v>
      </c>
      <c r="AR72" s="264">
        <f t="shared" si="16"/>
        <v>0</v>
      </c>
      <c r="AS72" s="264">
        <f t="shared" si="16"/>
        <v>0</v>
      </c>
      <c r="AT72" s="264">
        <f t="shared" si="16"/>
        <v>0</v>
      </c>
      <c r="AU72" s="264">
        <f t="shared" si="16"/>
        <v>0</v>
      </c>
      <c r="AV72" s="264">
        <f t="shared" si="16"/>
        <v>0</v>
      </c>
      <c r="AW72" s="264">
        <f t="shared" si="16"/>
        <v>0</v>
      </c>
      <c r="AX72" s="264">
        <f t="shared" si="16"/>
        <v>0</v>
      </c>
      <c r="AY72" s="264">
        <f t="shared" si="16"/>
        <v>0</v>
      </c>
      <c r="AZ72" s="264">
        <f t="shared" si="16"/>
        <v>0</v>
      </c>
      <c r="BA72" s="264">
        <f t="shared" si="16"/>
        <v>0</v>
      </c>
      <c r="BB72" s="264">
        <f t="shared" si="16"/>
        <v>0</v>
      </c>
      <c r="BC72" s="839"/>
      <c r="BF72" s="680" t="s">
        <v>671</v>
      </c>
    </row>
    <row r="73" spans="1:58" ht="14.65" hidden="1" customHeight="1">
      <c r="E73" s="472">
        <v>15</v>
      </c>
      <c r="F73" s="3" cm="1">
        <f t="array" aca="1" ref="F73" ca="1">OFFSET(E73,-1,1)</f>
        <v>0</v>
      </c>
      <c r="H73" s="36" t="s">
        <v>672</v>
      </c>
      <c r="T73" s="365" t="b" cm="1">
        <f t="array" ref="T73">T72</f>
        <v>0</v>
      </c>
      <c r="X73" s="1075"/>
      <c r="Y73" s="1064"/>
      <c r="AB73" s="172" t="s">
        <v>673</v>
      </c>
      <c r="AC73" s="254" t="s">
        <v>595</v>
      </c>
      <c r="AD73" s="31" t="s">
        <v>534</v>
      </c>
      <c r="AE73" s="838"/>
      <c r="AF73" s="838"/>
      <c r="AG73" s="838"/>
      <c r="AH73" s="838"/>
      <c r="AI73" s="838"/>
      <c r="AJ73" s="838"/>
      <c r="AK73" s="838"/>
      <c r="AL73" s="838"/>
      <c r="AM73" s="838"/>
      <c r="AN73" s="838"/>
      <c r="AO73" s="838"/>
      <c r="AP73" s="838"/>
      <c r="AQ73" s="838"/>
      <c r="AR73" s="838"/>
      <c r="AS73" s="838"/>
      <c r="AT73" s="838"/>
      <c r="AU73" s="838"/>
      <c r="AV73" s="838"/>
      <c r="AW73" s="838"/>
      <c r="AX73" s="838"/>
      <c r="AY73" s="838"/>
      <c r="AZ73" s="838"/>
      <c r="BA73" s="838"/>
      <c r="BB73" s="838"/>
      <c r="BC73" s="839"/>
      <c r="BF73" s="680" t="s">
        <v>674</v>
      </c>
    </row>
    <row r="74" spans="1:58" ht="14.65" hidden="1" customHeight="1">
      <c r="E74" s="472">
        <v>15</v>
      </c>
      <c r="F74" s="3" cm="1">
        <f t="array" aca="1" ref="F74" ca="1">OFFSET(E74,-1,1)</f>
        <v>0</v>
      </c>
      <c r="H74" s="36" t="s">
        <v>675</v>
      </c>
      <c r="T74" s="365" t="b" cm="1">
        <f t="array" ref="T74">T73</f>
        <v>0</v>
      </c>
      <c r="X74" s="1075"/>
      <c r="Y74" s="1064"/>
      <c r="AB74" s="172" t="s">
        <v>676</v>
      </c>
      <c r="AC74" s="254" t="s">
        <v>599</v>
      </c>
      <c r="AD74" s="31" t="s">
        <v>534</v>
      </c>
      <c r="AE74" s="838"/>
      <c r="AF74" s="838"/>
      <c r="AG74" s="838"/>
      <c r="AH74" s="838"/>
      <c r="AI74" s="838"/>
      <c r="AJ74" s="838"/>
      <c r="AK74" s="838"/>
      <c r="AL74" s="838"/>
      <c r="AM74" s="838"/>
      <c r="AN74" s="838"/>
      <c r="AO74" s="838"/>
      <c r="AP74" s="838"/>
      <c r="AQ74" s="838"/>
      <c r="AR74" s="838"/>
      <c r="AS74" s="838"/>
      <c r="AT74" s="838"/>
      <c r="AU74" s="838"/>
      <c r="AV74" s="838"/>
      <c r="AW74" s="838"/>
      <c r="AX74" s="838"/>
      <c r="AY74" s="838"/>
      <c r="AZ74" s="838"/>
      <c r="BA74" s="838"/>
      <c r="BB74" s="838"/>
      <c r="BC74" s="839"/>
      <c r="BF74" s="680" t="s">
        <v>677</v>
      </c>
    </row>
    <row r="75" spans="1:58" ht="14.65" hidden="1" customHeight="1">
      <c r="E75" s="472">
        <v>15</v>
      </c>
      <c r="F75" s="3" cm="1">
        <f t="array" aca="1" ref="F75" ca="1">OFFSET(E75,-1,1)</f>
        <v>0</v>
      </c>
      <c r="G75" s="36" t="s">
        <v>605</v>
      </c>
      <c r="H75" s="36" t="s">
        <v>514</v>
      </c>
      <c r="T75" s="365" t="b" cm="1">
        <f t="array" ref="T75">T74</f>
        <v>0</v>
      </c>
      <c r="X75" s="1075"/>
      <c r="Y75" s="1064"/>
      <c r="AB75" s="172" t="s">
        <v>444</v>
      </c>
      <c r="AC75" s="253" t="s">
        <v>608</v>
      </c>
      <c r="AD75" s="31" t="s">
        <v>534</v>
      </c>
      <c r="AE75" s="264">
        <f t="shared" ref="AE75:BB75" si="17">AE76+AE77</f>
        <v>0</v>
      </c>
      <c r="AF75" s="264">
        <f t="shared" si="17"/>
        <v>0</v>
      </c>
      <c r="AG75" s="264">
        <f t="shared" si="17"/>
        <v>0</v>
      </c>
      <c r="AH75" s="264">
        <f t="shared" si="17"/>
        <v>0</v>
      </c>
      <c r="AI75" s="264">
        <f t="shared" si="17"/>
        <v>0</v>
      </c>
      <c r="AJ75" s="264">
        <f t="shared" si="17"/>
        <v>0</v>
      </c>
      <c r="AK75" s="264">
        <f t="shared" si="17"/>
        <v>0</v>
      </c>
      <c r="AL75" s="264">
        <f t="shared" si="17"/>
        <v>0</v>
      </c>
      <c r="AM75" s="264">
        <f t="shared" si="17"/>
        <v>0</v>
      </c>
      <c r="AN75" s="264">
        <f t="shared" si="17"/>
        <v>0</v>
      </c>
      <c r="AO75" s="264">
        <f t="shared" si="17"/>
        <v>0</v>
      </c>
      <c r="AP75" s="264">
        <f t="shared" si="17"/>
        <v>0</v>
      </c>
      <c r="AQ75" s="264">
        <f t="shared" si="17"/>
        <v>0</v>
      </c>
      <c r="AR75" s="264">
        <f t="shared" si="17"/>
        <v>0</v>
      </c>
      <c r="AS75" s="264">
        <f t="shared" si="17"/>
        <v>0</v>
      </c>
      <c r="AT75" s="264">
        <f t="shared" si="17"/>
        <v>0</v>
      </c>
      <c r="AU75" s="264">
        <f t="shared" si="17"/>
        <v>0</v>
      </c>
      <c r="AV75" s="264">
        <f t="shared" si="17"/>
        <v>0</v>
      </c>
      <c r="AW75" s="264">
        <f t="shared" si="17"/>
        <v>0</v>
      </c>
      <c r="AX75" s="264">
        <f t="shared" si="17"/>
        <v>0</v>
      </c>
      <c r="AY75" s="264">
        <f t="shared" si="17"/>
        <v>0</v>
      </c>
      <c r="AZ75" s="264">
        <f t="shared" si="17"/>
        <v>0</v>
      </c>
      <c r="BA75" s="264">
        <f t="shared" si="17"/>
        <v>0</v>
      </c>
      <c r="BB75" s="264">
        <f t="shared" si="17"/>
        <v>0</v>
      </c>
      <c r="BC75" s="839"/>
      <c r="BF75" s="680" t="s">
        <v>678</v>
      </c>
    </row>
    <row r="76" spans="1:58" ht="14.65" hidden="1" customHeight="1">
      <c r="E76" s="472">
        <v>15</v>
      </c>
      <c r="F76" s="3" cm="1">
        <f t="array" aca="1" ref="F76" ca="1">OFFSET(E76,-1,1)</f>
        <v>0</v>
      </c>
      <c r="H76" s="36" t="s">
        <v>679</v>
      </c>
      <c r="T76" s="365" t="b" cm="1">
        <f t="array" ref="T76">T75</f>
        <v>0</v>
      </c>
      <c r="X76" s="1075"/>
      <c r="Y76" s="1064"/>
      <c r="AB76" s="172" t="s">
        <v>680</v>
      </c>
      <c r="AC76" s="254" t="s">
        <v>612</v>
      </c>
      <c r="AD76" s="31" t="s">
        <v>534</v>
      </c>
      <c r="AE76" s="838"/>
      <c r="AF76" s="838"/>
      <c r="AG76" s="838"/>
      <c r="AH76" s="838"/>
      <c r="AI76" s="838"/>
      <c r="AJ76" s="838"/>
      <c r="AK76" s="838"/>
      <c r="AL76" s="838"/>
      <c r="AM76" s="838"/>
      <c r="AN76" s="838"/>
      <c r="AO76" s="838"/>
      <c r="AP76" s="838"/>
      <c r="AQ76" s="838"/>
      <c r="AR76" s="838"/>
      <c r="AS76" s="838"/>
      <c r="AT76" s="838"/>
      <c r="AU76" s="838"/>
      <c r="AV76" s="838"/>
      <c r="AW76" s="838"/>
      <c r="AX76" s="838"/>
      <c r="AY76" s="838"/>
      <c r="AZ76" s="838"/>
      <c r="BA76" s="838"/>
      <c r="BB76" s="838"/>
      <c r="BC76" s="839"/>
      <c r="BF76" s="680" t="s">
        <v>681</v>
      </c>
    </row>
    <row r="77" spans="1:58" ht="14.65" hidden="1" customHeight="1">
      <c r="E77" s="472">
        <v>15</v>
      </c>
      <c r="F77" s="3" cm="1">
        <f t="array" aca="1" ref="F77" ca="1">OFFSET(E77,-1,1)</f>
        <v>0</v>
      </c>
      <c r="H77" s="36" t="s">
        <v>682</v>
      </c>
      <c r="T77" s="365" t="b" cm="1">
        <f t="array" ref="T77">T76</f>
        <v>0</v>
      </c>
      <c r="X77" s="1075"/>
      <c r="Y77" s="1064"/>
      <c r="AB77" s="172" t="s">
        <v>683</v>
      </c>
      <c r="AC77" s="254" t="s">
        <v>616</v>
      </c>
      <c r="AD77" s="31" t="s">
        <v>534</v>
      </c>
      <c r="AE77" s="838"/>
      <c r="AF77" s="838"/>
      <c r="AG77" s="838"/>
      <c r="AH77" s="838"/>
      <c r="AI77" s="838"/>
      <c r="AJ77" s="838"/>
      <c r="AK77" s="838"/>
      <c r="AL77" s="838"/>
      <c r="AM77" s="838"/>
      <c r="AN77" s="838"/>
      <c r="AO77" s="838"/>
      <c r="AP77" s="838"/>
      <c r="AQ77" s="838"/>
      <c r="AR77" s="838"/>
      <c r="AS77" s="838"/>
      <c r="AT77" s="838"/>
      <c r="AU77" s="838"/>
      <c r="AV77" s="838"/>
      <c r="AW77" s="838"/>
      <c r="AX77" s="838"/>
      <c r="AY77" s="838"/>
      <c r="AZ77" s="838"/>
      <c r="BA77" s="838"/>
      <c r="BB77" s="838"/>
      <c r="BC77" s="839"/>
      <c r="BF77" s="680" t="s">
        <v>684</v>
      </c>
    </row>
    <row r="78" spans="1:58" ht="21.95" hidden="1" customHeight="1">
      <c r="E78" s="472">
        <v>22.5</v>
      </c>
      <c r="F78" s="3" cm="1">
        <f t="array" aca="1" ref="F78" ca="1">OFFSET(E78,-1,1)</f>
        <v>0</v>
      </c>
      <c r="H78" s="36" t="s">
        <v>562</v>
      </c>
      <c r="I78" s="327"/>
      <c r="J78" s="327"/>
      <c r="T78" s="365" t="b" cm="1">
        <f t="array" ref="T78">T77</f>
        <v>0</v>
      </c>
      <c r="X78" s="1075"/>
      <c r="Y78" s="1064"/>
      <c r="AB78" s="172" t="s">
        <v>447</v>
      </c>
      <c r="AC78" s="255" t="s">
        <v>655</v>
      </c>
      <c r="AD78" s="31" t="s">
        <v>534</v>
      </c>
      <c r="AE78" s="838"/>
      <c r="AF78" s="838"/>
      <c r="AG78" s="838"/>
      <c r="AH78" s="838"/>
      <c r="AI78" s="838"/>
      <c r="AJ78" s="838"/>
      <c r="AK78" s="838"/>
      <c r="AL78" s="838"/>
      <c r="AM78" s="838"/>
      <c r="AN78" s="838"/>
      <c r="AO78" s="838"/>
      <c r="AP78" s="838"/>
      <c r="AQ78" s="838"/>
      <c r="AR78" s="838"/>
      <c r="AS78" s="838"/>
      <c r="AT78" s="838"/>
      <c r="AU78" s="838"/>
      <c r="AV78" s="838"/>
      <c r="AW78" s="838"/>
      <c r="AX78" s="838"/>
      <c r="AY78" s="838"/>
      <c r="AZ78" s="838"/>
      <c r="BA78" s="838"/>
      <c r="BB78" s="838"/>
      <c r="BC78" s="839"/>
      <c r="BF78" s="680" t="s">
        <v>685</v>
      </c>
    </row>
    <row r="79" spans="1:58" ht="14.65" hidden="1" customHeight="1">
      <c r="E79" s="472">
        <v>15</v>
      </c>
      <c r="F79" s="266" cm="1">
        <f t="array" aca="1" ref="F79" ca="1">OFFSET(E79,-1,1)</f>
        <v>0</v>
      </c>
      <c r="T79" s="365" t="b" cm="1">
        <f t="array" ref="T79">T78</f>
        <v>0</v>
      </c>
      <c r="X79" s="1075"/>
      <c r="Y79" s="1064"/>
      <c r="AB79" s="172" t="s">
        <v>657</v>
      </c>
      <c r="AC79" s="252" t="s">
        <v>658</v>
      </c>
      <c r="AD79" s="31" t="s">
        <v>534</v>
      </c>
      <c r="AE79" s="838"/>
      <c r="AF79" s="838"/>
      <c r="AG79" s="838"/>
      <c r="AH79" s="838"/>
      <c r="AI79" s="838"/>
      <c r="AJ79" s="838"/>
      <c r="AK79" s="838"/>
      <c r="AL79" s="838"/>
      <c r="AM79" s="838"/>
      <c r="AN79" s="838"/>
      <c r="AO79" s="838"/>
      <c r="AP79" s="838"/>
      <c r="AQ79" s="838"/>
      <c r="AR79" s="838"/>
      <c r="AS79" s="838"/>
      <c r="AT79" s="838"/>
      <c r="AU79" s="838"/>
      <c r="AV79" s="838"/>
      <c r="AW79" s="838"/>
      <c r="AX79" s="838"/>
      <c r="AY79" s="838"/>
      <c r="AZ79" s="838"/>
      <c r="BA79" s="838"/>
      <c r="BB79" s="838"/>
      <c r="BC79" s="839"/>
      <c r="BF79" s="680" t="s">
        <v>686</v>
      </c>
    </row>
    <row r="80" spans="1:58" ht="11.25" hidden="1" customHeight="1">
      <c r="A80" s="327"/>
      <c r="B80" s="490"/>
      <c r="C80" s="327"/>
      <c r="D80" s="327"/>
      <c r="E80" s="491" t="s">
        <v>366</v>
      </c>
      <c r="F80" s="774" cm="1">
        <f t="array" aca="1" ref="F80" ca="1">OFFSET(E80,-1,1)</f>
        <v>0</v>
      </c>
      <c r="G80" s="327"/>
      <c r="H80" s="327"/>
      <c r="I80"/>
      <c r="J80"/>
      <c r="L80" s="327"/>
      <c r="M80" s="327"/>
      <c r="N80" s="327"/>
      <c r="O80" s="327"/>
      <c r="T80" s="365" t="b">
        <v>0</v>
      </c>
      <c r="V80" s="327"/>
      <c r="X80" s="1075"/>
      <c r="Y80" s="1064"/>
      <c r="Z80" s="327"/>
      <c r="AA80" s="327"/>
      <c r="AB80"/>
      <c r="AC80" s="37"/>
      <c r="AD80" s="37"/>
      <c r="AE80" s="262"/>
      <c r="AF80" s="262"/>
      <c r="AG80" s="262"/>
      <c r="AH80" s="262"/>
      <c r="AI80" s="262"/>
      <c r="AJ80" s="263"/>
      <c r="AK80" s="262"/>
      <c r="AL80" s="262"/>
      <c r="AM80" s="262"/>
      <c r="AN80" s="262"/>
      <c r="AO80" s="262"/>
      <c r="AP80" s="262"/>
      <c r="AQ80" s="262"/>
      <c r="AR80" s="262"/>
      <c r="AS80" s="262"/>
      <c r="AT80" s="262"/>
      <c r="AU80" s="262"/>
      <c r="AV80" s="262"/>
      <c r="AW80" s="262"/>
      <c r="AX80" s="262"/>
      <c r="AY80" s="262"/>
      <c r="AZ80" s="262"/>
      <c r="BA80" s="262"/>
      <c r="BB80" s="262"/>
      <c r="BC80"/>
      <c r="BD80"/>
      <c r="BE80"/>
      <c r="BF80" s="670"/>
    </row>
    <row r="81" spans="5:58" ht="14.65" hidden="1" customHeight="1">
      <c r="E81" s="472">
        <v>15</v>
      </c>
      <c r="F81" s="3" cm="1">
        <f t="array" aca="1" ref="F81" ca="1">OFFSET(E81,-1,1)</f>
        <v>0</v>
      </c>
      <c r="R81" s="327" t="b" cm="1">
        <f t="array" ref="R81">INDEX('Общие сведения'!$AN$179:$AN$222,MATCH($X27,'Общие сведения'!$Z$179:$Z$222,0))</f>
        <v>0</v>
      </c>
      <c r="S81" s="327" t="b">
        <f>IF(ISERROR(SEARCH("Водоотведение",AB27)),FALSE,TRUE)</f>
        <v>0</v>
      </c>
      <c r="T81" s="365" t="b">
        <f>AND(X27&gt;0,S81,NOT(R81))</f>
        <v>0</v>
      </c>
      <c r="X81" s="1075"/>
      <c r="Y81" s="1064"/>
      <c r="AB81" s="172" t="s">
        <v>275</v>
      </c>
      <c r="AC81" s="72" t="s">
        <v>687</v>
      </c>
      <c r="AD81" s="129"/>
      <c r="AE81" s="427" cm="1">
        <f t="array" ref="AE81">INDEX('Общие сведения'!$AH$179:$AH$222,MATCH($X27,'Общие сведения'!$Z$179:$Z$222,0))</f>
        <v>0</v>
      </c>
      <c r="AF81" s="277"/>
      <c r="AG81" s="277"/>
      <c r="AH81" s="277"/>
      <c r="AI81" s="277"/>
      <c r="AJ81" s="277"/>
      <c r="AK81" s="277"/>
      <c r="AL81" s="277"/>
      <c r="AM81" s="277"/>
      <c r="AN81" s="277"/>
      <c r="AO81" s="277"/>
      <c r="AP81" s="277"/>
      <c r="AQ81" s="277"/>
      <c r="AR81" s="277"/>
      <c r="AS81" s="277"/>
      <c r="AT81" s="277"/>
      <c r="AU81" s="277"/>
      <c r="AV81" s="277"/>
      <c r="AW81" s="277"/>
      <c r="AX81" s="277"/>
      <c r="AY81" s="277"/>
      <c r="AZ81" s="277"/>
      <c r="BA81" s="277"/>
      <c r="BB81" s="278"/>
      <c r="BC81" s="839"/>
      <c r="BF81" s="680" t="s">
        <v>688</v>
      </c>
    </row>
    <row r="82" spans="5:58" ht="14.65" hidden="1" customHeight="1">
      <c r="E82" s="472">
        <v>15</v>
      </c>
      <c r="F82" s="3" cm="1">
        <f t="array" aca="1" ref="F82" ca="1">OFFSET(E82,-1,1)</f>
        <v>0</v>
      </c>
      <c r="H82" s="36" t="s">
        <v>331</v>
      </c>
      <c r="T82" s="365" t="b" cm="1">
        <f t="array" ref="T82">T81</f>
        <v>0</v>
      </c>
      <c r="X82" s="1075"/>
      <c r="Y82" s="1064"/>
      <c r="AB82" s="172" t="s">
        <v>285</v>
      </c>
      <c r="AC82" s="72" t="s">
        <v>689</v>
      </c>
      <c r="AD82" s="31" t="s">
        <v>534</v>
      </c>
      <c r="AE82" s="264">
        <f t="shared" ref="AE82:BB82" si="18">AE83+AE84+AE97</f>
        <v>0</v>
      </c>
      <c r="AF82" s="264">
        <f t="shared" si="18"/>
        <v>0</v>
      </c>
      <c r="AG82" s="264">
        <f t="shared" si="18"/>
        <v>0</v>
      </c>
      <c r="AH82" s="264">
        <f t="shared" si="18"/>
        <v>0</v>
      </c>
      <c r="AI82" s="264">
        <f t="shared" si="18"/>
        <v>0</v>
      </c>
      <c r="AJ82" s="264">
        <f t="shared" si="18"/>
        <v>0</v>
      </c>
      <c r="AK82" s="264">
        <f t="shared" si="18"/>
        <v>0</v>
      </c>
      <c r="AL82" s="264">
        <f t="shared" si="18"/>
        <v>0</v>
      </c>
      <c r="AM82" s="264">
        <f t="shared" si="18"/>
        <v>0</v>
      </c>
      <c r="AN82" s="264">
        <f t="shared" si="18"/>
        <v>0</v>
      </c>
      <c r="AO82" s="264">
        <f t="shared" si="18"/>
        <v>0</v>
      </c>
      <c r="AP82" s="264">
        <f t="shared" si="18"/>
        <v>0</v>
      </c>
      <c r="AQ82" s="264">
        <f t="shared" si="18"/>
        <v>0</v>
      </c>
      <c r="AR82" s="264">
        <f t="shared" si="18"/>
        <v>0</v>
      </c>
      <c r="AS82" s="264">
        <f t="shared" si="18"/>
        <v>0</v>
      </c>
      <c r="AT82" s="264">
        <f t="shared" si="18"/>
        <v>0</v>
      </c>
      <c r="AU82" s="264">
        <f t="shared" si="18"/>
        <v>0</v>
      </c>
      <c r="AV82" s="264">
        <f t="shared" si="18"/>
        <v>0</v>
      </c>
      <c r="AW82" s="264">
        <f t="shared" si="18"/>
        <v>0</v>
      </c>
      <c r="AX82" s="264">
        <f t="shared" si="18"/>
        <v>0</v>
      </c>
      <c r="AY82" s="264">
        <f t="shared" si="18"/>
        <v>0</v>
      </c>
      <c r="AZ82" s="264">
        <f t="shared" si="18"/>
        <v>0</v>
      </c>
      <c r="BA82" s="264">
        <f t="shared" si="18"/>
        <v>0</v>
      </c>
      <c r="BB82" s="264">
        <f t="shared" si="18"/>
        <v>0</v>
      </c>
      <c r="BC82" s="839"/>
      <c r="BF82" s="680" t="s">
        <v>690</v>
      </c>
    </row>
    <row r="83" spans="5:58" ht="14.65" hidden="1" customHeight="1">
      <c r="E83" s="472">
        <v>15</v>
      </c>
      <c r="F83" s="3" cm="1">
        <f t="array" aca="1" ref="F83" ca="1">OFFSET(E83,-1,1)</f>
        <v>0</v>
      </c>
      <c r="G83" s="36" t="str">
        <f>IF(OwnNeedsInPO="да","ПО","")</f>
        <v/>
      </c>
      <c r="H83" s="36" t="s">
        <v>330</v>
      </c>
      <c r="T83" s="365" t="b" cm="1">
        <f t="array" ref="T83">T82</f>
        <v>0</v>
      </c>
      <c r="X83" s="1075"/>
      <c r="Y83" s="1064"/>
      <c r="AB83" s="172" t="s">
        <v>325</v>
      </c>
      <c r="AC83" s="72" t="s">
        <v>691</v>
      </c>
      <c r="AD83" s="31" t="s">
        <v>534</v>
      </c>
      <c r="AE83" s="838"/>
      <c r="AF83" s="838"/>
      <c r="AG83" s="838"/>
      <c r="AH83" s="838"/>
      <c r="AI83" s="838"/>
      <c r="AJ83" s="838"/>
      <c r="AK83" s="838"/>
      <c r="AL83" s="838"/>
      <c r="AM83" s="838"/>
      <c r="AN83" s="838"/>
      <c r="AO83" s="838"/>
      <c r="AP83" s="838"/>
      <c r="AQ83" s="838"/>
      <c r="AR83" s="838"/>
      <c r="AS83" s="838"/>
      <c r="AT83" s="838"/>
      <c r="AU83" s="838"/>
      <c r="AV83" s="838"/>
      <c r="AW83" s="838"/>
      <c r="AX83" s="838"/>
      <c r="AY83" s="838"/>
      <c r="AZ83" s="838"/>
      <c r="BA83" s="838"/>
      <c r="BB83" s="838"/>
      <c r="BC83" s="839"/>
      <c r="BF83" s="680" t="s">
        <v>692</v>
      </c>
    </row>
    <row r="84" spans="5:58" ht="14.65" hidden="1" customHeight="1">
      <c r="E84" s="472">
        <v>15</v>
      </c>
      <c r="F84" s="3" cm="1">
        <f t="array" aca="1" ref="F84" ca="1">OFFSET(E84,-1,1)</f>
        <v>0</v>
      </c>
      <c r="G84" s="36" t="s">
        <v>605</v>
      </c>
      <c r="H84" s="36" t="s">
        <v>511</v>
      </c>
      <c r="T84" s="365" t="b" cm="1">
        <f t="array" ref="T84">T83</f>
        <v>0</v>
      </c>
      <c r="X84" s="1075"/>
      <c r="Y84" s="1064"/>
      <c r="AB84" s="172" t="s">
        <v>433</v>
      </c>
      <c r="AC84" s="73" t="s">
        <v>693</v>
      </c>
      <c r="AD84" s="31" t="s">
        <v>534</v>
      </c>
      <c r="AE84" s="264">
        <f t="shared" ref="AE84:BB84" si="19">AE85+AE88+AE91+AE94</f>
        <v>0</v>
      </c>
      <c r="AF84" s="264">
        <f t="shared" si="19"/>
        <v>0</v>
      </c>
      <c r="AG84" s="264">
        <f t="shared" si="19"/>
        <v>0</v>
      </c>
      <c r="AH84" s="264">
        <f t="shared" si="19"/>
        <v>0</v>
      </c>
      <c r="AI84" s="264">
        <f t="shared" si="19"/>
        <v>0</v>
      </c>
      <c r="AJ84" s="264">
        <f t="shared" si="19"/>
        <v>0</v>
      </c>
      <c r="AK84" s="264">
        <f t="shared" si="19"/>
        <v>0</v>
      </c>
      <c r="AL84" s="264">
        <f t="shared" si="19"/>
        <v>0</v>
      </c>
      <c r="AM84" s="264">
        <f t="shared" si="19"/>
        <v>0</v>
      </c>
      <c r="AN84" s="264">
        <f t="shared" si="19"/>
        <v>0</v>
      </c>
      <c r="AO84" s="264">
        <f t="shared" si="19"/>
        <v>0</v>
      </c>
      <c r="AP84" s="264">
        <f t="shared" si="19"/>
        <v>0</v>
      </c>
      <c r="AQ84" s="264">
        <f t="shared" si="19"/>
        <v>0</v>
      </c>
      <c r="AR84" s="264">
        <f t="shared" si="19"/>
        <v>0</v>
      </c>
      <c r="AS84" s="264">
        <f t="shared" si="19"/>
        <v>0</v>
      </c>
      <c r="AT84" s="264">
        <f t="shared" si="19"/>
        <v>0</v>
      </c>
      <c r="AU84" s="264">
        <f t="shared" si="19"/>
        <v>0</v>
      </c>
      <c r="AV84" s="264">
        <f t="shared" si="19"/>
        <v>0</v>
      </c>
      <c r="AW84" s="264">
        <f t="shared" si="19"/>
        <v>0</v>
      </c>
      <c r="AX84" s="264">
        <f t="shared" si="19"/>
        <v>0</v>
      </c>
      <c r="AY84" s="264">
        <f t="shared" si="19"/>
        <v>0</v>
      </c>
      <c r="AZ84" s="264">
        <f t="shared" si="19"/>
        <v>0</v>
      </c>
      <c r="BA84" s="264">
        <f t="shared" si="19"/>
        <v>0</v>
      </c>
      <c r="BB84" s="264">
        <f t="shared" si="19"/>
        <v>0</v>
      </c>
      <c r="BC84" s="839"/>
      <c r="BF84" s="680" t="s">
        <v>694</v>
      </c>
    </row>
    <row r="85" spans="5:58" ht="14.65" hidden="1" customHeight="1">
      <c r="E85" s="472">
        <v>15</v>
      </c>
      <c r="F85" s="3" cm="1">
        <f t="array" aca="1" ref="F85" ca="1">OFFSET(E85,-1,1)</f>
        <v>0</v>
      </c>
      <c r="H85" s="36" t="s">
        <v>672</v>
      </c>
      <c r="T85" s="365" t="b" cm="1">
        <f t="array" ref="T85">T84</f>
        <v>0</v>
      </c>
      <c r="X85" s="1075"/>
      <c r="Y85" s="1064"/>
      <c r="AB85" s="172" t="s">
        <v>673</v>
      </c>
      <c r="AC85" s="124" t="s">
        <v>624</v>
      </c>
      <c r="AD85" s="31" t="s">
        <v>534</v>
      </c>
      <c r="AE85" s="264">
        <f t="shared" ref="AE85:BB85" si="20">AE86+AE87</f>
        <v>0</v>
      </c>
      <c r="AF85" s="264">
        <f t="shared" si="20"/>
        <v>0</v>
      </c>
      <c r="AG85" s="264">
        <f t="shared" si="20"/>
        <v>0</v>
      </c>
      <c r="AH85" s="264">
        <f t="shared" si="20"/>
        <v>0</v>
      </c>
      <c r="AI85" s="264">
        <f t="shared" si="20"/>
        <v>0</v>
      </c>
      <c r="AJ85" s="264">
        <f t="shared" si="20"/>
        <v>0</v>
      </c>
      <c r="AK85" s="264">
        <f t="shared" si="20"/>
        <v>0</v>
      </c>
      <c r="AL85" s="264">
        <f t="shared" si="20"/>
        <v>0</v>
      </c>
      <c r="AM85" s="264">
        <f t="shared" si="20"/>
        <v>0</v>
      </c>
      <c r="AN85" s="264">
        <f t="shared" si="20"/>
        <v>0</v>
      </c>
      <c r="AO85" s="264">
        <f t="shared" si="20"/>
        <v>0</v>
      </c>
      <c r="AP85" s="264">
        <f t="shared" si="20"/>
        <v>0</v>
      </c>
      <c r="AQ85" s="264">
        <f t="shared" si="20"/>
        <v>0</v>
      </c>
      <c r="AR85" s="264">
        <f t="shared" si="20"/>
        <v>0</v>
      </c>
      <c r="AS85" s="264">
        <f t="shared" si="20"/>
        <v>0</v>
      </c>
      <c r="AT85" s="264">
        <f t="shared" si="20"/>
        <v>0</v>
      </c>
      <c r="AU85" s="264">
        <f t="shared" si="20"/>
        <v>0</v>
      </c>
      <c r="AV85" s="264">
        <f t="shared" si="20"/>
        <v>0</v>
      </c>
      <c r="AW85" s="264">
        <f t="shared" si="20"/>
        <v>0</v>
      </c>
      <c r="AX85" s="264">
        <f t="shared" si="20"/>
        <v>0</v>
      </c>
      <c r="AY85" s="264">
        <f t="shared" si="20"/>
        <v>0</v>
      </c>
      <c r="AZ85" s="264">
        <f t="shared" si="20"/>
        <v>0</v>
      </c>
      <c r="BA85" s="264">
        <f t="shared" si="20"/>
        <v>0</v>
      </c>
      <c r="BB85" s="264">
        <f t="shared" si="20"/>
        <v>0</v>
      </c>
      <c r="BC85" s="839"/>
      <c r="BF85" s="680" t="s">
        <v>695</v>
      </c>
    </row>
    <row r="86" spans="5:58" ht="14.65" hidden="1" customHeight="1">
      <c r="E86" s="472">
        <v>15</v>
      </c>
      <c r="F86" s="3" cm="1">
        <f t="array" aca="1" ref="F86" ca="1">OFFSET(E86,-1,1)</f>
        <v>0</v>
      </c>
      <c r="H86" s="36" t="s">
        <v>696</v>
      </c>
      <c r="T86" s="365" t="b" cm="1">
        <f t="array" ref="T86">T85</f>
        <v>0</v>
      </c>
      <c r="X86" s="1075"/>
      <c r="Y86" s="1064"/>
      <c r="AB86" s="172" t="s">
        <v>697</v>
      </c>
      <c r="AC86" s="256" t="s">
        <v>612</v>
      </c>
      <c r="AD86" s="31" t="s">
        <v>534</v>
      </c>
      <c r="AE86" s="838"/>
      <c r="AF86" s="838"/>
      <c r="AG86" s="838"/>
      <c r="AH86" s="838"/>
      <c r="AI86" s="838"/>
      <c r="AJ86" s="838"/>
      <c r="AK86" s="838"/>
      <c r="AL86" s="838"/>
      <c r="AM86" s="838"/>
      <c r="AN86" s="838"/>
      <c r="AO86" s="838"/>
      <c r="AP86" s="838"/>
      <c r="AQ86" s="838"/>
      <c r="AR86" s="838"/>
      <c r="AS86" s="838"/>
      <c r="AT86" s="838"/>
      <c r="AU86" s="838"/>
      <c r="AV86" s="838"/>
      <c r="AW86" s="838"/>
      <c r="AX86" s="838"/>
      <c r="AY86" s="838"/>
      <c r="AZ86" s="838"/>
      <c r="BA86" s="838"/>
      <c r="BB86" s="838"/>
      <c r="BC86" s="839"/>
      <c r="BF86" s="680" t="s">
        <v>698</v>
      </c>
    </row>
    <row r="87" spans="5:58" ht="14.65" hidden="1" customHeight="1">
      <c r="E87" s="472">
        <v>15</v>
      </c>
      <c r="F87" s="3" cm="1">
        <f t="array" aca="1" ref="F87" ca="1">OFFSET(E87,-1,1)</f>
        <v>0</v>
      </c>
      <c r="H87" s="36" t="s">
        <v>699</v>
      </c>
      <c r="T87" s="365" t="b" cm="1">
        <f t="array" ref="T87">T86</f>
        <v>0</v>
      </c>
      <c r="X87" s="1075"/>
      <c r="Y87" s="1064"/>
      <c r="AB87" s="172" t="s">
        <v>700</v>
      </c>
      <c r="AC87" s="256" t="s">
        <v>616</v>
      </c>
      <c r="AD87" s="31" t="s">
        <v>534</v>
      </c>
      <c r="AE87" s="838"/>
      <c r="AF87" s="838"/>
      <c r="AG87" s="838"/>
      <c r="AH87" s="838"/>
      <c r="AI87" s="838"/>
      <c r="AJ87" s="838"/>
      <c r="AK87" s="838"/>
      <c r="AL87" s="838"/>
      <c r="AM87" s="838"/>
      <c r="AN87" s="838"/>
      <c r="AO87" s="838"/>
      <c r="AP87" s="838"/>
      <c r="AQ87" s="838"/>
      <c r="AR87" s="838"/>
      <c r="AS87" s="838"/>
      <c r="AT87" s="838"/>
      <c r="AU87" s="838"/>
      <c r="AV87" s="838"/>
      <c r="AW87" s="838"/>
      <c r="AX87" s="838"/>
      <c r="AY87" s="838"/>
      <c r="AZ87" s="838"/>
      <c r="BA87" s="838"/>
      <c r="BB87" s="838"/>
      <c r="BC87" s="839"/>
      <c r="BF87" s="680" t="s">
        <v>701</v>
      </c>
    </row>
    <row r="88" spans="5:58" ht="14.65" hidden="1" customHeight="1">
      <c r="E88" s="472">
        <v>15</v>
      </c>
      <c r="F88" s="3" cm="1">
        <f t="array" aca="1" ref="F88" ca="1">OFFSET(E88,-1,1)</f>
        <v>0</v>
      </c>
      <c r="G88" s="36" t="s">
        <v>632</v>
      </c>
      <c r="H88" s="36" t="s">
        <v>675</v>
      </c>
      <c r="T88" s="365" t="b" cm="1">
        <f t="array" ref="T88">T87</f>
        <v>0</v>
      </c>
      <c r="X88" s="1075"/>
      <c r="Y88" s="1064"/>
      <c r="AB88" s="172" t="s">
        <v>676</v>
      </c>
      <c r="AC88" s="124" t="s">
        <v>635</v>
      </c>
      <c r="AD88" s="31" t="s">
        <v>534</v>
      </c>
      <c r="AE88" s="264">
        <f t="shared" ref="AE88:BB88" si="21">AE89+AE90</f>
        <v>0</v>
      </c>
      <c r="AF88" s="264">
        <f t="shared" si="21"/>
        <v>0</v>
      </c>
      <c r="AG88" s="264">
        <f t="shared" si="21"/>
        <v>0</v>
      </c>
      <c r="AH88" s="264">
        <f t="shared" si="21"/>
        <v>0</v>
      </c>
      <c r="AI88" s="264">
        <f t="shared" si="21"/>
        <v>0</v>
      </c>
      <c r="AJ88" s="264">
        <f t="shared" si="21"/>
        <v>0</v>
      </c>
      <c r="AK88" s="264">
        <f t="shared" si="21"/>
        <v>0</v>
      </c>
      <c r="AL88" s="264">
        <f t="shared" si="21"/>
        <v>0</v>
      </c>
      <c r="AM88" s="264">
        <f t="shared" si="21"/>
        <v>0</v>
      </c>
      <c r="AN88" s="264">
        <f t="shared" si="21"/>
        <v>0</v>
      </c>
      <c r="AO88" s="264">
        <f t="shared" si="21"/>
        <v>0</v>
      </c>
      <c r="AP88" s="264">
        <f t="shared" si="21"/>
        <v>0</v>
      </c>
      <c r="AQ88" s="264">
        <f t="shared" si="21"/>
        <v>0</v>
      </c>
      <c r="AR88" s="264">
        <f t="shared" si="21"/>
        <v>0</v>
      </c>
      <c r="AS88" s="264">
        <f t="shared" si="21"/>
        <v>0</v>
      </c>
      <c r="AT88" s="264">
        <f t="shared" si="21"/>
        <v>0</v>
      </c>
      <c r="AU88" s="264">
        <f t="shared" si="21"/>
        <v>0</v>
      </c>
      <c r="AV88" s="264">
        <f t="shared" si="21"/>
        <v>0</v>
      </c>
      <c r="AW88" s="264">
        <f t="shared" si="21"/>
        <v>0</v>
      </c>
      <c r="AX88" s="264">
        <f t="shared" si="21"/>
        <v>0</v>
      </c>
      <c r="AY88" s="264">
        <f t="shared" si="21"/>
        <v>0</v>
      </c>
      <c r="AZ88" s="264">
        <f t="shared" si="21"/>
        <v>0</v>
      </c>
      <c r="BA88" s="264">
        <f t="shared" si="21"/>
        <v>0</v>
      </c>
      <c r="BB88" s="264">
        <f t="shared" si="21"/>
        <v>0</v>
      </c>
      <c r="BC88" s="839"/>
      <c r="BF88" s="680" t="s">
        <v>702</v>
      </c>
    </row>
    <row r="89" spans="5:58" ht="14.65" hidden="1" customHeight="1">
      <c r="E89" s="472">
        <v>15</v>
      </c>
      <c r="F89" s="3" cm="1">
        <f t="array" aca="1" ref="F89" ca="1">OFFSET(E89,-1,1)</f>
        <v>0</v>
      </c>
      <c r="H89" s="36" t="s">
        <v>703</v>
      </c>
      <c r="T89" s="365" t="b" cm="1">
        <f t="array" ref="T89">T88</f>
        <v>0</v>
      </c>
      <c r="X89" s="1075"/>
      <c r="Y89" s="1064"/>
      <c r="AB89" s="172" t="s">
        <v>704</v>
      </c>
      <c r="AC89" s="256" t="s">
        <v>612</v>
      </c>
      <c r="AD89" s="31" t="s">
        <v>534</v>
      </c>
      <c r="AE89" s="838"/>
      <c r="AF89" s="838"/>
      <c r="AG89" s="838"/>
      <c r="AH89" s="838"/>
      <c r="AI89" s="838"/>
      <c r="AJ89" s="838"/>
      <c r="AK89" s="838"/>
      <c r="AL89" s="838"/>
      <c r="AM89" s="838"/>
      <c r="AN89" s="838"/>
      <c r="AO89" s="838"/>
      <c r="AP89" s="838"/>
      <c r="AQ89" s="838"/>
      <c r="AR89" s="838"/>
      <c r="AS89" s="838"/>
      <c r="AT89" s="838"/>
      <c r="AU89" s="838"/>
      <c r="AV89" s="838"/>
      <c r="AW89" s="838"/>
      <c r="AX89" s="838"/>
      <c r="AY89" s="838"/>
      <c r="AZ89" s="838"/>
      <c r="BA89" s="838"/>
      <c r="BB89" s="838"/>
      <c r="BC89" s="839"/>
      <c r="BF89" s="680" t="s">
        <v>705</v>
      </c>
    </row>
    <row r="90" spans="5:58" ht="14.65" hidden="1" customHeight="1">
      <c r="E90" s="472">
        <v>15</v>
      </c>
      <c r="F90" s="3" cm="1">
        <f t="array" aca="1" ref="F90" ca="1">OFFSET(E90,-1,1)</f>
        <v>0</v>
      </c>
      <c r="H90" s="36" t="s">
        <v>706</v>
      </c>
      <c r="T90" s="365" t="b" cm="1">
        <f t="array" ref="T90">T89</f>
        <v>0</v>
      </c>
      <c r="X90" s="1075"/>
      <c r="Y90" s="1064"/>
      <c r="AB90" s="172" t="s">
        <v>707</v>
      </c>
      <c r="AC90" s="256" t="s">
        <v>616</v>
      </c>
      <c r="AD90" s="31" t="s">
        <v>534</v>
      </c>
      <c r="AE90" s="838"/>
      <c r="AF90" s="838"/>
      <c r="AG90" s="838"/>
      <c r="AH90" s="838"/>
      <c r="AI90" s="838"/>
      <c r="AJ90" s="838"/>
      <c r="AK90" s="838"/>
      <c r="AL90" s="838"/>
      <c r="AM90" s="838"/>
      <c r="AN90" s="838"/>
      <c r="AO90" s="838"/>
      <c r="AP90" s="838"/>
      <c r="AQ90" s="838"/>
      <c r="AR90" s="838"/>
      <c r="AS90" s="838"/>
      <c r="AT90" s="838"/>
      <c r="AU90" s="838"/>
      <c r="AV90" s="838"/>
      <c r="AW90" s="838"/>
      <c r="AX90" s="838"/>
      <c r="AY90" s="838"/>
      <c r="AZ90" s="838"/>
      <c r="BA90" s="838"/>
      <c r="BB90" s="838"/>
      <c r="BC90" s="839"/>
      <c r="BF90" s="680" t="s">
        <v>708</v>
      </c>
    </row>
    <row r="91" spans="5:58" ht="14.65" hidden="1" customHeight="1">
      <c r="E91" s="472">
        <v>15</v>
      </c>
      <c r="F91" s="3" cm="1">
        <f t="array" aca="1" ref="F91" ca="1">OFFSET(E91,-1,1)</f>
        <v>0</v>
      </c>
      <c r="H91" s="36" t="s">
        <v>709</v>
      </c>
      <c r="T91" s="365" t="b" cm="1">
        <f t="array" ref="T91">T90</f>
        <v>0</v>
      </c>
      <c r="X91" s="1075"/>
      <c r="Y91" s="1064"/>
      <c r="AB91" s="172" t="s">
        <v>710</v>
      </c>
      <c r="AC91" s="124" t="s">
        <v>645</v>
      </c>
      <c r="AD91" s="31" t="s">
        <v>534</v>
      </c>
      <c r="AE91" s="264">
        <f t="shared" ref="AE91:BB91" si="22">AE92+AE93</f>
        <v>0</v>
      </c>
      <c r="AF91" s="264">
        <f t="shared" si="22"/>
        <v>0</v>
      </c>
      <c r="AG91" s="264">
        <f t="shared" si="22"/>
        <v>0</v>
      </c>
      <c r="AH91" s="264">
        <f t="shared" si="22"/>
        <v>0</v>
      </c>
      <c r="AI91" s="264">
        <f t="shared" si="22"/>
        <v>0</v>
      </c>
      <c r="AJ91" s="264">
        <f t="shared" si="22"/>
        <v>0</v>
      </c>
      <c r="AK91" s="264">
        <f t="shared" si="22"/>
        <v>0</v>
      </c>
      <c r="AL91" s="264">
        <f t="shared" si="22"/>
        <v>0</v>
      </c>
      <c r="AM91" s="264">
        <f t="shared" si="22"/>
        <v>0</v>
      </c>
      <c r="AN91" s="264">
        <f t="shared" si="22"/>
        <v>0</v>
      </c>
      <c r="AO91" s="264">
        <f t="shared" si="22"/>
        <v>0</v>
      </c>
      <c r="AP91" s="264">
        <f t="shared" si="22"/>
        <v>0</v>
      </c>
      <c r="AQ91" s="264">
        <f t="shared" si="22"/>
        <v>0</v>
      </c>
      <c r="AR91" s="264">
        <f t="shared" si="22"/>
        <v>0</v>
      </c>
      <c r="AS91" s="264">
        <f t="shared" si="22"/>
        <v>0</v>
      </c>
      <c r="AT91" s="264">
        <f t="shared" si="22"/>
        <v>0</v>
      </c>
      <c r="AU91" s="264">
        <f t="shared" si="22"/>
        <v>0</v>
      </c>
      <c r="AV91" s="264">
        <f t="shared" si="22"/>
        <v>0</v>
      </c>
      <c r="AW91" s="264">
        <f t="shared" si="22"/>
        <v>0</v>
      </c>
      <c r="AX91" s="264">
        <f t="shared" si="22"/>
        <v>0</v>
      </c>
      <c r="AY91" s="264">
        <f t="shared" si="22"/>
        <v>0</v>
      </c>
      <c r="AZ91" s="264">
        <f t="shared" si="22"/>
        <v>0</v>
      </c>
      <c r="BA91" s="264">
        <f t="shared" si="22"/>
        <v>0</v>
      </c>
      <c r="BB91" s="264">
        <f t="shared" si="22"/>
        <v>0</v>
      </c>
      <c r="BC91" s="839"/>
      <c r="BF91" s="680" t="s">
        <v>711</v>
      </c>
    </row>
    <row r="92" spans="5:58" ht="14.65" hidden="1" customHeight="1">
      <c r="E92" s="472">
        <v>15</v>
      </c>
      <c r="F92" s="3" cm="1">
        <f t="array" aca="1" ref="F92" ca="1">OFFSET(E92,-1,1)</f>
        <v>0</v>
      </c>
      <c r="H92" s="36" t="s">
        <v>712</v>
      </c>
      <c r="T92" s="365" t="b" cm="1">
        <f t="array" ref="T92">T91</f>
        <v>0</v>
      </c>
      <c r="X92" s="1075"/>
      <c r="Y92" s="1064"/>
      <c r="AB92" s="172" t="s">
        <v>713</v>
      </c>
      <c r="AC92" s="256" t="s">
        <v>612</v>
      </c>
      <c r="AD92" s="31" t="s">
        <v>534</v>
      </c>
      <c r="AE92" s="838"/>
      <c r="AF92" s="838"/>
      <c r="AG92" s="838"/>
      <c r="AH92" s="838"/>
      <c r="AI92" s="838"/>
      <c r="AJ92" s="838"/>
      <c r="AK92" s="838"/>
      <c r="AL92" s="838"/>
      <c r="AM92" s="838"/>
      <c r="AN92" s="838"/>
      <c r="AO92" s="838"/>
      <c r="AP92" s="838"/>
      <c r="AQ92" s="838"/>
      <c r="AR92" s="838"/>
      <c r="AS92" s="838"/>
      <c r="AT92" s="838"/>
      <c r="AU92" s="838"/>
      <c r="AV92" s="838"/>
      <c r="AW92" s="838"/>
      <c r="AX92" s="838"/>
      <c r="AY92" s="838"/>
      <c r="AZ92" s="838"/>
      <c r="BA92" s="838"/>
      <c r="BB92" s="838"/>
      <c r="BC92" s="839"/>
      <c r="BF92" s="680" t="s">
        <v>714</v>
      </c>
    </row>
    <row r="93" spans="5:58" ht="14.65" hidden="1" customHeight="1">
      <c r="E93" s="472">
        <v>15</v>
      </c>
      <c r="F93" s="3" cm="1">
        <f t="array" aca="1" ref="F93" ca="1">OFFSET(E93,-1,1)</f>
        <v>0</v>
      </c>
      <c r="H93" s="36" t="s">
        <v>715</v>
      </c>
      <c r="T93" s="365" t="b" cm="1">
        <f t="array" ref="T93">T92</f>
        <v>0</v>
      </c>
      <c r="X93" s="1075"/>
      <c r="Y93" s="1064"/>
      <c r="AB93" s="172" t="s">
        <v>716</v>
      </c>
      <c r="AC93" s="256" t="s">
        <v>616</v>
      </c>
      <c r="AD93" s="31" t="s">
        <v>534</v>
      </c>
      <c r="AE93" s="838"/>
      <c r="AF93" s="838"/>
      <c r="AG93" s="838"/>
      <c r="AH93" s="838"/>
      <c r="AI93" s="838"/>
      <c r="AJ93" s="838"/>
      <c r="AK93" s="838"/>
      <c r="AL93" s="838"/>
      <c r="AM93" s="838"/>
      <c r="AN93" s="838"/>
      <c r="AO93" s="838"/>
      <c r="AP93" s="838"/>
      <c r="AQ93" s="838"/>
      <c r="AR93" s="838"/>
      <c r="AS93" s="838"/>
      <c r="AT93" s="838"/>
      <c r="AU93" s="838"/>
      <c r="AV93" s="838"/>
      <c r="AW93" s="838"/>
      <c r="AX93" s="838"/>
      <c r="AY93" s="838"/>
      <c r="AZ93" s="838"/>
      <c r="BA93" s="838"/>
      <c r="BB93" s="838"/>
      <c r="BC93" s="839"/>
      <c r="BF93" s="680" t="s">
        <v>717</v>
      </c>
    </row>
    <row r="94" spans="5:58" ht="14.65" hidden="1" customHeight="1">
      <c r="E94" s="472">
        <v>15</v>
      </c>
      <c r="F94" s="3" cm="1">
        <f t="array" aca="1" ref="F94" ca="1">OFFSET(E94,-1,1)</f>
        <v>0</v>
      </c>
      <c r="H94" s="36" t="s">
        <v>718</v>
      </c>
      <c r="T94" s="365" t="b" cm="1">
        <f t="array" ref="T94">T93</f>
        <v>0</v>
      </c>
      <c r="X94" s="1075"/>
      <c r="Y94" s="1064"/>
      <c r="AB94" s="172" t="s">
        <v>719</v>
      </c>
      <c r="AC94" s="124" t="s">
        <v>720</v>
      </c>
      <c r="AD94" s="31" t="s">
        <v>534</v>
      </c>
      <c r="AE94" s="264">
        <f t="shared" ref="AE94:BB94" si="23">AE95+AE96</f>
        <v>0</v>
      </c>
      <c r="AF94" s="264">
        <f t="shared" si="23"/>
        <v>0</v>
      </c>
      <c r="AG94" s="264">
        <f t="shared" si="23"/>
        <v>0</v>
      </c>
      <c r="AH94" s="264">
        <f t="shared" si="23"/>
        <v>0</v>
      </c>
      <c r="AI94" s="264">
        <f t="shared" si="23"/>
        <v>0</v>
      </c>
      <c r="AJ94" s="264">
        <f t="shared" si="23"/>
        <v>0</v>
      </c>
      <c r="AK94" s="264">
        <f t="shared" si="23"/>
        <v>0</v>
      </c>
      <c r="AL94" s="264">
        <f t="shared" si="23"/>
        <v>0</v>
      </c>
      <c r="AM94" s="264">
        <f t="shared" si="23"/>
        <v>0</v>
      </c>
      <c r="AN94" s="264">
        <f t="shared" si="23"/>
        <v>0</v>
      </c>
      <c r="AO94" s="264">
        <f t="shared" si="23"/>
        <v>0</v>
      </c>
      <c r="AP94" s="264">
        <f t="shared" si="23"/>
        <v>0</v>
      </c>
      <c r="AQ94" s="264">
        <f t="shared" si="23"/>
        <v>0</v>
      </c>
      <c r="AR94" s="264">
        <f t="shared" si="23"/>
        <v>0</v>
      </c>
      <c r="AS94" s="264">
        <f t="shared" si="23"/>
        <v>0</v>
      </c>
      <c r="AT94" s="264">
        <f t="shared" si="23"/>
        <v>0</v>
      </c>
      <c r="AU94" s="264">
        <f t="shared" si="23"/>
        <v>0</v>
      </c>
      <c r="AV94" s="264">
        <f t="shared" si="23"/>
        <v>0</v>
      </c>
      <c r="AW94" s="264">
        <f t="shared" si="23"/>
        <v>0</v>
      </c>
      <c r="AX94" s="264">
        <f t="shared" si="23"/>
        <v>0</v>
      </c>
      <c r="AY94" s="264">
        <f t="shared" si="23"/>
        <v>0</v>
      </c>
      <c r="AZ94" s="264">
        <f t="shared" si="23"/>
        <v>0</v>
      </c>
      <c r="BA94" s="264">
        <f t="shared" si="23"/>
        <v>0</v>
      </c>
      <c r="BB94" s="264">
        <f t="shared" si="23"/>
        <v>0</v>
      </c>
      <c r="BC94" s="839"/>
      <c r="BF94" s="680" t="s">
        <v>721</v>
      </c>
    </row>
    <row r="95" spans="5:58" ht="14.65" hidden="1" customHeight="1">
      <c r="E95" s="472">
        <v>15</v>
      </c>
      <c r="F95" s="3" cm="1">
        <f t="array" aca="1" ref="F95" ca="1">OFFSET(E95,-1,1)</f>
        <v>0</v>
      </c>
      <c r="H95" s="36" t="s">
        <v>722</v>
      </c>
      <c r="T95" s="365" t="b" cm="1">
        <f t="array" ref="T95">T94</f>
        <v>0</v>
      </c>
      <c r="X95" s="1075"/>
      <c r="Y95" s="1064"/>
      <c r="AB95" s="172" t="s">
        <v>723</v>
      </c>
      <c r="AC95" s="250" t="s">
        <v>612</v>
      </c>
      <c r="AD95" s="31" t="s">
        <v>534</v>
      </c>
      <c r="AE95" s="838"/>
      <c r="AF95" s="838"/>
      <c r="AG95" s="838"/>
      <c r="AH95" s="838"/>
      <c r="AI95" s="838"/>
      <c r="AJ95" s="838"/>
      <c r="AK95" s="838"/>
      <c r="AL95" s="838"/>
      <c r="AM95" s="838"/>
      <c r="AN95" s="838"/>
      <c r="AO95" s="838"/>
      <c r="AP95" s="838"/>
      <c r="AQ95" s="838"/>
      <c r="AR95" s="838"/>
      <c r="AS95" s="838"/>
      <c r="AT95" s="838"/>
      <c r="AU95" s="838"/>
      <c r="AV95" s="838"/>
      <c r="AW95" s="838"/>
      <c r="AX95" s="838"/>
      <c r="AY95" s="838"/>
      <c r="AZ95" s="838"/>
      <c r="BA95" s="838"/>
      <c r="BB95" s="838"/>
      <c r="BC95" s="839"/>
      <c r="BF95" s="680" t="s">
        <v>724</v>
      </c>
    </row>
    <row r="96" spans="5:58" ht="14.65" hidden="1" customHeight="1">
      <c r="E96" s="472">
        <v>15</v>
      </c>
      <c r="F96" s="3" cm="1">
        <f t="array" aca="1" ref="F96" ca="1">OFFSET(E96,-1,1)</f>
        <v>0</v>
      </c>
      <c r="H96" s="36" t="s">
        <v>725</v>
      </c>
      <c r="T96" s="365" t="b" cm="1">
        <f t="array" ref="T96">T95</f>
        <v>0</v>
      </c>
      <c r="X96" s="1075"/>
      <c r="Y96" s="1064"/>
      <c r="AB96" s="172" t="s">
        <v>726</v>
      </c>
      <c r="AC96" s="250" t="s">
        <v>616</v>
      </c>
      <c r="AD96" s="31" t="s">
        <v>534</v>
      </c>
      <c r="AE96" s="838"/>
      <c r="AF96" s="838"/>
      <c r="AG96" s="838"/>
      <c r="AH96" s="838"/>
      <c r="AI96" s="838"/>
      <c r="AJ96" s="838"/>
      <c r="AK96" s="838"/>
      <c r="AL96" s="838"/>
      <c r="AM96" s="838"/>
      <c r="AN96" s="838"/>
      <c r="AO96" s="838"/>
      <c r="AP96" s="838"/>
      <c r="AQ96" s="838"/>
      <c r="AR96" s="838"/>
      <c r="AS96" s="838"/>
      <c r="AT96" s="838"/>
      <c r="AU96" s="838"/>
      <c r="AV96" s="838"/>
      <c r="AW96" s="838"/>
      <c r="AX96" s="838"/>
      <c r="AY96" s="838"/>
      <c r="AZ96" s="838"/>
      <c r="BA96" s="838"/>
      <c r="BB96" s="838"/>
      <c r="BC96" s="839"/>
      <c r="BF96" s="680" t="s">
        <v>727</v>
      </c>
    </row>
    <row r="97" spans="1:58" ht="21.95" hidden="1" customHeight="1">
      <c r="E97" s="472">
        <v>22.5</v>
      </c>
      <c r="F97" s="3" cm="1">
        <f t="array" aca="1" ref="F97" ca="1">OFFSET(E97,-1,1)</f>
        <v>0</v>
      </c>
      <c r="H97" s="36" t="s">
        <v>728</v>
      </c>
      <c r="T97" s="365" t="b" cm="1">
        <f t="array" ref="T97">T96</f>
        <v>0</v>
      </c>
      <c r="X97" s="1075"/>
      <c r="Y97" s="1064"/>
      <c r="AB97" s="172" t="s">
        <v>729</v>
      </c>
      <c r="AC97" s="257" t="s">
        <v>575</v>
      </c>
      <c r="AD97" s="31" t="s">
        <v>534</v>
      </c>
      <c r="AE97" s="838"/>
      <c r="AF97" s="838"/>
      <c r="AG97" s="838"/>
      <c r="AH97" s="838"/>
      <c r="AI97" s="838"/>
      <c r="AJ97" s="838"/>
      <c r="AK97" s="838"/>
      <c r="AL97" s="838"/>
      <c r="AM97" s="838"/>
      <c r="AN97" s="838"/>
      <c r="AO97" s="838"/>
      <c r="AP97" s="838"/>
      <c r="AQ97" s="838"/>
      <c r="AR97" s="838"/>
      <c r="AS97" s="838"/>
      <c r="AT97" s="838"/>
      <c r="AU97" s="838"/>
      <c r="AV97" s="838"/>
      <c r="AW97" s="838"/>
      <c r="AX97" s="838"/>
      <c r="AY97" s="838"/>
      <c r="AZ97" s="838"/>
      <c r="BA97" s="838"/>
      <c r="BB97" s="838"/>
      <c r="BC97" s="839"/>
      <c r="BF97" s="680" t="s">
        <v>730</v>
      </c>
    </row>
    <row r="98" spans="1:58" ht="14.65" hidden="1" customHeight="1">
      <c r="E98" s="472">
        <v>15</v>
      </c>
      <c r="F98" s="3" cm="1">
        <f t="array" aca="1" ref="F98" ca="1">OFFSET(E98,-1,1)</f>
        <v>0</v>
      </c>
      <c r="H98" s="36" t="s">
        <v>514</v>
      </c>
      <c r="T98" s="365" t="b" cm="1">
        <f t="array" ref="T98">T97</f>
        <v>0</v>
      </c>
      <c r="X98" s="1075"/>
      <c r="Y98" s="1064"/>
      <c r="AB98" s="172" t="s">
        <v>444</v>
      </c>
      <c r="AC98" s="72" t="s">
        <v>731</v>
      </c>
      <c r="AD98" s="31" t="s">
        <v>534</v>
      </c>
      <c r="AE98" s="838"/>
      <c r="AF98" s="838"/>
      <c r="AG98" s="838"/>
      <c r="AH98" s="838"/>
      <c r="AI98" s="838"/>
      <c r="AJ98" s="838"/>
      <c r="AK98" s="838"/>
      <c r="AL98" s="838"/>
      <c r="AM98" s="838"/>
      <c r="AN98" s="838"/>
      <c r="AO98" s="838"/>
      <c r="AP98" s="838"/>
      <c r="AQ98" s="838"/>
      <c r="AR98" s="838"/>
      <c r="AS98" s="838"/>
      <c r="AT98" s="838"/>
      <c r="AU98" s="838"/>
      <c r="AV98" s="838"/>
      <c r="AW98" s="838"/>
      <c r="AX98" s="838"/>
      <c r="AY98" s="838"/>
      <c r="AZ98" s="838"/>
      <c r="BA98" s="838"/>
      <c r="BB98" s="838"/>
      <c r="BC98" s="839"/>
      <c r="BF98" s="680" t="s">
        <v>732</v>
      </c>
    </row>
    <row r="99" spans="1:58" ht="14.65" hidden="1" customHeight="1">
      <c r="E99" s="472">
        <v>15</v>
      </c>
      <c r="F99" s="3" cm="1">
        <f t="array" aca="1" ref="F99" ca="1">OFFSET(E99,-1,1)</f>
        <v>0</v>
      </c>
      <c r="H99" s="36" t="s">
        <v>562</v>
      </c>
      <c r="T99" s="365" t="b" cm="1">
        <f t="array" ref="T99">T98</f>
        <v>0</v>
      </c>
      <c r="X99" s="1075"/>
      <c r="Y99" s="1064"/>
      <c r="AB99" s="172" t="s">
        <v>447</v>
      </c>
      <c r="AC99" s="72" t="s">
        <v>733</v>
      </c>
      <c r="AD99" s="31" t="s">
        <v>534</v>
      </c>
      <c r="AE99" s="838"/>
      <c r="AF99" s="838"/>
      <c r="AG99" s="838"/>
      <c r="AH99" s="838"/>
      <c r="AI99" s="838"/>
      <c r="AJ99" s="838"/>
      <c r="AK99" s="838"/>
      <c r="AL99" s="838"/>
      <c r="AM99" s="838"/>
      <c r="AN99" s="838"/>
      <c r="AO99" s="838"/>
      <c r="AP99" s="838"/>
      <c r="AQ99" s="838"/>
      <c r="AR99" s="838"/>
      <c r="AS99" s="838"/>
      <c r="AT99" s="838"/>
      <c r="AU99" s="838"/>
      <c r="AV99" s="838"/>
      <c r="AW99" s="838"/>
      <c r="AX99" s="838"/>
      <c r="AY99" s="838"/>
      <c r="AZ99" s="838"/>
      <c r="BA99" s="838"/>
      <c r="BB99" s="838"/>
      <c r="BC99" s="839"/>
      <c r="BF99" s="680" t="s">
        <v>734</v>
      </c>
    </row>
    <row r="100" spans="1:58" ht="14.65" hidden="1" customHeight="1">
      <c r="E100" s="472">
        <v>15</v>
      </c>
      <c r="F100" s="3" cm="1">
        <f t="array" aca="1" ref="F100" ca="1">OFFSET(E100,-1,1)</f>
        <v>0</v>
      </c>
      <c r="H100" s="36" t="s">
        <v>577</v>
      </c>
      <c r="T100" s="365" t="b" cm="1">
        <f t="array" ref="T100">T99</f>
        <v>0</v>
      </c>
      <c r="X100" s="1075"/>
      <c r="Y100" s="1064"/>
      <c r="AB100" s="172" t="s">
        <v>578</v>
      </c>
      <c r="AC100" s="72" t="s">
        <v>735</v>
      </c>
      <c r="AD100" s="31" t="s">
        <v>534</v>
      </c>
      <c r="AE100" s="838"/>
      <c r="AF100" s="838"/>
      <c r="AG100" s="838"/>
      <c r="AH100" s="838"/>
      <c r="AI100" s="838"/>
      <c r="AJ100" s="838"/>
      <c r="AK100" s="838"/>
      <c r="AL100" s="838"/>
      <c r="AM100" s="838"/>
      <c r="AN100" s="838"/>
      <c r="AO100" s="838"/>
      <c r="AP100" s="838"/>
      <c r="AQ100" s="838"/>
      <c r="AR100" s="838"/>
      <c r="AS100" s="838"/>
      <c r="AT100" s="838"/>
      <c r="AU100" s="838"/>
      <c r="AV100" s="838"/>
      <c r="AW100" s="838"/>
      <c r="AX100" s="838"/>
      <c r="AY100" s="838"/>
      <c r="AZ100" s="838"/>
      <c r="BA100" s="838"/>
      <c r="BB100" s="838"/>
      <c r="BC100" s="839"/>
      <c r="BF100" s="680" t="s">
        <v>736</v>
      </c>
    </row>
    <row r="101" spans="1:58" ht="14.65" hidden="1" customHeight="1">
      <c r="E101" s="472">
        <v>15</v>
      </c>
      <c r="F101" s="3" cm="1">
        <f t="array" aca="1" ref="F101" ca="1">OFFSET(E101,-1,1)</f>
        <v>0</v>
      </c>
      <c r="H101" s="36" t="s">
        <v>585</v>
      </c>
      <c r="T101" s="365" t="b" cm="1">
        <f t="array" ref="T101">T100</f>
        <v>0</v>
      </c>
      <c r="X101" s="1075"/>
      <c r="Y101" s="1064"/>
      <c r="AB101" s="172" t="s">
        <v>586</v>
      </c>
      <c r="AC101" s="73" t="s">
        <v>737</v>
      </c>
      <c r="AD101" s="31" t="s">
        <v>534</v>
      </c>
      <c r="AE101" s="264">
        <f t="shared" ref="AE101:BB101" si="24">AE102+AE103</f>
        <v>0</v>
      </c>
      <c r="AF101" s="264">
        <f t="shared" si="24"/>
        <v>0</v>
      </c>
      <c r="AG101" s="264">
        <f t="shared" si="24"/>
        <v>0</v>
      </c>
      <c r="AH101" s="264">
        <f t="shared" si="24"/>
        <v>0</v>
      </c>
      <c r="AI101" s="264">
        <f t="shared" si="24"/>
        <v>0</v>
      </c>
      <c r="AJ101" s="264">
        <f t="shared" si="24"/>
        <v>0</v>
      </c>
      <c r="AK101" s="264">
        <f t="shared" si="24"/>
        <v>0</v>
      </c>
      <c r="AL101" s="264">
        <f t="shared" si="24"/>
        <v>0</v>
      </c>
      <c r="AM101" s="264">
        <f t="shared" si="24"/>
        <v>0</v>
      </c>
      <c r="AN101" s="264">
        <f t="shared" si="24"/>
        <v>0</v>
      </c>
      <c r="AO101" s="264">
        <f t="shared" si="24"/>
        <v>0</v>
      </c>
      <c r="AP101" s="264">
        <f t="shared" si="24"/>
        <v>0</v>
      </c>
      <c r="AQ101" s="264">
        <f t="shared" si="24"/>
        <v>0</v>
      </c>
      <c r="AR101" s="264">
        <f t="shared" si="24"/>
        <v>0</v>
      </c>
      <c r="AS101" s="264">
        <f t="shared" si="24"/>
        <v>0</v>
      </c>
      <c r="AT101" s="264">
        <f t="shared" si="24"/>
        <v>0</v>
      </c>
      <c r="AU101" s="264">
        <f t="shared" si="24"/>
        <v>0</v>
      </c>
      <c r="AV101" s="264">
        <f t="shared" si="24"/>
        <v>0</v>
      </c>
      <c r="AW101" s="264">
        <f t="shared" si="24"/>
        <v>0</v>
      </c>
      <c r="AX101" s="264">
        <f t="shared" si="24"/>
        <v>0</v>
      </c>
      <c r="AY101" s="264">
        <f t="shared" si="24"/>
        <v>0</v>
      </c>
      <c r="AZ101" s="264">
        <f t="shared" si="24"/>
        <v>0</v>
      </c>
      <c r="BA101" s="264">
        <f t="shared" si="24"/>
        <v>0</v>
      </c>
      <c r="BB101" s="264">
        <f t="shared" si="24"/>
        <v>0</v>
      </c>
      <c r="BC101" s="839"/>
      <c r="BF101" s="680" t="s">
        <v>738</v>
      </c>
    </row>
    <row r="102" spans="1:58" ht="14.65" hidden="1" customHeight="1">
      <c r="E102" s="472">
        <v>15</v>
      </c>
      <c r="F102" s="3" cm="1">
        <f t="array" aca="1" ref="F102" ca="1">OFFSET(E102,-1,1)</f>
        <v>0</v>
      </c>
      <c r="H102" s="36" t="s">
        <v>589</v>
      </c>
      <c r="T102" s="365" t="b" cm="1">
        <f t="array" ref="T102">T101</f>
        <v>0</v>
      </c>
      <c r="X102" s="1075"/>
      <c r="Y102" s="1064"/>
      <c r="AB102" s="172" t="s">
        <v>590</v>
      </c>
      <c r="AC102" s="124" t="s">
        <v>739</v>
      </c>
      <c r="AD102" s="31" t="s">
        <v>534</v>
      </c>
      <c r="AE102" s="838"/>
      <c r="AF102" s="838"/>
      <c r="AG102" s="838"/>
      <c r="AH102" s="838"/>
      <c r="AI102" s="838"/>
      <c r="AJ102" s="838"/>
      <c r="AK102" s="838"/>
      <c r="AL102" s="838"/>
      <c r="AM102" s="838"/>
      <c r="AN102" s="838"/>
      <c r="AO102" s="838"/>
      <c r="AP102" s="838"/>
      <c r="AQ102" s="838"/>
      <c r="AR102" s="838"/>
      <c r="AS102" s="838"/>
      <c r="AT102" s="838"/>
      <c r="AU102" s="838"/>
      <c r="AV102" s="838"/>
      <c r="AW102" s="838"/>
      <c r="AX102" s="838"/>
      <c r="AY102" s="838"/>
      <c r="AZ102" s="838"/>
      <c r="BA102" s="838"/>
      <c r="BB102" s="838"/>
      <c r="BC102" s="839"/>
      <c r="BF102" s="680" t="s">
        <v>740</v>
      </c>
    </row>
    <row r="103" spans="1:58" ht="14.65" hidden="1" customHeight="1">
      <c r="E103" s="472">
        <v>15</v>
      </c>
      <c r="F103" s="3" cm="1">
        <f t="array" aca="1" ref="F103" ca="1">OFFSET(E103,-1,1)</f>
        <v>0</v>
      </c>
      <c r="H103" s="36" t="s">
        <v>606</v>
      </c>
      <c r="T103" s="365" t="b" cm="1">
        <f t="array" ref="T103">T102</f>
        <v>0</v>
      </c>
      <c r="X103" s="1075"/>
      <c r="Y103" s="1064"/>
      <c r="AB103" s="172" t="s">
        <v>607</v>
      </c>
      <c r="AC103" s="124" t="s">
        <v>741</v>
      </c>
      <c r="AD103" s="31" t="s">
        <v>534</v>
      </c>
      <c r="AE103" s="838"/>
      <c r="AF103" s="838"/>
      <c r="AG103" s="838"/>
      <c r="AH103" s="838"/>
      <c r="AI103" s="838"/>
      <c r="AJ103" s="838"/>
      <c r="AK103" s="838"/>
      <c r="AL103" s="838"/>
      <c r="AM103" s="838"/>
      <c r="AN103" s="838"/>
      <c r="AO103" s="838"/>
      <c r="AP103" s="838"/>
      <c r="AQ103" s="838"/>
      <c r="AR103" s="838"/>
      <c r="AS103" s="838"/>
      <c r="AT103" s="838"/>
      <c r="AU103" s="838"/>
      <c r="AV103" s="838"/>
      <c r="AW103" s="838"/>
      <c r="AX103" s="838"/>
      <c r="AY103" s="838"/>
      <c r="AZ103" s="838"/>
      <c r="BA103" s="838"/>
      <c r="BB103" s="838"/>
      <c r="BC103" s="839"/>
      <c r="BF103" s="680" t="s">
        <v>742</v>
      </c>
    </row>
    <row r="104" spans="1:58" ht="21.95" hidden="1" customHeight="1">
      <c r="E104" s="472">
        <v>22.5</v>
      </c>
      <c r="F104" s="3" cm="1">
        <f t="array" aca="1" ref="F104" ca="1">OFFSET(E104,-1,1)</f>
        <v>0</v>
      </c>
      <c r="H104" s="36" t="s">
        <v>743</v>
      </c>
      <c r="T104" s="365" t="b" cm="1">
        <f t="array" ref="T104">T103</f>
        <v>0</v>
      </c>
      <c r="X104" s="1075"/>
      <c r="Y104" s="1064"/>
      <c r="AB104" s="172" t="s">
        <v>744</v>
      </c>
      <c r="AC104" s="258" t="s">
        <v>655</v>
      </c>
      <c r="AD104" s="31" t="s">
        <v>534</v>
      </c>
      <c r="AE104" s="838"/>
      <c r="AF104" s="838"/>
      <c r="AG104" s="838"/>
      <c r="AH104" s="838"/>
      <c r="AI104" s="838"/>
      <c r="AJ104" s="838"/>
      <c r="AK104" s="838"/>
      <c r="AL104" s="838"/>
      <c r="AM104" s="838"/>
      <c r="AN104" s="838"/>
      <c r="AO104" s="838"/>
      <c r="AP104" s="838"/>
      <c r="AQ104" s="838"/>
      <c r="AR104" s="838"/>
      <c r="AS104" s="838"/>
      <c r="AT104" s="838"/>
      <c r="AU104" s="838"/>
      <c r="AV104" s="838"/>
      <c r="AW104" s="838"/>
      <c r="AX104" s="838"/>
      <c r="AY104" s="838"/>
      <c r="AZ104" s="838"/>
      <c r="BA104" s="838"/>
      <c r="BB104" s="838"/>
      <c r="BC104" s="839"/>
      <c r="BF104" s="680" t="s">
        <v>745</v>
      </c>
    </row>
    <row r="105" spans="1:58" ht="14.65" hidden="1" customHeight="1">
      <c r="E105" s="472">
        <v>15</v>
      </c>
      <c r="F105" s="3" cm="1">
        <f t="array" aca="1" ref="F105" ca="1">OFFSET(E105,-1,1)</f>
        <v>0</v>
      </c>
      <c r="H105" s="36" t="s">
        <v>746</v>
      </c>
      <c r="T105" s="365" t="b" cm="1">
        <f t="array" ref="T105">T104</f>
        <v>0</v>
      </c>
      <c r="X105" s="1075"/>
      <c r="Y105" s="1064"/>
      <c r="AB105" s="172" t="s">
        <v>747</v>
      </c>
      <c r="AC105" s="72" t="s">
        <v>748</v>
      </c>
      <c r="AD105" s="31" t="s">
        <v>534</v>
      </c>
      <c r="AE105" s="838"/>
      <c r="AF105" s="838"/>
      <c r="AG105" s="838"/>
      <c r="AH105" s="838"/>
      <c r="AI105" s="838"/>
      <c r="AJ105" s="838"/>
      <c r="AK105" s="838"/>
      <c r="AL105" s="838"/>
      <c r="AM105" s="838"/>
      <c r="AN105" s="838"/>
      <c r="AO105" s="838"/>
      <c r="AP105" s="838"/>
      <c r="AQ105" s="838"/>
      <c r="AR105" s="838"/>
      <c r="AS105" s="838"/>
      <c r="AT105" s="838"/>
      <c r="AU105" s="838"/>
      <c r="AV105" s="838"/>
      <c r="AW105" s="838"/>
      <c r="AX105" s="838"/>
      <c r="AY105" s="838"/>
      <c r="AZ105" s="838"/>
      <c r="BA105" s="838"/>
      <c r="BB105" s="838"/>
      <c r="BC105" s="839"/>
      <c r="BF105" s="680" t="s">
        <v>749</v>
      </c>
    </row>
    <row r="106" spans="1:58" ht="11.25" hidden="1" customHeight="1">
      <c r="A106" s="327"/>
      <c r="B106" s="490"/>
      <c r="C106" s="327"/>
      <c r="D106" s="327"/>
      <c r="E106" s="491" t="s">
        <v>366</v>
      </c>
      <c r="F106" s="774" cm="1">
        <f t="array" aca="1" ref="F106" ca="1">OFFSET(E106,-1,1)</f>
        <v>0</v>
      </c>
      <c r="G106" s="327"/>
      <c r="H106" s="327"/>
      <c r="I106" s="327"/>
      <c r="J106" s="327"/>
      <c r="L106" s="327"/>
      <c r="M106" s="327"/>
      <c r="N106" s="327"/>
      <c r="O106" s="327"/>
      <c r="T106" s="365" t="b">
        <v>0</v>
      </c>
      <c r="V106" s="327"/>
      <c r="X106" s="1075"/>
      <c r="Y106" s="1064"/>
      <c r="Z106" s="327"/>
      <c r="AA106" s="327"/>
      <c r="AB106"/>
      <c r="AC106" s="37"/>
      <c r="AD106" s="37"/>
      <c r="AE106" s="262"/>
      <c r="AF106" s="262"/>
      <c r="AG106" s="262"/>
      <c r="AH106" s="262"/>
      <c r="AI106" s="262"/>
      <c r="AJ106" s="263"/>
      <c r="AK106" s="262"/>
      <c r="AL106" s="262"/>
      <c r="AM106" s="262"/>
      <c r="AN106" s="262"/>
      <c r="AO106" s="262"/>
      <c r="AP106" s="262"/>
      <c r="AQ106" s="262"/>
      <c r="AR106" s="262"/>
      <c r="AS106" s="262"/>
      <c r="AT106" s="262"/>
      <c r="AU106" s="262"/>
      <c r="AV106" s="262"/>
      <c r="AW106" s="262"/>
      <c r="AX106" s="262"/>
      <c r="AY106" s="262"/>
      <c r="AZ106" s="262"/>
      <c r="BA106" s="262"/>
      <c r="BB106" s="262"/>
      <c r="BC106"/>
      <c r="BD106"/>
      <c r="BE106"/>
      <c r="BF106" s="670"/>
    </row>
    <row r="107" spans="1:58" ht="14.65" hidden="1" customHeight="1">
      <c r="E107" s="472">
        <v>15</v>
      </c>
      <c r="F107" s="3" cm="1">
        <f t="array" aca="1" ref="F107" ca="1">OFFSET(E107,-1,1)</f>
        <v>0</v>
      </c>
      <c r="R107" s="327" t="b" cm="1">
        <f t="array" ref="R107">INDEX('Общие сведения'!$AN$179:$AN$222,MATCH($X27,'Общие сведения'!$Z$179:$Z$222,0))</f>
        <v>0</v>
      </c>
      <c r="S107" s="327" t="b">
        <f>IF(ISERROR(SEARCH("Водоотведение",AB27)),FALSE,TRUE)</f>
        <v>0</v>
      </c>
      <c r="T107" s="365" t="b">
        <f>AND(X27&gt;0,S107,R107)</f>
        <v>0</v>
      </c>
      <c r="X107" s="1075"/>
      <c r="Y107" s="1064"/>
      <c r="AB107" s="172" t="s">
        <v>275</v>
      </c>
      <c r="AC107" s="25" t="s">
        <v>687</v>
      </c>
      <c r="AD107" s="129"/>
      <c r="AE107" s="427" cm="1">
        <f t="array" ref="AE107">INDEX('Общие сведения'!$AH$179:$AH$222,MATCH($X27,'Общие сведения'!$Z$179:$Z$222,0))</f>
        <v>0</v>
      </c>
      <c r="AF107" s="277"/>
      <c r="AG107" s="277"/>
      <c r="AH107" s="277"/>
      <c r="AI107" s="277"/>
      <c r="AJ107" s="277"/>
      <c r="AK107" s="277"/>
      <c r="AL107" s="277"/>
      <c r="AM107" s="277"/>
      <c r="AN107" s="277"/>
      <c r="AO107" s="277"/>
      <c r="AP107" s="277"/>
      <c r="AQ107" s="277"/>
      <c r="AR107" s="277"/>
      <c r="AS107" s="277"/>
      <c r="AT107" s="277"/>
      <c r="AU107" s="277"/>
      <c r="AV107" s="277"/>
      <c r="AW107" s="277"/>
      <c r="AX107" s="277"/>
      <c r="AY107" s="277"/>
      <c r="AZ107" s="277"/>
      <c r="BA107" s="277"/>
      <c r="BB107" s="278"/>
      <c r="BC107" s="839"/>
      <c r="BF107" s="680" t="s">
        <v>750</v>
      </c>
    </row>
    <row r="108" spans="1:58" ht="14.65" hidden="1" customHeight="1">
      <c r="E108" s="472">
        <v>15</v>
      </c>
      <c r="F108" s="3" cm="1">
        <f t="array" aca="1" ref="F108" ca="1">OFFSET(E108,-1,1)</f>
        <v>0</v>
      </c>
      <c r="H108" s="36" t="s">
        <v>331</v>
      </c>
      <c r="T108" s="365" t="b" cm="1">
        <f t="array" ref="T108">T107</f>
        <v>0</v>
      </c>
      <c r="X108" s="1075"/>
      <c r="Y108" s="1064"/>
      <c r="AB108" s="172" t="s">
        <v>285</v>
      </c>
      <c r="AC108" s="259" t="s">
        <v>751</v>
      </c>
      <c r="AD108" s="31" t="s">
        <v>534</v>
      </c>
      <c r="AE108" s="264">
        <f t="shared" ref="AE108:BB108" si="25">AE109+AE111+AE110</f>
        <v>0</v>
      </c>
      <c r="AF108" s="264">
        <f t="shared" si="25"/>
        <v>0</v>
      </c>
      <c r="AG108" s="264">
        <f t="shared" si="25"/>
        <v>0</v>
      </c>
      <c r="AH108" s="264">
        <f t="shared" si="25"/>
        <v>0</v>
      </c>
      <c r="AI108" s="264">
        <f t="shared" si="25"/>
        <v>0</v>
      </c>
      <c r="AJ108" s="264">
        <f t="shared" si="25"/>
        <v>0</v>
      </c>
      <c r="AK108" s="264">
        <f t="shared" si="25"/>
        <v>0</v>
      </c>
      <c r="AL108" s="264">
        <f t="shared" si="25"/>
        <v>0</v>
      </c>
      <c r="AM108" s="264">
        <f t="shared" si="25"/>
        <v>0</v>
      </c>
      <c r="AN108" s="264">
        <f t="shared" si="25"/>
        <v>0</v>
      </c>
      <c r="AO108" s="264">
        <f t="shared" si="25"/>
        <v>0</v>
      </c>
      <c r="AP108" s="264">
        <f t="shared" si="25"/>
        <v>0</v>
      </c>
      <c r="AQ108" s="264">
        <f t="shared" si="25"/>
        <v>0</v>
      </c>
      <c r="AR108" s="264">
        <f t="shared" si="25"/>
        <v>0</v>
      </c>
      <c r="AS108" s="264">
        <f t="shared" si="25"/>
        <v>0</v>
      </c>
      <c r="AT108" s="264">
        <f t="shared" si="25"/>
        <v>0</v>
      </c>
      <c r="AU108" s="264">
        <f t="shared" si="25"/>
        <v>0</v>
      </c>
      <c r="AV108" s="264">
        <f t="shared" si="25"/>
        <v>0</v>
      </c>
      <c r="AW108" s="264">
        <f t="shared" si="25"/>
        <v>0</v>
      </c>
      <c r="AX108" s="264">
        <f t="shared" si="25"/>
        <v>0</v>
      </c>
      <c r="AY108" s="264">
        <f t="shared" si="25"/>
        <v>0</v>
      </c>
      <c r="AZ108" s="264">
        <f t="shared" si="25"/>
        <v>0</v>
      </c>
      <c r="BA108" s="264">
        <f t="shared" si="25"/>
        <v>0</v>
      </c>
      <c r="BB108" s="264">
        <f t="shared" si="25"/>
        <v>0</v>
      </c>
      <c r="BC108" s="839"/>
      <c r="BF108" s="680" t="s">
        <v>752</v>
      </c>
    </row>
    <row r="109" spans="1:58" ht="14.65" hidden="1" customHeight="1">
      <c r="E109" s="472">
        <v>15</v>
      </c>
      <c r="F109" s="3" cm="1">
        <f t="array" aca="1" ref="F109" ca="1">OFFSET(E109,-1,1)</f>
        <v>0</v>
      </c>
      <c r="H109" s="36" t="s">
        <v>536</v>
      </c>
      <c r="T109" s="365" t="b" cm="1">
        <f t="array" ref="T109">T108</f>
        <v>0</v>
      </c>
      <c r="X109" s="1075"/>
      <c r="Y109" s="1064"/>
      <c r="AB109" s="172" t="s">
        <v>537</v>
      </c>
      <c r="AC109" s="146" t="s">
        <v>753</v>
      </c>
      <c r="AD109" s="31" t="s">
        <v>534</v>
      </c>
      <c r="AE109" s="849"/>
      <c r="AF109" s="849"/>
      <c r="AG109" s="849"/>
      <c r="AH109" s="849"/>
      <c r="AI109" s="849"/>
      <c r="AJ109" s="849"/>
      <c r="AK109" s="849"/>
      <c r="AL109" s="849"/>
      <c r="AM109" s="849"/>
      <c r="AN109" s="849"/>
      <c r="AO109" s="849"/>
      <c r="AP109" s="849"/>
      <c r="AQ109" s="849"/>
      <c r="AR109" s="849"/>
      <c r="AS109" s="849"/>
      <c r="AT109" s="849"/>
      <c r="AU109" s="849"/>
      <c r="AV109" s="849"/>
      <c r="AW109" s="849"/>
      <c r="AX109" s="849"/>
      <c r="AY109" s="849"/>
      <c r="AZ109" s="849"/>
      <c r="BA109" s="849"/>
      <c r="BB109" s="849"/>
      <c r="BC109" s="839"/>
      <c r="BF109" s="680" t="s">
        <v>754</v>
      </c>
    </row>
    <row r="110" spans="1:58" ht="14.65" hidden="1" customHeight="1">
      <c r="E110" s="472">
        <v>15</v>
      </c>
      <c r="F110" s="3" cm="1">
        <f t="array" aca="1" ref="F110" ca="1">OFFSET(E110,-1,1)</f>
        <v>0</v>
      </c>
      <c r="H110" s="36" t="s">
        <v>540</v>
      </c>
      <c r="T110" s="365" t="b" cm="1">
        <f t="array" ref="T110">T109</f>
        <v>0</v>
      </c>
      <c r="X110" s="1075"/>
      <c r="Y110" s="1064"/>
      <c r="AB110" s="172" t="s">
        <v>541</v>
      </c>
      <c r="AC110" s="146" t="s">
        <v>755</v>
      </c>
      <c r="AD110" s="31" t="s">
        <v>534</v>
      </c>
      <c r="AE110" s="849"/>
      <c r="AF110" s="849"/>
      <c r="AG110" s="849"/>
      <c r="AH110" s="849"/>
      <c r="AI110" s="849"/>
      <c r="AJ110" s="849"/>
      <c r="AK110" s="849"/>
      <c r="AL110" s="849"/>
      <c r="AM110" s="849"/>
      <c r="AN110" s="849"/>
      <c r="AO110" s="849"/>
      <c r="AP110" s="849"/>
      <c r="AQ110" s="849"/>
      <c r="AR110" s="849"/>
      <c r="AS110" s="849"/>
      <c r="AT110" s="849"/>
      <c r="AU110" s="849"/>
      <c r="AV110" s="849"/>
      <c r="AW110" s="849"/>
      <c r="AX110" s="849"/>
      <c r="AY110" s="849"/>
      <c r="AZ110" s="849"/>
      <c r="BA110" s="849"/>
      <c r="BB110" s="849"/>
      <c r="BC110" s="839"/>
      <c r="BF110" s="680" t="s">
        <v>756</v>
      </c>
    </row>
    <row r="111" spans="1:58" ht="21.95" hidden="1" customHeight="1">
      <c r="E111" s="472">
        <v>22.5</v>
      </c>
      <c r="F111" s="3" cm="1">
        <f t="array" aca="1" ref="F111" ca="1">OFFSET(E111,-1,1)</f>
        <v>0</v>
      </c>
      <c r="H111" s="36" t="s">
        <v>544</v>
      </c>
      <c r="T111" s="365" t="b" cm="1">
        <f t="array" ref="T111">T110</f>
        <v>0</v>
      </c>
      <c r="X111" s="1075"/>
      <c r="Y111" s="1064"/>
      <c r="AB111" s="172" t="s">
        <v>545</v>
      </c>
      <c r="AC111" s="146" t="s">
        <v>655</v>
      </c>
      <c r="AD111" s="31" t="s">
        <v>534</v>
      </c>
      <c r="AE111" s="849"/>
      <c r="AF111" s="849"/>
      <c r="AG111" s="849"/>
      <c r="AH111" s="849"/>
      <c r="AI111" s="849"/>
      <c r="AJ111" s="849"/>
      <c r="AK111" s="849"/>
      <c r="AL111" s="849"/>
      <c r="AM111" s="849"/>
      <c r="AN111" s="849"/>
      <c r="AO111" s="849"/>
      <c r="AP111" s="849"/>
      <c r="AQ111" s="849"/>
      <c r="AR111" s="849"/>
      <c r="AS111" s="849"/>
      <c r="AT111" s="849"/>
      <c r="AU111" s="849"/>
      <c r="AV111" s="849"/>
      <c r="AW111" s="849"/>
      <c r="AX111" s="849"/>
      <c r="AY111" s="849"/>
      <c r="AZ111" s="849"/>
      <c r="BA111" s="849"/>
      <c r="BB111" s="849"/>
      <c r="BC111" s="839"/>
      <c r="BF111" s="680" t="s">
        <v>757</v>
      </c>
    </row>
    <row r="112" spans="1:58" ht="21.95" hidden="1" customHeight="1">
      <c r="E112" s="472">
        <v>22.5</v>
      </c>
      <c r="F112" s="3" cm="1">
        <f t="array" aca="1" ref="F112" ca="1">OFFSET(E112,-1,1)</f>
        <v>0</v>
      </c>
      <c r="G112" s="36" t="s">
        <v>605</v>
      </c>
      <c r="H112" s="36" t="s">
        <v>330</v>
      </c>
      <c r="T112" s="365" t="b" cm="1">
        <f t="array" ref="T112">T111</f>
        <v>0</v>
      </c>
      <c r="X112" s="1075"/>
      <c r="Y112" s="1064"/>
      <c r="AB112" s="172" t="s">
        <v>325</v>
      </c>
      <c r="AC112" s="259" t="s">
        <v>758</v>
      </c>
      <c r="AD112" s="31" t="s">
        <v>534</v>
      </c>
      <c r="AE112" s="264">
        <f t="shared" ref="AE112:BB112" si="26">AE113+AE114+AE117</f>
        <v>0</v>
      </c>
      <c r="AF112" s="264">
        <f t="shared" si="26"/>
        <v>0</v>
      </c>
      <c r="AG112" s="264">
        <f t="shared" si="26"/>
        <v>0</v>
      </c>
      <c r="AH112" s="264">
        <f t="shared" si="26"/>
        <v>0</v>
      </c>
      <c r="AI112" s="264">
        <f t="shared" si="26"/>
        <v>0</v>
      </c>
      <c r="AJ112" s="264">
        <f t="shared" si="26"/>
        <v>0</v>
      </c>
      <c r="AK112" s="264">
        <f t="shared" si="26"/>
        <v>0</v>
      </c>
      <c r="AL112" s="264">
        <f t="shared" si="26"/>
        <v>0</v>
      </c>
      <c r="AM112" s="264">
        <f t="shared" si="26"/>
        <v>0</v>
      </c>
      <c r="AN112" s="264">
        <f t="shared" si="26"/>
        <v>0</v>
      </c>
      <c r="AO112" s="264">
        <f t="shared" si="26"/>
        <v>0</v>
      </c>
      <c r="AP112" s="264">
        <f t="shared" si="26"/>
        <v>0</v>
      </c>
      <c r="AQ112" s="264">
        <f t="shared" si="26"/>
        <v>0</v>
      </c>
      <c r="AR112" s="264">
        <f t="shared" si="26"/>
        <v>0</v>
      </c>
      <c r="AS112" s="264">
        <f t="shared" si="26"/>
        <v>0</v>
      </c>
      <c r="AT112" s="264">
        <f t="shared" si="26"/>
        <v>0</v>
      </c>
      <c r="AU112" s="264">
        <f t="shared" si="26"/>
        <v>0</v>
      </c>
      <c r="AV112" s="264">
        <f t="shared" si="26"/>
        <v>0</v>
      </c>
      <c r="AW112" s="264">
        <f t="shared" si="26"/>
        <v>0</v>
      </c>
      <c r="AX112" s="264">
        <f t="shared" si="26"/>
        <v>0</v>
      </c>
      <c r="AY112" s="264">
        <f t="shared" si="26"/>
        <v>0</v>
      </c>
      <c r="AZ112" s="264">
        <f t="shared" si="26"/>
        <v>0</v>
      </c>
      <c r="BA112" s="264">
        <f t="shared" si="26"/>
        <v>0</v>
      </c>
      <c r="BB112" s="264">
        <f t="shared" si="26"/>
        <v>0</v>
      </c>
      <c r="BC112" s="839"/>
      <c r="BF112" s="680" t="s">
        <v>759</v>
      </c>
    </row>
    <row r="113" spans="5:58" ht="14.65" hidden="1" customHeight="1">
      <c r="E113" s="472">
        <v>15</v>
      </c>
      <c r="F113" s="3" cm="1">
        <f t="array" aca="1" ref="F113" ca="1">OFFSET(E113,-1,1)</f>
        <v>0</v>
      </c>
      <c r="H113" s="36" t="s">
        <v>550</v>
      </c>
      <c r="T113" s="365" t="b" cm="1">
        <f t="array" ref="T113">T112</f>
        <v>0</v>
      </c>
      <c r="X113" s="1075"/>
      <c r="Y113" s="1064"/>
      <c r="AB113" s="172" t="s">
        <v>551</v>
      </c>
      <c r="AC113" s="146" t="s">
        <v>760</v>
      </c>
      <c r="AD113" s="31" t="s">
        <v>534</v>
      </c>
      <c r="AE113" s="849"/>
      <c r="AF113" s="849"/>
      <c r="AG113" s="849"/>
      <c r="AH113" s="849"/>
      <c r="AI113" s="849"/>
      <c r="AJ113" s="849"/>
      <c r="AK113" s="849"/>
      <c r="AL113" s="849"/>
      <c r="AM113" s="849"/>
      <c r="AN113" s="849"/>
      <c r="AO113" s="849"/>
      <c r="AP113" s="849"/>
      <c r="AQ113" s="849"/>
      <c r="AR113" s="849"/>
      <c r="AS113" s="849"/>
      <c r="AT113" s="849"/>
      <c r="AU113" s="849"/>
      <c r="AV113" s="849"/>
      <c r="AW113" s="849"/>
      <c r="AX113" s="849"/>
      <c r="AY113" s="849"/>
      <c r="AZ113" s="849"/>
      <c r="BA113" s="849"/>
      <c r="BB113" s="849"/>
      <c r="BC113" s="839"/>
      <c r="BF113" s="680" t="s">
        <v>761</v>
      </c>
    </row>
    <row r="114" spans="5:58" ht="14.65" hidden="1" customHeight="1">
      <c r="E114" s="472">
        <v>15</v>
      </c>
      <c r="F114" s="3" cm="1">
        <f t="array" aca="1" ref="F114" ca="1">OFFSET(E114,-1,1)</f>
        <v>0</v>
      </c>
      <c r="H114" s="36" t="s">
        <v>554</v>
      </c>
      <c r="T114" s="365" t="b" cm="1">
        <f t="array" ref="T114">T113</f>
        <v>0</v>
      </c>
      <c r="X114" s="1075"/>
      <c r="Y114" s="1064"/>
      <c r="AB114" s="172" t="s">
        <v>555</v>
      </c>
      <c r="AC114" s="260" t="s">
        <v>762</v>
      </c>
      <c r="AD114" s="31" t="s">
        <v>534</v>
      </c>
      <c r="AE114" s="264">
        <f t="shared" ref="AE114:BB114" si="27">AE115+AE116</f>
        <v>0</v>
      </c>
      <c r="AF114" s="264">
        <f t="shared" si="27"/>
        <v>0</v>
      </c>
      <c r="AG114" s="264">
        <f t="shared" si="27"/>
        <v>0</v>
      </c>
      <c r="AH114" s="264">
        <f t="shared" si="27"/>
        <v>0</v>
      </c>
      <c r="AI114" s="264">
        <f t="shared" si="27"/>
        <v>0</v>
      </c>
      <c r="AJ114" s="264">
        <f t="shared" si="27"/>
        <v>0</v>
      </c>
      <c r="AK114" s="264">
        <f t="shared" si="27"/>
        <v>0</v>
      </c>
      <c r="AL114" s="264">
        <f t="shared" si="27"/>
        <v>0</v>
      </c>
      <c r="AM114" s="264">
        <f t="shared" si="27"/>
        <v>0</v>
      </c>
      <c r="AN114" s="264">
        <f t="shared" si="27"/>
        <v>0</v>
      </c>
      <c r="AO114" s="264">
        <f t="shared" si="27"/>
        <v>0</v>
      </c>
      <c r="AP114" s="264">
        <f t="shared" si="27"/>
        <v>0</v>
      </c>
      <c r="AQ114" s="264">
        <f t="shared" si="27"/>
        <v>0</v>
      </c>
      <c r="AR114" s="264">
        <f t="shared" si="27"/>
        <v>0</v>
      </c>
      <c r="AS114" s="264">
        <f t="shared" si="27"/>
        <v>0</v>
      </c>
      <c r="AT114" s="264">
        <f t="shared" si="27"/>
        <v>0</v>
      </c>
      <c r="AU114" s="264">
        <f t="shared" si="27"/>
        <v>0</v>
      </c>
      <c r="AV114" s="264">
        <f t="shared" si="27"/>
        <v>0</v>
      </c>
      <c r="AW114" s="264">
        <f t="shared" si="27"/>
        <v>0</v>
      </c>
      <c r="AX114" s="264">
        <f t="shared" si="27"/>
        <v>0</v>
      </c>
      <c r="AY114" s="264">
        <f t="shared" si="27"/>
        <v>0</v>
      </c>
      <c r="AZ114" s="264">
        <f t="shared" si="27"/>
        <v>0</v>
      </c>
      <c r="BA114" s="264">
        <f t="shared" si="27"/>
        <v>0</v>
      </c>
      <c r="BB114" s="264">
        <f t="shared" si="27"/>
        <v>0</v>
      </c>
      <c r="BC114" s="839"/>
      <c r="BF114" s="680" t="s">
        <v>763</v>
      </c>
    </row>
    <row r="115" spans="5:58" ht="14.65" hidden="1" customHeight="1">
      <c r="E115" s="472">
        <v>15</v>
      </c>
      <c r="F115" s="3" cm="1">
        <f t="array" aca="1" ref="F115" ca="1">OFFSET(E115,-1,1)</f>
        <v>0</v>
      </c>
      <c r="H115" s="36" t="s">
        <v>764</v>
      </c>
      <c r="T115" s="365" t="b" cm="1">
        <f t="array" ref="T115">T114</f>
        <v>0</v>
      </c>
      <c r="X115" s="1075"/>
      <c r="Y115" s="1064"/>
      <c r="AB115" s="172" t="s">
        <v>765</v>
      </c>
      <c r="AC115" s="261" t="s">
        <v>612</v>
      </c>
      <c r="AD115" s="31" t="s">
        <v>534</v>
      </c>
      <c r="AE115" s="849"/>
      <c r="AF115" s="849"/>
      <c r="AG115" s="849"/>
      <c r="AH115" s="849"/>
      <c r="AI115" s="849"/>
      <c r="AJ115" s="849"/>
      <c r="AK115" s="849"/>
      <c r="AL115" s="849"/>
      <c r="AM115" s="849"/>
      <c r="AN115" s="849"/>
      <c r="AO115" s="849"/>
      <c r="AP115" s="849"/>
      <c r="AQ115" s="849"/>
      <c r="AR115" s="849"/>
      <c r="AS115" s="849"/>
      <c r="AT115" s="849"/>
      <c r="AU115" s="849"/>
      <c r="AV115" s="849"/>
      <c r="AW115" s="849"/>
      <c r="AX115" s="849"/>
      <c r="AY115" s="849"/>
      <c r="AZ115" s="849"/>
      <c r="BA115" s="849"/>
      <c r="BB115" s="849"/>
      <c r="BC115" s="839"/>
      <c r="BF115" s="680" t="s">
        <v>766</v>
      </c>
    </row>
    <row r="116" spans="5:58" ht="14.65" hidden="1" customHeight="1">
      <c r="E116" s="472">
        <v>15</v>
      </c>
      <c r="F116" s="3" cm="1">
        <f t="array" aca="1" ref="F116" ca="1">OFFSET(E116,-1,1)</f>
        <v>0</v>
      </c>
      <c r="H116" s="36" t="s">
        <v>767</v>
      </c>
      <c r="T116" s="365" t="b" cm="1">
        <f t="array" ref="T116">T115</f>
        <v>0</v>
      </c>
      <c r="X116" s="1075"/>
      <c r="Y116" s="1064"/>
      <c r="AB116" s="172" t="s">
        <v>768</v>
      </c>
      <c r="AC116" s="261" t="s">
        <v>616</v>
      </c>
      <c r="AD116" s="31" t="s">
        <v>534</v>
      </c>
      <c r="AE116" s="849"/>
      <c r="AF116" s="849"/>
      <c r="AG116" s="849"/>
      <c r="AH116" s="849"/>
      <c r="AI116" s="849"/>
      <c r="AJ116" s="849"/>
      <c r="AK116" s="849"/>
      <c r="AL116" s="849"/>
      <c r="AM116" s="849"/>
      <c r="AN116" s="849"/>
      <c r="AO116" s="849"/>
      <c r="AP116" s="849"/>
      <c r="AQ116" s="849"/>
      <c r="AR116" s="849"/>
      <c r="AS116" s="849"/>
      <c r="AT116" s="849"/>
      <c r="AU116" s="849"/>
      <c r="AV116" s="849"/>
      <c r="AW116" s="849"/>
      <c r="AX116" s="849"/>
      <c r="AY116" s="849"/>
      <c r="AZ116" s="849"/>
      <c r="BA116" s="849"/>
      <c r="BB116" s="849"/>
      <c r="BC116" s="839"/>
      <c r="BF116" s="680" t="s">
        <v>769</v>
      </c>
    </row>
    <row r="117" spans="5:58" ht="21.95" hidden="1" customHeight="1">
      <c r="E117" s="472">
        <v>22.5</v>
      </c>
      <c r="F117" s="3" cm="1">
        <f t="array" aca="1" ref="F117" ca="1">OFFSET(E117,-1,1)</f>
        <v>0</v>
      </c>
      <c r="H117" s="36" t="s">
        <v>770</v>
      </c>
      <c r="T117" s="365" t="b" cm="1">
        <f t="array" ref="T117">T116</f>
        <v>0</v>
      </c>
      <c r="X117" s="1075"/>
      <c r="Y117" s="1064"/>
      <c r="AB117" s="172" t="s">
        <v>771</v>
      </c>
      <c r="AC117" s="255" t="s">
        <v>575</v>
      </c>
      <c r="AD117" s="31" t="s">
        <v>534</v>
      </c>
      <c r="AE117" s="838"/>
      <c r="AF117" s="838"/>
      <c r="AG117" s="838"/>
      <c r="AH117" s="838"/>
      <c r="AI117" s="838"/>
      <c r="AJ117" s="838"/>
      <c r="AK117" s="838"/>
      <c r="AL117" s="838"/>
      <c r="AM117" s="838"/>
      <c r="AN117" s="838"/>
      <c r="AO117" s="838"/>
      <c r="AP117" s="838"/>
      <c r="AQ117" s="838"/>
      <c r="AR117" s="838"/>
      <c r="AS117" s="838"/>
      <c r="AT117" s="838"/>
      <c r="AU117" s="838"/>
      <c r="AV117" s="838"/>
      <c r="AW117" s="838"/>
      <c r="AX117" s="838"/>
      <c r="AY117" s="838"/>
      <c r="AZ117" s="838"/>
      <c r="BA117" s="838"/>
      <c r="BB117" s="838"/>
      <c r="BC117" s="839"/>
      <c r="BF117" s="680" t="s">
        <v>772</v>
      </c>
    </row>
    <row r="118" spans="5:58" ht="14.25" customHeight="1">
      <c r="E118" s="472">
        <v>15</v>
      </c>
      <c r="F118" s="266" t="str" cm="1">
        <f t="array" ref="F118">X118</f>
        <v>1</v>
      </c>
      <c r="T118" s="365" t="b">
        <f>X118&gt;0</f>
        <v>1</v>
      </c>
      <c r="V118" s="36" t="str" cm="1">
        <f t="array" ref="V118">ИИКА!$AB$32</f>
        <v>Тариф 1 (Водоснабжение) - тариф на питьевую воду (Доп. признак не требуется)</v>
      </c>
      <c r="X118" s="1075" t="s">
        <v>275</v>
      </c>
      <c r="Y118" s="1064"/>
      <c r="AB118" s="113" t="str" cm="1">
        <f t="array" ref="AB118">ИИКА!$AB$32</f>
        <v>Тариф 1 (Водоснабжение) - тариф на питьевую воду (Доп. признак не требуется)</v>
      </c>
      <c r="AC118" s="113"/>
      <c r="AD118" s="113"/>
      <c r="AE118" s="113"/>
      <c r="AF118" s="113"/>
      <c r="AG118" s="113"/>
      <c r="AH118" s="113"/>
      <c r="AI118" s="113"/>
      <c r="AJ118" s="113"/>
      <c r="AK118" s="113"/>
      <c r="AL118" s="113"/>
      <c r="AM118" s="113"/>
      <c r="AN118" s="113"/>
      <c r="AO118" s="113"/>
      <c r="AP118" s="113"/>
      <c r="AQ118" s="113"/>
      <c r="AR118" s="113"/>
      <c r="AS118" s="113"/>
      <c r="AT118" s="113"/>
      <c r="AU118" s="113"/>
      <c r="AV118" s="113"/>
      <c r="AW118" s="113"/>
      <c r="AX118" s="113"/>
      <c r="AY118" s="113"/>
      <c r="AZ118" s="113"/>
      <c r="BA118" s="113"/>
      <c r="BB118" s="113"/>
      <c r="BC118" s="113"/>
    </row>
    <row r="119" spans="5:58" ht="14.25" customHeight="1">
      <c r="E119" s="472">
        <v>15</v>
      </c>
      <c r="F119" s="3" t="str" cm="1">
        <f t="array" aca="1" ref="F119" ca="1">OFFSET(E119,-1,1)</f>
        <v>1</v>
      </c>
      <c r="R119" s="327" t="b" cm="1">
        <f t="array" ref="R119">INDEX('Общие сведения'!$AN$179:$AN$222,MATCH($X118,'Общие сведения'!$Z$179:$Z$222,0))</f>
        <v>0</v>
      </c>
      <c r="S119" s="327" t="b">
        <f>IF(ISERROR(SEARCH("Водоснабжение",AB118)),FALSE,TRUE)</f>
        <v>1</v>
      </c>
      <c r="T119" s="365" t="b">
        <f>AND(X118&gt;0,S119,NOT(R119))</f>
        <v>1</v>
      </c>
      <c r="X119" s="1075"/>
      <c r="Y119" s="1064"/>
      <c r="AB119" s="172" t="s">
        <v>275</v>
      </c>
      <c r="AC119" s="248" t="s">
        <v>531</v>
      </c>
      <c r="AD119" s="30"/>
      <c r="AE119" s="427" t="str" cm="1">
        <f t="array" ref="AE119">INDEX('Общие сведения'!$AH$179:$AH$222,MATCH($X118,'Общие сведения'!$Z$179:$Z$222,0))</f>
        <v>питьевая вода</v>
      </c>
      <c r="AF119" s="277"/>
      <c r="AG119" s="277"/>
      <c r="AH119" s="277"/>
      <c r="AI119" s="277"/>
      <c r="AJ119" s="277"/>
      <c r="AK119" s="277"/>
      <c r="AL119" s="277"/>
      <c r="AM119" s="277"/>
      <c r="AN119" s="277"/>
      <c r="AO119" s="277"/>
      <c r="AP119" s="277"/>
      <c r="AQ119" s="277"/>
      <c r="AR119" s="277"/>
      <c r="AS119" s="277"/>
      <c r="AT119" s="277"/>
      <c r="AU119" s="277"/>
      <c r="AV119" s="277"/>
      <c r="AW119" s="277"/>
      <c r="AX119" s="277"/>
      <c r="AY119" s="277"/>
      <c r="AZ119" s="277"/>
      <c r="BA119" s="277"/>
      <c r="BB119" s="278"/>
      <c r="BC119" s="132"/>
      <c r="BF119" s="680" t="s">
        <v>532</v>
      </c>
    </row>
    <row r="120" spans="5:58" ht="14.25" customHeight="1">
      <c r="E120" s="472">
        <v>15</v>
      </c>
      <c r="F120" s="3" t="str" cm="1">
        <f t="array" aca="1" ref="F120" ca="1">OFFSET(E120,-1,1)</f>
        <v>1</v>
      </c>
      <c r="H120" s="36" t="s">
        <v>331</v>
      </c>
      <c r="T120" s="365" t="b" cm="1">
        <f t="array" ref="T120">T119</f>
        <v>1</v>
      </c>
      <c r="X120" s="1075"/>
      <c r="Y120" s="1064"/>
      <c r="AB120" s="172" t="s">
        <v>285</v>
      </c>
      <c r="AC120" s="74" t="s">
        <v>533</v>
      </c>
      <c r="AD120" s="31" t="s">
        <v>534</v>
      </c>
      <c r="AE120" s="236">
        <f t="shared" ref="AE120:BB120" si="28">AE129+AE124-AE127</f>
        <v>1210.2256961424</v>
      </c>
      <c r="AF120" s="236">
        <f t="shared" si="28"/>
        <v>1307.3899999999999</v>
      </c>
      <c r="AG120" s="236">
        <f t="shared" si="28"/>
        <v>1307.3899999999999</v>
      </c>
      <c r="AH120" s="236">
        <f t="shared" si="28"/>
        <v>1186.9245902619998</v>
      </c>
      <c r="AI120" s="236">
        <f t="shared" si="28"/>
        <v>1307.3899999999999</v>
      </c>
      <c r="AJ120" s="236">
        <f t="shared" si="28"/>
        <v>0</v>
      </c>
      <c r="AK120" s="236">
        <f t="shared" si="28"/>
        <v>0</v>
      </c>
      <c r="AL120" s="236">
        <f t="shared" si="28"/>
        <v>0</v>
      </c>
      <c r="AM120" s="236">
        <f t="shared" si="28"/>
        <v>0</v>
      </c>
      <c r="AN120" s="236">
        <f t="shared" si="28"/>
        <v>0</v>
      </c>
      <c r="AO120" s="236">
        <f t="shared" si="28"/>
        <v>0</v>
      </c>
      <c r="AP120" s="236">
        <f t="shared" si="28"/>
        <v>0</v>
      </c>
      <c r="AQ120" s="236">
        <f t="shared" si="28"/>
        <v>0</v>
      </c>
      <c r="AR120" s="236">
        <f t="shared" si="28"/>
        <v>0</v>
      </c>
      <c r="AS120" s="236">
        <f t="shared" si="28"/>
        <v>1171.1449599999999</v>
      </c>
      <c r="AT120" s="236">
        <f t="shared" si="28"/>
        <v>0</v>
      </c>
      <c r="AU120" s="236">
        <f t="shared" si="28"/>
        <v>0</v>
      </c>
      <c r="AV120" s="236">
        <f t="shared" si="28"/>
        <v>0</v>
      </c>
      <c r="AW120" s="236">
        <f t="shared" si="28"/>
        <v>0</v>
      </c>
      <c r="AX120" s="236">
        <f t="shared" si="28"/>
        <v>0</v>
      </c>
      <c r="AY120" s="236">
        <f t="shared" si="28"/>
        <v>0</v>
      </c>
      <c r="AZ120" s="236">
        <f t="shared" si="28"/>
        <v>0</v>
      </c>
      <c r="BA120" s="236">
        <f t="shared" si="28"/>
        <v>0</v>
      </c>
      <c r="BB120" s="236">
        <f t="shared" si="28"/>
        <v>0</v>
      </c>
      <c r="BC120" s="132"/>
      <c r="BF120" s="680" t="s">
        <v>535</v>
      </c>
    </row>
    <row r="121" spans="5:58" ht="14.25" customHeight="1">
      <c r="E121" s="472">
        <v>15</v>
      </c>
      <c r="F121" s="3" t="str" cm="1">
        <f t="array" aca="1" ref="F121" ca="1">OFFSET(E121,-1,1)</f>
        <v>1</v>
      </c>
      <c r="H121" s="36" t="s">
        <v>536</v>
      </c>
      <c r="T121" s="365" t="b" cm="1">
        <f t="array" ref="T121">T120</f>
        <v>1</v>
      </c>
      <c r="X121" s="1075"/>
      <c r="Y121" s="1064"/>
      <c r="AB121" s="172" t="s">
        <v>537</v>
      </c>
      <c r="AC121" s="124" t="s">
        <v>538</v>
      </c>
      <c r="AD121" s="31" t="s">
        <v>534</v>
      </c>
      <c r="AE121" s="210"/>
      <c r="AF121" s="210"/>
      <c r="AG121" s="210"/>
      <c r="AH121" s="210"/>
      <c r="AI121" s="210"/>
      <c r="AJ121" s="849"/>
      <c r="AK121" s="849"/>
      <c r="AL121" s="849"/>
      <c r="AM121" s="849"/>
      <c r="AN121" s="849"/>
      <c r="AO121" s="849"/>
      <c r="AP121" s="849"/>
      <c r="AQ121" s="849"/>
      <c r="AR121" s="849"/>
      <c r="AS121" s="210"/>
      <c r="AT121" s="849"/>
      <c r="AU121" s="849"/>
      <c r="AV121" s="849"/>
      <c r="AW121" s="849"/>
      <c r="AX121" s="849"/>
      <c r="AY121" s="849"/>
      <c r="AZ121" s="849"/>
      <c r="BA121" s="849"/>
      <c r="BB121" s="849"/>
      <c r="BC121" s="215"/>
      <c r="BF121" s="680" t="s">
        <v>539</v>
      </c>
    </row>
    <row r="122" spans="5:58" ht="14.65" customHeight="1">
      <c r="E122" s="472">
        <v>15</v>
      </c>
      <c r="F122" s="3" t="str" cm="1">
        <f t="array" aca="1" ref="F122" ca="1">OFFSET(E122,-1,1)</f>
        <v>1</v>
      </c>
      <c r="H122" s="36" t="s">
        <v>540</v>
      </c>
      <c r="T122" s="365" t="b" cm="1">
        <f t="array" ref="T122">T121</f>
        <v>1</v>
      </c>
      <c r="X122" s="1075"/>
      <c r="Y122" s="1064"/>
      <c r="AB122" s="172" t="s">
        <v>541</v>
      </c>
      <c r="AC122" s="124" t="s">
        <v>542</v>
      </c>
      <c r="AD122" s="31" t="s">
        <v>534</v>
      </c>
      <c r="AE122" s="210">
        <v>1210.2256961424</v>
      </c>
      <c r="AF122" s="210">
        <v>1307.3900000000001</v>
      </c>
      <c r="AG122" s="210"/>
      <c r="AH122" s="210">
        <v>1186.924590262</v>
      </c>
      <c r="AI122" s="210">
        <v>1307.3900000000001</v>
      </c>
      <c r="AJ122" s="849"/>
      <c r="AK122" s="849"/>
      <c r="AL122" s="849"/>
      <c r="AM122" s="849"/>
      <c r="AN122" s="849"/>
      <c r="AO122" s="849"/>
      <c r="AP122" s="849"/>
      <c r="AQ122" s="849"/>
      <c r="AR122" s="849"/>
      <c r="AS122" s="210"/>
      <c r="AT122" s="849"/>
      <c r="AU122" s="849"/>
      <c r="AV122" s="849"/>
      <c r="AW122" s="849"/>
      <c r="AX122" s="849"/>
      <c r="AY122" s="849"/>
      <c r="AZ122" s="849"/>
      <c r="BA122" s="849"/>
      <c r="BB122" s="849"/>
      <c r="BC122" s="215"/>
      <c r="BF122" s="680" t="s">
        <v>543</v>
      </c>
    </row>
    <row r="123" spans="5:58" ht="0" hidden="1" customHeight="1">
      <c r="E123" s="472">
        <v>22.5</v>
      </c>
      <c r="F123" s="3" t="str" cm="1">
        <f t="array" aca="1" ref="F123" ca="1">OFFSET(E123,-1,1)</f>
        <v>1</v>
      </c>
      <c r="H123" s="36" t="s">
        <v>544</v>
      </c>
      <c r="T123" s="365" t="b" cm="1">
        <f t="array" ref="T123">T122</f>
        <v>1</v>
      </c>
      <c r="X123" s="1075"/>
      <c r="Y123" s="1064"/>
      <c r="AB123" s="172" t="s">
        <v>545</v>
      </c>
      <c r="AC123" s="74" t="s">
        <v>546</v>
      </c>
      <c r="AD123" s="31" t="s">
        <v>534</v>
      </c>
      <c r="AE123" s="210"/>
      <c r="AF123" s="210"/>
      <c r="AG123" s="210"/>
      <c r="AH123" s="210"/>
      <c r="AI123" s="210"/>
      <c r="AJ123" s="849"/>
      <c r="AK123" s="849"/>
      <c r="AL123" s="849"/>
      <c r="AM123" s="849"/>
      <c r="AN123" s="849"/>
      <c r="AO123" s="849"/>
      <c r="AP123" s="849"/>
      <c r="AQ123" s="849"/>
      <c r="AR123" s="849"/>
      <c r="AS123" s="210"/>
      <c r="AT123" s="849"/>
      <c r="AU123" s="849"/>
      <c r="AV123" s="849"/>
      <c r="AW123" s="849"/>
      <c r="AX123" s="849"/>
      <c r="AY123" s="849"/>
      <c r="AZ123" s="849"/>
      <c r="BA123" s="849"/>
      <c r="BB123" s="849"/>
      <c r="BC123" s="215"/>
      <c r="BF123" s="680" t="s">
        <v>547</v>
      </c>
    </row>
    <row r="124" spans="5:58" ht="14.25" customHeight="1">
      <c r="E124" s="472">
        <v>15</v>
      </c>
      <c r="F124" s="3" t="str" cm="1">
        <f t="array" aca="1" ref="F124" ca="1">OFFSET(E124,-1,1)</f>
        <v>1</v>
      </c>
      <c r="H124" s="36" t="s">
        <v>330</v>
      </c>
      <c r="T124" s="365" t="b" cm="1">
        <f t="array" ref="T124">T123</f>
        <v>1</v>
      </c>
      <c r="X124" s="1075"/>
      <c r="Y124" s="1064"/>
      <c r="AB124" s="172" t="s">
        <v>325</v>
      </c>
      <c r="AC124" s="74" t="s">
        <v>548</v>
      </c>
      <c r="AD124" s="31" t="s">
        <v>534</v>
      </c>
      <c r="AE124" s="236">
        <f t="shared" ref="AE124:BB124" si="29">SUM(AE125:AE126)</f>
        <v>12.56</v>
      </c>
      <c r="AF124" s="236">
        <f t="shared" si="29"/>
        <v>12.56</v>
      </c>
      <c r="AG124" s="236">
        <f t="shared" si="29"/>
        <v>12.56</v>
      </c>
      <c r="AH124" s="236">
        <f t="shared" si="29"/>
        <v>12.56</v>
      </c>
      <c r="AI124" s="236">
        <f t="shared" si="29"/>
        <v>12.56</v>
      </c>
      <c r="AJ124" s="236">
        <f t="shared" si="29"/>
        <v>0</v>
      </c>
      <c r="AK124" s="236">
        <f t="shared" si="29"/>
        <v>0</v>
      </c>
      <c r="AL124" s="236">
        <f t="shared" si="29"/>
        <v>0</v>
      </c>
      <c r="AM124" s="236">
        <f t="shared" si="29"/>
        <v>0</v>
      </c>
      <c r="AN124" s="236">
        <f t="shared" si="29"/>
        <v>0</v>
      </c>
      <c r="AO124" s="236">
        <f t="shared" si="29"/>
        <v>0</v>
      </c>
      <c r="AP124" s="236">
        <f t="shared" si="29"/>
        <v>0</v>
      </c>
      <c r="AQ124" s="236">
        <f t="shared" si="29"/>
        <v>0</v>
      </c>
      <c r="AR124" s="236">
        <f t="shared" si="29"/>
        <v>0</v>
      </c>
      <c r="AS124" s="236">
        <f t="shared" si="29"/>
        <v>12.56</v>
      </c>
      <c r="AT124" s="236">
        <f t="shared" si="29"/>
        <v>0</v>
      </c>
      <c r="AU124" s="236">
        <f t="shared" si="29"/>
        <v>0</v>
      </c>
      <c r="AV124" s="236">
        <f t="shared" si="29"/>
        <v>0</v>
      </c>
      <c r="AW124" s="236">
        <f t="shared" si="29"/>
        <v>0</v>
      </c>
      <c r="AX124" s="236">
        <f t="shared" si="29"/>
        <v>0</v>
      </c>
      <c r="AY124" s="236">
        <f t="shared" si="29"/>
        <v>0</v>
      </c>
      <c r="AZ124" s="236">
        <f t="shared" si="29"/>
        <v>0</v>
      </c>
      <c r="BA124" s="236">
        <f t="shared" si="29"/>
        <v>0</v>
      </c>
      <c r="BB124" s="236">
        <f t="shared" si="29"/>
        <v>0</v>
      </c>
      <c r="BC124" s="215"/>
      <c r="BF124" s="680" t="s">
        <v>549</v>
      </c>
    </row>
    <row r="125" spans="5:58" ht="14.25" customHeight="1">
      <c r="E125" s="472">
        <v>15</v>
      </c>
      <c r="F125" s="3" t="str" cm="1">
        <f t="array" aca="1" ref="F125" ca="1">OFFSET(E125,-1,1)</f>
        <v>1</v>
      </c>
      <c r="H125" s="36" t="s">
        <v>550</v>
      </c>
      <c r="T125" s="365" t="b" cm="1">
        <f t="array" ref="T125">T124</f>
        <v>1</v>
      </c>
      <c r="X125" s="1075"/>
      <c r="Y125" s="1064"/>
      <c r="AB125" s="172" t="s">
        <v>551</v>
      </c>
      <c r="AC125" s="124" t="s">
        <v>552</v>
      </c>
      <c r="AD125" s="31" t="s">
        <v>534</v>
      </c>
      <c r="AE125" s="210"/>
      <c r="AF125" s="210"/>
      <c r="AG125" s="210"/>
      <c r="AH125" s="210"/>
      <c r="AI125" s="210"/>
      <c r="AJ125" s="849"/>
      <c r="AK125" s="849"/>
      <c r="AL125" s="849"/>
      <c r="AM125" s="849"/>
      <c r="AN125" s="849"/>
      <c r="AO125" s="849"/>
      <c r="AP125" s="849"/>
      <c r="AQ125" s="849"/>
      <c r="AR125" s="849"/>
      <c r="AS125" s="210"/>
      <c r="AT125" s="849"/>
      <c r="AU125" s="849"/>
      <c r="AV125" s="849"/>
      <c r="AW125" s="849"/>
      <c r="AX125" s="849"/>
      <c r="AY125" s="849"/>
      <c r="AZ125" s="849"/>
      <c r="BA125" s="849"/>
      <c r="BB125" s="849"/>
      <c r="BC125" s="215"/>
      <c r="BF125" s="680" t="s">
        <v>553</v>
      </c>
    </row>
    <row r="126" spans="5:58" ht="12.75" customHeight="1">
      <c r="E126" s="472">
        <v>15</v>
      </c>
      <c r="F126" s="3" t="str" cm="1">
        <f t="array" aca="1" ref="F126" ca="1">OFFSET(E126,-1,1)</f>
        <v>1</v>
      </c>
      <c r="H126" s="36" t="s">
        <v>554</v>
      </c>
      <c r="T126" s="365" t="b" cm="1">
        <f t="array" ref="T126">T125</f>
        <v>1</v>
      </c>
      <c r="X126" s="1075"/>
      <c r="Y126" s="1064"/>
      <c r="AB126" s="172" t="s">
        <v>555</v>
      </c>
      <c r="AC126" s="124" t="s">
        <v>556</v>
      </c>
      <c r="AD126" s="31" t="s">
        <v>534</v>
      </c>
      <c r="AE126" s="210">
        <v>12.56</v>
      </c>
      <c r="AF126" s="210">
        <v>12.56</v>
      </c>
      <c r="AG126" s="210">
        <v>12.56</v>
      </c>
      <c r="AH126" s="210">
        <v>12.56</v>
      </c>
      <c r="AI126" s="210">
        <v>12.56</v>
      </c>
      <c r="AJ126" s="849"/>
      <c r="AK126" s="849"/>
      <c r="AL126" s="849"/>
      <c r="AM126" s="849"/>
      <c r="AN126" s="849"/>
      <c r="AO126" s="849"/>
      <c r="AP126" s="849"/>
      <c r="AQ126" s="849"/>
      <c r="AR126" s="849"/>
      <c r="AS126" s="210">
        <v>12.56</v>
      </c>
      <c r="AT126" s="849"/>
      <c r="AU126" s="849"/>
      <c r="AV126" s="849"/>
      <c r="AW126" s="849"/>
      <c r="AX126" s="849"/>
      <c r="AY126" s="849"/>
      <c r="AZ126" s="849"/>
      <c r="BA126" s="849"/>
      <c r="BB126" s="849"/>
      <c r="BC126" s="215" t="s">
        <v>773</v>
      </c>
      <c r="BF126" s="680" t="s">
        <v>557</v>
      </c>
    </row>
    <row r="127" spans="5:58" ht="12.75" customHeight="1">
      <c r="E127" s="472">
        <v>15</v>
      </c>
      <c r="F127" s="3" t="str" cm="1">
        <f t="array" aca="1" ref="F127" ca="1">OFFSET(E127,-1,1)</f>
        <v>1</v>
      </c>
      <c r="H127" s="36" t="s">
        <v>511</v>
      </c>
      <c r="T127" s="365" t="b" cm="1">
        <f t="array" ref="T127">T126</f>
        <v>1</v>
      </c>
      <c r="X127" s="1075"/>
      <c r="Y127" s="1064"/>
      <c r="AB127" s="172" t="s">
        <v>433</v>
      </c>
      <c r="AC127" s="248" t="s">
        <v>558</v>
      </c>
      <c r="AD127" s="31" t="s">
        <v>534</v>
      </c>
      <c r="AE127" s="207">
        <v>141.78299999999999</v>
      </c>
      <c r="AF127" s="207">
        <v>160.636</v>
      </c>
      <c r="AG127" s="207">
        <v>160.636</v>
      </c>
      <c r="AH127" s="207">
        <v>160.21639999999999</v>
      </c>
      <c r="AI127" s="207">
        <v>162.12299999999999</v>
      </c>
      <c r="AJ127" s="838"/>
      <c r="AK127" s="838"/>
      <c r="AL127" s="838"/>
      <c r="AM127" s="838"/>
      <c r="AN127" s="838"/>
      <c r="AO127" s="838"/>
      <c r="AP127" s="838"/>
      <c r="AQ127" s="838"/>
      <c r="AR127" s="838"/>
      <c r="AS127" s="207">
        <v>160.636</v>
      </c>
      <c r="AT127" s="838"/>
      <c r="AU127" s="838"/>
      <c r="AV127" s="838"/>
      <c r="AW127" s="838"/>
      <c r="AX127" s="838"/>
      <c r="AY127" s="838"/>
      <c r="AZ127" s="838"/>
      <c r="BA127" s="838"/>
      <c r="BB127" s="838"/>
      <c r="BC127" s="215" t="s">
        <v>774</v>
      </c>
      <c r="BF127" s="680" t="s">
        <v>559</v>
      </c>
    </row>
    <row r="128" spans="5:58" ht="14.25" customHeight="1">
      <c r="E128" s="472">
        <v>15</v>
      </c>
      <c r="F128" s="3" t="str" cm="1">
        <f t="array" aca="1" ref="F128" ca="1">OFFSET(E128,-1,1)</f>
        <v>1</v>
      </c>
      <c r="H128" s="36" t="s">
        <v>514</v>
      </c>
      <c r="T128" s="365" t="b" cm="1">
        <f t="array" ref="T128">T127</f>
        <v>1</v>
      </c>
      <c r="X128" s="1075"/>
      <c r="Y128" s="1064"/>
      <c r="AB128" s="172" t="s">
        <v>444</v>
      </c>
      <c r="AC128" s="248" t="s">
        <v>560</v>
      </c>
      <c r="AD128" s="31" t="s">
        <v>534</v>
      </c>
      <c r="AE128" s="210"/>
      <c r="AF128" s="210"/>
      <c r="AG128" s="210"/>
      <c r="AH128" s="210"/>
      <c r="AI128" s="210"/>
      <c r="AJ128" s="849"/>
      <c r="AK128" s="849"/>
      <c r="AL128" s="849"/>
      <c r="AM128" s="849"/>
      <c r="AN128" s="849"/>
      <c r="AO128" s="849"/>
      <c r="AP128" s="849"/>
      <c r="AQ128" s="849"/>
      <c r="AR128" s="849"/>
      <c r="AS128" s="210"/>
      <c r="AT128" s="849"/>
      <c r="AU128" s="849"/>
      <c r="AV128" s="849"/>
      <c r="AW128" s="849"/>
      <c r="AX128" s="849"/>
      <c r="AY128" s="849"/>
      <c r="AZ128" s="849"/>
      <c r="BA128" s="849"/>
      <c r="BB128" s="849"/>
      <c r="BC128" s="215"/>
      <c r="BF128" s="680" t="s">
        <v>561</v>
      </c>
    </row>
    <row r="129" spans="5:58" ht="14.25" customHeight="1">
      <c r="E129" s="472">
        <v>15</v>
      </c>
      <c r="F129" s="3" t="str" cm="1">
        <f t="array" aca="1" ref="F129" ca="1">OFFSET(E129,-1,1)</f>
        <v>1</v>
      </c>
      <c r="H129" s="36" t="s">
        <v>562</v>
      </c>
      <c r="T129" s="365" t="b" cm="1">
        <f t="array" ref="T129">T128</f>
        <v>1</v>
      </c>
      <c r="X129" s="1075"/>
      <c r="Y129" s="1064"/>
      <c r="AB129" s="172" t="s">
        <v>447</v>
      </c>
      <c r="AC129" s="74" t="s">
        <v>563</v>
      </c>
      <c r="AD129" s="31" t="s">
        <v>534</v>
      </c>
      <c r="AE129" s="236">
        <f t="shared" ref="AE129:BB129" si="30">AE135+AE133</f>
        <v>1339.4486961424</v>
      </c>
      <c r="AF129" s="236">
        <f t="shared" si="30"/>
        <v>1455.4659999999999</v>
      </c>
      <c r="AG129" s="236">
        <f t="shared" si="30"/>
        <v>1455.4659999999999</v>
      </c>
      <c r="AH129" s="236">
        <f t="shared" si="30"/>
        <v>1334.5809902619999</v>
      </c>
      <c r="AI129" s="236">
        <f t="shared" si="30"/>
        <v>1456.953</v>
      </c>
      <c r="AJ129" s="236">
        <f t="shared" si="30"/>
        <v>0</v>
      </c>
      <c r="AK129" s="236">
        <f t="shared" si="30"/>
        <v>0</v>
      </c>
      <c r="AL129" s="236">
        <f t="shared" si="30"/>
        <v>0</v>
      </c>
      <c r="AM129" s="236">
        <f t="shared" si="30"/>
        <v>0</v>
      </c>
      <c r="AN129" s="236">
        <f t="shared" si="30"/>
        <v>0</v>
      </c>
      <c r="AO129" s="236">
        <f t="shared" si="30"/>
        <v>0</v>
      </c>
      <c r="AP129" s="236">
        <f t="shared" si="30"/>
        <v>0</v>
      </c>
      <c r="AQ129" s="236">
        <f t="shared" si="30"/>
        <v>0</v>
      </c>
      <c r="AR129" s="236">
        <f t="shared" si="30"/>
        <v>0</v>
      </c>
      <c r="AS129" s="236">
        <f t="shared" si="30"/>
        <v>1319.2209599999999</v>
      </c>
      <c r="AT129" s="236">
        <f t="shared" si="30"/>
        <v>0</v>
      </c>
      <c r="AU129" s="236">
        <f t="shared" si="30"/>
        <v>0</v>
      </c>
      <c r="AV129" s="236">
        <f t="shared" si="30"/>
        <v>0</v>
      </c>
      <c r="AW129" s="236">
        <f t="shared" si="30"/>
        <v>0</v>
      </c>
      <c r="AX129" s="236">
        <f t="shared" si="30"/>
        <v>0</v>
      </c>
      <c r="AY129" s="236">
        <f t="shared" si="30"/>
        <v>0</v>
      </c>
      <c r="AZ129" s="236">
        <f t="shared" si="30"/>
        <v>0</v>
      </c>
      <c r="BA129" s="236">
        <f t="shared" si="30"/>
        <v>0</v>
      </c>
      <c r="BB129" s="236">
        <f t="shared" si="30"/>
        <v>0</v>
      </c>
      <c r="BC129" s="215"/>
      <c r="BF129" s="680" t="s">
        <v>564</v>
      </c>
    </row>
    <row r="130" spans="5:58" ht="21.95" customHeight="1">
      <c r="E130" s="472">
        <v>22.5</v>
      </c>
      <c r="F130" s="3" t="str" cm="1">
        <f t="array" aca="1" ref="F130" ca="1">OFFSET(E130,-1,1)</f>
        <v>1</v>
      </c>
      <c r="H130" s="36" t="s">
        <v>565</v>
      </c>
      <c r="T130" s="365" t="b" cm="1">
        <f t="array" ref="T130">T129</f>
        <v>1</v>
      </c>
      <c r="X130" s="1075"/>
      <c r="Y130" s="1064"/>
      <c r="AB130" s="172" t="s">
        <v>566</v>
      </c>
      <c r="AC130" s="124" t="s">
        <v>567</v>
      </c>
      <c r="AD130" s="31" t="s">
        <v>534</v>
      </c>
      <c r="AE130" s="210">
        <v>1197.6656961424001</v>
      </c>
      <c r="AF130" s="210">
        <v>1294.83</v>
      </c>
      <c r="AG130" s="210">
        <v>1294.83</v>
      </c>
      <c r="AH130" s="210">
        <v>1174.3645902620001</v>
      </c>
      <c r="AI130" s="210">
        <v>1294.83</v>
      </c>
      <c r="AJ130" s="849"/>
      <c r="AK130" s="849"/>
      <c r="AL130" s="849"/>
      <c r="AM130" s="849"/>
      <c r="AN130" s="849"/>
      <c r="AO130" s="849"/>
      <c r="AP130" s="849"/>
      <c r="AQ130" s="849"/>
      <c r="AR130" s="849"/>
      <c r="AS130" s="210">
        <v>1294.83</v>
      </c>
      <c r="AT130" s="849"/>
      <c r="AU130" s="849"/>
      <c r="AV130" s="849"/>
      <c r="AW130" s="849"/>
      <c r="AX130" s="849"/>
      <c r="AY130" s="849"/>
      <c r="AZ130" s="849"/>
      <c r="BA130" s="849"/>
      <c r="BB130" s="849"/>
      <c r="BC130" s="215"/>
      <c r="BF130" s="680" t="s">
        <v>568</v>
      </c>
    </row>
    <row r="131" spans="5:58" ht="23.25" customHeight="1">
      <c r="E131" s="472">
        <v>15</v>
      </c>
      <c r="F131" s="3" t="str" cm="1">
        <f t="array" aca="1" ref="F131" ca="1">OFFSET(E131,-1,1)</f>
        <v>1</v>
      </c>
      <c r="H131" s="36" t="s">
        <v>569</v>
      </c>
      <c r="T131" s="365" t="b" cm="1">
        <f t="array" ref="T131">T130</f>
        <v>1</v>
      </c>
      <c r="X131" s="1075"/>
      <c r="Y131" s="1064"/>
      <c r="AB131" s="172" t="s">
        <v>570</v>
      </c>
      <c r="AC131" s="124" t="s">
        <v>571</v>
      </c>
      <c r="AD131" s="31" t="s">
        <v>534</v>
      </c>
      <c r="AE131" s="210">
        <v>141.78299999999999</v>
      </c>
      <c r="AF131" s="210">
        <v>160.636</v>
      </c>
      <c r="AG131" s="210">
        <v>160.636</v>
      </c>
      <c r="AH131" s="210">
        <v>160.21639999999999</v>
      </c>
      <c r="AI131" s="210">
        <v>162.12299999999999</v>
      </c>
      <c r="AJ131" s="849"/>
      <c r="AK131" s="849"/>
      <c r="AL131" s="849"/>
      <c r="AM131" s="849"/>
      <c r="AN131" s="849"/>
      <c r="AO131" s="849"/>
      <c r="AP131" s="849"/>
      <c r="AQ131" s="849"/>
      <c r="AR131" s="849"/>
      <c r="AS131" s="210">
        <v>160.636</v>
      </c>
      <c r="AT131" s="849"/>
      <c r="AU131" s="849"/>
      <c r="AV131" s="849"/>
      <c r="AW131" s="849"/>
      <c r="AX131" s="849"/>
      <c r="AY131" s="849"/>
      <c r="AZ131" s="849"/>
      <c r="BA131" s="849"/>
      <c r="BB131" s="849"/>
      <c r="BC131" s="215"/>
      <c r="BF131" s="680" t="s">
        <v>572</v>
      </c>
    </row>
    <row r="132" spans="5:58" ht="0" hidden="1" customHeight="1">
      <c r="E132" s="472">
        <v>22.5</v>
      </c>
      <c r="F132" s="3" t="str" cm="1">
        <f t="array" aca="1" ref="F132" ca="1">OFFSET(E132,-1,1)</f>
        <v>1</v>
      </c>
      <c r="H132" s="36" t="s">
        <v>573</v>
      </c>
      <c r="T132" s="365" t="b" cm="1">
        <f t="array" ref="T132">T131</f>
        <v>1</v>
      </c>
      <c r="X132" s="1075"/>
      <c r="Y132" s="1064"/>
      <c r="AB132" s="172" t="s">
        <v>574</v>
      </c>
      <c r="AC132" s="124" t="s">
        <v>575</v>
      </c>
      <c r="AD132" s="31" t="s">
        <v>534</v>
      </c>
      <c r="AE132" s="210"/>
      <c r="AF132" s="210"/>
      <c r="AG132" s="210"/>
      <c r="AH132" s="210"/>
      <c r="AI132" s="210"/>
      <c r="AJ132" s="849"/>
      <c r="AK132" s="849"/>
      <c r="AL132" s="849"/>
      <c r="AM132" s="849"/>
      <c r="AN132" s="849"/>
      <c r="AO132" s="849"/>
      <c r="AP132" s="849"/>
      <c r="AQ132" s="849"/>
      <c r="AR132" s="849"/>
      <c r="AS132" s="210"/>
      <c r="AT132" s="849"/>
      <c r="AU132" s="849"/>
      <c r="AV132" s="849"/>
      <c r="AW132" s="849"/>
      <c r="AX132" s="849"/>
      <c r="AY132" s="849"/>
      <c r="AZ132" s="849"/>
      <c r="BA132" s="849"/>
      <c r="BB132" s="849"/>
      <c r="BC132" s="215"/>
      <c r="BF132" s="680" t="s">
        <v>576</v>
      </c>
    </row>
    <row r="133" spans="5:58" ht="14.65" customHeight="1">
      <c r="E133" s="472">
        <v>15</v>
      </c>
      <c r="F133" s="3" t="str" cm="1">
        <f t="array" aca="1" ref="F133" ca="1">OFFSET(E133,-1,1)</f>
        <v>1</v>
      </c>
      <c r="H133" s="36" t="s">
        <v>577</v>
      </c>
      <c r="T133" s="365" t="b" cm="1">
        <f t="array" ref="T133">T132</f>
        <v>1</v>
      </c>
      <c r="X133" s="1075"/>
      <c r="Y133" s="1064"/>
      <c r="AB133" s="172" t="s">
        <v>578</v>
      </c>
      <c r="AC133" s="248" t="s">
        <v>579</v>
      </c>
      <c r="AD133" s="31" t="s">
        <v>534</v>
      </c>
      <c r="AE133" s="210">
        <v>362.856651785</v>
      </c>
      <c r="AF133" s="210">
        <v>493.62200000000001</v>
      </c>
      <c r="AG133" s="210">
        <v>493.62200000000001</v>
      </c>
      <c r="AH133" s="210">
        <v>361.53799026199999</v>
      </c>
      <c r="AI133" s="210">
        <v>496.767</v>
      </c>
      <c r="AJ133" s="849"/>
      <c r="AK133" s="849"/>
      <c r="AL133" s="849"/>
      <c r="AM133" s="849"/>
      <c r="AN133" s="849"/>
      <c r="AO133" s="849"/>
      <c r="AP133" s="849"/>
      <c r="AQ133" s="849"/>
      <c r="AR133" s="849"/>
      <c r="AS133" s="210">
        <v>357.37696</v>
      </c>
      <c r="AT133" s="849"/>
      <c r="AU133" s="849"/>
      <c r="AV133" s="849"/>
      <c r="AW133" s="849"/>
      <c r="AX133" s="849"/>
      <c r="AY133" s="849"/>
      <c r="AZ133" s="849"/>
      <c r="BA133" s="849"/>
      <c r="BB133" s="849"/>
      <c r="BC133" s="215"/>
      <c r="BF133" s="680" t="s">
        <v>580</v>
      </c>
    </row>
    <row r="134" spans="5:58" ht="44.25" customHeight="1">
      <c r="E134" s="472">
        <v>15</v>
      </c>
      <c r="F134" s="3" t="str" cm="1">
        <f t="array" aca="1" ref="F134" ca="1">OFFSET(E134,-1,1)</f>
        <v>1</v>
      </c>
      <c r="H134" s="36" t="s">
        <v>581</v>
      </c>
      <c r="T134" s="365" t="b" cm="1">
        <f t="array" ref="T134">T133</f>
        <v>1</v>
      </c>
      <c r="X134" s="1075"/>
      <c r="Y134" s="1064"/>
      <c r="AB134" s="172" t="s">
        <v>582</v>
      </c>
      <c r="AC134" s="249" t="s">
        <v>583</v>
      </c>
      <c r="AD134" s="31" t="s">
        <v>456</v>
      </c>
      <c r="AE134" s="76">
        <v>27.09</v>
      </c>
      <c r="AF134" s="76">
        <f>IF(AF129=0,0,AF133/AF129*100)</f>
        <v>33.915048513671913</v>
      </c>
      <c r="AG134" s="76">
        <f>IF(AG129=0,0,AG133/AG129*100)</f>
        <v>33.915048513671913</v>
      </c>
      <c r="AH134" s="76">
        <v>27.09</v>
      </c>
      <c r="AI134" s="76">
        <f t="shared" ref="AI134:BB134" si="31">IF(AI129=0,0,AI133/AI129*100)</f>
        <v>34.096295487912101</v>
      </c>
      <c r="AJ134" s="833">
        <f t="shared" si="31"/>
        <v>0</v>
      </c>
      <c r="AK134" s="833">
        <f t="shared" si="31"/>
        <v>0</v>
      </c>
      <c r="AL134" s="833">
        <f t="shared" si="31"/>
        <v>0</v>
      </c>
      <c r="AM134" s="833">
        <f t="shared" si="31"/>
        <v>0</v>
      </c>
      <c r="AN134" s="833">
        <f t="shared" si="31"/>
        <v>0</v>
      </c>
      <c r="AO134" s="833">
        <f t="shared" si="31"/>
        <v>0</v>
      </c>
      <c r="AP134" s="833">
        <f t="shared" si="31"/>
        <v>0</v>
      </c>
      <c r="AQ134" s="833">
        <f t="shared" si="31"/>
        <v>0</v>
      </c>
      <c r="AR134" s="833">
        <f t="shared" si="31"/>
        <v>0</v>
      </c>
      <c r="AS134" s="76">
        <f t="shared" si="31"/>
        <v>27.09000014675328</v>
      </c>
      <c r="AT134" s="833">
        <f t="shared" si="31"/>
        <v>0</v>
      </c>
      <c r="AU134" s="833">
        <f t="shared" si="31"/>
        <v>0</v>
      </c>
      <c r="AV134" s="833">
        <f t="shared" si="31"/>
        <v>0</v>
      </c>
      <c r="AW134" s="833">
        <f t="shared" si="31"/>
        <v>0</v>
      </c>
      <c r="AX134" s="833">
        <f t="shared" si="31"/>
        <v>0</v>
      </c>
      <c r="AY134" s="833">
        <f t="shared" si="31"/>
        <v>0</v>
      </c>
      <c r="AZ134" s="833">
        <f t="shared" si="31"/>
        <v>0</v>
      </c>
      <c r="BA134" s="833">
        <f t="shared" si="31"/>
        <v>0</v>
      </c>
      <c r="BB134" s="833">
        <f t="shared" si="31"/>
        <v>0</v>
      </c>
      <c r="BC134" s="215" t="s">
        <v>775</v>
      </c>
      <c r="BF134" s="680" t="s">
        <v>584</v>
      </c>
    </row>
    <row r="135" spans="5:58" ht="14.25" customHeight="1">
      <c r="E135" s="472">
        <v>15</v>
      </c>
      <c r="F135" s="3" t="str" cm="1">
        <f t="array" aca="1" ref="F135" ca="1">OFFSET(E135,-1,1)</f>
        <v>1</v>
      </c>
      <c r="H135" s="36" t="s">
        <v>585</v>
      </c>
      <c r="T135" s="365" t="b" cm="1">
        <f t="array" ref="T135">T134</f>
        <v>1</v>
      </c>
      <c r="X135" s="1075"/>
      <c r="Y135" s="1064"/>
      <c r="AB135" s="172" t="s">
        <v>586</v>
      </c>
      <c r="AC135" s="248" t="s">
        <v>587</v>
      </c>
      <c r="AD135" s="31" t="s">
        <v>534</v>
      </c>
      <c r="AE135" s="236">
        <f t="shared" ref="AE135:BB135" si="32">AE136+AE140+AE143+AE153</f>
        <v>976.59204435740003</v>
      </c>
      <c r="AF135" s="236">
        <f t="shared" si="32"/>
        <v>961.84399999999994</v>
      </c>
      <c r="AG135" s="236">
        <f t="shared" si="32"/>
        <v>961.84399999999994</v>
      </c>
      <c r="AH135" s="236">
        <f t="shared" si="32"/>
        <v>973.04300000000001</v>
      </c>
      <c r="AI135" s="236">
        <f t="shared" si="32"/>
        <v>960.18599999999992</v>
      </c>
      <c r="AJ135" s="236">
        <f t="shared" si="32"/>
        <v>0</v>
      </c>
      <c r="AK135" s="236">
        <f t="shared" si="32"/>
        <v>0</v>
      </c>
      <c r="AL135" s="236">
        <f t="shared" si="32"/>
        <v>0</v>
      </c>
      <c r="AM135" s="236">
        <f t="shared" si="32"/>
        <v>0</v>
      </c>
      <c r="AN135" s="236">
        <f t="shared" si="32"/>
        <v>0</v>
      </c>
      <c r="AO135" s="236">
        <f t="shared" si="32"/>
        <v>0</v>
      </c>
      <c r="AP135" s="236">
        <f t="shared" si="32"/>
        <v>0</v>
      </c>
      <c r="AQ135" s="236">
        <f t="shared" si="32"/>
        <v>0</v>
      </c>
      <c r="AR135" s="236">
        <f t="shared" si="32"/>
        <v>0</v>
      </c>
      <c r="AS135" s="236">
        <f t="shared" si="32"/>
        <v>961.84399999999994</v>
      </c>
      <c r="AT135" s="236">
        <f t="shared" si="32"/>
        <v>0</v>
      </c>
      <c r="AU135" s="236">
        <f t="shared" si="32"/>
        <v>0</v>
      </c>
      <c r="AV135" s="236">
        <f t="shared" si="32"/>
        <v>0</v>
      </c>
      <c r="AW135" s="236">
        <f t="shared" si="32"/>
        <v>0</v>
      </c>
      <c r="AX135" s="236">
        <f t="shared" si="32"/>
        <v>0</v>
      </c>
      <c r="AY135" s="236">
        <f t="shared" si="32"/>
        <v>0</v>
      </c>
      <c r="AZ135" s="236">
        <f t="shared" si="32"/>
        <v>0</v>
      </c>
      <c r="BA135" s="236">
        <f t="shared" si="32"/>
        <v>0</v>
      </c>
      <c r="BB135" s="236">
        <f t="shared" si="32"/>
        <v>0</v>
      </c>
      <c r="BC135" s="215"/>
      <c r="BF135" s="680" t="s">
        <v>588</v>
      </c>
    </row>
    <row r="136" spans="5:58" ht="0" hidden="1" customHeight="1">
      <c r="E136" s="472">
        <v>15</v>
      </c>
      <c r="F136" s="3" t="str" cm="1">
        <f t="array" aca="1" ref="F136" ca="1">OFFSET(E136,-1,1)</f>
        <v>1</v>
      </c>
      <c r="G136" s="36" t="str">
        <f>IF(OwnNeedsInPO="да","ПО","")</f>
        <v/>
      </c>
      <c r="H136" s="36" t="s">
        <v>589</v>
      </c>
      <c r="T136" s="365" t="b" cm="1">
        <f t="array" ref="T136">T135</f>
        <v>1</v>
      </c>
      <c r="X136" s="1075"/>
      <c r="Y136" s="1064"/>
      <c r="AB136" s="172" t="s">
        <v>590</v>
      </c>
      <c r="AC136" s="124" t="s">
        <v>591</v>
      </c>
      <c r="AD136" s="31" t="s">
        <v>534</v>
      </c>
      <c r="AE136" s="236">
        <f t="shared" ref="AE136:BB136" si="33">SUM(AE137:AE139)</f>
        <v>0</v>
      </c>
      <c r="AF136" s="236">
        <f t="shared" si="33"/>
        <v>0</v>
      </c>
      <c r="AG136" s="236">
        <f t="shared" si="33"/>
        <v>0</v>
      </c>
      <c r="AH136" s="236">
        <f t="shared" si="33"/>
        <v>0</v>
      </c>
      <c r="AI136" s="236">
        <f t="shared" si="33"/>
        <v>0</v>
      </c>
      <c r="AJ136" s="236">
        <f t="shared" si="33"/>
        <v>0</v>
      </c>
      <c r="AK136" s="236">
        <f t="shared" si="33"/>
        <v>0</v>
      </c>
      <c r="AL136" s="236">
        <f t="shared" si="33"/>
        <v>0</v>
      </c>
      <c r="AM136" s="236">
        <f t="shared" si="33"/>
        <v>0</v>
      </c>
      <c r="AN136" s="236">
        <f t="shared" si="33"/>
        <v>0</v>
      </c>
      <c r="AO136" s="236">
        <f t="shared" si="33"/>
        <v>0</v>
      </c>
      <c r="AP136" s="236">
        <f t="shared" si="33"/>
        <v>0</v>
      </c>
      <c r="AQ136" s="236">
        <f t="shared" si="33"/>
        <v>0</v>
      </c>
      <c r="AR136" s="236">
        <f t="shared" si="33"/>
        <v>0</v>
      </c>
      <c r="AS136" s="236">
        <f t="shared" si="33"/>
        <v>0</v>
      </c>
      <c r="AT136" s="236">
        <f t="shared" si="33"/>
        <v>0</v>
      </c>
      <c r="AU136" s="236">
        <f t="shared" si="33"/>
        <v>0</v>
      </c>
      <c r="AV136" s="236">
        <f t="shared" si="33"/>
        <v>0</v>
      </c>
      <c r="AW136" s="236">
        <f t="shared" si="33"/>
        <v>0</v>
      </c>
      <c r="AX136" s="236">
        <f t="shared" si="33"/>
        <v>0</v>
      </c>
      <c r="AY136" s="236">
        <f t="shared" si="33"/>
        <v>0</v>
      </c>
      <c r="AZ136" s="236">
        <f t="shared" si="33"/>
        <v>0</v>
      </c>
      <c r="BA136" s="236">
        <f t="shared" si="33"/>
        <v>0</v>
      </c>
      <c r="BB136" s="236">
        <f t="shared" si="33"/>
        <v>0</v>
      </c>
      <c r="BC136" s="215"/>
      <c r="BF136" s="680" t="s">
        <v>592</v>
      </c>
    </row>
    <row r="137" spans="5:58" ht="0" hidden="1" customHeight="1">
      <c r="E137" s="472">
        <v>15</v>
      </c>
      <c r="F137" s="3" t="str" cm="1">
        <f t="array" aca="1" ref="F137" ca="1">OFFSET(E137,-1,1)</f>
        <v>1</v>
      </c>
      <c r="H137" s="36" t="s">
        <v>593</v>
      </c>
      <c r="T137" s="365" t="b" cm="1">
        <f t="array" ref="T137">T136</f>
        <v>1</v>
      </c>
      <c r="X137" s="1075"/>
      <c r="Y137" s="1064"/>
      <c r="AB137" s="172" t="s">
        <v>594</v>
      </c>
      <c r="AC137" s="250" t="s">
        <v>595</v>
      </c>
      <c r="AD137" s="31" t="s">
        <v>534</v>
      </c>
      <c r="AE137" s="210"/>
      <c r="AF137" s="210"/>
      <c r="AG137" s="210"/>
      <c r="AH137" s="210"/>
      <c r="AI137" s="210"/>
      <c r="AJ137" s="849"/>
      <c r="AK137" s="849"/>
      <c r="AL137" s="849"/>
      <c r="AM137" s="849"/>
      <c r="AN137" s="849"/>
      <c r="AO137" s="849"/>
      <c r="AP137" s="849"/>
      <c r="AQ137" s="849"/>
      <c r="AR137" s="849"/>
      <c r="AS137" s="210"/>
      <c r="AT137" s="849"/>
      <c r="AU137" s="849"/>
      <c r="AV137" s="849"/>
      <c r="AW137" s="849"/>
      <c r="AX137" s="849"/>
      <c r="AY137" s="849"/>
      <c r="AZ137" s="849"/>
      <c r="BA137" s="849"/>
      <c r="BB137" s="849"/>
      <c r="BC137" s="215"/>
      <c r="BF137" s="680" t="s">
        <v>596</v>
      </c>
    </row>
    <row r="138" spans="5:58" ht="0" hidden="1" customHeight="1">
      <c r="E138" s="472">
        <v>15</v>
      </c>
      <c r="F138" s="3" t="str" cm="1">
        <f t="array" aca="1" ref="F138" ca="1">OFFSET(E138,-1,1)</f>
        <v>1</v>
      </c>
      <c r="H138" s="36" t="s">
        <v>597</v>
      </c>
      <c r="T138" s="365" t="b" cm="1">
        <f t="array" ref="T138">T137</f>
        <v>1</v>
      </c>
      <c r="X138" s="1075"/>
      <c r="Y138" s="1064"/>
      <c r="AB138" s="172" t="s">
        <v>598</v>
      </c>
      <c r="AC138" s="250" t="s">
        <v>599</v>
      </c>
      <c r="AD138" s="31" t="s">
        <v>534</v>
      </c>
      <c r="AE138" s="210"/>
      <c r="AF138" s="210"/>
      <c r="AG138" s="210"/>
      <c r="AH138" s="210"/>
      <c r="AI138" s="210"/>
      <c r="AJ138" s="849"/>
      <c r="AK138" s="849"/>
      <c r="AL138" s="849"/>
      <c r="AM138" s="849"/>
      <c r="AN138" s="849"/>
      <c r="AO138" s="849"/>
      <c r="AP138" s="849"/>
      <c r="AQ138" s="849"/>
      <c r="AR138" s="849"/>
      <c r="AS138" s="210"/>
      <c r="AT138" s="849"/>
      <c r="AU138" s="849"/>
      <c r="AV138" s="849"/>
      <c r="AW138" s="849"/>
      <c r="AX138" s="849"/>
      <c r="AY138" s="849"/>
      <c r="AZ138" s="849"/>
      <c r="BA138" s="849"/>
      <c r="BB138" s="849"/>
      <c r="BC138" s="215"/>
      <c r="BF138" s="680" t="s">
        <v>600</v>
      </c>
    </row>
    <row r="139" spans="5:58" ht="0" hidden="1" customHeight="1">
      <c r="E139" s="472">
        <v>15</v>
      </c>
      <c r="F139" s="3" t="str" cm="1">
        <f t="array" aca="1" ref="F139" ca="1">OFFSET(E139,-1,1)</f>
        <v>1</v>
      </c>
      <c r="H139" s="36" t="s">
        <v>601</v>
      </c>
      <c r="T139" s="365" t="b" cm="1">
        <f t="array" ref="T139">T138</f>
        <v>1</v>
      </c>
      <c r="X139" s="1075"/>
      <c r="Y139" s="1064"/>
      <c r="AB139" s="172" t="s">
        <v>602</v>
      </c>
      <c r="AC139" s="250" t="s">
        <v>603</v>
      </c>
      <c r="AD139" s="31" t="s">
        <v>534</v>
      </c>
      <c r="AE139" s="210"/>
      <c r="AF139" s="210"/>
      <c r="AG139" s="210"/>
      <c r="AH139" s="210"/>
      <c r="AI139" s="210"/>
      <c r="AJ139" s="849"/>
      <c r="AK139" s="849"/>
      <c r="AL139" s="849"/>
      <c r="AM139" s="849"/>
      <c r="AN139" s="849"/>
      <c r="AO139" s="849"/>
      <c r="AP139" s="849"/>
      <c r="AQ139" s="849"/>
      <c r="AR139" s="849"/>
      <c r="AS139" s="210"/>
      <c r="AT139" s="849"/>
      <c r="AU139" s="849"/>
      <c r="AV139" s="849"/>
      <c r="AW139" s="849"/>
      <c r="AX139" s="849"/>
      <c r="AY139" s="849"/>
      <c r="AZ139" s="849"/>
      <c r="BA139" s="849"/>
      <c r="BB139" s="849"/>
      <c r="BC139" s="215"/>
      <c r="BF139" s="680" t="s">
        <v>604</v>
      </c>
    </row>
    <row r="140" spans="5:58" ht="0" hidden="1" customHeight="1">
      <c r="E140" s="472">
        <v>15</v>
      </c>
      <c r="F140" s="3" t="str" cm="1">
        <f t="array" aca="1" ref="F140" ca="1">OFFSET(E140,-1,1)</f>
        <v>1</v>
      </c>
      <c r="G140" s="36" t="s">
        <v>605</v>
      </c>
      <c r="H140" s="36" t="s">
        <v>606</v>
      </c>
      <c r="T140" s="365" t="b" cm="1">
        <f t="array" ref="T140">T139</f>
        <v>1</v>
      </c>
      <c r="X140" s="1075"/>
      <c r="Y140" s="1064"/>
      <c r="AB140" s="172" t="s">
        <v>607</v>
      </c>
      <c r="AC140" s="124" t="s">
        <v>608</v>
      </c>
      <c r="AD140" s="31" t="s">
        <v>534</v>
      </c>
      <c r="AE140" s="236">
        <f t="shared" ref="AE140:BB140" si="34">SUM(AE141:AE142)</f>
        <v>0</v>
      </c>
      <c r="AF140" s="236">
        <f t="shared" si="34"/>
        <v>0</v>
      </c>
      <c r="AG140" s="236">
        <f t="shared" si="34"/>
        <v>0</v>
      </c>
      <c r="AH140" s="236">
        <f t="shared" si="34"/>
        <v>0</v>
      </c>
      <c r="AI140" s="236">
        <f t="shared" si="34"/>
        <v>0</v>
      </c>
      <c r="AJ140" s="236">
        <f t="shared" si="34"/>
        <v>0</v>
      </c>
      <c r="AK140" s="236">
        <f t="shared" si="34"/>
        <v>0</v>
      </c>
      <c r="AL140" s="236">
        <f t="shared" si="34"/>
        <v>0</v>
      </c>
      <c r="AM140" s="236">
        <f t="shared" si="34"/>
        <v>0</v>
      </c>
      <c r="AN140" s="236">
        <f t="shared" si="34"/>
        <v>0</v>
      </c>
      <c r="AO140" s="236">
        <f t="shared" si="34"/>
        <v>0</v>
      </c>
      <c r="AP140" s="236">
        <f t="shared" si="34"/>
        <v>0</v>
      </c>
      <c r="AQ140" s="236">
        <f t="shared" si="34"/>
        <v>0</v>
      </c>
      <c r="AR140" s="236">
        <f t="shared" si="34"/>
        <v>0</v>
      </c>
      <c r="AS140" s="236">
        <f t="shared" si="34"/>
        <v>0</v>
      </c>
      <c r="AT140" s="236">
        <f t="shared" si="34"/>
        <v>0</v>
      </c>
      <c r="AU140" s="236">
        <f t="shared" si="34"/>
        <v>0</v>
      </c>
      <c r="AV140" s="236">
        <f t="shared" si="34"/>
        <v>0</v>
      </c>
      <c r="AW140" s="236">
        <f t="shared" si="34"/>
        <v>0</v>
      </c>
      <c r="AX140" s="236">
        <f t="shared" si="34"/>
        <v>0</v>
      </c>
      <c r="AY140" s="236">
        <f t="shared" si="34"/>
        <v>0</v>
      </c>
      <c r="AZ140" s="236">
        <f t="shared" si="34"/>
        <v>0</v>
      </c>
      <c r="BA140" s="236">
        <f t="shared" si="34"/>
        <v>0</v>
      </c>
      <c r="BB140" s="236">
        <f t="shared" si="34"/>
        <v>0</v>
      </c>
      <c r="BC140" s="215"/>
      <c r="BF140" s="680" t="s">
        <v>609</v>
      </c>
    </row>
    <row r="141" spans="5:58" ht="0" hidden="1" customHeight="1">
      <c r="E141" s="472">
        <v>15</v>
      </c>
      <c r="F141" s="3" t="str" cm="1">
        <f t="array" aca="1" ref="F141" ca="1">OFFSET(E141,-1,1)</f>
        <v>1</v>
      </c>
      <c r="H141" s="36" t="s">
        <v>610</v>
      </c>
      <c r="T141" s="365" t="b" cm="1">
        <f t="array" ref="T141">T140</f>
        <v>1</v>
      </c>
      <c r="X141" s="1075"/>
      <c r="Y141" s="1064"/>
      <c r="AB141" s="172" t="s">
        <v>611</v>
      </c>
      <c r="AC141" s="250" t="s">
        <v>612</v>
      </c>
      <c r="AD141" s="31" t="s">
        <v>534</v>
      </c>
      <c r="AE141" s="210"/>
      <c r="AF141" s="210"/>
      <c r="AG141" s="210"/>
      <c r="AH141" s="210"/>
      <c r="AI141" s="210"/>
      <c r="AJ141" s="849"/>
      <c r="AK141" s="849"/>
      <c r="AL141" s="849"/>
      <c r="AM141" s="849"/>
      <c r="AN141" s="849"/>
      <c r="AO141" s="849"/>
      <c r="AP141" s="849"/>
      <c r="AQ141" s="849"/>
      <c r="AR141" s="849"/>
      <c r="AS141" s="210"/>
      <c r="AT141" s="849"/>
      <c r="AU141" s="849"/>
      <c r="AV141" s="849"/>
      <c r="AW141" s="849"/>
      <c r="AX141" s="849"/>
      <c r="AY141" s="849"/>
      <c r="AZ141" s="849"/>
      <c r="BA141" s="849"/>
      <c r="BB141" s="849"/>
      <c r="BC141" s="215"/>
      <c r="BF141" s="680" t="s">
        <v>613</v>
      </c>
    </row>
    <row r="142" spans="5:58" ht="0" hidden="1" customHeight="1">
      <c r="E142" s="472">
        <v>15</v>
      </c>
      <c r="F142" s="3" t="str" cm="1">
        <f t="array" aca="1" ref="F142" ca="1">OFFSET(E142,-1,1)</f>
        <v>1</v>
      </c>
      <c r="H142" s="36" t="s">
        <v>614</v>
      </c>
      <c r="T142" s="365" t="b" cm="1">
        <f t="array" ref="T142">T141</f>
        <v>1</v>
      </c>
      <c r="X142" s="1075"/>
      <c r="Y142" s="1064"/>
      <c r="AB142" s="172" t="s">
        <v>615</v>
      </c>
      <c r="AC142" s="250" t="s">
        <v>616</v>
      </c>
      <c r="AD142" s="31" t="s">
        <v>534</v>
      </c>
      <c r="AE142" s="210"/>
      <c r="AF142" s="210"/>
      <c r="AG142" s="210"/>
      <c r="AH142" s="210"/>
      <c r="AI142" s="210"/>
      <c r="AJ142" s="849"/>
      <c r="AK142" s="849"/>
      <c r="AL142" s="849"/>
      <c r="AM142" s="849"/>
      <c r="AN142" s="849"/>
      <c r="AO142" s="849"/>
      <c r="AP142" s="849"/>
      <c r="AQ142" s="849"/>
      <c r="AR142" s="849"/>
      <c r="AS142" s="210"/>
      <c r="AT142" s="849"/>
      <c r="AU142" s="849"/>
      <c r="AV142" s="849"/>
      <c r="AW142" s="849"/>
      <c r="AX142" s="849"/>
      <c r="AY142" s="849"/>
      <c r="AZ142" s="849"/>
      <c r="BA142" s="849"/>
      <c r="BB142" s="849"/>
      <c r="BC142" s="215"/>
      <c r="BF142" s="680" t="s">
        <v>617</v>
      </c>
    </row>
    <row r="143" spans="5:58" ht="23.25" customHeight="1">
      <c r="E143" s="472">
        <v>15</v>
      </c>
      <c r="F143" s="3" t="str" cm="1">
        <f t="array" aca="1" ref="F143" ca="1">OFFSET(E143,-1,1)</f>
        <v>1</v>
      </c>
      <c r="G143" s="36" t="s">
        <v>605</v>
      </c>
      <c r="H143" s="36" t="s">
        <v>618</v>
      </c>
      <c r="T143" s="365" t="b" cm="1">
        <f t="array" ref="T143">T142</f>
        <v>1</v>
      </c>
      <c r="X143" s="1075"/>
      <c r="Y143" s="1064"/>
      <c r="AB143" s="172" t="s">
        <v>619</v>
      </c>
      <c r="AC143" s="124" t="s">
        <v>620</v>
      </c>
      <c r="AD143" s="31" t="s">
        <v>534</v>
      </c>
      <c r="AE143" s="236">
        <f t="shared" ref="AE143:BB143" si="35">AE144+AE147+AE150</f>
        <v>976.59204435740003</v>
      </c>
      <c r="AF143" s="236">
        <f t="shared" si="35"/>
        <v>961.84399999999994</v>
      </c>
      <c r="AG143" s="236">
        <f t="shared" si="35"/>
        <v>961.84399999999994</v>
      </c>
      <c r="AH143" s="236">
        <f t="shared" si="35"/>
        <v>973.04300000000001</v>
      </c>
      <c r="AI143" s="236">
        <f t="shared" si="35"/>
        <v>960.18599999999992</v>
      </c>
      <c r="AJ143" s="236">
        <f t="shared" si="35"/>
        <v>0</v>
      </c>
      <c r="AK143" s="236">
        <f t="shared" si="35"/>
        <v>0</v>
      </c>
      <c r="AL143" s="236">
        <f t="shared" si="35"/>
        <v>0</v>
      </c>
      <c r="AM143" s="236">
        <f t="shared" si="35"/>
        <v>0</v>
      </c>
      <c r="AN143" s="236">
        <f t="shared" si="35"/>
        <v>0</v>
      </c>
      <c r="AO143" s="236">
        <f t="shared" si="35"/>
        <v>0</v>
      </c>
      <c r="AP143" s="236">
        <f t="shared" si="35"/>
        <v>0</v>
      </c>
      <c r="AQ143" s="236">
        <f t="shared" si="35"/>
        <v>0</v>
      </c>
      <c r="AR143" s="236">
        <f t="shared" si="35"/>
        <v>0</v>
      </c>
      <c r="AS143" s="236">
        <f t="shared" si="35"/>
        <v>961.84399999999994</v>
      </c>
      <c r="AT143" s="236">
        <f t="shared" si="35"/>
        <v>0</v>
      </c>
      <c r="AU143" s="236">
        <f t="shared" si="35"/>
        <v>0</v>
      </c>
      <c r="AV143" s="236">
        <f t="shared" si="35"/>
        <v>0</v>
      </c>
      <c r="AW143" s="236">
        <f t="shared" si="35"/>
        <v>0</v>
      </c>
      <c r="AX143" s="236">
        <f t="shared" si="35"/>
        <v>0</v>
      </c>
      <c r="AY143" s="236">
        <f t="shared" si="35"/>
        <v>0</v>
      </c>
      <c r="AZ143" s="236">
        <f t="shared" si="35"/>
        <v>0</v>
      </c>
      <c r="BA143" s="236">
        <f t="shared" si="35"/>
        <v>0</v>
      </c>
      <c r="BB143" s="236">
        <f t="shared" si="35"/>
        <v>0</v>
      </c>
      <c r="BC143" s="215" t="s">
        <v>776</v>
      </c>
      <c r="BF143" s="680" t="s">
        <v>621</v>
      </c>
    </row>
    <row r="144" spans="5:58" ht="14.25" customHeight="1">
      <c r="E144" s="472">
        <v>15</v>
      </c>
      <c r="F144" s="3" t="str" cm="1">
        <f t="array" aca="1" ref="F144" ca="1">OFFSET(E144,-1,1)</f>
        <v>1</v>
      </c>
      <c r="H144" s="36" t="s">
        <v>622</v>
      </c>
      <c r="T144" s="365" t="b" cm="1">
        <f t="array" ref="T144">T143</f>
        <v>1</v>
      </c>
      <c r="X144" s="1075"/>
      <c r="Y144" s="1064"/>
      <c r="AB144" s="172" t="s">
        <v>623</v>
      </c>
      <c r="AC144" s="250" t="s">
        <v>624</v>
      </c>
      <c r="AD144" s="31" t="s">
        <v>534</v>
      </c>
      <c r="AE144" s="236">
        <f t="shared" ref="AE144:BB144" si="36">SUM(AE145:AE146)</f>
        <v>410.788178485</v>
      </c>
      <c r="AF144" s="236">
        <f t="shared" si="36"/>
        <v>396.88900000000001</v>
      </c>
      <c r="AG144" s="236">
        <f t="shared" si="36"/>
        <v>396.88900000000001</v>
      </c>
      <c r="AH144" s="236">
        <f t="shared" si="36"/>
        <v>399.11200000000002</v>
      </c>
      <c r="AI144" s="236">
        <f t="shared" si="36"/>
        <v>396.10700000000003</v>
      </c>
      <c r="AJ144" s="236">
        <f t="shared" si="36"/>
        <v>0</v>
      </c>
      <c r="AK144" s="236">
        <f t="shared" si="36"/>
        <v>0</v>
      </c>
      <c r="AL144" s="236">
        <f t="shared" si="36"/>
        <v>0</v>
      </c>
      <c r="AM144" s="236">
        <f t="shared" si="36"/>
        <v>0</v>
      </c>
      <c r="AN144" s="236">
        <f t="shared" si="36"/>
        <v>0</v>
      </c>
      <c r="AO144" s="236">
        <f t="shared" si="36"/>
        <v>0</v>
      </c>
      <c r="AP144" s="236">
        <f t="shared" si="36"/>
        <v>0</v>
      </c>
      <c r="AQ144" s="236">
        <f t="shared" si="36"/>
        <v>0</v>
      </c>
      <c r="AR144" s="236">
        <f t="shared" si="36"/>
        <v>0</v>
      </c>
      <c r="AS144" s="236">
        <f t="shared" si="36"/>
        <v>396.88900000000001</v>
      </c>
      <c r="AT144" s="236">
        <f t="shared" si="36"/>
        <v>0</v>
      </c>
      <c r="AU144" s="236">
        <f t="shared" si="36"/>
        <v>0</v>
      </c>
      <c r="AV144" s="236">
        <f t="shared" si="36"/>
        <v>0</v>
      </c>
      <c r="AW144" s="236">
        <f t="shared" si="36"/>
        <v>0</v>
      </c>
      <c r="AX144" s="236">
        <f t="shared" si="36"/>
        <v>0</v>
      </c>
      <c r="AY144" s="236">
        <f t="shared" si="36"/>
        <v>0</v>
      </c>
      <c r="AZ144" s="236">
        <f t="shared" si="36"/>
        <v>0</v>
      </c>
      <c r="BA144" s="236">
        <f t="shared" si="36"/>
        <v>0</v>
      </c>
      <c r="BB144" s="236">
        <f t="shared" si="36"/>
        <v>0</v>
      </c>
      <c r="BC144" s="215"/>
      <c r="BF144" s="680" t="s">
        <v>625</v>
      </c>
    </row>
    <row r="145" spans="1:58" ht="14.65" customHeight="1">
      <c r="E145" s="472">
        <v>15</v>
      </c>
      <c r="F145" s="3" t="str" cm="1">
        <f t="array" aca="1" ref="F145" ca="1">OFFSET(E145,-1,1)</f>
        <v>1</v>
      </c>
      <c r="H145" s="36" t="s">
        <v>626</v>
      </c>
      <c r="T145" s="365" t="b" cm="1">
        <f t="array" ref="T145">T144</f>
        <v>1</v>
      </c>
      <c r="X145" s="1075"/>
      <c r="Y145" s="1064"/>
      <c r="AB145" s="172" t="s">
        <v>627</v>
      </c>
      <c r="AC145" s="251" t="s">
        <v>612</v>
      </c>
      <c r="AD145" s="31" t="s">
        <v>534</v>
      </c>
      <c r="AE145" s="210">
        <v>410.788178485</v>
      </c>
      <c r="AF145" s="210">
        <v>392.92</v>
      </c>
      <c r="AG145" s="210">
        <v>392.92</v>
      </c>
      <c r="AH145" s="210">
        <v>399.11200000000002</v>
      </c>
      <c r="AI145" s="210">
        <v>393.73</v>
      </c>
      <c r="AJ145" s="849"/>
      <c r="AK145" s="849"/>
      <c r="AL145" s="849"/>
      <c r="AM145" s="849"/>
      <c r="AN145" s="849"/>
      <c r="AO145" s="849"/>
      <c r="AP145" s="849"/>
      <c r="AQ145" s="849"/>
      <c r="AR145" s="849"/>
      <c r="AS145" s="210">
        <v>392.92</v>
      </c>
      <c r="AT145" s="849"/>
      <c r="AU145" s="849"/>
      <c r="AV145" s="849"/>
      <c r="AW145" s="849"/>
      <c r="AX145" s="849"/>
      <c r="AY145" s="849"/>
      <c r="AZ145" s="849"/>
      <c r="BA145" s="849"/>
      <c r="BB145" s="849"/>
      <c r="BC145" s="215"/>
      <c r="BF145" s="680" t="s">
        <v>628</v>
      </c>
    </row>
    <row r="146" spans="1:58" ht="14.25" customHeight="1">
      <c r="E146" s="472">
        <v>15</v>
      </c>
      <c r="F146" s="3" t="str" cm="1">
        <f t="array" aca="1" ref="F146" ca="1">OFFSET(E146,-1,1)</f>
        <v>1</v>
      </c>
      <c r="H146" s="36" t="s">
        <v>629</v>
      </c>
      <c r="T146" s="365" t="b" cm="1">
        <f t="array" ref="T146">T145</f>
        <v>1</v>
      </c>
      <c r="X146" s="1075"/>
      <c r="Y146" s="1064"/>
      <c r="AB146" s="172" t="s">
        <v>630</v>
      </c>
      <c r="AC146" s="251" t="s">
        <v>616</v>
      </c>
      <c r="AD146" s="31" t="s">
        <v>534</v>
      </c>
      <c r="AE146" s="210"/>
      <c r="AF146" s="210">
        <v>3.9689999999999999</v>
      </c>
      <c r="AG146" s="210">
        <v>3.9689999999999999</v>
      </c>
      <c r="AH146" s="210"/>
      <c r="AI146" s="210">
        <v>2.3769999999999998</v>
      </c>
      <c r="AJ146" s="849"/>
      <c r="AK146" s="849"/>
      <c r="AL146" s="849"/>
      <c r="AM146" s="849"/>
      <c r="AN146" s="849"/>
      <c r="AO146" s="849"/>
      <c r="AP146" s="849"/>
      <c r="AQ146" s="849"/>
      <c r="AR146" s="849"/>
      <c r="AS146" s="210">
        <v>3.9689999999999999</v>
      </c>
      <c r="AT146" s="849"/>
      <c r="AU146" s="849"/>
      <c r="AV146" s="849"/>
      <c r="AW146" s="849"/>
      <c r="AX146" s="849"/>
      <c r="AY146" s="849"/>
      <c r="AZ146" s="849"/>
      <c r="BA146" s="849"/>
      <c r="BB146" s="849"/>
      <c r="BC146" s="215"/>
      <c r="BF146" s="680" t="s">
        <v>631</v>
      </c>
    </row>
    <row r="147" spans="1:58" ht="14.25" customHeight="1">
      <c r="E147" s="472">
        <v>15</v>
      </c>
      <c r="F147" s="3" t="str" cm="1">
        <f t="array" aca="1" ref="F147" ca="1">OFFSET(E147,-1,1)</f>
        <v>1</v>
      </c>
      <c r="G147" s="36" t="s">
        <v>632</v>
      </c>
      <c r="H147" s="36" t="s">
        <v>633</v>
      </c>
      <c r="T147" s="365" t="b" cm="1">
        <f t="array" ref="T147">T146</f>
        <v>1</v>
      </c>
      <c r="X147" s="1075"/>
      <c r="Y147" s="1064"/>
      <c r="AB147" s="172" t="s">
        <v>634</v>
      </c>
      <c r="AC147" s="250" t="s">
        <v>635</v>
      </c>
      <c r="AD147" s="31" t="s">
        <v>534</v>
      </c>
      <c r="AE147" s="236">
        <f t="shared" ref="AE147:BB147" si="37">SUM(AE148:AE149)</f>
        <v>531.92520270110003</v>
      </c>
      <c r="AF147" s="236">
        <f t="shared" si="37"/>
        <v>528.47699999999998</v>
      </c>
      <c r="AG147" s="236">
        <f t="shared" si="37"/>
        <v>528.47699999999998</v>
      </c>
      <c r="AH147" s="236">
        <f t="shared" si="37"/>
        <v>540.48500000000001</v>
      </c>
      <c r="AI147" s="236">
        <f t="shared" si="37"/>
        <v>528.93499999999995</v>
      </c>
      <c r="AJ147" s="236">
        <f t="shared" si="37"/>
        <v>0</v>
      </c>
      <c r="AK147" s="236">
        <f t="shared" si="37"/>
        <v>0</v>
      </c>
      <c r="AL147" s="236">
        <f t="shared" si="37"/>
        <v>0</v>
      </c>
      <c r="AM147" s="236">
        <f t="shared" si="37"/>
        <v>0</v>
      </c>
      <c r="AN147" s="236">
        <f t="shared" si="37"/>
        <v>0</v>
      </c>
      <c r="AO147" s="236">
        <f t="shared" si="37"/>
        <v>0</v>
      </c>
      <c r="AP147" s="236">
        <f t="shared" si="37"/>
        <v>0</v>
      </c>
      <c r="AQ147" s="236">
        <f t="shared" si="37"/>
        <v>0</v>
      </c>
      <c r="AR147" s="236">
        <f t="shared" si="37"/>
        <v>0</v>
      </c>
      <c r="AS147" s="236">
        <f t="shared" si="37"/>
        <v>528.47699999999998</v>
      </c>
      <c r="AT147" s="236">
        <f t="shared" si="37"/>
        <v>0</v>
      </c>
      <c r="AU147" s="236">
        <f t="shared" si="37"/>
        <v>0</v>
      </c>
      <c r="AV147" s="236">
        <f t="shared" si="37"/>
        <v>0</v>
      </c>
      <c r="AW147" s="236">
        <f t="shared" si="37"/>
        <v>0</v>
      </c>
      <c r="AX147" s="236">
        <f t="shared" si="37"/>
        <v>0</v>
      </c>
      <c r="AY147" s="236">
        <f t="shared" si="37"/>
        <v>0</v>
      </c>
      <c r="AZ147" s="236">
        <f t="shared" si="37"/>
        <v>0</v>
      </c>
      <c r="BA147" s="236">
        <f t="shared" si="37"/>
        <v>0</v>
      </c>
      <c r="BB147" s="236">
        <f t="shared" si="37"/>
        <v>0</v>
      </c>
      <c r="BC147" s="215"/>
      <c r="BF147" s="680" t="s">
        <v>636</v>
      </c>
    </row>
    <row r="148" spans="1:58" ht="14.65" customHeight="1">
      <c r="E148" s="472">
        <v>15</v>
      </c>
      <c r="F148" s="3" t="str" cm="1">
        <f t="array" aca="1" ref="F148" ca="1">OFFSET(E148,-1,1)</f>
        <v>1</v>
      </c>
      <c r="H148" s="36" t="s">
        <v>637</v>
      </c>
      <c r="T148" s="365" t="b" cm="1">
        <f t="array" ref="T148">T147</f>
        <v>1</v>
      </c>
      <c r="X148" s="1075"/>
      <c r="Y148" s="1064"/>
      <c r="AB148" s="172" t="s">
        <v>638</v>
      </c>
      <c r="AC148" s="251" t="s">
        <v>612</v>
      </c>
      <c r="AD148" s="31" t="s">
        <v>534</v>
      </c>
      <c r="AE148" s="210">
        <v>531.92520270110003</v>
      </c>
      <c r="AF148" s="210">
        <v>306.517</v>
      </c>
      <c r="AG148" s="210">
        <v>306.517</v>
      </c>
      <c r="AH148" s="210">
        <v>540.48500000000001</v>
      </c>
      <c r="AI148" s="210">
        <v>312.072</v>
      </c>
      <c r="AJ148" s="849"/>
      <c r="AK148" s="849"/>
      <c r="AL148" s="849"/>
      <c r="AM148" s="849"/>
      <c r="AN148" s="849"/>
      <c r="AO148" s="849"/>
      <c r="AP148" s="849"/>
      <c r="AQ148" s="849"/>
      <c r="AR148" s="849"/>
      <c r="AS148" s="210">
        <v>306.517</v>
      </c>
      <c r="AT148" s="849"/>
      <c r="AU148" s="849"/>
      <c r="AV148" s="849"/>
      <c r="AW148" s="849"/>
      <c r="AX148" s="849"/>
      <c r="AY148" s="849"/>
      <c r="AZ148" s="849"/>
      <c r="BA148" s="849"/>
      <c r="BB148" s="849"/>
      <c r="BC148" s="215"/>
      <c r="BF148" s="680" t="s">
        <v>639</v>
      </c>
    </row>
    <row r="149" spans="1:58" ht="14.25" customHeight="1">
      <c r="E149" s="472">
        <v>15</v>
      </c>
      <c r="F149" s="3" t="str" cm="1">
        <f t="array" aca="1" ref="F149" ca="1">OFFSET(E149,-1,1)</f>
        <v>1</v>
      </c>
      <c r="H149" s="36" t="s">
        <v>640</v>
      </c>
      <c r="T149" s="365" t="b" cm="1">
        <f t="array" ref="T149">T148</f>
        <v>1</v>
      </c>
      <c r="X149" s="1075"/>
      <c r="Y149" s="1064"/>
      <c r="AB149" s="172" t="s">
        <v>641</v>
      </c>
      <c r="AC149" s="251" t="s">
        <v>616</v>
      </c>
      <c r="AD149" s="31" t="s">
        <v>534</v>
      </c>
      <c r="AE149" s="210"/>
      <c r="AF149" s="210">
        <v>221.96</v>
      </c>
      <c r="AG149" s="210">
        <v>221.96</v>
      </c>
      <c r="AH149" s="210"/>
      <c r="AI149" s="210">
        <v>216.863</v>
      </c>
      <c r="AJ149" s="849"/>
      <c r="AK149" s="849"/>
      <c r="AL149" s="849"/>
      <c r="AM149" s="849"/>
      <c r="AN149" s="849"/>
      <c r="AO149" s="849"/>
      <c r="AP149" s="849"/>
      <c r="AQ149" s="849"/>
      <c r="AR149" s="849"/>
      <c r="AS149" s="210">
        <v>221.96</v>
      </c>
      <c r="AT149" s="849"/>
      <c r="AU149" s="849"/>
      <c r="AV149" s="849"/>
      <c r="AW149" s="849"/>
      <c r="AX149" s="849"/>
      <c r="AY149" s="849"/>
      <c r="AZ149" s="849"/>
      <c r="BA149" s="849"/>
      <c r="BB149" s="849"/>
      <c r="BC149" s="215"/>
      <c r="BF149" s="680" t="s">
        <v>642</v>
      </c>
    </row>
    <row r="150" spans="1:58" ht="14.25" customHeight="1">
      <c r="E150" s="472">
        <v>15</v>
      </c>
      <c r="F150" s="3" t="str" cm="1">
        <f t="array" aca="1" ref="F150" ca="1">OFFSET(E150,-1,1)</f>
        <v>1</v>
      </c>
      <c r="H150" s="36" t="s">
        <v>643</v>
      </c>
      <c r="T150" s="365" t="b" cm="1">
        <f t="array" ref="T150">T149</f>
        <v>1</v>
      </c>
      <c r="X150" s="1075"/>
      <c r="Y150" s="1064"/>
      <c r="AB150" s="172" t="s">
        <v>644</v>
      </c>
      <c r="AC150" s="250" t="s">
        <v>645</v>
      </c>
      <c r="AD150" s="31" t="s">
        <v>534</v>
      </c>
      <c r="AE150" s="236">
        <f t="shared" ref="AE150:BB150" si="38">SUM(AE151:AE152)</f>
        <v>33.878663171299998</v>
      </c>
      <c r="AF150" s="236">
        <f t="shared" si="38"/>
        <v>36.478000000000002</v>
      </c>
      <c r="AG150" s="236">
        <f t="shared" si="38"/>
        <v>36.478000000000002</v>
      </c>
      <c r="AH150" s="236">
        <f t="shared" si="38"/>
        <v>33.445999999999998</v>
      </c>
      <c r="AI150" s="236">
        <f t="shared" si="38"/>
        <v>35.144000000000005</v>
      </c>
      <c r="AJ150" s="236">
        <f t="shared" si="38"/>
        <v>0</v>
      </c>
      <c r="AK150" s="236">
        <f t="shared" si="38"/>
        <v>0</v>
      </c>
      <c r="AL150" s="236">
        <f t="shared" si="38"/>
        <v>0</v>
      </c>
      <c r="AM150" s="236">
        <f t="shared" si="38"/>
        <v>0</v>
      </c>
      <c r="AN150" s="236">
        <f t="shared" si="38"/>
        <v>0</v>
      </c>
      <c r="AO150" s="236">
        <f t="shared" si="38"/>
        <v>0</v>
      </c>
      <c r="AP150" s="236">
        <f t="shared" si="38"/>
        <v>0</v>
      </c>
      <c r="AQ150" s="236">
        <f t="shared" si="38"/>
        <v>0</v>
      </c>
      <c r="AR150" s="236">
        <f t="shared" si="38"/>
        <v>0</v>
      </c>
      <c r="AS150" s="236">
        <f t="shared" si="38"/>
        <v>36.478000000000002</v>
      </c>
      <c r="AT150" s="236">
        <f t="shared" si="38"/>
        <v>0</v>
      </c>
      <c r="AU150" s="236">
        <f t="shared" si="38"/>
        <v>0</v>
      </c>
      <c r="AV150" s="236">
        <f t="shared" si="38"/>
        <v>0</v>
      </c>
      <c r="AW150" s="236">
        <f t="shared" si="38"/>
        <v>0</v>
      </c>
      <c r="AX150" s="236">
        <f t="shared" si="38"/>
        <v>0</v>
      </c>
      <c r="AY150" s="236">
        <f t="shared" si="38"/>
        <v>0</v>
      </c>
      <c r="AZ150" s="236">
        <f t="shared" si="38"/>
        <v>0</v>
      </c>
      <c r="BA150" s="236">
        <f t="shared" si="38"/>
        <v>0</v>
      </c>
      <c r="BB150" s="236">
        <f t="shared" si="38"/>
        <v>0</v>
      </c>
      <c r="BC150" s="215"/>
      <c r="BF150" s="680" t="s">
        <v>646</v>
      </c>
    </row>
    <row r="151" spans="1:58" ht="12.75" customHeight="1">
      <c r="E151" s="472">
        <v>15</v>
      </c>
      <c r="F151" s="3" t="str" cm="1">
        <f t="array" aca="1" ref="F151" ca="1">OFFSET(E151,-1,1)</f>
        <v>1</v>
      </c>
      <c r="H151" s="36" t="s">
        <v>647</v>
      </c>
      <c r="T151" s="365" t="b" cm="1">
        <f t="array" ref="T151">T150</f>
        <v>1</v>
      </c>
      <c r="X151" s="1075"/>
      <c r="Y151" s="1064"/>
      <c r="AB151" s="172" t="s">
        <v>648</v>
      </c>
      <c r="AC151" s="251" t="s">
        <v>612</v>
      </c>
      <c r="AD151" s="31" t="s">
        <v>534</v>
      </c>
      <c r="AE151" s="210">
        <v>33.878663171299998</v>
      </c>
      <c r="AF151" s="210">
        <v>34.399000000000001</v>
      </c>
      <c r="AG151" s="210">
        <v>34.399000000000001</v>
      </c>
      <c r="AH151" s="210">
        <v>33.445999999999998</v>
      </c>
      <c r="AI151" s="210">
        <v>33.176000000000002</v>
      </c>
      <c r="AJ151" s="849"/>
      <c r="AK151" s="849"/>
      <c r="AL151" s="849"/>
      <c r="AM151" s="849"/>
      <c r="AN151" s="849"/>
      <c r="AO151" s="849"/>
      <c r="AP151" s="849"/>
      <c r="AQ151" s="849"/>
      <c r="AR151" s="849"/>
      <c r="AS151" s="210">
        <v>34.399000000000001</v>
      </c>
      <c r="AT151" s="849"/>
      <c r="AU151" s="849"/>
      <c r="AV151" s="849"/>
      <c r="AW151" s="849"/>
      <c r="AX151" s="849"/>
      <c r="AY151" s="849"/>
      <c r="AZ151" s="849"/>
      <c r="BA151" s="849"/>
      <c r="BB151" s="849"/>
      <c r="BC151" s="215"/>
      <c r="BF151" s="680" t="s">
        <v>649</v>
      </c>
    </row>
    <row r="152" spans="1:58" ht="12.75" customHeight="1">
      <c r="E152" s="472">
        <v>15</v>
      </c>
      <c r="F152" s="3" t="str" cm="1">
        <f t="array" aca="1" ref="F152" ca="1">OFFSET(E152,-1,1)</f>
        <v>1</v>
      </c>
      <c r="H152" s="36" t="s">
        <v>650</v>
      </c>
      <c r="T152" s="365" t="b" cm="1">
        <f t="array" ref="T152">T151</f>
        <v>1</v>
      </c>
      <c r="X152" s="1075"/>
      <c r="Y152" s="1064"/>
      <c r="AB152" s="172" t="s">
        <v>651</v>
      </c>
      <c r="AC152" s="251" t="s">
        <v>616</v>
      </c>
      <c r="AD152" s="31" t="s">
        <v>534</v>
      </c>
      <c r="AE152" s="210"/>
      <c r="AF152" s="210">
        <v>2.0790000000000002</v>
      </c>
      <c r="AG152" s="210">
        <v>2.0790000000000002</v>
      </c>
      <c r="AH152" s="210"/>
      <c r="AI152" s="210">
        <v>1.968</v>
      </c>
      <c r="AJ152" s="849"/>
      <c r="AK152" s="849"/>
      <c r="AL152" s="849"/>
      <c r="AM152" s="849"/>
      <c r="AN152" s="849"/>
      <c r="AO152" s="849"/>
      <c r="AP152" s="849"/>
      <c r="AQ152" s="849"/>
      <c r="AR152" s="849"/>
      <c r="AS152" s="210">
        <v>2.0790000000000002</v>
      </c>
      <c r="AT152" s="849"/>
      <c r="AU152" s="849"/>
      <c r="AV152" s="849"/>
      <c r="AW152" s="849"/>
      <c r="AX152" s="849"/>
      <c r="AY152" s="849"/>
      <c r="AZ152" s="849"/>
      <c r="BA152" s="849"/>
      <c r="BB152" s="849"/>
      <c r="BC152" s="132"/>
      <c r="BF152" s="680" t="s">
        <v>652</v>
      </c>
    </row>
    <row r="153" spans="1:58" ht="0" hidden="1" customHeight="1">
      <c r="E153" s="472">
        <v>22.5</v>
      </c>
      <c r="F153" s="3" t="str" cm="1">
        <f t="array" aca="1" ref="F153" ca="1">OFFSET(E153,-1,1)</f>
        <v>1</v>
      </c>
      <c r="H153" s="36" t="s">
        <v>653</v>
      </c>
      <c r="I153" s="327"/>
      <c r="J153" s="327"/>
      <c r="T153" s="365" t="b" cm="1">
        <f t="array" ref="T153">T152</f>
        <v>1</v>
      </c>
      <c r="X153" s="1075"/>
      <c r="Y153" s="1064"/>
      <c r="AB153" s="172" t="s">
        <v>654</v>
      </c>
      <c r="AC153" s="252" t="s">
        <v>655</v>
      </c>
      <c r="AD153" s="31" t="s">
        <v>534</v>
      </c>
      <c r="AE153" s="207"/>
      <c r="AF153" s="207"/>
      <c r="AG153" s="207"/>
      <c r="AH153" s="207"/>
      <c r="AI153" s="207"/>
      <c r="AJ153" s="838"/>
      <c r="AK153" s="838"/>
      <c r="AL153" s="838"/>
      <c r="AM153" s="838"/>
      <c r="AN153" s="838"/>
      <c r="AO153" s="838"/>
      <c r="AP153" s="838"/>
      <c r="AQ153" s="838"/>
      <c r="AR153" s="838"/>
      <c r="AS153" s="207"/>
      <c r="AT153" s="838"/>
      <c r="AU153" s="838"/>
      <c r="AV153" s="838"/>
      <c r="AW153" s="838"/>
      <c r="AX153" s="838"/>
      <c r="AY153" s="838"/>
      <c r="AZ153" s="838"/>
      <c r="BA153" s="838"/>
      <c r="BB153" s="838"/>
      <c r="BC153" s="132"/>
      <c r="BF153" s="680" t="s">
        <v>656</v>
      </c>
    </row>
    <row r="154" spans="1:58" ht="0" hidden="1" customHeight="1">
      <c r="E154" s="472">
        <v>15</v>
      </c>
      <c r="F154" s="266" t="str" cm="1">
        <f t="array" aca="1" ref="F154" ca="1">OFFSET(E154,-1,1)</f>
        <v>1</v>
      </c>
      <c r="T154" s="365" t="b" cm="1">
        <f t="array" ref="T154">T153</f>
        <v>1</v>
      </c>
      <c r="X154" s="1075"/>
      <c r="Y154" s="1064"/>
      <c r="AB154" s="172" t="s">
        <v>657</v>
      </c>
      <c r="AC154" s="252" t="s">
        <v>658</v>
      </c>
      <c r="AD154" s="31" t="s">
        <v>534</v>
      </c>
      <c r="AE154" s="207"/>
      <c r="AF154" s="207"/>
      <c r="AG154" s="207"/>
      <c r="AH154" s="207"/>
      <c r="AI154" s="207"/>
      <c r="AJ154" s="838"/>
      <c r="AK154" s="838"/>
      <c r="AL154" s="838"/>
      <c r="AM154" s="838"/>
      <c r="AN154" s="838"/>
      <c r="AO154" s="838"/>
      <c r="AP154" s="838"/>
      <c r="AQ154" s="838"/>
      <c r="AR154" s="838"/>
      <c r="AS154" s="207"/>
      <c r="AT154" s="838"/>
      <c r="AU154" s="838"/>
      <c r="AV154" s="838"/>
      <c r="AW154" s="838"/>
      <c r="AX154" s="838"/>
      <c r="AY154" s="838"/>
      <c r="AZ154" s="838"/>
      <c r="BA154" s="838"/>
      <c r="BB154" s="838"/>
      <c r="BC154" s="132"/>
      <c r="BF154" s="680" t="s">
        <v>659</v>
      </c>
    </row>
    <row r="155" spans="1:58" ht="11.25" hidden="1" customHeight="1">
      <c r="A155" s="327"/>
      <c r="B155" s="490"/>
      <c r="C155" s="327"/>
      <c r="D155" s="327"/>
      <c r="E155" s="491" t="s">
        <v>366</v>
      </c>
      <c r="F155" s="774" t="str" cm="1">
        <f t="array" aca="1" ref="F155" ca="1">OFFSET(E155,-1,1)</f>
        <v>1</v>
      </c>
      <c r="G155" s="327"/>
      <c r="H155" s="327"/>
      <c r="I155"/>
      <c r="J155"/>
      <c r="L155" s="327"/>
      <c r="M155" s="327"/>
      <c r="N155" s="327"/>
      <c r="O155" s="327"/>
      <c r="T155" s="365" t="b">
        <v>0</v>
      </c>
      <c r="V155" s="327"/>
      <c r="X155" s="1075"/>
      <c r="Y155" s="1064"/>
      <c r="Z155" s="327"/>
      <c r="AA155" s="327"/>
      <c r="AB155"/>
      <c r="AC155" s="37"/>
      <c r="AD155" s="37"/>
      <c r="AE155" s="262"/>
      <c r="AF155" s="262"/>
      <c r="AG155" s="262"/>
      <c r="AH155" s="262"/>
      <c r="AI155" s="262"/>
      <c r="AJ155" s="263"/>
      <c r="AK155" s="262"/>
      <c r="AL155" s="262"/>
      <c r="AM155" s="262"/>
      <c r="AN155" s="262"/>
      <c r="AO155" s="262"/>
      <c r="AP155" s="262"/>
      <c r="AQ155" s="262"/>
      <c r="AR155" s="262"/>
      <c r="AS155" s="262"/>
      <c r="AT155" s="262"/>
      <c r="AU155" s="262"/>
      <c r="AV155" s="262"/>
      <c r="AW155" s="262"/>
      <c r="AX155" s="262"/>
      <c r="AY155" s="262"/>
      <c r="AZ155" s="262"/>
      <c r="BA155" s="262"/>
      <c r="BB155" s="262"/>
      <c r="BC155"/>
      <c r="BD155"/>
      <c r="BE155"/>
      <c r="BF155" s="670"/>
    </row>
    <row r="156" spans="1:58" ht="12.75" hidden="1" customHeight="1">
      <c r="E156" s="472">
        <v>15</v>
      </c>
      <c r="F156" s="3" t="str" cm="1">
        <f t="array" aca="1" ref="F156" ca="1">OFFSET(E156,-1,1)</f>
        <v>1</v>
      </c>
      <c r="R156" s="327" t="b" cm="1">
        <f t="array" ref="R156">INDEX('Общие сведения'!$AN$179:$AN$222,MATCH($X118,'Общие сведения'!$Z$179:$Z$222,0))</f>
        <v>0</v>
      </c>
      <c r="S156" s="327" t="b">
        <f>IF(ISERROR(SEARCH("Водоснабжение",AB118)),FALSE,TRUE)</f>
        <v>1</v>
      </c>
      <c r="T156" s="365" t="b">
        <f>AND(X118&gt;0,S156,R156)</f>
        <v>0</v>
      </c>
      <c r="X156" s="1075"/>
      <c r="Y156" s="1064"/>
      <c r="AB156" s="172" t="s">
        <v>275</v>
      </c>
      <c r="AC156" s="247" t="s">
        <v>531</v>
      </c>
      <c r="AD156" s="130"/>
      <c r="AE156" s="427" t="str" cm="1">
        <f t="array" ref="AE156">INDEX('Общие сведения'!$AH$179:$AH$222,MATCH($X118,'Общие сведения'!$Z$179:$Z$222,0))</f>
        <v>питьевая вода</v>
      </c>
      <c r="AF156" s="277"/>
      <c r="AG156" s="277"/>
      <c r="AH156" s="277"/>
      <c r="AI156" s="277"/>
      <c r="AJ156" s="277"/>
      <c r="AK156" s="277"/>
      <c r="AL156" s="277"/>
      <c r="AM156" s="277"/>
      <c r="AN156" s="277"/>
      <c r="AO156" s="277"/>
      <c r="AP156" s="277"/>
      <c r="AQ156" s="277"/>
      <c r="AR156" s="277"/>
      <c r="AS156" s="277"/>
      <c r="AT156" s="277"/>
      <c r="AU156" s="277"/>
      <c r="AV156" s="277"/>
      <c r="AW156" s="277"/>
      <c r="AX156" s="277"/>
      <c r="AY156" s="277"/>
      <c r="AZ156" s="277"/>
      <c r="BA156" s="277"/>
      <c r="BB156" s="278"/>
      <c r="BC156" s="839"/>
      <c r="BF156" s="680" t="s">
        <v>660</v>
      </c>
    </row>
    <row r="157" spans="1:58" ht="12.75" hidden="1" customHeight="1">
      <c r="E157" s="472">
        <v>15</v>
      </c>
      <c r="F157" s="3" t="str" cm="1">
        <f t="array" aca="1" ref="F157" ca="1">OFFSET(E157,-1,1)</f>
        <v>1</v>
      </c>
      <c r="H157" s="36" t="s">
        <v>331</v>
      </c>
      <c r="T157" s="365" t="b" cm="1">
        <f t="array" ref="T157">T156</f>
        <v>0</v>
      </c>
      <c r="X157" s="1075"/>
      <c r="Y157" s="1064"/>
      <c r="AB157" s="172" t="s">
        <v>285</v>
      </c>
      <c r="AC157" s="253" t="s">
        <v>661</v>
      </c>
      <c r="AD157" s="31" t="s">
        <v>534</v>
      </c>
      <c r="AE157" s="264">
        <f t="shared" ref="AE157:BB157" si="39">AE161+AE163+AE166+AE169</f>
        <v>0</v>
      </c>
      <c r="AF157" s="264">
        <f t="shared" si="39"/>
        <v>0</v>
      </c>
      <c r="AG157" s="264">
        <f t="shared" si="39"/>
        <v>0</v>
      </c>
      <c r="AH157" s="264">
        <f t="shared" si="39"/>
        <v>0</v>
      </c>
      <c r="AI157" s="264">
        <f t="shared" si="39"/>
        <v>0</v>
      </c>
      <c r="AJ157" s="264">
        <f t="shared" si="39"/>
        <v>0</v>
      </c>
      <c r="AK157" s="264">
        <f t="shared" si="39"/>
        <v>0</v>
      </c>
      <c r="AL157" s="264">
        <f t="shared" si="39"/>
        <v>0</v>
      </c>
      <c r="AM157" s="264">
        <f t="shared" si="39"/>
        <v>0</v>
      </c>
      <c r="AN157" s="264">
        <f t="shared" si="39"/>
        <v>0</v>
      </c>
      <c r="AO157" s="264">
        <f t="shared" si="39"/>
        <v>0</v>
      </c>
      <c r="AP157" s="264">
        <f t="shared" si="39"/>
        <v>0</v>
      </c>
      <c r="AQ157" s="264">
        <f t="shared" si="39"/>
        <v>0</v>
      </c>
      <c r="AR157" s="264">
        <f t="shared" si="39"/>
        <v>0</v>
      </c>
      <c r="AS157" s="264">
        <f t="shared" si="39"/>
        <v>0</v>
      </c>
      <c r="AT157" s="264">
        <f t="shared" si="39"/>
        <v>0</v>
      </c>
      <c r="AU157" s="264">
        <f t="shared" si="39"/>
        <v>0</v>
      </c>
      <c r="AV157" s="264">
        <f t="shared" si="39"/>
        <v>0</v>
      </c>
      <c r="AW157" s="264">
        <f t="shared" si="39"/>
        <v>0</v>
      </c>
      <c r="AX157" s="264">
        <f t="shared" si="39"/>
        <v>0</v>
      </c>
      <c r="AY157" s="264">
        <f t="shared" si="39"/>
        <v>0</v>
      </c>
      <c r="AZ157" s="264">
        <f t="shared" si="39"/>
        <v>0</v>
      </c>
      <c r="BA157" s="264">
        <f t="shared" si="39"/>
        <v>0</v>
      </c>
      <c r="BB157" s="264">
        <f t="shared" si="39"/>
        <v>0</v>
      </c>
      <c r="BC157" s="839"/>
      <c r="BF157" s="680" t="s">
        <v>662</v>
      </c>
    </row>
    <row r="158" spans="1:58" ht="12.75" hidden="1" customHeight="1">
      <c r="E158" s="472">
        <v>15</v>
      </c>
      <c r="F158" s="3" t="str" cm="1">
        <f t="array" aca="1" ref="F158" ca="1">OFFSET(E158,-1,1)</f>
        <v>1</v>
      </c>
      <c r="H158" s="36" t="s">
        <v>536</v>
      </c>
      <c r="T158" s="365" t="b" cm="1">
        <f t="array" ref="T158">T157</f>
        <v>0</v>
      </c>
      <c r="X158" s="1075"/>
      <c r="Y158" s="1064"/>
      <c r="AB158" s="172" t="s">
        <v>537</v>
      </c>
      <c r="AC158" s="254" t="s">
        <v>663</v>
      </c>
      <c r="AD158" s="31" t="s">
        <v>534</v>
      </c>
      <c r="AE158" s="838"/>
      <c r="AF158" s="838"/>
      <c r="AG158" s="838"/>
      <c r="AH158" s="838"/>
      <c r="AI158" s="838"/>
      <c r="AJ158" s="838"/>
      <c r="AK158" s="838"/>
      <c r="AL158" s="838"/>
      <c r="AM158" s="838"/>
      <c r="AN158" s="838"/>
      <c r="AO158" s="838"/>
      <c r="AP158" s="838"/>
      <c r="AQ158" s="838"/>
      <c r="AR158" s="838"/>
      <c r="AS158" s="838"/>
      <c r="AT158" s="838"/>
      <c r="AU158" s="838"/>
      <c r="AV158" s="838"/>
      <c r="AW158" s="838"/>
      <c r="AX158" s="838"/>
      <c r="AY158" s="838"/>
      <c r="AZ158" s="838"/>
      <c r="BA158" s="838"/>
      <c r="BB158" s="838"/>
      <c r="BC158" s="839"/>
      <c r="BF158" s="680" t="s">
        <v>664</v>
      </c>
    </row>
    <row r="159" spans="1:58" ht="12.75" hidden="1" customHeight="1">
      <c r="E159" s="472">
        <v>15</v>
      </c>
      <c r="F159" s="3" t="str" cm="1">
        <f t="array" aca="1" ref="F159" ca="1">OFFSET(E159,-1,1)</f>
        <v>1</v>
      </c>
      <c r="H159" s="36" t="s">
        <v>540</v>
      </c>
      <c r="T159" s="365" t="b" cm="1">
        <f t="array" ref="T159">T158</f>
        <v>0</v>
      </c>
      <c r="X159" s="1075"/>
      <c r="Y159" s="1064"/>
      <c r="AB159" s="172" t="s">
        <v>541</v>
      </c>
      <c r="AC159" s="254" t="s">
        <v>665</v>
      </c>
      <c r="AD159" s="31" t="s">
        <v>534</v>
      </c>
      <c r="AE159" s="838"/>
      <c r="AF159" s="838"/>
      <c r="AG159" s="838"/>
      <c r="AH159" s="838"/>
      <c r="AI159" s="838"/>
      <c r="AJ159" s="838"/>
      <c r="AK159" s="838"/>
      <c r="AL159" s="838"/>
      <c r="AM159" s="838"/>
      <c r="AN159" s="838"/>
      <c r="AO159" s="838"/>
      <c r="AP159" s="838"/>
      <c r="AQ159" s="838"/>
      <c r="AR159" s="838"/>
      <c r="AS159" s="838"/>
      <c r="AT159" s="838"/>
      <c r="AU159" s="838"/>
      <c r="AV159" s="838"/>
      <c r="AW159" s="838"/>
      <c r="AX159" s="838"/>
      <c r="AY159" s="838"/>
      <c r="AZ159" s="838"/>
      <c r="BA159" s="838"/>
      <c r="BB159" s="838"/>
      <c r="BC159" s="839"/>
      <c r="BF159" s="680" t="s">
        <v>666</v>
      </c>
    </row>
    <row r="160" spans="1:58" ht="23.25" hidden="1" customHeight="1">
      <c r="E160" s="472">
        <v>22.5</v>
      </c>
      <c r="F160" s="3" t="str" cm="1">
        <f t="array" aca="1" ref="F160" ca="1">OFFSET(E160,-1,1)</f>
        <v>1</v>
      </c>
      <c r="H160" s="36" t="s">
        <v>544</v>
      </c>
      <c r="T160" s="365" t="b" cm="1">
        <f t="array" ref="T160">T159</f>
        <v>0</v>
      </c>
      <c r="X160" s="1075"/>
      <c r="Y160" s="1064"/>
      <c r="AB160" s="172" t="s">
        <v>545</v>
      </c>
      <c r="AC160" s="254" t="s">
        <v>667</v>
      </c>
      <c r="AD160" s="31" t="s">
        <v>534</v>
      </c>
      <c r="AE160" s="838"/>
      <c r="AF160" s="838"/>
      <c r="AG160" s="838"/>
      <c r="AH160" s="838"/>
      <c r="AI160" s="838"/>
      <c r="AJ160" s="838"/>
      <c r="AK160" s="838"/>
      <c r="AL160" s="838"/>
      <c r="AM160" s="838"/>
      <c r="AN160" s="838"/>
      <c r="AO160" s="838"/>
      <c r="AP160" s="838"/>
      <c r="AQ160" s="838"/>
      <c r="AR160" s="838"/>
      <c r="AS160" s="838"/>
      <c r="AT160" s="838"/>
      <c r="AU160" s="838"/>
      <c r="AV160" s="838"/>
      <c r="AW160" s="838"/>
      <c r="AX160" s="838"/>
      <c r="AY160" s="838"/>
      <c r="AZ160" s="838"/>
      <c r="BA160" s="838"/>
      <c r="BB160" s="838"/>
      <c r="BC160" s="839"/>
      <c r="BF160" s="680" t="s">
        <v>668</v>
      </c>
    </row>
    <row r="161" spans="1:58" ht="12.75" hidden="1" customHeight="1">
      <c r="E161" s="472">
        <v>15</v>
      </c>
      <c r="F161" s="3" t="str" cm="1">
        <f t="array" aca="1" ref="F161" ca="1">OFFSET(E161,-1,1)</f>
        <v>1</v>
      </c>
      <c r="H161" s="36" t="s">
        <v>330</v>
      </c>
      <c r="T161" s="365" t="b" cm="1">
        <f t="array" ref="T161">T160</f>
        <v>0</v>
      </c>
      <c r="X161" s="1075"/>
      <c r="Y161" s="1064"/>
      <c r="AB161" s="172" t="s">
        <v>325</v>
      </c>
      <c r="AC161" s="247" t="s">
        <v>579</v>
      </c>
      <c r="AD161" s="31" t="s">
        <v>534</v>
      </c>
      <c r="AE161" s="838"/>
      <c r="AF161" s="838"/>
      <c r="AG161" s="838"/>
      <c r="AH161" s="838"/>
      <c r="AI161" s="838"/>
      <c r="AJ161" s="838"/>
      <c r="AK161" s="838"/>
      <c r="AL161" s="838"/>
      <c r="AM161" s="838"/>
      <c r="AN161" s="838"/>
      <c r="AO161" s="838"/>
      <c r="AP161" s="838"/>
      <c r="AQ161" s="838"/>
      <c r="AR161" s="838"/>
      <c r="AS161" s="838"/>
      <c r="AT161" s="838"/>
      <c r="AU161" s="838"/>
      <c r="AV161" s="838"/>
      <c r="AW161" s="838"/>
      <c r="AX161" s="838"/>
      <c r="AY161" s="838"/>
      <c r="AZ161" s="838"/>
      <c r="BA161" s="838"/>
      <c r="BB161" s="838"/>
      <c r="BC161" s="839"/>
      <c r="BF161" s="680" t="s">
        <v>669</v>
      </c>
    </row>
    <row r="162" spans="1:58" ht="12.75" hidden="1" customHeight="1">
      <c r="E162" s="472">
        <v>15</v>
      </c>
      <c r="F162" s="3" t="str" cm="1">
        <f t="array" aca="1" ref="F162" ca="1">OFFSET(E162,-1,1)</f>
        <v>1</v>
      </c>
      <c r="H162" s="36" t="s">
        <v>550</v>
      </c>
      <c r="T162" s="365" t="b" cm="1">
        <f t="array" ref="T162">T161</f>
        <v>0</v>
      </c>
      <c r="X162" s="1075"/>
      <c r="Y162" s="1064"/>
      <c r="AB162" s="172" t="s">
        <v>551</v>
      </c>
      <c r="AC162" s="249" t="s">
        <v>583</v>
      </c>
      <c r="AD162" s="31" t="s">
        <v>456</v>
      </c>
      <c r="AE162" s="833">
        <f t="shared" ref="AE162:BB162" si="40">IF(AE157=0,0,AE161/AE157*100)</f>
        <v>0</v>
      </c>
      <c r="AF162" s="833">
        <f t="shared" si="40"/>
        <v>0</v>
      </c>
      <c r="AG162" s="833">
        <f t="shared" si="40"/>
        <v>0</v>
      </c>
      <c r="AH162" s="833">
        <f t="shared" si="40"/>
        <v>0</v>
      </c>
      <c r="AI162" s="833">
        <f t="shared" si="40"/>
        <v>0</v>
      </c>
      <c r="AJ162" s="833">
        <f t="shared" si="40"/>
        <v>0</v>
      </c>
      <c r="AK162" s="833">
        <f t="shared" si="40"/>
        <v>0</v>
      </c>
      <c r="AL162" s="833">
        <f t="shared" si="40"/>
        <v>0</v>
      </c>
      <c r="AM162" s="833">
        <f t="shared" si="40"/>
        <v>0</v>
      </c>
      <c r="AN162" s="833">
        <f t="shared" si="40"/>
        <v>0</v>
      </c>
      <c r="AO162" s="833">
        <f t="shared" si="40"/>
        <v>0</v>
      </c>
      <c r="AP162" s="833">
        <f t="shared" si="40"/>
        <v>0</v>
      </c>
      <c r="AQ162" s="833">
        <f t="shared" si="40"/>
        <v>0</v>
      </c>
      <c r="AR162" s="833">
        <f t="shared" si="40"/>
        <v>0</v>
      </c>
      <c r="AS162" s="833">
        <f t="shared" si="40"/>
        <v>0</v>
      </c>
      <c r="AT162" s="833">
        <f t="shared" si="40"/>
        <v>0</v>
      </c>
      <c r="AU162" s="833">
        <f t="shared" si="40"/>
        <v>0</v>
      </c>
      <c r="AV162" s="833">
        <f t="shared" si="40"/>
        <v>0</v>
      </c>
      <c r="AW162" s="833">
        <f t="shared" si="40"/>
        <v>0</v>
      </c>
      <c r="AX162" s="833">
        <f t="shared" si="40"/>
        <v>0</v>
      </c>
      <c r="AY162" s="833">
        <f t="shared" si="40"/>
        <v>0</v>
      </c>
      <c r="AZ162" s="833">
        <f t="shared" si="40"/>
        <v>0</v>
      </c>
      <c r="BA162" s="833">
        <f t="shared" si="40"/>
        <v>0</v>
      </c>
      <c r="BB162" s="833">
        <f t="shared" si="40"/>
        <v>0</v>
      </c>
      <c r="BC162" s="784"/>
      <c r="BF162" s="680" t="s">
        <v>670</v>
      </c>
    </row>
    <row r="163" spans="1:58" ht="12.75" hidden="1" customHeight="1">
      <c r="E163" s="472">
        <v>15</v>
      </c>
      <c r="F163" s="3" t="str" cm="1">
        <f t="array" aca="1" ref="F163" ca="1">OFFSET(E163,-1,1)</f>
        <v>1</v>
      </c>
      <c r="G163" s="36" t="str">
        <f>IF(OwnNeedsInPO="да","ПО","")</f>
        <v/>
      </c>
      <c r="H163" s="36" t="s">
        <v>511</v>
      </c>
      <c r="T163" s="365" t="b" cm="1">
        <f t="array" ref="T163">T162</f>
        <v>0</v>
      </c>
      <c r="X163" s="1075"/>
      <c r="Y163" s="1064"/>
      <c r="AB163" s="172" t="s">
        <v>433</v>
      </c>
      <c r="AC163" s="253" t="s">
        <v>591</v>
      </c>
      <c r="AD163" s="31" t="s">
        <v>534</v>
      </c>
      <c r="AE163" s="264">
        <f t="shared" ref="AE163:BB163" si="41">AE164+AE165</f>
        <v>0</v>
      </c>
      <c r="AF163" s="264">
        <f t="shared" si="41"/>
        <v>0</v>
      </c>
      <c r="AG163" s="264">
        <f t="shared" si="41"/>
        <v>0</v>
      </c>
      <c r="AH163" s="264">
        <f t="shared" si="41"/>
        <v>0</v>
      </c>
      <c r="AI163" s="264">
        <f t="shared" si="41"/>
        <v>0</v>
      </c>
      <c r="AJ163" s="264">
        <f t="shared" si="41"/>
        <v>0</v>
      </c>
      <c r="AK163" s="264">
        <f t="shared" si="41"/>
        <v>0</v>
      </c>
      <c r="AL163" s="264">
        <f t="shared" si="41"/>
        <v>0</v>
      </c>
      <c r="AM163" s="264">
        <f t="shared" si="41"/>
        <v>0</v>
      </c>
      <c r="AN163" s="264">
        <f t="shared" si="41"/>
        <v>0</v>
      </c>
      <c r="AO163" s="264">
        <f t="shared" si="41"/>
        <v>0</v>
      </c>
      <c r="AP163" s="264">
        <f t="shared" si="41"/>
        <v>0</v>
      </c>
      <c r="AQ163" s="264">
        <f t="shared" si="41"/>
        <v>0</v>
      </c>
      <c r="AR163" s="264">
        <f t="shared" si="41"/>
        <v>0</v>
      </c>
      <c r="AS163" s="264">
        <f t="shared" si="41"/>
        <v>0</v>
      </c>
      <c r="AT163" s="264">
        <f t="shared" si="41"/>
        <v>0</v>
      </c>
      <c r="AU163" s="264">
        <f t="shared" si="41"/>
        <v>0</v>
      </c>
      <c r="AV163" s="264">
        <f t="shared" si="41"/>
        <v>0</v>
      </c>
      <c r="AW163" s="264">
        <f t="shared" si="41"/>
        <v>0</v>
      </c>
      <c r="AX163" s="264">
        <f t="shared" si="41"/>
        <v>0</v>
      </c>
      <c r="AY163" s="264">
        <f t="shared" si="41"/>
        <v>0</v>
      </c>
      <c r="AZ163" s="264">
        <f t="shared" si="41"/>
        <v>0</v>
      </c>
      <c r="BA163" s="264">
        <f t="shared" si="41"/>
        <v>0</v>
      </c>
      <c r="BB163" s="264">
        <f t="shared" si="41"/>
        <v>0</v>
      </c>
      <c r="BC163" s="839"/>
      <c r="BF163" s="680" t="s">
        <v>671</v>
      </c>
    </row>
    <row r="164" spans="1:58" ht="12.75" hidden="1" customHeight="1">
      <c r="E164" s="472">
        <v>15</v>
      </c>
      <c r="F164" s="3" t="str" cm="1">
        <f t="array" aca="1" ref="F164" ca="1">OFFSET(E164,-1,1)</f>
        <v>1</v>
      </c>
      <c r="H164" s="36" t="s">
        <v>672</v>
      </c>
      <c r="T164" s="365" t="b" cm="1">
        <f t="array" ref="T164">T163</f>
        <v>0</v>
      </c>
      <c r="X164" s="1075"/>
      <c r="Y164" s="1064"/>
      <c r="AB164" s="172" t="s">
        <v>673</v>
      </c>
      <c r="AC164" s="254" t="s">
        <v>595</v>
      </c>
      <c r="AD164" s="31" t="s">
        <v>534</v>
      </c>
      <c r="AE164" s="838"/>
      <c r="AF164" s="838"/>
      <c r="AG164" s="838"/>
      <c r="AH164" s="838"/>
      <c r="AI164" s="838"/>
      <c r="AJ164" s="838"/>
      <c r="AK164" s="838"/>
      <c r="AL164" s="838"/>
      <c r="AM164" s="838"/>
      <c r="AN164" s="838"/>
      <c r="AO164" s="838"/>
      <c r="AP164" s="838"/>
      <c r="AQ164" s="838"/>
      <c r="AR164" s="838"/>
      <c r="AS164" s="838"/>
      <c r="AT164" s="838"/>
      <c r="AU164" s="838"/>
      <c r="AV164" s="838"/>
      <c r="AW164" s="838"/>
      <c r="AX164" s="838"/>
      <c r="AY164" s="838"/>
      <c r="AZ164" s="838"/>
      <c r="BA164" s="838"/>
      <c r="BB164" s="838"/>
      <c r="BC164" s="839"/>
      <c r="BF164" s="680" t="s">
        <v>674</v>
      </c>
    </row>
    <row r="165" spans="1:58" ht="12.75" hidden="1" customHeight="1">
      <c r="E165" s="472">
        <v>15</v>
      </c>
      <c r="F165" s="3" t="str" cm="1">
        <f t="array" aca="1" ref="F165" ca="1">OFFSET(E165,-1,1)</f>
        <v>1</v>
      </c>
      <c r="H165" s="36" t="s">
        <v>675</v>
      </c>
      <c r="T165" s="365" t="b" cm="1">
        <f t="array" ref="T165">T164</f>
        <v>0</v>
      </c>
      <c r="X165" s="1075"/>
      <c r="Y165" s="1064"/>
      <c r="AB165" s="172" t="s">
        <v>676</v>
      </c>
      <c r="AC165" s="254" t="s">
        <v>599</v>
      </c>
      <c r="AD165" s="31" t="s">
        <v>534</v>
      </c>
      <c r="AE165" s="838"/>
      <c r="AF165" s="838"/>
      <c r="AG165" s="838"/>
      <c r="AH165" s="838"/>
      <c r="AI165" s="838"/>
      <c r="AJ165" s="838"/>
      <c r="AK165" s="838"/>
      <c r="AL165" s="838"/>
      <c r="AM165" s="838"/>
      <c r="AN165" s="838"/>
      <c r="AO165" s="838"/>
      <c r="AP165" s="838"/>
      <c r="AQ165" s="838"/>
      <c r="AR165" s="838"/>
      <c r="AS165" s="838"/>
      <c r="AT165" s="838"/>
      <c r="AU165" s="838"/>
      <c r="AV165" s="838"/>
      <c r="AW165" s="838"/>
      <c r="AX165" s="838"/>
      <c r="AY165" s="838"/>
      <c r="AZ165" s="838"/>
      <c r="BA165" s="838"/>
      <c r="BB165" s="838"/>
      <c r="BC165" s="839"/>
      <c r="BF165" s="680" t="s">
        <v>677</v>
      </c>
    </row>
    <row r="166" spans="1:58" ht="12.75" hidden="1" customHeight="1">
      <c r="E166" s="472">
        <v>15</v>
      </c>
      <c r="F166" s="3" t="str" cm="1">
        <f t="array" aca="1" ref="F166" ca="1">OFFSET(E166,-1,1)</f>
        <v>1</v>
      </c>
      <c r="G166" s="36" t="s">
        <v>605</v>
      </c>
      <c r="H166" s="36" t="s">
        <v>514</v>
      </c>
      <c r="T166" s="365" t="b" cm="1">
        <f t="array" ref="T166">T165</f>
        <v>0</v>
      </c>
      <c r="X166" s="1075"/>
      <c r="Y166" s="1064"/>
      <c r="AB166" s="172" t="s">
        <v>444</v>
      </c>
      <c r="AC166" s="253" t="s">
        <v>608</v>
      </c>
      <c r="AD166" s="31" t="s">
        <v>534</v>
      </c>
      <c r="AE166" s="264">
        <f t="shared" ref="AE166:BB166" si="42">AE167+AE168</f>
        <v>0</v>
      </c>
      <c r="AF166" s="264">
        <f t="shared" si="42"/>
        <v>0</v>
      </c>
      <c r="AG166" s="264">
        <f t="shared" si="42"/>
        <v>0</v>
      </c>
      <c r="AH166" s="264">
        <f t="shared" si="42"/>
        <v>0</v>
      </c>
      <c r="AI166" s="264">
        <f t="shared" si="42"/>
        <v>0</v>
      </c>
      <c r="AJ166" s="264">
        <f t="shared" si="42"/>
        <v>0</v>
      </c>
      <c r="AK166" s="264">
        <f t="shared" si="42"/>
        <v>0</v>
      </c>
      <c r="AL166" s="264">
        <f t="shared" si="42"/>
        <v>0</v>
      </c>
      <c r="AM166" s="264">
        <f t="shared" si="42"/>
        <v>0</v>
      </c>
      <c r="AN166" s="264">
        <f t="shared" si="42"/>
        <v>0</v>
      </c>
      <c r="AO166" s="264">
        <f t="shared" si="42"/>
        <v>0</v>
      </c>
      <c r="AP166" s="264">
        <f t="shared" si="42"/>
        <v>0</v>
      </c>
      <c r="AQ166" s="264">
        <f t="shared" si="42"/>
        <v>0</v>
      </c>
      <c r="AR166" s="264">
        <f t="shared" si="42"/>
        <v>0</v>
      </c>
      <c r="AS166" s="264">
        <f t="shared" si="42"/>
        <v>0</v>
      </c>
      <c r="AT166" s="264">
        <f t="shared" si="42"/>
        <v>0</v>
      </c>
      <c r="AU166" s="264">
        <f t="shared" si="42"/>
        <v>0</v>
      </c>
      <c r="AV166" s="264">
        <f t="shared" si="42"/>
        <v>0</v>
      </c>
      <c r="AW166" s="264">
        <f t="shared" si="42"/>
        <v>0</v>
      </c>
      <c r="AX166" s="264">
        <f t="shared" si="42"/>
        <v>0</v>
      </c>
      <c r="AY166" s="264">
        <f t="shared" si="42"/>
        <v>0</v>
      </c>
      <c r="AZ166" s="264">
        <f t="shared" si="42"/>
        <v>0</v>
      </c>
      <c r="BA166" s="264">
        <f t="shared" si="42"/>
        <v>0</v>
      </c>
      <c r="BB166" s="264">
        <f t="shared" si="42"/>
        <v>0</v>
      </c>
      <c r="BC166" s="839"/>
      <c r="BF166" s="680" t="s">
        <v>678</v>
      </c>
    </row>
    <row r="167" spans="1:58" ht="12.75" hidden="1" customHeight="1">
      <c r="E167" s="472">
        <v>15</v>
      </c>
      <c r="F167" s="3" t="str" cm="1">
        <f t="array" aca="1" ref="F167" ca="1">OFFSET(E167,-1,1)</f>
        <v>1</v>
      </c>
      <c r="H167" s="36" t="s">
        <v>679</v>
      </c>
      <c r="T167" s="365" t="b" cm="1">
        <f t="array" ref="T167">T166</f>
        <v>0</v>
      </c>
      <c r="X167" s="1075"/>
      <c r="Y167" s="1064"/>
      <c r="AB167" s="172" t="s">
        <v>680</v>
      </c>
      <c r="AC167" s="254" t="s">
        <v>612</v>
      </c>
      <c r="AD167" s="31" t="s">
        <v>534</v>
      </c>
      <c r="AE167" s="838"/>
      <c r="AF167" s="838"/>
      <c r="AG167" s="838"/>
      <c r="AH167" s="838"/>
      <c r="AI167" s="838"/>
      <c r="AJ167" s="838"/>
      <c r="AK167" s="838"/>
      <c r="AL167" s="838"/>
      <c r="AM167" s="838"/>
      <c r="AN167" s="838"/>
      <c r="AO167" s="838"/>
      <c r="AP167" s="838"/>
      <c r="AQ167" s="838"/>
      <c r="AR167" s="838"/>
      <c r="AS167" s="838"/>
      <c r="AT167" s="838"/>
      <c r="AU167" s="838"/>
      <c r="AV167" s="838"/>
      <c r="AW167" s="838"/>
      <c r="AX167" s="838"/>
      <c r="AY167" s="838"/>
      <c r="AZ167" s="838"/>
      <c r="BA167" s="838"/>
      <c r="BB167" s="838"/>
      <c r="BC167" s="839"/>
      <c r="BF167" s="680" t="s">
        <v>681</v>
      </c>
    </row>
    <row r="168" spans="1:58" ht="12.75" hidden="1" customHeight="1">
      <c r="E168" s="472">
        <v>15</v>
      </c>
      <c r="F168" s="3" t="str" cm="1">
        <f t="array" aca="1" ref="F168" ca="1">OFFSET(E168,-1,1)</f>
        <v>1</v>
      </c>
      <c r="H168" s="36" t="s">
        <v>682</v>
      </c>
      <c r="T168" s="365" t="b" cm="1">
        <f t="array" ref="T168">T167</f>
        <v>0</v>
      </c>
      <c r="X168" s="1075"/>
      <c r="Y168" s="1064"/>
      <c r="AB168" s="172" t="s">
        <v>683</v>
      </c>
      <c r="AC168" s="254" t="s">
        <v>616</v>
      </c>
      <c r="AD168" s="31" t="s">
        <v>534</v>
      </c>
      <c r="AE168" s="838"/>
      <c r="AF168" s="838"/>
      <c r="AG168" s="838"/>
      <c r="AH168" s="838"/>
      <c r="AI168" s="838"/>
      <c r="AJ168" s="838"/>
      <c r="AK168" s="838"/>
      <c r="AL168" s="838"/>
      <c r="AM168" s="838"/>
      <c r="AN168" s="838"/>
      <c r="AO168" s="838"/>
      <c r="AP168" s="838"/>
      <c r="AQ168" s="838"/>
      <c r="AR168" s="838"/>
      <c r="AS168" s="838"/>
      <c r="AT168" s="838"/>
      <c r="AU168" s="838"/>
      <c r="AV168" s="838"/>
      <c r="AW168" s="838"/>
      <c r="AX168" s="838"/>
      <c r="AY168" s="838"/>
      <c r="AZ168" s="838"/>
      <c r="BA168" s="838"/>
      <c r="BB168" s="838"/>
      <c r="BC168" s="839"/>
      <c r="BF168" s="680" t="s">
        <v>684</v>
      </c>
    </row>
    <row r="169" spans="1:58" ht="23.25" hidden="1" customHeight="1">
      <c r="E169" s="472">
        <v>22.5</v>
      </c>
      <c r="F169" s="3" t="str" cm="1">
        <f t="array" aca="1" ref="F169" ca="1">OFFSET(E169,-1,1)</f>
        <v>1</v>
      </c>
      <c r="H169" s="36" t="s">
        <v>562</v>
      </c>
      <c r="I169" s="327"/>
      <c r="J169" s="327"/>
      <c r="T169" s="365" t="b" cm="1">
        <f t="array" ref="T169">T168</f>
        <v>0</v>
      </c>
      <c r="X169" s="1075"/>
      <c r="Y169" s="1064"/>
      <c r="AB169" s="172" t="s">
        <v>447</v>
      </c>
      <c r="AC169" s="255" t="s">
        <v>655</v>
      </c>
      <c r="AD169" s="31" t="s">
        <v>534</v>
      </c>
      <c r="AE169" s="838"/>
      <c r="AF169" s="838"/>
      <c r="AG169" s="838"/>
      <c r="AH169" s="838"/>
      <c r="AI169" s="838"/>
      <c r="AJ169" s="838"/>
      <c r="AK169" s="838"/>
      <c r="AL169" s="838"/>
      <c r="AM169" s="838"/>
      <c r="AN169" s="838"/>
      <c r="AO169" s="838"/>
      <c r="AP169" s="838"/>
      <c r="AQ169" s="838"/>
      <c r="AR169" s="838"/>
      <c r="AS169" s="838"/>
      <c r="AT169" s="838"/>
      <c r="AU169" s="838"/>
      <c r="AV169" s="838"/>
      <c r="AW169" s="838"/>
      <c r="AX169" s="838"/>
      <c r="AY169" s="838"/>
      <c r="AZ169" s="838"/>
      <c r="BA169" s="838"/>
      <c r="BB169" s="838"/>
      <c r="BC169" s="839"/>
      <c r="BF169" s="680" t="s">
        <v>685</v>
      </c>
    </row>
    <row r="170" spans="1:58" ht="12.75" hidden="1" customHeight="1">
      <c r="E170" s="472">
        <v>15</v>
      </c>
      <c r="F170" s="266" t="str" cm="1">
        <f t="array" aca="1" ref="F170" ca="1">OFFSET(E170,-1,1)</f>
        <v>1</v>
      </c>
      <c r="T170" s="365" t="b" cm="1">
        <f t="array" ref="T170">T169</f>
        <v>0</v>
      </c>
      <c r="X170" s="1075"/>
      <c r="Y170" s="1064"/>
      <c r="AB170" s="172" t="s">
        <v>657</v>
      </c>
      <c r="AC170" s="252" t="s">
        <v>658</v>
      </c>
      <c r="AD170" s="31" t="s">
        <v>534</v>
      </c>
      <c r="AE170" s="838"/>
      <c r="AF170" s="838"/>
      <c r="AG170" s="838"/>
      <c r="AH170" s="838"/>
      <c r="AI170" s="838"/>
      <c r="AJ170" s="838"/>
      <c r="AK170" s="838"/>
      <c r="AL170" s="838"/>
      <c r="AM170" s="838"/>
      <c r="AN170" s="838"/>
      <c r="AO170" s="838"/>
      <c r="AP170" s="838"/>
      <c r="AQ170" s="838"/>
      <c r="AR170" s="838"/>
      <c r="AS170" s="838"/>
      <c r="AT170" s="838"/>
      <c r="AU170" s="838"/>
      <c r="AV170" s="838"/>
      <c r="AW170" s="838"/>
      <c r="AX170" s="838"/>
      <c r="AY170" s="838"/>
      <c r="AZ170" s="838"/>
      <c r="BA170" s="838"/>
      <c r="BB170" s="838"/>
      <c r="BC170" s="839"/>
      <c r="BF170" s="680" t="s">
        <v>686</v>
      </c>
    </row>
    <row r="171" spans="1:58" ht="11.25" hidden="1" customHeight="1">
      <c r="A171" s="327"/>
      <c r="B171" s="490"/>
      <c r="C171" s="327"/>
      <c r="D171" s="327"/>
      <c r="E171" s="491" t="s">
        <v>366</v>
      </c>
      <c r="F171" s="774" t="str" cm="1">
        <f t="array" aca="1" ref="F171" ca="1">OFFSET(E171,-1,1)</f>
        <v>1</v>
      </c>
      <c r="G171" s="327"/>
      <c r="H171" s="327"/>
      <c r="I171"/>
      <c r="J171"/>
      <c r="L171" s="327"/>
      <c r="M171" s="327"/>
      <c r="N171" s="327"/>
      <c r="O171" s="327"/>
      <c r="T171" s="365" t="b">
        <v>0</v>
      </c>
      <c r="V171" s="327"/>
      <c r="X171" s="1075"/>
      <c r="Y171" s="1064"/>
      <c r="Z171" s="327"/>
      <c r="AA171" s="327"/>
      <c r="AB171"/>
      <c r="AC171" s="37"/>
      <c r="AD171" s="37"/>
      <c r="AE171" s="262"/>
      <c r="AF171" s="262"/>
      <c r="AG171" s="262"/>
      <c r="AH171" s="262"/>
      <c r="AI171" s="262"/>
      <c r="AJ171" s="263"/>
      <c r="AK171" s="262"/>
      <c r="AL171" s="262"/>
      <c r="AM171" s="262"/>
      <c r="AN171" s="262"/>
      <c r="AO171" s="262"/>
      <c r="AP171" s="262"/>
      <c r="AQ171" s="262"/>
      <c r="AR171" s="262"/>
      <c r="AS171" s="262"/>
      <c r="AT171" s="262"/>
      <c r="AU171" s="262"/>
      <c r="AV171" s="262"/>
      <c r="AW171" s="262"/>
      <c r="AX171" s="262"/>
      <c r="AY171" s="262"/>
      <c r="AZ171" s="262"/>
      <c r="BA171" s="262"/>
      <c r="BB171" s="262"/>
      <c r="BC171"/>
      <c r="BD171"/>
      <c r="BE171"/>
      <c r="BF171" s="670"/>
    </row>
    <row r="172" spans="1:58" ht="12.75" hidden="1" customHeight="1">
      <c r="E172" s="472">
        <v>15</v>
      </c>
      <c r="F172" s="3" t="str" cm="1">
        <f t="array" aca="1" ref="F172" ca="1">OFFSET(E172,-1,1)</f>
        <v>1</v>
      </c>
      <c r="R172" s="327" t="b" cm="1">
        <f t="array" ref="R172">INDEX('Общие сведения'!$AN$179:$AN$222,MATCH($X118,'Общие сведения'!$Z$179:$Z$222,0))</f>
        <v>0</v>
      </c>
      <c r="S172" s="327" t="b">
        <f>IF(ISERROR(SEARCH("Водоотведение",AB118)),FALSE,TRUE)</f>
        <v>0</v>
      </c>
      <c r="T172" s="365" t="b">
        <f>AND(X118&gt;0,S172,NOT(R172))</f>
        <v>0</v>
      </c>
      <c r="X172" s="1075"/>
      <c r="Y172" s="1064"/>
      <c r="AB172" s="172" t="s">
        <v>275</v>
      </c>
      <c r="AC172" s="72" t="s">
        <v>687</v>
      </c>
      <c r="AD172" s="129"/>
      <c r="AE172" s="427" t="str" cm="1">
        <f t="array" ref="AE172">INDEX('Общие сведения'!$AH$179:$AH$222,MATCH($X118,'Общие сведения'!$Z$179:$Z$222,0))</f>
        <v>питьевая вода</v>
      </c>
      <c r="AF172" s="277"/>
      <c r="AG172" s="277"/>
      <c r="AH172" s="277"/>
      <c r="AI172" s="277"/>
      <c r="AJ172" s="277"/>
      <c r="AK172" s="277"/>
      <c r="AL172" s="277"/>
      <c r="AM172" s="277"/>
      <c r="AN172" s="277"/>
      <c r="AO172" s="277"/>
      <c r="AP172" s="277"/>
      <c r="AQ172" s="277"/>
      <c r="AR172" s="277"/>
      <c r="AS172" s="277"/>
      <c r="AT172" s="277"/>
      <c r="AU172" s="277"/>
      <c r="AV172" s="277"/>
      <c r="AW172" s="277"/>
      <c r="AX172" s="277"/>
      <c r="AY172" s="277"/>
      <c r="AZ172" s="277"/>
      <c r="BA172" s="277"/>
      <c r="BB172" s="278"/>
      <c r="BC172" s="839"/>
      <c r="BF172" s="680" t="s">
        <v>688</v>
      </c>
    </row>
    <row r="173" spans="1:58" ht="12.75" hidden="1" customHeight="1">
      <c r="E173" s="472">
        <v>15</v>
      </c>
      <c r="F173" s="3" t="str" cm="1">
        <f t="array" aca="1" ref="F173" ca="1">OFFSET(E173,-1,1)</f>
        <v>1</v>
      </c>
      <c r="H173" s="36" t="s">
        <v>331</v>
      </c>
      <c r="T173" s="365" t="b" cm="1">
        <f t="array" ref="T173">T172</f>
        <v>0</v>
      </c>
      <c r="X173" s="1075"/>
      <c r="Y173" s="1064"/>
      <c r="AB173" s="172" t="s">
        <v>285</v>
      </c>
      <c r="AC173" s="72" t="s">
        <v>689</v>
      </c>
      <c r="AD173" s="31" t="s">
        <v>534</v>
      </c>
      <c r="AE173" s="264">
        <f t="shared" ref="AE173:BB173" si="43">AE174+AE175+AE188</f>
        <v>0</v>
      </c>
      <c r="AF173" s="264">
        <f t="shared" si="43"/>
        <v>0</v>
      </c>
      <c r="AG173" s="264">
        <f t="shared" si="43"/>
        <v>0</v>
      </c>
      <c r="AH173" s="264">
        <f t="shared" si="43"/>
        <v>0</v>
      </c>
      <c r="AI173" s="264">
        <f t="shared" si="43"/>
        <v>0</v>
      </c>
      <c r="AJ173" s="264">
        <f t="shared" si="43"/>
        <v>0</v>
      </c>
      <c r="AK173" s="264">
        <f t="shared" si="43"/>
        <v>0</v>
      </c>
      <c r="AL173" s="264">
        <f t="shared" si="43"/>
        <v>0</v>
      </c>
      <c r="AM173" s="264">
        <f t="shared" si="43"/>
        <v>0</v>
      </c>
      <c r="AN173" s="264">
        <f t="shared" si="43"/>
        <v>0</v>
      </c>
      <c r="AO173" s="264">
        <f t="shared" si="43"/>
        <v>0</v>
      </c>
      <c r="AP173" s="264">
        <f t="shared" si="43"/>
        <v>0</v>
      </c>
      <c r="AQ173" s="264">
        <f t="shared" si="43"/>
        <v>0</v>
      </c>
      <c r="AR173" s="264">
        <f t="shared" si="43"/>
        <v>0</v>
      </c>
      <c r="AS173" s="264">
        <f t="shared" si="43"/>
        <v>0</v>
      </c>
      <c r="AT173" s="264">
        <f t="shared" si="43"/>
        <v>0</v>
      </c>
      <c r="AU173" s="264">
        <f t="shared" si="43"/>
        <v>0</v>
      </c>
      <c r="AV173" s="264">
        <f t="shared" si="43"/>
        <v>0</v>
      </c>
      <c r="AW173" s="264">
        <f t="shared" si="43"/>
        <v>0</v>
      </c>
      <c r="AX173" s="264">
        <f t="shared" si="43"/>
        <v>0</v>
      </c>
      <c r="AY173" s="264">
        <f t="shared" si="43"/>
        <v>0</v>
      </c>
      <c r="AZ173" s="264">
        <f t="shared" si="43"/>
        <v>0</v>
      </c>
      <c r="BA173" s="264">
        <f t="shared" si="43"/>
        <v>0</v>
      </c>
      <c r="BB173" s="264">
        <f t="shared" si="43"/>
        <v>0</v>
      </c>
      <c r="BC173" s="839"/>
      <c r="BF173" s="680" t="s">
        <v>690</v>
      </c>
    </row>
    <row r="174" spans="1:58" ht="12.75" hidden="1" customHeight="1">
      <c r="E174" s="472">
        <v>15</v>
      </c>
      <c r="F174" s="3" t="str" cm="1">
        <f t="array" aca="1" ref="F174" ca="1">OFFSET(E174,-1,1)</f>
        <v>1</v>
      </c>
      <c r="G174" s="36" t="str">
        <f>IF(OwnNeedsInPO="да","ПО","")</f>
        <v/>
      </c>
      <c r="H174" s="36" t="s">
        <v>330</v>
      </c>
      <c r="T174" s="365" t="b" cm="1">
        <f t="array" ref="T174">T173</f>
        <v>0</v>
      </c>
      <c r="X174" s="1075"/>
      <c r="Y174" s="1064"/>
      <c r="AB174" s="172" t="s">
        <v>325</v>
      </c>
      <c r="AC174" s="72" t="s">
        <v>691</v>
      </c>
      <c r="AD174" s="31" t="s">
        <v>534</v>
      </c>
      <c r="AE174" s="838"/>
      <c r="AF174" s="838"/>
      <c r="AG174" s="838"/>
      <c r="AH174" s="838"/>
      <c r="AI174" s="838"/>
      <c r="AJ174" s="838"/>
      <c r="AK174" s="838"/>
      <c r="AL174" s="838"/>
      <c r="AM174" s="838"/>
      <c r="AN174" s="838"/>
      <c r="AO174" s="838"/>
      <c r="AP174" s="838"/>
      <c r="AQ174" s="838"/>
      <c r="AR174" s="838"/>
      <c r="AS174" s="838"/>
      <c r="AT174" s="838"/>
      <c r="AU174" s="838"/>
      <c r="AV174" s="838"/>
      <c r="AW174" s="838"/>
      <c r="AX174" s="838"/>
      <c r="AY174" s="838"/>
      <c r="AZ174" s="838"/>
      <c r="BA174" s="838"/>
      <c r="BB174" s="838"/>
      <c r="BC174" s="839"/>
      <c r="BF174" s="680" t="s">
        <v>692</v>
      </c>
    </row>
    <row r="175" spans="1:58" ht="12.75" hidden="1" customHeight="1">
      <c r="E175" s="472">
        <v>15</v>
      </c>
      <c r="F175" s="3" t="str" cm="1">
        <f t="array" aca="1" ref="F175" ca="1">OFFSET(E175,-1,1)</f>
        <v>1</v>
      </c>
      <c r="G175" s="36" t="s">
        <v>605</v>
      </c>
      <c r="H175" s="36" t="s">
        <v>511</v>
      </c>
      <c r="T175" s="365" t="b" cm="1">
        <f t="array" ref="T175">T174</f>
        <v>0</v>
      </c>
      <c r="X175" s="1075"/>
      <c r="Y175" s="1064"/>
      <c r="AB175" s="172" t="s">
        <v>433</v>
      </c>
      <c r="AC175" s="73" t="s">
        <v>693</v>
      </c>
      <c r="AD175" s="31" t="s">
        <v>534</v>
      </c>
      <c r="AE175" s="264">
        <f t="shared" ref="AE175:BB175" si="44">AE176+AE179+AE182+AE185</f>
        <v>0</v>
      </c>
      <c r="AF175" s="264">
        <f t="shared" si="44"/>
        <v>0</v>
      </c>
      <c r="AG175" s="264">
        <f t="shared" si="44"/>
        <v>0</v>
      </c>
      <c r="AH175" s="264">
        <f t="shared" si="44"/>
        <v>0</v>
      </c>
      <c r="AI175" s="264">
        <f t="shared" si="44"/>
        <v>0</v>
      </c>
      <c r="AJ175" s="264">
        <f t="shared" si="44"/>
        <v>0</v>
      </c>
      <c r="AK175" s="264">
        <f t="shared" si="44"/>
        <v>0</v>
      </c>
      <c r="AL175" s="264">
        <f t="shared" si="44"/>
        <v>0</v>
      </c>
      <c r="AM175" s="264">
        <f t="shared" si="44"/>
        <v>0</v>
      </c>
      <c r="AN175" s="264">
        <f t="shared" si="44"/>
        <v>0</v>
      </c>
      <c r="AO175" s="264">
        <f t="shared" si="44"/>
        <v>0</v>
      </c>
      <c r="AP175" s="264">
        <f t="shared" si="44"/>
        <v>0</v>
      </c>
      <c r="AQ175" s="264">
        <f t="shared" si="44"/>
        <v>0</v>
      </c>
      <c r="AR175" s="264">
        <f t="shared" si="44"/>
        <v>0</v>
      </c>
      <c r="AS175" s="264">
        <f t="shared" si="44"/>
        <v>0</v>
      </c>
      <c r="AT175" s="264">
        <f t="shared" si="44"/>
        <v>0</v>
      </c>
      <c r="AU175" s="264">
        <f t="shared" si="44"/>
        <v>0</v>
      </c>
      <c r="AV175" s="264">
        <f t="shared" si="44"/>
        <v>0</v>
      </c>
      <c r="AW175" s="264">
        <f t="shared" si="44"/>
        <v>0</v>
      </c>
      <c r="AX175" s="264">
        <f t="shared" si="44"/>
        <v>0</v>
      </c>
      <c r="AY175" s="264">
        <f t="shared" si="44"/>
        <v>0</v>
      </c>
      <c r="AZ175" s="264">
        <f t="shared" si="44"/>
        <v>0</v>
      </c>
      <c r="BA175" s="264">
        <f t="shared" si="44"/>
        <v>0</v>
      </c>
      <c r="BB175" s="264">
        <f t="shared" si="44"/>
        <v>0</v>
      </c>
      <c r="BC175" s="839"/>
      <c r="BF175" s="680" t="s">
        <v>694</v>
      </c>
    </row>
    <row r="176" spans="1:58" ht="12.75" hidden="1" customHeight="1">
      <c r="E176" s="472">
        <v>15</v>
      </c>
      <c r="F176" s="3" t="str" cm="1">
        <f t="array" aca="1" ref="F176" ca="1">OFFSET(E176,-1,1)</f>
        <v>1</v>
      </c>
      <c r="H176" s="36" t="s">
        <v>672</v>
      </c>
      <c r="T176" s="365" t="b" cm="1">
        <f t="array" ref="T176">T175</f>
        <v>0</v>
      </c>
      <c r="X176" s="1075"/>
      <c r="Y176" s="1064"/>
      <c r="AB176" s="172" t="s">
        <v>673</v>
      </c>
      <c r="AC176" s="124" t="s">
        <v>624</v>
      </c>
      <c r="AD176" s="31" t="s">
        <v>534</v>
      </c>
      <c r="AE176" s="264">
        <f t="shared" ref="AE176:BB176" si="45">AE177+AE178</f>
        <v>0</v>
      </c>
      <c r="AF176" s="264">
        <f t="shared" si="45"/>
        <v>0</v>
      </c>
      <c r="AG176" s="264">
        <f t="shared" si="45"/>
        <v>0</v>
      </c>
      <c r="AH176" s="264">
        <f t="shared" si="45"/>
        <v>0</v>
      </c>
      <c r="AI176" s="264">
        <f t="shared" si="45"/>
        <v>0</v>
      </c>
      <c r="AJ176" s="264">
        <f t="shared" si="45"/>
        <v>0</v>
      </c>
      <c r="AK176" s="264">
        <f t="shared" si="45"/>
        <v>0</v>
      </c>
      <c r="AL176" s="264">
        <f t="shared" si="45"/>
        <v>0</v>
      </c>
      <c r="AM176" s="264">
        <f t="shared" si="45"/>
        <v>0</v>
      </c>
      <c r="AN176" s="264">
        <f t="shared" si="45"/>
        <v>0</v>
      </c>
      <c r="AO176" s="264">
        <f t="shared" si="45"/>
        <v>0</v>
      </c>
      <c r="AP176" s="264">
        <f t="shared" si="45"/>
        <v>0</v>
      </c>
      <c r="AQ176" s="264">
        <f t="shared" si="45"/>
        <v>0</v>
      </c>
      <c r="AR176" s="264">
        <f t="shared" si="45"/>
        <v>0</v>
      </c>
      <c r="AS176" s="264">
        <f t="shared" si="45"/>
        <v>0</v>
      </c>
      <c r="AT176" s="264">
        <f t="shared" si="45"/>
        <v>0</v>
      </c>
      <c r="AU176" s="264">
        <f t="shared" si="45"/>
        <v>0</v>
      </c>
      <c r="AV176" s="264">
        <f t="shared" si="45"/>
        <v>0</v>
      </c>
      <c r="AW176" s="264">
        <f t="shared" si="45"/>
        <v>0</v>
      </c>
      <c r="AX176" s="264">
        <f t="shared" si="45"/>
        <v>0</v>
      </c>
      <c r="AY176" s="264">
        <f t="shared" si="45"/>
        <v>0</v>
      </c>
      <c r="AZ176" s="264">
        <f t="shared" si="45"/>
        <v>0</v>
      </c>
      <c r="BA176" s="264">
        <f t="shared" si="45"/>
        <v>0</v>
      </c>
      <c r="BB176" s="264">
        <f t="shared" si="45"/>
        <v>0</v>
      </c>
      <c r="BC176" s="839"/>
      <c r="BF176" s="680" t="s">
        <v>695</v>
      </c>
    </row>
    <row r="177" spans="5:58" ht="12.75" hidden="1" customHeight="1">
      <c r="E177" s="472">
        <v>15</v>
      </c>
      <c r="F177" s="3" t="str" cm="1">
        <f t="array" aca="1" ref="F177" ca="1">OFFSET(E177,-1,1)</f>
        <v>1</v>
      </c>
      <c r="H177" s="36" t="s">
        <v>696</v>
      </c>
      <c r="T177" s="365" t="b" cm="1">
        <f t="array" ref="T177">T176</f>
        <v>0</v>
      </c>
      <c r="X177" s="1075"/>
      <c r="Y177" s="1064"/>
      <c r="AB177" s="172" t="s">
        <v>697</v>
      </c>
      <c r="AC177" s="256" t="s">
        <v>612</v>
      </c>
      <c r="AD177" s="31" t="s">
        <v>534</v>
      </c>
      <c r="AE177" s="838"/>
      <c r="AF177" s="838"/>
      <c r="AG177" s="838"/>
      <c r="AH177" s="838"/>
      <c r="AI177" s="838"/>
      <c r="AJ177" s="838"/>
      <c r="AK177" s="838"/>
      <c r="AL177" s="838"/>
      <c r="AM177" s="838"/>
      <c r="AN177" s="838"/>
      <c r="AO177" s="838"/>
      <c r="AP177" s="838"/>
      <c r="AQ177" s="838"/>
      <c r="AR177" s="838"/>
      <c r="AS177" s="838"/>
      <c r="AT177" s="838"/>
      <c r="AU177" s="838"/>
      <c r="AV177" s="838"/>
      <c r="AW177" s="838"/>
      <c r="AX177" s="838"/>
      <c r="AY177" s="838"/>
      <c r="AZ177" s="838"/>
      <c r="BA177" s="838"/>
      <c r="BB177" s="838"/>
      <c r="BC177" s="839"/>
      <c r="BF177" s="680" t="s">
        <v>698</v>
      </c>
    </row>
    <row r="178" spans="5:58" ht="12.75" hidden="1" customHeight="1">
      <c r="E178" s="472">
        <v>15</v>
      </c>
      <c r="F178" s="3" t="str" cm="1">
        <f t="array" aca="1" ref="F178" ca="1">OFFSET(E178,-1,1)</f>
        <v>1</v>
      </c>
      <c r="H178" s="36" t="s">
        <v>699</v>
      </c>
      <c r="T178" s="365" t="b" cm="1">
        <f t="array" ref="T178">T177</f>
        <v>0</v>
      </c>
      <c r="X178" s="1075"/>
      <c r="Y178" s="1064"/>
      <c r="AB178" s="172" t="s">
        <v>700</v>
      </c>
      <c r="AC178" s="256" t="s">
        <v>616</v>
      </c>
      <c r="AD178" s="31" t="s">
        <v>534</v>
      </c>
      <c r="AE178" s="838"/>
      <c r="AF178" s="838"/>
      <c r="AG178" s="838"/>
      <c r="AH178" s="838"/>
      <c r="AI178" s="838"/>
      <c r="AJ178" s="838"/>
      <c r="AK178" s="838"/>
      <c r="AL178" s="838"/>
      <c r="AM178" s="838"/>
      <c r="AN178" s="838"/>
      <c r="AO178" s="838"/>
      <c r="AP178" s="838"/>
      <c r="AQ178" s="838"/>
      <c r="AR178" s="838"/>
      <c r="AS178" s="838"/>
      <c r="AT178" s="838"/>
      <c r="AU178" s="838"/>
      <c r="AV178" s="838"/>
      <c r="AW178" s="838"/>
      <c r="AX178" s="838"/>
      <c r="AY178" s="838"/>
      <c r="AZ178" s="838"/>
      <c r="BA178" s="838"/>
      <c r="BB178" s="838"/>
      <c r="BC178" s="839"/>
      <c r="BF178" s="680" t="s">
        <v>701</v>
      </c>
    </row>
    <row r="179" spans="5:58" ht="12.75" hidden="1" customHeight="1">
      <c r="E179" s="472">
        <v>15</v>
      </c>
      <c r="F179" s="3" t="str" cm="1">
        <f t="array" aca="1" ref="F179" ca="1">OFFSET(E179,-1,1)</f>
        <v>1</v>
      </c>
      <c r="G179" s="36" t="s">
        <v>632</v>
      </c>
      <c r="H179" s="36" t="s">
        <v>675</v>
      </c>
      <c r="T179" s="365" t="b" cm="1">
        <f t="array" ref="T179">T178</f>
        <v>0</v>
      </c>
      <c r="X179" s="1075"/>
      <c r="Y179" s="1064"/>
      <c r="AB179" s="172" t="s">
        <v>676</v>
      </c>
      <c r="AC179" s="124" t="s">
        <v>635</v>
      </c>
      <c r="AD179" s="31" t="s">
        <v>534</v>
      </c>
      <c r="AE179" s="264">
        <f t="shared" ref="AE179:BB179" si="46">AE180+AE181</f>
        <v>0</v>
      </c>
      <c r="AF179" s="264">
        <f t="shared" si="46"/>
        <v>0</v>
      </c>
      <c r="AG179" s="264">
        <f t="shared" si="46"/>
        <v>0</v>
      </c>
      <c r="AH179" s="264">
        <f t="shared" si="46"/>
        <v>0</v>
      </c>
      <c r="AI179" s="264">
        <f t="shared" si="46"/>
        <v>0</v>
      </c>
      <c r="AJ179" s="264">
        <f t="shared" si="46"/>
        <v>0</v>
      </c>
      <c r="AK179" s="264">
        <f t="shared" si="46"/>
        <v>0</v>
      </c>
      <c r="AL179" s="264">
        <f t="shared" si="46"/>
        <v>0</v>
      </c>
      <c r="AM179" s="264">
        <f t="shared" si="46"/>
        <v>0</v>
      </c>
      <c r="AN179" s="264">
        <f t="shared" si="46"/>
        <v>0</v>
      </c>
      <c r="AO179" s="264">
        <f t="shared" si="46"/>
        <v>0</v>
      </c>
      <c r="AP179" s="264">
        <f t="shared" si="46"/>
        <v>0</v>
      </c>
      <c r="AQ179" s="264">
        <f t="shared" si="46"/>
        <v>0</v>
      </c>
      <c r="AR179" s="264">
        <f t="shared" si="46"/>
        <v>0</v>
      </c>
      <c r="AS179" s="264">
        <f t="shared" si="46"/>
        <v>0</v>
      </c>
      <c r="AT179" s="264">
        <f t="shared" si="46"/>
        <v>0</v>
      </c>
      <c r="AU179" s="264">
        <f t="shared" si="46"/>
        <v>0</v>
      </c>
      <c r="AV179" s="264">
        <f t="shared" si="46"/>
        <v>0</v>
      </c>
      <c r="AW179" s="264">
        <f t="shared" si="46"/>
        <v>0</v>
      </c>
      <c r="AX179" s="264">
        <f t="shared" si="46"/>
        <v>0</v>
      </c>
      <c r="AY179" s="264">
        <f t="shared" si="46"/>
        <v>0</v>
      </c>
      <c r="AZ179" s="264">
        <f t="shared" si="46"/>
        <v>0</v>
      </c>
      <c r="BA179" s="264">
        <f t="shared" si="46"/>
        <v>0</v>
      </c>
      <c r="BB179" s="264">
        <f t="shared" si="46"/>
        <v>0</v>
      </c>
      <c r="BC179" s="839"/>
      <c r="BF179" s="680" t="s">
        <v>702</v>
      </c>
    </row>
    <row r="180" spans="5:58" ht="12.75" hidden="1" customHeight="1">
      <c r="E180" s="472">
        <v>15</v>
      </c>
      <c r="F180" s="3" t="str" cm="1">
        <f t="array" aca="1" ref="F180" ca="1">OFFSET(E180,-1,1)</f>
        <v>1</v>
      </c>
      <c r="H180" s="36" t="s">
        <v>703</v>
      </c>
      <c r="T180" s="365" t="b" cm="1">
        <f t="array" ref="T180">T179</f>
        <v>0</v>
      </c>
      <c r="X180" s="1075"/>
      <c r="Y180" s="1064"/>
      <c r="AB180" s="172" t="s">
        <v>704</v>
      </c>
      <c r="AC180" s="256" t="s">
        <v>612</v>
      </c>
      <c r="AD180" s="31" t="s">
        <v>534</v>
      </c>
      <c r="AE180" s="838"/>
      <c r="AF180" s="838"/>
      <c r="AG180" s="838"/>
      <c r="AH180" s="838"/>
      <c r="AI180" s="838"/>
      <c r="AJ180" s="838"/>
      <c r="AK180" s="838"/>
      <c r="AL180" s="838"/>
      <c r="AM180" s="838"/>
      <c r="AN180" s="838"/>
      <c r="AO180" s="838"/>
      <c r="AP180" s="838"/>
      <c r="AQ180" s="838"/>
      <c r="AR180" s="838"/>
      <c r="AS180" s="838"/>
      <c r="AT180" s="838"/>
      <c r="AU180" s="838"/>
      <c r="AV180" s="838"/>
      <c r="AW180" s="838"/>
      <c r="AX180" s="838"/>
      <c r="AY180" s="838"/>
      <c r="AZ180" s="838"/>
      <c r="BA180" s="838"/>
      <c r="BB180" s="838"/>
      <c r="BC180" s="839"/>
      <c r="BF180" s="680" t="s">
        <v>705</v>
      </c>
    </row>
    <row r="181" spans="5:58" ht="12.75" hidden="1" customHeight="1">
      <c r="E181" s="472">
        <v>15</v>
      </c>
      <c r="F181" s="3" t="str" cm="1">
        <f t="array" aca="1" ref="F181" ca="1">OFFSET(E181,-1,1)</f>
        <v>1</v>
      </c>
      <c r="H181" s="36" t="s">
        <v>706</v>
      </c>
      <c r="T181" s="365" t="b" cm="1">
        <f t="array" ref="T181">T180</f>
        <v>0</v>
      </c>
      <c r="X181" s="1075"/>
      <c r="Y181" s="1064"/>
      <c r="AB181" s="172" t="s">
        <v>707</v>
      </c>
      <c r="AC181" s="256" t="s">
        <v>616</v>
      </c>
      <c r="AD181" s="31" t="s">
        <v>534</v>
      </c>
      <c r="AE181" s="838"/>
      <c r="AF181" s="838"/>
      <c r="AG181" s="838"/>
      <c r="AH181" s="838"/>
      <c r="AI181" s="838"/>
      <c r="AJ181" s="838"/>
      <c r="AK181" s="838"/>
      <c r="AL181" s="838"/>
      <c r="AM181" s="838"/>
      <c r="AN181" s="838"/>
      <c r="AO181" s="838"/>
      <c r="AP181" s="838"/>
      <c r="AQ181" s="838"/>
      <c r="AR181" s="838"/>
      <c r="AS181" s="838"/>
      <c r="AT181" s="838"/>
      <c r="AU181" s="838"/>
      <c r="AV181" s="838"/>
      <c r="AW181" s="838"/>
      <c r="AX181" s="838"/>
      <c r="AY181" s="838"/>
      <c r="AZ181" s="838"/>
      <c r="BA181" s="838"/>
      <c r="BB181" s="838"/>
      <c r="BC181" s="839"/>
      <c r="BF181" s="680" t="s">
        <v>708</v>
      </c>
    </row>
    <row r="182" spans="5:58" ht="12.75" hidden="1" customHeight="1">
      <c r="E182" s="472">
        <v>15</v>
      </c>
      <c r="F182" s="3" t="str" cm="1">
        <f t="array" aca="1" ref="F182" ca="1">OFFSET(E182,-1,1)</f>
        <v>1</v>
      </c>
      <c r="H182" s="36" t="s">
        <v>709</v>
      </c>
      <c r="T182" s="365" t="b" cm="1">
        <f t="array" ref="T182">T181</f>
        <v>0</v>
      </c>
      <c r="X182" s="1075"/>
      <c r="Y182" s="1064"/>
      <c r="AB182" s="172" t="s">
        <v>710</v>
      </c>
      <c r="AC182" s="124" t="s">
        <v>645</v>
      </c>
      <c r="AD182" s="31" t="s">
        <v>534</v>
      </c>
      <c r="AE182" s="264">
        <f t="shared" ref="AE182:BB182" si="47">AE183+AE184</f>
        <v>0</v>
      </c>
      <c r="AF182" s="264">
        <f t="shared" si="47"/>
        <v>0</v>
      </c>
      <c r="AG182" s="264">
        <f t="shared" si="47"/>
        <v>0</v>
      </c>
      <c r="AH182" s="264">
        <f t="shared" si="47"/>
        <v>0</v>
      </c>
      <c r="AI182" s="264">
        <f t="shared" si="47"/>
        <v>0</v>
      </c>
      <c r="AJ182" s="264">
        <f t="shared" si="47"/>
        <v>0</v>
      </c>
      <c r="AK182" s="264">
        <f t="shared" si="47"/>
        <v>0</v>
      </c>
      <c r="AL182" s="264">
        <f t="shared" si="47"/>
        <v>0</v>
      </c>
      <c r="AM182" s="264">
        <f t="shared" si="47"/>
        <v>0</v>
      </c>
      <c r="AN182" s="264">
        <f t="shared" si="47"/>
        <v>0</v>
      </c>
      <c r="AO182" s="264">
        <f t="shared" si="47"/>
        <v>0</v>
      </c>
      <c r="AP182" s="264">
        <f t="shared" si="47"/>
        <v>0</v>
      </c>
      <c r="AQ182" s="264">
        <f t="shared" si="47"/>
        <v>0</v>
      </c>
      <c r="AR182" s="264">
        <f t="shared" si="47"/>
        <v>0</v>
      </c>
      <c r="AS182" s="264">
        <f t="shared" si="47"/>
        <v>0</v>
      </c>
      <c r="AT182" s="264">
        <f t="shared" si="47"/>
        <v>0</v>
      </c>
      <c r="AU182" s="264">
        <f t="shared" si="47"/>
        <v>0</v>
      </c>
      <c r="AV182" s="264">
        <f t="shared" si="47"/>
        <v>0</v>
      </c>
      <c r="AW182" s="264">
        <f t="shared" si="47"/>
        <v>0</v>
      </c>
      <c r="AX182" s="264">
        <f t="shared" si="47"/>
        <v>0</v>
      </c>
      <c r="AY182" s="264">
        <f t="shared" si="47"/>
        <v>0</v>
      </c>
      <c r="AZ182" s="264">
        <f t="shared" si="47"/>
        <v>0</v>
      </c>
      <c r="BA182" s="264">
        <f t="shared" si="47"/>
        <v>0</v>
      </c>
      <c r="BB182" s="264">
        <f t="shared" si="47"/>
        <v>0</v>
      </c>
      <c r="BC182" s="839"/>
      <c r="BF182" s="680" t="s">
        <v>711</v>
      </c>
    </row>
    <row r="183" spans="5:58" ht="12.75" hidden="1" customHeight="1">
      <c r="E183" s="472">
        <v>15</v>
      </c>
      <c r="F183" s="3" t="str" cm="1">
        <f t="array" aca="1" ref="F183" ca="1">OFFSET(E183,-1,1)</f>
        <v>1</v>
      </c>
      <c r="H183" s="36" t="s">
        <v>712</v>
      </c>
      <c r="T183" s="365" t="b" cm="1">
        <f t="array" ref="T183">T182</f>
        <v>0</v>
      </c>
      <c r="X183" s="1075"/>
      <c r="Y183" s="1064"/>
      <c r="AB183" s="172" t="s">
        <v>713</v>
      </c>
      <c r="AC183" s="256" t="s">
        <v>612</v>
      </c>
      <c r="AD183" s="31" t="s">
        <v>534</v>
      </c>
      <c r="AE183" s="838"/>
      <c r="AF183" s="838"/>
      <c r="AG183" s="838"/>
      <c r="AH183" s="838"/>
      <c r="AI183" s="838"/>
      <c r="AJ183" s="838"/>
      <c r="AK183" s="838"/>
      <c r="AL183" s="838"/>
      <c r="AM183" s="838"/>
      <c r="AN183" s="838"/>
      <c r="AO183" s="838"/>
      <c r="AP183" s="838"/>
      <c r="AQ183" s="838"/>
      <c r="AR183" s="838"/>
      <c r="AS183" s="838"/>
      <c r="AT183" s="838"/>
      <c r="AU183" s="838"/>
      <c r="AV183" s="838"/>
      <c r="AW183" s="838"/>
      <c r="AX183" s="838"/>
      <c r="AY183" s="838"/>
      <c r="AZ183" s="838"/>
      <c r="BA183" s="838"/>
      <c r="BB183" s="838"/>
      <c r="BC183" s="839"/>
      <c r="BF183" s="680" t="s">
        <v>714</v>
      </c>
    </row>
    <row r="184" spans="5:58" ht="12.75" hidden="1" customHeight="1">
      <c r="E184" s="472">
        <v>15</v>
      </c>
      <c r="F184" s="3" t="str" cm="1">
        <f t="array" aca="1" ref="F184" ca="1">OFFSET(E184,-1,1)</f>
        <v>1</v>
      </c>
      <c r="H184" s="36" t="s">
        <v>715</v>
      </c>
      <c r="T184" s="365" t="b" cm="1">
        <f t="array" ref="T184">T183</f>
        <v>0</v>
      </c>
      <c r="X184" s="1075"/>
      <c r="Y184" s="1064"/>
      <c r="AB184" s="172" t="s">
        <v>716</v>
      </c>
      <c r="AC184" s="256" t="s">
        <v>616</v>
      </c>
      <c r="AD184" s="31" t="s">
        <v>534</v>
      </c>
      <c r="AE184" s="838"/>
      <c r="AF184" s="838"/>
      <c r="AG184" s="838"/>
      <c r="AH184" s="838"/>
      <c r="AI184" s="838"/>
      <c r="AJ184" s="838"/>
      <c r="AK184" s="838"/>
      <c r="AL184" s="838"/>
      <c r="AM184" s="838"/>
      <c r="AN184" s="838"/>
      <c r="AO184" s="838"/>
      <c r="AP184" s="838"/>
      <c r="AQ184" s="838"/>
      <c r="AR184" s="838"/>
      <c r="AS184" s="838"/>
      <c r="AT184" s="838"/>
      <c r="AU184" s="838"/>
      <c r="AV184" s="838"/>
      <c r="AW184" s="838"/>
      <c r="AX184" s="838"/>
      <c r="AY184" s="838"/>
      <c r="AZ184" s="838"/>
      <c r="BA184" s="838"/>
      <c r="BB184" s="838"/>
      <c r="BC184" s="839"/>
      <c r="BF184" s="680" t="s">
        <v>717</v>
      </c>
    </row>
    <row r="185" spans="5:58" ht="23.25" hidden="1" customHeight="1">
      <c r="E185" s="472">
        <v>15</v>
      </c>
      <c r="F185" s="3" t="str" cm="1">
        <f t="array" aca="1" ref="F185" ca="1">OFFSET(E185,-1,1)</f>
        <v>1</v>
      </c>
      <c r="H185" s="36" t="s">
        <v>718</v>
      </c>
      <c r="T185" s="365" t="b" cm="1">
        <f t="array" ref="T185">T184</f>
        <v>0</v>
      </c>
      <c r="X185" s="1075"/>
      <c r="Y185" s="1064"/>
      <c r="AB185" s="172" t="s">
        <v>719</v>
      </c>
      <c r="AC185" s="124" t="s">
        <v>720</v>
      </c>
      <c r="AD185" s="31" t="s">
        <v>534</v>
      </c>
      <c r="AE185" s="264">
        <f t="shared" ref="AE185:BB185" si="48">AE186+AE187</f>
        <v>0</v>
      </c>
      <c r="AF185" s="264">
        <f t="shared" si="48"/>
        <v>0</v>
      </c>
      <c r="AG185" s="264">
        <f t="shared" si="48"/>
        <v>0</v>
      </c>
      <c r="AH185" s="264">
        <f t="shared" si="48"/>
        <v>0</v>
      </c>
      <c r="AI185" s="264">
        <f t="shared" si="48"/>
        <v>0</v>
      </c>
      <c r="AJ185" s="264">
        <f t="shared" si="48"/>
        <v>0</v>
      </c>
      <c r="AK185" s="264">
        <f t="shared" si="48"/>
        <v>0</v>
      </c>
      <c r="AL185" s="264">
        <f t="shared" si="48"/>
        <v>0</v>
      </c>
      <c r="AM185" s="264">
        <f t="shared" si="48"/>
        <v>0</v>
      </c>
      <c r="AN185" s="264">
        <f t="shared" si="48"/>
        <v>0</v>
      </c>
      <c r="AO185" s="264">
        <f t="shared" si="48"/>
        <v>0</v>
      </c>
      <c r="AP185" s="264">
        <f t="shared" si="48"/>
        <v>0</v>
      </c>
      <c r="AQ185" s="264">
        <f t="shared" si="48"/>
        <v>0</v>
      </c>
      <c r="AR185" s="264">
        <f t="shared" si="48"/>
        <v>0</v>
      </c>
      <c r="AS185" s="264">
        <f t="shared" si="48"/>
        <v>0</v>
      </c>
      <c r="AT185" s="264">
        <f t="shared" si="48"/>
        <v>0</v>
      </c>
      <c r="AU185" s="264">
        <f t="shared" si="48"/>
        <v>0</v>
      </c>
      <c r="AV185" s="264">
        <f t="shared" si="48"/>
        <v>0</v>
      </c>
      <c r="AW185" s="264">
        <f t="shared" si="48"/>
        <v>0</v>
      </c>
      <c r="AX185" s="264">
        <f t="shared" si="48"/>
        <v>0</v>
      </c>
      <c r="AY185" s="264">
        <f t="shared" si="48"/>
        <v>0</v>
      </c>
      <c r="AZ185" s="264">
        <f t="shared" si="48"/>
        <v>0</v>
      </c>
      <c r="BA185" s="264">
        <f t="shared" si="48"/>
        <v>0</v>
      </c>
      <c r="BB185" s="264">
        <f t="shared" si="48"/>
        <v>0</v>
      </c>
      <c r="BC185" s="839"/>
      <c r="BF185" s="680" t="s">
        <v>721</v>
      </c>
    </row>
    <row r="186" spans="5:58" ht="12.75" hidden="1" customHeight="1">
      <c r="E186" s="472">
        <v>15</v>
      </c>
      <c r="F186" s="3" t="str" cm="1">
        <f t="array" aca="1" ref="F186" ca="1">OFFSET(E186,-1,1)</f>
        <v>1</v>
      </c>
      <c r="H186" s="36" t="s">
        <v>722</v>
      </c>
      <c r="T186" s="365" t="b" cm="1">
        <f t="array" ref="T186">T185</f>
        <v>0</v>
      </c>
      <c r="X186" s="1075"/>
      <c r="Y186" s="1064"/>
      <c r="AB186" s="172" t="s">
        <v>723</v>
      </c>
      <c r="AC186" s="250" t="s">
        <v>612</v>
      </c>
      <c r="AD186" s="31" t="s">
        <v>534</v>
      </c>
      <c r="AE186" s="838"/>
      <c r="AF186" s="838"/>
      <c r="AG186" s="838"/>
      <c r="AH186" s="838"/>
      <c r="AI186" s="838"/>
      <c r="AJ186" s="838"/>
      <c r="AK186" s="838"/>
      <c r="AL186" s="838"/>
      <c r="AM186" s="838"/>
      <c r="AN186" s="838"/>
      <c r="AO186" s="838"/>
      <c r="AP186" s="838"/>
      <c r="AQ186" s="838"/>
      <c r="AR186" s="838"/>
      <c r="AS186" s="838"/>
      <c r="AT186" s="838"/>
      <c r="AU186" s="838"/>
      <c r="AV186" s="838"/>
      <c r="AW186" s="838"/>
      <c r="AX186" s="838"/>
      <c r="AY186" s="838"/>
      <c r="AZ186" s="838"/>
      <c r="BA186" s="838"/>
      <c r="BB186" s="838"/>
      <c r="BC186" s="839"/>
      <c r="BF186" s="680" t="s">
        <v>724</v>
      </c>
    </row>
    <row r="187" spans="5:58" ht="12.75" hidden="1" customHeight="1">
      <c r="E187" s="472">
        <v>15</v>
      </c>
      <c r="F187" s="3" t="str" cm="1">
        <f t="array" aca="1" ref="F187" ca="1">OFFSET(E187,-1,1)</f>
        <v>1</v>
      </c>
      <c r="H187" s="36" t="s">
        <v>725</v>
      </c>
      <c r="T187" s="365" t="b" cm="1">
        <f t="array" ref="T187">T186</f>
        <v>0</v>
      </c>
      <c r="X187" s="1075"/>
      <c r="Y187" s="1064"/>
      <c r="AB187" s="172" t="s">
        <v>726</v>
      </c>
      <c r="AC187" s="250" t="s">
        <v>616</v>
      </c>
      <c r="AD187" s="31" t="s">
        <v>534</v>
      </c>
      <c r="AE187" s="838"/>
      <c r="AF187" s="838"/>
      <c r="AG187" s="838"/>
      <c r="AH187" s="838"/>
      <c r="AI187" s="838"/>
      <c r="AJ187" s="838"/>
      <c r="AK187" s="838"/>
      <c r="AL187" s="838"/>
      <c r="AM187" s="838"/>
      <c r="AN187" s="838"/>
      <c r="AO187" s="838"/>
      <c r="AP187" s="838"/>
      <c r="AQ187" s="838"/>
      <c r="AR187" s="838"/>
      <c r="AS187" s="838"/>
      <c r="AT187" s="838"/>
      <c r="AU187" s="838"/>
      <c r="AV187" s="838"/>
      <c r="AW187" s="838"/>
      <c r="AX187" s="838"/>
      <c r="AY187" s="838"/>
      <c r="AZ187" s="838"/>
      <c r="BA187" s="838"/>
      <c r="BB187" s="838"/>
      <c r="BC187" s="839"/>
      <c r="BF187" s="680" t="s">
        <v>727</v>
      </c>
    </row>
    <row r="188" spans="5:58" ht="23.25" hidden="1" customHeight="1">
      <c r="E188" s="472">
        <v>22.5</v>
      </c>
      <c r="F188" s="3" t="str" cm="1">
        <f t="array" aca="1" ref="F188" ca="1">OFFSET(E188,-1,1)</f>
        <v>1</v>
      </c>
      <c r="H188" s="36" t="s">
        <v>728</v>
      </c>
      <c r="T188" s="365" t="b" cm="1">
        <f t="array" ref="T188">T187</f>
        <v>0</v>
      </c>
      <c r="X188" s="1075"/>
      <c r="Y188" s="1064"/>
      <c r="AB188" s="172" t="s">
        <v>729</v>
      </c>
      <c r="AC188" s="257" t="s">
        <v>575</v>
      </c>
      <c r="AD188" s="31" t="s">
        <v>534</v>
      </c>
      <c r="AE188" s="838"/>
      <c r="AF188" s="838"/>
      <c r="AG188" s="838"/>
      <c r="AH188" s="838"/>
      <c r="AI188" s="838"/>
      <c r="AJ188" s="838"/>
      <c r="AK188" s="838"/>
      <c r="AL188" s="838"/>
      <c r="AM188" s="838"/>
      <c r="AN188" s="838"/>
      <c r="AO188" s="838"/>
      <c r="AP188" s="838"/>
      <c r="AQ188" s="838"/>
      <c r="AR188" s="838"/>
      <c r="AS188" s="838"/>
      <c r="AT188" s="838"/>
      <c r="AU188" s="838"/>
      <c r="AV188" s="838"/>
      <c r="AW188" s="838"/>
      <c r="AX188" s="838"/>
      <c r="AY188" s="838"/>
      <c r="AZ188" s="838"/>
      <c r="BA188" s="838"/>
      <c r="BB188" s="838"/>
      <c r="BC188" s="839"/>
      <c r="BF188" s="680" t="s">
        <v>730</v>
      </c>
    </row>
    <row r="189" spans="5:58" ht="12.75" hidden="1" customHeight="1">
      <c r="E189" s="472">
        <v>15</v>
      </c>
      <c r="F189" s="3" t="str" cm="1">
        <f t="array" aca="1" ref="F189" ca="1">OFFSET(E189,-1,1)</f>
        <v>1</v>
      </c>
      <c r="H189" s="36" t="s">
        <v>514</v>
      </c>
      <c r="T189" s="365" t="b" cm="1">
        <f t="array" ref="T189">T188</f>
        <v>0</v>
      </c>
      <c r="X189" s="1075"/>
      <c r="Y189" s="1064"/>
      <c r="AB189" s="172" t="s">
        <v>444</v>
      </c>
      <c r="AC189" s="72" t="s">
        <v>731</v>
      </c>
      <c r="AD189" s="31" t="s">
        <v>534</v>
      </c>
      <c r="AE189" s="838"/>
      <c r="AF189" s="838"/>
      <c r="AG189" s="838"/>
      <c r="AH189" s="838"/>
      <c r="AI189" s="838"/>
      <c r="AJ189" s="838"/>
      <c r="AK189" s="838"/>
      <c r="AL189" s="838"/>
      <c r="AM189" s="838"/>
      <c r="AN189" s="838"/>
      <c r="AO189" s="838"/>
      <c r="AP189" s="838"/>
      <c r="AQ189" s="838"/>
      <c r="AR189" s="838"/>
      <c r="AS189" s="838"/>
      <c r="AT189" s="838"/>
      <c r="AU189" s="838"/>
      <c r="AV189" s="838"/>
      <c r="AW189" s="838"/>
      <c r="AX189" s="838"/>
      <c r="AY189" s="838"/>
      <c r="AZ189" s="838"/>
      <c r="BA189" s="838"/>
      <c r="BB189" s="838"/>
      <c r="BC189" s="839"/>
      <c r="BF189" s="680" t="s">
        <v>732</v>
      </c>
    </row>
    <row r="190" spans="5:58" ht="23.25" hidden="1" customHeight="1">
      <c r="E190" s="472">
        <v>15</v>
      </c>
      <c r="F190" s="3" t="str" cm="1">
        <f t="array" aca="1" ref="F190" ca="1">OFFSET(E190,-1,1)</f>
        <v>1</v>
      </c>
      <c r="H190" s="36" t="s">
        <v>562</v>
      </c>
      <c r="T190" s="365" t="b" cm="1">
        <f t="array" ref="T190">T189</f>
        <v>0</v>
      </c>
      <c r="X190" s="1075"/>
      <c r="Y190" s="1064"/>
      <c r="AB190" s="172" t="s">
        <v>447</v>
      </c>
      <c r="AC190" s="72" t="s">
        <v>733</v>
      </c>
      <c r="AD190" s="31" t="s">
        <v>534</v>
      </c>
      <c r="AE190" s="838"/>
      <c r="AF190" s="838"/>
      <c r="AG190" s="838"/>
      <c r="AH190" s="838"/>
      <c r="AI190" s="838"/>
      <c r="AJ190" s="838"/>
      <c r="AK190" s="838"/>
      <c r="AL190" s="838"/>
      <c r="AM190" s="838"/>
      <c r="AN190" s="838"/>
      <c r="AO190" s="838"/>
      <c r="AP190" s="838"/>
      <c r="AQ190" s="838"/>
      <c r="AR190" s="838"/>
      <c r="AS190" s="838"/>
      <c r="AT190" s="838"/>
      <c r="AU190" s="838"/>
      <c r="AV190" s="838"/>
      <c r="AW190" s="838"/>
      <c r="AX190" s="838"/>
      <c r="AY190" s="838"/>
      <c r="AZ190" s="838"/>
      <c r="BA190" s="838"/>
      <c r="BB190" s="838"/>
      <c r="BC190" s="839"/>
      <c r="BF190" s="680" t="s">
        <v>734</v>
      </c>
    </row>
    <row r="191" spans="5:58" ht="23.25" hidden="1" customHeight="1">
      <c r="E191" s="472">
        <v>15</v>
      </c>
      <c r="F191" s="3" t="str" cm="1">
        <f t="array" aca="1" ref="F191" ca="1">OFFSET(E191,-1,1)</f>
        <v>1</v>
      </c>
      <c r="H191" s="36" t="s">
        <v>577</v>
      </c>
      <c r="T191" s="365" t="b" cm="1">
        <f t="array" ref="T191">T190</f>
        <v>0</v>
      </c>
      <c r="X191" s="1075"/>
      <c r="Y191" s="1064"/>
      <c r="AB191" s="172" t="s">
        <v>578</v>
      </c>
      <c r="AC191" s="72" t="s">
        <v>735</v>
      </c>
      <c r="AD191" s="31" t="s">
        <v>534</v>
      </c>
      <c r="AE191" s="838"/>
      <c r="AF191" s="838"/>
      <c r="AG191" s="838"/>
      <c r="AH191" s="838"/>
      <c r="AI191" s="838"/>
      <c r="AJ191" s="838"/>
      <c r="AK191" s="838"/>
      <c r="AL191" s="838"/>
      <c r="AM191" s="838"/>
      <c r="AN191" s="838"/>
      <c r="AO191" s="838"/>
      <c r="AP191" s="838"/>
      <c r="AQ191" s="838"/>
      <c r="AR191" s="838"/>
      <c r="AS191" s="838"/>
      <c r="AT191" s="838"/>
      <c r="AU191" s="838"/>
      <c r="AV191" s="838"/>
      <c r="AW191" s="838"/>
      <c r="AX191" s="838"/>
      <c r="AY191" s="838"/>
      <c r="AZ191" s="838"/>
      <c r="BA191" s="838"/>
      <c r="BB191" s="838"/>
      <c r="BC191" s="839"/>
      <c r="BF191" s="680" t="s">
        <v>736</v>
      </c>
    </row>
    <row r="192" spans="5:58" ht="12.75" hidden="1" customHeight="1">
      <c r="E192" s="472">
        <v>15</v>
      </c>
      <c r="F192" s="3" t="str" cm="1">
        <f t="array" aca="1" ref="F192" ca="1">OFFSET(E192,-1,1)</f>
        <v>1</v>
      </c>
      <c r="H192" s="36" t="s">
        <v>585</v>
      </c>
      <c r="T192" s="365" t="b" cm="1">
        <f t="array" ref="T192">T191</f>
        <v>0</v>
      </c>
      <c r="X192" s="1075"/>
      <c r="Y192" s="1064"/>
      <c r="AB192" s="172" t="s">
        <v>586</v>
      </c>
      <c r="AC192" s="73" t="s">
        <v>737</v>
      </c>
      <c r="AD192" s="31" t="s">
        <v>534</v>
      </c>
      <c r="AE192" s="264">
        <f t="shared" ref="AE192:BB192" si="49">AE193+AE194</f>
        <v>0</v>
      </c>
      <c r="AF192" s="264">
        <f t="shared" si="49"/>
        <v>0</v>
      </c>
      <c r="AG192" s="264">
        <f t="shared" si="49"/>
        <v>0</v>
      </c>
      <c r="AH192" s="264">
        <f t="shared" si="49"/>
        <v>0</v>
      </c>
      <c r="AI192" s="264">
        <f t="shared" si="49"/>
        <v>0</v>
      </c>
      <c r="AJ192" s="264">
        <f t="shared" si="49"/>
        <v>0</v>
      </c>
      <c r="AK192" s="264">
        <f t="shared" si="49"/>
        <v>0</v>
      </c>
      <c r="AL192" s="264">
        <f t="shared" si="49"/>
        <v>0</v>
      </c>
      <c r="AM192" s="264">
        <f t="shared" si="49"/>
        <v>0</v>
      </c>
      <c r="AN192" s="264">
        <f t="shared" si="49"/>
        <v>0</v>
      </c>
      <c r="AO192" s="264">
        <f t="shared" si="49"/>
        <v>0</v>
      </c>
      <c r="AP192" s="264">
        <f t="shared" si="49"/>
        <v>0</v>
      </c>
      <c r="AQ192" s="264">
        <f t="shared" si="49"/>
        <v>0</v>
      </c>
      <c r="AR192" s="264">
        <f t="shared" si="49"/>
        <v>0</v>
      </c>
      <c r="AS192" s="264">
        <f t="shared" si="49"/>
        <v>0</v>
      </c>
      <c r="AT192" s="264">
        <f t="shared" si="49"/>
        <v>0</v>
      </c>
      <c r="AU192" s="264">
        <f t="shared" si="49"/>
        <v>0</v>
      </c>
      <c r="AV192" s="264">
        <f t="shared" si="49"/>
        <v>0</v>
      </c>
      <c r="AW192" s="264">
        <f t="shared" si="49"/>
        <v>0</v>
      </c>
      <c r="AX192" s="264">
        <f t="shared" si="49"/>
        <v>0</v>
      </c>
      <c r="AY192" s="264">
        <f t="shared" si="49"/>
        <v>0</v>
      </c>
      <c r="AZ192" s="264">
        <f t="shared" si="49"/>
        <v>0</v>
      </c>
      <c r="BA192" s="264">
        <f t="shared" si="49"/>
        <v>0</v>
      </c>
      <c r="BB192" s="264">
        <f t="shared" si="49"/>
        <v>0</v>
      </c>
      <c r="BC192" s="839"/>
      <c r="BF192" s="680" t="s">
        <v>738</v>
      </c>
    </row>
    <row r="193" spans="1:58" ht="12.75" hidden="1" customHeight="1">
      <c r="E193" s="472">
        <v>15</v>
      </c>
      <c r="F193" s="3" t="str" cm="1">
        <f t="array" aca="1" ref="F193" ca="1">OFFSET(E193,-1,1)</f>
        <v>1</v>
      </c>
      <c r="H193" s="36" t="s">
        <v>589</v>
      </c>
      <c r="T193" s="365" t="b" cm="1">
        <f t="array" ref="T193">T192</f>
        <v>0</v>
      </c>
      <c r="X193" s="1075"/>
      <c r="Y193" s="1064"/>
      <c r="AB193" s="172" t="s">
        <v>590</v>
      </c>
      <c r="AC193" s="124" t="s">
        <v>739</v>
      </c>
      <c r="AD193" s="31" t="s">
        <v>534</v>
      </c>
      <c r="AE193" s="838"/>
      <c r="AF193" s="838"/>
      <c r="AG193" s="838"/>
      <c r="AH193" s="838"/>
      <c r="AI193" s="838"/>
      <c r="AJ193" s="838"/>
      <c r="AK193" s="838"/>
      <c r="AL193" s="838"/>
      <c r="AM193" s="838"/>
      <c r="AN193" s="838"/>
      <c r="AO193" s="838"/>
      <c r="AP193" s="838"/>
      <c r="AQ193" s="838"/>
      <c r="AR193" s="838"/>
      <c r="AS193" s="838"/>
      <c r="AT193" s="838"/>
      <c r="AU193" s="838"/>
      <c r="AV193" s="838"/>
      <c r="AW193" s="838"/>
      <c r="AX193" s="838"/>
      <c r="AY193" s="838"/>
      <c r="AZ193" s="838"/>
      <c r="BA193" s="838"/>
      <c r="BB193" s="838"/>
      <c r="BC193" s="839"/>
      <c r="BF193" s="680" t="s">
        <v>740</v>
      </c>
    </row>
    <row r="194" spans="1:58" ht="12.75" hidden="1" customHeight="1">
      <c r="E194" s="472">
        <v>15</v>
      </c>
      <c r="F194" s="3" t="str" cm="1">
        <f t="array" aca="1" ref="F194" ca="1">OFFSET(E194,-1,1)</f>
        <v>1</v>
      </c>
      <c r="H194" s="36" t="s">
        <v>606</v>
      </c>
      <c r="T194" s="365" t="b" cm="1">
        <f t="array" ref="T194">T193</f>
        <v>0</v>
      </c>
      <c r="X194" s="1075"/>
      <c r="Y194" s="1064"/>
      <c r="AB194" s="172" t="s">
        <v>607</v>
      </c>
      <c r="AC194" s="124" t="s">
        <v>741</v>
      </c>
      <c r="AD194" s="31" t="s">
        <v>534</v>
      </c>
      <c r="AE194" s="838"/>
      <c r="AF194" s="838"/>
      <c r="AG194" s="838"/>
      <c r="AH194" s="838"/>
      <c r="AI194" s="838"/>
      <c r="AJ194" s="838"/>
      <c r="AK194" s="838"/>
      <c r="AL194" s="838"/>
      <c r="AM194" s="838"/>
      <c r="AN194" s="838"/>
      <c r="AO194" s="838"/>
      <c r="AP194" s="838"/>
      <c r="AQ194" s="838"/>
      <c r="AR194" s="838"/>
      <c r="AS194" s="838"/>
      <c r="AT194" s="838"/>
      <c r="AU194" s="838"/>
      <c r="AV194" s="838"/>
      <c r="AW194" s="838"/>
      <c r="AX194" s="838"/>
      <c r="AY194" s="838"/>
      <c r="AZ194" s="838"/>
      <c r="BA194" s="838"/>
      <c r="BB194" s="838"/>
      <c r="BC194" s="839"/>
      <c r="BF194" s="680" t="s">
        <v>742</v>
      </c>
    </row>
    <row r="195" spans="1:58" ht="23.25" hidden="1" customHeight="1">
      <c r="E195" s="472">
        <v>22.5</v>
      </c>
      <c r="F195" s="3" t="str" cm="1">
        <f t="array" aca="1" ref="F195" ca="1">OFFSET(E195,-1,1)</f>
        <v>1</v>
      </c>
      <c r="H195" s="36" t="s">
        <v>743</v>
      </c>
      <c r="T195" s="365" t="b" cm="1">
        <f t="array" ref="T195">T194</f>
        <v>0</v>
      </c>
      <c r="X195" s="1075"/>
      <c r="Y195" s="1064"/>
      <c r="AB195" s="172" t="s">
        <v>744</v>
      </c>
      <c r="AC195" s="258" t="s">
        <v>655</v>
      </c>
      <c r="AD195" s="31" t="s">
        <v>534</v>
      </c>
      <c r="AE195" s="838"/>
      <c r="AF195" s="838"/>
      <c r="AG195" s="838"/>
      <c r="AH195" s="838"/>
      <c r="AI195" s="838"/>
      <c r="AJ195" s="838"/>
      <c r="AK195" s="838"/>
      <c r="AL195" s="838"/>
      <c r="AM195" s="838"/>
      <c r="AN195" s="838"/>
      <c r="AO195" s="838"/>
      <c r="AP195" s="838"/>
      <c r="AQ195" s="838"/>
      <c r="AR195" s="838"/>
      <c r="AS195" s="838"/>
      <c r="AT195" s="838"/>
      <c r="AU195" s="838"/>
      <c r="AV195" s="838"/>
      <c r="AW195" s="838"/>
      <c r="AX195" s="838"/>
      <c r="AY195" s="838"/>
      <c r="AZ195" s="838"/>
      <c r="BA195" s="838"/>
      <c r="BB195" s="838"/>
      <c r="BC195" s="839"/>
      <c r="BF195" s="680" t="s">
        <v>745</v>
      </c>
    </row>
    <row r="196" spans="1:58" ht="12.75" hidden="1" customHeight="1">
      <c r="E196" s="472">
        <v>15</v>
      </c>
      <c r="F196" s="3" t="str" cm="1">
        <f t="array" aca="1" ref="F196" ca="1">OFFSET(E196,-1,1)</f>
        <v>1</v>
      </c>
      <c r="H196" s="36" t="s">
        <v>746</v>
      </c>
      <c r="T196" s="365" t="b" cm="1">
        <f t="array" ref="T196">T195</f>
        <v>0</v>
      </c>
      <c r="X196" s="1075"/>
      <c r="Y196" s="1064"/>
      <c r="AB196" s="172" t="s">
        <v>747</v>
      </c>
      <c r="AC196" s="72" t="s">
        <v>748</v>
      </c>
      <c r="AD196" s="31" t="s">
        <v>534</v>
      </c>
      <c r="AE196" s="838"/>
      <c r="AF196" s="838"/>
      <c r="AG196" s="838"/>
      <c r="AH196" s="838"/>
      <c r="AI196" s="838"/>
      <c r="AJ196" s="838"/>
      <c r="AK196" s="838"/>
      <c r="AL196" s="838"/>
      <c r="AM196" s="838"/>
      <c r="AN196" s="838"/>
      <c r="AO196" s="838"/>
      <c r="AP196" s="838"/>
      <c r="AQ196" s="838"/>
      <c r="AR196" s="838"/>
      <c r="AS196" s="838"/>
      <c r="AT196" s="838"/>
      <c r="AU196" s="838"/>
      <c r="AV196" s="838"/>
      <c r="AW196" s="838"/>
      <c r="AX196" s="838"/>
      <c r="AY196" s="838"/>
      <c r="AZ196" s="838"/>
      <c r="BA196" s="838"/>
      <c r="BB196" s="838"/>
      <c r="BC196" s="839"/>
      <c r="BF196" s="680" t="s">
        <v>749</v>
      </c>
    </row>
    <row r="197" spans="1:58" ht="11.25" hidden="1" customHeight="1">
      <c r="A197" s="327"/>
      <c r="B197" s="490"/>
      <c r="C197" s="327"/>
      <c r="D197" s="327"/>
      <c r="E197" s="491" t="s">
        <v>366</v>
      </c>
      <c r="F197" s="774" t="str" cm="1">
        <f t="array" aca="1" ref="F197" ca="1">OFFSET(E197,-1,1)</f>
        <v>1</v>
      </c>
      <c r="G197" s="327"/>
      <c r="H197" s="327"/>
      <c r="I197" s="327"/>
      <c r="J197" s="327"/>
      <c r="L197" s="327"/>
      <c r="M197" s="327"/>
      <c r="N197" s="327"/>
      <c r="O197" s="327"/>
      <c r="T197" s="365" t="b">
        <v>0</v>
      </c>
      <c r="V197" s="327"/>
      <c r="X197" s="1075"/>
      <c r="Y197" s="1064"/>
      <c r="Z197" s="327"/>
      <c r="AA197" s="327"/>
      <c r="AB197"/>
      <c r="AC197" s="37"/>
      <c r="AD197" s="37"/>
      <c r="AE197" s="262"/>
      <c r="AF197" s="262"/>
      <c r="AG197" s="262"/>
      <c r="AH197" s="262"/>
      <c r="AI197" s="262"/>
      <c r="AJ197" s="263"/>
      <c r="AK197" s="262"/>
      <c r="AL197" s="262"/>
      <c r="AM197" s="262"/>
      <c r="AN197" s="262"/>
      <c r="AO197" s="262"/>
      <c r="AP197" s="262"/>
      <c r="AQ197" s="262"/>
      <c r="AR197" s="262"/>
      <c r="AS197" s="262"/>
      <c r="AT197" s="262"/>
      <c r="AU197" s="262"/>
      <c r="AV197" s="262"/>
      <c r="AW197" s="262"/>
      <c r="AX197" s="262"/>
      <c r="AY197" s="262"/>
      <c r="AZ197" s="262"/>
      <c r="BA197" s="262"/>
      <c r="BB197" s="262"/>
      <c r="BC197"/>
      <c r="BD197"/>
      <c r="BE197"/>
      <c r="BF197" s="670"/>
    </row>
    <row r="198" spans="1:58" ht="12.75" hidden="1" customHeight="1">
      <c r="E198" s="472">
        <v>15</v>
      </c>
      <c r="F198" s="3" t="str" cm="1">
        <f t="array" aca="1" ref="F198" ca="1">OFFSET(E198,-1,1)</f>
        <v>1</v>
      </c>
      <c r="R198" s="327" t="b" cm="1">
        <f t="array" ref="R198">INDEX('Общие сведения'!$AN$179:$AN$222,MATCH($X118,'Общие сведения'!$Z$179:$Z$222,0))</f>
        <v>0</v>
      </c>
      <c r="S198" s="327" t="b">
        <f>IF(ISERROR(SEARCH("Водоотведение",AB118)),FALSE,TRUE)</f>
        <v>0</v>
      </c>
      <c r="T198" s="365" t="b">
        <f>AND(X118&gt;0,S198,R198)</f>
        <v>0</v>
      </c>
      <c r="X198" s="1075"/>
      <c r="Y198" s="1064"/>
      <c r="AB198" s="172" t="s">
        <v>275</v>
      </c>
      <c r="AC198" s="25" t="s">
        <v>687</v>
      </c>
      <c r="AD198" s="129"/>
      <c r="AE198" s="427" t="str" cm="1">
        <f t="array" ref="AE198">INDEX('Общие сведения'!$AH$179:$AH$222,MATCH($X118,'Общие сведения'!$Z$179:$Z$222,0))</f>
        <v>питьевая вода</v>
      </c>
      <c r="AF198" s="277"/>
      <c r="AG198" s="277"/>
      <c r="AH198" s="277"/>
      <c r="AI198" s="277"/>
      <c r="AJ198" s="277"/>
      <c r="AK198" s="277"/>
      <c r="AL198" s="277"/>
      <c r="AM198" s="277"/>
      <c r="AN198" s="277"/>
      <c r="AO198" s="277"/>
      <c r="AP198" s="277"/>
      <c r="AQ198" s="277"/>
      <c r="AR198" s="277"/>
      <c r="AS198" s="277"/>
      <c r="AT198" s="277"/>
      <c r="AU198" s="277"/>
      <c r="AV198" s="277"/>
      <c r="AW198" s="277"/>
      <c r="AX198" s="277"/>
      <c r="AY198" s="277"/>
      <c r="AZ198" s="277"/>
      <c r="BA198" s="277"/>
      <c r="BB198" s="278"/>
      <c r="BC198" s="839"/>
      <c r="BF198" s="680" t="s">
        <v>750</v>
      </c>
    </row>
    <row r="199" spans="1:58" ht="12.75" hidden="1" customHeight="1">
      <c r="E199" s="472">
        <v>15</v>
      </c>
      <c r="F199" s="3" t="str" cm="1">
        <f t="array" aca="1" ref="F199" ca="1">OFFSET(E199,-1,1)</f>
        <v>1</v>
      </c>
      <c r="H199" s="36" t="s">
        <v>331</v>
      </c>
      <c r="T199" s="365" t="b" cm="1">
        <f t="array" ref="T199">T198</f>
        <v>0</v>
      </c>
      <c r="X199" s="1075"/>
      <c r="Y199" s="1064"/>
      <c r="AB199" s="172" t="s">
        <v>285</v>
      </c>
      <c r="AC199" s="259" t="s">
        <v>751</v>
      </c>
      <c r="AD199" s="31" t="s">
        <v>534</v>
      </c>
      <c r="AE199" s="264">
        <f t="shared" ref="AE199:BB199" si="50">AE200+AE202+AE201</f>
        <v>0</v>
      </c>
      <c r="AF199" s="264">
        <f t="shared" si="50"/>
        <v>0</v>
      </c>
      <c r="AG199" s="264">
        <f t="shared" si="50"/>
        <v>0</v>
      </c>
      <c r="AH199" s="264">
        <f t="shared" si="50"/>
        <v>0</v>
      </c>
      <c r="AI199" s="264">
        <f t="shared" si="50"/>
        <v>0</v>
      </c>
      <c r="AJ199" s="264">
        <f t="shared" si="50"/>
        <v>0</v>
      </c>
      <c r="AK199" s="264">
        <f t="shared" si="50"/>
        <v>0</v>
      </c>
      <c r="AL199" s="264">
        <f t="shared" si="50"/>
        <v>0</v>
      </c>
      <c r="AM199" s="264">
        <f t="shared" si="50"/>
        <v>0</v>
      </c>
      <c r="AN199" s="264">
        <f t="shared" si="50"/>
        <v>0</v>
      </c>
      <c r="AO199" s="264">
        <f t="shared" si="50"/>
        <v>0</v>
      </c>
      <c r="AP199" s="264">
        <f t="shared" si="50"/>
        <v>0</v>
      </c>
      <c r="AQ199" s="264">
        <f t="shared" si="50"/>
        <v>0</v>
      </c>
      <c r="AR199" s="264">
        <f t="shared" si="50"/>
        <v>0</v>
      </c>
      <c r="AS199" s="264">
        <f t="shared" si="50"/>
        <v>0</v>
      </c>
      <c r="AT199" s="264">
        <f t="shared" si="50"/>
        <v>0</v>
      </c>
      <c r="AU199" s="264">
        <f t="shared" si="50"/>
        <v>0</v>
      </c>
      <c r="AV199" s="264">
        <f t="shared" si="50"/>
        <v>0</v>
      </c>
      <c r="AW199" s="264">
        <f t="shared" si="50"/>
        <v>0</v>
      </c>
      <c r="AX199" s="264">
        <f t="shared" si="50"/>
        <v>0</v>
      </c>
      <c r="AY199" s="264">
        <f t="shared" si="50"/>
        <v>0</v>
      </c>
      <c r="AZ199" s="264">
        <f t="shared" si="50"/>
        <v>0</v>
      </c>
      <c r="BA199" s="264">
        <f t="shared" si="50"/>
        <v>0</v>
      </c>
      <c r="BB199" s="264">
        <f t="shared" si="50"/>
        <v>0</v>
      </c>
      <c r="BC199" s="839"/>
      <c r="BF199" s="680" t="s">
        <v>752</v>
      </c>
    </row>
    <row r="200" spans="1:58" ht="12.75" hidden="1" customHeight="1">
      <c r="E200" s="472">
        <v>15</v>
      </c>
      <c r="F200" s="3" t="str" cm="1">
        <f t="array" aca="1" ref="F200" ca="1">OFFSET(E200,-1,1)</f>
        <v>1</v>
      </c>
      <c r="H200" s="36" t="s">
        <v>536</v>
      </c>
      <c r="T200" s="365" t="b" cm="1">
        <f t="array" ref="T200">T199</f>
        <v>0</v>
      </c>
      <c r="X200" s="1075"/>
      <c r="Y200" s="1064"/>
      <c r="AB200" s="172" t="s">
        <v>537</v>
      </c>
      <c r="AC200" s="146" t="s">
        <v>753</v>
      </c>
      <c r="AD200" s="31" t="s">
        <v>534</v>
      </c>
      <c r="AE200" s="849"/>
      <c r="AF200" s="849"/>
      <c r="AG200" s="849"/>
      <c r="AH200" s="849"/>
      <c r="AI200" s="849"/>
      <c r="AJ200" s="849"/>
      <c r="AK200" s="849"/>
      <c r="AL200" s="849"/>
      <c r="AM200" s="849"/>
      <c r="AN200" s="849"/>
      <c r="AO200" s="849"/>
      <c r="AP200" s="849"/>
      <c r="AQ200" s="849"/>
      <c r="AR200" s="849"/>
      <c r="AS200" s="849"/>
      <c r="AT200" s="849"/>
      <c r="AU200" s="849"/>
      <c r="AV200" s="849"/>
      <c r="AW200" s="849"/>
      <c r="AX200" s="849"/>
      <c r="AY200" s="849"/>
      <c r="AZ200" s="849"/>
      <c r="BA200" s="849"/>
      <c r="BB200" s="849"/>
      <c r="BC200" s="839"/>
      <c r="BF200" s="680" t="s">
        <v>754</v>
      </c>
    </row>
    <row r="201" spans="1:58" ht="12.75" hidden="1" customHeight="1">
      <c r="E201" s="472">
        <v>15</v>
      </c>
      <c r="F201" s="3" t="str" cm="1">
        <f t="array" aca="1" ref="F201" ca="1">OFFSET(E201,-1,1)</f>
        <v>1</v>
      </c>
      <c r="H201" s="36" t="s">
        <v>540</v>
      </c>
      <c r="T201" s="365" t="b" cm="1">
        <f t="array" ref="T201">T200</f>
        <v>0</v>
      </c>
      <c r="X201" s="1075"/>
      <c r="Y201" s="1064"/>
      <c r="AB201" s="172" t="s">
        <v>541</v>
      </c>
      <c r="AC201" s="146" t="s">
        <v>755</v>
      </c>
      <c r="AD201" s="31" t="s">
        <v>534</v>
      </c>
      <c r="AE201" s="849"/>
      <c r="AF201" s="849"/>
      <c r="AG201" s="849"/>
      <c r="AH201" s="849"/>
      <c r="AI201" s="849"/>
      <c r="AJ201" s="849"/>
      <c r="AK201" s="849"/>
      <c r="AL201" s="849"/>
      <c r="AM201" s="849"/>
      <c r="AN201" s="849"/>
      <c r="AO201" s="849"/>
      <c r="AP201" s="849"/>
      <c r="AQ201" s="849"/>
      <c r="AR201" s="849"/>
      <c r="AS201" s="849"/>
      <c r="AT201" s="849"/>
      <c r="AU201" s="849"/>
      <c r="AV201" s="849"/>
      <c r="AW201" s="849"/>
      <c r="AX201" s="849"/>
      <c r="AY201" s="849"/>
      <c r="AZ201" s="849"/>
      <c r="BA201" s="849"/>
      <c r="BB201" s="849"/>
      <c r="BC201" s="839"/>
      <c r="BF201" s="680" t="s">
        <v>756</v>
      </c>
    </row>
    <row r="202" spans="1:58" ht="23.25" hidden="1" customHeight="1">
      <c r="E202" s="472">
        <v>22.5</v>
      </c>
      <c r="F202" s="3" t="str" cm="1">
        <f t="array" aca="1" ref="F202" ca="1">OFFSET(E202,-1,1)</f>
        <v>1</v>
      </c>
      <c r="H202" s="36" t="s">
        <v>544</v>
      </c>
      <c r="T202" s="365" t="b" cm="1">
        <f t="array" ref="T202">T201</f>
        <v>0</v>
      </c>
      <c r="X202" s="1075"/>
      <c r="Y202" s="1064"/>
      <c r="AB202" s="172" t="s">
        <v>545</v>
      </c>
      <c r="AC202" s="146" t="s">
        <v>655</v>
      </c>
      <c r="AD202" s="31" t="s">
        <v>534</v>
      </c>
      <c r="AE202" s="849"/>
      <c r="AF202" s="849"/>
      <c r="AG202" s="849"/>
      <c r="AH202" s="849"/>
      <c r="AI202" s="849"/>
      <c r="AJ202" s="849"/>
      <c r="AK202" s="849"/>
      <c r="AL202" s="849"/>
      <c r="AM202" s="849"/>
      <c r="AN202" s="849"/>
      <c r="AO202" s="849"/>
      <c r="AP202" s="849"/>
      <c r="AQ202" s="849"/>
      <c r="AR202" s="849"/>
      <c r="AS202" s="849"/>
      <c r="AT202" s="849"/>
      <c r="AU202" s="849"/>
      <c r="AV202" s="849"/>
      <c r="AW202" s="849"/>
      <c r="AX202" s="849"/>
      <c r="AY202" s="849"/>
      <c r="AZ202" s="849"/>
      <c r="BA202" s="849"/>
      <c r="BB202" s="849"/>
      <c r="BC202" s="839"/>
      <c r="BF202" s="680" t="s">
        <v>757</v>
      </c>
    </row>
    <row r="203" spans="1:58" ht="23.25" hidden="1" customHeight="1">
      <c r="E203" s="472">
        <v>22.5</v>
      </c>
      <c r="F203" s="3" t="str" cm="1">
        <f t="array" aca="1" ref="F203" ca="1">OFFSET(E203,-1,1)</f>
        <v>1</v>
      </c>
      <c r="G203" s="36" t="s">
        <v>605</v>
      </c>
      <c r="H203" s="36" t="s">
        <v>330</v>
      </c>
      <c r="T203" s="365" t="b" cm="1">
        <f t="array" ref="T203">T202</f>
        <v>0</v>
      </c>
      <c r="X203" s="1075"/>
      <c r="Y203" s="1064"/>
      <c r="AB203" s="172" t="s">
        <v>325</v>
      </c>
      <c r="AC203" s="259" t="s">
        <v>758</v>
      </c>
      <c r="AD203" s="31" t="s">
        <v>534</v>
      </c>
      <c r="AE203" s="264">
        <f t="shared" ref="AE203:BB203" si="51">AE204+AE205+AE208</f>
        <v>0</v>
      </c>
      <c r="AF203" s="264">
        <f t="shared" si="51"/>
        <v>0</v>
      </c>
      <c r="AG203" s="264">
        <f t="shared" si="51"/>
        <v>0</v>
      </c>
      <c r="AH203" s="264">
        <f t="shared" si="51"/>
        <v>0</v>
      </c>
      <c r="AI203" s="264">
        <f t="shared" si="51"/>
        <v>0</v>
      </c>
      <c r="AJ203" s="264">
        <f t="shared" si="51"/>
        <v>0</v>
      </c>
      <c r="AK203" s="264">
        <f t="shared" si="51"/>
        <v>0</v>
      </c>
      <c r="AL203" s="264">
        <f t="shared" si="51"/>
        <v>0</v>
      </c>
      <c r="AM203" s="264">
        <f t="shared" si="51"/>
        <v>0</v>
      </c>
      <c r="AN203" s="264">
        <f t="shared" si="51"/>
        <v>0</v>
      </c>
      <c r="AO203" s="264">
        <f t="shared" si="51"/>
        <v>0</v>
      </c>
      <c r="AP203" s="264">
        <f t="shared" si="51"/>
        <v>0</v>
      </c>
      <c r="AQ203" s="264">
        <f t="shared" si="51"/>
        <v>0</v>
      </c>
      <c r="AR203" s="264">
        <f t="shared" si="51"/>
        <v>0</v>
      </c>
      <c r="AS203" s="264">
        <f t="shared" si="51"/>
        <v>0</v>
      </c>
      <c r="AT203" s="264">
        <f t="shared" si="51"/>
        <v>0</v>
      </c>
      <c r="AU203" s="264">
        <f t="shared" si="51"/>
        <v>0</v>
      </c>
      <c r="AV203" s="264">
        <f t="shared" si="51"/>
        <v>0</v>
      </c>
      <c r="AW203" s="264">
        <f t="shared" si="51"/>
        <v>0</v>
      </c>
      <c r="AX203" s="264">
        <f t="shared" si="51"/>
        <v>0</v>
      </c>
      <c r="AY203" s="264">
        <f t="shared" si="51"/>
        <v>0</v>
      </c>
      <c r="AZ203" s="264">
        <f t="shared" si="51"/>
        <v>0</v>
      </c>
      <c r="BA203" s="264">
        <f t="shared" si="51"/>
        <v>0</v>
      </c>
      <c r="BB203" s="264">
        <f t="shared" si="51"/>
        <v>0</v>
      </c>
      <c r="BC203" s="839"/>
      <c r="BF203" s="680" t="s">
        <v>759</v>
      </c>
    </row>
    <row r="204" spans="1:58" ht="12.75" hidden="1" customHeight="1">
      <c r="E204" s="472">
        <v>15</v>
      </c>
      <c r="F204" s="3" t="str" cm="1">
        <f t="array" aca="1" ref="F204" ca="1">OFFSET(E204,-1,1)</f>
        <v>1</v>
      </c>
      <c r="H204" s="36" t="s">
        <v>550</v>
      </c>
      <c r="T204" s="365" t="b" cm="1">
        <f t="array" ref="T204">T203</f>
        <v>0</v>
      </c>
      <c r="X204" s="1075"/>
      <c r="Y204" s="1064"/>
      <c r="AB204" s="172" t="s">
        <v>551</v>
      </c>
      <c r="AC204" s="146" t="s">
        <v>760</v>
      </c>
      <c r="AD204" s="31" t="s">
        <v>534</v>
      </c>
      <c r="AE204" s="849"/>
      <c r="AF204" s="849"/>
      <c r="AG204" s="849"/>
      <c r="AH204" s="849"/>
      <c r="AI204" s="849"/>
      <c r="AJ204" s="849"/>
      <c r="AK204" s="849"/>
      <c r="AL204" s="849"/>
      <c r="AM204" s="849"/>
      <c r="AN204" s="849"/>
      <c r="AO204" s="849"/>
      <c r="AP204" s="849"/>
      <c r="AQ204" s="849"/>
      <c r="AR204" s="849"/>
      <c r="AS204" s="849"/>
      <c r="AT204" s="849"/>
      <c r="AU204" s="849"/>
      <c r="AV204" s="849"/>
      <c r="AW204" s="849"/>
      <c r="AX204" s="849"/>
      <c r="AY204" s="849"/>
      <c r="AZ204" s="849"/>
      <c r="BA204" s="849"/>
      <c r="BB204" s="849"/>
      <c r="BC204" s="839"/>
      <c r="BF204" s="680" t="s">
        <v>761</v>
      </c>
    </row>
    <row r="205" spans="1:58" ht="12.75" hidden="1" customHeight="1">
      <c r="E205" s="472">
        <v>15</v>
      </c>
      <c r="F205" s="3" t="str" cm="1">
        <f t="array" aca="1" ref="F205" ca="1">OFFSET(E205,-1,1)</f>
        <v>1</v>
      </c>
      <c r="H205" s="36" t="s">
        <v>554</v>
      </c>
      <c r="T205" s="365" t="b" cm="1">
        <f t="array" ref="T205">T204</f>
        <v>0</v>
      </c>
      <c r="X205" s="1075"/>
      <c r="Y205" s="1064"/>
      <c r="AB205" s="172" t="s">
        <v>555</v>
      </c>
      <c r="AC205" s="260" t="s">
        <v>762</v>
      </c>
      <c r="AD205" s="31" t="s">
        <v>534</v>
      </c>
      <c r="AE205" s="264">
        <f t="shared" ref="AE205:BB205" si="52">AE206+AE207</f>
        <v>0</v>
      </c>
      <c r="AF205" s="264">
        <f t="shared" si="52"/>
        <v>0</v>
      </c>
      <c r="AG205" s="264">
        <f t="shared" si="52"/>
        <v>0</v>
      </c>
      <c r="AH205" s="264">
        <f t="shared" si="52"/>
        <v>0</v>
      </c>
      <c r="AI205" s="264">
        <f t="shared" si="52"/>
        <v>0</v>
      </c>
      <c r="AJ205" s="264">
        <f t="shared" si="52"/>
        <v>0</v>
      </c>
      <c r="AK205" s="264">
        <f t="shared" si="52"/>
        <v>0</v>
      </c>
      <c r="AL205" s="264">
        <f t="shared" si="52"/>
        <v>0</v>
      </c>
      <c r="AM205" s="264">
        <f t="shared" si="52"/>
        <v>0</v>
      </c>
      <c r="AN205" s="264">
        <f t="shared" si="52"/>
        <v>0</v>
      </c>
      <c r="AO205" s="264">
        <f t="shared" si="52"/>
        <v>0</v>
      </c>
      <c r="AP205" s="264">
        <f t="shared" si="52"/>
        <v>0</v>
      </c>
      <c r="AQ205" s="264">
        <f t="shared" si="52"/>
        <v>0</v>
      </c>
      <c r="AR205" s="264">
        <f t="shared" si="52"/>
        <v>0</v>
      </c>
      <c r="AS205" s="264">
        <f t="shared" si="52"/>
        <v>0</v>
      </c>
      <c r="AT205" s="264">
        <f t="shared" si="52"/>
        <v>0</v>
      </c>
      <c r="AU205" s="264">
        <f t="shared" si="52"/>
        <v>0</v>
      </c>
      <c r="AV205" s="264">
        <f t="shared" si="52"/>
        <v>0</v>
      </c>
      <c r="AW205" s="264">
        <f t="shared" si="52"/>
        <v>0</v>
      </c>
      <c r="AX205" s="264">
        <f t="shared" si="52"/>
        <v>0</v>
      </c>
      <c r="AY205" s="264">
        <f t="shared" si="52"/>
        <v>0</v>
      </c>
      <c r="AZ205" s="264">
        <f t="shared" si="52"/>
        <v>0</v>
      </c>
      <c r="BA205" s="264">
        <f t="shared" si="52"/>
        <v>0</v>
      </c>
      <c r="BB205" s="264">
        <f t="shared" si="52"/>
        <v>0</v>
      </c>
      <c r="BC205" s="839"/>
      <c r="BF205" s="680" t="s">
        <v>763</v>
      </c>
    </row>
    <row r="206" spans="1:58" ht="12.75" hidden="1" customHeight="1">
      <c r="E206" s="472">
        <v>15</v>
      </c>
      <c r="F206" s="3" t="str" cm="1">
        <f t="array" aca="1" ref="F206" ca="1">OFFSET(E206,-1,1)</f>
        <v>1</v>
      </c>
      <c r="H206" s="36" t="s">
        <v>764</v>
      </c>
      <c r="T206" s="365" t="b" cm="1">
        <f t="array" ref="T206">T205</f>
        <v>0</v>
      </c>
      <c r="X206" s="1075"/>
      <c r="Y206" s="1064"/>
      <c r="AB206" s="172" t="s">
        <v>765</v>
      </c>
      <c r="AC206" s="261" t="s">
        <v>612</v>
      </c>
      <c r="AD206" s="31" t="s">
        <v>534</v>
      </c>
      <c r="AE206" s="849"/>
      <c r="AF206" s="849"/>
      <c r="AG206" s="849"/>
      <c r="AH206" s="849"/>
      <c r="AI206" s="849"/>
      <c r="AJ206" s="849"/>
      <c r="AK206" s="849"/>
      <c r="AL206" s="849"/>
      <c r="AM206" s="849"/>
      <c r="AN206" s="849"/>
      <c r="AO206" s="849"/>
      <c r="AP206" s="849"/>
      <c r="AQ206" s="849"/>
      <c r="AR206" s="849"/>
      <c r="AS206" s="849"/>
      <c r="AT206" s="849"/>
      <c r="AU206" s="849"/>
      <c r="AV206" s="849"/>
      <c r="AW206" s="849"/>
      <c r="AX206" s="849"/>
      <c r="AY206" s="849"/>
      <c r="AZ206" s="849"/>
      <c r="BA206" s="849"/>
      <c r="BB206" s="849"/>
      <c r="BC206" s="839"/>
      <c r="BF206" s="680" t="s">
        <v>766</v>
      </c>
    </row>
    <row r="207" spans="1:58" ht="12.75" hidden="1" customHeight="1">
      <c r="E207" s="472">
        <v>15</v>
      </c>
      <c r="F207" s="3" t="str" cm="1">
        <f t="array" aca="1" ref="F207" ca="1">OFFSET(E207,-1,1)</f>
        <v>1</v>
      </c>
      <c r="H207" s="36" t="s">
        <v>767</v>
      </c>
      <c r="T207" s="365" t="b" cm="1">
        <f t="array" ref="T207">T206</f>
        <v>0</v>
      </c>
      <c r="X207" s="1075"/>
      <c r="Y207" s="1064"/>
      <c r="AB207" s="172" t="s">
        <v>768</v>
      </c>
      <c r="AC207" s="261" t="s">
        <v>616</v>
      </c>
      <c r="AD207" s="31" t="s">
        <v>534</v>
      </c>
      <c r="AE207" s="849"/>
      <c r="AF207" s="849"/>
      <c r="AG207" s="849"/>
      <c r="AH207" s="849"/>
      <c r="AI207" s="849"/>
      <c r="AJ207" s="849"/>
      <c r="AK207" s="849"/>
      <c r="AL207" s="849"/>
      <c r="AM207" s="849"/>
      <c r="AN207" s="849"/>
      <c r="AO207" s="849"/>
      <c r="AP207" s="849"/>
      <c r="AQ207" s="849"/>
      <c r="AR207" s="849"/>
      <c r="AS207" s="849"/>
      <c r="AT207" s="849"/>
      <c r="AU207" s="849"/>
      <c r="AV207" s="849"/>
      <c r="AW207" s="849"/>
      <c r="AX207" s="849"/>
      <c r="AY207" s="849"/>
      <c r="AZ207" s="849"/>
      <c r="BA207" s="849"/>
      <c r="BB207" s="849"/>
      <c r="BC207" s="839"/>
      <c r="BF207" s="680" t="s">
        <v>769</v>
      </c>
    </row>
    <row r="208" spans="1:58" ht="23.25" hidden="1" customHeight="1">
      <c r="E208" s="472">
        <v>22.5</v>
      </c>
      <c r="F208" s="3" t="str" cm="1">
        <f t="array" aca="1" ref="F208" ca="1">OFFSET(E208,-1,1)</f>
        <v>1</v>
      </c>
      <c r="H208" s="36" t="s">
        <v>770</v>
      </c>
      <c r="T208" s="365" t="b" cm="1">
        <f t="array" ref="T208">T207</f>
        <v>0</v>
      </c>
      <c r="X208" s="1075"/>
      <c r="Y208" s="1064"/>
      <c r="AB208" s="172" t="s">
        <v>771</v>
      </c>
      <c r="AC208" s="255" t="s">
        <v>575</v>
      </c>
      <c r="AD208" s="31" t="s">
        <v>534</v>
      </c>
      <c r="AE208" s="838"/>
      <c r="AF208" s="838"/>
      <c r="AG208" s="838"/>
      <c r="AH208" s="838"/>
      <c r="AI208" s="838"/>
      <c r="AJ208" s="838"/>
      <c r="AK208" s="838"/>
      <c r="AL208" s="838"/>
      <c r="AM208" s="838"/>
      <c r="AN208" s="838"/>
      <c r="AO208" s="838"/>
      <c r="AP208" s="838"/>
      <c r="AQ208" s="838"/>
      <c r="AR208" s="838"/>
      <c r="AS208" s="838"/>
      <c r="AT208" s="838"/>
      <c r="AU208" s="838"/>
      <c r="AV208" s="838"/>
      <c r="AW208" s="838"/>
      <c r="AX208" s="838"/>
      <c r="AY208" s="838"/>
      <c r="AZ208" s="838"/>
      <c r="BA208" s="838"/>
      <c r="BB208" s="838"/>
      <c r="BC208" s="839"/>
      <c r="BF208" s="680" t="s">
        <v>772</v>
      </c>
    </row>
    <row r="209" spans="5:58" ht="14.25" customHeight="1">
      <c r="E209" s="472">
        <v>15</v>
      </c>
      <c r="F209" s="266" t="str" cm="1">
        <f t="array" ref="F209">X209</f>
        <v>2</v>
      </c>
      <c r="T209" s="365" t="b">
        <f>X209&gt;0</f>
        <v>1</v>
      </c>
      <c r="V209" s="36" t="str" cm="1">
        <f t="array" ref="V209">ИИКА!$AB$37</f>
        <v>Тариф 2 (Водоотведение) - тариф на водоотведение (Доп. признак не требуется)</v>
      </c>
      <c r="X209" s="1075" t="s">
        <v>285</v>
      </c>
      <c r="Y209" s="1064"/>
      <c r="AB209" s="113" t="str" cm="1">
        <f t="array" ref="AB209">ИИКА!$AB$37</f>
        <v>Тариф 2 (Водоотведение) - тариф на водоотведение (Доп. признак не требуется)</v>
      </c>
      <c r="AC209" s="113"/>
      <c r="AD209" s="113"/>
      <c r="AE209" s="113"/>
      <c r="AF209" s="113"/>
      <c r="AG209" s="113"/>
      <c r="AH209" s="113"/>
      <c r="AI209" s="113"/>
      <c r="AJ209" s="113"/>
      <c r="AK209" s="113"/>
      <c r="AL209" s="113"/>
      <c r="AM209" s="113"/>
      <c r="AN209" s="113"/>
      <c r="AO209" s="113"/>
      <c r="AP209" s="113"/>
      <c r="AQ209" s="113"/>
      <c r="AR209" s="113"/>
      <c r="AS209" s="113"/>
      <c r="AT209" s="113"/>
      <c r="AU209" s="113"/>
      <c r="AV209" s="113"/>
      <c r="AW209" s="113"/>
      <c r="AX209" s="113"/>
      <c r="AY209" s="113"/>
      <c r="AZ209" s="113"/>
      <c r="BA209" s="113"/>
      <c r="BB209" s="113"/>
      <c r="BC209" s="113"/>
    </row>
    <row r="210" spans="5:58" ht="14.25" hidden="1" customHeight="1">
      <c r="E210" s="472">
        <v>15</v>
      </c>
      <c r="F210" s="3" t="str" cm="1">
        <f t="array" aca="1" ref="F210" ca="1">OFFSET(E210,-1,1)</f>
        <v>2</v>
      </c>
      <c r="R210" s="327" t="b" cm="1">
        <f t="array" ref="R210">INDEX('Общие сведения'!$AN$179:$AN$222,MATCH($X209,'Общие сведения'!$Z$179:$Z$222,0))</f>
        <v>0</v>
      </c>
      <c r="S210" s="327" t="b">
        <f>IF(ISERROR(SEARCH("Водоснабжение",AB209)),FALSE,TRUE)</f>
        <v>0</v>
      </c>
      <c r="T210" s="365" t="b">
        <f>AND(X209&gt;0,S210,NOT(R210))</f>
        <v>0</v>
      </c>
      <c r="X210" s="1075"/>
      <c r="Y210" s="1064"/>
      <c r="AB210" s="172" t="s">
        <v>275</v>
      </c>
      <c r="AC210" s="248" t="s">
        <v>531</v>
      </c>
      <c r="AD210" s="30"/>
      <c r="AE210" s="427" t="str" cm="1">
        <f t="array" ref="AE210">INDEX('Общие сведения'!$AH$179:$AH$222,MATCH($X209,'Общие сведения'!$Z$179:$Z$222,0))</f>
        <v>без дифференциации</v>
      </c>
      <c r="AF210" s="277"/>
      <c r="AG210" s="277"/>
      <c r="AH210" s="277"/>
      <c r="AI210" s="277"/>
      <c r="AJ210" s="277"/>
      <c r="AK210" s="277"/>
      <c r="AL210" s="277"/>
      <c r="AM210" s="277"/>
      <c r="AN210" s="277"/>
      <c r="AO210" s="277"/>
      <c r="AP210" s="277"/>
      <c r="AQ210" s="277"/>
      <c r="AR210" s="277"/>
      <c r="AS210" s="277"/>
      <c r="AT210" s="277"/>
      <c r="AU210" s="277"/>
      <c r="AV210" s="277"/>
      <c r="AW210" s="277"/>
      <c r="AX210" s="277"/>
      <c r="AY210" s="277"/>
      <c r="AZ210" s="277"/>
      <c r="BA210" s="277"/>
      <c r="BB210" s="278"/>
      <c r="BC210" s="839"/>
      <c r="BF210" s="680" t="s">
        <v>532</v>
      </c>
    </row>
    <row r="211" spans="5:58" ht="14.25" hidden="1" customHeight="1">
      <c r="E211" s="472">
        <v>15</v>
      </c>
      <c r="F211" s="3" t="str" cm="1">
        <f t="array" aca="1" ref="F211" ca="1">OFFSET(E211,-1,1)</f>
        <v>2</v>
      </c>
      <c r="H211" s="36" t="s">
        <v>331</v>
      </c>
      <c r="T211" s="365" t="b" cm="1">
        <f t="array" ref="T211">T210</f>
        <v>0</v>
      </c>
      <c r="X211" s="1075"/>
      <c r="Y211" s="1064"/>
      <c r="AB211" s="172" t="s">
        <v>285</v>
      </c>
      <c r="AC211" s="74" t="s">
        <v>533</v>
      </c>
      <c r="AD211" s="31" t="s">
        <v>534</v>
      </c>
      <c r="AE211" s="236">
        <f t="shared" ref="AE211:BB211" si="53">AE220+AE215-AE218</f>
        <v>0</v>
      </c>
      <c r="AF211" s="236">
        <f t="shared" si="53"/>
        <v>0</v>
      </c>
      <c r="AG211" s="236">
        <f t="shared" si="53"/>
        <v>0</v>
      </c>
      <c r="AH211" s="236">
        <f t="shared" si="53"/>
        <v>0</v>
      </c>
      <c r="AI211" s="236">
        <f t="shared" si="53"/>
        <v>0</v>
      </c>
      <c r="AJ211" s="236">
        <f t="shared" si="53"/>
        <v>0</v>
      </c>
      <c r="AK211" s="236">
        <f t="shared" si="53"/>
        <v>0</v>
      </c>
      <c r="AL211" s="236">
        <f t="shared" si="53"/>
        <v>0</v>
      </c>
      <c r="AM211" s="236">
        <f t="shared" si="53"/>
        <v>0</v>
      </c>
      <c r="AN211" s="236">
        <f t="shared" si="53"/>
        <v>0</v>
      </c>
      <c r="AO211" s="236">
        <f t="shared" si="53"/>
        <v>0</v>
      </c>
      <c r="AP211" s="236">
        <f t="shared" si="53"/>
        <v>0</v>
      </c>
      <c r="AQ211" s="236">
        <f t="shared" si="53"/>
        <v>0</v>
      </c>
      <c r="AR211" s="236">
        <f t="shared" si="53"/>
        <v>0</v>
      </c>
      <c r="AS211" s="236">
        <f t="shared" si="53"/>
        <v>0</v>
      </c>
      <c r="AT211" s="236">
        <f t="shared" si="53"/>
        <v>0</v>
      </c>
      <c r="AU211" s="236">
        <f t="shared" si="53"/>
        <v>0</v>
      </c>
      <c r="AV211" s="236">
        <f t="shared" si="53"/>
        <v>0</v>
      </c>
      <c r="AW211" s="236">
        <f t="shared" si="53"/>
        <v>0</v>
      </c>
      <c r="AX211" s="236">
        <f t="shared" si="53"/>
        <v>0</v>
      </c>
      <c r="AY211" s="236">
        <f t="shared" si="53"/>
        <v>0</v>
      </c>
      <c r="AZ211" s="236">
        <f t="shared" si="53"/>
        <v>0</v>
      </c>
      <c r="BA211" s="236">
        <f t="shared" si="53"/>
        <v>0</v>
      </c>
      <c r="BB211" s="236">
        <f t="shared" si="53"/>
        <v>0</v>
      </c>
      <c r="BC211" s="839"/>
      <c r="BF211" s="680" t="s">
        <v>535</v>
      </c>
    </row>
    <row r="212" spans="5:58" ht="14.25" hidden="1" customHeight="1">
      <c r="E212" s="472">
        <v>15</v>
      </c>
      <c r="F212" s="3" t="str" cm="1">
        <f t="array" aca="1" ref="F212" ca="1">OFFSET(E212,-1,1)</f>
        <v>2</v>
      </c>
      <c r="H212" s="36" t="s">
        <v>536</v>
      </c>
      <c r="T212" s="365" t="b" cm="1">
        <f t="array" ref="T212">T211</f>
        <v>0</v>
      </c>
      <c r="X212" s="1075"/>
      <c r="Y212" s="1064"/>
      <c r="AB212" s="172" t="s">
        <v>537</v>
      </c>
      <c r="AC212" s="124" t="s">
        <v>538</v>
      </c>
      <c r="AD212" s="31" t="s">
        <v>534</v>
      </c>
      <c r="AE212" s="849"/>
      <c r="AF212" s="849"/>
      <c r="AG212" s="849"/>
      <c r="AH212" s="849"/>
      <c r="AI212" s="849"/>
      <c r="AJ212" s="849"/>
      <c r="AK212" s="849"/>
      <c r="AL212" s="849"/>
      <c r="AM212" s="849"/>
      <c r="AN212" s="849"/>
      <c r="AO212" s="849"/>
      <c r="AP212" s="849"/>
      <c r="AQ212" s="849"/>
      <c r="AR212" s="849"/>
      <c r="AS212" s="849"/>
      <c r="AT212" s="849"/>
      <c r="AU212" s="849"/>
      <c r="AV212" s="849"/>
      <c r="AW212" s="849"/>
      <c r="AX212" s="849"/>
      <c r="AY212" s="849"/>
      <c r="AZ212" s="849"/>
      <c r="BA212" s="849"/>
      <c r="BB212" s="849"/>
      <c r="BC212" s="784"/>
      <c r="BF212" s="680" t="s">
        <v>539</v>
      </c>
    </row>
    <row r="213" spans="5:58" ht="14.25" hidden="1" customHeight="1">
      <c r="E213" s="472">
        <v>15</v>
      </c>
      <c r="F213" s="3" t="str" cm="1">
        <f t="array" aca="1" ref="F213" ca="1">OFFSET(E213,-1,1)</f>
        <v>2</v>
      </c>
      <c r="H213" s="36" t="s">
        <v>540</v>
      </c>
      <c r="T213" s="365" t="b" cm="1">
        <f t="array" ref="T213">T212</f>
        <v>0</v>
      </c>
      <c r="X213" s="1075"/>
      <c r="Y213" s="1064"/>
      <c r="AB213" s="172" t="s">
        <v>541</v>
      </c>
      <c r="AC213" s="124" t="s">
        <v>542</v>
      </c>
      <c r="AD213" s="31" t="s">
        <v>534</v>
      </c>
      <c r="AE213" s="849"/>
      <c r="AF213" s="849"/>
      <c r="AG213" s="849"/>
      <c r="AH213" s="849"/>
      <c r="AI213" s="849"/>
      <c r="AJ213" s="849"/>
      <c r="AK213" s="849"/>
      <c r="AL213" s="849"/>
      <c r="AM213" s="849"/>
      <c r="AN213" s="849"/>
      <c r="AO213" s="849"/>
      <c r="AP213" s="849"/>
      <c r="AQ213" s="849"/>
      <c r="AR213" s="849"/>
      <c r="AS213" s="849"/>
      <c r="AT213" s="849"/>
      <c r="AU213" s="849"/>
      <c r="AV213" s="849"/>
      <c r="AW213" s="849"/>
      <c r="AX213" s="849"/>
      <c r="AY213" s="849"/>
      <c r="AZ213" s="849"/>
      <c r="BA213" s="849"/>
      <c r="BB213" s="849"/>
      <c r="BC213" s="784"/>
      <c r="BF213" s="680" t="s">
        <v>543</v>
      </c>
    </row>
    <row r="214" spans="5:58" ht="21.75" hidden="1" customHeight="1">
      <c r="E214" s="472">
        <v>22.5</v>
      </c>
      <c r="F214" s="3" t="str" cm="1">
        <f t="array" aca="1" ref="F214" ca="1">OFFSET(E214,-1,1)</f>
        <v>2</v>
      </c>
      <c r="H214" s="36" t="s">
        <v>544</v>
      </c>
      <c r="T214" s="365" t="b" cm="1">
        <f t="array" ref="T214">T213</f>
        <v>0</v>
      </c>
      <c r="X214" s="1075"/>
      <c r="Y214" s="1064"/>
      <c r="AB214" s="172" t="s">
        <v>545</v>
      </c>
      <c r="AC214" s="74" t="s">
        <v>546</v>
      </c>
      <c r="AD214" s="31" t="s">
        <v>534</v>
      </c>
      <c r="AE214" s="849"/>
      <c r="AF214" s="849"/>
      <c r="AG214" s="849"/>
      <c r="AH214" s="849"/>
      <c r="AI214" s="849"/>
      <c r="AJ214" s="849"/>
      <c r="AK214" s="849"/>
      <c r="AL214" s="849"/>
      <c r="AM214" s="849"/>
      <c r="AN214" s="849"/>
      <c r="AO214" s="849"/>
      <c r="AP214" s="849"/>
      <c r="AQ214" s="849"/>
      <c r="AR214" s="849"/>
      <c r="AS214" s="849"/>
      <c r="AT214" s="849"/>
      <c r="AU214" s="849"/>
      <c r="AV214" s="849"/>
      <c r="AW214" s="849"/>
      <c r="AX214" s="849"/>
      <c r="AY214" s="849"/>
      <c r="AZ214" s="849"/>
      <c r="BA214" s="849"/>
      <c r="BB214" s="849"/>
      <c r="BC214" s="784"/>
      <c r="BF214" s="680" t="s">
        <v>547</v>
      </c>
    </row>
    <row r="215" spans="5:58" ht="14.25" hidden="1" customHeight="1">
      <c r="E215" s="472">
        <v>15</v>
      </c>
      <c r="F215" s="3" t="str" cm="1">
        <f t="array" aca="1" ref="F215" ca="1">OFFSET(E215,-1,1)</f>
        <v>2</v>
      </c>
      <c r="H215" s="36" t="s">
        <v>330</v>
      </c>
      <c r="T215" s="365" t="b" cm="1">
        <f t="array" ref="T215">T214</f>
        <v>0</v>
      </c>
      <c r="X215" s="1075"/>
      <c r="Y215" s="1064"/>
      <c r="AB215" s="172" t="s">
        <v>325</v>
      </c>
      <c r="AC215" s="74" t="s">
        <v>548</v>
      </c>
      <c r="AD215" s="31" t="s">
        <v>534</v>
      </c>
      <c r="AE215" s="236">
        <f t="shared" ref="AE215:BB215" si="54">SUM(AE216:AE217)</f>
        <v>0</v>
      </c>
      <c r="AF215" s="236">
        <f t="shared" si="54"/>
        <v>0</v>
      </c>
      <c r="AG215" s="236">
        <f t="shared" si="54"/>
        <v>0</v>
      </c>
      <c r="AH215" s="236">
        <f t="shared" si="54"/>
        <v>0</v>
      </c>
      <c r="AI215" s="236">
        <f t="shared" si="54"/>
        <v>0</v>
      </c>
      <c r="AJ215" s="236">
        <f t="shared" si="54"/>
        <v>0</v>
      </c>
      <c r="AK215" s="236">
        <f t="shared" si="54"/>
        <v>0</v>
      </c>
      <c r="AL215" s="236">
        <f t="shared" si="54"/>
        <v>0</v>
      </c>
      <c r="AM215" s="236">
        <f t="shared" si="54"/>
        <v>0</v>
      </c>
      <c r="AN215" s="236">
        <f t="shared" si="54"/>
        <v>0</v>
      </c>
      <c r="AO215" s="236">
        <f t="shared" si="54"/>
        <v>0</v>
      </c>
      <c r="AP215" s="236">
        <f t="shared" si="54"/>
        <v>0</v>
      </c>
      <c r="AQ215" s="236">
        <f t="shared" si="54"/>
        <v>0</v>
      </c>
      <c r="AR215" s="236">
        <f t="shared" si="54"/>
        <v>0</v>
      </c>
      <c r="AS215" s="236">
        <f t="shared" si="54"/>
        <v>0</v>
      </c>
      <c r="AT215" s="236">
        <f t="shared" si="54"/>
        <v>0</v>
      </c>
      <c r="AU215" s="236">
        <f t="shared" si="54"/>
        <v>0</v>
      </c>
      <c r="AV215" s="236">
        <f t="shared" si="54"/>
        <v>0</v>
      </c>
      <c r="AW215" s="236">
        <f t="shared" si="54"/>
        <v>0</v>
      </c>
      <c r="AX215" s="236">
        <f t="shared" si="54"/>
        <v>0</v>
      </c>
      <c r="AY215" s="236">
        <f t="shared" si="54"/>
        <v>0</v>
      </c>
      <c r="AZ215" s="236">
        <f t="shared" si="54"/>
        <v>0</v>
      </c>
      <c r="BA215" s="236">
        <f t="shared" si="54"/>
        <v>0</v>
      </c>
      <c r="BB215" s="236">
        <f t="shared" si="54"/>
        <v>0</v>
      </c>
      <c r="BC215" s="784"/>
      <c r="BF215" s="680" t="s">
        <v>549</v>
      </c>
    </row>
    <row r="216" spans="5:58" ht="14.25" hidden="1" customHeight="1">
      <c r="E216" s="472">
        <v>15</v>
      </c>
      <c r="F216" s="3" t="str" cm="1">
        <f t="array" aca="1" ref="F216" ca="1">OFFSET(E216,-1,1)</f>
        <v>2</v>
      </c>
      <c r="H216" s="36" t="s">
        <v>550</v>
      </c>
      <c r="T216" s="365" t="b" cm="1">
        <f t="array" ref="T216">T215</f>
        <v>0</v>
      </c>
      <c r="X216" s="1075"/>
      <c r="Y216" s="1064"/>
      <c r="AB216" s="172" t="s">
        <v>551</v>
      </c>
      <c r="AC216" s="124" t="s">
        <v>552</v>
      </c>
      <c r="AD216" s="31" t="s">
        <v>534</v>
      </c>
      <c r="AE216" s="849"/>
      <c r="AF216" s="849"/>
      <c r="AG216" s="849"/>
      <c r="AH216" s="849"/>
      <c r="AI216" s="849"/>
      <c r="AJ216" s="849"/>
      <c r="AK216" s="849"/>
      <c r="AL216" s="849"/>
      <c r="AM216" s="849"/>
      <c r="AN216" s="849"/>
      <c r="AO216" s="849"/>
      <c r="AP216" s="849"/>
      <c r="AQ216" s="849"/>
      <c r="AR216" s="849"/>
      <c r="AS216" s="849"/>
      <c r="AT216" s="849"/>
      <c r="AU216" s="849"/>
      <c r="AV216" s="849"/>
      <c r="AW216" s="849"/>
      <c r="AX216" s="849"/>
      <c r="AY216" s="849"/>
      <c r="AZ216" s="849"/>
      <c r="BA216" s="849"/>
      <c r="BB216" s="849"/>
      <c r="BC216" s="784"/>
      <c r="BF216" s="680" t="s">
        <v>553</v>
      </c>
    </row>
    <row r="217" spans="5:58" ht="14.25" hidden="1" customHeight="1">
      <c r="E217" s="472">
        <v>15</v>
      </c>
      <c r="F217" s="3" t="str" cm="1">
        <f t="array" aca="1" ref="F217" ca="1">OFFSET(E217,-1,1)</f>
        <v>2</v>
      </c>
      <c r="H217" s="36" t="s">
        <v>554</v>
      </c>
      <c r="T217" s="365" t="b" cm="1">
        <f t="array" ref="T217">T216</f>
        <v>0</v>
      </c>
      <c r="X217" s="1075"/>
      <c r="Y217" s="1064"/>
      <c r="AB217" s="172" t="s">
        <v>555</v>
      </c>
      <c r="AC217" s="124" t="s">
        <v>556</v>
      </c>
      <c r="AD217" s="31" t="s">
        <v>534</v>
      </c>
      <c r="AE217" s="849"/>
      <c r="AF217" s="849"/>
      <c r="AG217" s="849"/>
      <c r="AH217" s="849"/>
      <c r="AI217" s="849"/>
      <c r="AJ217" s="849"/>
      <c r="AK217" s="849"/>
      <c r="AL217" s="849"/>
      <c r="AM217" s="849"/>
      <c r="AN217" s="849"/>
      <c r="AO217" s="849"/>
      <c r="AP217" s="849"/>
      <c r="AQ217" s="849"/>
      <c r="AR217" s="849"/>
      <c r="AS217" s="849"/>
      <c r="AT217" s="849"/>
      <c r="AU217" s="849"/>
      <c r="AV217" s="849"/>
      <c r="AW217" s="849"/>
      <c r="AX217" s="849"/>
      <c r="AY217" s="849"/>
      <c r="AZ217" s="849"/>
      <c r="BA217" s="849"/>
      <c r="BB217" s="849"/>
      <c r="BC217" s="784"/>
      <c r="BF217" s="680" t="s">
        <v>557</v>
      </c>
    </row>
    <row r="218" spans="5:58" ht="14.25" hidden="1" customHeight="1">
      <c r="E218" s="472">
        <v>15</v>
      </c>
      <c r="F218" s="3" t="str" cm="1">
        <f t="array" aca="1" ref="F218" ca="1">OFFSET(E218,-1,1)</f>
        <v>2</v>
      </c>
      <c r="H218" s="36" t="s">
        <v>511</v>
      </c>
      <c r="T218" s="365" t="b" cm="1">
        <f t="array" ref="T218">T217</f>
        <v>0</v>
      </c>
      <c r="X218" s="1075"/>
      <c r="Y218" s="1064"/>
      <c r="AB218" s="172" t="s">
        <v>433</v>
      </c>
      <c r="AC218" s="248" t="s">
        <v>558</v>
      </c>
      <c r="AD218" s="31" t="s">
        <v>534</v>
      </c>
      <c r="AE218" s="838"/>
      <c r="AF218" s="838"/>
      <c r="AG218" s="838"/>
      <c r="AH218" s="838"/>
      <c r="AI218" s="838"/>
      <c r="AJ218" s="838"/>
      <c r="AK218" s="838"/>
      <c r="AL218" s="838"/>
      <c r="AM218" s="838"/>
      <c r="AN218" s="838"/>
      <c r="AO218" s="838"/>
      <c r="AP218" s="838"/>
      <c r="AQ218" s="838"/>
      <c r="AR218" s="838"/>
      <c r="AS218" s="838"/>
      <c r="AT218" s="838"/>
      <c r="AU218" s="838"/>
      <c r="AV218" s="838"/>
      <c r="AW218" s="838"/>
      <c r="AX218" s="838"/>
      <c r="AY218" s="838"/>
      <c r="AZ218" s="838"/>
      <c r="BA218" s="838"/>
      <c r="BB218" s="838"/>
      <c r="BC218" s="784"/>
      <c r="BF218" s="680" t="s">
        <v>559</v>
      </c>
    </row>
    <row r="219" spans="5:58" ht="14.25" hidden="1" customHeight="1">
      <c r="E219" s="472">
        <v>15</v>
      </c>
      <c r="F219" s="3" t="str" cm="1">
        <f t="array" aca="1" ref="F219" ca="1">OFFSET(E219,-1,1)</f>
        <v>2</v>
      </c>
      <c r="H219" s="36" t="s">
        <v>514</v>
      </c>
      <c r="T219" s="365" t="b" cm="1">
        <f t="array" ref="T219">T218</f>
        <v>0</v>
      </c>
      <c r="X219" s="1075"/>
      <c r="Y219" s="1064"/>
      <c r="AB219" s="172" t="s">
        <v>444</v>
      </c>
      <c r="AC219" s="248" t="s">
        <v>560</v>
      </c>
      <c r="AD219" s="31" t="s">
        <v>534</v>
      </c>
      <c r="AE219" s="849"/>
      <c r="AF219" s="849"/>
      <c r="AG219" s="849"/>
      <c r="AH219" s="849"/>
      <c r="AI219" s="849"/>
      <c r="AJ219" s="849"/>
      <c r="AK219" s="849"/>
      <c r="AL219" s="849"/>
      <c r="AM219" s="849"/>
      <c r="AN219" s="849"/>
      <c r="AO219" s="849"/>
      <c r="AP219" s="849"/>
      <c r="AQ219" s="849"/>
      <c r="AR219" s="849"/>
      <c r="AS219" s="849"/>
      <c r="AT219" s="849"/>
      <c r="AU219" s="849"/>
      <c r="AV219" s="849"/>
      <c r="AW219" s="849"/>
      <c r="AX219" s="849"/>
      <c r="AY219" s="849"/>
      <c r="AZ219" s="849"/>
      <c r="BA219" s="849"/>
      <c r="BB219" s="849"/>
      <c r="BC219" s="784"/>
      <c r="BF219" s="680" t="s">
        <v>561</v>
      </c>
    </row>
    <row r="220" spans="5:58" ht="14.25" hidden="1" customHeight="1">
      <c r="E220" s="472">
        <v>15</v>
      </c>
      <c r="F220" s="3" t="str" cm="1">
        <f t="array" aca="1" ref="F220" ca="1">OFFSET(E220,-1,1)</f>
        <v>2</v>
      </c>
      <c r="H220" s="36" t="s">
        <v>562</v>
      </c>
      <c r="T220" s="365" t="b" cm="1">
        <f t="array" ref="T220">T219</f>
        <v>0</v>
      </c>
      <c r="X220" s="1075"/>
      <c r="Y220" s="1064"/>
      <c r="AB220" s="172" t="s">
        <v>447</v>
      </c>
      <c r="AC220" s="74" t="s">
        <v>563</v>
      </c>
      <c r="AD220" s="31" t="s">
        <v>534</v>
      </c>
      <c r="AE220" s="236">
        <f t="shared" ref="AE220:BB220" si="55">AE226+AE224</f>
        <v>0</v>
      </c>
      <c r="AF220" s="236">
        <f t="shared" si="55"/>
        <v>0</v>
      </c>
      <c r="AG220" s="236">
        <f t="shared" si="55"/>
        <v>0</v>
      </c>
      <c r="AH220" s="236">
        <f t="shared" si="55"/>
        <v>0</v>
      </c>
      <c r="AI220" s="236">
        <f t="shared" si="55"/>
        <v>0</v>
      </c>
      <c r="AJ220" s="236">
        <f t="shared" si="55"/>
        <v>0</v>
      </c>
      <c r="AK220" s="236">
        <f t="shared" si="55"/>
        <v>0</v>
      </c>
      <c r="AL220" s="236">
        <f t="shared" si="55"/>
        <v>0</v>
      </c>
      <c r="AM220" s="236">
        <f t="shared" si="55"/>
        <v>0</v>
      </c>
      <c r="AN220" s="236">
        <f t="shared" si="55"/>
        <v>0</v>
      </c>
      <c r="AO220" s="236">
        <f t="shared" si="55"/>
        <v>0</v>
      </c>
      <c r="AP220" s="236">
        <f t="shared" si="55"/>
        <v>0</v>
      </c>
      <c r="AQ220" s="236">
        <f t="shared" si="55"/>
        <v>0</v>
      </c>
      <c r="AR220" s="236">
        <f t="shared" si="55"/>
        <v>0</v>
      </c>
      <c r="AS220" s="236">
        <f t="shared" si="55"/>
        <v>0</v>
      </c>
      <c r="AT220" s="236">
        <f t="shared" si="55"/>
        <v>0</v>
      </c>
      <c r="AU220" s="236">
        <f t="shared" si="55"/>
        <v>0</v>
      </c>
      <c r="AV220" s="236">
        <f t="shared" si="55"/>
        <v>0</v>
      </c>
      <c r="AW220" s="236">
        <f t="shared" si="55"/>
        <v>0</v>
      </c>
      <c r="AX220" s="236">
        <f t="shared" si="55"/>
        <v>0</v>
      </c>
      <c r="AY220" s="236">
        <f t="shared" si="55"/>
        <v>0</v>
      </c>
      <c r="AZ220" s="236">
        <f t="shared" si="55"/>
        <v>0</v>
      </c>
      <c r="BA220" s="236">
        <f t="shared" si="55"/>
        <v>0</v>
      </c>
      <c r="BB220" s="236">
        <f t="shared" si="55"/>
        <v>0</v>
      </c>
      <c r="BC220" s="784"/>
      <c r="BF220" s="680" t="s">
        <v>564</v>
      </c>
    </row>
    <row r="221" spans="5:58" ht="21.75" hidden="1" customHeight="1">
      <c r="E221" s="472">
        <v>22.5</v>
      </c>
      <c r="F221" s="3" t="str" cm="1">
        <f t="array" aca="1" ref="F221" ca="1">OFFSET(E221,-1,1)</f>
        <v>2</v>
      </c>
      <c r="H221" s="36" t="s">
        <v>565</v>
      </c>
      <c r="T221" s="365" t="b" cm="1">
        <f t="array" ref="T221">T220</f>
        <v>0</v>
      </c>
      <c r="X221" s="1075"/>
      <c r="Y221" s="1064"/>
      <c r="AB221" s="172" t="s">
        <v>566</v>
      </c>
      <c r="AC221" s="124" t="s">
        <v>567</v>
      </c>
      <c r="AD221" s="31" t="s">
        <v>534</v>
      </c>
      <c r="AE221" s="849"/>
      <c r="AF221" s="849"/>
      <c r="AG221" s="849"/>
      <c r="AH221" s="849"/>
      <c r="AI221" s="849"/>
      <c r="AJ221" s="849"/>
      <c r="AK221" s="849"/>
      <c r="AL221" s="849"/>
      <c r="AM221" s="849"/>
      <c r="AN221" s="849"/>
      <c r="AO221" s="849"/>
      <c r="AP221" s="849"/>
      <c r="AQ221" s="849"/>
      <c r="AR221" s="849"/>
      <c r="AS221" s="849"/>
      <c r="AT221" s="849"/>
      <c r="AU221" s="849"/>
      <c r="AV221" s="849"/>
      <c r="AW221" s="849"/>
      <c r="AX221" s="849"/>
      <c r="AY221" s="849"/>
      <c r="AZ221" s="849"/>
      <c r="BA221" s="849"/>
      <c r="BB221" s="849"/>
      <c r="BC221" s="784"/>
      <c r="BF221" s="680" t="s">
        <v>568</v>
      </c>
    </row>
    <row r="222" spans="5:58" ht="14.25" hidden="1" customHeight="1">
      <c r="E222" s="472">
        <v>15</v>
      </c>
      <c r="F222" s="3" t="str" cm="1">
        <f t="array" aca="1" ref="F222" ca="1">OFFSET(E222,-1,1)</f>
        <v>2</v>
      </c>
      <c r="H222" s="36" t="s">
        <v>569</v>
      </c>
      <c r="T222" s="365" t="b" cm="1">
        <f t="array" ref="T222">T221</f>
        <v>0</v>
      </c>
      <c r="X222" s="1075"/>
      <c r="Y222" s="1064"/>
      <c r="AB222" s="172" t="s">
        <v>570</v>
      </c>
      <c r="AC222" s="124" t="s">
        <v>571</v>
      </c>
      <c r="AD222" s="31" t="s">
        <v>534</v>
      </c>
      <c r="AE222" s="849"/>
      <c r="AF222" s="849"/>
      <c r="AG222" s="849"/>
      <c r="AH222" s="849"/>
      <c r="AI222" s="849"/>
      <c r="AJ222" s="849"/>
      <c r="AK222" s="849"/>
      <c r="AL222" s="849"/>
      <c r="AM222" s="849"/>
      <c r="AN222" s="849"/>
      <c r="AO222" s="849"/>
      <c r="AP222" s="849"/>
      <c r="AQ222" s="849"/>
      <c r="AR222" s="849"/>
      <c r="AS222" s="849"/>
      <c r="AT222" s="849"/>
      <c r="AU222" s="849"/>
      <c r="AV222" s="849"/>
      <c r="AW222" s="849"/>
      <c r="AX222" s="849"/>
      <c r="AY222" s="849"/>
      <c r="AZ222" s="849"/>
      <c r="BA222" s="849"/>
      <c r="BB222" s="849"/>
      <c r="BC222" s="784"/>
      <c r="BF222" s="680" t="s">
        <v>572</v>
      </c>
    </row>
    <row r="223" spans="5:58" ht="21.75" hidden="1" customHeight="1">
      <c r="E223" s="472">
        <v>22.5</v>
      </c>
      <c r="F223" s="3" t="str" cm="1">
        <f t="array" aca="1" ref="F223" ca="1">OFFSET(E223,-1,1)</f>
        <v>2</v>
      </c>
      <c r="H223" s="36" t="s">
        <v>573</v>
      </c>
      <c r="T223" s="365" t="b" cm="1">
        <f t="array" ref="T223">T222</f>
        <v>0</v>
      </c>
      <c r="X223" s="1075"/>
      <c r="Y223" s="1064"/>
      <c r="AB223" s="172" t="s">
        <v>574</v>
      </c>
      <c r="AC223" s="124" t="s">
        <v>575</v>
      </c>
      <c r="AD223" s="31" t="s">
        <v>534</v>
      </c>
      <c r="AE223" s="849"/>
      <c r="AF223" s="849"/>
      <c r="AG223" s="849"/>
      <c r="AH223" s="849"/>
      <c r="AI223" s="849"/>
      <c r="AJ223" s="849"/>
      <c r="AK223" s="849"/>
      <c r="AL223" s="849"/>
      <c r="AM223" s="849"/>
      <c r="AN223" s="849"/>
      <c r="AO223" s="849"/>
      <c r="AP223" s="849"/>
      <c r="AQ223" s="849"/>
      <c r="AR223" s="849"/>
      <c r="AS223" s="849"/>
      <c r="AT223" s="849"/>
      <c r="AU223" s="849"/>
      <c r="AV223" s="849"/>
      <c r="AW223" s="849"/>
      <c r="AX223" s="849"/>
      <c r="AY223" s="849"/>
      <c r="AZ223" s="849"/>
      <c r="BA223" s="849"/>
      <c r="BB223" s="849"/>
      <c r="BC223" s="784"/>
      <c r="BF223" s="680" t="s">
        <v>576</v>
      </c>
    </row>
    <row r="224" spans="5:58" ht="14.25" hidden="1" customHeight="1">
      <c r="E224" s="472">
        <v>15</v>
      </c>
      <c r="F224" s="3" t="str" cm="1">
        <f t="array" aca="1" ref="F224" ca="1">OFFSET(E224,-1,1)</f>
        <v>2</v>
      </c>
      <c r="H224" s="36" t="s">
        <v>577</v>
      </c>
      <c r="T224" s="365" t="b" cm="1">
        <f t="array" ref="T224">T223</f>
        <v>0</v>
      </c>
      <c r="X224" s="1075"/>
      <c r="Y224" s="1064"/>
      <c r="AB224" s="172" t="s">
        <v>578</v>
      </c>
      <c r="AC224" s="248" t="s">
        <v>579</v>
      </c>
      <c r="AD224" s="31" t="s">
        <v>534</v>
      </c>
      <c r="AE224" s="849"/>
      <c r="AF224" s="849"/>
      <c r="AG224" s="849"/>
      <c r="AH224" s="849"/>
      <c r="AI224" s="849"/>
      <c r="AJ224" s="849"/>
      <c r="AK224" s="849"/>
      <c r="AL224" s="849"/>
      <c r="AM224" s="849"/>
      <c r="AN224" s="849"/>
      <c r="AO224" s="849"/>
      <c r="AP224" s="849"/>
      <c r="AQ224" s="849"/>
      <c r="AR224" s="849"/>
      <c r="AS224" s="849"/>
      <c r="AT224" s="849"/>
      <c r="AU224" s="849"/>
      <c r="AV224" s="849"/>
      <c r="AW224" s="849"/>
      <c r="AX224" s="849"/>
      <c r="AY224" s="849"/>
      <c r="AZ224" s="849"/>
      <c r="BA224" s="849"/>
      <c r="BB224" s="849"/>
      <c r="BC224" s="784"/>
      <c r="BF224" s="680" t="s">
        <v>580</v>
      </c>
    </row>
    <row r="225" spans="5:58" ht="14.25" hidden="1" customHeight="1">
      <c r="E225" s="472">
        <v>15</v>
      </c>
      <c r="F225" s="3" t="str" cm="1">
        <f t="array" aca="1" ref="F225" ca="1">OFFSET(E225,-1,1)</f>
        <v>2</v>
      </c>
      <c r="H225" s="36" t="s">
        <v>581</v>
      </c>
      <c r="T225" s="365" t="b" cm="1">
        <f t="array" ref="T225">T224</f>
        <v>0</v>
      </c>
      <c r="X225" s="1075"/>
      <c r="Y225" s="1064"/>
      <c r="AB225" s="172" t="s">
        <v>582</v>
      </c>
      <c r="AC225" s="249" t="s">
        <v>583</v>
      </c>
      <c r="AD225" s="31" t="s">
        <v>456</v>
      </c>
      <c r="AE225" s="833">
        <f t="shared" ref="AE225:BB225" si="56">IF(AE220=0,0,AE224/AE220*100)</f>
        <v>0</v>
      </c>
      <c r="AF225" s="833">
        <f t="shared" si="56"/>
        <v>0</v>
      </c>
      <c r="AG225" s="833">
        <f t="shared" si="56"/>
        <v>0</v>
      </c>
      <c r="AH225" s="833">
        <f t="shared" si="56"/>
        <v>0</v>
      </c>
      <c r="AI225" s="833">
        <f t="shared" si="56"/>
        <v>0</v>
      </c>
      <c r="AJ225" s="833">
        <f t="shared" si="56"/>
        <v>0</v>
      </c>
      <c r="AK225" s="833">
        <f t="shared" si="56"/>
        <v>0</v>
      </c>
      <c r="AL225" s="833">
        <f t="shared" si="56"/>
        <v>0</v>
      </c>
      <c r="AM225" s="833">
        <f t="shared" si="56"/>
        <v>0</v>
      </c>
      <c r="AN225" s="833">
        <f t="shared" si="56"/>
        <v>0</v>
      </c>
      <c r="AO225" s="833">
        <f t="shared" si="56"/>
        <v>0</v>
      </c>
      <c r="AP225" s="833">
        <f t="shared" si="56"/>
        <v>0</v>
      </c>
      <c r="AQ225" s="833">
        <f t="shared" si="56"/>
        <v>0</v>
      </c>
      <c r="AR225" s="833">
        <f t="shared" si="56"/>
        <v>0</v>
      </c>
      <c r="AS225" s="833">
        <f t="shared" si="56"/>
        <v>0</v>
      </c>
      <c r="AT225" s="833">
        <f t="shared" si="56"/>
        <v>0</v>
      </c>
      <c r="AU225" s="833">
        <f t="shared" si="56"/>
        <v>0</v>
      </c>
      <c r="AV225" s="833">
        <f t="shared" si="56"/>
        <v>0</v>
      </c>
      <c r="AW225" s="833">
        <f t="shared" si="56"/>
        <v>0</v>
      </c>
      <c r="AX225" s="833">
        <f t="shared" si="56"/>
        <v>0</v>
      </c>
      <c r="AY225" s="833">
        <f t="shared" si="56"/>
        <v>0</v>
      </c>
      <c r="AZ225" s="833">
        <f t="shared" si="56"/>
        <v>0</v>
      </c>
      <c r="BA225" s="833">
        <f t="shared" si="56"/>
        <v>0</v>
      </c>
      <c r="BB225" s="833">
        <f t="shared" si="56"/>
        <v>0</v>
      </c>
      <c r="BC225" s="784"/>
      <c r="BF225" s="680" t="s">
        <v>584</v>
      </c>
    </row>
    <row r="226" spans="5:58" ht="14.25" hidden="1" customHeight="1">
      <c r="E226" s="472">
        <v>15</v>
      </c>
      <c r="F226" s="3" t="str" cm="1">
        <f t="array" aca="1" ref="F226" ca="1">OFFSET(E226,-1,1)</f>
        <v>2</v>
      </c>
      <c r="H226" s="36" t="s">
        <v>585</v>
      </c>
      <c r="T226" s="365" t="b" cm="1">
        <f t="array" ref="T226">T225</f>
        <v>0</v>
      </c>
      <c r="X226" s="1075"/>
      <c r="Y226" s="1064"/>
      <c r="AB226" s="172" t="s">
        <v>586</v>
      </c>
      <c r="AC226" s="248" t="s">
        <v>587</v>
      </c>
      <c r="AD226" s="31" t="s">
        <v>534</v>
      </c>
      <c r="AE226" s="236">
        <f t="shared" ref="AE226:BB226" si="57">AE227+AE231+AE234+AE244</f>
        <v>0</v>
      </c>
      <c r="AF226" s="236">
        <f t="shared" si="57"/>
        <v>0</v>
      </c>
      <c r="AG226" s="236">
        <f t="shared" si="57"/>
        <v>0</v>
      </c>
      <c r="AH226" s="236">
        <f t="shared" si="57"/>
        <v>0</v>
      </c>
      <c r="AI226" s="236">
        <f t="shared" si="57"/>
        <v>0</v>
      </c>
      <c r="AJ226" s="236">
        <f t="shared" si="57"/>
        <v>0</v>
      </c>
      <c r="AK226" s="236">
        <f t="shared" si="57"/>
        <v>0</v>
      </c>
      <c r="AL226" s="236">
        <f t="shared" si="57"/>
        <v>0</v>
      </c>
      <c r="AM226" s="236">
        <f t="shared" si="57"/>
        <v>0</v>
      </c>
      <c r="AN226" s="236">
        <f t="shared" si="57"/>
        <v>0</v>
      </c>
      <c r="AO226" s="236">
        <f t="shared" si="57"/>
        <v>0</v>
      </c>
      <c r="AP226" s="236">
        <f t="shared" si="57"/>
        <v>0</v>
      </c>
      <c r="AQ226" s="236">
        <f t="shared" si="57"/>
        <v>0</v>
      </c>
      <c r="AR226" s="236">
        <f t="shared" si="57"/>
        <v>0</v>
      </c>
      <c r="AS226" s="236">
        <f t="shared" si="57"/>
        <v>0</v>
      </c>
      <c r="AT226" s="236">
        <f t="shared" si="57"/>
        <v>0</v>
      </c>
      <c r="AU226" s="236">
        <f t="shared" si="57"/>
        <v>0</v>
      </c>
      <c r="AV226" s="236">
        <f t="shared" si="57"/>
        <v>0</v>
      </c>
      <c r="AW226" s="236">
        <f t="shared" si="57"/>
        <v>0</v>
      </c>
      <c r="AX226" s="236">
        <f t="shared" si="57"/>
        <v>0</v>
      </c>
      <c r="AY226" s="236">
        <f t="shared" si="57"/>
        <v>0</v>
      </c>
      <c r="AZ226" s="236">
        <f t="shared" si="57"/>
        <v>0</v>
      </c>
      <c r="BA226" s="236">
        <f t="shared" si="57"/>
        <v>0</v>
      </c>
      <c r="BB226" s="236">
        <f t="shared" si="57"/>
        <v>0</v>
      </c>
      <c r="BC226" s="784"/>
      <c r="BF226" s="680" t="s">
        <v>588</v>
      </c>
    </row>
    <row r="227" spans="5:58" ht="14.25" hidden="1" customHeight="1">
      <c r="E227" s="472">
        <v>15</v>
      </c>
      <c r="F227" s="3" t="str" cm="1">
        <f t="array" aca="1" ref="F227" ca="1">OFFSET(E227,-1,1)</f>
        <v>2</v>
      </c>
      <c r="G227" s="36" t="str">
        <f>IF(OwnNeedsInPO="да","ПО","")</f>
        <v/>
      </c>
      <c r="H227" s="36" t="s">
        <v>589</v>
      </c>
      <c r="T227" s="365" t="b" cm="1">
        <f t="array" ref="T227">T226</f>
        <v>0</v>
      </c>
      <c r="X227" s="1075"/>
      <c r="Y227" s="1064"/>
      <c r="AB227" s="172" t="s">
        <v>590</v>
      </c>
      <c r="AC227" s="124" t="s">
        <v>591</v>
      </c>
      <c r="AD227" s="31" t="s">
        <v>534</v>
      </c>
      <c r="AE227" s="236">
        <f t="shared" ref="AE227:BB227" si="58">SUM(AE228:AE230)</f>
        <v>0</v>
      </c>
      <c r="AF227" s="236">
        <f t="shared" si="58"/>
        <v>0</v>
      </c>
      <c r="AG227" s="236">
        <f t="shared" si="58"/>
        <v>0</v>
      </c>
      <c r="AH227" s="236">
        <f t="shared" si="58"/>
        <v>0</v>
      </c>
      <c r="AI227" s="236">
        <f t="shared" si="58"/>
        <v>0</v>
      </c>
      <c r="AJ227" s="236">
        <f t="shared" si="58"/>
        <v>0</v>
      </c>
      <c r="AK227" s="236">
        <f t="shared" si="58"/>
        <v>0</v>
      </c>
      <c r="AL227" s="236">
        <f t="shared" si="58"/>
        <v>0</v>
      </c>
      <c r="AM227" s="236">
        <f t="shared" si="58"/>
        <v>0</v>
      </c>
      <c r="AN227" s="236">
        <f t="shared" si="58"/>
        <v>0</v>
      </c>
      <c r="AO227" s="236">
        <f t="shared" si="58"/>
        <v>0</v>
      </c>
      <c r="AP227" s="236">
        <f t="shared" si="58"/>
        <v>0</v>
      </c>
      <c r="AQ227" s="236">
        <f t="shared" si="58"/>
        <v>0</v>
      </c>
      <c r="AR227" s="236">
        <f t="shared" si="58"/>
        <v>0</v>
      </c>
      <c r="AS227" s="236">
        <f t="shared" si="58"/>
        <v>0</v>
      </c>
      <c r="AT227" s="236">
        <f t="shared" si="58"/>
        <v>0</v>
      </c>
      <c r="AU227" s="236">
        <f t="shared" si="58"/>
        <v>0</v>
      </c>
      <c r="AV227" s="236">
        <f t="shared" si="58"/>
        <v>0</v>
      </c>
      <c r="AW227" s="236">
        <f t="shared" si="58"/>
        <v>0</v>
      </c>
      <c r="AX227" s="236">
        <f t="shared" si="58"/>
        <v>0</v>
      </c>
      <c r="AY227" s="236">
        <f t="shared" si="58"/>
        <v>0</v>
      </c>
      <c r="AZ227" s="236">
        <f t="shared" si="58"/>
        <v>0</v>
      </c>
      <c r="BA227" s="236">
        <f t="shared" si="58"/>
        <v>0</v>
      </c>
      <c r="BB227" s="236">
        <f t="shared" si="58"/>
        <v>0</v>
      </c>
      <c r="BC227" s="784"/>
      <c r="BF227" s="680" t="s">
        <v>592</v>
      </c>
    </row>
    <row r="228" spans="5:58" ht="14.25" hidden="1" customHeight="1">
      <c r="E228" s="472">
        <v>15</v>
      </c>
      <c r="F228" s="3" t="str" cm="1">
        <f t="array" aca="1" ref="F228" ca="1">OFFSET(E228,-1,1)</f>
        <v>2</v>
      </c>
      <c r="H228" s="36" t="s">
        <v>593</v>
      </c>
      <c r="T228" s="365" t="b" cm="1">
        <f t="array" ref="T228">T227</f>
        <v>0</v>
      </c>
      <c r="X228" s="1075"/>
      <c r="Y228" s="1064"/>
      <c r="AB228" s="172" t="s">
        <v>594</v>
      </c>
      <c r="AC228" s="250" t="s">
        <v>595</v>
      </c>
      <c r="AD228" s="31" t="s">
        <v>534</v>
      </c>
      <c r="AE228" s="849"/>
      <c r="AF228" s="849"/>
      <c r="AG228" s="849"/>
      <c r="AH228" s="849"/>
      <c r="AI228" s="849"/>
      <c r="AJ228" s="849"/>
      <c r="AK228" s="849"/>
      <c r="AL228" s="849"/>
      <c r="AM228" s="849"/>
      <c r="AN228" s="849"/>
      <c r="AO228" s="849"/>
      <c r="AP228" s="849"/>
      <c r="AQ228" s="849"/>
      <c r="AR228" s="849"/>
      <c r="AS228" s="849"/>
      <c r="AT228" s="849"/>
      <c r="AU228" s="849"/>
      <c r="AV228" s="849"/>
      <c r="AW228" s="849"/>
      <c r="AX228" s="849"/>
      <c r="AY228" s="849"/>
      <c r="AZ228" s="849"/>
      <c r="BA228" s="849"/>
      <c r="BB228" s="849"/>
      <c r="BC228" s="784"/>
      <c r="BF228" s="680" t="s">
        <v>596</v>
      </c>
    </row>
    <row r="229" spans="5:58" ht="14.25" hidden="1" customHeight="1">
      <c r="E229" s="472">
        <v>15</v>
      </c>
      <c r="F229" s="3" t="str" cm="1">
        <f t="array" aca="1" ref="F229" ca="1">OFFSET(E229,-1,1)</f>
        <v>2</v>
      </c>
      <c r="H229" s="36" t="s">
        <v>597</v>
      </c>
      <c r="T229" s="365" t="b" cm="1">
        <f t="array" ref="T229">T228</f>
        <v>0</v>
      </c>
      <c r="X229" s="1075"/>
      <c r="Y229" s="1064"/>
      <c r="AB229" s="172" t="s">
        <v>598</v>
      </c>
      <c r="AC229" s="250" t="s">
        <v>599</v>
      </c>
      <c r="AD229" s="31" t="s">
        <v>534</v>
      </c>
      <c r="AE229" s="849"/>
      <c r="AF229" s="849"/>
      <c r="AG229" s="849"/>
      <c r="AH229" s="849"/>
      <c r="AI229" s="849"/>
      <c r="AJ229" s="849"/>
      <c r="AK229" s="849"/>
      <c r="AL229" s="849"/>
      <c r="AM229" s="849"/>
      <c r="AN229" s="849"/>
      <c r="AO229" s="849"/>
      <c r="AP229" s="849"/>
      <c r="AQ229" s="849"/>
      <c r="AR229" s="849"/>
      <c r="AS229" s="849"/>
      <c r="AT229" s="849"/>
      <c r="AU229" s="849"/>
      <c r="AV229" s="849"/>
      <c r="AW229" s="849"/>
      <c r="AX229" s="849"/>
      <c r="AY229" s="849"/>
      <c r="AZ229" s="849"/>
      <c r="BA229" s="849"/>
      <c r="BB229" s="849"/>
      <c r="BC229" s="784"/>
      <c r="BF229" s="680" t="s">
        <v>600</v>
      </c>
    </row>
    <row r="230" spans="5:58" ht="14.25" hidden="1" customHeight="1">
      <c r="E230" s="472">
        <v>15</v>
      </c>
      <c r="F230" s="3" t="str" cm="1">
        <f t="array" aca="1" ref="F230" ca="1">OFFSET(E230,-1,1)</f>
        <v>2</v>
      </c>
      <c r="H230" s="36" t="s">
        <v>601</v>
      </c>
      <c r="T230" s="365" t="b" cm="1">
        <f t="array" ref="T230">T229</f>
        <v>0</v>
      </c>
      <c r="X230" s="1075"/>
      <c r="Y230" s="1064"/>
      <c r="AB230" s="172" t="s">
        <v>602</v>
      </c>
      <c r="AC230" s="250" t="s">
        <v>603</v>
      </c>
      <c r="AD230" s="31" t="s">
        <v>534</v>
      </c>
      <c r="AE230" s="849"/>
      <c r="AF230" s="849"/>
      <c r="AG230" s="849"/>
      <c r="AH230" s="849"/>
      <c r="AI230" s="849"/>
      <c r="AJ230" s="849"/>
      <c r="AK230" s="849"/>
      <c r="AL230" s="849"/>
      <c r="AM230" s="849"/>
      <c r="AN230" s="849"/>
      <c r="AO230" s="849"/>
      <c r="AP230" s="849"/>
      <c r="AQ230" s="849"/>
      <c r="AR230" s="849"/>
      <c r="AS230" s="849"/>
      <c r="AT230" s="849"/>
      <c r="AU230" s="849"/>
      <c r="AV230" s="849"/>
      <c r="AW230" s="849"/>
      <c r="AX230" s="849"/>
      <c r="AY230" s="849"/>
      <c r="AZ230" s="849"/>
      <c r="BA230" s="849"/>
      <c r="BB230" s="849"/>
      <c r="BC230" s="784"/>
      <c r="BF230" s="680" t="s">
        <v>604</v>
      </c>
    </row>
    <row r="231" spans="5:58" ht="14.25" hidden="1" customHeight="1">
      <c r="E231" s="472">
        <v>15</v>
      </c>
      <c r="F231" s="3" t="str" cm="1">
        <f t="array" aca="1" ref="F231" ca="1">OFFSET(E231,-1,1)</f>
        <v>2</v>
      </c>
      <c r="G231" s="36" t="s">
        <v>605</v>
      </c>
      <c r="H231" s="36" t="s">
        <v>606</v>
      </c>
      <c r="T231" s="365" t="b" cm="1">
        <f t="array" ref="T231">T230</f>
        <v>0</v>
      </c>
      <c r="X231" s="1075"/>
      <c r="Y231" s="1064"/>
      <c r="AB231" s="172" t="s">
        <v>607</v>
      </c>
      <c r="AC231" s="124" t="s">
        <v>608</v>
      </c>
      <c r="AD231" s="31" t="s">
        <v>534</v>
      </c>
      <c r="AE231" s="236">
        <f t="shared" ref="AE231:BB231" si="59">SUM(AE232:AE233)</f>
        <v>0</v>
      </c>
      <c r="AF231" s="236">
        <f t="shared" si="59"/>
        <v>0</v>
      </c>
      <c r="AG231" s="236">
        <f t="shared" si="59"/>
        <v>0</v>
      </c>
      <c r="AH231" s="236">
        <f t="shared" si="59"/>
        <v>0</v>
      </c>
      <c r="AI231" s="236">
        <f t="shared" si="59"/>
        <v>0</v>
      </c>
      <c r="AJ231" s="236">
        <f t="shared" si="59"/>
        <v>0</v>
      </c>
      <c r="AK231" s="236">
        <f t="shared" si="59"/>
        <v>0</v>
      </c>
      <c r="AL231" s="236">
        <f t="shared" si="59"/>
        <v>0</v>
      </c>
      <c r="AM231" s="236">
        <f t="shared" si="59"/>
        <v>0</v>
      </c>
      <c r="AN231" s="236">
        <f t="shared" si="59"/>
        <v>0</v>
      </c>
      <c r="AO231" s="236">
        <f t="shared" si="59"/>
        <v>0</v>
      </c>
      <c r="AP231" s="236">
        <f t="shared" si="59"/>
        <v>0</v>
      </c>
      <c r="AQ231" s="236">
        <f t="shared" si="59"/>
        <v>0</v>
      </c>
      <c r="AR231" s="236">
        <f t="shared" si="59"/>
        <v>0</v>
      </c>
      <c r="AS231" s="236">
        <f t="shared" si="59"/>
        <v>0</v>
      </c>
      <c r="AT231" s="236">
        <f t="shared" si="59"/>
        <v>0</v>
      </c>
      <c r="AU231" s="236">
        <f t="shared" si="59"/>
        <v>0</v>
      </c>
      <c r="AV231" s="236">
        <f t="shared" si="59"/>
        <v>0</v>
      </c>
      <c r="AW231" s="236">
        <f t="shared" si="59"/>
        <v>0</v>
      </c>
      <c r="AX231" s="236">
        <f t="shared" si="59"/>
        <v>0</v>
      </c>
      <c r="AY231" s="236">
        <f t="shared" si="59"/>
        <v>0</v>
      </c>
      <c r="AZ231" s="236">
        <f t="shared" si="59"/>
        <v>0</v>
      </c>
      <c r="BA231" s="236">
        <f t="shared" si="59"/>
        <v>0</v>
      </c>
      <c r="BB231" s="236">
        <f t="shared" si="59"/>
        <v>0</v>
      </c>
      <c r="BC231" s="784"/>
      <c r="BF231" s="680" t="s">
        <v>609</v>
      </c>
    </row>
    <row r="232" spans="5:58" ht="14.25" hidden="1" customHeight="1">
      <c r="E232" s="472">
        <v>15</v>
      </c>
      <c r="F232" s="3" t="str" cm="1">
        <f t="array" aca="1" ref="F232" ca="1">OFFSET(E232,-1,1)</f>
        <v>2</v>
      </c>
      <c r="H232" s="36" t="s">
        <v>610</v>
      </c>
      <c r="T232" s="365" t="b" cm="1">
        <f t="array" ref="T232">T231</f>
        <v>0</v>
      </c>
      <c r="X232" s="1075"/>
      <c r="Y232" s="1064"/>
      <c r="AB232" s="172" t="s">
        <v>611</v>
      </c>
      <c r="AC232" s="250" t="s">
        <v>612</v>
      </c>
      <c r="AD232" s="31" t="s">
        <v>534</v>
      </c>
      <c r="AE232" s="849"/>
      <c r="AF232" s="849"/>
      <c r="AG232" s="849"/>
      <c r="AH232" s="849"/>
      <c r="AI232" s="849"/>
      <c r="AJ232" s="849"/>
      <c r="AK232" s="849"/>
      <c r="AL232" s="849"/>
      <c r="AM232" s="849"/>
      <c r="AN232" s="849"/>
      <c r="AO232" s="849"/>
      <c r="AP232" s="849"/>
      <c r="AQ232" s="849"/>
      <c r="AR232" s="849"/>
      <c r="AS232" s="849"/>
      <c r="AT232" s="849"/>
      <c r="AU232" s="849"/>
      <c r="AV232" s="849"/>
      <c r="AW232" s="849"/>
      <c r="AX232" s="849"/>
      <c r="AY232" s="849"/>
      <c r="AZ232" s="849"/>
      <c r="BA232" s="849"/>
      <c r="BB232" s="849"/>
      <c r="BC232" s="784"/>
      <c r="BF232" s="680" t="s">
        <v>613</v>
      </c>
    </row>
    <row r="233" spans="5:58" ht="14.25" hidden="1" customHeight="1">
      <c r="E233" s="472">
        <v>15</v>
      </c>
      <c r="F233" s="3" t="str" cm="1">
        <f t="array" aca="1" ref="F233" ca="1">OFFSET(E233,-1,1)</f>
        <v>2</v>
      </c>
      <c r="H233" s="36" t="s">
        <v>614</v>
      </c>
      <c r="T233" s="365" t="b" cm="1">
        <f t="array" ref="T233">T232</f>
        <v>0</v>
      </c>
      <c r="X233" s="1075"/>
      <c r="Y233" s="1064"/>
      <c r="AB233" s="172" t="s">
        <v>615</v>
      </c>
      <c r="AC233" s="250" t="s">
        <v>616</v>
      </c>
      <c r="AD233" s="31" t="s">
        <v>534</v>
      </c>
      <c r="AE233" s="849"/>
      <c r="AF233" s="849"/>
      <c r="AG233" s="849"/>
      <c r="AH233" s="849"/>
      <c r="AI233" s="849"/>
      <c r="AJ233" s="849"/>
      <c r="AK233" s="849"/>
      <c r="AL233" s="849"/>
      <c r="AM233" s="849"/>
      <c r="AN233" s="849"/>
      <c r="AO233" s="849"/>
      <c r="AP233" s="849"/>
      <c r="AQ233" s="849"/>
      <c r="AR233" s="849"/>
      <c r="AS233" s="849"/>
      <c r="AT233" s="849"/>
      <c r="AU233" s="849"/>
      <c r="AV233" s="849"/>
      <c r="AW233" s="849"/>
      <c r="AX233" s="849"/>
      <c r="AY233" s="849"/>
      <c r="AZ233" s="849"/>
      <c r="BA233" s="849"/>
      <c r="BB233" s="849"/>
      <c r="BC233" s="784"/>
      <c r="BF233" s="680" t="s">
        <v>617</v>
      </c>
    </row>
    <row r="234" spans="5:58" ht="14.25" hidden="1" customHeight="1">
      <c r="E234" s="472">
        <v>15</v>
      </c>
      <c r="F234" s="3" t="str" cm="1">
        <f t="array" aca="1" ref="F234" ca="1">OFFSET(E234,-1,1)</f>
        <v>2</v>
      </c>
      <c r="G234" s="36" t="s">
        <v>605</v>
      </c>
      <c r="H234" s="36" t="s">
        <v>618</v>
      </c>
      <c r="T234" s="365" t="b" cm="1">
        <f t="array" ref="T234">T233</f>
        <v>0</v>
      </c>
      <c r="X234" s="1075"/>
      <c r="Y234" s="1064"/>
      <c r="AB234" s="172" t="s">
        <v>619</v>
      </c>
      <c r="AC234" s="124" t="s">
        <v>620</v>
      </c>
      <c r="AD234" s="31" t="s">
        <v>534</v>
      </c>
      <c r="AE234" s="236">
        <f t="shared" ref="AE234:BB234" si="60">AE235+AE238+AE241</f>
        <v>0</v>
      </c>
      <c r="AF234" s="236">
        <f t="shared" si="60"/>
        <v>0</v>
      </c>
      <c r="AG234" s="236">
        <f t="shared" si="60"/>
        <v>0</v>
      </c>
      <c r="AH234" s="236">
        <f t="shared" si="60"/>
        <v>0</v>
      </c>
      <c r="AI234" s="236">
        <f t="shared" si="60"/>
        <v>0</v>
      </c>
      <c r="AJ234" s="236">
        <f t="shared" si="60"/>
        <v>0</v>
      </c>
      <c r="AK234" s="236">
        <f t="shared" si="60"/>
        <v>0</v>
      </c>
      <c r="AL234" s="236">
        <f t="shared" si="60"/>
        <v>0</v>
      </c>
      <c r="AM234" s="236">
        <f t="shared" si="60"/>
        <v>0</v>
      </c>
      <c r="AN234" s="236">
        <f t="shared" si="60"/>
        <v>0</v>
      </c>
      <c r="AO234" s="236">
        <f t="shared" si="60"/>
        <v>0</v>
      </c>
      <c r="AP234" s="236">
        <f t="shared" si="60"/>
        <v>0</v>
      </c>
      <c r="AQ234" s="236">
        <f t="shared" si="60"/>
        <v>0</v>
      </c>
      <c r="AR234" s="236">
        <f t="shared" si="60"/>
        <v>0</v>
      </c>
      <c r="AS234" s="236">
        <f t="shared" si="60"/>
        <v>0</v>
      </c>
      <c r="AT234" s="236">
        <f t="shared" si="60"/>
        <v>0</v>
      </c>
      <c r="AU234" s="236">
        <f t="shared" si="60"/>
        <v>0</v>
      </c>
      <c r="AV234" s="236">
        <f t="shared" si="60"/>
        <v>0</v>
      </c>
      <c r="AW234" s="236">
        <f t="shared" si="60"/>
        <v>0</v>
      </c>
      <c r="AX234" s="236">
        <f t="shared" si="60"/>
        <v>0</v>
      </c>
      <c r="AY234" s="236">
        <f t="shared" si="60"/>
        <v>0</v>
      </c>
      <c r="AZ234" s="236">
        <f t="shared" si="60"/>
        <v>0</v>
      </c>
      <c r="BA234" s="236">
        <f t="shared" si="60"/>
        <v>0</v>
      </c>
      <c r="BB234" s="236">
        <f t="shared" si="60"/>
        <v>0</v>
      </c>
      <c r="BC234" s="784"/>
      <c r="BF234" s="680" t="s">
        <v>621</v>
      </c>
    </row>
    <row r="235" spans="5:58" ht="14.25" hidden="1" customHeight="1">
      <c r="E235" s="472">
        <v>15</v>
      </c>
      <c r="F235" s="3" t="str" cm="1">
        <f t="array" aca="1" ref="F235" ca="1">OFFSET(E235,-1,1)</f>
        <v>2</v>
      </c>
      <c r="H235" s="36" t="s">
        <v>622</v>
      </c>
      <c r="T235" s="365" t="b" cm="1">
        <f t="array" ref="T235">T234</f>
        <v>0</v>
      </c>
      <c r="X235" s="1075"/>
      <c r="Y235" s="1064"/>
      <c r="AB235" s="172" t="s">
        <v>623</v>
      </c>
      <c r="AC235" s="250" t="s">
        <v>624</v>
      </c>
      <c r="AD235" s="31" t="s">
        <v>534</v>
      </c>
      <c r="AE235" s="236">
        <f t="shared" ref="AE235:BB235" si="61">SUM(AE236:AE237)</f>
        <v>0</v>
      </c>
      <c r="AF235" s="236">
        <f t="shared" si="61"/>
        <v>0</v>
      </c>
      <c r="AG235" s="236">
        <f t="shared" si="61"/>
        <v>0</v>
      </c>
      <c r="AH235" s="236">
        <f t="shared" si="61"/>
        <v>0</v>
      </c>
      <c r="AI235" s="236">
        <f t="shared" si="61"/>
        <v>0</v>
      </c>
      <c r="AJ235" s="236">
        <f t="shared" si="61"/>
        <v>0</v>
      </c>
      <c r="AK235" s="236">
        <f t="shared" si="61"/>
        <v>0</v>
      </c>
      <c r="AL235" s="236">
        <f t="shared" si="61"/>
        <v>0</v>
      </c>
      <c r="AM235" s="236">
        <f t="shared" si="61"/>
        <v>0</v>
      </c>
      <c r="AN235" s="236">
        <f t="shared" si="61"/>
        <v>0</v>
      </c>
      <c r="AO235" s="236">
        <f t="shared" si="61"/>
        <v>0</v>
      </c>
      <c r="AP235" s="236">
        <f t="shared" si="61"/>
        <v>0</v>
      </c>
      <c r="AQ235" s="236">
        <f t="shared" si="61"/>
        <v>0</v>
      </c>
      <c r="AR235" s="236">
        <f t="shared" si="61"/>
        <v>0</v>
      </c>
      <c r="AS235" s="236">
        <f t="shared" si="61"/>
        <v>0</v>
      </c>
      <c r="AT235" s="236">
        <f t="shared" si="61"/>
        <v>0</v>
      </c>
      <c r="AU235" s="236">
        <f t="shared" si="61"/>
        <v>0</v>
      </c>
      <c r="AV235" s="236">
        <f t="shared" si="61"/>
        <v>0</v>
      </c>
      <c r="AW235" s="236">
        <f t="shared" si="61"/>
        <v>0</v>
      </c>
      <c r="AX235" s="236">
        <f t="shared" si="61"/>
        <v>0</v>
      </c>
      <c r="AY235" s="236">
        <f t="shared" si="61"/>
        <v>0</v>
      </c>
      <c r="AZ235" s="236">
        <f t="shared" si="61"/>
        <v>0</v>
      </c>
      <c r="BA235" s="236">
        <f t="shared" si="61"/>
        <v>0</v>
      </c>
      <c r="BB235" s="236">
        <f t="shared" si="61"/>
        <v>0</v>
      </c>
      <c r="BC235" s="784"/>
      <c r="BF235" s="680" t="s">
        <v>625</v>
      </c>
    </row>
    <row r="236" spans="5:58" ht="14.25" hidden="1" customHeight="1">
      <c r="E236" s="472">
        <v>15</v>
      </c>
      <c r="F236" s="3" t="str" cm="1">
        <f t="array" aca="1" ref="F236" ca="1">OFFSET(E236,-1,1)</f>
        <v>2</v>
      </c>
      <c r="H236" s="36" t="s">
        <v>626</v>
      </c>
      <c r="T236" s="365" t="b" cm="1">
        <f t="array" ref="T236">T235</f>
        <v>0</v>
      </c>
      <c r="X236" s="1075"/>
      <c r="Y236" s="1064"/>
      <c r="AB236" s="172" t="s">
        <v>627</v>
      </c>
      <c r="AC236" s="251" t="s">
        <v>612</v>
      </c>
      <c r="AD236" s="31" t="s">
        <v>534</v>
      </c>
      <c r="AE236" s="849"/>
      <c r="AF236" s="849"/>
      <c r="AG236" s="849"/>
      <c r="AH236" s="849"/>
      <c r="AI236" s="849"/>
      <c r="AJ236" s="849"/>
      <c r="AK236" s="849"/>
      <c r="AL236" s="849"/>
      <c r="AM236" s="849"/>
      <c r="AN236" s="849"/>
      <c r="AO236" s="849"/>
      <c r="AP236" s="849"/>
      <c r="AQ236" s="849"/>
      <c r="AR236" s="849"/>
      <c r="AS236" s="849"/>
      <c r="AT236" s="849"/>
      <c r="AU236" s="849"/>
      <c r="AV236" s="849"/>
      <c r="AW236" s="849"/>
      <c r="AX236" s="849"/>
      <c r="AY236" s="849"/>
      <c r="AZ236" s="849"/>
      <c r="BA236" s="849"/>
      <c r="BB236" s="849"/>
      <c r="BC236" s="784"/>
      <c r="BF236" s="680" t="s">
        <v>628</v>
      </c>
    </row>
    <row r="237" spans="5:58" ht="14.25" hidden="1" customHeight="1">
      <c r="E237" s="472">
        <v>15</v>
      </c>
      <c r="F237" s="3" t="str" cm="1">
        <f t="array" aca="1" ref="F237" ca="1">OFFSET(E237,-1,1)</f>
        <v>2</v>
      </c>
      <c r="H237" s="36" t="s">
        <v>629</v>
      </c>
      <c r="T237" s="365" t="b" cm="1">
        <f t="array" ref="T237">T236</f>
        <v>0</v>
      </c>
      <c r="X237" s="1075"/>
      <c r="Y237" s="1064"/>
      <c r="AB237" s="172" t="s">
        <v>630</v>
      </c>
      <c r="AC237" s="251" t="s">
        <v>616</v>
      </c>
      <c r="AD237" s="31" t="s">
        <v>534</v>
      </c>
      <c r="AE237" s="849"/>
      <c r="AF237" s="849"/>
      <c r="AG237" s="849"/>
      <c r="AH237" s="849"/>
      <c r="AI237" s="849"/>
      <c r="AJ237" s="849"/>
      <c r="AK237" s="849"/>
      <c r="AL237" s="849"/>
      <c r="AM237" s="849"/>
      <c r="AN237" s="849"/>
      <c r="AO237" s="849"/>
      <c r="AP237" s="849"/>
      <c r="AQ237" s="849"/>
      <c r="AR237" s="849"/>
      <c r="AS237" s="849"/>
      <c r="AT237" s="849"/>
      <c r="AU237" s="849"/>
      <c r="AV237" s="849"/>
      <c r="AW237" s="849"/>
      <c r="AX237" s="849"/>
      <c r="AY237" s="849"/>
      <c r="AZ237" s="849"/>
      <c r="BA237" s="849"/>
      <c r="BB237" s="849"/>
      <c r="BC237" s="784"/>
      <c r="BF237" s="680" t="s">
        <v>631</v>
      </c>
    </row>
    <row r="238" spans="5:58" ht="14.25" hidden="1" customHeight="1">
      <c r="E238" s="472">
        <v>15</v>
      </c>
      <c r="F238" s="3" t="str" cm="1">
        <f t="array" aca="1" ref="F238" ca="1">OFFSET(E238,-1,1)</f>
        <v>2</v>
      </c>
      <c r="G238" s="36" t="s">
        <v>632</v>
      </c>
      <c r="H238" s="36" t="s">
        <v>633</v>
      </c>
      <c r="T238" s="365" t="b" cm="1">
        <f t="array" ref="T238">T237</f>
        <v>0</v>
      </c>
      <c r="X238" s="1075"/>
      <c r="Y238" s="1064"/>
      <c r="AB238" s="172" t="s">
        <v>634</v>
      </c>
      <c r="AC238" s="250" t="s">
        <v>635</v>
      </c>
      <c r="AD238" s="31" t="s">
        <v>534</v>
      </c>
      <c r="AE238" s="236">
        <f t="shared" ref="AE238:BB238" si="62">SUM(AE239:AE240)</f>
        <v>0</v>
      </c>
      <c r="AF238" s="236">
        <f t="shared" si="62"/>
        <v>0</v>
      </c>
      <c r="AG238" s="236">
        <f t="shared" si="62"/>
        <v>0</v>
      </c>
      <c r="AH238" s="236">
        <f t="shared" si="62"/>
        <v>0</v>
      </c>
      <c r="AI238" s="236">
        <f t="shared" si="62"/>
        <v>0</v>
      </c>
      <c r="AJ238" s="236">
        <f t="shared" si="62"/>
        <v>0</v>
      </c>
      <c r="AK238" s="236">
        <f t="shared" si="62"/>
        <v>0</v>
      </c>
      <c r="AL238" s="236">
        <f t="shared" si="62"/>
        <v>0</v>
      </c>
      <c r="AM238" s="236">
        <f t="shared" si="62"/>
        <v>0</v>
      </c>
      <c r="AN238" s="236">
        <f t="shared" si="62"/>
        <v>0</v>
      </c>
      <c r="AO238" s="236">
        <f t="shared" si="62"/>
        <v>0</v>
      </c>
      <c r="AP238" s="236">
        <f t="shared" si="62"/>
        <v>0</v>
      </c>
      <c r="AQ238" s="236">
        <f t="shared" si="62"/>
        <v>0</v>
      </c>
      <c r="AR238" s="236">
        <f t="shared" si="62"/>
        <v>0</v>
      </c>
      <c r="AS238" s="236">
        <f t="shared" si="62"/>
        <v>0</v>
      </c>
      <c r="AT238" s="236">
        <f t="shared" si="62"/>
        <v>0</v>
      </c>
      <c r="AU238" s="236">
        <f t="shared" si="62"/>
        <v>0</v>
      </c>
      <c r="AV238" s="236">
        <f t="shared" si="62"/>
        <v>0</v>
      </c>
      <c r="AW238" s="236">
        <f t="shared" si="62"/>
        <v>0</v>
      </c>
      <c r="AX238" s="236">
        <f t="shared" si="62"/>
        <v>0</v>
      </c>
      <c r="AY238" s="236">
        <f t="shared" si="62"/>
        <v>0</v>
      </c>
      <c r="AZ238" s="236">
        <f t="shared" si="62"/>
        <v>0</v>
      </c>
      <c r="BA238" s="236">
        <f t="shared" si="62"/>
        <v>0</v>
      </c>
      <c r="BB238" s="236">
        <f t="shared" si="62"/>
        <v>0</v>
      </c>
      <c r="BC238" s="784"/>
      <c r="BF238" s="680" t="s">
        <v>636</v>
      </c>
    </row>
    <row r="239" spans="5:58" ht="14.25" hidden="1" customHeight="1">
      <c r="E239" s="472">
        <v>15</v>
      </c>
      <c r="F239" s="3" t="str" cm="1">
        <f t="array" aca="1" ref="F239" ca="1">OFFSET(E239,-1,1)</f>
        <v>2</v>
      </c>
      <c r="H239" s="36" t="s">
        <v>637</v>
      </c>
      <c r="T239" s="365" t="b" cm="1">
        <f t="array" ref="T239">T238</f>
        <v>0</v>
      </c>
      <c r="X239" s="1075"/>
      <c r="Y239" s="1064"/>
      <c r="AB239" s="172" t="s">
        <v>638</v>
      </c>
      <c r="AC239" s="251" t="s">
        <v>612</v>
      </c>
      <c r="AD239" s="31" t="s">
        <v>534</v>
      </c>
      <c r="AE239" s="849"/>
      <c r="AF239" s="849"/>
      <c r="AG239" s="849"/>
      <c r="AH239" s="849"/>
      <c r="AI239" s="849"/>
      <c r="AJ239" s="849"/>
      <c r="AK239" s="849"/>
      <c r="AL239" s="849"/>
      <c r="AM239" s="849"/>
      <c r="AN239" s="849"/>
      <c r="AO239" s="849"/>
      <c r="AP239" s="849"/>
      <c r="AQ239" s="849"/>
      <c r="AR239" s="849"/>
      <c r="AS239" s="849"/>
      <c r="AT239" s="849"/>
      <c r="AU239" s="849"/>
      <c r="AV239" s="849"/>
      <c r="AW239" s="849"/>
      <c r="AX239" s="849"/>
      <c r="AY239" s="849"/>
      <c r="AZ239" s="849"/>
      <c r="BA239" s="849"/>
      <c r="BB239" s="849"/>
      <c r="BC239" s="784"/>
      <c r="BF239" s="680" t="s">
        <v>639</v>
      </c>
    </row>
    <row r="240" spans="5:58" ht="14.25" hidden="1" customHeight="1">
      <c r="E240" s="472">
        <v>15</v>
      </c>
      <c r="F240" s="3" t="str" cm="1">
        <f t="array" aca="1" ref="F240" ca="1">OFFSET(E240,-1,1)</f>
        <v>2</v>
      </c>
      <c r="H240" s="36" t="s">
        <v>640</v>
      </c>
      <c r="T240" s="365" t="b" cm="1">
        <f t="array" ref="T240">T239</f>
        <v>0</v>
      </c>
      <c r="X240" s="1075"/>
      <c r="Y240" s="1064"/>
      <c r="AB240" s="172" t="s">
        <v>641</v>
      </c>
      <c r="AC240" s="251" t="s">
        <v>616</v>
      </c>
      <c r="AD240" s="31" t="s">
        <v>534</v>
      </c>
      <c r="AE240" s="849"/>
      <c r="AF240" s="849"/>
      <c r="AG240" s="849"/>
      <c r="AH240" s="849"/>
      <c r="AI240" s="849"/>
      <c r="AJ240" s="849"/>
      <c r="AK240" s="849"/>
      <c r="AL240" s="849"/>
      <c r="AM240" s="849"/>
      <c r="AN240" s="849"/>
      <c r="AO240" s="849"/>
      <c r="AP240" s="849"/>
      <c r="AQ240" s="849"/>
      <c r="AR240" s="849"/>
      <c r="AS240" s="849"/>
      <c r="AT240" s="849"/>
      <c r="AU240" s="849"/>
      <c r="AV240" s="849"/>
      <c r="AW240" s="849"/>
      <c r="AX240" s="849"/>
      <c r="AY240" s="849"/>
      <c r="AZ240" s="849"/>
      <c r="BA240" s="849"/>
      <c r="BB240" s="849"/>
      <c r="BC240" s="784"/>
      <c r="BF240" s="680" t="s">
        <v>642</v>
      </c>
    </row>
    <row r="241" spans="1:58" ht="14.25" hidden="1" customHeight="1">
      <c r="E241" s="472">
        <v>15</v>
      </c>
      <c r="F241" s="3" t="str" cm="1">
        <f t="array" aca="1" ref="F241" ca="1">OFFSET(E241,-1,1)</f>
        <v>2</v>
      </c>
      <c r="H241" s="36" t="s">
        <v>643</v>
      </c>
      <c r="T241" s="365" t="b" cm="1">
        <f t="array" ref="T241">T240</f>
        <v>0</v>
      </c>
      <c r="X241" s="1075"/>
      <c r="Y241" s="1064"/>
      <c r="AB241" s="172" t="s">
        <v>644</v>
      </c>
      <c r="AC241" s="250" t="s">
        <v>645</v>
      </c>
      <c r="AD241" s="31" t="s">
        <v>534</v>
      </c>
      <c r="AE241" s="236">
        <f t="shared" ref="AE241:BB241" si="63">SUM(AE242:AE243)</f>
        <v>0</v>
      </c>
      <c r="AF241" s="236">
        <f t="shared" si="63"/>
        <v>0</v>
      </c>
      <c r="AG241" s="236">
        <f t="shared" si="63"/>
        <v>0</v>
      </c>
      <c r="AH241" s="236">
        <f t="shared" si="63"/>
        <v>0</v>
      </c>
      <c r="AI241" s="236">
        <f t="shared" si="63"/>
        <v>0</v>
      </c>
      <c r="AJ241" s="236">
        <f t="shared" si="63"/>
        <v>0</v>
      </c>
      <c r="AK241" s="236">
        <f t="shared" si="63"/>
        <v>0</v>
      </c>
      <c r="AL241" s="236">
        <f t="shared" si="63"/>
        <v>0</v>
      </c>
      <c r="AM241" s="236">
        <f t="shared" si="63"/>
        <v>0</v>
      </c>
      <c r="AN241" s="236">
        <f t="shared" si="63"/>
        <v>0</v>
      </c>
      <c r="AO241" s="236">
        <f t="shared" si="63"/>
        <v>0</v>
      </c>
      <c r="AP241" s="236">
        <f t="shared" si="63"/>
        <v>0</v>
      </c>
      <c r="AQ241" s="236">
        <f t="shared" si="63"/>
        <v>0</v>
      </c>
      <c r="AR241" s="236">
        <f t="shared" si="63"/>
        <v>0</v>
      </c>
      <c r="AS241" s="236">
        <f t="shared" si="63"/>
        <v>0</v>
      </c>
      <c r="AT241" s="236">
        <f t="shared" si="63"/>
        <v>0</v>
      </c>
      <c r="AU241" s="236">
        <f t="shared" si="63"/>
        <v>0</v>
      </c>
      <c r="AV241" s="236">
        <f t="shared" si="63"/>
        <v>0</v>
      </c>
      <c r="AW241" s="236">
        <f t="shared" si="63"/>
        <v>0</v>
      </c>
      <c r="AX241" s="236">
        <f t="shared" si="63"/>
        <v>0</v>
      </c>
      <c r="AY241" s="236">
        <f t="shared" si="63"/>
        <v>0</v>
      </c>
      <c r="AZ241" s="236">
        <f t="shared" si="63"/>
        <v>0</v>
      </c>
      <c r="BA241" s="236">
        <f t="shared" si="63"/>
        <v>0</v>
      </c>
      <c r="BB241" s="236">
        <f t="shared" si="63"/>
        <v>0</v>
      </c>
      <c r="BC241" s="784"/>
      <c r="BF241" s="680" t="s">
        <v>646</v>
      </c>
    </row>
    <row r="242" spans="1:58" ht="14.25" hidden="1" customHeight="1">
      <c r="E242" s="472">
        <v>15</v>
      </c>
      <c r="F242" s="3" t="str" cm="1">
        <f t="array" aca="1" ref="F242" ca="1">OFFSET(E242,-1,1)</f>
        <v>2</v>
      </c>
      <c r="H242" s="36" t="s">
        <v>647</v>
      </c>
      <c r="T242" s="365" t="b" cm="1">
        <f t="array" ref="T242">T241</f>
        <v>0</v>
      </c>
      <c r="X242" s="1075"/>
      <c r="Y242" s="1064"/>
      <c r="AB242" s="172" t="s">
        <v>648</v>
      </c>
      <c r="AC242" s="251" t="s">
        <v>612</v>
      </c>
      <c r="AD242" s="31" t="s">
        <v>534</v>
      </c>
      <c r="AE242" s="849"/>
      <c r="AF242" s="849"/>
      <c r="AG242" s="849"/>
      <c r="AH242" s="849"/>
      <c r="AI242" s="849"/>
      <c r="AJ242" s="849"/>
      <c r="AK242" s="849"/>
      <c r="AL242" s="849"/>
      <c r="AM242" s="849"/>
      <c r="AN242" s="849"/>
      <c r="AO242" s="849"/>
      <c r="AP242" s="849"/>
      <c r="AQ242" s="849"/>
      <c r="AR242" s="849"/>
      <c r="AS242" s="849"/>
      <c r="AT242" s="849"/>
      <c r="AU242" s="849"/>
      <c r="AV242" s="849"/>
      <c r="AW242" s="849"/>
      <c r="AX242" s="849"/>
      <c r="AY242" s="849"/>
      <c r="AZ242" s="849"/>
      <c r="BA242" s="849"/>
      <c r="BB242" s="849"/>
      <c r="BC242" s="784"/>
      <c r="BF242" s="680" t="s">
        <v>649</v>
      </c>
    </row>
    <row r="243" spans="1:58" ht="14.25" hidden="1" customHeight="1">
      <c r="E243" s="472">
        <v>15</v>
      </c>
      <c r="F243" s="3" t="str" cm="1">
        <f t="array" aca="1" ref="F243" ca="1">OFFSET(E243,-1,1)</f>
        <v>2</v>
      </c>
      <c r="H243" s="36" t="s">
        <v>650</v>
      </c>
      <c r="T243" s="365" t="b" cm="1">
        <f t="array" ref="T243">T242</f>
        <v>0</v>
      </c>
      <c r="X243" s="1075"/>
      <c r="Y243" s="1064"/>
      <c r="AB243" s="172" t="s">
        <v>651</v>
      </c>
      <c r="AC243" s="251" t="s">
        <v>616</v>
      </c>
      <c r="AD243" s="31" t="s">
        <v>534</v>
      </c>
      <c r="AE243" s="849"/>
      <c r="AF243" s="849"/>
      <c r="AG243" s="849"/>
      <c r="AH243" s="849"/>
      <c r="AI243" s="849"/>
      <c r="AJ243" s="849"/>
      <c r="AK243" s="849"/>
      <c r="AL243" s="849"/>
      <c r="AM243" s="849"/>
      <c r="AN243" s="849"/>
      <c r="AO243" s="849"/>
      <c r="AP243" s="849"/>
      <c r="AQ243" s="849"/>
      <c r="AR243" s="849"/>
      <c r="AS243" s="849"/>
      <c r="AT243" s="849"/>
      <c r="AU243" s="849"/>
      <c r="AV243" s="849"/>
      <c r="AW243" s="849"/>
      <c r="AX243" s="849"/>
      <c r="AY243" s="849"/>
      <c r="AZ243" s="849"/>
      <c r="BA243" s="849"/>
      <c r="BB243" s="849"/>
      <c r="BC243" s="839"/>
      <c r="BF243" s="680" t="s">
        <v>652</v>
      </c>
    </row>
    <row r="244" spans="1:58" ht="21.75" hidden="1" customHeight="1">
      <c r="E244" s="472">
        <v>22.5</v>
      </c>
      <c r="F244" s="3" t="str" cm="1">
        <f t="array" aca="1" ref="F244" ca="1">OFFSET(E244,-1,1)</f>
        <v>2</v>
      </c>
      <c r="H244" s="36" t="s">
        <v>653</v>
      </c>
      <c r="I244" s="327"/>
      <c r="J244" s="327"/>
      <c r="T244" s="365" t="b" cm="1">
        <f t="array" ref="T244">T243</f>
        <v>0</v>
      </c>
      <c r="X244" s="1075"/>
      <c r="Y244" s="1064"/>
      <c r="AB244" s="172" t="s">
        <v>654</v>
      </c>
      <c r="AC244" s="252" t="s">
        <v>655</v>
      </c>
      <c r="AD244" s="31" t="s">
        <v>534</v>
      </c>
      <c r="AE244" s="838"/>
      <c r="AF244" s="838"/>
      <c r="AG244" s="838"/>
      <c r="AH244" s="838"/>
      <c r="AI244" s="838"/>
      <c r="AJ244" s="838"/>
      <c r="AK244" s="838"/>
      <c r="AL244" s="838"/>
      <c r="AM244" s="838"/>
      <c r="AN244" s="838"/>
      <c r="AO244" s="838"/>
      <c r="AP244" s="838"/>
      <c r="AQ244" s="838"/>
      <c r="AR244" s="838"/>
      <c r="AS244" s="838"/>
      <c r="AT244" s="838"/>
      <c r="AU244" s="838"/>
      <c r="AV244" s="838"/>
      <c r="AW244" s="838"/>
      <c r="AX244" s="838"/>
      <c r="AY244" s="838"/>
      <c r="AZ244" s="838"/>
      <c r="BA244" s="838"/>
      <c r="BB244" s="838"/>
      <c r="BC244" s="839"/>
      <c r="BF244" s="680" t="s">
        <v>656</v>
      </c>
    </row>
    <row r="245" spans="1:58" ht="14.25" hidden="1" customHeight="1">
      <c r="E245" s="472">
        <v>15</v>
      </c>
      <c r="F245" s="266" t="str" cm="1">
        <f t="array" aca="1" ref="F245" ca="1">OFFSET(E245,-1,1)</f>
        <v>2</v>
      </c>
      <c r="T245" s="365" t="b" cm="1">
        <f t="array" ref="T245">T244</f>
        <v>0</v>
      </c>
      <c r="X245" s="1075"/>
      <c r="Y245" s="1064"/>
      <c r="AB245" s="172" t="s">
        <v>657</v>
      </c>
      <c r="AC245" s="252" t="s">
        <v>658</v>
      </c>
      <c r="AD245" s="31" t="s">
        <v>534</v>
      </c>
      <c r="AE245" s="838"/>
      <c r="AF245" s="838"/>
      <c r="AG245" s="838"/>
      <c r="AH245" s="838"/>
      <c r="AI245" s="838"/>
      <c r="AJ245" s="838"/>
      <c r="AK245" s="838"/>
      <c r="AL245" s="838"/>
      <c r="AM245" s="838"/>
      <c r="AN245" s="838"/>
      <c r="AO245" s="838"/>
      <c r="AP245" s="838"/>
      <c r="AQ245" s="838"/>
      <c r="AR245" s="838"/>
      <c r="AS245" s="838"/>
      <c r="AT245" s="838"/>
      <c r="AU245" s="838"/>
      <c r="AV245" s="838"/>
      <c r="AW245" s="838"/>
      <c r="AX245" s="838"/>
      <c r="AY245" s="838"/>
      <c r="AZ245" s="838"/>
      <c r="BA245" s="838"/>
      <c r="BB245" s="838"/>
      <c r="BC245" s="839"/>
      <c r="BF245" s="680" t="s">
        <v>659</v>
      </c>
    </row>
    <row r="246" spans="1:58" ht="11.25" hidden="1" customHeight="1">
      <c r="A246" s="327"/>
      <c r="B246" s="490"/>
      <c r="C246" s="327"/>
      <c r="D246" s="327"/>
      <c r="E246" s="491" t="s">
        <v>366</v>
      </c>
      <c r="F246" s="774" t="str" cm="1">
        <f t="array" aca="1" ref="F246" ca="1">OFFSET(E246,-1,1)</f>
        <v>2</v>
      </c>
      <c r="G246" s="327"/>
      <c r="H246" s="327"/>
      <c r="I246"/>
      <c r="J246"/>
      <c r="L246" s="327"/>
      <c r="M246" s="327"/>
      <c r="N246" s="327"/>
      <c r="O246" s="327"/>
      <c r="T246" s="365" t="b">
        <v>0</v>
      </c>
      <c r="V246" s="327"/>
      <c r="X246" s="1075"/>
      <c r="Y246" s="1064"/>
      <c r="Z246" s="327"/>
      <c r="AA246" s="327"/>
      <c r="AB246"/>
      <c r="AC246" s="37"/>
      <c r="AD246" s="37"/>
      <c r="AE246" s="262"/>
      <c r="AF246" s="262"/>
      <c r="AG246" s="262"/>
      <c r="AH246" s="262"/>
      <c r="AI246" s="262"/>
      <c r="AJ246" s="263"/>
      <c r="AK246" s="262"/>
      <c r="AL246" s="262"/>
      <c r="AM246" s="262"/>
      <c r="AN246" s="262"/>
      <c r="AO246" s="262"/>
      <c r="AP246" s="262"/>
      <c r="AQ246" s="262"/>
      <c r="AR246" s="262"/>
      <c r="AS246" s="262"/>
      <c r="AT246" s="262"/>
      <c r="AU246" s="262"/>
      <c r="AV246" s="262"/>
      <c r="AW246" s="262"/>
      <c r="AX246" s="262"/>
      <c r="AY246" s="262"/>
      <c r="AZ246" s="262"/>
      <c r="BA246" s="262"/>
      <c r="BB246" s="262"/>
      <c r="BC246"/>
      <c r="BD246"/>
      <c r="BE246"/>
      <c r="BF246" s="670"/>
    </row>
    <row r="247" spans="1:58" ht="14.25" hidden="1" customHeight="1">
      <c r="E247" s="472">
        <v>15</v>
      </c>
      <c r="F247" s="3" t="str" cm="1">
        <f t="array" aca="1" ref="F247" ca="1">OFFSET(E247,-1,1)</f>
        <v>2</v>
      </c>
      <c r="R247" s="327" t="b" cm="1">
        <f t="array" ref="R247">INDEX('Общие сведения'!$AN$179:$AN$222,MATCH($X209,'Общие сведения'!$Z$179:$Z$222,0))</f>
        <v>0</v>
      </c>
      <c r="S247" s="327" t="b">
        <f>IF(ISERROR(SEARCH("Водоснабжение",AB209)),FALSE,TRUE)</f>
        <v>0</v>
      </c>
      <c r="T247" s="365" t="b">
        <f>AND(X209&gt;0,S247,R247)</f>
        <v>0</v>
      </c>
      <c r="X247" s="1075"/>
      <c r="Y247" s="1064"/>
      <c r="AB247" s="172" t="s">
        <v>275</v>
      </c>
      <c r="AC247" s="247" t="s">
        <v>531</v>
      </c>
      <c r="AD247" s="130"/>
      <c r="AE247" s="427" t="str" cm="1">
        <f t="array" ref="AE247">INDEX('Общие сведения'!$AH$179:$AH$222,MATCH($X209,'Общие сведения'!$Z$179:$Z$222,0))</f>
        <v>без дифференциации</v>
      </c>
      <c r="AF247" s="277"/>
      <c r="AG247" s="277"/>
      <c r="AH247" s="277"/>
      <c r="AI247" s="277"/>
      <c r="AJ247" s="277"/>
      <c r="AK247" s="277"/>
      <c r="AL247" s="277"/>
      <c r="AM247" s="277"/>
      <c r="AN247" s="277"/>
      <c r="AO247" s="277"/>
      <c r="AP247" s="277"/>
      <c r="AQ247" s="277"/>
      <c r="AR247" s="277"/>
      <c r="AS247" s="277"/>
      <c r="AT247" s="277"/>
      <c r="AU247" s="277"/>
      <c r="AV247" s="277"/>
      <c r="AW247" s="277"/>
      <c r="AX247" s="277"/>
      <c r="AY247" s="277"/>
      <c r="AZ247" s="277"/>
      <c r="BA247" s="277"/>
      <c r="BB247" s="278"/>
      <c r="BC247" s="839"/>
      <c r="BF247" s="680" t="s">
        <v>660</v>
      </c>
    </row>
    <row r="248" spans="1:58" ht="14.25" hidden="1" customHeight="1">
      <c r="E248" s="472">
        <v>15</v>
      </c>
      <c r="F248" s="3" t="str" cm="1">
        <f t="array" aca="1" ref="F248" ca="1">OFFSET(E248,-1,1)</f>
        <v>2</v>
      </c>
      <c r="H248" s="36" t="s">
        <v>331</v>
      </c>
      <c r="T248" s="365" t="b" cm="1">
        <f t="array" ref="T248">T247</f>
        <v>0</v>
      </c>
      <c r="X248" s="1075"/>
      <c r="Y248" s="1064"/>
      <c r="AB248" s="172" t="s">
        <v>285</v>
      </c>
      <c r="AC248" s="253" t="s">
        <v>661</v>
      </c>
      <c r="AD248" s="31" t="s">
        <v>534</v>
      </c>
      <c r="AE248" s="264">
        <f t="shared" ref="AE248:BB248" si="64">AE252+AE254+AE257+AE260</f>
        <v>0</v>
      </c>
      <c r="AF248" s="264">
        <f t="shared" si="64"/>
        <v>0</v>
      </c>
      <c r="AG248" s="264">
        <f t="shared" si="64"/>
        <v>0</v>
      </c>
      <c r="AH248" s="264">
        <f t="shared" si="64"/>
        <v>0</v>
      </c>
      <c r="AI248" s="264">
        <f t="shared" si="64"/>
        <v>0</v>
      </c>
      <c r="AJ248" s="264">
        <f t="shared" si="64"/>
        <v>0</v>
      </c>
      <c r="AK248" s="264">
        <f t="shared" si="64"/>
        <v>0</v>
      </c>
      <c r="AL248" s="264">
        <f t="shared" si="64"/>
        <v>0</v>
      </c>
      <c r="AM248" s="264">
        <f t="shared" si="64"/>
        <v>0</v>
      </c>
      <c r="AN248" s="264">
        <f t="shared" si="64"/>
        <v>0</v>
      </c>
      <c r="AO248" s="264">
        <f t="shared" si="64"/>
        <v>0</v>
      </c>
      <c r="AP248" s="264">
        <f t="shared" si="64"/>
        <v>0</v>
      </c>
      <c r="AQ248" s="264">
        <f t="shared" si="64"/>
        <v>0</v>
      </c>
      <c r="AR248" s="264">
        <f t="shared" si="64"/>
        <v>0</v>
      </c>
      <c r="AS248" s="264">
        <f t="shared" si="64"/>
        <v>0</v>
      </c>
      <c r="AT248" s="264">
        <f t="shared" si="64"/>
        <v>0</v>
      </c>
      <c r="AU248" s="264">
        <f t="shared" si="64"/>
        <v>0</v>
      </c>
      <c r="AV248" s="264">
        <f t="shared" si="64"/>
        <v>0</v>
      </c>
      <c r="AW248" s="264">
        <f t="shared" si="64"/>
        <v>0</v>
      </c>
      <c r="AX248" s="264">
        <f t="shared" si="64"/>
        <v>0</v>
      </c>
      <c r="AY248" s="264">
        <f t="shared" si="64"/>
        <v>0</v>
      </c>
      <c r="AZ248" s="264">
        <f t="shared" si="64"/>
        <v>0</v>
      </c>
      <c r="BA248" s="264">
        <f t="shared" si="64"/>
        <v>0</v>
      </c>
      <c r="BB248" s="264">
        <f t="shared" si="64"/>
        <v>0</v>
      </c>
      <c r="BC248" s="839"/>
      <c r="BF248" s="680" t="s">
        <v>662</v>
      </c>
    </row>
    <row r="249" spans="1:58" ht="14.25" hidden="1" customHeight="1">
      <c r="E249" s="472">
        <v>15</v>
      </c>
      <c r="F249" s="3" t="str" cm="1">
        <f t="array" aca="1" ref="F249" ca="1">OFFSET(E249,-1,1)</f>
        <v>2</v>
      </c>
      <c r="H249" s="36" t="s">
        <v>536</v>
      </c>
      <c r="T249" s="365" t="b" cm="1">
        <f t="array" ref="T249">T248</f>
        <v>0</v>
      </c>
      <c r="X249" s="1075"/>
      <c r="Y249" s="1064"/>
      <c r="AB249" s="172" t="s">
        <v>537</v>
      </c>
      <c r="AC249" s="254" t="s">
        <v>663</v>
      </c>
      <c r="AD249" s="31" t="s">
        <v>534</v>
      </c>
      <c r="AE249" s="838"/>
      <c r="AF249" s="838"/>
      <c r="AG249" s="838"/>
      <c r="AH249" s="838"/>
      <c r="AI249" s="838"/>
      <c r="AJ249" s="838"/>
      <c r="AK249" s="838"/>
      <c r="AL249" s="838"/>
      <c r="AM249" s="838"/>
      <c r="AN249" s="838"/>
      <c r="AO249" s="838"/>
      <c r="AP249" s="838"/>
      <c r="AQ249" s="838"/>
      <c r="AR249" s="838"/>
      <c r="AS249" s="838"/>
      <c r="AT249" s="838"/>
      <c r="AU249" s="838"/>
      <c r="AV249" s="838"/>
      <c r="AW249" s="838"/>
      <c r="AX249" s="838"/>
      <c r="AY249" s="838"/>
      <c r="AZ249" s="838"/>
      <c r="BA249" s="838"/>
      <c r="BB249" s="838"/>
      <c r="BC249" s="839"/>
      <c r="BF249" s="680" t="s">
        <v>664</v>
      </c>
    </row>
    <row r="250" spans="1:58" ht="14.25" hidden="1" customHeight="1">
      <c r="E250" s="472">
        <v>15</v>
      </c>
      <c r="F250" s="3" t="str" cm="1">
        <f t="array" aca="1" ref="F250" ca="1">OFFSET(E250,-1,1)</f>
        <v>2</v>
      </c>
      <c r="H250" s="36" t="s">
        <v>540</v>
      </c>
      <c r="T250" s="365" t="b" cm="1">
        <f t="array" ref="T250">T249</f>
        <v>0</v>
      </c>
      <c r="X250" s="1075"/>
      <c r="Y250" s="1064"/>
      <c r="AB250" s="172" t="s">
        <v>541</v>
      </c>
      <c r="AC250" s="254" t="s">
        <v>665</v>
      </c>
      <c r="AD250" s="31" t="s">
        <v>534</v>
      </c>
      <c r="AE250" s="838"/>
      <c r="AF250" s="838"/>
      <c r="AG250" s="838"/>
      <c r="AH250" s="838"/>
      <c r="AI250" s="838"/>
      <c r="AJ250" s="838"/>
      <c r="AK250" s="838"/>
      <c r="AL250" s="838"/>
      <c r="AM250" s="838"/>
      <c r="AN250" s="838"/>
      <c r="AO250" s="838"/>
      <c r="AP250" s="838"/>
      <c r="AQ250" s="838"/>
      <c r="AR250" s="838"/>
      <c r="AS250" s="838"/>
      <c r="AT250" s="838"/>
      <c r="AU250" s="838"/>
      <c r="AV250" s="838"/>
      <c r="AW250" s="838"/>
      <c r="AX250" s="838"/>
      <c r="AY250" s="838"/>
      <c r="AZ250" s="838"/>
      <c r="BA250" s="838"/>
      <c r="BB250" s="838"/>
      <c r="BC250" s="839"/>
      <c r="BF250" s="680" t="s">
        <v>666</v>
      </c>
    </row>
    <row r="251" spans="1:58" ht="21.75" hidden="1" customHeight="1">
      <c r="E251" s="472">
        <v>22.5</v>
      </c>
      <c r="F251" s="3" t="str" cm="1">
        <f t="array" aca="1" ref="F251" ca="1">OFFSET(E251,-1,1)</f>
        <v>2</v>
      </c>
      <c r="H251" s="36" t="s">
        <v>544</v>
      </c>
      <c r="T251" s="365" t="b" cm="1">
        <f t="array" ref="T251">T250</f>
        <v>0</v>
      </c>
      <c r="X251" s="1075"/>
      <c r="Y251" s="1064"/>
      <c r="AB251" s="172" t="s">
        <v>545</v>
      </c>
      <c r="AC251" s="254" t="s">
        <v>667</v>
      </c>
      <c r="AD251" s="31" t="s">
        <v>534</v>
      </c>
      <c r="AE251" s="838"/>
      <c r="AF251" s="838"/>
      <c r="AG251" s="838"/>
      <c r="AH251" s="838"/>
      <c r="AI251" s="838"/>
      <c r="AJ251" s="838"/>
      <c r="AK251" s="838"/>
      <c r="AL251" s="838"/>
      <c r="AM251" s="838"/>
      <c r="AN251" s="838"/>
      <c r="AO251" s="838"/>
      <c r="AP251" s="838"/>
      <c r="AQ251" s="838"/>
      <c r="AR251" s="838"/>
      <c r="AS251" s="838"/>
      <c r="AT251" s="838"/>
      <c r="AU251" s="838"/>
      <c r="AV251" s="838"/>
      <c r="AW251" s="838"/>
      <c r="AX251" s="838"/>
      <c r="AY251" s="838"/>
      <c r="AZ251" s="838"/>
      <c r="BA251" s="838"/>
      <c r="BB251" s="838"/>
      <c r="BC251" s="839"/>
      <c r="BF251" s="680" t="s">
        <v>668</v>
      </c>
    </row>
    <row r="252" spans="1:58" ht="14.25" hidden="1" customHeight="1">
      <c r="E252" s="472">
        <v>15</v>
      </c>
      <c r="F252" s="3" t="str" cm="1">
        <f t="array" aca="1" ref="F252" ca="1">OFFSET(E252,-1,1)</f>
        <v>2</v>
      </c>
      <c r="H252" s="36" t="s">
        <v>330</v>
      </c>
      <c r="T252" s="365" t="b" cm="1">
        <f t="array" ref="T252">T251</f>
        <v>0</v>
      </c>
      <c r="X252" s="1075"/>
      <c r="Y252" s="1064"/>
      <c r="AB252" s="172" t="s">
        <v>325</v>
      </c>
      <c r="AC252" s="247" t="s">
        <v>579</v>
      </c>
      <c r="AD252" s="31" t="s">
        <v>534</v>
      </c>
      <c r="AE252" s="838"/>
      <c r="AF252" s="838"/>
      <c r="AG252" s="838"/>
      <c r="AH252" s="838"/>
      <c r="AI252" s="838"/>
      <c r="AJ252" s="838"/>
      <c r="AK252" s="838"/>
      <c r="AL252" s="838"/>
      <c r="AM252" s="838"/>
      <c r="AN252" s="838"/>
      <c r="AO252" s="838"/>
      <c r="AP252" s="838"/>
      <c r="AQ252" s="838"/>
      <c r="AR252" s="838"/>
      <c r="AS252" s="838"/>
      <c r="AT252" s="838"/>
      <c r="AU252" s="838"/>
      <c r="AV252" s="838"/>
      <c r="AW252" s="838"/>
      <c r="AX252" s="838"/>
      <c r="AY252" s="838"/>
      <c r="AZ252" s="838"/>
      <c r="BA252" s="838"/>
      <c r="BB252" s="838"/>
      <c r="BC252" s="839"/>
      <c r="BF252" s="680" t="s">
        <v>669</v>
      </c>
    </row>
    <row r="253" spans="1:58" ht="14.25" hidden="1" customHeight="1">
      <c r="E253" s="472">
        <v>15</v>
      </c>
      <c r="F253" s="3" t="str" cm="1">
        <f t="array" aca="1" ref="F253" ca="1">OFFSET(E253,-1,1)</f>
        <v>2</v>
      </c>
      <c r="H253" s="36" t="s">
        <v>550</v>
      </c>
      <c r="T253" s="365" t="b" cm="1">
        <f t="array" ref="T253">T252</f>
        <v>0</v>
      </c>
      <c r="X253" s="1075"/>
      <c r="Y253" s="1064"/>
      <c r="AB253" s="172" t="s">
        <v>551</v>
      </c>
      <c r="AC253" s="249" t="s">
        <v>583</v>
      </c>
      <c r="AD253" s="31" t="s">
        <v>456</v>
      </c>
      <c r="AE253" s="833">
        <f t="shared" ref="AE253:BB253" si="65">IF(AE248=0,0,AE252/AE248*100)</f>
        <v>0</v>
      </c>
      <c r="AF253" s="833">
        <f t="shared" si="65"/>
        <v>0</v>
      </c>
      <c r="AG253" s="833">
        <f t="shared" si="65"/>
        <v>0</v>
      </c>
      <c r="AH253" s="833">
        <f t="shared" si="65"/>
        <v>0</v>
      </c>
      <c r="AI253" s="833">
        <f t="shared" si="65"/>
        <v>0</v>
      </c>
      <c r="AJ253" s="833">
        <f t="shared" si="65"/>
        <v>0</v>
      </c>
      <c r="AK253" s="833">
        <f t="shared" si="65"/>
        <v>0</v>
      </c>
      <c r="AL253" s="833">
        <f t="shared" si="65"/>
        <v>0</v>
      </c>
      <c r="AM253" s="833">
        <f t="shared" si="65"/>
        <v>0</v>
      </c>
      <c r="AN253" s="833">
        <f t="shared" si="65"/>
        <v>0</v>
      </c>
      <c r="AO253" s="833">
        <f t="shared" si="65"/>
        <v>0</v>
      </c>
      <c r="AP253" s="833">
        <f t="shared" si="65"/>
        <v>0</v>
      </c>
      <c r="AQ253" s="833">
        <f t="shared" si="65"/>
        <v>0</v>
      </c>
      <c r="AR253" s="833">
        <f t="shared" si="65"/>
        <v>0</v>
      </c>
      <c r="AS253" s="833">
        <f t="shared" si="65"/>
        <v>0</v>
      </c>
      <c r="AT253" s="833">
        <f t="shared" si="65"/>
        <v>0</v>
      </c>
      <c r="AU253" s="833">
        <f t="shared" si="65"/>
        <v>0</v>
      </c>
      <c r="AV253" s="833">
        <f t="shared" si="65"/>
        <v>0</v>
      </c>
      <c r="AW253" s="833">
        <f t="shared" si="65"/>
        <v>0</v>
      </c>
      <c r="AX253" s="833">
        <f t="shared" si="65"/>
        <v>0</v>
      </c>
      <c r="AY253" s="833">
        <f t="shared" si="65"/>
        <v>0</v>
      </c>
      <c r="AZ253" s="833">
        <f t="shared" si="65"/>
        <v>0</v>
      </c>
      <c r="BA253" s="833">
        <f t="shared" si="65"/>
        <v>0</v>
      </c>
      <c r="BB253" s="833">
        <f t="shared" si="65"/>
        <v>0</v>
      </c>
      <c r="BC253" s="784"/>
      <c r="BF253" s="680" t="s">
        <v>670</v>
      </c>
    </row>
    <row r="254" spans="1:58" ht="14.25" hidden="1" customHeight="1">
      <c r="E254" s="472">
        <v>15</v>
      </c>
      <c r="F254" s="3" t="str" cm="1">
        <f t="array" aca="1" ref="F254" ca="1">OFFSET(E254,-1,1)</f>
        <v>2</v>
      </c>
      <c r="G254" s="36" t="str">
        <f>IF(OwnNeedsInPO="да","ПО","")</f>
        <v/>
      </c>
      <c r="H254" s="36" t="s">
        <v>511</v>
      </c>
      <c r="T254" s="365" t="b" cm="1">
        <f t="array" ref="T254">T253</f>
        <v>0</v>
      </c>
      <c r="X254" s="1075"/>
      <c r="Y254" s="1064"/>
      <c r="AB254" s="172" t="s">
        <v>433</v>
      </c>
      <c r="AC254" s="253" t="s">
        <v>591</v>
      </c>
      <c r="AD254" s="31" t="s">
        <v>534</v>
      </c>
      <c r="AE254" s="264">
        <f t="shared" ref="AE254:BB254" si="66">AE255+AE256</f>
        <v>0</v>
      </c>
      <c r="AF254" s="264">
        <f t="shared" si="66"/>
        <v>0</v>
      </c>
      <c r="AG254" s="264">
        <f t="shared" si="66"/>
        <v>0</v>
      </c>
      <c r="AH254" s="264">
        <f t="shared" si="66"/>
        <v>0</v>
      </c>
      <c r="AI254" s="264">
        <f t="shared" si="66"/>
        <v>0</v>
      </c>
      <c r="AJ254" s="264">
        <f t="shared" si="66"/>
        <v>0</v>
      </c>
      <c r="AK254" s="264">
        <f t="shared" si="66"/>
        <v>0</v>
      </c>
      <c r="AL254" s="264">
        <f t="shared" si="66"/>
        <v>0</v>
      </c>
      <c r="AM254" s="264">
        <f t="shared" si="66"/>
        <v>0</v>
      </c>
      <c r="AN254" s="264">
        <f t="shared" si="66"/>
        <v>0</v>
      </c>
      <c r="AO254" s="264">
        <f t="shared" si="66"/>
        <v>0</v>
      </c>
      <c r="AP254" s="264">
        <f t="shared" si="66"/>
        <v>0</v>
      </c>
      <c r="AQ254" s="264">
        <f t="shared" si="66"/>
        <v>0</v>
      </c>
      <c r="AR254" s="264">
        <f t="shared" si="66"/>
        <v>0</v>
      </c>
      <c r="AS254" s="264">
        <f t="shared" si="66"/>
        <v>0</v>
      </c>
      <c r="AT254" s="264">
        <f t="shared" si="66"/>
        <v>0</v>
      </c>
      <c r="AU254" s="264">
        <f t="shared" si="66"/>
        <v>0</v>
      </c>
      <c r="AV254" s="264">
        <f t="shared" si="66"/>
        <v>0</v>
      </c>
      <c r="AW254" s="264">
        <f t="shared" si="66"/>
        <v>0</v>
      </c>
      <c r="AX254" s="264">
        <f t="shared" si="66"/>
        <v>0</v>
      </c>
      <c r="AY254" s="264">
        <f t="shared" si="66"/>
        <v>0</v>
      </c>
      <c r="AZ254" s="264">
        <f t="shared" si="66"/>
        <v>0</v>
      </c>
      <c r="BA254" s="264">
        <f t="shared" si="66"/>
        <v>0</v>
      </c>
      <c r="BB254" s="264">
        <f t="shared" si="66"/>
        <v>0</v>
      </c>
      <c r="BC254" s="839"/>
      <c r="BF254" s="680" t="s">
        <v>671</v>
      </c>
    </row>
    <row r="255" spans="1:58" ht="14.25" hidden="1" customHeight="1">
      <c r="E255" s="472">
        <v>15</v>
      </c>
      <c r="F255" s="3" t="str" cm="1">
        <f t="array" aca="1" ref="F255" ca="1">OFFSET(E255,-1,1)</f>
        <v>2</v>
      </c>
      <c r="H255" s="36" t="s">
        <v>672</v>
      </c>
      <c r="T255" s="365" t="b" cm="1">
        <f t="array" ref="T255">T254</f>
        <v>0</v>
      </c>
      <c r="X255" s="1075"/>
      <c r="Y255" s="1064"/>
      <c r="AB255" s="172" t="s">
        <v>673</v>
      </c>
      <c r="AC255" s="254" t="s">
        <v>595</v>
      </c>
      <c r="AD255" s="31" t="s">
        <v>534</v>
      </c>
      <c r="AE255" s="838"/>
      <c r="AF255" s="838"/>
      <c r="AG255" s="838"/>
      <c r="AH255" s="838"/>
      <c r="AI255" s="838"/>
      <c r="AJ255" s="838"/>
      <c r="AK255" s="838"/>
      <c r="AL255" s="838"/>
      <c r="AM255" s="838"/>
      <c r="AN255" s="838"/>
      <c r="AO255" s="838"/>
      <c r="AP255" s="838"/>
      <c r="AQ255" s="838"/>
      <c r="AR255" s="838"/>
      <c r="AS255" s="838"/>
      <c r="AT255" s="838"/>
      <c r="AU255" s="838"/>
      <c r="AV255" s="838"/>
      <c r="AW255" s="838"/>
      <c r="AX255" s="838"/>
      <c r="AY255" s="838"/>
      <c r="AZ255" s="838"/>
      <c r="BA255" s="838"/>
      <c r="BB255" s="838"/>
      <c r="BC255" s="839"/>
      <c r="BF255" s="680" t="s">
        <v>674</v>
      </c>
    </row>
    <row r="256" spans="1:58" ht="14.25" hidden="1" customHeight="1">
      <c r="E256" s="472">
        <v>15</v>
      </c>
      <c r="F256" s="3" t="str" cm="1">
        <f t="array" aca="1" ref="F256" ca="1">OFFSET(E256,-1,1)</f>
        <v>2</v>
      </c>
      <c r="H256" s="36" t="s">
        <v>675</v>
      </c>
      <c r="T256" s="365" t="b" cm="1">
        <f t="array" ref="T256">T255</f>
        <v>0</v>
      </c>
      <c r="X256" s="1075"/>
      <c r="Y256" s="1064"/>
      <c r="AB256" s="172" t="s">
        <v>676</v>
      </c>
      <c r="AC256" s="254" t="s">
        <v>599</v>
      </c>
      <c r="AD256" s="31" t="s">
        <v>534</v>
      </c>
      <c r="AE256" s="838"/>
      <c r="AF256" s="838"/>
      <c r="AG256" s="838"/>
      <c r="AH256" s="838"/>
      <c r="AI256" s="838"/>
      <c r="AJ256" s="838"/>
      <c r="AK256" s="838"/>
      <c r="AL256" s="838"/>
      <c r="AM256" s="838"/>
      <c r="AN256" s="838"/>
      <c r="AO256" s="838"/>
      <c r="AP256" s="838"/>
      <c r="AQ256" s="838"/>
      <c r="AR256" s="838"/>
      <c r="AS256" s="838"/>
      <c r="AT256" s="838"/>
      <c r="AU256" s="838"/>
      <c r="AV256" s="838"/>
      <c r="AW256" s="838"/>
      <c r="AX256" s="838"/>
      <c r="AY256" s="838"/>
      <c r="AZ256" s="838"/>
      <c r="BA256" s="838"/>
      <c r="BB256" s="838"/>
      <c r="BC256" s="839"/>
      <c r="BF256" s="680" t="s">
        <v>677</v>
      </c>
    </row>
    <row r="257" spans="1:58" ht="14.25" hidden="1" customHeight="1">
      <c r="E257" s="472">
        <v>15</v>
      </c>
      <c r="F257" s="3" t="str" cm="1">
        <f t="array" aca="1" ref="F257" ca="1">OFFSET(E257,-1,1)</f>
        <v>2</v>
      </c>
      <c r="G257" s="36" t="s">
        <v>605</v>
      </c>
      <c r="H257" s="36" t="s">
        <v>514</v>
      </c>
      <c r="T257" s="365" t="b" cm="1">
        <f t="array" ref="T257">T256</f>
        <v>0</v>
      </c>
      <c r="X257" s="1075"/>
      <c r="Y257" s="1064"/>
      <c r="AB257" s="172" t="s">
        <v>444</v>
      </c>
      <c r="AC257" s="253" t="s">
        <v>608</v>
      </c>
      <c r="AD257" s="31" t="s">
        <v>534</v>
      </c>
      <c r="AE257" s="264">
        <f t="shared" ref="AE257:BB257" si="67">AE258+AE259</f>
        <v>0</v>
      </c>
      <c r="AF257" s="264">
        <f t="shared" si="67"/>
        <v>0</v>
      </c>
      <c r="AG257" s="264">
        <f t="shared" si="67"/>
        <v>0</v>
      </c>
      <c r="AH257" s="264">
        <f t="shared" si="67"/>
        <v>0</v>
      </c>
      <c r="AI257" s="264">
        <f t="shared" si="67"/>
        <v>0</v>
      </c>
      <c r="AJ257" s="264">
        <f t="shared" si="67"/>
        <v>0</v>
      </c>
      <c r="AK257" s="264">
        <f t="shared" si="67"/>
        <v>0</v>
      </c>
      <c r="AL257" s="264">
        <f t="shared" si="67"/>
        <v>0</v>
      </c>
      <c r="AM257" s="264">
        <f t="shared" si="67"/>
        <v>0</v>
      </c>
      <c r="AN257" s="264">
        <f t="shared" si="67"/>
        <v>0</v>
      </c>
      <c r="AO257" s="264">
        <f t="shared" si="67"/>
        <v>0</v>
      </c>
      <c r="AP257" s="264">
        <f t="shared" si="67"/>
        <v>0</v>
      </c>
      <c r="AQ257" s="264">
        <f t="shared" si="67"/>
        <v>0</v>
      </c>
      <c r="AR257" s="264">
        <f t="shared" si="67"/>
        <v>0</v>
      </c>
      <c r="AS257" s="264">
        <f t="shared" si="67"/>
        <v>0</v>
      </c>
      <c r="AT257" s="264">
        <f t="shared" si="67"/>
        <v>0</v>
      </c>
      <c r="AU257" s="264">
        <f t="shared" si="67"/>
        <v>0</v>
      </c>
      <c r="AV257" s="264">
        <f t="shared" si="67"/>
        <v>0</v>
      </c>
      <c r="AW257" s="264">
        <f t="shared" si="67"/>
        <v>0</v>
      </c>
      <c r="AX257" s="264">
        <f t="shared" si="67"/>
        <v>0</v>
      </c>
      <c r="AY257" s="264">
        <f t="shared" si="67"/>
        <v>0</v>
      </c>
      <c r="AZ257" s="264">
        <f t="shared" si="67"/>
        <v>0</v>
      </c>
      <c r="BA257" s="264">
        <f t="shared" si="67"/>
        <v>0</v>
      </c>
      <c r="BB257" s="264">
        <f t="shared" si="67"/>
        <v>0</v>
      </c>
      <c r="BC257" s="839"/>
      <c r="BF257" s="680" t="s">
        <v>678</v>
      </c>
    </row>
    <row r="258" spans="1:58" ht="14.25" hidden="1" customHeight="1">
      <c r="E258" s="472">
        <v>15</v>
      </c>
      <c r="F258" s="3" t="str" cm="1">
        <f t="array" aca="1" ref="F258" ca="1">OFFSET(E258,-1,1)</f>
        <v>2</v>
      </c>
      <c r="H258" s="36" t="s">
        <v>679</v>
      </c>
      <c r="T258" s="365" t="b" cm="1">
        <f t="array" ref="T258">T257</f>
        <v>0</v>
      </c>
      <c r="X258" s="1075"/>
      <c r="Y258" s="1064"/>
      <c r="AB258" s="172" t="s">
        <v>680</v>
      </c>
      <c r="AC258" s="254" t="s">
        <v>612</v>
      </c>
      <c r="AD258" s="31" t="s">
        <v>534</v>
      </c>
      <c r="AE258" s="838"/>
      <c r="AF258" s="838"/>
      <c r="AG258" s="838"/>
      <c r="AH258" s="838"/>
      <c r="AI258" s="838"/>
      <c r="AJ258" s="838"/>
      <c r="AK258" s="838"/>
      <c r="AL258" s="838"/>
      <c r="AM258" s="838"/>
      <c r="AN258" s="838"/>
      <c r="AO258" s="838"/>
      <c r="AP258" s="838"/>
      <c r="AQ258" s="838"/>
      <c r="AR258" s="838"/>
      <c r="AS258" s="838"/>
      <c r="AT258" s="838"/>
      <c r="AU258" s="838"/>
      <c r="AV258" s="838"/>
      <c r="AW258" s="838"/>
      <c r="AX258" s="838"/>
      <c r="AY258" s="838"/>
      <c r="AZ258" s="838"/>
      <c r="BA258" s="838"/>
      <c r="BB258" s="838"/>
      <c r="BC258" s="839"/>
      <c r="BF258" s="680" t="s">
        <v>681</v>
      </c>
    </row>
    <row r="259" spans="1:58" ht="14.25" hidden="1" customHeight="1">
      <c r="E259" s="472">
        <v>15</v>
      </c>
      <c r="F259" s="3" t="str" cm="1">
        <f t="array" aca="1" ref="F259" ca="1">OFFSET(E259,-1,1)</f>
        <v>2</v>
      </c>
      <c r="H259" s="36" t="s">
        <v>682</v>
      </c>
      <c r="T259" s="365" t="b" cm="1">
        <f t="array" ref="T259">T258</f>
        <v>0</v>
      </c>
      <c r="X259" s="1075"/>
      <c r="Y259" s="1064"/>
      <c r="AB259" s="172" t="s">
        <v>683</v>
      </c>
      <c r="AC259" s="254" t="s">
        <v>616</v>
      </c>
      <c r="AD259" s="31" t="s">
        <v>534</v>
      </c>
      <c r="AE259" s="838"/>
      <c r="AF259" s="838"/>
      <c r="AG259" s="838"/>
      <c r="AH259" s="838"/>
      <c r="AI259" s="838"/>
      <c r="AJ259" s="838"/>
      <c r="AK259" s="838"/>
      <c r="AL259" s="838"/>
      <c r="AM259" s="838"/>
      <c r="AN259" s="838"/>
      <c r="AO259" s="838"/>
      <c r="AP259" s="838"/>
      <c r="AQ259" s="838"/>
      <c r="AR259" s="838"/>
      <c r="AS259" s="838"/>
      <c r="AT259" s="838"/>
      <c r="AU259" s="838"/>
      <c r="AV259" s="838"/>
      <c r="AW259" s="838"/>
      <c r="AX259" s="838"/>
      <c r="AY259" s="838"/>
      <c r="AZ259" s="838"/>
      <c r="BA259" s="838"/>
      <c r="BB259" s="838"/>
      <c r="BC259" s="839"/>
      <c r="BF259" s="680" t="s">
        <v>684</v>
      </c>
    </row>
    <row r="260" spans="1:58" ht="21.75" hidden="1" customHeight="1">
      <c r="E260" s="472">
        <v>22.5</v>
      </c>
      <c r="F260" s="3" t="str" cm="1">
        <f t="array" aca="1" ref="F260" ca="1">OFFSET(E260,-1,1)</f>
        <v>2</v>
      </c>
      <c r="H260" s="36" t="s">
        <v>562</v>
      </c>
      <c r="I260" s="327"/>
      <c r="J260" s="327"/>
      <c r="T260" s="365" t="b" cm="1">
        <f t="array" ref="T260">T259</f>
        <v>0</v>
      </c>
      <c r="X260" s="1075"/>
      <c r="Y260" s="1064"/>
      <c r="AB260" s="172" t="s">
        <v>447</v>
      </c>
      <c r="AC260" s="255" t="s">
        <v>655</v>
      </c>
      <c r="AD260" s="31" t="s">
        <v>534</v>
      </c>
      <c r="AE260" s="838"/>
      <c r="AF260" s="838"/>
      <c r="AG260" s="838"/>
      <c r="AH260" s="838"/>
      <c r="AI260" s="838"/>
      <c r="AJ260" s="838"/>
      <c r="AK260" s="838"/>
      <c r="AL260" s="838"/>
      <c r="AM260" s="838"/>
      <c r="AN260" s="838"/>
      <c r="AO260" s="838"/>
      <c r="AP260" s="838"/>
      <c r="AQ260" s="838"/>
      <c r="AR260" s="838"/>
      <c r="AS260" s="838"/>
      <c r="AT260" s="838"/>
      <c r="AU260" s="838"/>
      <c r="AV260" s="838"/>
      <c r="AW260" s="838"/>
      <c r="AX260" s="838"/>
      <c r="AY260" s="838"/>
      <c r="AZ260" s="838"/>
      <c r="BA260" s="838"/>
      <c r="BB260" s="838"/>
      <c r="BC260" s="839"/>
      <c r="BF260" s="680" t="s">
        <v>685</v>
      </c>
    </row>
    <row r="261" spans="1:58" ht="14.25" hidden="1" customHeight="1">
      <c r="E261" s="472">
        <v>15</v>
      </c>
      <c r="F261" s="266" t="str" cm="1">
        <f t="array" aca="1" ref="F261" ca="1">OFFSET(E261,-1,1)</f>
        <v>2</v>
      </c>
      <c r="T261" s="365" t="b" cm="1">
        <f t="array" ref="T261">T260</f>
        <v>0</v>
      </c>
      <c r="X261" s="1075"/>
      <c r="Y261" s="1064"/>
      <c r="AB261" s="172" t="s">
        <v>657</v>
      </c>
      <c r="AC261" s="252" t="s">
        <v>658</v>
      </c>
      <c r="AD261" s="31" t="s">
        <v>534</v>
      </c>
      <c r="AE261" s="838"/>
      <c r="AF261" s="838"/>
      <c r="AG261" s="838"/>
      <c r="AH261" s="838"/>
      <c r="AI261" s="838"/>
      <c r="AJ261" s="838"/>
      <c r="AK261" s="838"/>
      <c r="AL261" s="838"/>
      <c r="AM261" s="838"/>
      <c r="AN261" s="838"/>
      <c r="AO261" s="838"/>
      <c r="AP261" s="838"/>
      <c r="AQ261" s="838"/>
      <c r="AR261" s="838"/>
      <c r="AS261" s="838"/>
      <c r="AT261" s="838"/>
      <c r="AU261" s="838"/>
      <c r="AV261" s="838"/>
      <c r="AW261" s="838"/>
      <c r="AX261" s="838"/>
      <c r="AY261" s="838"/>
      <c r="AZ261" s="838"/>
      <c r="BA261" s="838"/>
      <c r="BB261" s="838"/>
      <c r="BC261" s="839"/>
      <c r="BF261" s="680" t="s">
        <v>686</v>
      </c>
    </row>
    <row r="262" spans="1:58" ht="11.25" hidden="1" customHeight="1">
      <c r="A262" s="327"/>
      <c r="B262" s="490"/>
      <c r="C262" s="327"/>
      <c r="D262" s="327"/>
      <c r="E262" s="491" t="s">
        <v>366</v>
      </c>
      <c r="F262" s="774" t="str" cm="1">
        <f t="array" aca="1" ref="F262" ca="1">OFFSET(E262,-1,1)</f>
        <v>2</v>
      </c>
      <c r="G262" s="327"/>
      <c r="H262" s="327"/>
      <c r="I262"/>
      <c r="J262"/>
      <c r="L262" s="327"/>
      <c r="M262" s="327"/>
      <c r="N262" s="327"/>
      <c r="O262" s="327"/>
      <c r="T262" s="365" t="b">
        <v>0</v>
      </c>
      <c r="V262" s="327"/>
      <c r="X262" s="1075"/>
      <c r="Y262" s="1064"/>
      <c r="Z262" s="327"/>
      <c r="AA262" s="327"/>
      <c r="AB262"/>
      <c r="AC262" s="37"/>
      <c r="AD262" s="37"/>
      <c r="AE262" s="262"/>
      <c r="AF262" s="262"/>
      <c r="AG262" s="262"/>
      <c r="AH262" s="262"/>
      <c r="AI262" s="262"/>
      <c r="AJ262" s="263"/>
      <c r="AK262" s="262"/>
      <c r="AL262" s="262"/>
      <c r="AM262" s="262"/>
      <c r="AN262" s="262"/>
      <c r="AO262" s="262"/>
      <c r="AP262" s="262"/>
      <c r="AQ262" s="262"/>
      <c r="AR262" s="262"/>
      <c r="AS262" s="262"/>
      <c r="AT262" s="262"/>
      <c r="AU262" s="262"/>
      <c r="AV262" s="262"/>
      <c r="AW262" s="262"/>
      <c r="AX262" s="262"/>
      <c r="AY262" s="262"/>
      <c r="AZ262" s="262"/>
      <c r="BA262" s="262"/>
      <c r="BB262" s="262"/>
      <c r="BC262"/>
      <c r="BD262"/>
      <c r="BE262"/>
      <c r="BF262" s="670"/>
    </row>
    <row r="263" spans="1:58" ht="14.25" customHeight="1">
      <c r="E263" s="472">
        <v>15</v>
      </c>
      <c r="F263" s="3" t="str" cm="1">
        <f t="array" aca="1" ref="F263" ca="1">OFFSET(E263,-1,1)</f>
        <v>2</v>
      </c>
      <c r="R263" s="327" t="b" cm="1">
        <f t="array" ref="R263">INDEX('Общие сведения'!$AN$179:$AN$222,MATCH($X209,'Общие сведения'!$Z$179:$Z$222,0))</f>
        <v>0</v>
      </c>
      <c r="S263" s="327" t="b">
        <f>IF(ISERROR(SEARCH("Водоотведение",AB209)),FALSE,TRUE)</f>
        <v>1</v>
      </c>
      <c r="T263" s="365" t="b">
        <f>AND(X209&gt;0,S263,NOT(R263))</f>
        <v>1</v>
      </c>
      <c r="X263" s="1075"/>
      <c r="Y263" s="1064"/>
      <c r="AB263" s="172" t="s">
        <v>275</v>
      </c>
      <c r="AC263" s="72" t="s">
        <v>687</v>
      </c>
      <c r="AD263" s="129"/>
      <c r="AE263" s="427" t="str" cm="1">
        <f t="array" ref="AE263">INDEX('Общие сведения'!$AH$179:$AH$222,MATCH($X209,'Общие сведения'!$Z$179:$Z$222,0))</f>
        <v>без дифференциации</v>
      </c>
      <c r="AF263" s="277"/>
      <c r="AG263" s="277"/>
      <c r="AH263" s="277"/>
      <c r="AI263" s="277"/>
      <c r="AJ263" s="277"/>
      <c r="AK263" s="277"/>
      <c r="AL263" s="277"/>
      <c r="AM263" s="277"/>
      <c r="AN263" s="277"/>
      <c r="AO263" s="277"/>
      <c r="AP263" s="277"/>
      <c r="AQ263" s="277"/>
      <c r="AR263" s="277"/>
      <c r="AS263" s="277"/>
      <c r="AT263" s="277"/>
      <c r="AU263" s="277"/>
      <c r="AV263" s="277"/>
      <c r="AW263" s="277"/>
      <c r="AX263" s="277"/>
      <c r="AY263" s="277"/>
      <c r="AZ263" s="277"/>
      <c r="BA263" s="277"/>
      <c r="BB263" s="278"/>
      <c r="BC263" s="132"/>
      <c r="BF263" s="680" t="s">
        <v>688</v>
      </c>
    </row>
    <row r="264" spans="1:58" ht="14.25" customHeight="1">
      <c r="E264" s="472">
        <v>15</v>
      </c>
      <c r="F264" s="3" t="str" cm="1">
        <f t="array" aca="1" ref="F264" ca="1">OFFSET(E264,-1,1)</f>
        <v>2</v>
      </c>
      <c r="H264" s="36" t="s">
        <v>331</v>
      </c>
      <c r="T264" s="365" t="b" cm="1">
        <f t="array" ref="T264">T263</f>
        <v>1</v>
      </c>
      <c r="X264" s="1075"/>
      <c r="Y264" s="1064"/>
      <c r="AB264" s="172" t="s">
        <v>285</v>
      </c>
      <c r="AC264" s="72" t="s">
        <v>689</v>
      </c>
      <c r="AD264" s="31" t="s">
        <v>534</v>
      </c>
      <c r="AE264" s="264">
        <f t="shared" ref="AE264:BB264" si="68">AE265+AE266+AE279</f>
        <v>945.83128278079994</v>
      </c>
      <c r="AF264" s="264">
        <f t="shared" si="68"/>
        <v>948.16300000000001</v>
      </c>
      <c r="AG264" s="264">
        <f t="shared" si="68"/>
        <v>948.16300000000001</v>
      </c>
      <c r="AH264" s="264">
        <f t="shared" si="68"/>
        <v>949.96699999999998</v>
      </c>
      <c r="AI264" s="264">
        <f t="shared" si="68"/>
        <v>938.9369999999999</v>
      </c>
      <c r="AJ264" s="264">
        <f t="shared" si="68"/>
        <v>0</v>
      </c>
      <c r="AK264" s="264">
        <f t="shared" si="68"/>
        <v>0</v>
      </c>
      <c r="AL264" s="264">
        <f t="shared" si="68"/>
        <v>0</v>
      </c>
      <c r="AM264" s="264">
        <f t="shared" si="68"/>
        <v>0</v>
      </c>
      <c r="AN264" s="264">
        <f t="shared" si="68"/>
        <v>0</v>
      </c>
      <c r="AO264" s="264">
        <f t="shared" si="68"/>
        <v>0</v>
      </c>
      <c r="AP264" s="264">
        <f t="shared" si="68"/>
        <v>0</v>
      </c>
      <c r="AQ264" s="264">
        <f t="shared" si="68"/>
        <v>0</v>
      </c>
      <c r="AR264" s="264">
        <f t="shared" si="68"/>
        <v>0</v>
      </c>
      <c r="AS264" s="264">
        <f t="shared" si="68"/>
        <v>948.16300000000001</v>
      </c>
      <c r="AT264" s="264">
        <f t="shared" si="68"/>
        <v>0</v>
      </c>
      <c r="AU264" s="264">
        <f t="shared" si="68"/>
        <v>0</v>
      </c>
      <c r="AV264" s="264">
        <f t="shared" si="68"/>
        <v>0</v>
      </c>
      <c r="AW264" s="264">
        <f t="shared" si="68"/>
        <v>0</v>
      </c>
      <c r="AX264" s="264">
        <f t="shared" si="68"/>
        <v>0</v>
      </c>
      <c r="AY264" s="264">
        <f t="shared" si="68"/>
        <v>0</v>
      </c>
      <c r="AZ264" s="264">
        <f t="shared" si="68"/>
        <v>0</v>
      </c>
      <c r="BA264" s="264">
        <f t="shared" si="68"/>
        <v>0</v>
      </c>
      <c r="BB264" s="264">
        <f t="shared" si="68"/>
        <v>0</v>
      </c>
      <c r="BC264" s="132"/>
      <c r="BF264" s="680" t="s">
        <v>690</v>
      </c>
    </row>
    <row r="265" spans="1:58" ht="14.25" customHeight="1">
      <c r="E265" s="472">
        <v>15</v>
      </c>
      <c r="F265" s="3" t="str" cm="1">
        <f t="array" aca="1" ref="F265" ca="1">OFFSET(E265,-1,1)</f>
        <v>2</v>
      </c>
      <c r="G265" s="36" t="str">
        <f>IF(OwnNeedsInPO="да","ПО","")</f>
        <v/>
      </c>
      <c r="H265" s="36" t="s">
        <v>330</v>
      </c>
      <c r="T265" s="365" t="b" cm="1">
        <f t="array" ref="T265">T264</f>
        <v>1</v>
      </c>
      <c r="X265" s="1075"/>
      <c r="Y265" s="1064"/>
      <c r="AB265" s="172" t="s">
        <v>325</v>
      </c>
      <c r="AC265" s="72" t="s">
        <v>691</v>
      </c>
      <c r="AD265" s="31" t="s">
        <v>534</v>
      </c>
      <c r="AE265" s="207"/>
      <c r="AF265" s="207"/>
      <c r="AG265" s="207"/>
      <c r="AH265" s="207"/>
      <c r="AI265" s="207"/>
      <c r="AJ265" s="838"/>
      <c r="AK265" s="838"/>
      <c r="AL265" s="838"/>
      <c r="AM265" s="838"/>
      <c r="AN265" s="838"/>
      <c r="AO265" s="838"/>
      <c r="AP265" s="838"/>
      <c r="AQ265" s="838"/>
      <c r="AR265" s="838"/>
      <c r="AS265" s="207"/>
      <c r="AT265" s="838"/>
      <c r="AU265" s="838"/>
      <c r="AV265" s="838"/>
      <c r="AW265" s="838"/>
      <c r="AX265" s="838"/>
      <c r="AY265" s="838"/>
      <c r="AZ265" s="838"/>
      <c r="BA265" s="838"/>
      <c r="BB265" s="838"/>
      <c r="BC265" s="132"/>
      <c r="BF265" s="680" t="s">
        <v>692</v>
      </c>
    </row>
    <row r="266" spans="1:58" ht="33.75" customHeight="1">
      <c r="E266" s="472">
        <v>15</v>
      </c>
      <c r="F266" s="3" t="str" cm="1">
        <f t="array" aca="1" ref="F266" ca="1">OFFSET(E266,-1,1)</f>
        <v>2</v>
      </c>
      <c r="G266" s="36" t="s">
        <v>605</v>
      </c>
      <c r="H266" s="36" t="s">
        <v>511</v>
      </c>
      <c r="T266" s="365" t="b" cm="1">
        <f t="array" ref="T266">T265</f>
        <v>1</v>
      </c>
      <c r="X266" s="1075"/>
      <c r="Y266" s="1064"/>
      <c r="AB266" s="172" t="s">
        <v>433</v>
      </c>
      <c r="AC266" s="73" t="s">
        <v>693</v>
      </c>
      <c r="AD266" s="31" t="s">
        <v>534</v>
      </c>
      <c r="AE266" s="264">
        <f t="shared" ref="AE266:BB266" si="69">AE267+AE270+AE273+AE276</f>
        <v>945.83128278079994</v>
      </c>
      <c r="AF266" s="264">
        <f t="shared" si="69"/>
        <v>948.16300000000001</v>
      </c>
      <c r="AG266" s="264">
        <f t="shared" si="69"/>
        <v>948.16300000000001</v>
      </c>
      <c r="AH266" s="264">
        <f t="shared" si="69"/>
        <v>949.96699999999998</v>
      </c>
      <c r="AI266" s="264">
        <f t="shared" si="69"/>
        <v>938.9369999999999</v>
      </c>
      <c r="AJ266" s="264">
        <f t="shared" si="69"/>
        <v>0</v>
      </c>
      <c r="AK266" s="264">
        <f t="shared" si="69"/>
        <v>0</v>
      </c>
      <c r="AL266" s="264">
        <f t="shared" si="69"/>
        <v>0</v>
      </c>
      <c r="AM266" s="264">
        <f t="shared" si="69"/>
        <v>0</v>
      </c>
      <c r="AN266" s="264">
        <f t="shared" si="69"/>
        <v>0</v>
      </c>
      <c r="AO266" s="264">
        <f t="shared" si="69"/>
        <v>0</v>
      </c>
      <c r="AP266" s="264">
        <f t="shared" si="69"/>
        <v>0</v>
      </c>
      <c r="AQ266" s="264">
        <f t="shared" si="69"/>
        <v>0</v>
      </c>
      <c r="AR266" s="264">
        <f t="shared" si="69"/>
        <v>0</v>
      </c>
      <c r="AS266" s="264">
        <f t="shared" si="69"/>
        <v>948.16300000000001</v>
      </c>
      <c r="AT266" s="264">
        <f t="shared" si="69"/>
        <v>0</v>
      </c>
      <c r="AU266" s="264">
        <f t="shared" si="69"/>
        <v>0</v>
      </c>
      <c r="AV266" s="264">
        <f t="shared" si="69"/>
        <v>0</v>
      </c>
      <c r="AW266" s="264">
        <f t="shared" si="69"/>
        <v>0</v>
      </c>
      <c r="AX266" s="264">
        <f t="shared" si="69"/>
        <v>0</v>
      </c>
      <c r="AY266" s="264">
        <f t="shared" si="69"/>
        <v>0</v>
      </c>
      <c r="AZ266" s="264">
        <f t="shared" si="69"/>
        <v>0</v>
      </c>
      <c r="BA266" s="264">
        <f t="shared" si="69"/>
        <v>0</v>
      </c>
      <c r="BB266" s="264">
        <f t="shared" si="69"/>
        <v>0</v>
      </c>
      <c r="BC266" s="132" t="s">
        <v>777</v>
      </c>
      <c r="BF266" s="680" t="s">
        <v>694</v>
      </c>
    </row>
    <row r="267" spans="1:58" ht="14.25" customHeight="1">
      <c r="E267" s="472">
        <v>15</v>
      </c>
      <c r="F267" s="3" t="str" cm="1">
        <f t="array" aca="1" ref="F267" ca="1">OFFSET(E267,-1,1)</f>
        <v>2</v>
      </c>
      <c r="H267" s="36" t="s">
        <v>672</v>
      </c>
      <c r="T267" s="365" t="b" cm="1">
        <f t="array" ref="T267">T266</f>
        <v>1</v>
      </c>
      <c r="X267" s="1075"/>
      <c r="Y267" s="1064"/>
      <c r="AB267" s="172" t="s">
        <v>673</v>
      </c>
      <c r="AC267" s="124" t="s">
        <v>624</v>
      </c>
      <c r="AD267" s="31" t="s">
        <v>534</v>
      </c>
      <c r="AE267" s="264">
        <f t="shared" ref="AE267:BB267" si="70">AE268+AE269</f>
        <v>77.891565153499997</v>
      </c>
      <c r="AF267" s="264">
        <f t="shared" si="70"/>
        <v>87.293999999999997</v>
      </c>
      <c r="AG267" s="264">
        <f t="shared" si="70"/>
        <v>87.293999999999997</v>
      </c>
      <c r="AH267" s="264">
        <f t="shared" si="70"/>
        <v>80.442999999999998</v>
      </c>
      <c r="AI267" s="264">
        <f t="shared" si="70"/>
        <v>78.977000000000004</v>
      </c>
      <c r="AJ267" s="264">
        <f t="shared" si="70"/>
        <v>0</v>
      </c>
      <c r="AK267" s="264">
        <f t="shared" si="70"/>
        <v>0</v>
      </c>
      <c r="AL267" s="264">
        <f t="shared" si="70"/>
        <v>0</v>
      </c>
      <c r="AM267" s="264">
        <f t="shared" si="70"/>
        <v>0</v>
      </c>
      <c r="AN267" s="264">
        <f t="shared" si="70"/>
        <v>0</v>
      </c>
      <c r="AO267" s="264">
        <f t="shared" si="70"/>
        <v>0</v>
      </c>
      <c r="AP267" s="264">
        <f t="shared" si="70"/>
        <v>0</v>
      </c>
      <c r="AQ267" s="264">
        <f t="shared" si="70"/>
        <v>0</v>
      </c>
      <c r="AR267" s="264">
        <f t="shared" si="70"/>
        <v>0</v>
      </c>
      <c r="AS267" s="264">
        <f t="shared" si="70"/>
        <v>87.293999999999997</v>
      </c>
      <c r="AT267" s="264">
        <f t="shared" si="70"/>
        <v>0</v>
      </c>
      <c r="AU267" s="264">
        <f t="shared" si="70"/>
        <v>0</v>
      </c>
      <c r="AV267" s="264">
        <f t="shared" si="70"/>
        <v>0</v>
      </c>
      <c r="AW267" s="264">
        <f t="shared" si="70"/>
        <v>0</v>
      </c>
      <c r="AX267" s="264">
        <f t="shared" si="70"/>
        <v>0</v>
      </c>
      <c r="AY267" s="264">
        <f t="shared" si="70"/>
        <v>0</v>
      </c>
      <c r="AZ267" s="264">
        <f t="shared" si="70"/>
        <v>0</v>
      </c>
      <c r="BA267" s="264">
        <f t="shared" si="70"/>
        <v>0</v>
      </c>
      <c r="BB267" s="264">
        <f t="shared" si="70"/>
        <v>0</v>
      </c>
      <c r="BC267" s="132"/>
      <c r="BF267" s="680" t="s">
        <v>695</v>
      </c>
    </row>
    <row r="268" spans="1:58" ht="14.65" customHeight="1">
      <c r="E268" s="472">
        <v>15</v>
      </c>
      <c r="F268" s="3" t="str" cm="1">
        <f t="array" aca="1" ref="F268" ca="1">OFFSET(E268,-1,1)</f>
        <v>2</v>
      </c>
      <c r="H268" s="36" t="s">
        <v>696</v>
      </c>
      <c r="T268" s="365" t="b" cm="1">
        <f t="array" ref="T268">T267</f>
        <v>1</v>
      </c>
      <c r="X268" s="1075"/>
      <c r="Y268" s="1064"/>
      <c r="AB268" s="172" t="s">
        <v>697</v>
      </c>
      <c r="AC268" s="256" t="s">
        <v>612</v>
      </c>
      <c r="AD268" s="31" t="s">
        <v>534</v>
      </c>
      <c r="AE268" s="207">
        <v>77.891565153499997</v>
      </c>
      <c r="AF268" s="207">
        <v>48.012</v>
      </c>
      <c r="AG268" s="207">
        <v>48.012</v>
      </c>
      <c r="AH268" s="207">
        <v>80.442999999999998</v>
      </c>
      <c r="AI268" s="207">
        <v>44.226999999999997</v>
      </c>
      <c r="AJ268" s="838"/>
      <c r="AK268" s="838"/>
      <c r="AL268" s="838"/>
      <c r="AM268" s="838"/>
      <c r="AN268" s="838"/>
      <c r="AO268" s="838"/>
      <c r="AP268" s="838"/>
      <c r="AQ268" s="838"/>
      <c r="AR268" s="838"/>
      <c r="AS268" s="207">
        <v>48.012</v>
      </c>
      <c r="AT268" s="838"/>
      <c r="AU268" s="838"/>
      <c r="AV268" s="838"/>
      <c r="AW268" s="838"/>
      <c r="AX268" s="838"/>
      <c r="AY268" s="838"/>
      <c r="AZ268" s="838"/>
      <c r="BA268" s="838"/>
      <c r="BB268" s="838"/>
      <c r="BC268" s="132"/>
      <c r="BF268" s="680" t="s">
        <v>698</v>
      </c>
    </row>
    <row r="269" spans="1:58" ht="14.25" customHeight="1">
      <c r="E269" s="472">
        <v>15</v>
      </c>
      <c r="F269" s="3" t="str" cm="1">
        <f t="array" aca="1" ref="F269" ca="1">OFFSET(E269,-1,1)</f>
        <v>2</v>
      </c>
      <c r="H269" s="36" t="s">
        <v>699</v>
      </c>
      <c r="T269" s="365" t="b" cm="1">
        <f t="array" ref="T269">T268</f>
        <v>1</v>
      </c>
      <c r="X269" s="1075"/>
      <c r="Y269" s="1064"/>
      <c r="AB269" s="172" t="s">
        <v>700</v>
      </c>
      <c r="AC269" s="256" t="s">
        <v>616</v>
      </c>
      <c r="AD269" s="31" t="s">
        <v>534</v>
      </c>
      <c r="AE269" s="207"/>
      <c r="AF269" s="207">
        <v>39.281999999999996</v>
      </c>
      <c r="AG269" s="207">
        <v>39.281999999999996</v>
      </c>
      <c r="AH269" s="207"/>
      <c r="AI269" s="207">
        <v>34.75</v>
      </c>
      <c r="AJ269" s="838"/>
      <c r="AK269" s="838"/>
      <c r="AL269" s="838"/>
      <c r="AM269" s="838"/>
      <c r="AN269" s="838"/>
      <c r="AO269" s="838"/>
      <c r="AP269" s="838"/>
      <c r="AQ269" s="838"/>
      <c r="AR269" s="838"/>
      <c r="AS269" s="207">
        <v>39.281999999999996</v>
      </c>
      <c r="AT269" s="838"/>
      <c r="AU269" s="838"/>
      <c r="AV269" s="838"/>
      <c r="AW269" s="838"/>
      <c r="AX269" s="838"/>
      <c r="AY269" s="838"/>
      <c r="AZ269" s="838"/>
      <c r="BA269" s="838"/>
      <c r="BB269" s="838"/>
      <c r="BC269" s="132"/>
      <c r="BF269" s="680" t="s">
        <v>701</v>
      </c>
    </row>
    <row r="270" spans="1:58" ht="14.25" customHeight="1">
      <c r="E270" s="472">
        <v>15</v>
      </c>
      <c r="F270" s="3" t="str" cm="1">
        <f t="array" aca="1" ref="F270" ca="1">OFFSET(E270,-1,1)</f>
        <v>2</v>
      </c>
      <c r="G270" s="36" t="s">
        <v>632</v>
      </c>
      <c r="H270" s="36" t="s">
        <v>675</v>
      </c>
      <c r="T270" s="365" t="b" cm="1">
        <f t="array" ref="T270">T269</f>
        <v>1</v>
      </c>
      <c r="X270" s="1075"/>
      <c r="Y270" s="1064"/>
      <c r="AB270" s="172" t="s">
        <v>676</v>
      </c>
      <c r="AC270" s="124" t="s">
        <v>635</v>
      </c>
      <c r="AD270" s="31" t="s">
        <v>534</v>
      </c>
      <c r="AE270" s="264">
        <f t="shared" ref="AE270:BB270" si="71">AE271+AE272</f>
        <v>600.45748138409999</v>
      </c>
      <c r="AF270" s="264">
        <f t="shared" si="71"/>
        <v>597.18100000000004</v>
      </c>
      <c r="AG270" s="264">
        <f t="shared" si="71"/>
        <v>597.18100000000004</v>
      </c>
      <c r="AH270" s="264">
        <f t="shared" si="71"/>
        <v>611.57299999999998</v>
      </c>
      <c r="AI270" s="264">
        <f t="shared" si="71"/>
        <v>600.45699999999999</v>
      </c>
      <c r="AJ270" s="264">
        <f t="shared" si="71"/>
        <v>0</v>
      </c>
      <c r="AK270" s="264">
        <f t="shared" si="71"/>
        <v>0</v>
      </c>
      <c r="AL270" s="264">
        <f t="shared" si="71"/>
        <v>0</v>
      </c>
      <c r="AM270" s="264">
        <f t="shared" si="71"/>
        <v>0</v>
      </c>
      <c r="AN270" s="264">
        <f t="shared" si="71"/>
        <v>0</v>
      </c>
      <c r="AO270" s="264">
        <f t="shared" si="71"/>
        <v>0</v>
      </c>
      <c r="AP270" s="264">
        <f t="shared" si="71"/>
        <v>0</v>
      </c>
      <c r="AQ270" s="264">
        <f t="shared" si="71"/>
        <v>0</v>
      </c>
      <c r="AR270" s="264">
        <f t="shared" si="71"/>
        <v>0</v>
      </c>
      <c r="AS270" s="264">
        <f t="shared" si="71"/>
        <v>597.18100000000004</v>
      </c>
      <c r="AT270" s="264">
        <f t="shared" si="71"/>
        <v>0</v>
      </c>
      <c r="AU270" s="264">
        <f t="shared" si="71"/>
        <v>0</v>
      </c>
      <c r="AV270" s="264">
        <f t="shared" si="71"/>
        <v>0</v>
      </c>
      <c r="AW270" s="264">
        <f t="shared" si="71"/>
        <v>0</v>
      </c>
      <c r="AX270" s="264">
        <f t="shared" si="71"/>
        <v>0</v>
      </c>
      <c r="AY270" s="264">
        <f t="shared" si="71"/>
        <v>0</v>
      </c>
      <c r="AZ270" s="264">
        <f t="shared" si="71"/>
        <v>0</v>
      </c>
      <c r="BA270" s="264">
        <f t="shared" si="71"/>
        <v>0</v>
      </c>
      <c r="BB270" s="264">
        <f t="shared" si="71"/>
        <v>0</v>
      </c>
      <c r="BC270" s="132"/>
      <c r="BF270" s="680" t="s">
        <v>702</v>
      </c>
    </row>
    <row r="271" spans="1:58" ht="14.65" customHeight="1">
      <c r="E271" s="472">
        <v>15</v>
      </c>
      <c r="F271" s="3" t="str" cm="1">
        <f t="array" aca="1" ref="F271" ca="1">OFFSET(E271,-1,1)</f>
        <v>2</v>
      </c>
      <c r="H271" s="36" t="s">
        <v>703</v>
      </c>
      <c r="T271" s="365" t="b" cm="1">
        <f t="array" ref="T271">T270</f>
        <v>1</v>
      </c>
      <c r="X271" s="1075"/>
      <c r="Y271" s="1064"/>
      <c r="AB271" s="172" t="s">
        <v>704</v>
      </c>
      <c r="AC271" s="256" t="s">
        <v>612</v>
      </c>
      <c r="AD271" s="31" t="s">
        <v>534</v>
      </c>
      <c r="AE271" s="207">
        <v>600.45748138409999</v>
      </c>
      <c r="AF271" s="207">
        <v>322.47800000000001</v>
      </c>
      <c r="AG271" s="207">
        <v>322.47800000000001</v>
      </c>
      <c r="AH271" s="207">
        <v>611.57299999999998</v>
      </c>
      <c r="AI271" s="207">
        <v>336.25599999999997</v>
      </c>
      <c r="AJ271" s="838"/>
      <c r="AK271" s="838"/>
      <c r="AL271" s="838"/>
      <c r="AM271" s="838"/>
      <c r="AN271" s="838"/>
      <c r="AO271" s="838"/>
      <c r="AP271" s="838"/>
      <c r="AQ271" s="838"/>
      <c r="AR271" s="838"/>
      <c r="AS271" s="207">
        <v>322.47800000000001</v>
      </c>
      <c r="AT271" s="838"/>
      <c r="AU271" s="838"/>
      <c r="AV271" s="838"/>
      <c r="AW271" s="838"/>
      <c r="AX271" s="838"/>
      <c r="AY271" s="838"/>
      <c r="AZ271" s="838"/>
      <c r="BA271" s="838"/>
      <c r="BB271" s="838"/>
      <c r="BC271" s="132"/>
      <c r="BF271" s="680" t="s">
        <v>705</v>
      </c>
    </row>
    <row r="272" spans="1:58" ht="14.25" customHeight="1">
      <c r="E272" s="472">
        <v>15</v>
      </c>
      <c r="F272" s="3" t="str" cm="1">
        <f t="array" aca="1" ref="F272" ca="1">OFFSET(E272,-1,1)</f>
        <v>2</v>
      </c>
      <c r="H272" s="36" t="s">
        <v>706</v>
      </c>
      <c r="T272" s="365" t="b" cm="1">
        <f t="array" ref="T272">T271</f>
        <v>1</v>
      </c>
      <c r="X272" s="1075"/>
      <c r="Y272" s="1064"/>
      <c r="AB272" s="172" t="s">
        <v>707</v>
      </c>
      <c r="AC272" s="256" t="s">
        <v>616</v>
      </c>
      <c r="AD272" s="31" t="s">
        <v>534</v>
      </c>
      <c r="AE272" s="207"/>
      <c r="AF272" s="207">
        <v>274.70299999999997</v>
      </c>
      <c r="AG272" s="207">
        <v>274.70299999999997</v>
      </c>
      <c r="AH272" s="207"/>
      <c r="AI272" s="207">
        <v>264.20100000000002</v>
      </c>
      <c r="AJ272" s="838"/>
      <c r="AK272" s="838"/>
      <c r="AL272" s="838"/>
      <c r="AM272" s="838"/>
      <c r="AN272" s="838"/>
      <c r="AO272" s="838"/>
      <c r="AP272" s="838"/>
      <c r="AQ272" s="838"/>
      <c r="AR272" s="838"/>
      <c r="AS272" s="207">
        <v>274.70299999999997</v>
      </c>
      <c r="AT272" s="838"/>
      <c r="AU272" s="838"/>
      <c r="AV272" s="838"/>
      <c r="AW272" s="838"/>
      <c r="AX272" s="838"/>
      <c r="AY272" s="838"/>
      <c r="AZ272" s="838"/>
      <c r="BA272" s="838"/>
      <c r="BB272" s="838"/>
      <c r="BC272" s="132"/>
      <c r="BF272" s="680" t="s">
        <v>708</v>
      </c>
    </row>
    <row r="273" spans="1:58" ht="14.25" customHeight="1">
      <c r="E273" s="472">
        <v>15</v>
      </c>
      <c r="F273" s="3" t="str" cm="1">
        <f t="array" aca="1" ref="F273" ca="1">OFFSET(E273,-1,1)</f>
        <v>2</v>
      </c>
      <c r="H273" s="36" t="s">
        <v>709</v>
      </c>
      <c r="T273" s="365" t="b" cm="1">
        <f t="array" ref="T273">T272</f>
        <v>1</v>
      </c>
      <c r="X273" s="1075"/>
      <c r="Y273" s="1064"/>
      <c r="AB273" s="172" t="s">
        <v>710</v>
      </c>
      <c r="AC273" s="124" t="s">
        <v>645</v>
      </c>
      <c r="AD273" s="31" t="s">
        <v>534</v>
      </c>
      <c r="AE273" s="264">
        <f t="shared" ref="AE273:BB273" si="72">AE274+AE275</f>
        <v>267.48223624320002</v>
      </c>
      <c r="AF273" s="264">
        <f t="shared" si="72"/>
        <v>263.68799999999999</v>
      </c>
      <c r="AG273" s="264">
        <f t="shared" si="72"/>
        <v>263.68799999999999</v>
      </c>
      <c r="AH273" s="264">
        <f t="shared" si="72"/>
        <v>257.95100000000002</v>
      </c>
      <c r="AI273" s="264">
        <f t="shared" si="72"/>
        <v>259.50299999999999</v>
      </c>
      <c r="AJ273" s="264">
        <f t="shared" si="72"/>
        <v>0</v>
      </c>
      <c r="AK273" s="264">
        <f t="shared" si="72"/>
        <v>0</v>
      </c>
      <c r="AL273" s="264">
        <f t="shared" si="72"/>
        <v>0</v>
      </c>
      <c r="AM273" s="264">
        <f t="shared" si="72"/>
        <v>0</v>
      </c>
      <c r="AN273" s="264">
        <f t="shared" si="72"/>
        <v>0</v>
      </c>
      <c r="AO273" s="264">
        <f t="shared" si="72"/>
        <v>0</v>
      </c>
      <c r="AP273" s="264">
        <f t="shared" si="72"/>
        <v>0</v>
      </c>
      <c r="AQ273" s="264">
        <f t="shared" si="72"/>
        <v>0</v>
      </c>
      <c r="AR273" s="264">
        <f t="shared" si="72"/>
        <v>0</v>
      </c>
      <c r="AS273" s="264">
        <f t="shared" si="72"/>
        <v>263.68799999999999</v>
      </c>
      <c r="AT273" s="264">
        <f t="shared" si="72"/>
        <v>0</v>
      </c>
      <c r="AU273" s="264">
        <f t="shared" si="72"/>
        <v>0</v>
      </c>
      <c r="AV273" s="264">
        <f t="shared" si="72"/>
        <v>0</v>
      </c>
      <c r="AW273" s="264">
        <f t="shared" si="72"/>
        <v>0</v>
      </c>
      <c r="AX273" s="264">
        <f t="shared" si="72"/>
        <v>0</v>
      </c>
      <c r="AY273" s="264">
        <f t="shared" si="72"/>
        <v>0</v>
      </c>
      <c r="AZ273" s="264">
        <f t="shared" si="72"/>
        <v>0</v>
      </c>
      <c r="BA273" s="264">
        <f t="shared" si="72"/>
        <v>0</v>
      </c>
      <c r="BB273" s="264">
        <f t="shared" si="72"/>
        <v>0</v>
      </c>
      <c r="BC273" s="132"/>
      <c r="BF273" s="680" t="s">
        <v>711</v>
      </c>
    </row>
    <row r="274" spans="1:58" ht="14.65" customHeight="1">
      <c r="E274" s="472">
        <v>15</v>
      </c>
      <c r="F274" s="3" t="str" cm="1">
        <f t="array" aca="1" ref="F274" ca="1">OFFSET(E274,-1,1)</f>
        <v>2</v>
      </c>
      <c r="H274" s="36" t="s">
        <v>712</v>
      </c>
      <c r="T274" s="365" t="b" cm="1">
        <f t="array" ref="T274">T273</f>
        <v>1</v>
      </c>
      <c r="X274" s="1075"/>
      <c r="Y274" s="1064"/>
      <c r="AB274" s="172" t="s">
        <v>713</v>
      </c>
      <c r="AC274" s="256" t="s">
        <v>612</v>
      </c>
      <c r="AD274" s="31" t="s">
        <v>534</v>
      </c>
      <c r="AE274" s="207">
        <v>267.48223624320002</v>
      </c>
      <c r="AF274" s="207">
        <v>255.25</v>
      </c>
      <c r="AG274" s="207">
        <v>255.25</v>
      </c>
      <c r="AH274" s="207">
        <v>257.95100000000002</v>
      </c>
      <c r="AI274" s="207">
        <v>254.31299999999999</v>
      </c>
      <c r="AJ274" s="838"/>
      <c r="AK274" s="838"/>
      <c r="AL274" s="838"/>
      <c r="AM274" s="838"/>
      <c r="AN274" s="838"/>
      <c r="AO274" s="838"/>
      <c r="AP274" s="838"/>
      <c r="AQ274" s="838"/>
      <c r="AR274" s="838"/>
      <c r="AS274" s="207">
        <v>255.25</v>
      </c>
      <c r="AT274" s="838"/>
      <c r="AU274" s="838"/>
      <c r="AV274" s="838"/>
      <c r="AW274" s="838"/>
      <c r="AX274" s="838"/>
      <c r="AY274" s="838"/>
      <c r="AZ274" s="838"/>
      <c r="BA274" s="838"/>
      <c r="BB274" s="838"/>
      <c r="BC274" s="132"/>
      <c r="BF274" s="680" t="s">
        <v>714</v>
      </c>
    </row>
    <row r="275" spans="1:58" ht="12.75" customHeight="1">
      <c r="E275" s="472">
        <v>15</v>
      </c>
      <c r="F275" s="3" t="str" cm="1">
        <f t="array" aca="1" ref="F275" ca="1">OFFSET(E275,-1,1)</f>
        <v>2</v>
      </c>
      <c r="H275" s="36" t="s">
        <v>715</v>
      </c>
      <c r="T275" s="365" t="b" cm="1">
        <f t="array" ref="T275">T274</f>
        <v>1</v>
      </c>
      <c r="X275" s="1075"/>
      <c r="Y275" s="1064"/>
      <c r="AB275" s="172" t="s">
        <v>716</v>
      </c>
      <c r="AC275" s="256" t="s">
        <v>616</v>
      </c>
      <c r="AD275" s="31" t="s">
        <v>534</v>
      </c>
      <c r="AE275" s="207"/>
      <c r="AF275" s="207">
        <v>8.4380000000000006</v>
      </c>
      <c r="AG275" s="207">
        <v>8.4380000000000006</v>
      </c>
      <c r="AH275" s="207"/>
      <c r="AI275" s="207">
        <v>5.19</v>
      </c>
      <c r="AJ275" s="838"/>
      <c r="AK275" s="838"/>
      <c r="AL275" s="838"/>
      <c r="AM275" s="838"/>
      <c r="AN275" s="838"/>
      <c r="AO275" s="838"/>
      <c r="AP275" s="838"/>
      <c r="AQ275" s="838"/>
      <c r="AR275" s="838"/>
      <c r="AS275" s="207">
        <v>8.4380000000000006</v>
      </c>
      <c r="AT275" s="838"/>
      <c r="AU275" s="838"/>
      <c r="AV275" s="838"/>
      <c r="AW275" s="838"/>
      <c r="AX275" s="838"/>
      <c r="AY275" s="838"/>
      <c r="AZ275" s="838"/>
      <c r="BA275" s="838"/>
      <c r="BB275" s="838"/>
      <c r="BC275" s="132"/>
      <c r="BF275" s="680" t="s">
        <v>717</v>
      </c>
    </row>
    <row r="276" spans="1:58" ht="0" hidden="1" customHeight="1">
      <c r="E276" s="472">
        <v>15</v>
      </c>
      <c r="F276" s="3" t="str" cm="1">
        <f t="array" aca="1" ref="F276" ca="1">OFFSET(E276,-1,1)</f>
        <v>2</v>
      </c>
      <c r="H276" s="36" t="s">
        <v>718</v>
      </c>
      <c r="T276" s="365" t="b" cm="1">
        <f t="array" ref="T276">T275</f>
        <v>1</v>
      </c>
      <c r="X276" s="1075"/>
      <c r="Y276" s="1064"/>
      <c r="AB276" s="172" t="s">
        <v>719</v>
      </c>
      <c r="AC276" s="124" t="s">
        <v>720</v>
      </c>
      <c r="AD276" s="31" t="s">
        <v>534</v>
      </c>
      <c r="AE276" s="264">
        <f t="shared" ref="AE276:BB276" si="73">AE277+AE278</f>
        <v>0</v>
      </c>
      <c r="AF276" s="264">
        <f t="shared" si="73"/>
        <v>0</v>
      </c>
      <c r="AG276" s="264">
        <f t="shared" si="73"/>
        <v>0</v>
      </c>
      <c r="AH276" s="264">
        <f t="shared" si="73"/>
        <v>0</v>
      </c>
      <c r="AI276" s="264">
        <f t="shared" si="73"/>
        <v>0</v>
      </c>
      <c r="AJ276" s="264">
        <f t="shared" si="73"/>
        <v>0</v>
      </c>
      <c r="AK276" s="264">
        <f t="shared" si="73"/>
        <v>0</v>
      </c>
      <c r="AL276" s="264">
        <f t="shared" si="73"/>
        <v>0</v>
      </c>
      <c r="AM276" s="264">
        <f t="shared" si="73"/>
        <v>0</v>
      </c>
      <c r="AN276" s="264">
        <f t="shared" si="73"/>
        <v>0</v>
      </c>
      <c r="AO276" s="264">
        <f t="shared" si="73"/>
        <v>0</v>
      </c>
      <c r="AP276" s="264">
        <f t="shared" si="73"/>
        <v>0</v>
      </c>
      <c r="AQ276" s="264">
        <f t="shared" si="73"/>
        <v>0</v>
      </c>
      <c r="AR276" s="264">
        <f t="shared" si="73"/>
        <v>0</v>
      </c>
      <c r="AS276" s="264">
        <f t="shared" si="73"/>
        <v>0</v>
      </c>
      <c r="AT276" s="264">
        <f t="shared" si="73"/>
        <v>0</v>
      </c>
      <c r="AU276" s="264">
        <f t="shared" si="73"/>
        <v>0</v>
      </c>
      <c r="AV276" s="264">
        <f t="shared" si="73"/>
        <v>0</v>
      </c>
      <c r="AW276" s="264">
        <f t="shared" si="73"/>
        <v>0</v>
      </c>
      <c r="AX276" s="264">
        <f t="shared" si="73"/>
        <v>0</v>
      </c>
      <c r="AY276" s="264">
        <f t="shared" si="73"/>
        <v>0</v>
      </c>
      <c r="AZ276" s="264">
        <f t="shared" si="73"/>
        <v>0</v>
      </c>
      <c r="BA276" s="264">
        <f t="shared" si="73"/>
        <v>0</v>
      </c>
      <c r="BB276" s="264">
        <f t="shared" si="73"/>
        <v>0</v>
      </c>
      <c r="BC276" s="132"/>
      <c r="BF276" s="680" t="s">
        <v>721</v>
      </c>
    </row>
    <row r="277" spans="1:58" ht="0" hidden="1" customHeight="1">
      <c r="E277" s="472">
        <v>15</v>
      </c>
      <c r="F277" s="3" t="str" cm="1">
        <f t="array" aca="1" ref="F277" ca="1">OFFSET(E277,-1,1)</f>
        <v>2</v>
      </c>
      <c r="H277" s="36" t="s">
        <v>722</v>
      </c>
      <c r="T277" s="365" t="b" cm="1">
        <f t="array" ref="T277">T276</f>
        <v>1</v>
      </c>
      <c r="X277" s="1075"/>
      <c r="Y277" s="1064"/>
      <c r="AB277" s="172" t="s">
        <v>723</v>
      </c>
      <c r="AC277" s="250" t="s">
        <v>612</v>
      </c>
      <c r="AD277" s="31" t="s">
        <v>534</v>
      </c>
      <c r="AE277" s="207"/>
      <c r="AF277" s="207"/>
      <c r="AG277" s="207"/>
      <c r="AH277" s="207"/>
      <c r="AI277" s="207"/>
      <c r="AJ277" s="838"/>
      <c r="AK277" s="838"/>
      <c r="AL277" s="838"/>
      <c r="AM277" s="838"/>
      <c r="AN277" s="838"/>
      <c r="AO277" s="838"/>
      <c r="AP277" s="838"/>
      <c r="AQ277" s="838"/>
      <c r="AR277" s="838"/>
      <c r="AS277" s="207"/>
      <c r="AT277" s="838"/>
      <c r="AU277" s="838"/>
      <c r="AV277" s="838"/>
      <c r="AW277" s="838"/>
      <c r="AX277" s="838"/>
      <c r="AY277" s="838"/>
      <c r="AZ277" s="838"/>
      <c r="BA277" s="838"/>
      <c r="BB277" s="838"/>
      <c r="BC277" s="132"/>
      <c r="BF277" s="680" t="s">
        <v>724</v>
      </c>
    </row>
    <row r="278" spans="1:58" ht="0" hidden="1" customHeight="1">
      <c r="E278" s="472">
        <v>15</v>
      </c>
      <c r="F278" s="3" t="str" cm="1">
        <f t="array" aca="1" ref="F278" ca="1">OFFSET(E278,-1,1)</f>
        <v>2</v>
      </c>
      <c r="H278" s="36" t="s">
        <v>725</v>
      </c>
      <c r="T278" s="365" t="b" cm="1">
        <f t="array" ref="T278">T277</f>
        <v>1</v>
      </c>
      <c r="X278" s="1075"/>
      <c r="Y278" s="1064"/>
      <c r="AB278" s="172" t="s">
        <v>726</v>
      </c>
      <c r="AC278" s="250" t="s">
        <v>616</v>
      </c>
      <c r="AD278" s="31" t="s">
        <v>534</v>
      </c>
      <c r="AE278" s="207"/>
      <c r="AF278" s="207"/>
      <c r="AG278" s="207"/>
      <c r="AH278" s="207"/>
      <c r="AI278" s="207"/>
      <c r="AJ278" s="838"/>
      <c r="AK278" s="838"/>
      <c r="AL278" s="838"/>
      <c r="AM278" s="838"/>
      <c r="AN278" s="838"/>
      <c r="AO278" s="838"/>
      <c r="AP278" s="838"/>
      <c r="AQ278" s="838"/>
      <c r="AR278" s="838"/>
      <c r="AS278" s="207"/>
      <c r="AT278" s="838"/>
      <c r="AU278" s="838"/>
      <c r="AV278" s="838"/>
      <c r="AW278" s="838"/>
      <c r="AX278" s="838"/>
      <c r="AY278" s="838"/>
      <c r="AZ278" s="838"/>
      <c r="BA278" s="838"/>
      <c r="BB278" s="838"/>
      <c r="BC278" s="132"/>
      <c r="BF278" s="680" t="s">
        <v>727</v>
      </c>
    </row>
    <row r="279" spans="1:58" ht="0" hidden="1" customHeight="1">
      <c r="E279" s="472">
        <v>22.5</v>
      </c>
      <c r="F279" s="3" t="str" cm="1">
        <f t="array" aca="1" ref="F279" ca="1">OFFSET(E279,-1,1)</f>
        <v>2</v>
      </c>
      <c r="H279" s="36" t="s">
        <v>728</v>
      </c>
      <c r="T279" s="365" t="b" cm="1">
        <f t="array" ref="T279">T278</f>
        <v>1</v>
      </c>
      <c r="X279" s="1075"/>
      <c r="Y279" s="1064"/>
      <c r="AB279" s="172" t="s">
        <v>729</v>
      </c>
      <c r="AC279" s="257" t="s">
        <v>575</v>
      </c>
      <c r="AD279" s="31" t="s">
        <v>534</v>
      </c>
      <c r="AE279" s="207"/>
      <c r="AF279" s="207"/>
      <c r="AG279" s="207"/>
      <c r="AH279" s="207"/>
      <c r="AI279" s="207"/>
      <c r="AJ279" s="838"/>
      <c r="AK279" s="838"/>
      <c r="AL279" s="838"/>
      <c r="AM279" s="838"/>
      <c r="AN279" s="838"/>
      <c r="AO279" s="838"/>
      <c r="AP279" s="838"/>
      <c r="AQ279" s="838"/>
      <c r="AR279" s="838"/>
      <c r="AS279" s="207"/>
      <c r="AT279" s="838"/>
      <c r="AU279" s="838"/>
      <c r="AV279" s="838"/>
      <c r="AW279" s="838"/>
      <c r="AX279" s="838"/>
      <c r="AY279" s="838"/>
      <c r="AZ279" s="838"/>
      <c r="BA279" s="838"/>
      <c r="BB279" s="838"/>
      <c r="BC279" s="132"/>
      <c r="BF279" s="680" t="s">
        <v>730</v>
      </c>
    </row>
    <row r="280" spans="1:58" ht="14.25" customHeight="1">
      <c r="E280" s="472">
        <v>15</v>
      </c>
      <c r="F280" s="3" t="str" cm="1">
        <f t="array" aca="1" ref="F280" ca="1">OFFSET(E280,-1,1)</f>
        <v>2</v>
      </c>
      <c r="H280" s="36" t="s">
        <v>514</v>
      </c>
      <c r="T280" s="365" t="b" cm="1">
        <f t="array" ref="T280">T279</f>
        <v>1</v>
      </c>
      <c r="X280" s="1075"/>
      <c r="Y280" s="1064"/>
      <c r="AB280" s="172" t="s">
        <v>444</v>
      </c>
      <c r="AC280" s="72" t="s">
        <v>731</v>
      </c>
      <c r="AD280" s="31" t="s">
        <v>534</v>
      </c>
      <c r="AE280" s="207"/>
      <c r="AF280" s="207"/>
      <c r="AG280" s="207"/>
      <c r="AH280" s="207"/>
      <c r="AI280" s="207"/>
      <c r="AJ280" s="838"/>
      <c r="AK280" s="838"/>
      <c r="AL280" s="838"/>
      <c r="AM280" s="838"/>
      <c r="AN280" s="838"/>
      <c r="AO280" s="838"/>
      <c r="AP280" s="838"/>
      <c r="AQ280" s="838"/>
      <c r="AR280" s="838"/>
      <c r="AS280" s="207"/>
      <c r="AT280" s="838"/>
      <c r="AU280" s="838"/>
      <c r="AV280" s="838"/>
      <c r="AW280" s="838"/>
      <c r="AX280" s="838"/>
      <c r="AY280" s="838"/>
      <c r="AZ280" s="838"/>
      <c r="BA280" s="838"/>
      <c r="BB280" s="838"/>
      <c r="BC280" s="132"/>
      <c r="BF280" s="680" t="s">
        <v>732</v>
      </c>
    </row>
    <row r="281" spans="1:58" ht="14.25" customHeight="1">
      <c r="E281" s="472">
        <v>15</v>
      </c>
      <c r="F281" s="3" t="str" cm="1">
        <f t="array" aca="1" ref="F281" ca="1">OFFSET(E281,-1,1)</f>
        <v>2</v>
      </c>
      <c r="H281" s="36" t="s">
        <v>562</v>
      </c>
      <c r="T281" s="365" t="b" cm="1">
        <f t="array" ref="T281">T280</f>
        <v>1</v>
      </c>
      <c r="X281" s="1075"/>
      <c r="Y281" s="1064"/>
      <c r="AB281" s="172" t="s">
        <v>447</v>
      </c>
      <c r="AC281" s="72" t="s">
        <v>733</v>
      </c>
      <c r="AD281" s="31" t="s">
        <v>534</v>
      </c>
      <c r="AE281" s="207"/>
      <c r="AF281" s="207"/>
      <c r="AG281" s="207"/>
      <c r="AH281" s="207"/>
      <c r="AI281" s="207"/>
      <c r="AJ281" s="838"/>
      <c r="AK281" s="838"/>
      <c r="AL281" s="838"/>
      <c r="AM281" s="838"/>
      <c r="AN281" s="838"/>
      <c r="AO281" s="838"/>
      <c r="AP281" s="838"/>
      <c r="AQ281" s="838"/>
      <c r="AR281" s="838"/>
      <c r="AS281" s="207"/>
      <c r="AT281" s="838"/>
      <c r="AU281" s="838"/>
      <c r="AV281" s="838"/>
      <c r="AW281" s="838"/>
      <c r="AX281" s="838"/>
      <c r="AY281" s="838"/>
      <c r="AZ281" s="838"/>
      <c r="BA281" s="838"/>
      <c r="BB281" s="838"/>
      <c r="BC281" s="132"/>
      <c r="BF281" s="680" t="s">
        <v>734</v>
      </c>
    </row>
    <row r="282" spans="1:58" ht="14.25" customHeight="1">
      <c r="E282" s="472">
        <v>15</v>
      </c>
      <c r="F282" s="3" t="str" cm="1">
        <f t="array" aca="1" ref="F282" ca="1">OFFSET(E282,-1,1)</f>
        <v>2</v>
      </c>
      <c r="H282" s="36" t="s">
        <v>577</v>
      </c>
      <c r="T282" s="365" t="b" cm="1">
        <f t="array" ref="T282">T281</f>
        <v>1</v>
      </c>
      <c r="X282" s="1075"/>
      <c r="Y282" s="1064"/>
      <c r="AB282" s="172" t="s">
        <v>578</v>
      </c>
      <c r="AC282" s="72" t="s">
        <v>735</v>
      </c>
      <c r="AD282" s="31" t="s">
        <v>534</v>
      </c>
      <c r="AE282" s="207"/>
      <c r="AF282" s="207"/>
      <c r="AG282" s="207"/>
      <c r="AH282" s="207"/>
      <c r="AI282" s="207"/>
      <c r="AJ282" s="838"/>
      <c r="AK282" s="838"/>
      <c r="AL282" s="838"/>
      <c r="AM282" s="838"/>
      <c r="AN282" s="838"/>
      <c r="AO282" s="838"/>
      <c r="AP282" s="838"/>
      <c r="AQ282" s="838"/>
      <c r="AR282" s="838"/>
      <c r="AS282" s="207"/>
      <c r="AT282" s="838"/>
      <c r="AU282" s="838"/>
      <c r="AV282" s="838"/>
      <c r="AW282" s="838"/>
      <c r="AX282" s="838"/>
      <c r="AY282" s="838"/>
      <c r="AZ282" s="838"/>
      <c r="BA282" s="838"/>
      <c r="BB282" s="838"/>
      <c r="BC282" s="132"/>
      <c r="BF282" s="680" t="s">
        <v>736</v>
      </c>
    </row>
    <row r="283" spans="1:58" ht="0" hidden="1" customHeight="1">
      <c r="E283" s="472">
        <v>15</v>
      </c>
      <c r="F283" s="3" t="str" cm="1">
        <f t="array" aca="1" ref="F283" ca="1">OFFSET(E283,-1,1)</f>
        <v>2</v>
      </c>
      <c r="H283" s="36" t="s">
        <v>585</v>
      </c>
      <c r="T283" s="365" t="b" cm="1">
        <f t="array" ref="T283">T282</f>
        <v>1</v>
      </c>
      <c r="X283" s="1075"/>
      <c r="Y283" s="1064"/>
      <c r="AB283" s="172" t="s">
        <v>586</v>
      </c>
      <c r="AC283" s="73" t="s">
        <v>737</v>
      </c>
      <c r="AD283" s="31" t="s">
        <v>534</v>
      </c>
      <c r="AE283" s="264">
        <f t="shared" ref="AE283:BB283" si="74">AE284+AE285</f>
        <v>0</v>
      </c>
      <c r="AF283" s="264">
        <f t="shared" si="74"/>
        <v>0</v>
      </c>
      <c r="AG283" s="264">
        <f t="shared" si="74"/>
        <v>0</v>
      </c>
      <c r="AH283" s="264">
        <f t="shared" si="74"/>
        <v>0</v>
      </c>
      <c r="AI283" s="264">
        <f t="shared" si="74"/>
        <v>0</v>
      </c>
      <c r="AJ283" s="264">
        <f t="shared" si="74"/>
        <v>0</v>
      </c>
      <c r="AK283" s="264">
        <f t="shared" si="74"/>
        <v>0</v>
      </c>
      <c r="AL283" s="264">
        <f t="shared" si="74"/>
        <v>0</v>
      </c>
      <c r="AM283" s="264">
        <f t="shared" si="74"/>
        <v>0</v>
      </c>
      <c r="AN283" s="264">
        <f t="shared" si="74"/>
        <v>0</v>
      </c>
      <c r="AO283" s="264">
        <f t="shared" si="74"/>
        <v>0</v>
      </c>
      <c r="AP283" s="264">
        <f t="shared" si="74"/>
        <v>0</v>
      </c>
      <c r="AQ283" s="264">
        <f t="shared" si="74"/>
        <v>0</v>
      </c>
      <c r="AR283" s="264">
        <f t="shared" si="74"/>
        <v>0</v>
      </c>
      <c r="AS283" s="264">
        <f t="shared" si="74"/>
        <v>0</v>
      </c>
      <c r="AT283" s="264">
        <f t="shared" si="74"/>
        <v>0</v>
      </c>
      <c r="AU283" s="264">
        <f t="shared" si="74"/>
        <v>0</v>
      </c>
      <c r="AV283" s="264">
        <f t="shared" si="74"/>
        <v>0</v>
      </c>
      <c r="AW283" s="264">
        <f t="shared" si="74"/>
        <v>0</v>
      </c>
      <c r="AX283" s="264">
        <f t="shared" si="74"/>
        <v>0</v>
      </c>
      <c r="AY283" s="264">
        <f t="shared" si="74"/>
        <v>0</v>
      </c>
      <c r="AZ283" s="264">
        <f t="shared" si="74"/>
        <v>0</v>
      </c>
      <c r="BA283" s="264">
        <f t="shared" si="74"/>
        <v>0</v>
      </c>
      <c r="BB283" s="264">
        <f t="shared" si="74"/>
        <v>0</v>
      </c>
      <c r="BC283" s="132"/>
      <c r="BF283" s="680" t="s">
        <v>738</v>
      </c>
    </row>
    <row r="284" spans="1:58" ht="0" hidden="1" customHeight="1">
      <c r="E284" s="472">
        <v>15</v>
      </c>
      <c r="F284" s="3" t="str" cm="1">
        <f t="array" aca="1" ref="F284" ca="1">OFFSET(E284,-1,1)</f>
        <v>2</v>
      </c>
      <c r="H284" s="36" t="s">
        <v>589</v>
      </c>
      <c r="T284" s="365" t="b" cm="1">
        <f t="array" ref="T284">T283</f>
        <v>1</v>
      </c>
      <c r="X284" s="1075"/>
      <c r="Y284" s="1064"/>
      <c r="AB284" s="172" t="s">
        <v>590</v>
      </c>
      <c r="AC284" s="124" t="s">
        <v>739</v>
      </c>
      <c r="AD284" s="31" t="s">
        <v>534</v>
      </c>
      <c r="AE284" s="207"/>
      <c r="AF284" s="207"/>
      <c r="AG284" s="207"/>
      <c r="AH284" s="207"/>
      <c r="AI284" s="207"/>
      <c r="AJ284" s="838"/>
      <c r="AK284" s="838"/>
      <c r="AL284" s="838"/>
      <c r="AM284" s="838"/>
      <c r="AN284" s="838"/>
      <c r="AO284" s="838"/>
      <c r="AP284" s="838"/>
      <c r="AQ284" s="838"/>
      <c r="AR284" s="838"/>
      <c r="AS284" s="207"/>
      <c r="AT284" s="838"/>
      <c r="AU284" s="838"/>
      <c r="AV284" s="838"/>
      <c r="AW284" s="838"/>
      <c r="AX284" s="838"/>
      <c r="AY284" s="838"/>
      <c r="AZ284" s="838"/>
      <c r="BA284" s="838"/>
      <c r="BB284" s="838"/>
      <c r="BC284" s="132"/>
      <c r="BF284" s="680" t="s">
        <v>740</v>
      </c>
    </row>
    <row r="285" spans="1:58" ht="0" hidden="1" customHeight="1">
      <c r="E285" s="472">
        <v>15</v>
      </c>
      <c r="F285" s="3" t="str" cm="1">
        <f t="array" aca="1" ref="F285" ca="1">OFFSET(E285,-1,1)</f>
        <v>2</v>
      </c>
      <c r="H285" s="36" t="s">
        <v>606</v>
      </c>
      <c r="T285" s="365" t="b" cm="1">
        <f t="array" ref="T285">T284</f>
        <v>1</v>
      </c>
      <c r="X285" s="1075"/>
      <c r="Y285" s="1064"/>
      <c r="AB285" s="172" t="s">
        <v>607</v>
      </c>
      <c r="AC285" s="124" t="s">
        <v>741</v>
      </c>
      <c r="AD285" s="31" t="s">
        <v>534</v>
      </c>
      <c r="AE285" s="207"/>
      <c r="AF285" s="207"/>
      <c r="AG285" s="207"/>
      <c r="AH285" s="207"/>
      <c r="AI285" s="207"/>
      <c r="AJ285" s="838"/>
      <c r="AK285" s="838"/>
      <c r="AL285" s="838"/>
      <c r="AM285" s="838"/>
      <c r="AN285" s="838"/>
      <c r="AO285" s="838"/>
      <c r="AP285" s="838"/>
      <c r="AQ285" s="838"/>
      <c r="AR285" s="838"/>
      <c r="AS285" s="207"/>
      <c r="AT285" s="838"/>
      <c r="AU285" s="838"/>
      <c r="AV285" s="838"/>
      <c r="AW285" s="838"/>
      <c r="AX285" s="838"/>
      <c r="AY285" s="838"/>
      <c r="AZ285" s="838"/>
      <c r="BA285" s="838"/>
      <c r="BB285" s="838"/>
      <c r="BC285" s="132"/>
      <c r="BF285" s="680" t="s">
        <v>742</v>
      </c>
    </row>
    <row r="286" spans="1:58" ht="0" hidden="1" customHeight="1">
      <c r="E286" s="472">
        <v>22.5</v>
      </c>
      <c r="F286" s="3" t="str" cm="1">
        <f t="array" aca="1" ref="F286" ca="1">OFFSET(E286,-1,1)</f>
        <v>2</v>
      </c>
      <c r="H286" s="36" t="s">
        <v>743</v>
      </c>
      <c r="T286" s="365" t="b" cm="1">
        <f t="array" ref="T286">T285</f>
        <v>1</v>
      </c>
      <c r="X286" s="1075"/>
      <c r="Y286" s="1064"/>
      <c r="AB286" s="172" t="s">
        <v>744</v>
      </c>
      <c r="AC286" s="258" t="s">
        <v>655</v>
      </c>
      <c r="AD286" s="31" t="s">
        <v>534</v>
      </c>
      <c r="AE286" s="207"/>
      <c r="AF286" s="207"/>
      <c r="AG286" s="207"/>
      <c r="AH286" s="207"/>
      <c r="AI286" s="207"/>
      <c r="AJ286" s="838"/>
      <c r="AK286" s="838"/>
      <c r="AL286" s="838"/>
      <c r="AM286" s="838"/>
      <c r="AN286" s="838"/>
      <c r="AO286" s="838"/>
      <c r="AP286" s="838"/>
      <c r="AQ286" s="838"/>
      <c r="AR286" s="838"/>
      <c r="AS286" s="207"/>
      <c r="AT286" s="838"/>
      <c r="AU286" s="838"/>
      <c r="AV286" s="838"/>
      <c r="AW286" s="838"/>
      <c r="AX286" s="838"/>
      <c r="AY286" s="838"/>
      <c r="AZ286" s="838"/>
      <c r="BA286" s="838"/>
      <c r="BB286" s="838"/>
      <c r="BC286" s="132"/>
      <c r="BF286" s="680" t="s">
        <v>745</v>
      </c>
    </row>
    <row r="287" spans="1:58" ht="0" hidden="1" customHeight="1">
      <c r="E287" s="472">
        <v>15</v>
      </c>
      <c r="F287" s="3" t="str" cm="1">
        <f t="array" aca="1" ref="F287" ca="1">OFFSET(E287,-1,1)</f>
        <v>2</v>
      </c>
      <c r="H287" s="36" t="s">
        <v>746</v>
      </c>
      <c r="T287" s="365" t="b" cm="1">
        <f t="array" ref="T287">T286</f>
        <v>1</v>
      </c>
      <c r="X287" s="1075"/>
      <c r="Y287" s="1064"/>
      <c r="AB287" s="172" t="s">
        <v>747</v>
      </c>
      <c r="AC287" s="72" t="s">
        <v>748</v>
      </c>
      <c r="AD287" s="31" t="s">
        <v>534</v>
      </c>
      <c r="AE287" s="207"/>
      <c r="AF287" s="207"/>
      <c r="AG287" s="207"/>
      <c r="AH287" s="207"/>
      <c r="AI287" s="207"/>
      <c r="AJ287" s="838"/>
      <c r="AK287" s="838"/>
      <c r="AL287" s="838"/>
      <c r="AM287" s="838"/>
      <c r="AN287" s="838"/>
      <c r="AO287" s="838"/>
      <c r="AP287" s="838"/>
      <c r="AQ287" s="838"/>
      <c r="AR287" s="838"/>
      <c r="AS287" s="207"/>
      <c r="AT287" s="838"/>
      <c r="AU287" s="838"/>
      <c r="AV287" s="838"/>
      <c r="AW287" s="838"/>
      <c r="AX287" s="838"/>
      <c r="AY287" s="838"/>
      <c r="AZ287" s="838"/>
      <c r="BA287" s="838"/>
      <c r="BB287" s="838"/>
      <c r="BC287" s="132"/>
      <c r="BF287" s="680" t="s">
        <v>749</v>
      </c>
    </row>
    <row r="288" spans="1:58" ht="11.25" hidden="1" customHeight="1">
      <c r="A288" s="327"/>
      <c r="B288" s="490"/>
      <c r="C288" s="327"/>
      <c r="D288" s="327"/>
      <c r="E288" s="491" t="s">
        <v>366</v>
      </c>
      <c r="F288" s="774" t="str" cm="1">
        <f t="array" aca="1" ref="F288" ca="1">OFFSET(E288,-1,1)</f>
        <v>2</v>
      </c>
      <c r="G288" s="327"/>
      <c r="H288" s="327"/>
      <c r="I288" s="327"/>
      <c r="J288" s="327"/>
      <c r="L288" s="327"/>
      <c r="M288" s="327"/>
      <c r="N288" s="327"/>
      <c r="O288" s="327"/>
      <c r="T288" s="365" t="b">
        <v>0</v>
      </c>
      <c r="V288" s="327"/>
      <c r="X288" s="1075"/>
      <c r="Y288" s="1064"/>
      <c r="Z288" s="327"/>
      <c r="AA288" s="327"/>
      <c r="AB288"/>
      <c r="AC288" s="37"/>
      <c r="AD288" s="37"/>
      <c r="AE288" s="262"/>
      <c r="AF288" s="262"/>
      <c r="AG288" s="262"/>
      <c r="AH288" s="262"/>
      <c r="AI288" s="262"/>
      <c r="AJ288" s="263"/>
      <c r="AK288" s="262"/>
      <c r="AL288" s="262"/>
      <c r="AM288" s="262"/>
      <c r="AN288" s="262"/>
      <c r="AO288" s="262"/>
      <c r="AP288" s="262"/>
      <c r="AQ288" s="262"/>
      <c r="AR288" s="262"/>
      <c r="AS288" s="262"/>
      <c r="AT288" s="262"/>
      <c r="AU288" s="262"/>
      <c r="AV288" s="262"/>
      <c r="AW288" s="262"/>
      <c r="AX288" s="262"/>
      <c r="AY288" s="262"/>
      <c r="AZ288" s="262"/>
      <c r="BA288" s="262"/>
      <c r="BB288" s="262"/>
      <c r="BC288"/>
      <c r="BD288"/>
      <c r="BE288"/>
      <c r="BF288" s="670"/>
    </row>
    <row r="289" spans="2:58" ht="14.25" hidden="1" customHeight="1">
      <c r="E289" s="472">
        <v>15</v>
      </c>
      <c r="F289" s="3" t="str" cm="1">
        <f t="array" aca="1" ref="F289" ca="1">OFFSET(E289,-1,1)</f>
        <v>2</v>
      </c>
      <c r="R289" s="327" t="b" cm="1">
        <f t="array" ref="R289">INDEX('Общие сведения'!$AN$179:$AN$222,MATCH($X209,'Общие сведения'!$Z$179:$Z$222,0))</f>
        <v>0</v>
      </c>
      <c r="S289" s="327" t="b">
        <f>IF(ISERROR(SEARCH("Водоотведение",AB209)),FALSE,TRUE)</f>
        <v>1</v>
      </c>
      <c r="T289" s="365" t="b">
        <f>AND(X209&gt;0,S289,R289)</f>
        <v>0</v>
      </c>
      <c r="X289" s="1075"/>
      <c r="Y289" s="1064"/>
      <c r="AB289" s="172" t="s">
        <v>275</v>
      </c>
      <c r="AC289" s="25" t="s">
        <v>687</v>
      </c>
      <c r="AD289" s="129"/>
      <c r="AE289" s="427" t="str" cm="1">
        <f t="array" ref="AE289">INDEX('Общие сведения'!$AH$179:$AH$222,MATCH($X209,'Общие сведения'!$Z$179:$Z$222,0))</f>
        <v>без дифференциации</v>
      </c>
      <c r="AF289" s="277"/>
      <c r="AG289" s="277"/>
      <c r="AH289" s="277"/>
      <c r="AI289" s="277"/>
      <c r="AJ289" s="277"/>
      <c r="AK289" s="277"/>
      <c r="AL289" s="277"/>
      <c r="AM289" s="277"/>
      <c r="AN289" s="277"/>
      <c r="AO289" s="277"/>
      <c r="AP289" s="277"/>
      <c r="AQ289" s="277"/>
      <c r="AR289" s="277"/>
      <c r="AS289" s="277"/>
      <c r="AT289" s="277"/>
      <c r="AU289" s="277"/>
      <c r="AV289" s="277"/>
      <c r="AW289" s="277"/>
      <c r="AX289" s="277"/>
      <c r="AY289" s="277"/>
      <c r="AZ289" s="277"/>
      <c r="BA289" s="277"/>
      <c r="BB289" s="278"/>
      <c r="BC289" s="839"/>
      <c r="BF289" s="680" t="s">
        <v>750</v>
      </c>
    </row>
    <row r="290" spans="2:58" ht="14.25" hidden="1" customHeight="1">
      <c r="E290" s="472">
        <v>15</v>
      </c>
      <c r="F290" s="3" t="str" cm="1">
        <f t="array" aca="1" ref="F290" ca="1">OFFSET(E290,-1,1)</f>
        <v>2</v>
      </c>
      <c r="H290" s="36" t="s">
        <v>331</v>
      </c>
      <c r="T290" s="365" t="b" cm="1">
        <f t="array" ref="T290">T289</f>
        <v>0</v>
      </c>
      <c r="X290" s="1075"/>
      <c r="Y290" s="1064"/>
      <c r="AB290" s="172" t="s">
        <v>285</v>
      </c>
      <c r="AC290" s="259" t="s">
        <v>751</v>
      </c>
      <c r="AD290" s="31" t="s">
        <v>534</v>
      </c>
      <c r="AE290" s="264">
        <f t="shared" ref="AE290:BB290" si="75">AE291+AE293+AE292</f>
        <v>0</v>
      </c>
      <c r="AF290" s="264">
        <f t="shared" si="75"/>
        <v>0</v>
      </c>
      <c r="AG290" s="264">
        <f t="shared" si="75"/>
        <v>0</v>
      </c>
      <c r="AH290" s="264">
        <f t="shared" si="75"/>
        <v>0</v>
      </c>
      <c r="AI290" s="264">
        <f t="shared" si="75"/>
        <v>0</v>
      </c>
      <c r="AJ290" s="264">
        <f t="shared" si="75"/>
        <v>0</v>
      </c>
      <c r="AK290" s="264">
        <f t="shared" si="75"/>
        <v>0</v>
      </c>
      <c r="AL290" s="264">
        <f t="shared" si="75"/>
        <v>0</v>
      </c>
      <c r="AM290" s="264">
        <f t="shared" si="75"/>
        <v>0</v>
      </c>
      <c r="AN290" s="264">
        <f t="shared" si="75"/>
        <v>0</v>
      </c>
      <c r="AO290" s="264">
        <f t="shared" si="75"/>
        <v>0</v>
      </c>
      <c r="AP290" s="264">
        <f t="shared" si="75"/>
        <v>0</v>
      </c>
      <c r="AQ290" s="264">
        <f t="shared" si="75"/>
        <v>0</v>
      </c>
      <c r="AR290" s="264">
        <f t="shared" si="75"/>
        <v>0</v>
      </c>
      <c r="AS290" s="264">
        <f t="shared" si="75"/>
        <v>0</v>
      </c>
      <c r="AT290" s="264">
        <f t="shared" si="75"/>
        <v>0</v>
      </c>
      <c r="AU290" s="264">
        <f t="shared" si="75"/>
        <v>0</v>
      </c>
      <c r="AV290" s="264">
        <f t="shared" si="75"/>
        <v>0</v>
      </c>
      <c r="AW290" s="264">
        <f t="shared" si="75"/>
        <v>0</v>
      </c>
      <c r="AX290" s="264">
        <f t="shared" si="75"/>
        <v>0</v>
      </c>
      <c r="AY290" s="264">
        <f t="shared" si="75"/>
        <v>0</v>
      </c>
      <c r="AZ290" s="264">
        <f t="shared" si="75"/>
        <v>0</v>
      </c>
      <c r="BA290" s="264">
        <f t="shared" si="75"/>
        <v>0</v>
      </c>
      <c r="BB290" s="264">
        <f t="shared" si="75"/>
        <v>0</v>
      </c>
      <c r="BC290" s="839"/>
      <c r="BF290" s="680" t="s">
        <v>752</v>
      </c>
    </row>
    <row r="291" spans="2:58" ht="14.25" hidden="1" customHeight="1">
      <c r="E291" s="472">
        <v>15</v>
      </c>
      <c r="F291" s="3" t="str" cm="1">
        <f t="array" aca="1" ref="F291" ca="1">OFFSET(E291,-1,1)</f>
        <v>2</v>
      </c>
      <c r="H291" s="36" t="s">
        <v>536</v>
      </c>
      <c r="T291" s="365" t="b" cm="1">
        <f t="array" ref="T291">T290</f>
        <v>0</v>
      </c>
      <c r="X291" s="1075"/>
      <c r="Y291" s="1064"/>
      <c r="AB291" s="172" t="s">
        <v>537</v>
      </c>
      <c r="AC291" s="146" t="s">
        <v>753</v>
      </c>
      <c r="AD291" s="31" t="s">
        <v>534</v>
      </c>
      <c r="AE291" s="849"/>
      <c r="AF291" s="849"/>
      <c r="AG291" s="849"/>
      <c r="AH291" s="849"/>
      <c r="AI291" s="849"/>
      <c r="AJ291" s="849"/>
      <c r="AK291" s="849"/>
      <c r="AL291" s="849"/>
      <c r="AM291" s="849"/>
      <c r="AN291" s="849"/>
      <c r="AO291" s="849"/>
      <c r="AP291" s="849"/>
      <c r="AQ291" s="849"/>
      <c r="AR291" s="849"/>
      <c r="AS291" s="849"/>
      <c r="AT291" s="849"/>
      <c r="AU291" s="849"/>
      <c r="AV291" s="849"/>
      <c r="AW291" s="849"/>
      <c r="AX291" s="849"/>
      <c r="AY291" s="849"/>
      <c r="AZ291" s="849"/>
      <c r="BA291" s="849"/>
      <c r="BB291" s="849"/>
      <c r="BC291" s="839"/>
      <c r="BF291" s="680" t="s">
        <v>754</v>
      </c>
    </row>
    <row r="292" spans="2:58" ht="14.25" hidden="1" customHeight="1">
      <c r="E292" s="472">
        <v>15</v>
      </c>
      <c r="F292" s="3" t="str" cm="1">
        <f t="array" aca="1" ref="F292" ca="1">OFFSET(E292,-1,1)</f>
        <v>2</v>
      </c>
      <c r="H292" s="36" t="s">
        <v>540</v>
      </c>
      <c r="T292" s="365" t="b" cm="1">
        <f t="array" ref="T292">T291</f>
        <v>0</v>
      </c>
      <c r="X292" s="1075"/>
      <c r="Y292" s="1064"/>
      <c r="AB292" s="172" t="s">
        <v>541</v>
      </c>
      <c r="AC292" s="146" t="s">
        <v>755</v>
      </c>
      <c r="AD292" s="31" t="s">
        <v>534</v>
      </c>
      <c r="AE292" s="849"/>
      <c r="AF292" s="849"/>
      <c r="AG292" s="849"/>
      <c r="AH292" s="849"/>
      <c r="AI292" s="849"/>
      <c r="AJ292" s="849"/>
      <c r="AK292" s="849"/>
      <c r="AL292" s="849"/>
      <c r="AM292" s="849"/>
      <c r="AN292" s="849"/>
      <c r="AO292" s="849"/>
      <c r="AP292" s="849"/>
      <c r="AQ292" s="849"/>
      <c r="AR292" s="849"/>
      <c r="AS292" s="849"/>
      <c r="AT292" s="849"/>
      <c r="AU292" s="849"/>
      <c r="AV292" s="849"/>
      <c r="AW292" s="849"/>
      <c r="AX292" s="849"/>
      <c r="AY292" s="849"/>
      <c r="AZ292" s="849"/>
      <c r="BA292" s="849"/>
      <c r="BB292" s="849"/>
      <c r="BC292" s="839"/>
      <c r="BF292" s="680" t="s">
        <v>756</v>
      </c>
    </row>
    <row r="293" spans="2:58" ht="21.75" hidden="1" customHeight="1">
      <c r="E293" s="472">
        <v>22.5</v>
      </c>
      <c r="F293" s="3" t="str" cm="1">
        <f t="array" aca="1" ref="F293" ca="1">OFFSET(E293,-1,1)</f>
        <v>2</v>
      </c>
      <c r="H293" s="36" t="s">
        <v>544</v>
      </c>
      <c r="T293" s="365" t="b" cm="1">
        <f t="array" ref="T293">T292</f>
        <v>0</v>
      </c>
      <c r="X293" s="1075"/>
      <c r="Y293" s="1064"/>
      <c r="AB293" s="172" t="s">
        <v>545</v>
      </c>
      <c r="AC293" s="146" t="s">
        <v>655</v>
      </c>
      <c r="AD293" s="31" t="s">
        <v>534</v>
      </c>
      <c r="AE293" s="849"/>
      <c r="AF293" s="849"/>
      <c r="AG293" s="849"/>
      <c r="AH293" s="849"/>
      <c r="AI293" s="849"/>
      <c r="AJ293" s="849"/>
      <c r="AK293" s="849"/>
      <c r="AL293" s="849"/>
      <c r="AM293" s="849"/>
      <c r="AN293" s="849"/>
      <c r="AO293" s="849"/>
      <c r="AP293" s="849"/>
      <c r="AQ293" s="849"/>
      <c r="AR293" s="849"/>
      <c r="AS293" s="849"/>
      <c r="AT293" s="849"/>
      <c r="AU293" s="849"/>
      <c r="AV293" s="849"/>
      <c r="AW293" s="849"/>
      <c r="AX293" s="849"/>
      <c r="AY293" s="849"/>
      <c r="AZ293" s="849"/>
      <c r="BA293" s="849"/>
      <c r="BB293" s="849"/>
      <c r="BC293" s="839"/>
      <c r="BF293" s="680" t="s">
        <v>757</v>
      </c>
    </row>
    <row r="294" spans="2:58" ht="21.75" hidden="1" customHeight="1">
      <c r="E294" s="472">
        <v>22.5</v>
      </c>
      <c r="F294" s="3" t="str" cm="1">
        <f t="array" aca="1" ref="F294" ca="1">OFFSET(E294,-1,1)</f>
        <v>2</v>
      </c>
      <c r="G294" s="36" t="s">
        <v>605</v>
      </c>
      <c r="H294" s="36" t="s">
        <v>330</v>
      </c>
      <c r="T294" s="365" t="b" cm="1">
        <f t="array" ref="T294">T293</f>
        <v>0</v>
      </c>
      <c r="X294" s="1075"/>
      <c r="Y294" s="1064"/>
      <c r="AB294" s="172" t="s">
        <v>325</v>
      </c>
      <c r="AC294" s="259" t="s">
        <v>758</v>
      </c>
      <c r="AD294" s="31" t="s">
        <v>534</v>
      </c>
      <c r="AE294" s="264">
        <f t="shared" ref="AE294:BB294" si="76">AE295+AE296+AE299</f>
        <v>0</v>
      </c>
      <c r="AF294" s="264">
        <f t="shared" si="76"/>
        <v>0</v>
      </c>
      <c r="AG294" s="264">
        <f t="shared" si="76"/>
        <v>0</v>
      </c>
      <c r="AH294" s="264">
        <f t="shared" si="76"/>
        <v>0</v>
      </c>
      <c r="AI294" s="264">
        <f t="shared" si="76"/>
        <v>0</v>
      </c>
      <c r="AJ294" s="264">
        <f t="shared" si="76"/>
        <v>0</v>
      </c>
      <c r="AK294" s="264">
        <f t="shared" si="76"/>
        <v>0</v>
      </c>
      <c r="AL294" s="264">
        <f t="shared" si="76"/>
        <v>0</v>
      </c>
      <c r="AM294" s="264">
        <f t="shared" si="76"/>
        <v>0</v>
      </c>
      <c r="AN294" s="264">
        <f t="shared" si="76"/>
        <v>0</v>
      </c>
      <c r="AO294" s="264">
        <f t="shared" si="76"/>
        <v>0</v>
      </c>
      <c r="AP294" s="264">
        <f t="shared" si="76"/>
        <v>0</v>
      </c>
      <c r="AQ294" s="264">
        <f t="shared" si="76"/>
        <v>0</v>
      </c>
      <c r="AR294" s="264">
        <f t="shared" si="76"/>
        <v>0</v>
      </c>
      <c r="AS294" s="264">
        <f t="shared" si="76"/>
        <v>0</v>
      </c>
      <c r="AT294" s="264">
        <f t="shared" si="76"/>
        <v>0</v>
      </c>
      <c r="AU294" s="264">
        <f t="shared" si="76"/>
        <v>0</v>
      </c>
      <c r="AV294" s="264">
        <f t="shared" si="76"/>
        <v>0</v>
      </c>
      <c r="AW294" s="264">
        <f t="shared" si="76"/>
        <v>0</v>
      </c>
      <c r="AX294" s="264">
        <f t="shared" si="76"/>
        <v>0</v>
      </c>
      <c r="AY294" s="264">
        <f t="shared" si="76"/>
        <v>0</v>
      </c>
      <c r="AZ294" s="264">
        <f t="shared" si="76"/>
        <v>0</v>
      </c>
      <c r="BA294" s="264">
        <f t="shared" si="76"/>
        <v>0</v>
      </c>
      <c r="BB294" s="264">
        <f t="shared" si="76"/>
        <v>0</v>
      </c>
      <c r="BC294" s="839"/>
      <c r="BF294" s="680" t="s">
        <v>759</v>
      </c>
    </row>
    <row r="295" spans="2:58" ht="14.25" hidden="1" customHeight="1">
      <c r="E295" s="472">
        <v>15</v>
      </c>
      <c r="F295" s="3" t="str" cm="1">
        <f t="array" aca="1" ref="F295" ca="1">OFFSET(E295,-1,1)</f>
        <v>2</v>
      </c>
      <c r="H295" s="36" t="s">
        <v>550</v>
      </c>
      <c r="T295" s="365" t="b" cm="1">
        <f t="array" ref="T295">T294</f>
        <v>0</v>
      </c>
      <c r="X295" s="1075"/>
      <c r="Y295" s="1064"/>
      <c r="AB295" s="172" t="s">
        <v>551</v>
      </c>
      <c r="AC295" s="146" t="s">
        <v>760</v>
      </c>
      <c r="AD295" s="31" t="s">
        <v>534</v>
      </c>
      <c r="AE295" s="849"/>
      <c r="AF295" s="849"/>
      <c r="AG295" s="849"/>
      <c r="AH295" s="849"/>
      <c r="AI295" s="849"/>
      <c r="AJ295" s="849"/>
      <c r="AK295" s="849"/>
      <c r="AL295" s="849"/>
      <c r="AM295" s="849"/>
      <c r="AN295" s="849"/>
      <c r="AO295" s="849"/>
      <c r="AP295" s="849"/>
      <c r="AQ295" s="849"/>
      <c r="AR295" s="849"/>
      <c r="AS295" s="849"/>
      <c r="AT295" s="849"/>
      <c r="AU295" s="849"/>
      <c r="AV295" s="849"/>
      <c r="AW295" s="849"/>
      <c r="AX295" s="849"/>
      <c r="AY295" s="849"/>
      <c r="AZ295" s="849"/>
      <c r="BA295" s="849"/>
      <c r="BB295" s="849"/>
      <c r="BC295" s="839"/>
      <c r="BF295" s="680" t="s">
        <v>761</v>
      </c>
    </row>
    <row r="296" spans="2:58" ht="14.25" hidden="1" customHeight="1">
      <c r="E296" s="472">
        <v>15</v>
      </c>
      <c r="F296" s="3" t="str" cm="1">
        <f t="array" aca="1" ref="F296" ca="1">OFFSET(E296,-1,1)</f>
        <v>2</v>
      </c>
      <c r="H296" s="36" t="s">
        <v>554</v>
      </c>
      <c r="T296" s="365" t="b" cm="1">
        <f t="array" ref="T296">T295</f>
        <v>0</v>
      </c>
      <c r="X296" s="1075"/>
      <c r="Y296" s="1064"/>
      <c r="AB296" s="172" t="s">
        <v>555</v>
      </c>
      <c r="AC296" s="260" t="s">
        <v>762</v>
      </c>
      <c r="AD296" s="31" t="s">
        <v>534</v>
      </c>
      <c r="AE296" s="264">
        <f t="shared" ref="AE296:BB296" si="77">AE297+AE298</f>
        <v>0</v>
      </c>
      <c r="AF296" s="264">
        <f t="shared" si="77"/>
        <v>0</v>
      </c>
      <c r="AG296" s="264">
        <f t="shared" si="77"/>
        <v>0</v>
      </c>
      <c r="AH296" s="264">
        <f t="shared" si="77"/>
        <v>0</v>
      </c>
      <c r="AI296" s="264">
        <f t="shared" si="77"/>
        <v>0</v>
      </c>
      <c r="AJ296" s="264">
        <f t="shared" si="77"/>
        <v>0</v>
      </c>
      <c r="AK296" s="264">
        <f t="shared" si="77"/>
        <v>0</v>
      </c>
      <c r="AL296" s="264">
        <f t="shared" si="77"/>
        <v>0</v>
      </c>
      <c r="AM296" s="264">
        <f t="shared" si="77"/>
        <v>0</v>
      </c>
      <c r="AN296" s="264">
        <f t="shared" si="77"/>
        <v>0</v>
      </c>
      <c r="AO296" s="264">
        <f t="shared" si="77"/>
        <v>0</v>
      </c>
      <c r="AP296" s="264">
        <f t="shared" si="77"/>
        <v>0</v>
      </c>
      <c r="AQ296" s="264">
        <f t="shared" si="77"/>
        <v>0</v>
      </c>
      <c r="AR296" s="264">
        <f t="shared" si="77"/>
        <v>0</v>
      </c>
      <c r="AS296" s="264">
        <f t="shared" si="77"/>
        <v>0</v>
      </c>
      <c r="AT296" s="264">
        <f t="shared" si="77"/>
        <v>0</v>
      </c>
      <c r="AU296" s="264">
        <f t="shared" si="77"/>
        <v>0</v>
      </c>
      <c r="AV296" s="264">
        <f t="shared" si="77"/>
        <v>0</v>
      </c>
      <c r="AW296" s="264">
        <f t="shared" si="77"/>
        <v>0</v>
      </c>
      <c r="AX296" s="264">
        <f t="shared" si="77"/>
        <v>0</v>
      </c>
      <c r="AY296" s="264">
        <f t="shared" si="77"/>
        <v>0</v>
      </c>
      <c r="AZ296" s="264">
        <f t="shared" si="77"/>
        <v>0</v>
      </c>
      <c r="BA296" s="264">
        <f t="shared" si="77"/>
        <v>0</v>
      </c>
      <c r="BB296" s="264">
        <f t="shared" si="77"/>
        <v>0</v>
      </c>
      <c r="BC296" s="839"/>
      <c r="BF296" s="680" t="s">
        <v>763</v>
      </c>
    </row>
    <row r="297" spans="2:58" ht="14.25" hidden="1" customHeight="1">
      <c r="E297" s="472">
        <v>15</v>
      </c>
      <c r="F297" s="3" t="str" cm="1">
        <f t="array" aca="1" ref="F297" ca="1">OFFSET(E297,-1,1)</f>
        <v>2</v>
      </c>
      <c r="H297" s="36" t="s">
        <v>764</v>
      </c>
      <c r="T297" s="365" t="b" cm="1">
        <f t="array" ref="T297">T296</f>
        <v>0</v>
      </c>
      <c r="X297" s="1075"/>
      <c r="Y297" s="1064"/>
      <c r="AB297" s="172" t="s">
        <v>765</v>
      </c>
      <c r="AC297" s="261" t="s">
        <v>612</v>
      </c>
      <c r="AD297" s="31" t="s">
        <v>534</v>
      </c>
      <c r="AE297" s="849"/>
      <c r="AF297" s="849"/>
      <c r="AG297" s="849"/>
      <c r="AH297" s="849"/>
      <c r="AI297" s="849"/>
      <c r="AJ297" s="849"/>
      <c r="AK297" s="849"/>
      <c r="AL297" s="849"/>
      <c r="AM297" s="849"/>
      <c r="AN297" s="849"/>
      <c r="AO297" s="849"/>
      <c r="AP297" s="849"/>
      <c r="AQ297" s="849"/>
      <c r="AR297" s="849"/>
      <c r="AS297" s="849"/>
      <c r="AT297" s="849"/>
      <c r="AU297" s="849"/>
      <c r="AV297" s="849"/>
      <c r="AW297" s="849"/>
      <c r="AX297" s="849"/>
      <c r="AY297" s="849"/>
      <c r="AZ297" s="849"/>
      <c r="BA297" s="849"/>
      <c r="BB297" s="849"/>
      <c r="BC297" s="839"/>
      <c r="BF297" s="680" t="s">
        <v>766</v>
      </c>
    </row>
    <row r="298" spans="2:58" ht="14.25" hidden="1" customHeight="1">
      <c r="E298" s="472">
        <v>15</v>
      </c>
      <c r="F298" s="3" t="str" cm="1">
        <f t="array" aca="1" ref="F298" ca="1">OFFSET(E298,-1,1)</f>
        <v>2</v>
      </c>
      <c r="H298" s="36" t="s">
        <v>767</v>
      </c>
      <c r="T298" s="365" t="b" cm="1">
        <f t="array" ref="T298">T297</f>
        <v>0</v>
      </c>
      <c r="X298" s="1075"/>
      <c r="Y298" s="1064"/>
      <c r="AB298" s="172" t="s">
        <v>768</v>
      </c>
      <c r="AC298" s="261" t="s">
        <v>616</v>
      </c>
      <c r="AD298" s="31" t="s">
        <v>534</v>
      </c>
      <c r="AE298" s="849"/>
      <c r="AF298" s="849"/>
      <c r="AG298" s="849"/>
      <c r="AH298" s="849"/>
      <c r="AI298" s="849"/>
      <c r="AJ298" s="849"/>
      <c r="AK298" s="849"/>
      <c r="AL298" s="849"/>
      <c r="AM298" s="849"/>
      <c r="AN298" s="849"/>
      <c r="AO298" s="849"/>
      <c r="AP298" s="849"/>
      <c r="AQ298" s="849"/>
      <c r="AR298" s="849"/>
      <c r="AS298" s="849"/>
      <c r="AT298" s="849"/>
      <c r="AU298" s="849"/>
      <c r="AV298" s="849"/>
      <c r="AW298" s="849"/>
      <c r="AX298" s="849"/>
      <c r="AY298" s="849"/>
      <c r="AZ298" s="849"/>
      <c r="BA298" s="849"/>
      <c r="BB298" s="849"/>
      <c r="BC298" s="839"/>
      <c r="BF298" s="680" t="s">
        <v>769</v>
      </c>
    </row>
    <row r="299" spans="2:58" ht="21.75" hidden="1" customHeight="1">
      <c r="E299" s="472">
        <v>22.5</v>
      </c>
      <c r="F299" s="3" t="str" cm="1">
        <f t="array" aca="1" ref="F299" ca="1">OFFSET(E299,-1,1)</f>
        <v>2</v>
      </c>
      <c r="H299" s="36" t="s">
        <v>770</v>
      </c>
      <c r="T299" s="365" t="b" cm="1">
        <f t="array" ref="T299">T298</f>
        <v>0</v>
      </c>
      <c r="X299" s="1075"/>
      <c r="Y299" s="1064"/>
      <c r="AB299" s="172" t="s">
        <v>771</v>
      </c>
      <c r="AC299" s="255" t="s">
        <v>575</v>
      </c>
      <c r="AD299" s="31" t="s">
        <v>534</v>
      </c>
      <c r="AE299" s="838"/>
      <c r="AF299" s="838"/>
      <c r="AG299" s="838"/>
      <c r="AH299" s="838"/>
      <c r="AI299" s="838"/>
      <c r="AJ299" s="838"/>
      <c r="AK299" s="838"/>
      <c r="AL299" s="838"/>
      <c r="AM299" s="838"/>
      <c r="AN299" s="838"/>
      <c r="AO299" s="838"/>
      <c r="AP299" s="838"/>
      <c r="AQ299" s="838"/>
      <c r="AR299" s="838"/>
      <c r="AS299" s="838"/>
      <c r="AT299" s="838"/>
      <c r="AU299" s="838"/>
      <c r="AV299" s="838"/>
      <c r="AW299" s="838"/>
      <c r="AX299" s="838"/>
      <c r="AY299" s="838"/>
      <c r="AZ299" s="838"/>
      <c r="BA299" s="838"/>
      <c r="BB299" s="838"/>
      <c r="BC299" s="839"/>
      <c r="BF299" s="680" t="s">
        <v>772</v>
      </c>
    </row>
    <row r="300" spans="2:58" ht="14.65" customHeight="1">
      <c r="E300" s="472">
        <v>15</v>
      </c>
      <c r="U300" s="327" t="s">
        <v>177</v>
      </c>
      <c r="V300" s="75" t="s">
        <v>778</v>
      </c>
      <c r="AB300" s="392"/>
      <c r="AC300" s="83"/>
      <c r="AD300" s="223"/>
      <c r="AE300" s="638"/>
      <c r="AF300" s="638"/>
      <c r="AG300" s="638"/>
      <c r="AH300" s="638"/>
      <c r="AI300" s="638"/>
      <c r="AJ300" s="638"/>
      <c r="AK300" s="638"/>
      <c r="AL300" s="638"/>
      <c r="AM300" s="638"/>
      <c r="AN300" s="638"/>
      <c r="AO300" s="638"/>
      <c r="AP300" s="638"/>
      <c r="AQ300" s="638"/>
      <c r="AR300" s="638"/>
      <c r="AS300" s="638"/>
      <c r="AT300" s="638"/>
      <c r="AU300" s="638"/>
      <c r="AV300" s="638"/>
      <c r="AW300" s="638"/>
      <c r="AX300" s="638"/>
      <c r="AY300" s="638"/>
      <c r="AZ300" s="638"/>
      <c r="BA300" s="638"/>
      <c r="BB300" s="638"/>
      <c r="BC300" s="639"/>
    </row>
    <row r="301" spans="2:58" s="36" customFormat="1" ht="10.9" customHeight="1">
      <c r="B301" s="65"/>
      <c r="E301" s="472">
        <v>11.25</v>
      </c>
      <c r="F301" s="266"/>
      <c r="P301" s="327"/>
      <c r="Q301" s="327"/>
      <c r="R301" s="327"/>
      <c r="S301" s="327"/>
      <c r="V301" s="78"/>
      <c r="AB301" s="1078" t="s">
        <v>398</v>
      </c>
      <c r="AC301" s="1078"/>
      <c r="AD301" s="1078"/>
      <c r="AE301" s="1079"/>
      <c r="AF301" s="1079"/>
      <c r="AG301" s="1079"/>
      <c r="AH301" s="1079"/>
      <c r="AI301" s="1079"/>
      <c r="AJ301" s="1079"/>
      <c r="AK301" s="1079"/>
      <c r="AL301" s="1079"/>
      <c r="AM301" s="1079"/>
      <c r="AN301" s="1079"/>
      <c r="AO301" s="1079"/>
      <c r="AP301" s="1079"/>
      <c r="AQ301" s="1079"/>
      <c r="AR301" s="1079"/>
      <c r="AS301" s="1079"/>
      <c r="AT301" s="1079"/>
      <c r="AU301" s="1079"/>
      <c r="AV301" s="1079"/>
      <c r="AW301" s="1079"/>
      <c r="AX301" s="1079"/>
      <c r="AY301" s="1079"/>
      <c r="AZ301" s="1079"/>
      <c r="BA301" s="1079"/>
      <c r="BB301" s="1079"/>
      <c r="BC301" s="1079"/>
      <c r="BF301" s="680"/>
    </row>
    <row r="302" spans="2:58" ht="14.65" customHeight="1">
      <c r="E302" s="472">
        <v>15</v>
      </c>
      <c r="T302" s="36"/>
      <c r="U302" s="36"/>
      <c r="V302" s="78"/>
      <c r="W302" s="36"/>
      <c r="AA302" s="492"/>
      <c r="AB302" s="1080"/>
      <c r="AC302" s="1081"/>
      <c r="AD302" s="1081"/>
      <c r="AE302" s="1081"/>
      <c r="AF302" s="1081"/>
      <c r="AG302" s="1081"/>
      <c r="AH302" s="1081"/>
      <c r="AI302" s="1081"/>
      <c r="AJ302" s="1082"/>
      <c r="AK302" s="1082"/>
      <c r="AL302" s="1082"/>
      <c r="AM302" s="1082"/>
      <c r="AN302" s="1082"/>
      <c r="AO302" s="1082"/>
      <c r="AP302" s="1082"/>
      <c r="AQ302" s="1082"/>
      <c r="AR302" s="1082"/>
      <c r="AS302" s="1081"/>
      <c r="AT302" s="1082"/>
      <c r="AU302" s="1082"/>
      <c r="AV302" s="1082"/>
      <c r="AW302" s="1082"/>
      <c r="AX302" s="1082"/>
      <c r="AY302" s="1082"/>
      <c r="AZ302" s="1082"/>
      <c r="BA302" s="1082"/>
      <c r="BB302" s="1082"/>
      <c r="BC302" s="1083"/>
    </row>
    <row r="303" spans="2:58" ht="14.65" hidden="1" customHeight="1">
      <c r="E303" s="472">
        <v>15</v>
      </c>
      <c r="T303" s="365" t="b">
        <f>ROW(W303)&gt;ROW(W$303)</f>
        <v>0</v>
      </c>
      <c r="U303" s="36"/>
      <c r="V303" s="78"/>
      <c r="W303" s="528" t="s">
        <v>173</v>
      </c>
      <c r="AA303" s="493" t="s">
        <v>174</v>
      </c>
      <c r="AB303" s="1084"/>
      <c r="AC303" s="1085"/>
      <c r="AD303" s="1085"/>
      <c r="AE303" s="1085"/>
      <c r="AF303" s="1085"/>
      <c r="AG303" s="1085"/>
      <c r="AH303" s="1085"/>
      <c r="AI303" s="1086"/>
      <c r="AJ303" s="1085"/>
      <c r="AK303" s="1085"/>
      <c r="AL303" s="1085"/>
      <c r="AM303" s="1085"/>
      <c r="AN303" s="1085"/>
      <c r="AO303" s="1085"/>
      <c r="AP303" s="1085"/>
      <c r="AQ303" s="1085"/>
      <c r="AR303" s="1085"/>
      <c r="AS303" s="1086"/>
      <c r="AT303" s="1085"/>
      <c r="AU303" s="1085"/>
      <c r="AV303" s="1085"/>
      <c r="AW303" s="1085"/>
      <c r="AX303" s="1085"/>
      <c r="AY303" s="1085"/>
      <c r="AZ303" s="1085"/>
      <c r="BA303" s="1085"/>
      <c r="BB303" s="1085"/>
      <c r="BC303" s="1087"/>
    </row>
    <row r="304" spans="2:58" ht="14.65" customHeight="1">
      <c r="E304" s="472">
        <v>15</v>
      </c>
      <c r="T304" s="36"/>
      <c r="U304" s="36"/>
      <c r="W304" s="528" t="s">
        <v>399</v>
      </c>
      <c r="AB304" s="485"/>
      <c r="AC304" s="394" t="s">
        <v>400</v>
      </c>
      <c r="AD304" s="231"/>
      <c r="AE304" s="232"/>
      <c r="AF304" s="232"/>
      <c r="AG304" s="232"/>
      <c r="AH304" s="232"/>
      <c r="AI304" s="232"/>
      <c r="AJ304" s="232"/>
      <c r="AK304" s="232"/>
      <c r="AL304" s="232"/>
      <c r="AM304" s="232"/>
      <c r="AN304" s="232"/>
      <c r="AO304" s="232"/>
      <c r="AP304" s="232"/>
      <c r="AQ304" s="232"/>
      <c r="AR304" s="232"/>
      <c r="AS304" s="232"/>
      <c r="AT304" s="232"/>
      <c r="AU304" s="232"/>
      <c r="AV304" s="232"/>
      <c r="AW304" s="232"/>
      <c r="AX304" s="232"/>
      <c r="AY304" s="232"/>
      <c r="AZ304" s="232"/>
      <c r="BA304" s="232"/>
      <c r="BB304" s="232"/>
      <c r="BC304" s="206"/>
    </row>
    <row r="305" spans="5:23" ht="10.7" customHeight="1">
      <c r="E305" s="472">
        <v>11</v>
      </c>
      <c r="T305" s="36"/>
      <c r="U305" s="36"/>
      <c r="W305" s="36"/>
    </row>
  </sheetData>
  <sheetProtection formatColumns="0" formatRows="0" insertRows="0" deleteColumns="0" deleteRows="0" sort="0" autoFilter="0"/>
  <mergeCells count="13">
    <mergeCell ref="AD24:AD25"/>
    <mergeCell ref="BC24:BC25"/>
    <mergeCell ref="AB24:AB25"/>
    <mergeCell ref="AC24:AC25"/>
    <mergeCell ref="X27:X117"/>
    <mergeCell ref="Y27:Y117"/>
    <mergeCell ref="AB301:BC301"/>
    <mergeCell ref="AB302:BC302"/>
    <mergeCell ref="AB303:BC303"/>
    <mergeCell ref="X118:X208"/>
    <mergeCell ref="Y118:Y208"/>
    <mergeCell ref="X209:X299"/>
    <mergeCell ref="Y209:Y299"/>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33188-E348-E328-C4C8-316011E33FBF}">
  <sheetPr>
    <tabColor rgb="FF002060"/>
    <outlinePr summaryBelow="0" summaryRight="0"/>
    <pageSetUpPr fitToPage="1"/>
  </sheetPr>
  <dimension ref="A1:AW43"/>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cols>
    <col min="1" max="1" width="4.5703125" style="59" hidden="1" customWidth="1"/>
    <col min="2" max="2" width="6.7109375" style="41" hidden="1" customWidth="1"/>
    <col min="3" max="3" width="3.85546875" style="41" hidden="1" customWidth="1"/>
    <col min="4" max="4" width="2.7109375" style="41" hidden="1" customWidth="1"/>
    <col min="5" max="5" width="2.7109375" style="460" hidden="1" customWidth="1"/>
    <col min="6" max="6" width="3.5703125" style="41" hidden="1" customWidth="1"/>
    <col min="7" max="19" width="2.7109375" style="41" hidden="1" customWidth="1"/>
    <col min="20" max="20" width="7.7109375" style="41" hidden="1" customWidth="1"/>
    <col min="21" max="21" width="5.85546875" style="41" hidden="1" customWidth="1"/>
    <col min="22" max="22" width="7.7109375" style="41" hidden="1" customWidth="1"/>
    <col min="23" max="23" width="6.140625" style="41" hidden="1" customWidth="1"/>
    <col min="24" max="25" width="5.5703125" style="41" hidden="1" customWidth="1"/>
    <col min="26" max="26" width="5.28515625" style="41" hidden="1" customWidth="1"/>
    <col min="27" max="27" width="3" style="41" customWidth="1"/>
    <col min="28" max="28" width="11.7109375" style="41" customWidth="1"/>
    <col min="29" max="29" width="18.85546875" style="41" customWidth="1"/>
    <col min="30" max="30" width="13.5703125" style="63" customWidth="1"/>
    <col min="31" max="31" width="13" style="63" customWidth="1"/>
    <col min="32" max="32" width="7.28515625" style="63" customWidth="1"/>
    <col min="33" max="35" width="17.85546875" style="63" customWidth="1"/>
    <col min="36" max="36" width="7.42578125" style="63" customWidth="1"/>
    <col min="37" max="40" width="12.5703125" style="63" customWidth="1"/>
    <col min="41" max="42" width="20" style="41" customWidth="1"/>
    <col min="43" max="43" width="3" style="41" customWidth="1"/>
    <col min="44" max="44" width="8.7109375" style="41" hidden="1"/>
    <col min="45" max="47" width="8.7109375" style="667" hidden="1"/>
    <col min="48" max="49" width="8.7109375" style="460" hidden="1"/>
  </cols>
  <sheetData>
    <row r="1" spans="1:49" ht="11.25" hidden="1" customHeight="1">
      <c r="E1" s="41"/>
      <c r="F1" s="41" t="s">
        <v>315</v>
      </c>
      <c r="H1" s="41" t="s">
        <v>316</v>
      </c>
      <c r="T1" s="365" t="s">
        <v>93</v>
      </c>
      <c r="U1" s="365" t="s">
        <v>98</v>
      </c>
      <c r="V1" s="365" t="s">
        <v>94</v>
      </c>
      <c r="W1" s="365" t="s">
        <v>95</v>
      </c>
      <c r="X1" s="365" t="s">
        <v>96</v>
      </c>
      <c r="Z1" s="365" t="s">
        <v>100</v>
      </c>
      <c r="AA1" s="365" t="s">
        <v>97</v>
      </c>
      <c r="AB1" s="365" t="s">
        <v>317</v>
      </c>
      <c r="AC1" s="365" t="s">
        <v>99</v>
      </c>
      <c r="AS1" s="667" t="s">
        <v>318</v>
      </c>
      <c r="AT1" s="667" t="s">
        <v>319</v>
      </c>
      <c r="AU1" s="667" t="s">
        <v>320</v>
      </c>
      <c r="AV1" s="460" t="s">
        <v>323</v>
      </c>
      <c r="AW1" s="460" t="s">
        <v>324</v>
      </c>
    </row>
    <row r="2" spans="1:49" ht="11.25" hidden="1" customHeight="1">
      <c r="B2" s="816" t="s">
        <v>19</v>
      </c>
      <c r="E2" s="41"/>
      <c r="AK2" s="63" t="b" cm="1">
        <f t="array" ref="AK2">isOrgDeclare</f>
        <v>1</v>
      </c>
      <c r="AL2" s="63" t="b" cm="1">
        <f t="array" ref="AL2">isOrgDeclare</f>
        <v>1</v>
      </c>
    </row>
    <row r="3" spans="1:49" ht="11.25" hidden="1" customHeight="1">
      <c r="E3" s="41"/>
      <c r="AK3" s="36" cm="1">
        <f t="array" ref="AK3">god</f>
        <v>2026</v>
      </c>
      <c r="AL3" s="36"/>
      <c r="AM3" s="36" cm="1">
        <f t="array" ref="AM3">god</f>
        <v>2026</v>
      </c>
      <c r="AN3" s="36"/>
    </row>
    <row r="4" spans="1:49" ht="11.25" hidden="1" customHeight="1">
      <c r="E4" s="41"/>
      <c r="AK4" s="36"/>
      <c r="AL4" s="36"/>
      <c r="AM4" s="36"/>
      <c r="AN4" s="36"/>
    </row>
    <row r="5" spans="1:49" s="460" customFormat="1" ht="11.25" hidden="1" customHeight="1">
      <c r="A5" s="59"/>
      <c r="B5" s="41"/>
      <c r="C5" s="41"/>
      <c r="D5" s="41"/>
      <c r="E5" s="460" t="s">
        <v>20</v>
      </c>
      <c r="AA5" s="460">
        <v>3</v>
      </c>
      <c r="AB5" s="460">
        <v>11.71</v>
      </c>
      <c r="AC5" s="460">
        <v>18.86</v>
      </c>
      <c r="AD5" s="486">
        <v>13.57</v>
      </c>
      <c r="AE5" s="486">
        <v>13</v>
      </c>
      <c r="AF5" s="486">
        <v>7.29</v>
      </c>
      <c r="AG5" s="486">
        <v>17.86</v>
      </c>
      <c r="AH5" s="486">
        <v>17.86</v>
      </c>
      <c r="AI5" s="486">
        <v>17.86</v>
      </c>
      <c r="AJ5" s="486">
        <v>7.43</v>
      </c>
      <c r="AK5" s="472">
        <v>12.57</v>
      </c>
      <c r="AL5" s="472">
        <v>12.57</v>
      </c>
      <c r="AM5" s="472">
        <v>12.57</v>
      </c>
      <c r="AN5" s="472">
        <v>12.57</v>
      </c>
      <c r="AO5" s="460">
        <v>20</v>
      </c>
      <c r="AP5" s="460">
        <v>20</v>
      </c>
      <c r="AQ5" s="460">
        <v>3</v>
      </c>
      <c r="AS5" s="667"/>
      <c r="AT5" s="667"/>
      <c r="AU5" s="667"/>
    </row>
    <row r="6" spans="1:49" ht="11.25" hidden="1" customHeight="1">
      <c r="A6" s="59" t="s">
        <v>326</v>
      </c>
      <c r="AC6" s="41" t="s">
        <v>327</v>
      </c>
      <c r="AD6" s="63" t="s">
        <v>328</v>
      </c>
      <c r="AE6" s="63" t="s">
        <v>329</v>
      </c>
      <c r="AF6" s="63" t="s">
        <v>331</v>
      </c>
      <c r="AG6" s="63" t="s">
        <v>330</v>
      </c>
      <c r="AH6" s="63" t="s">
        <v>511</v>
      </c>
      <c r="AI6" s="63" t="s">
        <v>514</v>
      </c>
      <c r="AJ6" s="63" t="s">
        <v>562</v>
      </c>
      <c r="AK6" s="36" t="s">
        <v>581</v>
      </c>
      <c r="AL6" s="36" t="s">
        <v>779</v>
      </c>
      <c r="AM6" s="36" t="s">
        <v>780</v>
      </c>
      <c r="AN6" s="36" t="s">
        <v>781</v>
      </c>
      <c r="AO6" s="41" t="s">
        <v>782</v>
      </c>
      <c r="AP6" s="41" t="s">
        <v>783</v>
      </c>
    </row>
    <row r="7" spans="1:49" ht="11.25" hidden="1" customHeight="1">
      <c r="AK7" s="36"/>
      <c r="AL7" s="36"/>
      <c r="AM7" s="36"/>
      <c r="AN7" s="36"/>
    </row>
    <row r="8" spans="1:49" ht="11.25" hidden="1" customHeight="1">
      <c r="AK8" s="36"/>
      <c r="AL8" s="36"/>
      <c r="AM8" s="36"/>
      <c r="AN8" s="36"/>
    </row>
    <row r="9" spans="1:49" s="667" customFormat="1" ht="11.25" hidden="1" customHeight="1">
      <c r="A9" s="671" t="s">
        <v>784</v>
      </c>
      <c r="AD9" s="685" t="str" cm="1">
        <f t="array" ref="AD9">AD24</f>
        <v>Тип материала трубопровода</v>
      </c>
      <c r="AE9" s="685" t="str" cm="1">
        <f t="array" ref="AE9">AE24</f>
        <v>Тип грунта</v>
      </c>
      <c r="AF9" s="685" t="str" cm="1">
        <f t="array" ref="AF9">AF24</f>
        <v>Глубина грунта, м</v>
      </c>
      <c r="AG9" s="685" t="str" cm="1">
        <f t="array" ref="AG9">AG24</f>
        <v>Средняя стоимость строительства 1 км трубопровода, _x000D_
тыс. руб.</v>
      </c>
      <c r="AH9" s="685" t="str" cm="1">
        <f t="array" ref="AH9">AH24</f>
        <v>Средняя стоимость строительства 1 км трубопровода диаметром 500 мм, тыс.руб.</v>
      </c>
      <c r="AI9" s="685" t="str" cm="1">
        <f t="array" ref="AI9">AI24</f>
        <v>Источник информации по средней стоимости строительства</v>
      </c>
      <c r="AJ9" s="685" t="str" cm="1">
        <f t="array" ref="AJ9">AJ24</f>
        <v>Kd</v>
      </c>
      <c r="AK9" s="684" t="str" cm="1">
        <f t="array" ref="AK9">AK27</f>
        <v>км</v>
      </c>
      <c r="AL9" s="684" t="str" cm="1">
        <f t="array" ref="AL9">AL27</f>
        <v>усл.км</v>
      </c>
      <c r="AM9" s="684" t="str" cm="1">
        <f t="array" ref="AM9">AM27</f>
        <v>км</v>
      </c>
      <c r="AN9" s="684" t="str" cm="1">
        <f t="array" ref="AN9">AN27</f>
        <v>усл.км</v>
      </c>
      <c r="AO9" s="685"/>
      <c r="AP9" s="685"/>
      <c r="AV9" s="460"/>
      <c r="AW9" s="460"/>
    </row>
    <row r="10" spans="1:49" s="667" customFormat="1" ht="11.25" hidden="1" customHeight="1">
      <c r="A10" s="671" t="s">
        <v>359</v>
      </c>
      <c r="AD10" s="684"/>
      <c r="AE10" s="684"/>
      <c r="AF10" s="684"/>
      <c r="AG10" s="684"/>
      <c r="AH10" s="684"/>
      <c r="AI10" s="684"/>
      <c r="AJ10" s="684"/>
      <c r="AK10" s="680" t="str" cm="1">
        <f t="array" ref="AK10">AK26</f>
        <v>Предложение организации</v>
      </c>
      <c r="AL10" s="680" t="str" cm="1">
        <f t="array" ref="AL10">AK10</f>
        <v>Предложение организации</v>
      </c>
      <c r="AM10" s="680" t="str" cm="1">
        <f t="array" ref="AM10">AM26</f>
        <v>Принято органом регулирования</v>
      </c>
      <c r="AN10" s="680" t="str" cm="1">
        <f t="array" ref="AN10">AM10</f>
        <v>Принято органом регулирования</v>
      </c>
      <c r="AV10" s="460"/>
      <c r="AW10" s="460"/>
    </row>
    <row r="11" spans="1:49" s="667" customFormat="1" ht="11.25" hidden="1" customHeight="1">
      <c r="A11" s="671" t="s">
        <v>360</v>
      </c>
      <c r="AD11" s="684"/>
      <c r="AE11" s="684"/>
      <c r="AF11" s="684"/>
      <c r="AG11" s="684"/>
      <c r="AH11" s="684"/>
      <c r="AI11" s="684"/>
      <c r="AJ11" s="684"/>
      <c r="AK11" s="680"/>
      <c r="AL11" s="680"/>
      <c r="AM11" s="680"/>
      <c r="AN11" s="680"/>
      <c r="AO11" s="667" t="str" cm="1">
        <f t="array" ref="AO11">AO24</f>
        <v>Ссылка на правовую норму (основание для принятия показателя в расчет тарифа)</v>
      </c>
      <c r="AP11" s="667" t="str" cm="1">
        <f t="array" ref="AP11">AP24</f>
        <v>Комментарии</v>
      </c>
      <c r="AV11" s="460"/>
      <c r="AW11" s="460"/>
    </row>
    <row r="12" spans="1:49" s="667" customFormat="1" ht="11.25" hidden="1" customHeight="1">
      <c r="A12" s="671" t="s">
        <v>333</v>
      </c>
      <c r="AC12" s="667" t="s">
        <v>320</v>
      </c>
      <c r="AD12" s="684"/>
      <c r="AE12" s="684"/>
      <c r="AF12" s="684"/>
      <c r="AG12" s="684"/>
      <c r="AH12" s="684"/>
      <c r="AI12" s="684"/>
      <c r="AJ12" s="684"/>
      <c r="AK12" s="680"/>
      <c r="AL12" s="680"/>
      <c r="AM12" s="680"/>
      <c r="AN12" s="680"/>
      <c r="AV12" s="460"/>
      <c r="AW12" s="460"/>
    </row>
    <row r="13" spans="1:49" ht="11.25" hidden="1" customHeight="1">
      <c r="AK13" s="36"/>
      <c r="AL13" s="36"/>
      <c r="AM13" s="36"/>
      <c r="AN13" s="36"/>
    </row>
    <row r="14" spans="1:49" ht="11.25" hidden="1" customHeight="1">
      <c r="AK14" s="57"/>
      <c r="AL14" s="57"/>
      <c r="AM14" s="57"/>
      <c r="AN14" s="57"/>
    </row>
    <row r="15" spans="1:49" ht="11.25" hidden="1" customHeight="1">
      <c r="AK15" s="57"/>
      <c r="AL15" s="57"/>
      <c r="AM15" s="57"/>
      <c r="AN15" s="57"/>
    </row>
    <row r="16" spans="1:49" ht="11.25" hidden="1" customHeight="1">
      <c r="AK16" s="57"/>
      <c r="AL16" s="57"/>
      <c r="AM16" s="57"/>
      <c r="AN16" s="57"/>
    </row>
    <row r="17" spans="3:49" ht="11.25" hidden="1" customHeight="1">
      <c r="AK17" s="57"/>
      <c r="AL17" s="57"/>
      <c r="AM17" s="57"/>
      <c r="AN17" s="57"/>
    </row>
    <row r="18" spans="3:49" ht="11.25" hidden="1" customHeight="1">
      <c r="AC18" s="41" t="s">
        <v>785</v>
      </c>
    </row>
    <row r="19" spans="3:49" ht="11.25" hidden="1" customHeight="1"/>
    <row r="20" spans="3:49" ht="11.25" hidden="1" customHeight="1"/>
    <row r="21" spans="3:49" ht="14.65" customHeight="1">
      <c r="E21" s="460">
        <v>15</v>
      </c>
      <c r="AC21" s="280" t="str" cm="1">
        <f t="array" ref="AC21">tpl_title</f>
        <v>Кемеровская область / 2026 / ООО "Энергосервис г. Гурьевска" (ИНН:4202049045, КПП:420201001) / ДПР: 2024-2028</v>
      </c>
    </row>
    <row r="22" spans="3:49" ht="19.5" customHeight="1">
      <c r="E22" s="460">
        <v>20</v>
      </c>
      <c r="AB22" s="239" t="s">
        <v>48</v>
      </c>
      <c r="AC22" s="138"/>
      <c r="AD22" s="141"/>
      <c r="AE22" s="141"/>
      <c r="AF22" s="141"/>
      <c r="AG22" s="141"/>
      <c r="AH22" s="141"/>
      <c r="AI22" s="141"/>
      <c r="AJ22" s="141"/>
      <c r="AK22" s="138"/>
      <c r="AL22" s="138"/>
      <c r="AM22" s="138"/>
      <c r="AN22" s="138"/>
      <c r="AO22" s="140"/>
      <c r="AP22" s="140"/>
    </row>
    <row r="23" spans="3:49" ht="10.9" customHeight="1">
      <c r="E23" s="460">
        <v>11.25</v>
      </c>
      <c r="AB23" s="1103"/>
      <c r="AC23" s="1103"/>
      <c r="AD23" s="1103"/>
      <c r="AE23" s="1103"/>
      <c r="AF23" s="1103"/>
      <c r="AG23" s="1103"/>
      <c r="AH23" s="1103"/>
      <c r="AI23" s="1103"/>
      <c r="AJ23" s="1103"/>
      <c r="AK23" s="1103"/>
      <c r="AL23" s="1103"/>
      <c r="AM23" s="1103"/>
      <c r="AN23" s="397"/>
    </row>
    <row r="24" spans="3:49" ht="10.9" customHeight="1">
      <c r="E24" s="460">
        <v>11.25</v>
      </c>
      <c r="AB24" s="1088" t="s">
        <v>786</v>
      </c>
      <c r="AC24" s="1104" t="s">
        <v>787</v>
      </c>
      <c r="AD24" s="1104" t="s">
        <v>788</v>
      </c>
      <c r="AE24" s="1104" t="s">
        <v>789</v>
      </c>
      <c r="AF24" s="1104" t="s">
        <v>790</v>
      </c>
      <c r="AG24" s="1104" t="s">
        <v>791</v>
      </c>
      <c r="AH24" s="1104" t="s">
        <v>792</v>
      </c>
      <c r="AI24" s="1105" t="s">
        <v>793</v>
      </c>
      <c r="AJ24" s="1108" t="s">
        <v>794</v>
      </c>
      <c r="AK24" s="1109" t="s">
        <v>795</v>
      </c>
      <c r="AL24" s="1110"/>
      <c r="AM24" s="1110"/>
      <c r="AN24" s="1111"/>
      <c r="AO24" s="1099" t="s">
        <v>529</v>
      </c>
      <c r="AP24" s="1099" t="s">
        <v>364</v>
      </c>
    </row>
    <row r="25" spans="3:49" ht="14.65" customHeight="1">
      <c r="E25" s="460">
        <v>15</v>
      </c>
      <c r="AB25" s="1088"/>
      <c r="AC25" s="1104"/>
      <c r="AD25" s="1104"/>
      <c r="AE25" s="1104"/>
      <c r="AF25" s="1104"/>
      <c r="AG25" s="1104"/>
      <c r="AH25" s="1104"/>
      <c r="AI25" s="1106"/>
      <c r="AJ25" s="1108"/>
      <c r="AK25" s="1090" t="str">
        <f>god&amp;" год"</f>
        <v>2026 год</v>
      </c>
      <c r="AL25" s="1100"/>
      <c r="AM25" s="1100"/>
      <c r="AN25" s="1101"/>
      <c r="AO25" s="1099"/>
      <c r="AP25" s="1099"/>
    </row>
    <row r="26" spans="3:49" ht="48.75" customHeight="1">
      <c r="E26" s="460">
        <v>50</v>
      </c>
      <c r="AB26" s="1088"/>
      <c r="AC26" s="1104"/>
      <c r="AD26" s="1104"/>
      <c r="AE26" s="1104"/>
      <c r="AF26" s="1104"/>
      <c r="AG26" s="1104"/>
      <c r="AH26" s="1104"/>
      <c r="AI26" s="1106"/>
      <c r="AJ26" s="1108"/>
      <c r="AK26" s="1102" t="s">
        <v>356</v>
      </c>
      <c r="AL26" s="1102"/>
      <c r="AM26" s="1099" t="s">
        <v>355</v>
      </c>
      <c r="AN26" s="1099"/>
      <c r="AO26" s="1099"/>
      <c r="AP26" s="1099"/>
    </row>
    <row r="27" spans="3:49" ht="13.9" customHeight="1">
      <c r="E27" s="460">
        <v>14.25</v>
      </c>
      <c r="AB27" s="1088"/>
      <c r="AC27" s="1104"/>
      <c r="AD27" s="1104"/>
      <c r="AE27" s="1104"/>
      <c r="AF27" s="1104"/>
      <c r="AG27" s="1104"/>
      <c r="AH27" s="1104"/>
      <c r="AI27" s="1107"/>
      <c r="AJ27" s="1108"/>
      <c r="AK27" s="29" t="s">
        <v>381</v>
      </c>
      <c r="AL27" s="29" t="s">
        <v>796</v>
      </c>
      <c r="AM27" s="29" t="s">
        <v>381</v>
      </c>
      <c r="AN27" s="29" t="s">
        <v>796</v>
      </c>
      <c r="AO27" s="1099"/>
      <c r="AP27" s="1099"/>
    </row>
    <row r="28" spans="3:49" ht="11.25" hidden="1" customHeight="1">
      <c r="E28" s="460">
        <v>0</v>
      </c>
      <c r="AB28" s="534"/>
      <c r="AC28" s="535"/>
      <c r="AD28" s="535"/>
      <c r="AE28" s="535"/>
      <c r="AF28" s="535"/>
      <c r="AG28" s="535"/>
      <c r="AH28" s="535"/>
      <c r="AI28" s="775"/>
      <c r="AJ28" s="776"/>
      <c r="AK28" s="529"/>
      <c r="AL28" s="529"/>
      <c r="AM28" s="529"/>
      <c r="AN28" s="529"/>
      <c r="AO28" s="529"/>
      <c r="AP28" s="529"/>
    </row>
    <row r="29" spans="3:49" ht="14.65" hidden="1" customHeight="1">
      <c r="E29" s="460">
        <v>15</v>
      </c>
      <c r="F29" s="377" cm="1">
        <f t="array" ref="F29">X29</f>
        <v>0</v>
      </c>
      <c r="G29" s="41" t="s">
        <v>797</v>
      </c>
      <c r="T29" s="365" t="b">
        <f>X29&gt;0</f>
        <v>0</v>
      </c>
      <c r="V29" s="41" t="s">
        <v>264</v>
      </c>
      <c r="X29" s="1094">
        <v>0</v>
      </c>
      <c r="Z29" s="1095"/>
      <c r="AB29" s="116" t="str" cm="1">
        <f t="array" ref="AB29">INDEX('Общие сведения'!$AG$179:$AG$222,MATCH($X29,'Общие сведения'!$Z$179:$Z$222,0))</f>
        <v xml:space="preserve">Тариф 0 () - </v>
      </c>
      <c r="AC29" s="113"/>
      <c r="AD29" s="113"/>
      <c r="AE29" s="113"/>
      <c r="AF29" s="113"/>
      <c r="AG29" s="113"/>
      <c r="AH29" s="113"/>
      <c r="AI29" s="113"/>
      <c r="AJ29" s="113"/>
      <c r="AK29" s="409">
        <f>SUM(AK30:AK31)</f>
        <v>0</v>
      </c>
      <c r="AL29" s="409">
        <f>SUM(AL30:AL31)</f>
        <v>0</v>
      </c>
      <c r="AM29" s="409">
        <f>SUM(AM30:AM31)</f>
        <v>0</v>
      </c>
      <c r="AN29" s="409">
        <f>SUM(AN30:AN31)</f>
        <v>0</v>
      </c>
      <c r="AO29" s="113"/>
      <c r="AP29" s="113"/>
    </row>
    <row r="30" spans="3:49" ht="14.65" hidden="1" customHeight="1">
      <c r="E30" s="460">
        <v>15</v>
      </c>
      <c r="F30" s="3" cm="1">
        <f t="array" aca="1" ref="F30" ca="1">OFFSET(E30,-1,1)</f>
        <v>0</v>
      </c>
      <c r="H30" s="41" cm="1">
        <f t="array" ref="H30">AB30</f>
        <v>0</v>
      </c>
      <c r="T30" s="365" t="b">
        <f ca="1">AND(F30&gt;0,AB30&gt;0)</f>
        <v>0</v>
      </c>
      <c r="W30" s="528" t="s">
        <v>173</v>
      </c>
      <c r="X30" s="1094"/>
      <c r="Z30" s="1095"/>
      <c r="AA30" s="332" t="s">
        <v>174</v>
      </c>
      <c r="AB30" s="28">
        <v>0</v>
      </c>
      <c r="AC30" s="857"/>
      <c r="AD30" s="858"/>
      <c r="AE30" s="858"/>
      <c r="AF30" s="859"/>
      <c r="AG30" s="860"/>
      <c r="AH30" s="860"/>
      <c r="AI30" s="861"/>
      <c r="AJ30" s="410">
        <f>IF(AH30=0,0,AG30/AH30)</f>
        <v>0</v>
      </c>
      <c r="AK30" s="862"/>
      <c r="AL30" s="863">
        <f>AK30*$AJ30</f>
        <v>0</v>
      </c>
      <c r="AM30" s="862"/>
      <c r="AN30" s="410">
        <f>AM30*$AJ30</f>
        <v>0</v>
      </c>
      <c r="AO30" s="864"/>
      <c r="AP30" s="864"/>
      <c r="AS30" s="667" t="s">
        <v>798</v>
      </c>
      <c r="AT30" s="667" t="s">
        <v>799</v>
      </c>
      <c r="AU30" s="667" cm="1">
        <f t="array" ref="AU30">AC30</f>
        <v>0</v>
      </c>
      <c r="AW30" s="460" t="b">
        <v>1</v>
      </c>
    </row>
    <row r="31" spans="3:49" ht="14.65" hidden="1" customHeight="1">
      <c r="C31" s="57"/>
      <c r="E31" s="460">
        <v>15</v>
      </c>
      <c r="F31" s="3" cm="1">
        <f t="array" aca="1" ref="F31" ca="1">OFFSET(E31,-1,1)</f>
        <v>0</v>
      </c>
      <c r="G31" s="57"/>
      <c r="H31" s="41" t="str">
        <f>"!= 0"</f>
        <v>!= 0</v>
      </c>
      <c r="T31" s="365" t="b" cm="1">
        <f t="array" ref="T31">T29</f>
        <v>0</v>
      </c>
      <c r="W31" s="528" t="s">
        <v>800</v>
      </c>
      <c r="X31" s="1094"/>
      <c r="Z31" s="1095"/>
      <c r="AB31" s="777"/>
      <c r="AC31" s="778" t="s">
        <v>177</v>
      </c>
      <c r="AD31" s="778"/>
      <c r="AE31" s="778"/>
      <c r="AF31" s="778"/>
      <c r="AG31" s="778"/>
      <c r="AH31" s="778"/>
      <c r="AI31" s="778"/>
      <c r="AJ31" s="778"/>
      <c r="AK31" s="778"/>
      <c r="AL31" s="778"/>
      <c r="AM31" s="778"/>
      <c r="AN31" s="778"/>
      <c r="AO31" s="778"/>
      <c r="AP31" s="779"/>
      <c r="AV31" s="460" t="s">
        <v>799</v>
      </c>
    </row>
    <row r="32" spans="3:49" ht="14.25" customHeight="1">
      <c r="E32" s="460">
        <v>15</v>
      </c>
      <c r="F32" s="377" t="str" cm="1">
        <f t="array" ref="F32">X32</f>
        <v>1</v>
      </c>
      <c r="G32" s="41" t="s">
        <v>797</v>
      </c>
      <c r="T32" s="365" t="b">
        <f>X32&gt;0</f>
        <v>1</v>
      </c>
      <c r="V32" s="41" t="str" cm="1">
        <f t="array" ref="V32">Баланс!$AB$118</f>
        <v>Тариф 1 (Водоснабжение) - тариф на питьевую воду (Доп. признак не требуется)</v>
      </c>
      <c r="X32" s="1094" t="s">
        <v>275</v>
      </c>
      <c r="Z32" s="1095"/>
      <c r="AB32" s="116" t="str" cm="1">
        <f t="array" ref="AB32">Баланс!$AB$118</f>
        <v>Тариф 1 (Водоснабжение) - тариф на питьевую воду (Доп. признак не требуется)</v>
      </c>
      <c r="AC32" s="113"/>
      <c r="AD32" s="113"/>
      <c r="AE32" s="113"/>
      <c r="AF32" s="113"/>
      <c r="AG32" s="113"/>
      <c r="AH32" s="113"/>
      <c r="AI32" s="113"/>
      <c r="AJ32" s="113"/>
      <c r="AK32" s="409">
        <f>SUM(AK33:AK34)</f>
        <v>0</v>
      </c>
      <c r="AL32" s="409">
        <f>SUM(AL33:AL34)</f>
        <v>0</v>
      </c>
      <c r="AM32" s="409">
        <f>SUM(AM33:AM34)</f>
        <v>0</v>
      </c>
      <c r="AN32" s="409">
        <f>SUM(AN33:AN34)</f>
        <v>0</v>
      </c>
      <c r="AO32" s="113"/>
      <c r="AP32" s="113"/>
    </row>
    <row r="33" spans="1:49" ht="14.25" hidden="1" customHeight="1">
      <c r="E33" s="460">
        <v>15</v>
      </c>
      <c r="F33" s="3" t="str" cm="1">
        <f t="array" aca="1" ref="F33" ca="1">OFFSET(E33,-1,1)</f>
        <v>1</v>
      </c>
      <c r="H33" s="41" cm="1">
        <f t="array" ref="H33">AB33</f>
        <v>0</v>
      </c>
      <c r="T33" s="365" t="b">
        <f ca="1">AND(F33&gt;0,AB33&gt;0)</f>
        <v>0</v>
      </c>
      <c r="W33" s="528" t="s">
        <v>173</v>
      </c>
      <c r="X33" s="1094"/>
      <c r="Z33" s="1095"/>
      <c r="AA33" s="332" t="s">
        <v>174</v>
      </c>
      <c r="AB33" s="28">
        <v>0</v>
      </c>
      <c r="AC33" s="857"/>
      <c r="AD33" s="858"/>
      <c r="AE33" s="858"/>
      <c r="AF33" s="859"/>
      <c r="AG33" s="860"/>
      <c r="AH33" s="860"/>
      <c r="AI33" s="861"/>
      <c r="AJ33" s="410">
        <f>IF(AH33=0,0,AG33/AH33)</f>
        <v>0</v>
      </c>
      <c r="AK33" s="862"/>
      <c r="AL33" s="863">
        <f>AK33*$AJ33</f>
        <v>0</v>
      </c>
      <c r="AM33" s="862"/>
      <c r="AN33" s="410">
        <f>AM33*$AJ33</f>
        <v>0</v>
      </c>
      <c r="AO33" s="864"/>
      <c r="AP33" s="864"/>
      <c r="AS33" s="667" t="s">
        <v>798</v>
      </c>
      <c r="AT33" s="667" t="s">
        <v>799</v>
      </c>
      <c r="AU33" s="667" cm="1">
        <f t="array" ref="AU33">AC33</f>
        <v>0</v>
      </c>
      <c r="AW33" s="460" t="b">
        <v>1</v>
      </c>
    </row>
    <row r="34" spans="1:49" ht="14.25" customHeight="1">
      <c r="C34" s="57"/>
      <c r="E34" s="460">
        <v>15</v>
      </c>
      <c r="F34" s="3" t="str" cm="1">
        <f t="array" aca="1" ref="F34" ca="1">OFFSET(E34,-1,1)</f>
        <v>1</v>
      </c>
      <c r="G34" s="57"/>
      <c r="H34" s="41" t="str">
        <f>"!= 0"</f>
        <v>!= 0</v>
      </c>
      <c r="T34" s="365" t="b" cm="1">
        <f t="array" ref="T34">T32</f>
        <v>1</v>
      </c>
      <c r="W34" s="528" t="s">
        <v>800</v>
      </c>
      <c r="X34" s="1094"/>
      <c r="Z34" s="1095"/>
      <c r="AB34" s="777"/>
      <c r="AC34" s="778" t="s">
        <v>177</v>
      </c>
      <c r="AD34" s="778"/>
      <c r="AE34" s="778"/>
      <c r="AF34" s="778"/>
      <c r="AG34" s="778"/>
      <c r="AH34" s="778"/>
      <c r="AI34" s="778"/>
      <c r="AJ34" s="778"/>
      <c r="AK34" s="778"/>
      <c r="AL34" s="778"/>
      <c r="AM34" s="778"/>
      <c r="AN34" s="778"/>
      <c r="AO34" s="778"/>
      <c r="AP34" s="779"/>
      <c r="AV34" s="460" t="s">
        <v>799</v>
      </c>
    </row>
    <row r="35" spans="1:49" ht="14.25" customHeight="1">
      <c r="E35" s="460">
        <v>15</v>
      </c>
      <c r="F35" s="377" t="str" cm="1">
        <f t="array" ref="F35">X35</f>
        <v>2</v>
      </c>
      <c r="G35" s="41" t="s">
        <v>797</v>
      </c>
      <c r="T35" s="365" t="b">
        <f>X35&gt;0</f>
        <v>1</v>
      </c>
      <c r="V35" s="41" t="str" cm="1">
        <f t="array" ref="V35">Баланс!$AB$209</f>
        <v>Тариф 2 (Водоотведение) - тариф на водоотведение (Доп. признак не требуется)</v>
      </c>
      <c r="X35" s="1094" t="s">
        <v>285</v>
      </c>
      <c r="Z35" s="1095"/>
      <c r="AB35" s="116" t="str" cm="1">
        <f t="array" ref="AB35">Баланс!$AB$209</f>
        <v>Тариф 2 (Водоотведение) - тариф на водоотведение (Доп. признак не требуется)</v>
      </c>
      <c r="AC35" s="113"/>
      <c r="AD35" s="113"/>
      <c r="AE35" s="113"/>
      <c r="AF35" s="113"/>
      <c r="AG35" s="113"/>
      <c r="AH35" s="113"/>
      <c r="AI35" s="113"/>
      <c r="AJ35" s="113"/>
      <c r="AK35" s="409">
        <f>SUM(AK36:AK37)</f>
        <v>0</v>
      </c>
      <c r="AL35" s="409">
        <f>SUM(AL36:AL37)</f>
        <v>0</v>
      </c>
      <c r="AM35" s="409">
        <f>SUM(AM36:AM37)</f>
        <v>0</v>
      </c>
      <c r="AN35" s="409">
        <f>SUM(AN36:AN37)</f>
        <v>0</v>
      </c>
      <c r="AO35" s="113"/>
      <c r="AP35" s="113"/>
    </row>
    <row r="36" spans="1:49" ht="14.25" hidden="1" customHeight="1">
      <c r="E36" s="460">
        <v>15</v>
      </c>
      <c r="F36" s="3" t="str" cm="1">
        <f t="array" aca="1" ref="F36" ca="1">OFFSET(E36,-1,1)</f>
        <v>2</v>
      </c>
      <c r="H36" s="41" cm="1">
        <f t="array" ref="H36">AB36</f>
        <v>0</v>
      </c>
      <c r="T36" s="365" t="b">
        <f ca="1">AND(F36&gt;0,AB36&gt;0)</f>
        <v>0</v>
      </c>
      <c r="W36" s="528" t="s">
        <v>173</v>
      </c>
      <c r="X36" s="1094"/>
      <c r="Z36" s="1095"/>
      <c r="AA36" s="332" t="s">
        <v>174</v>
      </c>
      <c r="AB36" s="28">
        <v>0</v>
      </c>
      <c r="AC36" s="857"/>
      <c r="AD36" s="858"/>
      <c r="AE36" s="858"/>
      <c r="AF36" s="859"/>
      <c r="AG36" s="860"/>
      <c r="AH36" s="860"/>
      <c r="AI36" s="861"/>
      <c r="AJ36" s="410">
        <f>IF(AH36=0,0,AG36/AH36)</f>
        <v>0</v>
      </c>
      <c r="AK36" s="862"/>
      <c r="AL36" s="863">
        <f>AK36*$AJ36</f>
        <v>0</v>
      </c>
      <c r="AM36" s="862"/>
      <c r="AN36" s="410">
        <f>AM36*$AJ36</f>
        <v>0</v>
      </c>
      <c r="AO36" s="864"/>
      <c r="AP36" s="864"/>
      <c r="AS36" s="667" t="s">
        <v>798</v>
      </c>
      <c r="AT36" s="667" t="s">
        <v>799</v>
      </c>
      <c r="AU36" s="667" cm="1">
        <f t="array" ref="AU36">AC36</f>
        <v>0</v>
      </c>
      <c r="AW36" s="460" t="b">
        <v>1</v>
      </c>
    </row>
    <row r="37" spans="1:49" ht="14.25" customHeight="1">
      <c r="C37" s="57"/>
      <c r="E37" s="460">
        <v>15</v>
      </c>
      <c r="F37" s="3" t="str" cm="1">
        <f t="array" aca="1" ref="F37" ca="1">OFFSET(E37,-1,1)</f>
        <v>2</v>
      </c>
      <c r="G37" s="57"/>
      <c r="H37" s="41" t="str">
        <f>"!= 0"</f>
        <v>!= 0</v>
      </c>
      <c r="T37" s="365" t="b" cm="1">
        <f t="array" ref="T37">T35</f>
        <v>1</v>
      </c>
      <c r="W37" s="528" t="s">
        <v>800</v>
      </c>
      <c r="X37" s="1094"/>
      <c r="Z37" s="1095"/>
      <c r="AB37" s="777"/>
      <c r="AC37" s="778" t="s">
        <v>177</v>
      </c>
      <c r="AD37" s="778"/>
      <c r="AE37" s="778"/>
      <c r="AF37" s="778"/>
      <c r="AG37" s="778"/>
      <c r="AH37" s="778"/>
      <c r="AI37" s="778"/>
      <c r="AJ37" s="778"/>
      <c r="AK37" s="778"/>
      <c r="AL37" s="778"/>
      <c r="AM37" s="778"/>
      <c r="AN37" s="778"/>
      <c r="AO37" s="778"/>
      <c r="AP37" s="779"/>
      <c r="AV37" s="460" t="s">
        <v>799</v>
      </c>
    </row>
    <row r="38" spans="1:49" ht="10.9" customHeight="1">
      <c r="E38" s="460">
        <v>11.25</v>
      </c>
      <c r="U38" s="327" t="s">
        <v>177</v>
      </c>
      <c r="V38" s="75" t="s">
        <v>801</v>
      </c>
      <c r="AB38" s="396"/>
      <c r="AC38" s="83"/>
      <c r="AD38" s="396"/>
      <c r="AE38" s="396"/>
      <c r="AF38" s="396"/>
      <c r="AG38" s="396"/>
      <c r="AH38" s="396"/>
      <c r="AI38" s="396"/>
      <c r="AJ38" s="396"/>
      <c r="AK38" s="407"/>
      <c r="AL38" s="407"/>
    </row>
    <row r="39" spans="1:49" s="36" customFormat="1" ht="14.65" customHeight="1">
      <c r="A39" s="377"/>
      <c r="E39" s="472">
        <v>15</v>
      </c>
      <c r="AB39" s="1088" t="s">
        <v>398</v>
      </c>
      <c r="AC39" s="1088"/>
      <c r="AD39" s="1088"/>
      <c r="AE39" s="1088"/>
      <c r="AF39" s="1088"/>
      <c r="AG39" s="1088"/>
      <c r="AH39" s="1088"/>
      <c r="AI39" s="1088"/>
      <c r="AJ39" s="1088"/>
      <c r="AK39" s="1096"/>
      <c r="AL39" s="1096"/>
      <c r="AM39" s="1096"/>
      <c r="AN39" s="1096"/>
      <c r="AO39" s="1096"/>
      <c r="AP39" s="1096"/>
      <c r="AS39" s="680"/>
      <c r="AT39" s="680"/>
      <c r="AU39" s="680"/>
      <c r="AV39" s="472"/>
      <c r="AW39" s="472"/>
    </row>
    <row r="40" spans="1:49" s="36" customFormat="1" ht="14.65" customHeight="1">
      <c r="A40" s="377"/>
      <c r="E40" s="472">
        <v>15</v>
      </c>
      <c r="AA40" s="106"/>
      <c r="AB40" s="1097"/>
      <c r="AC40" s="1097"/>
      <c r="AD40" s="1097"/>
      <c r="AE40" s="1097"/>
      <c r="AF40" s="1097"/>
      <c r="AG40" s="1097"/>
      <c r="AH40" s="1097"/>
      <c r="AI40" s="1097"/>
      <c r="AJ40" s="1097"/>
      <c r="AK40" s="1098"/>
      <c r="AL40" s="1098"/>
      <c r="AM40" s="1098"/>
      <c r="AN40" s="1098"/>
      <c r="AO40" s="1098"/>
      <c r="AP40" s="1098"/>
      <c r="AS40" s="680"/>
      <c r="AT40" s="680"/>
      <c r="AU40" s="680"/>
      <c r="AV40" s="472"/>
      <c r="AW40" s="472"/>
    </row>
    <row r="41" spans="1:49" s="36" customFormat="1" ht="14.65" hidden="1" customHeight="1">
      <c r="A41" s="377"/>
      <c r="E41" s="472">
        <v>15</v>
      </c>
      <c r="T41" s="365" t="b">
        <f>ROW(Y41)&gt;ROW(Y$41)</f>
        <v>0</v>
      </c>
      <c r="W41" s="528" t="s">
        <v>173</v>
      </c>
      <c r="AA41" s="332" t="s">
        <v>174</v>
      </c>
      <c r="AB41" s="1092"/>
      <c r="AC41" s="1055"/>
      <c r="AD41" s="1055"/>
      <c r="AE41" s="1055"/>
      <c r="AF41" s="1055"/>
      <c r="AG41" s="1055"/>
      <c r="AH41" s="1055"/>
      <c r="AI41" s="1055"/>
      <c r="AJ41" s="1055"/>
      <c r="AK41" s="1055"/>
      <c r="AL41" s="1055"/>
      <c r="AM41" s="1055"/>
      <c r="AN41" s="1055"/>
      <c r="AO41" s="1055"/>
      <c r="AP41" s="1093"/>
      <c r="AS41" s="680"/>
      <c r="AT41" s="680"/>
      <c r="AU41" s="680"/>
      <c r="AV41" s="472"/>
      <c r="AW41" s="472"/>
    </row>
    <row r="42" spans="1:49" s="36" customFormat="1" ht="14.65" customHeight="1">
      <c r="A42" s="377"/>
      <c r="E42" s="472">
        <v>15</v>
      </c>
      <c r="W42" s="528" t="s">
        <v>399</v>
      </c>
      <c r="AB42" s="485"/>
      <c r="AC42" s="394" t="s">
        <v>400</v>
      </c>
      <c r="AD42" s="231"/>
      <c r="AE42" s="231"/>
      <c r="AF42" s="231"/>
      <c r="AG42" s="231"/>
      <c r="AH42" s="231"/>
      <c r="AI42" s="231"/>
      <c r="AJ42" s="231"/>
      <c r="AK42" s="232"/>
      <c r="AL42" s="232"/>
      <c r="AM42" s="232"/>
      <c r="AN42" s="232"/>
      <c r="AO42" s="232"/>
      <c r="AP42" s="233"/>
      <c r="AS42" s="680"/>
      <c r="AT42" s="680"/>
      <c r="AU42" s="680"/>
      <c r="AV42" s="472"/>
      <c r="AW42" s="472"/>
    </row>
    <row r="43" spans="1:49" ht="10.7" customHeight="1">
      <c r="E43" s="460">
        <v>11</v>
      </c>
      <c r="AC43" s="408"/>
    </row>
  </sheetData>
  <sheetProtection formatColumns="0" formatRows="0" insertRows="0" deleteColumns="0" deleteRows="0" sort="0" autoFilter="0"/>
  <mergeCells count="25">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1:AP41"/>
    <mergeCell ref="X29:X31"/>
    <mergeCell ref="Z29:Z31"/>
    <mergeCell ref="AB39:AP39"/>
    <mergeCell ref="AB40:AP40"/>
    <mergeCell ref="X32:X34"/>
    <mergeCell ref="Z32:Z34"/>
    <mergeCell ref="X35:X37"/>
    <mergeCell ref="Z35:Z37"/>
  </mergeCells>
  <dataValidations count="8">
    <dataValidation type="decimal" allowBlank="1" showErrorMessage="1" errorTitle="Ошибка" error="Допускается ввод только неотрицательных чисел!" sqref="AH29 AM30 AK30 AG30:AH30 AH32 AG33 AH33 AK33 AM33 AH35 AG36 AH36 AK36 AM36" xr:uid="{00000000-0002-0000-0B00-000000000000}">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 AE36" xr:uid="{00000000-0002-0000-0B00-000001000000}">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xr:uid="{00000000-0002-0000-0B00-000002000000}">
      <formula1>material_list</formula1>
    </dataValidation>
    <dataValidation type="list" allowBlank="1" showInputMessage="1" showErrorMessage="1" errorTitle="Ошибка" error="Выберите значение из списка" prompt="Выберите значение из списка" sqref="AC30" xr:uid="{00000000-0002-0000-0B00-000003000000}">
      <formula1>diametr_list</formula1>
    </dataValidation>
    <dataValidation type="list" allowBlank="1" showInputMessage="1" showErrorMessage="1" errorTitle="Ошибка" error="Выберите значение из списка" prompt="Выберите значение из списка" sqref="AI30 AI33 AI36" xr:uid="{00000000-0002-0000-0B00-000004000000}">
      <formula1>ist_info_build_list</formula1>
    </dataValidation>
    <dataValidation type="whole" allowBlank="1" showErrorMessage="1" errorTitle="Ошибка" error="Допускается ввод только неотрицательных целых чисел!" sqref="AF30 AF33 AF36"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3AD6-8607-8EC6-DE38-E12F21DB74B8}">
  <sheetPr>
    <tabColor rgb="FF002060"/>
    <outlinePr summaryBelow="0" summaryRight="0"/>
    <pageSetUpPr fitToPage="1"/>
  </sheetPr>
  <dimension ref="A1:BK102"/>
  <sheetViews>
    <sheetView showGridLines="0" workbookViewId="0">
      <pane xSplit="30" ySplit="25" topLeftCell="AE48" activePane="bottomRight" state="frozen"/>
      <selection pane="topRight" activeCell="AE1" sqref="AE1"/>
      <selection pane="bottomLeft" activeCell="A26" sqref="A26"/>
      <selection pane="bottomRight" activeCell="AS59" sqref="AS59"/>
    </sheetView>
  </sheetViews>
  <sheetFormatPr defaultColWidth="9.140625" defaultRowHeight="11.25" customHeight="1"/>
  <cols>
    <col min="1" max="1" width="3.5703125" style="36" hidden="1" customWidth="1"/>
    <col min="2" max="2" width="8.5703125" style="65" hidden="1" customWidth="1"/>
    <col min="3" max="3" width="6.28515625" style="36" hidden="1" customWidth="1"/>
    <col min="4" max="4" width="6.140625" style="36" hidden="1" customWidth="1"/>
    <col min="5" max="5" width="3.5703125" style="472" hidden="1" customWidth="1"/>
    <col min="6" max="10" width="3.5703125" style="36" hidden="1" customWidth="1"/>
    <col min="11" max="11" width="7.42578125" style="36" hidden="1" customWidth="1"/>
    <col min="12" max="12" width="6.7109375" style="36" hidden="1" customWidth="1"/>
    <col min="13" max="19" width="3.5703125" style="36" hidden="1" customWidth="1"/>
    <col min="20" max="20" width="10" style="36" hidden="1" customWidth="1"/>
    <col min="21" max="26" width="6.85546875" style="36" hidden="1" customWidth="1"/>
    <col min="27" max="27" width="3" style="36" customWidth="1"/>
    <col min="28" max="28" width="9.7109375" style="36" customWidth="1"/>
    <col min="29" max="29" width="45" style="36" customWidth="1"/>
    <col min="30" max="30" width="8.5703125" style="36" customWidth="1"/>
    <col min="31" max="35" width="12.5703125" style="36" customWidth="1"/>
    <col min="36" max="44" width="12.5703125" style="36" hidden="1" customWidth="1"/>
    <col min="45" max="45" width="12.5703125" style="36" customWidth="1"/>
    <col min="46" max="54" width="12.5703125" style="36" hidden="1" customWidth="1"/>
    <col min="55" max="55" width="40.28515625" style="36" customWidth="1"/>
    <col min="56" max="56" width="3" style="36" customWidth="1"/>
    <col min="57" max="57" width="9.140625" style="36" hidden="1"/>
    <col min="58" max="60" width="9.140625" style="680" hidden="1"/>
    <col min="61" max="61" width="9.140625" hidden="1"/>
    <col min="62" max="63" width="9.140625" style="472" hidden="1"/>
  </cols>
  <sheetData>
    <row r="1" spans="1:63" ht="11.25" hidden="1" customHeight="1">
      <c r="E1" s="36"/>
      <c r="F1" s="36" t="s">
        <v>315</v>
      </c>
      <c r="G1" s="36" t="s">
        <v>326</v>
      </c>
      <c r="H1" s="36" t="s">
        <v>350</v>
      </c>
      <c r="T1" s="365" t="s">
        <v>93</v>
      </c>
      <c r="U1" s="365" t="s">
        <v>98</v>
      </c>
      <c r="V1" s="365" t="s">
        <v>94</v>
      </c>
      <c r="W1" s="365" t="s">
        <v>95</v>
      </c>
      <c r="X1" s="365" t="s">
        <v>96</v>
      </c>
      <c r="Y1" s="367" t="s">
        <v>317</v>
      </c>
      <c r="Z1" s="365" t="s">
        <v>100</v>
      </c>
      <c r="AA1" s="367" t="s">
        <v>97</v>
      </c>
      <c r="AB1" s="367"/>
      <c r="AC1" s="366" t="s">
        <v>99</v>
      </c>
      <c r="BF1" s="680" t="s">
        <v>318</v>
      </c>
      <c r="BG1" s="680" t="s">
        <v>319</v>
      </c>
      <c r="BH1" s="680" t="s">
        <v>320</v>
      </c>
      <c r="BI1" t="s">
        <v>352</v>
      </c>
      <c r="BJ1" s="472" t="s">
        <v>323</v>
      </c>
      <c r="BK1" s="472" t="s">
        <v>324</v>
      </c>
    </row>
    <row r="2" spans="1:63" s="65" customFormat="1" ht="11.25" hidden="1" customHeight="1">
      <c r="B2" s="353" t="s">
        <v>19</v>
      </c>
      <c r="AF2" s="65" t="b" cm="1">
        <f t="array" ref="AF2">isOrgDeclare</f>
        <v>1</v>
      </c>
      <c r="AI2" s="354" t="b">
        <f t="shared" ref="AI2:AR2" si="0">AND(AI6&lt;=last_year_vis,isOrgDeclare)</f>
        <v>1</v>
      </c>
      <c r="AJ2" s="354" t="b">
        <f t="shared" si="0"/>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ref="AS2:BB2" si="1">AS6&lt;=last_year_vis</f>
        <v>1</v>
      </c>
      <c r="AT2" s="354" t="b">
        <f t="shared" si="1"/>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F2" s="681"/>
      <c r="BG2" s="681"/>
      <c r="BH2" s="681"/>
      <c r="BJ2" s="686"/>
      <c r="BK2" s="686"/>
    </row>
    <row r="3" spans="1:63" ht="11.25" hidden="1" customHeight="1">
      <c r="E3" s="36"/>
    </row>
    <row r="4" spans="1:63" ht="11.25" hidden="1" customHeight="1">
      <c r="E4" s="36"/>
    </row>
    <row r="5" spans="1:63" s="472" customFormat="1" ht="11.25" hidden="1" customHeight="1">
      <c r="A5" s="36"/>
      <c r="B5" s="65"/>
      <c r="C5" s="36"/>
      <c r="D5" s="36"/>
      <c r="E5" s="472" t="s">
        <v>20</v>
      </c>
      <c r="AA5" s="472">
        <v>3</v>
      </c>
      <c r="AB5" s="472">
        <v>9.7100000000000009</v>
      </c>
      <c r="AC5" s="472">
        <v>45</v>
      </c>
      <c r="AD5" s="472">
        <v>8.57</v>
      </c>
      <c r="AE5" s="472">
        <v>12.57</v>
      </c>
      <c r="AF5" s="472">
        <v>12.57</v>
      </c>
      <c r="AG5" s="472">
        <v>12.57</v>
      </c>
      <c r="AH5" s="472">
        <v>12.57</v>
      </c>
      <c r="AI5" s="472">
        <v>12.57</v>
      </c>
      <c r="AJ5" s="472">
        <v>12.57</v>
      </c>
      <c r="AK5" s="472">
        <v>12.57</v>
      </c>
      <c r="AL5" s="472">
        <v>12.57</v>
      </c>
      <c r="AM5" s="472">
        <v>12.57</v>
      </c>
      <c r="AN5" s="472">
        <v>12.57</v>
      </c>
      <c r="AO5" s="472">
        <v>12.57</v>
      </c>
      <c r="AP5" s="472">
        <v>12.57</v>
      </c>
      <c r="AQ5" s="472">
        <v>12.57</v>
      </c>
      <c r="AR5" s="472">
        <v>12.57</v>
      </c>
      <c r="AS5" s="472">
        <v>12.57</v>
      </c>
      <c r="AT5" s="472">
        <v>12.57</v>
      </c>
      <c r="AU5" s="472">
        <v>12.57</v>
      </c>
      <c r="AV5" s="472">
        <v>12.57</v>
      </c>
      <c r="AW5" s="472">
        <v>12.57</v>
      </c>
      <c r="AX5" s="472">
        <v>12.57</v>
      </c>
      <c r="AY5" s="472">
        <v>12.57</v>
      </c>
      <c r="AZ5" s="472">
        <v>12.57</v>
      </c>
      <c r="BA5" s="472">
        <v>12.57</v>
      </c>
      <c r="BB5" s="472">
        <v>12.57</v>
      </c>
      <c r="BC5" s="472">
        <v>20</v>
      </c>
      <c r="BD5" s="472">
        <v>3</v>
      </c>
      <c r="BF5" s="680"/>
      <c r="BG5" s="680"/>
      <c r="BH5" s="680"/>
    </row>
    <row r="6" spans="1:63" ht="11.25" hidden="1" customHeight="1">
      <c r="A6" s="36" t="s">
        <v>353</v>
      </c>
      <c r="AE6" s="36">
        <f>god-2</f>
        <v>2024</v>
      </c>
      <c r="AF6" s="36">
        <f>god-2</f>
        <v>2024</v>
      </c>
      <c r="AG6" s="36">
        <f>god-2</f>
        <v>2024</v>
      </c>
      <c r="AH6" s="36">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3" ht="11.25" hidden="1" customHeight="1">
      <c r="A7" s="36" t="s">
        <v>354</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AJ25</f>
        <v>Предложение организации</v>
      </c>
      <c r="AK7" s="36" t="str" cm="1">
        <f t="array" ref="AK7">AK25</f>
        <v>Предложение организации</v>
      </c>
      <c r="AL7" s="36" t="str" cm="1">
        <f t="array" ref="AL7">AL25</f>
        <v>Предложение организации</v>
      </c>
      <c r="AM7" s="36" t="str" cm="1">
        <f t="array" ref="AM7">AM25</f>
        <v>Предложение организации</v>
      </c>
      <c r="AN7" s="36" t="str" cm="1">
        <f t="array" ref="AN7">AN25</f>
        <v>Предложение организации</v>
      </c>
      <c r="AO7" s="36" t="str" cm="1">
        <f t="array" ref="AO7">AO25</f>
        <v>Предложение организации</v>
      </c>
      <c r="AP7" s="36" t="str" cm="1">
        <f t="array" ref="AP7">AP25</f>
        <v>Предложение организации</v>
      </c>
      <c r="AQ7" s="36" t="str" cm="1">
        <f t="array" ref="AQ7">AQ25</f>
        <v>Предложение организации</v>
      </c>
      <c r="AR7" s="36" t="str" cm="1">
        <f t="array" ref="AR7">AR25</f>
        <v>Предложение организации</v>
      </c>
      <c r="AS7" s="36" t="str" cm="1">
        <f t="array" ref="AS7">AS25</f>
        <v>Принято органом регулирования</v>
      </c>
      <c r="AT7" s="36" t="str" cm="1">
        <f t="array" ref="AT7">AT25</f>
        <v>Принято органом регулирования</v>
      </c>
      <c r="AU7" s="36" t="str" cm="1">
        <f t="array" ref="AU7">AU25</f>
        <v>Принято органом регулирования</v>
      </c>
      <c r="AV7" s="36" t="str" cm="1">
        <f t="array" ref="AV7">AV25</f>
        <v>Принято органом регулирования</v>
      </c>
      <c r="AW7" s="36" t="str" cm="1">
        <f t="array" ref="AW7">AW25</f>
        <v>Принято органом регулирования</v>
      </c>
      <c r="AX7" s="36" t="str" cm="1">
        <f t="array" ref="AX7">AX25</f>
        <v>Принято органом регулирования</v>
      </c>
      <c r="AY7" s="36" t="str" cm="1">
        <f t="array" ref="AY7">AY25</f>
        <v>Принято органом регулирования</v>
      </c>
      <c r="AZ7" s="36" t="str" cm="1">
        <f t="array" ref="AZ7">AZ25</f>
        <v>Принято органом регулирования</v>
      </c>
      <c r="BA7" s="36" t="str" cm="1">
        <f t="array" ref="BA7">BA25</f>
        <v>Принято органом регулирования</v>
      </c>
      <c r="BB7" s="36" t="str" cm="1">
        <f t="array" ref="BB7">BB25</f>
        <v>Принято органом регулирования</v>
      </c>
    </row>
    <row r="8" spans="1:63" ht="11.25" hidden="1" customHeight="1"/>
    <row r="9" spans="1:63" s="680" customFormat="1" ht="11.25" hidden="1" customHeight="1">
      <c r="A9" s="680" t="s">
        <v>358</v>
      </c>
      <c r="B9" s="681"/>
      <c r="AE9" s="680" cm="1">
        <f t="array" ref="AE9">AE6</f>
        <v>2024</v>
      </c>
      <c r="AF9" s="680" cm="1">
        <f t="array" ref="AF9">AF6</f>
        <v>2024</v>
      </c>
      <c r="AG9" s="680" cm="1">
        <f t="array" ref="AG9">AG6</f>
        <v>2024</v>
      </c>
      <c r="AH9" s="680" cm="1">
        <f t="array" ref="AH9">AH6</f>
        <v>2025</v>
      </c>
      <c r="AI9" s="680" cm="1">
        <f t="array" ref="AI9">AI6</f>
        <v>2026</v>
      </c>
      <c r="AJ9" s="680" cm="1">
        <f t="array" ref="AJ9">AJ6</f>
        <v>2027</v>
      </c>
      <c r="AK9" s="680" cm="1">
        <f t="array" ref="AK9">AK6</f>
        <v>2028</v>
      </c>
      <c r="AL9" s="680" cm="1">
        <f t="array" ref="AL9">AL6</f>
        <v>2029</v>
      </c>
      <c r="AM9" s="680" cm="1">
        <f t="array" ref="AM9">AM6</f>
        <v>2030</v>
      </c>
      <c r="AN9" s="680" cm="1">
        <f t="array" ref="AN9">AN6</f>
        <v>2031</v>
      </c>
      <c r="AO9" s="680" cm="1">
        <f t="array" ref="AO9">AO6</f>
        <v>2032</v>
      </c>
      <c r="AP9" s="680" cm="1">
        <f t="array" ref="AP9">AP6</f>
        <v>2033</v>
      </c>
      <c r="AQ9" s="680" cm="1">
        <f t="array" ref="AQ9">AQ6</f>
        <v>2034</v>
      </c>
      <c r="AR9" s="680" cm="1">
        <f t="array" ref="AR9">AR6</f>
        <v>2035</v>
      </c>
      <c r="AS9" s="680" cm="1">
        <f t="array" ref="AS9">AS6</f>
        <v>2026</v>
      </c>
      <c r="AT9" s="680" cm="1">
        <f t="array" ref="AT9">AT6</f>
        <v>2027</v>
      </c>
      <c r="AU9" s="680" cm="1">
        <f t="array" ref="AU9">AU6</f>
        <v>2028</v>
      </c>
      <c r="AV9" s="680" cm="1">
        <f t="array" ref="AV9">AV6</f>
        <v>2029</v>
      </c>
      <c r="AW9" s="680" cm="1">
        <f t="array" ref="AW9">AW6</f>
        <v>2030</v>
      </c>
      <c r="AX9" s="680" cm="1">
        <f t="array" ref="AX9">AX6</f>
        <v>2031</v>
      </c>
      <c r="AY9" s="680" cm="1">
        <f t="array" ref="AY9">AY6</f>
        <v>2032</v>
      </c>
      <c r="AZ9" s="680" cm="1">
        <f t="array" ref="AZ9">AZ6</f>
        <v>2033</v>
      </c>
      <c r="BA9" s="680" cm="1">
        <f t="array" ref="BA9">BA6</f>
        <v>2034</v>
      </c>
      <c r="BB9" s="680" cm="1">
        <f t="array" ref="BB9">BB6</f>
        <v>2035</v>
      </c>
      <c r="BJ9" s="472"/>
      <c r="BK9" s="472"/>
    </row>
    <row r="10" spans="1:63" s="680" customFormat="1" ht="11.25" hidden="1" customHeight="1">
      <c r="A10" s="680" t="s">
        <v>359</v>
      </c>
      <c r="B10" s="681"/>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J10" s="472"/>
      <c r="BK10" s="472"/>
    </row>
    <row r="11" spans="1:63" s="680" customFormat="1" ht="11.25" hidden="1" customHeight="1">
      <c r="A11" s="680" t="s">
        <v>360</v>
      </c>
      <c r="B11" s="681"/>
      <c r="BC11" s="680" t="str" cm="1">
        <f t="array" ref="BC11">BC24</f>
        <v>Ссылка на правовую норму (основание для принятия показателя в расчет тарифа)</v>
      </c>
      <c r="BJ11" s="472"/>
      <c r="BK11" s="472"/>
    </row>
    <row r="12" spans="1:63" s="680" customFormat="1" ht="11.25" hidden="1" customHeight="1">
      <c r="A12" s="680" t="s">
        <v>333</v>
      </c>
      <c r="B12" s="681"/>
      <c r="AC12" s="680" t="s">
        <v>320</v>
      </c>
      <c r="AD12" s="680" t="s">
        <v>352</v>
      </c>
      <c r="BJ12" s="472"/>
      <c r="BK12" s="472"/>
    </row>
    <row r="13" spans="1:63" ht="11.25" hidden="1" customHeight="1"/>
    <row r="14" spans="1:63" ht="11.25" hidden="1" customHeight="1"/>
    <row r="15" spans="1:63" ht="11.25" hidden="1" customHeight="1"/>
    <row r="16" spans="1:63" ht="11.25" hidden="1" customHeight="1"/>
    <row r="17" spans="1:63" ht="11.25" hidden="1" customHeight="1"/>
    <row r="18" spans="1:63" ht="11.25" hidden="1" customHeight="1">
      <c r="A18" s="36" t="s">
        <v>361</v>
      </c>
      <c r="AC18" s="36" t="s">
        <v>194</v>
      </c>
    </row>
    <row r="19" spans="1:63" ht="11.25" hidden="1" customHeight="1"/>
    <row r="20" spans="1:63" ht="11.25" hidden="1" customHeight="1"/>
    <row r="21" spans="1:63" ht="14.65" customHeight="1">
      <c r="E21" s="472">
        <v>15</v>
      </c>
      <c r="AA21" s="78"/>
      <c r="AC21" s="3" t="str" cm="1">
        <f t="array" ref="AC21">tpl_title</f>
        <v>Кемеровская область / 2026 / ООО "Энергосервис г. Гурьевска" (ИНН:4202049045, КПП:420201001) / ДПР: 2024-2028</v>
      </c>
    </row>
    <row r="22" spans="1:63" s="78" customFormat="1" ht="14.65" customHeight="1">
      <c r="B22" s="65"/>
      <c r="E22" s="473">
        <v>15</v>
      </c>
      <c r="AB22" s="239" t="s">
        <v>802</v>
      </c>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F22" s="683"/>
      <c r="BG22" s="683"/>
      <c r="BH22" s="683"/>
      <c r="BJ22" s="473"/>
      <c r="BK22" s="473"/>
    </row>
    <row r="23" spans="1:63" s="78" customFormat="1" ht="10.9" customHeight="1">
      <c r="B23" s="65"/>
      <c r="E23" s="473">
        <v>11.25</v>
      </c>
      <c r="AB23" s="133"/>
      <c r="AC23" s="133"/>
      <c r="AD23" s="133"/>
      <c r="AE23" s="134"/>
      <c r="AF23" s="134"/>
      <c r="AG23" s="134"/>
      <c r="AH23" s="134"/>
      <c r="AI23" s="133"/>
      <c r="AJ23" s="133"/>
      <c r="AK23" s="133"/>
      <c r="AL23" s="133"/>
      <c r="AM23" s="133"/>
      <c r="AN23" s="133"/>
      <c r="AO23" s="133"/>
      <c r="AP23" s="133"/>
      <c r="AQ23" s="133"/>
      <c r="AR23" s="133"/>
      <c r="AS23" s="133"/>
      <c r="AT23" s="133"/>
      <c r="AU23" s="133"/>
      <c r="AV23" s="133"/>
      <c r="AW23" s="133"/>
      <c r="AX23" s="133"/>
      <c r="AY23" s="133"/>
      <c r="AZ23" s="133"/>
      <c r="BA23" s="133"/>
      <c r="BB23" s="133"/>
      <c r="BC23" s="133"/>
      <c r="BF23" s="683"/>
      <c r="BG23" s="683"/>
      <c r="BH23" s="683"/>
      <c r="BJ23" s="473"/>
      <c r="BK23" s="473"/>
    </row>
    <row r="24" spans="1:63" s="79" customFormat="1" ht="14.65" customHeight="1">
      <c r="B24" s="338"/>
      <c r="E24" s="470">
        <v>15</v>
      </c>
      <c r="AB24" s="1122" t="s">
        <v>22</v>
      </c>
      <c r="AC24" s="1122" t="s">
        <v>362</v>
      </c>
      <c r="AD24" s="1122" t="s">
        <v>363</v>
      </c>
      <c r="AE24" s="274" t="str">
        <f>god-2&amp;" год"</f>
        <v>2024 год</v>
      </c>
      <c r="AF24" s="737" t="str">
        <f>god-2&amp;" год"</f>
        <v>2024 год</v>
      </c>
      <c r="AG24" s="274" t="str">
        <f>god-2&amp;" год"</f>
        <v>2024 год</v>
      </c>
      <c r="AH24" s="32" t="str">
        <f>god-1&amp;" год"</f>
        <v>2025 год</v>
      </c>
      <c r="AI24" s="734" t="str">
        <f>god&amp;" год"</f>
        <v>2026 год</v>
      </c>
      <c r="AJ24" s="734" t="str">
        <f>god+1&amp;" год"</f>
        <v>2027 год</v>
      </c>
      <c r="AK24" s="734" t="str">
        <f>god+2&amp;" год"</f>
        <v>2028 год</v>
      </c>
      <c r="AL24" s="734" t="str">
        <f>god+3&amp;" год"</f>
        <v>2029 год</v>
      </c>
      <c r="AM24" s="734" t="str">
        <f>god+4&amp;" год"</f>
        <v>2030 год</v>
      </c>
      <c r="AN24" s="734" t="str">
        <f>god+5&amp;" год"</f>
        <v>2031 год</v>
      </c>
      <c r="AO24" s="734" t="str">
        <f>god+6&amp;" год"</f>
        <v>2032 год</v>
      </c>
      <c r="AP24" s="734" t="str">
        <f>god+7&amp;" год"</f>
        <v>2033 год</v>
      </c>
      <c r="AQ24" s="734" t="str">
        <f>god+8&amp;" год"</f>
        <v>2034 год</v>
      </c>
      <c r="AR24" s="734"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1089" t="s">
        <v>529</v>
      </c>
      <c r="BF24" s="678"/>
      <c r="BG24" s="678"/>
      <c r="BH24" s="678"/>
      <c r="BJ24" s="470"/>
      <c r="BK24" s="470"/>
    </row>
    <row r="25" spans="1:63" s="79" customFormat="1" ht="48.75" customHeight="1">
      <c r="B25" s="338"/>
      <c r="E25" s="470">
        <v>50</v>
      </c>
      <c r="F25" s="79" t="s">
        <v>365</v>
      </c>
      <c r="AB25" s="1122"/>
      <c r="AC25" s="1122"/>
      <c r="AD25" s="1122"/>
      <c r="AE25" s="30" t="s">
        <v>355</v>
      </c>
      <c r="AF25" s="734" t="s">
        <v>450</v>
      </c>
      <c r="AG25" s="30" t="s">
        <v>451</v>
      </c>
      <c r="AH25" s="30" t="s">
        <v>355</v>
      </c>
      <c r="AI25" s="738" t="s">
        <v>356</v>
      </c>
      <c r="AJ25" s="738" t="s">
        <v>356</v>
      </c>
      <c r="AK25" s="738" t="s">
        <v>356</v>
      </c>
      <c r="AL25" s="738" t="s">
        <v>356</v>
      </c>
      <c r="AM25" s="738" t="s">
        <v>356</v>
      </c>
      <c r="AN25" s="738" t="s">
        <v>356</v>
      </c>
      <c r="AO25" s="738" t="s">
        <v>356</v>
      </c>
      <c r="AP25" s="738" t="s">
        <v>356</v>
      </c>
      <c r="AQ25" s="738" t="s">
        <v>356</v>
      </c>
      <c r="AR25" s="738" t="s">
        <v>356</v>
      </c>
      <c r="AS25" s="275" t="s">
        <v>355</v>
      </c>
      <c r="AT25" s="275" t="s">
        <v>355</v>
      </c>
      <c r="AU25" s="275" t="s">
        <v>355</v>
      </c>
      <c r="AV25" s="275" t="s">
        <v>355</v>
      </c>
      <c r="AW25" s="275" t="s">
        <v>355</v>
      </c>
      <c r="AX25" s="275" t="s">
        <v>355</v>
      </c>
      <c r="AY25" s="275" t="s">
        <v>355</v>
      </c>
      <c r="AZ25" s="275" t="s">
        <v>355</v>
      </c>
      <c r="BA25" s="275" t="s">
        <v>355</v>
      </c>
      <c r="BB25" s="275" t="s">
        <v>355</v>
      </c>
      <c r="BC25" s="1089"/>
      <c r="BF25" s="678"/>
      <c r="BG25" s="678"/>
      <c r="BH25" s="678"/>
      <c r="BJ25" s="470"/>
      <c r="BK25" s="470"/>
    </row>
    <row r="26" spans="1:63" ht="11.25" hidden="1" customHeight="1">
      <c r="A26" s="327"/>
      <c r="B26" s="490"/>
      <c r="C26" s="327"/>
      <c r="D26" s="327"/>
      <c r="E26" s="491">
        <v>0</v>
      </c>
      <c r="F26" s="327"/>
      <c r="G26" s="327"/>
      <c r="H26" s="327"/>
      <c r="I26" s="327"/>
      <c r="J26" s="327"/>
      <c r="K26" s="327"/>
      <c r="L26" s="327"/>
      <c r="M26" s="327"/>
      <c r="N26" s="327"/>
      <c r="O26" s="327"/>
      <c r="P26" s="327"/>
      <c r="Q26" s="327"/>
      <c r="R26" s="327"/>
      <c r="S26" s="327"/>
      <c r="T26" s="327"/>
      <c r="U26" s="327"/>
      <c r="V26" s="327"/>
      <c r="W26" s="327"/>
      <c r="X26" s="327"/>
      <c r="Y26" s="327"/>
      <c r="Z26" s="327"/>
      <c r="AA26" s="327"/>
      <c r="AB26"/>
      <c r="AC26" s="37"/>
      <c r="AD26" s="37"/>
      <c r="AE26" s="37"/>
      <c r="AF26" s="37"/>
      <c r="AG26"/>
      <c r="AH26"/>
      <c r="AI26"/>
      <c r="AJ26"/>
      <c r="AK26"/>
      <c r="AL26"/>
      <c r="AM26"/>
      <c r="AN26"/>
      <c r="AO26"/>
      <c r="AP26"/>
      <c r="AQ26" s="38"/>
      <c r="AR26"/>
      <c r="AS26"/>
      <c r="AT26"/>
      <c r="AU26"/>
      <c r="AV26"/>
      <c r="AW26"/>
      <c r="AX26"/>
      <c r="AY26"/>
      <c r="AZ26"/>
      <c r="BA26"/>
      <c r="BB26"/>
      <c r="BC26"/>
      <c r="BD26"/>
      <c r="BE26"/>
      <c r="BF26" s="670"/>
      <c r="BG26" s="670"/>
      <c r="BH26" s="670"/>
      <c r="BJ26" s="465"/>
      <c r="BK26" s="465"/>
    </row>
    <row r="27" spans="1:63" s="79" customFormat="1" ht="14.65" hidden="1" customHeight="1">
      <c r="B27" s="338"/>
      <c r="E27" s="470">
        <v>15</v>
      </c>
      <c r="F27" s="266" cm="1">
        <f t="array" ref="F27">X27</f>
        <v>0</v>
      </c>
      <c r="G27" s="81"/>
      <c r="H27" s="81"/>
      <c r="T27" s="365" t="b">
        <f>X27&gt;0</f>
        <v>0</v>
      </c>
      <c r="V27" s="79" t="s">
        <v>264</v>
      </c>
      <c r="X27" s="1050">
        <v>0</v>
      </c>
      <c r="Z27" s="1076"/>
      <c r="AB27" s="116" t="str" cm="1">
        <f t="array" ref="AB27">INDEX('Общие сведения'!$AG$179:$AG$222,MATCH($X27,'Общие сведения'!$Z$179:$Z$222,0))</f>
        <v xml:space="preserve">Тариф 0 () - </v>
      </c>
      <c r="AC27" s="113"/>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F27" s="678"/>
      <c r="BG27" s="678"/>
      <c r="BH27" s="678"/>
      <c r="BJ27" s="470"/>
      <c r="BK27" s="470"/>
    </row>
    <row r="28" spans="1:63" s="81" customFormat="1" ht="14.65" hidden="1" customHeight="1">
      <c r="B28" s="338"/>
      <c r="D28" s="376"/>
      <c r="E28" s="198">
        <v>15</v>
      </c>
      <c r="F28" s="3" cm="1">
        <f t="array" aca="1" ref="F28" ca="1">OFFSET(E28,-1,1)</f>
        <v>0</v>
      </c>
      <c r="H28" s="81" t="str" cm="1">
        <f t="array" ref="H28">AC28</f>
        <v>Всего по тарифу</v>
      </c>
      <c r="K28" s="376" t="str">
        <f ca="1">F28&amp;"komm"</f>
        <v>0komm</v>
      </c>
      <c r="L28" s="616" cm="1">
        <f t="array" ref="L28">BC28</f>
        <v>0</v>
      </c>
      <c r="T28" s="365" t="b" cm="1">
        <f t="array" ref="T28">T27</f>
        <v>0</v>
      </c>
      <c r="X28" s="1050"/>
      <c r="Z28" s="1076"/>
      <c r="AB28" s="80"/>
      <c r="AC28" s="73" t="s">
        <v>803</v>
      </c>
      <c r="AD28" s="31" t="s">
        <v>804</v>
      </c>
      <c r="AE28" s="77">
        <f t="shared" ref="AE28:BB28" si="2">AE29+AE34+AE41</f>
        <v>0</v>
      </c>
      <c r="AF28" s="77">
        <f t="shared" si="2"/>
        <v>0</v>
      </c>
      <c r="AG28" s="77">
        <f t="shared" si="2"/>
        <v>0</v>
      </c>
      <c r="AH28" s="77">
        <f t="shared" si="2"/>
        <v>0</v>
      </c>
      <c r="AI28" s="77">
        <f t="shared" si="2"/>
        <v>0</v>
      </c>
      <c r="AJ28" s="77">
        <f t="shared" si="2"/>
        <v>0</v>
      </c>
      <c r="AK28" s="77">
        <f t="shared" si="2"/>
        <v>0</v>
      </c>
      <c r="AL28" s="77">
        <f t="shared" si="2"/>
        <v>0</v>
      </c>
      <c r="AM28" s="77">
        <f t="shared" si="2"/>
        <v>0</v>
      </c>
      <c r="AN28" s="77">
        <f t="shared" si="2"/>
        <v>0</v>
      </c>
      <c r="AO28" s="77">
        <f t="shared" si="2"/>
        <v>0</v>
      </c>
      <c r="AP28" s="77">
        <f t="shared" si="2"/>
        <v>0</v>
      </c>
      <c r="AQ28" s="77">
        <f t="shared" si="2"/>
        <v>0</v>
      </c>
      <c r="AR28" s="77">
        <f t="shared" si="2"/>
        <v>0</v>
      </c>
      <c r="AS28" s="77">
        <f t="shared" si="2"/>
        <v>0</v>
      </c>
      <c r="AT28" s="77">
        <f t="shared" si="2"/>
        <v>0</v>
      </c>
      <c r="AU28" s="77">
        <f t="shared" si="2"/>
        <v>0</v>
      </c>
      <c r="AV28" s="77">
        <f t="shared" si="2"/>
        <v>0</v>
      </c>
      <c r="AW28" s="77">
        <f t="shared" si="2"/>
        <v>0</v>
      </c>
      <c r="AX28" s="77">
        <f t="shared" si="2"/>
        <v>0</v>
      </c>
      <c r="AY28" s="77">
        <f t="shared" si="2"/>
        <v>0</v>
      </c>
      <c r="AZ28" s="77">
        <f t="shared" si="2"/>
        <v>0</v>
      </c>
      <c r="BA28" s="77">
        <f t="shared" si="2"/>
        <v>0</v>
      </c>
      <c r="BB28" s="77">
        <f t="shared" si="2"/>
        <v>0</v>
      </c>
      <c r="BC28" s="839"/>
      <c r="BF28" s="687" t="s">
        <v>805</v>
      </c>
      <c r="BG28" s="687"/>
      <c r="BH28" s="687"/>
      <c r="BJ28" s="198"/>
      <c r="BK28" s="198"/>
    </row>
    <row r="29" spans="1:63" ht="14.65" hidden="1" customHeight="1">
      <c r="B29" s="865"/>
      <c r="D29" s="376"/>
      <c r="E29" s="470">
        <v>15</v>
      </c>
      <c r="F29" s="280" cm="1">
        <f t="array" aca="1" ref="F29" ca="1">OFFSET(E29,-1,1)</f>
        <v>0</v>
      </c>
      <c r="I29" s="377" t="s">
        <v>806</v>
      </c>
      <c r="K29" s="376"/>
      <c r="L29" s="616"/>
      <c r="T29" s="365" t="b" cm="1">
        <f t="array" ref="T29">T28</f>
        <v>0</v>
      </c>
      <c r="X29" s="1121"/>
      <c r="Z29" s="1121"/>
      <c r="AB29" s="80" t="s">
        <v>275</v>
      </c>
      <c r="AC29" s="73" t="s">
        <v>806</v>
      </c>
      <c r="AD29" s="31" t="s">
        <v>804</v>
      </c>
      <c r="AE29" s="77">
        <f t="shared" ref="AE29:BB29" si="3">SUMIF($AD30:$AD33,$AD29,AE30:AE33)</f>
        <v>0</v>
      </c>
      <c r="AF29" s="77">
        <f t="shared" si="3"/>
        <v>0</v>
      </c>
      <c r="AG29" s="77">
        <f t="shared" si="3"/>
        <v>0</v>
      </c>
      <c r="AH29" s="77">
        <f t="shared" si="3"/>
        <v>0</v>
      </c>
      <c r="AI29" s="77">
        <f t="shared" si="3"/>
        <v>0</v>
      </c>
      <c r="AJ29" s="77">
        <f t="shared" si="3"/>
        <v>0</v>
      </c>
      <c r="AK29" s="77">
        <f t="shared" si="3"/>
        <v>0</v>
      </c>
      <c r="AL29" s="77">
        <f t="shared" si="3"/>
        <v>0</v>
      </c>
      <c r="AM29" s="77">
        <f t="shared" si="3"/>
        <v>0</v>
      </c>
      <c r="AN29" s="77">
        <f t="shared" si="3"/>
        <v>0</v>
      </c>
      <c r="AO29" s="77">
        <f t="shared" si="3"/>
        <v>0</v>
      </c>
      <c r="AP29" s="77">
        <f t="shared" si="3"/>
        <v>0</v>
      </c>
      <c r="AQ29" s="77">
        <f t="shared" si="3"/>
        <v>0</v>
      </c>
      <c r="AR29" s="77">
        <f t="shared" si="3"/>
        <v>0</v>
      </c>
      <c r="AS29" s="77">
        <f t="shared" si="3"/>
        <v>0</v>
      </c>
      <c r="AT29" s="77">
        <f t="shared" si="3"/>
        <v>0</v>
      </c>
      <c r="AU29" s="77">
        <f t="shared" si="3"/>
        <v>0</v>
      </c>
      <c r="AV29" s="77">
        <f t="shared" si="3"/>
        <v>0</v>
      </c>
      <c r="AW29" s="77">
        <f t="shared" si="3"/>
        <v>0</v>
      </c>
      <c r="AX29" s="77">
        <f t="shared" si="3"/>
        <v>0</v>
      </c>
      <c r="AY29" s="77">
        <f t="shared" si="3"/>
        <v>0</v>
      </c>
      <c r="AZ29" s="77">
        <f t="shared" si="3"/>
        <v>0</v>
      </c>
      <c r="BA29" s="77">
        <f t="shared" si="3"/>
        <v>0</v>
      </c>
      <c r="BB29" s="77">
        <f t="shared" si="3"/>
        <v>0</v>
      </c>
      <c r="BC29" s="866"/>
      <c r="BF29" s="687" t="s">
        <v>807</v>
      </c>
      <c r="BG29" s="687"/>
      <c r="BH29" s="687"/>
      <c r="BI29" s="687"/>
      <c r="BJ29" s="198"/>
      <c r="BK29" s="198"/>
    </row>
    <row r="30" spans="1:63" s="81" customFormat="1" ht="14.65" hidden="1" customHeight="1">
      <c r="B30" s="338"/>
      <c r="E30" s="198">
        <v>15</v>
      </c>
      <c r="F30" s="3" cm="1">
        <f t="array" aca="1" ref="F30" ca="1">OFFSET(E30,-1,1)</f>
        <v>0</v>
      </c>
      <c r="G30" s="81" t="s">
        <v>327</v>
      </c>
      <c r="H30" s="81" cm="1">
        <f t="array" ref="H30">AC30</f>
        <v>0</v>
      </c>
      <c r="T30" s="365" t="b">
        <f ca="1">AND(F30&gt;0,Y30&gt;0)</f>
        <v>0</v>
      </c>
      <c r="W30" s="528" t="s">
        <v>173</v>
      </c>
      <c r="X30" s="1050"/>
      <c r="Y30" s="1076">
        <v>0</v>
      </c>
      <c r="Z30" s="1076"/>
      <c r="AA30" s="1119" t="s">
        <v>174</v>
      </c>
      <c r="AB30" s="27" t="str">
        <f>"1."&amp;Y30</f>
        <v>1.0</v>
      </c>
      <c r="AC30" s="867"/>
      <c r="AD30" s="31" t="s">
        <v>804</v>
      </c>
      <c r="AE30" s="833"/>
      <c r="AF30" s="833"/>
      <c r="AG30" s="833"/>
      <c r="AH30" s="833"/>
      <c r="AI30" s="833"/>
      <c r="AJ30" s="833"/>
      <c r="AK30" s="833"/>
      <c r="AL30" s="833"/>
      <c r="AM30" s="833"/>
      <c r="AN30" s="833"/>
      <c r="AO30" s="833"/>
      <c r="AP30" s="833"/>
      <c r="AQ30" s="833"/>
      <c r="AR30" s="833"/>
      <c r="AS30" s="833"/>
      <c r="AT30" s="833"/>
      <c r="AU30" s="833"/>
      <c r="AV30" s="833"/>
      <c r="AW30" s="833"/>
      <c r="AX30" s="833"/>
      <c r="AY30" s="833"/>
      <c r="AZ30" s="833"/>
      <c r="BA30" s="833"/>
      <c r="BB30" s="833"/>
      <c r="BC30" s="839"/>
      <c r="BF30" s="687" t="s">
        <v>808</v>
      </c>
      <c r="BG30" s="687" t="s">
        <v>809</v>
      </c>
      <c r="BH30" s="687" cm="1">
        <f t="array" ref="BH30">AC30</f>
        <v>0</v>
      </c>
      <c r="BJ30" s="198"/>
      <c r="BK30" s="198" t="b">
        <v>1</v>
      </c>
    </row>
    <row r="31" spans="1:63" ht="14.65" hidden="1" customHeight="1">
      <c r="B31" s="865"/>
      <c r="E31" s="470">
        <v>15</v>
      </c>
      <c r="F31" s="280" cm="1">
        <f t="array" aca="1" ref="F31" ca="1">OFFSET(E31,-1,1)</f>
        <v>0</v>
      </c>
      <c r="T31" s="365" t="b" cm="1">
        <f t="array" aca="1" ref="T31" ca="1">T30</f>
        <v>0</v>
      </c>
      <c r="W31" s="528"/>
      <c r="X31" s="1121"/>
      <c r="Y31" s="1050"/>
      <c r="Z31" s="1121"/>
      <c r="AA31" s="1120"/>
      <c r="AB31" s="869" t="str">
        <f>AB30&amp;".1"</f>
        <v>1.0.1</v>
      </c>
      <c r="AC31" s="249" t="s">
        <v>810</v>
      </c>
      <c r="AD31" s="30" t="s">
        <v>811</v>
      </c>
      <c r="AE31" s="833"/>
      <c r="AF31" s="833"/>
      <c r="AG31" s="833"/>
      <c r="AH31" s="833"/>
      <c r="AI31" s="833"/>
      <c r="AJ31" s="833"/>
      <c r="AK31" s="833"/>
      <c r="AL31" s="833"/>
      <c r="AM31" s="833"/>
      <c r="AN31" s="833"/>
      <c r="AO31" s="833"/>
      <c r="AP31" s="833"/>
      <c r="AQ31" s="833"/>
      <c r="AR31" s="833"/>
      <c r="AS31" s="833"/>
      <c r="AT31" s="833"/>
      <c r="AU31" s="833"/>
      <c r="AV31" s="833"/>
      <c r="AW31" s="833"/>
      <c r="AX31" s="833"/>
      <c r="AY31" s="833"/>
      <c r="AZ31" s="833"/>
      <c r="BA31" s="833"/>
      <c r="BB31" s="833"/>
      <c r="BC31" s="839"/>
      <c r="BF31" s="687" t="s">
        <v>812</v>
      </c>
      <c r="BG31" s="687" t="s">
        <v>809</v>
      </c>
      <c r="BH31" s="687" cm="1">
        <f t="array" ref="BH31">BH30</f>
        <v>0</v>
      </c>
      <c r="BI31" s="687"/>
      <c r="BJ31" s="198"/>
      <c r="BK31" s="198"/>
    </row>
    <row r="32" spans="1:63" ht="14.65" hidden="1" customHeight="1">
      <c r="B32" s="865"/>
      <c r="E32" s="470">
        <v>15</v>
      </c>
      <c r="F32" s="280" cm="1">
        <f t="array" aca="1" ref="F32" ca="1">OFFSET(E32,-1,1)</f>
        <v>0</v>
      </c>
      <c r="T32" s="365" t="b" cm="1">
        <f t="array" aca="1" ref="T32" ca="1">T31</f>
        <v>0</v>
      </c>
      <c r="W32" s="528"/>
      <c r="X32" s="1121"/>
      <c r="Y32" s="1050"/>
      <c r="Z32" s="1121"/>
      <c r="AA32" s="1120"/>
      <c r="AB32" s="869" t="str">
        <f>AB30&amp;".2"</f>
        <v>1.0.2</v>
      </c>
      <c r="AC32" s="249" t="s">
        <v>813</v>
      </c>
      <c r="AD32" s="30" t="s">
        <v>814</v>
      </c>
      <c r="AE32" s="833"/>
      <c r="AF32" s="833"/>
      <c r="AG32" s="833"/>
      <c r="AH32" s="833"/>
      <c r="AI32" s="833"/>
      <c r="AJ32" s="833"/>
      <c r="AK32" s="833"/>
      <c r="AL32" s="833"/>
      <c r="AM32" s="833"/>
      <c r="AN32" s="833"/>
      <c r="AO32" s="833"/>
      <c r="AP32" s="833"/>
      <c r="AQ32" s="833"/>
      <c r="AR32" s="833"/>
      <c r="AS32" s="833"/>
      <c r="AT32" s="833"/>
      <c r="AU32" s="833"/>
      <c r="AV32" s="833"/>
      <c r="AW32" s="833"/>
      <c r="AX32" s="833"/>
      <c r="AY32" s="833"/>
      <c r="AZ32" s="833"/>
      <c r="BA32" s="833"/>
      <c r="BB32" s="833"/>
      <c r="BC32" s="839"/>
      <c r="BF32" s="687" t="s">
        <v>815</v>
      </c>
      <c r="BG32" s="687" t="s">
        <v>809</v>
      </c>
      <c r="BH32" s="687" cm="1">
        <f t="array" ref="BH32">BH31</f>
        <v>0</v>
      </c>
      <c r="BI32" s="687"/>
      <c r="BJ32" s="198"/>
      <c r="BK32" s="198"/>
    </row>
    <row r="33" spans="1:63" ht="14.65" hidden="1" customHeight="1">
      <c r="B33" s="870"/>
      <c r="E33" s="470">
        <v>15</v>
      </c>
      <c r="F33" s="280" cm="1">
        <f t="array" aca="1" ref="F33" ca="1">OFFSET(E33,-1,1)</f>
        <v>0</v>
      </c>
      <c r="H33" s="78" t="str">
        <f>"!== 'Всего по тарифу'"</f>
        <v>!== 'Всего по тарифу'</v>
      </c>
      <c r="T33" s="365" t="b">
        <f ca="1">F33&gt;0</f>
        <v>0</v>
      </c>
      <c r="W33" s="528" t="s">
        <v>392</v>
      </c>
      <c r="X33" s="1121"/>
      <c r="Z33" s="1121"/>
      <c r="AB33" s="871"/>
      <c r="AC33" s="872" t="s">
        <v>177</v>
      </c>
      <c r="AD33" s="873"/>
      <c r="AE33" s="873"/>
      <c r="AF33" s="873"/>
      <c r="AG33" s="873"/>
      <c r="AH33" s="873"/>
      <c r="AI33" s="873"/>
      <c r="AJ33" s="873"/>
      <c r="AK33" s="873"/>
      <c r="AL33" s="873"/>
      <c r="AM33" s="873"/>
      <c r="AN33" s="873"/>
      <c r="AO33" s="873"/>
      <c r="AP33" s="873"/>
      <c r="AQ33" s="873"/>
      <c r="AR33" s="873"/>
      <c r="AS33" s="873"/>
      <c r="AT33" s="873"/>
      <c r="AU33" s="873"/>
      <c r="AV33" s="873"/>
      <c r="AW33" s="873"/>
      <c r="AX33" s="873"/>
      <c r="AY33" s="873"/>
      <c r="AZ33" s="873"/>
      <c r="BA33" s="873"/>
      <c r="BB33" s="873"/>
      <c r="BC33" s="874"/>
      <c r="BF33" s="683"/>
      <c r="BG33" s="683"/>
      <c r="BH33" s="683"/>
      <c r="BI33" s="683"/>
      <c r="BJ33" s="473" t="s">
        <v>809</v>
      </c>
      <c r="BK33" s="473"/>
    </row>
    <row r="34" spans="1:63" ht="14.65" hidden="1" customHeight="1">
      <c r="B34" s="870"/>
      <c r="E34" s="470">
        <v>15</v>
      </c>
      <c r="F34" s="280" cm="1">
        <f t="array" aca="1" ref="F34" ca="1">OFFSET(E34,-1,1)</f>
        <v>0</v>
      </c>
      <c r="I34" s="377" t="s">
        <v>816</v>
      </c>
      <c r="T34" s="365" t="b" cm="1">
        <f t="array" aca="1" ref="T34" ca="1">T33</f>
        <v>0</v>
      </c>
      <c r="W34" s="528"/>
      <c r="X34" s="1121"/>
      <c r="Z34" s="1121"/>
      <c r="AB34" s="80" t="s">
        <v>285</v>
      </c>
      <c r="AC34" s="73" t="s">
        <v>816</v>
      </c>
      <c r="AD34" s="31" t="s">
        <v>804</v>
      </c>
      <c r="AE34" s="77">
        <f t="shared" ref="AE34:BB34" si="4">AE35+AE36</f>
        <v>0</v>
      </c>
      <c r="AF34" s="77">
        <f t="shared" si="4"/>
        <v>0</v>
      </c>
      <c r="AG34" s="77">
        <f t="shared" si="4"/>
        <v>0</v>
      </c>
      <c r="AH34" s="77">
        <f t="shared" si="4"/>
        <v>0</v>
      </c>
      <c r="AI34" s="77">
        <f t="shared" si="4"/>
        <v>0</v>
      </c>
      <c r="AJ34" s="77">
        <f t="shared" si="4"/>
        <v>0</v>
      </c>
      <c r="AK34" s="77">
        <f t="shared" si="4"/>
        <v>0</v>
      </c>
      <c r="AL34" s="77">
        <f t="shared" si="4"/>
        <v>0</v>
      </c>
      <c r="AM34" s="77">
        <f t="shared" si="4"/>
        <v>0</v>
      </c>
      <c r="AN34" s="77">
        <f t="shared" si="4"/>
        <v>0</v>
      </c>
      <c r="AO34" s="77">
        <f t="shared" si="4"/>
        <v>0</v>
      </c>
      <c r="AP34" s="77">
        <f t="shared" si="4"/>
        <v>0</v>
      </c>
      <c r="AQ34" s="77">
        <f t="shared" si="4"/>
        <v>0</v>
      </c>
      <c r="AR34" s="77">
        <f t="shared" si="4"/>
        <v>0</v>
      </c>
      <c r="AS34" s="77">
        <f t="shared" si="4"/>
        <v>0</v>
      </c>
      <c r="AT34" s="77">
        <f t="shared" si="4"/>
        <v>0</v>
      </c>
      <c r="AU34" s="77">
        <f t="shared" si="4"/>
        <v>0</v>
      </c>
      <c r="AV34" s="77">
        <f t="shared" si="4"/>
        <v>0</v>
      </c>
      <c r="AW34" s="77">
        <f t="shared" si="4"/>
        <v>0</v>
      </c>
      <c r="AX34" s="77">
        <f t="shared" si="4"/>
        <v>0</v>
      </c>
      <c r="AY34" s="77">
        <f t="shared" si="4"/>
        <v>0</v>
      </c>
      <c r="AZ34" s="77">
        <f t="shared" si="4"/>
        <v>0</v>
      </c>
      <c r="BA34" s="77">
        <f t="shared" si="4"/>
        <v>0</v>
      </c>
      <c r="BB34" s="77">
        <f t="shared" si="4"/>
        <v>0</v>
      </c>
      <c r="BC34" s="866"/>
      <c r="BF34" s="683" t="s">
        <v>817</v>
      </c>
      <c r="BG34" s="683"/>
      <c r="BH34" s="683"/>
      <c r="BI34" s="683"/>
      <c r="BJ34" s="473"/>
      <c r="BK34" s="473"/>
    </row>
    <row r="35" spans="1:63" ht="32.85" hidden="1" customHeight="1">
      <c r="B35" s="870"/>
      <c r="E35" s="470">
        <v>33.75</v>
      </c>
      <c r="F35" s="280" cm="1">
        <f t="array" aca="1" ref="F35" ca="1">OFFSET(E35,-1,1)</f>
        <v>0</v>
      </c>
      <c r="T35" s="365" t="b" cm="1">
        <f t="array" aca="1" ref="T35" ca="1">T34</f>
        <v>0</v>
      </c>
      <c r="W35" s="528"/>
      <c r="X35" s="1121"/>
      <c r="Z35" s="1121"/>
      <c r="AB35" s="80" t="s">
        <v>537</v>
      </c>
      <c r="AC35" s="73" t="s">
        <v>818</v>
      </c>
      <c r="AD35" s="31" t="s">
        <v>804</v>
      </c>
      <c r="AE35" s="833"/>
      <c r="AF35" s="833"/>
      <c r="AG35" s="833"/>
      <c r="AH35" s="833"/>
      <c r="AI35" s="833"/>
      <c r="AJ35" s="833"/>
      <c r="AK35" s="833"/>
      <c r="AL35" s="833"/>
      <c r="AM35" s="833"/>
      <c r="AN35" s="833"/>
      <c r="AO35" s="833"/>
      <c r="AP35" s="833"/>
      <c r="AQ35" s="833"/>
      <c r="AR35" s="833"/>
      <c r="AS35" s="833"/>
      <c r="AT35" s="833"/>
      <c r="AU35" s="833"/>
      <c r="AV35" s="833"/>
      <c r="AW35" s="833"/>
      <c r="AX35" s="833"/>
      <c r="AY35" s="833"/>
      <c r="AZ35" s="833"/>
      <c r="BA35" s="833"/>
      <c r="BB35" s="833"/>
      <c r="BC35" s="866"/>
      <c r="BF35" s="683" t="s">
        <v>819</v>
      </c>
      <c r="BG35" s="683"/>
      <c r="BH35" s="683"/>
      <c r="BI35" s="683"/>
      <c r="BJ35" s="473"/>
      <c r="BK35" s="473"/>
    </row>
    <row r="36" spans="1:63" ht="43.9" hidden="1" customHeight="1">
      <c r="B36" s="870"/>
      <c r="E36" s="470">
        <v>45</v>
      </c>
      <c r="F36" s="280" cm="1">
        <f t="array" aca="1" ref="F36" ca="1">OFFSET(E36,-1,1)</f>
        <v>0</v>
      </c>
      <c r="T36" s="365" t="b" cm="1">
        <f t="array" aca="1" ref="T36" ca="1">T35</f>
        <v>0</v>
      </c>
      <c r="W36" s="528"/>
      <c r="X36" s="1121"/>
      <c r="Z36" s="1121"/>
      <c r="AB36" s="80" t="s">
        <v>541</v>
      </c>
      <c r="AC36" s="73" t="s">
        <v>820</v>
      </c>
      <c r="AD36" s="31" t="s">
        <v>804</v>
      </c>
      <c r="AE36" s="77">
        <f t="shared" ref="AE36:BB36" si="5">SUMIF($AD37:$AD40,$AD36,AE37:AE40)</f>
        <v>0</v>
      </c>
      <c r="AF36" s="77">
        <f t="shared" si="5"/>
        <v>0</v>
      </c>
      <c r="AG36" s="77">
        <f t="shared" si="5"/>
        <v>0</v>
      </c>
      <c r="AH36" s="77">
        <f t="shared" si="5"/>
        <v>0</v>
      </c>
      <c r="AI36" s="77">
        <f t="shared" si="5"/>
        <v>0</v>
      </c>
      <c r="AJ36" s="77">
        <f t="shared" si="5"/>
        <v>0</v>
      </c>
      <c r="AK36" s="77">
        <f t="shared" si="5"/>
        <v>0</v>
      </c>
      <c r="AL36" s="77">
        <f t="shared" si="5"/>
        <v>0</v>
      </c>
      <c r="AM36" s="77">
        <f t="shared" si="5"/>
        <v>0</v>
      </c>
      <c r="AN36" s="77">
        <f t="shared" si="5"/>
        <v>0</v>
      </c>
      <c r="AO36" s="77">
        <f t="shared" si="5"/>
        <v>0</v>
      </c>
      <c r="AP36" s="77">
        <f t="shared" si="5"/>
        <v>0</v>
      </c>
      <c r="AQ36" s="77">
        <f t="shared" si="5"/>
        <v>0</v>
      </c>
      <c r="AR36" s="77">
        <f t="shared" si="5"/>
        <v>0</v>
      </c>
      <c r="AS36" s="77">
        <f t="shared" si="5"/>
        <v>0</v>
      </c>
      <c r="AT36" s="77">
        <f t="shared" si="5"/>
        <v>0</v>
      </c>
      <c r="AU36" s="77">
        <f t="shared" si="5"/>
        <v>0</v>
      </c>
      <c r="AV36" s="77">
        <f t="shared" si="5"/>
        <v>0</v>
      </c>
      <c r="AW36" s="77">
        <f t="shared" si="5"/>
        <v>0</v>
      </c>
      <c r="AX36" s="77">
        <f t="shared" si="5"/>
        <v>0</v>
      </c>
      <c r="AY36" s="77">
        <f t="shared" si="5"/>
        <v>0</v>
      </c>
      <c r="AZ36" s="77">
        <f t="shared" si="5"/>
        <v>0</v>
      </c>
      <c r="BA36" s="77">
        <f t="shared" si="5"/>
        <v>0</v>
      </c>
      <c r="BB36" s="77">
        <f t="shared" si="5"/>
        <v>0</v>
      </c>
      <c r="BC36" s="866"/>
      <c r="BF36" s="683" t="s">
        <v>821</v>
      </c>
      <c r="BG36" s="683"/>
      <c r="BH36" s="683"/>
      <c r="BI36" s="683"/>
      <c r="BJ36" s="473"/>
      <c r="BK36" s="473"/>
    </row>
    <row r="37" spans="1:63" ht="14.65" hidden="1" customHeight="1">
      <c r="A37" s="327"/>
      <c r="B37" s="817"/>
      <c r="C37" s="327"/>
      <c r="D37" s="327"/>
      <c r="E37" s="470">
        <v>15</v>
      </c>
      <c r="F37" s="280" cm="1">
        <f t="array" aca="1" ref="F37" ca="1">OFFSET(E37,-1,1)</f>
        <v>0</v>
      </c>
      <c r="G37" s="327"/>
      <c r="H37" s="327"/>
      <c r="I37" s="327"/>
      <c r="J37" s="327"/>
      <c r="K37" s="327"/>
      <c r="L37" s="327"/>
      <c r="M37" s="327"/>
      <c r="N37" s="327"/>
      <c r="O37" s="327"/>
      <c r="P37" s="327"/>
      <c r="Q37" s="327"/>
      <c r="R37" s="327"/>
      <c r="S37" s="327"/>
      <c r="T37" s="365" t="b">
        <f ca="1">AND(F37&gt;0,Y37&gt;0)</f>
        <v>0</v>
      </c>
      <c r="W37" s="528" t="s">
        <v>173</v>
      </c>
      <c r="X37" s="1121"/>
      <c r="Y37" s="1094">
        <v>0</v>
      </c>
      <c r="Z37" s="1121"/>
      <c r="AA37" s="1112" t="s">
        <v>174</v>
      </c>
      <c r="AB37" s="27" t="str">
        <f>"2.3."&amp;Y37</f>
        <v>2.3.0</v>
      </c>
      <c r="AC37" s="875"/>
      <c r="AD37" s="31" t="s">
        <v>804</v>
      </c>
      <c r="AE37" s="833"/>
      <c r="AF37" s="833"/>
      <c r="AG37" s="833"/>
      <c r="AH37" s="833"/>
      <c r="AI37" s="833"/>
      <c r="AJ37" s="833"/>
      <c r="AK37" s="833"/>
      <c r="AL37" s="833"/>
      <c r="AM37" s="833"/>
      <c r="AN37" s="833"/>
      <c r="AO37" s="833"/>
      <c r="AP37" s="833"/>
      <c r="AQ37" s="833"/>
      <c r="AR37" s="833"/>
      <c r="AS37" s="833"/>
      <c r="AT37" s="833"/>
      <c r="AU37" s="833"/>
      <c r="AV37" s="833"/>
      <c r="AW37" s="833"/>
      <c r="AX37" s="833"/>
      <c r="AY37" s="833"/>
      <c r="AZ37" s="833"/>
      <c r="BA37" s="833"/>
      <c r="BB37" s="833"/>
      <c r="BC37" s="866"/>
      <c r="BF37" s="664" t="s">
        <v>822</v>
      </c>
      <c r="BG37" s="664" t="s">
        <v>823</v>
      </c>
      <c r="BH37" s="664" cm="1">
        <f t="array" ref="BH37">AC37</f>
        <v>0</v>
      </c>
      <c r="BI37" s="664" cm="1">
        <f t="array" ref="BI37">AD38</f>
        <v>0</v>
      </c>
      <c r="BJ37" s="465"/>
      <c r="BK37" s="491" t="b">
        <v>1</v>
      </c>
    </row>
    <row r="38" spans="1:63" ht="14.65" hidden="1" customHeight="1">
      <c r="A38" s="327"/>
      <c r="B38" s="817"/>
      <c r="C38" s="327"/>
      <c r="D38" s="327"/>
      <c r="E38" s="470">
        <v>15</v>
      </c>
      <c r="F38" s="280" cm="1">
        <f t="array" aca="1" ref="F38" ca="1">OFFSET(E38,-1,1)</f>
        <v>0</v>
      </c>
      <c r="G38" s="327"/>
      <c r="H38" s="327"/>
      <c r="I38" s="327"/>
      <c r="J38" s="327"/>
      <c r="K38" s="327"/>
      <c r="L38" s="327"/>
      <c r="M38" s="327"/>
      <c r="N38" s="327"/>
      <c r="O38" s="327"/>
      <c r="P38" s="327"/>
      <c r="Q38" s="327"/>
      <c r="R38" s="327"/>
      <c r="S38" s="327"/>
      <c r="T38" s="365" t="b" cm="1">
        <f t="array" aca="1" ref="T38" ca="1">T37</f>
        <v>0</v>
      </c>
      <c r="U38" s="327"/>
      <c r="V38" s="75"/>
      <c r="W38" s="327"/>
      <c r="X38" s="1121"/>
      <c r="Y38" s="1094"/>
      <c r="Z38" s="1121"/>
      <c r="AA38" s="1112"/>
      <c r="AB38" s="27" t="str">
        <f>AB37&amp;".1"</f>
        <v>2.3.0.1</v>
      </c>
      <c r="AC38" s="124" t="s">
        <v>810</v>
      </c>
      <c r="AD38" s="876"/>
      <c r="AE38" s="833"/>
      <c r="AF38" s="833"/>
      <c r="AG38" s="833"/>
      <c r="AH38" s="833"/>
      <c r="AI38" s="833"/>
      <c r="AJ38" s="833"/>
      <c r="AK38" s="833"/>
      <c r="AL38" s="833"/>
      <c r="AM38" s="833"/>
      <c r="AN38" s="833"/>
      <c r="AO38" s="833"/>
      <c r="AP38" s="833"/>
      <c r="AQ38" s="833"/>
      <c r="AR38" s="833"/>
      <c r="AS38" s="833"/>
      <c r="AT38" s="833"/>
      <c r="AU38" s="833"/>
      <c r="AV38" s="833"/>
      <c r="AW38" s="833"/>
      <c r="AX38" s="833"/>
      <c r="AY38" s="833"/>
      <c r="AZ38" s="833"/>
      <c r="BA38" s="833"/>
      <c r="BB38" s="833"/>
      <c r="BC38" s="866"/>
      <c r="BF38" s="664" t="s">
        <v>812</v>
      </c>
      <c r="BG38" s="664" t="s">
        <v>823</v>
      </c>
      <c r="BH38" s="664" cm="1">
        <f t="array" ref="BH38">BH37</f>
        <v>0</v>
      </c>
      <c r="BI38" s="664" cm="1">
        <f t="array" ref="BI38">BI37</f>
        <v>0</v>
      </c>
      <c r="BJ38" s="465"/>
      <c r="BK38" s="491"/>
    </row>
    <row r="39" spans="1:63" ht="14.65" hidden="1" customHeight="1">
      <c r="A39" s="327"/>
      <c r="B39" s="817"/>
      <c r="C39" s="327"/>
      <c r="D39" s="327"/>
      <c r="E39" s="470">
        <v>15</v>
      </c>
      <c r="F39" s="280" cm="1">
        <f t="array" aca="1" ref="F39" ca="1">OFFSET(E39,-1,1)</f>
        <v>0</v>
      </c>
      <c r="G39" s="327"/>
      <c r="H39" s="327"/>
      <c r="I39" s="327"/>
      <c r="J39" s="327"/>
      <c r="K39" s="327"/>
      <c r="L39" s="327"/>
      <c r="M39" s="327"/>
      <c r="N39" s="327"/>
      <c r="O39" s="327"/>
      <c r="P39" s="327"/>
      <c r="Q39" s="327"/>
      <c r="R39" s="327"/>
      <c r="S39" s="327"/>
      <c r="T39" s="365" t="b" cm="1">
        <f t="array" aca="1" ref="T39" ca="1">T38</f>
        <v>0</v>
      </c>
      <c r="U39" s="327"/>
      <c r="V39" s="75"/>
      <c r="W39" s="327"/>
      <c r="X39" s="1121"/>
      <c r="Y39" s="1094"/>
      <c r="Z39" s="1121"/>
      <c r="AA39" s="1112"/>
      <c r="AB39" s="27" t="str">
        <f>AB37&amp;".2"</f>
        <v>2.3.0.2</v>
      </c>
      <c r="AC39" s="124" t="s">
        <v>824</v>
      </c>
      <c r="AD39" s="30" t="s">
        <v>814</v>
      </c>
      <c r="AE39" s="833"/>
      <c r="AF39" s="833"/>
      <c r="AG39" s="833"/>
      <c r="AH39" s="833"/>
      <c r="AI39" s="833"/>
      <c r="AJ39" s="833"/>
      <c r="AK39" s="833"/>
      <c r="AL39" s="833"/>
      <c r="AM39" s="833"/>
      <c r="AN39" s="833"/>
      <c r="AO39" s="833"/>
      <c r="AP39" s="833"/>
      <c r="AQ39" s="833"/>
      <c r="AR39" s="833"/>
      <c r="AS39" s="833"/>
      <c r="AT39" s="833"/>
      <c r="AU39" s="833"/>
      <c r="AV39" s="833"/>
      <c r="AW39" s="833"/>
      <c r="AX39" s="833"/>
      <c r="AY39" s="833"/>
      <c r="AZ39" s="833"/>
      <c r="BA39" s="833"/>
      <c r="BB39" s="833"/>
      <c r="BC39" s="866"/>
      <c r="BF39" s="664" t="s">
        <v>815</v>
      </c>
      <c r="BG39" s="664" t="s">
        <v>823</v>
      </c>
      <c r="BH39" s="664" cm="1">
        <f t="array" ref="BH39">BH38</f>
        <v>0</v>
      </c>
      <c r="BI39" s="664" cm="1">
        <f t="array" ref="BI39">BI38</f>
        <v>0</v>
      </c>
      <c r="BJ39" s="465"/>
      <c r="BK39" s="491"/>
    </row>
    <row r="40" spans="1:63" ht="14.65" hidden="1" customHeight="1">
      <c r="A40" s="327"/>
      <c r="B40" s="817"/>
      <c r="C40" s="327"/>
      <c r="D40" s="327"/>
      <c r="E40" s="470">
        <v>15</v>
      </c>
      <c r="F40" s="280" cm="1">
        <f t="array" aca="1" ref="F40" ca="1">OFFSET(E40,-1,1)</f>
        <v>0</v>
      </c>
      <c r="G40" s="327"/>
      <c r="H40" s="327"/>
      <c r="I40" s="327"/>
      <c r="J40" s="327"/>
      <c r="K40" s="327"/>
      <c r="L40" s="327"/>
      <c r="M40" s="327"/>
      <c r="N40" s="327"/>
      <c r="O40" s="327"/>
      <c r="P40" s="327"/>
      <c r="Q40" s="327"/>
      <c r="R40" s="327"/>
      <c r="S40" s="327"/>
      <c r="T40" s="365" t="b">
        <f ca="1">F40&gt;0</f>
        <v>0</v>
      </c>
      <c r="U40" s="327"/>
      <c r="V40" s="75"/>
      <c r="W40" s="528" t="s">
        <v>825</v>
      </c>
      <c r="X40" s="1121"/>
      <c r="Y40" s="327"/>
      <c r="Z40" s="1121"/>
      <c r="AA40" s="327"/>
      <c r="AB40" s="877"/>
      <c r="AC40" s="872" t="s">
        <v>177</v>
      </c>
      <c r="AD40" s="873"/>
      <c r="AE40" s="873"/>
      <c r="AF40" s="873"/>
      <c r="AG40" s="873"/>
      <c r="AH40" s="873"/>
      <c r="AI40" s="873"/>
      <c r="AJ40" s="873"/>
      <c r="AK40" s="873"/>
      <c r="AL40" s="873"/>
      <c r="AM40" s="873"/>
      <c r="AN40" s="873"/>
      <c r="AO40" s="873"/>
      <c r="AP40" s="873"/>
      <c r="AQ40" s="873"/>
      <c r="AR40" s="873"/>
      <c r="AS40" s="873"/>
      <c r="AT40" s="873"/>
      <c r="AU40" s="873"/>
      <c r="AV40" s="873"/>
      <c r="AW40" s="873"/>
      <c r="AX40" s="873"/>
      <c r="AY40" s="873"/>
      <c r="AZ40" s="873"/>
      <c r="BA40" s="873"/>
      <c r="BB40" s="873"/>
      <c r="BC40" s="873"/>
      <c r="BF40" s="664"/>
      <c r="BG40" s="664"/>
      <c r="BH40" s="664"/>
      <c r="BI40" s="664"/>
      <c r="BJ40" s="465" t="s">
        <v>823</v>
      </c>
      <c r="BK40" s="491"/>
    </row>
    <row r="41" spans="1:63" ht="22.7" hidden="1" customHeight="1">
      <c r="A41" s="327"/>
      <c r="B41" s="817"/>
      <c r="C41" s="327"/>
      <c r="D41" s="327"/>
      <c r="E41" s="470">
        <v>23.25</v>
      </c>
      <c r="F41" s="280" cm="1">
        <f t="array" aca="1" ref="F41" ca="1">OFFSET(E41,-1,1)</f>
        <v>0</v>
      </c>
      <c r="G41" s="327"/>
      <c r="I41" s="377" t="s">
        <v>826</v>
      </c>
      <c r="J41" s="327"/>
      <c r="K41" s="327"/>
      <c r="L41" s="327"/>
      <c r="M41" s="327"/>
      <c r="N41" s="327"/>
      <c r="O41" s="327"/>
      <c r="P41" s="327"/>
      <c r="Q41" s="327"/>
      <c r="R41" s="327"/>
      <c r="S41" s="327"/>
      <c r="T41" s="365" t="b" cm="1">
        <f t="array" aca="1" ref="T41" ca="1">T40</f>
        <v>0</v>
      </c>
      <c r="U41" s="327"/>
      <c r="V41" s="75"/>
      <c r="W41" s="327"/>
      <c r="X41" s="1121"/>
      <c r="Y41" s="327"/>
      <c r="Z41" s="1121"/>
      <c r="AA41" s="327"/>
      <c r="AB41" s="80" t="s">
        <v>325</v>
      </c>
      <c r="AC41" s="73" t="s">
        <v>827</v>
      </c>
      <c r="AD41" s="31" t="s">
        <v>804</v>
      </c>
      <c r="AE41" s="77">
        <f t="shared" ref="AE41:BB41" si="6">AE42+AE43</f>
        <v>0</v>
      </c>
      <c r="AF41" s="77">
        <f t="shared" si="6"/>
        <v>0</v>
      </c>
      <c r="AG41" s="77">
        <f t="shared" si="6"/>
        <v>0</v>
      </c>
      <c r="AH41" s="77">
        <f t="shared" si="6"/>
        <v>0</v>
      </c>
      <c r="AI41" s="77">
        <f t="shared" si="6"/>
        <v>0</v>
      </c>
      <c r="AJ41" s="77">
        <f t="shared" si="6"/>
        <v>0</v>
      </c>
      <c r="AK41" s="77">
        <f t="shared" si="6"/>
        <v>0</v>
      </c>
      <c r="AL41" s="77">
        <f t="shared" si="6"/>
        <v>0</v>
      </c>
      <c r="AM41" s="77">
        <f t="shared" si="6"/>
        <v>0</v>
      </c>
      <c r="AN41" s="77">
        <f t="shared" si="6"/>
        <v>0</v>
      </c>
      <c r="AO41" s="77">
        <f t="shared" si="6"/>
        <v>0</v>
      </c>
      <c r="AP41" s="77">
        <f t="shared" si="6"/>
        <v>0</v>
      </c>
      <c r="AQ41" s="77">
        <f t="shared" si="6"/>
        <v>0</v>
      </c>
      <c r="AR41" s="77">
        <f t="shared" si="6"/>
        <v>0</v>
      </c>
      <c r="AS41" s="77">
        <f t="shared" si="6"/>
        <v>0</v>
      </c>
      <c r="AT41" s="77">
        <f t="shared" si="6"/>
        <v>0</v>
      </c>
      <c r="AU41" s="77">
        <f t="shared" si="6"/>
        <v>0</v>
      </c>
      <c r="AV41" s="77">
        <f t="shared" si="6"/>
        <v>0</v>
      </c>
      <c r="AW41" s="77">
        <f t="shared" si="6"/>
        <v>0</v>
      </c>
      <c r="AX41" s="77">
        <f t="shared" si="6"/>
        <v>0</v>
      </c>
      <c r="AY41" s="77">
        <f t="shared" si="6"/>
        <v>0</v>
      </c>
      <c r="AZ41" s="77">
        <f t="shared" si="6"/>
        <v>0</v>
      </c>
      <c r="BA41" s="77">
        <f t="shared" si="6"/>
        <v>0</v>
      </c>
      <c r="BB41" s="77">
        <f t="shared" si="6"/>
        <v>0</v>
      </c>
      <c r="BC41" s="866"/>
      <c r="BF41" s="664" t="s">
        <v>828</v>
      </c>
      <c r="BG41" s="664"/>
      <c r="BH41" s="664"/>
      <c r="BI41" s="664"/>
      <c r="BJ41" s="465"/>
      <c r="BK41" s="491"/>
    </row>
    <row r="42" spans="1:63" ht="32.85" hidden="1" customHeight="1">
      <c r="A42" s="327"/>
      <c r="B42" s="817"/>
      <c r="C42" s="327"/>
      <c r="D42" s="327"/>
      <c r="E42" s="470">
        <v>33.75</v>
      </c>
      <c r="F42" s="280" cm="1">
        <f t="array" aca="1" ref="F42" ca="1">OFFSET(E42,-1,1)</f>
        <v>0</v>
      </c>
      <c r="G42" s="327"/>
      <c r="H42" s="327"/>
      <c r="I42" s="327"/>
      <c r="J42" s="327"/>
      <c r="K42" s="327"/>
      <c r="L42" s="327"/>
      <c r="M42" s="327"/>
      <c r="N42" s="327"/>
      <c r="O42" s="327"/>
      <c r="P42" s="327"/>
      <c r="Q42" s="327"/>
      <c r="R42" s="327"/>
      <c r="S42" s="327"/>
      <c r="T42" s="365" t="b" cm="1">
        <f t="array" aca="1" ref="T42" ca="1">T41</f>
        <v>0</v>
      </c>
      <c r="U42" s="327"/>
      <c r="V42" s="75"/>
      <c r="W42" s="327"/>
      <c r="X42" s="1121"/>
      <c r="Y42" s="327"/>
      <c r="Z42" s="1121"/>
      <c r="AA42" s="327"/>
      <c r="AB42" s="80" t="s">
        <v>551</v>
      </c>
      <c r="AC42" s="73" t="s">
        <v>829</v>
      </c>
      <c r="AD42" s="31" t="s">
        <v>804</v>
      </c>
      <c r="AE42" s="833"/>
      <c r="AF42" s="833"/>
      <c r="AG42" s="833"/>
      <c r="AH42" s="833"/>
      <c r="AI42" s="833"/>
      <c r="AJ42" s="833"/>
      <c r="AK42" s="833"/>
      <c r="AL42" s="833"/>
      <c r="AM42" s="833"/>
      <c r="AN42" s="833"/>
      <c r="AO42" s="833"/>
      <c r="AP42" s="833"/>
      <c r="AQ42" s="833"/>
      <c r="AR42" s="833"/>
      <c r="AS42" s="833"/>
      <c r="AT42" s="833"/>
      <c r="AU42" s="833"/>
      <c r="AV42" s="833"/>
      <c r="AW42" s="833"/>
      <c r="AX42" s="833"/>
      <c r="AY42" s="833"/>
      <c r="AZ42" s="833"/>
      <c r="BA42" s="833"/>
      <c r="BB42" s="833"/>
      <c r="BC42" s="866"/>
      <c r="BF42" s="664" t="s">
        <v>830</v>
      </c>
      <c r="BG42" s="664"/>
      <c r="BH42" s="664"/>
      <c r="BI42" s="664"/>
      <c r="BJ42" s="465"/>
      <c r="BK42" s="491"/>
    </row>
    <row r="43" spans="1:63" ht="43.9" hidden="1" customHeight="1">
      <c r="A43" s="327"/>
      <c r="B43" s="817"/>
      <c r="C43" s="327"/>
      <c r="D43" s="327"/>
      <c r="E43" s="470">
        <v>45</v>
      </c>
      <c r="F43" s="280" cm="1">
        <f t="array" aca="1" ref="F43" ca="1">OFFSET(E43,-1,1)</f>
        <v>0</v>
      </c>
      <c r="G43" s="327"/>
      <c r="H43" s="327"/>
      <c r="I43" s="327"/>
      <c r="J43" s="327"/>
      <c r="K43" s="327"/>
      <c r="L43" s="327"/>
      <c r="M43" s="327"/>
      <c r="N43" s="327"/>
      <c r="O43" s="327"/>
      <c r="P43" s="327"/>
      <c r="Q43" s="327"/>
      <c r="R43" s="327"/>
      <c r="S43" s="327"/>
      <c r="T43" s="365" t="b" cm="1">
        <f t="array" aca="1" ref="T43" ca="1">T42</f>
        <v>0</v>
      </c>
      <c r="U43" s="327"/>
      <c r="V43" s="75"/>
      <c r="W43" s="327"/>
      <c r="X43" s="1121"/>
      <c r="Y43" s="327"/>
      <c r="Z43" s="1121"/>
      <c r="AA43" s="327"/>
      <c r="AB43" s="80" t="s">
        <v>555</v>
      </c>
      <c r="AC43" s="73" t="s">
        <v>831</v>
      </c>
      <c r="AD43" s="31" t="s">
        <v>804</v>
      </c>
      <c r="AE43" s="77">
        <f t="shared" ref="AE43:BB43" si="7">SUMIF($AD44:$AD47,$AD43,AE44:AE47)</f>
        <v>0</v>
      </c>
      <c r="AF43" s="77">
        <f t="shared" si="7"/>
        <v>0</v>
      </c>
      <c r="AG43" s="77">
        <f t="shared" si="7"/>
        <v>0</v>
      </c>
      <c r="AH43" s="77">
        <f t="shared" si="7"/>
        <v>0</v>
      </c>
      <c r="AI43" s="77">
        <f t="shared" si="7"/>
        <v>0</v>
      </c>
      <c r="AJ43" s="77">
        <f t="shared" si="7"/>
        <v>0</v>
      </c>
      <c r="AK43" s="77">
        <f t="shared" si="7"/>
        <v>0</v>
      </c>
      <c r="AL43" s="77">
        <f t="shared" si="7"/>
        <v>0</v>
      </c>
      <c r="AM43" s="77">
        <f t="shared" si="7"/>
        <v>0</v>
      </c>
      <c r="AN43" s="77">
        <f t="shared" si="7"/>
        <v>0</v>
      </c>
      <c r="AO43" s="77">
        <f t="shared" si="7"/>
        <v>0</v>
      </c>
      <c r="AP43" s="77">
        <f t="shared" si="7"/>
        <v>0</v>
      </c>
      <c r="AQ43" s="77">
        <f t="shared" si="7"/>
        <v>0</v>
      </c>
      <c r="AR43" s="77">
        <f t="shared" si="7"/>
        <v>0</v>
      </c>
      <c r="AS43" s="77">
        <f t="shared" si="7"/>
        <v>0</v>
      </c>
      <c r="AT43" s="77">
        <f t="shared" si="7"/>
        <v>0</v>
      </c>
      <c r="AU43" s="77">
        <f t="shared" si="7"/>
        <v>0</v>
      </c>
      <c r="AV43" s="77">
        <f t="shared" si="7"/>
        <v>0</v>
      </c>
      <c r="AW43" s="77">
        <f t="shared" si="7"/>
        <v>0</v>
      </c>
      <c r="AX43" s="77">
        <f t="shared" si="7"/>
        <v>0</v>
      </c>
      <c r="AY43" s="77">
        <f t="shared" si="7"/>
        <v>0</v>
      </c>
      <c r="AZ43" s="77">
        <f t="shared" si="7"/>
        <v>0</v>
      </c>
      <c r="BA43" s="77">
        <f t="shared" si="7"/>
        <v>0</v>
      </c>
      <c r="BB43" s="77">
        <f t="shared" si="7"/>
        <v>0</v>
      </c>
      <c r="BC43" s="866"/>
      <c r="BF43" s="664" t="s">
        <v>832</v>
      </c>
      <c r="BG43" s="664"/>
      <c r="BH43" s="664"/>
      <c r="BI43" s="664"/>
      <c r="BJ43" s="465"/>
      <c r="BK43" s="491"/>
    </row>
    <row r="44" spans="1:63" ht="14.65" hidden="1" customHeight="1">
      <c r="A44" s="327"/>
      <c r="B44" s="817"/>
      <c r="C44" s="327"/>
      <c r="D44" s="327"/>
      <c r="E44" s="470">
        <v>15</v>
      </c>
      <c r="F44" s="280" cm="1">
        <f t="array" aca="1" ref="F44" ca="1">OFFSET(E44,-1,1)</f>
        <v>0</v>
      </c>
      <c r="G44" s="327"/>
      <c r="H44" s="327"/>
      <c r="I44" s="327"/>
      <c r="J44" s="327"/>
      <c r="K44" s="327"/>
      <c r="L44" s="327"/>
      <c r="M44" s="327"/>
      <c r="N44" s="327"/>
      <c r="O44" s="327"/>
      <c r="P44" s="327"/>
      <c r="Q44" s="327"/>
      <c r="R44" s="327"/>
      <c r="S44" s="327"/>
      <c r="T44" s="365" t="b">
        <f ca="1">AND(F44&gt;0,Y44&gt;0)</f>
        <v>0</v>
      </c>
      <c r="U44" s="327"/>
      <c r="V44" s="75"/>
      <c r="W44" s="528" t="s">
        <v>173</v>
      </c>
      <c r="X44" s="1121"/>
      <c r="Y44" s="1094">
        <v>0</v>
      </c>
      <c r="Z44" s="1121"/>
      <c r="AA44" s="1112" t="s">
        <v>174</v>
      </c>
      <c r="AB44" s="27" t="str">
        <f>"3.3."&amp;Y44</f>
        <v>3.3.0</v>
      </c>
      <c r="AC44" s="875"/>
      <c r="AD44" s="31" t="s">
        <v>804</v>
      </c>
      <c r="AE44" s="833"/>
      <c r="AF44" s="833"/>
      <c r="AG44" s="833"/>
      <c r="AH44" s="833"/>
      <c r="AI44" s="833"/>
      <c r="AJ44" s="833"/>
      <c r="AK44" s="833"/>
      <c r="AL44" s="833"/>
      <c r="AM44" s="833"/>
      <c r="AN44" s="833"/>
      <c r="AO44" s="833"/>
      <c r="AP44" s="833"/>
      <c r="AQ44" s="833"/>
      <c r="AR44" s="833"/>
      <c r="AS44" s="833"/>
      <c r="AT44" s="833"/>
      <c r="AU44" s="833"/>
      <c r="AV44" s="833"/>
      <c r="AW44" s="833"/>
      <c r="AX44" s="833"/>
      <c r="AY44" s="833"/>
      <c r="AZ44" s="833"/>
      <c r="BA44" s="833"/>
      <c r="BB44" s="833"/>
      <c r="BC44" s="866"/>
      <c r="BF44" s="664" t="s">
        <v>833</v>
      </c>
      <c r="BG44" s="664" t="s">
        <v>834</v>
      </c>
      <c r="BH44" s="664" cm="1">
        <f t="array" ref="BH44">AC44</f>
        <v>0</v>
      </c>
      <c r="BI44" s="664" cm="1">
        <f t="array" ref="BI44">AD45</f>
        <v>0</v>
      </c>
      <c r="BJ44" s="465"/>
      <c r="BK44" s="491" t="b">
        <v>1</v>
      </c>
    </row>
    <row r="45" spans="1:63" ht="14.65" hidden="1" customHeight="1">
      <c r="A45" s="327"/>
      <c r="B45" s="817"/>
      <c r="C45" s="327"/>
      <c r="D45" s="327"/>
      <c r="E45" s="470">
        <v>15</v>
      </c>
      <c r="F45" s="280" cm="1">
        <f t="array" aca="1" ref="F45" ca="1">OFFSET(E45,-1,1)</f>
        <v>0</v>
      </c>
      <c r="G45" s="327"/>
      <c r="H45" s="327"/>
      <c r="I45" s="327"/>
      <c r="J45" s="327"/>
      <c r="K45" s="327"/>
      <c r="L45" s="327"/>
      <c r="M45" s="327"/>
      <c r="N45" s="327"/>
      <c r="O45" s="327"/>
      <c r="P45" s="327"/>
      <c r="Q45" s="327"/>
      <c r="R45" s="327"/>
      <c r="S45" s="327"/>
      <c r="T45" s="365" t="b" cm="1">
        <f t="array" aca="1" ref="T45" ca="1">T44</f>
        <v>0</v>
      </c>
      <c r="U45" s="327"/>
      <c r="V45" s="75"/>
      <c r="W45" s="327"/>
      <c r="X45" s="1121"/>
      <c r="Y45" s="1094"/>
      <c r="Z45" s="1121"/>
      <c r="AA45" s="1112"/>
      <c r="AB45" s="27" t="str">
        <f>AB44&amp;".1"</f>
        <v>3.3.0.1</v>
      </c>
      <c r="AC45" s="124" t="s">
        <v>810</v>
      </c>
      <c r="AD45" s="876"/>
      <c r="AE45" s="833"/>
      <c r="AF45" s="833"/>
      <c r="AG45" s="833"/>
      <c r="AH45" s="833"/>
      <c r="AI45" s="833"/>
      <c r="AJ45" s="833"/>
      <c r="AK45" s="833"/>
      <c r="AL45" s="833"/>
      <c r="AM45" s="833"/>
      <c r="AN45" s="833"/>
      <c r="AO45" s="833"/>
      <c r="AP45" s="833"/>
      <c r="AQ45" s="833"/>
      <c r="AR45" s="833"/>
      <c r="AS45" s="833"/>
      <c r="AT45" s="833"/>
      <c r="AU45" s="833"/>
      <c r="AV45" s="833"/>
      <c r="AW45" s="833"/>
      <c r="AX45" s="833"/>
      <c r="AY45" s="833"/>
      <c r="AZ45" s="833"/>
      <c r="BA45" s="833"/>
      <c r="BB45" s="833"/>
      <c r="BC45" s="866"/>
      <c r="BF45" s="664" t="s">
        <v>812</v>
      </c>
      <c r="BG45" s="664" t="s">
        <v>834</v>
      </c>
      <c r="BH45" s="664" cm="1">
        <f t="array" ref="BH45">BH44</f>
        <v>0</v>
      </c>
      <c r="BI45" s="664" cm="1">
        <f t="array" ref="BI45">BI44</f>
        <v>0</v>
      </c>
      <c r="BJ45" s="465"/>
      <c r="BK45" s="491"/>
    </row>
    <row r="46" spans="1:63" ht="14.65" hidden="1" customHeight="1">
      <c r="A46" s="327"/>
      <c r="B46" s="817"/>
      <c r="C46" s="327"/>
      <c r="D46" s="327"/>
      <c r="E46" s="470">
        <v>15</v>
      </c>
      <c r="F46" s="280" cm="1">
        <f t="array" aca="1" ref="F46" ca="1">OFFSET(E46,-1,1)</f>
        <v>0</v>
      </c>
      <c r="G46" s="327"/>
      <c r="H46" s="327"/>
      <c r="I46" s="327"/>
      <c r="J46" s="327"/>
      <c r="K46" s="327"/>
      <c r="L46" s="327"/>
      <c r="M46" s="327"/>
      <c r="N46" s="327"/>
      <c r="O46" s="327"/>
      <c r="P46" s="327"/>
      <c r="Q46" s="327"/>
      <c r="R46" s="327"/>
      <c r="S46" s="327"/>
      <c r="T46" s="365" t="b" cm="1">
        <f t="array" aca="1" ref="T46" ca="1">T45</f>
        <v>0</v>
      </c>
      <c r="U46" s="327"/>
      <c r="V46" s="75"/>
      <c r="W46" s="327"/>
      <c r="X46" s="1121"/>
      <c r="Y46" s="1094"/>
      <c r="Z46" s="1121"/>
      <c r="AA46" s="1112"/>
      <c r="AB46" s="27" t="str">
        <f>AB44&amp;".2"</f>
        <v>3.3.0.2</v>
      </c>
      <c r="AC46" s="124" t="s">
        <v>824</v>
      </c>
      <c r="AD46" s="30" t="s">
        <v>814</v>
      </c>
      <c r="AE46" s="833"/>
      <c r="AF46" s="833"/>
      <c r="AG46" s="833"/>
      <c r="AH46" s="833"/>
      <c r="AI46" s="833"/>
      <c r="AJ46" s="833"/>
      <c r="AK46" s="833"/>
      <c r="AL46" s="833"/>
      <c r="AM46" s="833"/>
      <c r="AN46" s="833"/>
      <c r="AO46" s="833"/>
      <c r="AP46" s="833"/>
      <c r="AQ46" s="833"/>
      <c r="AR46" s="833"/>
      <c r="AS46" s="833"/>
      <c r="AT46" s="833"/>
      <c r="AU46" s="833"/>
      <c r="AV46" s="833"/>
      <c r="AW46" s="833"/>
      <c r="AX46" s="833"/>
      <c r="AY46" s="833"/>
      <c r="AZ46" s="833"/>
      <c r="BA46" s="833"/>
      <c r="BB46" s="833"/>
      <c r="BC46" s="866"/>
      <c r="BF46" s="664" t="s">
        <v>815</v>
      </c>
      <c r="BG46" s="664" t="s">
        <v>834</v>
      </c>
      <c r="BH46" s="664" cm="1">
        <f t="array" ref="BH46">BH45</f>
        <v>0</v>
      </c>
      <c r="BI46" s="664" cm="1">
        <f t="array" ref="BI46">BI45</f>
        <v>0</v>
      </c>
      <c r="BJ46" s="465"/>
      <c r="BK46" s="491"/>
    </row>
    <row r="47" spans="1:63" s="78" customFormat="1" ht="14.65" hidden="1" customHeight="1">
      <c r="A47" s="327"/>
      <c r="B47" s="817"/>
      <c r="C47" s="327"/>
      <c r="D47" s="327"/>
      <c r="E47" s="470">
        <v>15</v>
      </c>
      <c r="F47" s="280" cm="1">
        <f t="array" aca="1" ref="F47" ca="1">OFFSET(E47,-1,1)</f>
        <v>0</v>
      </c>
      <c r="G47" s="327"/>
      <c r="H47" s="327"/>
      <c r="I47" s="327"/>
      <c r="J47" s="327"/>
      <c r="K47" s="327"/>
      <c r="L47" s="327"/>
      <c r="M47" s="327"/>
      <c r="N47" s="327"/>
      <c r="O47" s="327"/>
      <c r="P47" s="327"/>
      <c r="Q47" s="327"/>
      <c r="R47" s="327"/>
      <c r="S47" s="327"/>
      <c r="T47" s="365" t="b">
        <f ca="1">F47&gt;0</f>
        <v>0</v>
      </c>
      <c r="U47" s="327"/>
      <c r="V47" s="75"/>
      <c r="W47" s="528" t="s">
        <v>835</v>
      </c>
      <c r="X47" s="1121"/>
      <c r="Y47" s="327"/>
      <c r="Z47" s="1121"/>
      <c r="AA47" s="327"/>
      <c r="AB47" s="877"/>
      <c r="AC47" s="872" t="s">
        <v>177</v>
      </c>
      <c r="AD47" s="873"/>
      <c r="AE47" s="873"/>
      <c r="AF47" s="873"/>
      <c r="AG47" s="873"/>
      <c r="AH47" s="873"/>
      <c r="AI47" s="873"/>
      <c r="AJ47" s="873"/>
      <c r="AK47" s="873"/>
      <c r="AL47" s="873"/>
      <c r="AM47" s="873"/>
      <c r="AN47" s="873"/>
      <c r="AO47" s="873"/>
      <c r="AP47" s="873"/>
      <c r="AQ47" s="873"/>
      <c r="AR47" s="873"/>
      <c r="AS47" s="873"/>
      <c r="AT47" s="873"/>
      <c r="AU47" s="873"/>
      <c r="AV47" s="873"/>
      <c r="AW47" s="873"/>
      <c r="AX47" s="873"/>
      <c r="AY47" s="873"/>
      <c r="AZ47" s="873"/>
      <c r="BA47" s="873"/>
      <c r="BB47" s="873"/>
      <c r="BC47" s="873"/>
      <c r="BF47" s="664"/>
      <c r="BG47" s="664"/>
      <c r="BH47" s="664"/>
      <c r="BI47" s="664"/>
      <c r="BJ47" s="465" t="s">
        <v>834</v>
      </c>
      <c r="BK47" s="491"/>
    </row>
    <row r="48" spans="1:63" s="851" customFormat="1" ht="14.25" customHeight="1">
      <c r="A48" s="79"/>
      <c r="B48" s="338"/>
      <c r="C48" s="79"/>
      <c r="D48" s="79"/>
      <c r="E48" s="470">
        <v>15</v>
      </c>
      <c r="F48" s="266" t="str" cm="1">
        <f t="array" ref="F48">X48</f>
        <v>1</v>
      </c>
      <c r="G48" s="81"/>
      <c r="H48" s="81"/>
      <c r="I48" s="79"/>
      <c r="J48" s="79"/>
      <c r="K48" s="79"/>
      <c r="L48" s="79"/>
      <c r="M48" s="79"/>
      <c r="N48" s="79"/>
      <c r="O48" s="79"/>
      <c r="P48" s="79"/>
      <c r="Q48" s="79"/>
      <c r="R48" s="79"/>
      <c r="S48" s="79"/>
      <c r="T48" s="365" t="b">
        <f>X48&gt;0</f>
        <v>1</v>
      </c>
      <c r="U48" s="79"/>
      <c r="V48" s="79" t="str" cm="1">
        <f t="array" ref="V48">'Условные метры'!$AB$32</f>
        <v>Тариф 1 (Водоснабжение) - тариф на питьевую воду (Доп. признак не требуется)</v>
      </c>
      <c r="W48" s="79"/>
      <c r="X48" s="1050" t="s">
        <v>275</v>
      </c>
      <c r="Y48" s="79"/>
      <c r="Z48" s="1076"/>
      <c r="AA48" s="79"/>
      <c r="AB48" s="116" t="str" cm="1">
        <f t="array" ref="AB48">'Условные метры'!$AB$32</f>
        <v>Тариф 1 (Водоснабжение) - тариф на питьевую воду (Доп. признак не требуется)</v>
      </c>
      <c r="AC48" s="113"/>
      <c r="AD48" s="107"/>
      <c r="AE48" s="107"/>
      <c r="AF48" s="107"/>
      <c r="AG48" s="107"/>
      <c r="AH48" s="107"/>
      <c r="AI48" s="107"/>
      <c r="AJ48" s="107"/>
      <c r="AK48" s="107"/>
      <c r="AL48" s="107"/>
      <c r="AM48" s="107"/>
      <c r="AN48" s="107"/>
      <c r="AO48" s="107"/>
      <c r="AP48" s="107"/>
      <c r="AQ48" s="107"/>
      <c r="AR48" s="107"/>
      <c r="AS48" s="107"/>
      <c r="AT48" s="107"/>
      <c r="AU48" s="107"/>
      <c r="AV48" s="107"/>
      <c r="AW48" s="107"/>
      <c r="AX48" s="107"/>
      <c r="AY48" s="107"/>
      <c r="AZ48" s="107"/>
      <c r="BA48" s="107"/>
      <c r="BB48" s="107"/>
      <c r="BC48" s="107"/>
      <c r="BD48" s="79"/>
      <c r="BE48" s="79"/>
      <c r="BF48" s="678"/>
      <c r="BG48" s="678"/>
      <c r="BH48" s="678"/>
      <c r="BJ48" s="470"/>
      <c r="BK48" s="470"/>
    </row>
    <row r="49" spans="1:63" s="338" customFormat="1" ht="14.25" customHeight="1">
      <c r="A49" s="81"/>
      <c r="C49" s="81"/>
      <c r="D49" s="376"/>
      <c r="E49" s="198">
        <v>15</v>
      </c>
      <c r="F49" s="3" t="str" cm="1">
        <f t="array" aca="1" ref="F49" ca="1">OFFSET(E49,-1,1)</f>
        <v>1</v>
      </c>
      <c r="G49" s="81"/>
      <c r="H49" s="81" t="str" cm="1">
        <f t="array" ref="H49">AC49</f>
        <v>Всего по тарифу</v>
      </c>
      <c r="I49" s="81"/>
      <c r="J49" s="81"/>
      <c r="K49" s="376" t="str">
        <f ca="1">F49&amp;"komm"</f>
        <v>1komm</v>
      </c>
      <c r="L49" s="616" t="str" cm="1">
        <f t="array" ref="L49">BC49</f>
        <v>п.п. 10 п. 49 Методических указаний 1746-э.</v>
      </c>
      <c r="M49" s="81"/>
      <c r="N49" s="81"/>
      <c r="O49" s="81"/>
      <c r="P49" s="81"/>
      <c r="Q49" s="81"/>
      <c r="R49" s="81"/>
      <c r="S49" s="81"/>
      <c r="T49" s="365" t="b" cm="1">
        <f t="array" ref="T49">T48</f>
        <v>1</v>
      </c>
      <c r="U49" s="81"/>
      <c r="V49" s="81"/>
      <c r="W49" s="81"/>
      <c r="X49" s="1050"/>
      <c r="Y49" s="81"/>
      <c r="Z49" s="1076"/>
      <c r="AA49" s="81"/>
      <c r="AB49" s="80"/>
      <c r="AC49" s="73" t="s">
        <v>803</v>
      </c>
      <c r="AD49" s="31" t="s">
        <v>804</v>
      </c>
      <c r="AE49" s="77">
        <f t="shared" ref="AE49:BB49" si="8">AE50+AE58+AE65</f>
        <v>164.85367654550001</v>
      </c>
      <c r="AF49" s="77">
        <f t="shared" si="8"/>
        <v>174.23</v>
      </c>
      <c r="AG49" s="77">
        <f t="shared" si="8"/>
        <v>174.23</v>
      </c>
      <c r="AH49" s="77">
        <f t="shared" si="8"/>
        <v>184.2570761982</v>
      </c>
      <c r="AI49" s="77">
        <f t="shared" si="8"/>
        <v>201.27</v>
      </c>
      <c r="AJ49" s="77">
        <f t="shared" si="8"/>
        <v>0</v>
      </c>
      <c r="AK49" s="77">
        <f t="shared" si="8"/>
        <v>0</v>
      </c>
      <c r="AL49" s="77">
        <f t="shared" si="8"/>
        <v>0</v>
      </c>
      <c r="AM49" s="77">
        <f t="shared" si="8"/>
        <v>0</v>
      </c>
      <c r="AN49" s="77">
        <f t="shared" si="8"/>
        <v>0</v>
      </c>
      <c r="AO49" s="77">
        <f t="shared" si="8"/>
        <v>0</v>
      </c>
      <c r="AP49" s="77">
        <f t="shared" si="8"/>
        <v>0</v>
      </c>
      <c r="AQ49" s="77">
        <f t="shared" si="8"/>
        <v>0</v>
      </c>
      <c r="AR49" s="77">
        <f t="shared" si="8"/>
        <v>0</v>
      </c>
      <c r="AS49" s="77">
        <f t="shared" si="8"/>
        <v>180.65</v>
      </c>
      <c r="AT49" s="77">
        <f t="shared" si="8"/>
        <v>0</v>
      </c>
      <c r="AU49" s="77">
        <f t="shared" si="8"/>
        <v>0</v>
      </c>
      <c r="AV49" s="77">
        <f t="shared" si="8"/>
        <v>0</v>
      </c>
      <c r="AW49" s="77">
        <f t="shared" si="8"/>
        <v>0</v>
      </c>
      <c r="AX49" s="77">
        <f t="shared" si="8"/>
        <v>0</v>
      </c>
      <c r="AY49" s="77">
        <f t="shared" si="8"/>
        <v>0</v>
      </c>
      <c r="AZ49" s="77">
        <f t="shared" si="8"/>
        <v>0</v>
      </c>
      <c r="BA49" s="77">
        <f t="shared" si="8"/>
        <v>0</v>
      </c>
      <c r="BB49" s="77">
        <f t="shared" si="8"/>
        <v>0</v>
      </c>
      <c r="BC49" s="132" t="s">
        <v>836</v>
      </c>
      <c r="BD49" s="81"/>
      <c r="BE49" s="81"/>
      <c r="BF49" s="687" t="s">
        <v>805</v>
      </c>
      <c r="BG49" s="687"/>
      <c r="BH49" s="687"/>
      <c r="BJ49" s="198"/>
      <c r="BK49" s="198"/>
    </row>
    <row r="50" spans="1:63" ht="14.65" customHeight="1">
      <c r="B50" s="865"/>
      <c r="D50" s="376"/>
      <c r="E50" s="470">
        <v>15</v>
      </c>
      <c r="F50" s="280" t="str" cm="1">
        <f t="array" aca="1" ref="F50" ca="1">OFFSET(E50,-1,1)</f>
        <v>1</v>
      </c>
      <c r="I50" s="377" t="s">
        <v>806</v>
      </c>
      <c r="K50" s="376"/>
      <c r="L50" s="616"/>
      <c r="T50" s="365" t="b" cm="1">
        <f t="array" ref="T50">T49</f>
        <v>1</v>
      </c>
      <c r="X50" s="1121"/>
      <c r="Z50" s="1121"/>
      <c r="AB50" s="80" t="s">
        <v>275</v>
      </c>
      <c r="AC50" s="73" t="s">
        <v>806</v>
      </c>
      <c r="AD50" s="31" t="s">
        <v>804</v>
      </c>
      <c r="AE50" s="77">
        <f t="shared" ref="AE50:BB50" si="9">SUMIF($AD51:$AD57,$AD50,AE51:AE57)</f>
        <v>164.85367654550001</v>
      </c>
      <c r="AF50" s="77">
        <f t="shared" si="9"/>
        <v>174.23</v>
      </c>
      <c r="AG50" s="77">
        <f t="shared" si="9"/>
        <v>174.23</v>
      </c>
      <c r="AH50" s="77">
        <f t="shared" si="9"/>
        <v>184.2570761982</v>
      </c>
      <c r="AI50" s="77">
        <f t="shared" si="9"/>
        <v>201.27</v>
      </c>
      <c r="AJ50" s="77">
        <f t="shared" si="9"/>
        <v>0</v>
      </c>
      <c r="AK50" s="77">
        <f t="shared" si="9"/>
        <v>0</v>
      </c>
      <c r="AL50" s="77">
        <f t="shared" si="9"/>
        <v>0</v>
      </c>
      <c r="AM50" s="77">
        <f t="shared" si="9"/>
        <v>0</v>
      </c>
      <c r="AN50" s="77">
        <f t="shared" si="9"/>
        <v>0</v>
      </c>
      <c r="AO50" s="77">
        <f t="shared" si="9"/>
        <v>0</v>
      </c>
      <c r="AP50" s="77">
        <f t="shared" si="9"/>
        <v>0</v>
      </c>
      <c r="AQ50" s="77">
        <f t="shared" si="9"/>
        <v>0</v>
      </c>
      <c r="AR50" s="77">
        <f t="shared" si="9"/>
        <v>0</v>
      </c>
      <c r="AS50" s="77">
        <f t="shared" si="9"/>
        <v>180.65</v>
      </c>
      <c r="AT50" s="77">
        <f t="shared" si="9"/>
        <v>0</v>
      </c>
      <c r="AU50" s="77">
        <f t="shared" si="9"/>
        <v>0</v>
      </c>
      <c r="AV50" s="77">
        <f t="shared" si="9"/>
        <v>0</v>
      </c>
      <c r="AW50" s="77">
        <f t="shared" si="9"/>
        <v>0</v>
      </c>
      <c r="AX50" s="77">
        <f t="shared" si="9"/>
        <v>0</v>
      </c>
      <c r="AY50" s="77">
        <f t="shared" si="9"/>
        <v>0</v>
      </c>
      <c r="AZ50" s="77">
        <f t="shared" si="9"/>
        <v>0</v>
      </c>
      <c r="BA50" s="77">
        <f t="shared" si="9"/>
        <v>0</v>
      </c>
      <c r="BB50" s="77">
        <f t="shared" si="9"/>
        <v>0</v>
      </c>
      <c r="BC50" s="878"/>
      <c r="BF50" s="687" t="s">
        <v>807</v>
      </c>
      <c r="BG50" s="687"/>
      <c r="BH50" s="687"/>
      <c r="BI50" s="687"/>
      <c r="BJ50" s="198"/>
      <c r="BK50" s="198"/>
    </row>
    <row r="51" spans="1:63" s="338" customFormat="1" ht="14.25" hidden="1" customHeight="1">
      <c r="A51" s="81"/>
      <c r="C51" s="81"/>
      <c r="D51" s="81"/>
      <c r="E51" s="198">
        <v>15</v>
      </c>
      <c r="F51" s="3" t="str" cm="1">
        <f t="array" aca="1" ref="F51" ca="1">OFFSET(E51,-1,1)</f>
        <v>1</v>
      </c>
      <c r="G51" s="81" t="s">
        <v>327</v>
      </c>
      <c r="H51" s="81" cm="1">
        <f t="array" ref="H51">AC51</f>
        <v>0</v>
      </c>
      <c r="I51" s="81"/>
      <c r="J51" s="81"/>
      <c r="K51" s="81"/>
      <c r="L51" s="81"/>
      <c r="M51" s="81"/>
      <c r="N51" s="81"/>
      <c r="O51" s="81"/>
      <c r="P51" s="81"/>
      <c r="Q51" s="81"/>
      <c r="R51" s="81"/>
      <c r="S51" s="81"/>
      <c r="T51" s="365" t="b">
        <f ca="1">AND(F51&gt;0,Y51&gt;0)</f>
        <v>0</v>
      </c>
      <c r="U51" s="81"/>
      <c r="V51" s="81"/>
      <c r="W51" s="528" t="s">
        <v>173</v>
      </c>
      <c r="X51" s="1050"/>
      <c r="Y51" s="1076">
        <v>0</v>
      </c>
      <c r="Z51" s="1076"/>
      <c r="AA51" s="1119" t="s">
        <v>174</v>
      </c>
      <c r="AB51" s="27" t="str">
        <f>"1."&amp;Y51</f>
        <v>1.0</v>
      </c>
      <c r="AC51" s="867"/>
      <c r="AD51" s="31" t="s">
        <v>804</v>
      </c>
      <c r="AE51" s="833"/>
      <c r="AF51" s="833"/>
      <c r="AG51" s="833"/>
      <c r="AH51" s="833"/>
      <c r="AI51" s="833"/>
      <c r="AJ51" s="833"/>
      <c r="AK51" s="833"/>
      <c r="AL51" s="833"/>
      <c r="AM51" s="833"/>
      <c r="AN51" s="833"/>
      <c r="AO51" s="833"/>
      <c r="AP51" s="833"/>
      <c r="AQ51" s="833"/>
      <c r="AR51" s="833"/>
      <c r="AS51" s="833"/>
      <c r="AT51" s="833"/>
      <c r="AU51" s="833"/>
      <c r="AV51" s="833"/>
      <c r="AW51" s="833"/>
      <c r="AX51" s="833"/>
      <c r="AY51" s="833"/>
      <c r="AZ51" s="833"/>
      <c r="BA51" s="833"/>
      <c r="BB51" s="833"/>
      <c r="BC51" s="839"/>
      <c r="BD51" s="81"/>
      <c r="BE51" s="81"/>
      <c r="BF51" s="687" t="s">
        <v>808</v>
      </c>
      <c r="BG51" s="687" t="s">
        <v>809</v>
      </c>
      <c r="BH51" s="687" cm="1">
        <f t="array" ref="BH51">AC51</f>
        <v>0</v>
      </c>
      <c r="BJ51" s="198"/>
      <c r="BK51" s="198" t="b">
        <v>1</v>
      </c>
    </row>
    <row r="52" spans="1:63" ht="14.65" hidden="1" customHeight="1">
      <c r="B52" s="865"/>
      <c r="E52" s="470">
        <v>15</v>
      </c>
      <c r="F52" s="280" t="str" cm="1">
        <f t="array" aca="1" ref="F52" ca="1">OFFSET(E52,-1,1)</f>
        <v>1</v>
      </c>
      <c r="T52" s="365" t="b" cm="1">
        <f t="array" aca="1" ref="T52" ca="1">T51</f>
        <v>0</v>
      </c>
      <c r="W52" s="528"/>
      <c r="X52" s="1121"/>
      <c r="Y52" s="1050"/>
      <c r="Z52" s="1121"/>
      <c r="AA52" s="1120"/>
      <c r="AB52" s="869" t="str">
        <f>AB51&amp;".1"</f>
        <v>1.0.1</v>
      </c>
      <c r="AC52" s="249" t="s">
        <v>810</v>
      </c>
      <c r="AD52" s="30" t="s">
        <v>811</v>
      </c>
      <c r="AE52" s="833"/>
      <c r="AF52" s="833"/>
      <c r="AG52" s="833"/>
      <c r="AH52" s="833"/>
      <c r="AI52" s="833"/>
      <c r="AJ52" s="833"/>
      <c r="AK52" s="833"/>
      <c r="AL52" s="833"/>
      <c r="AM52" s="833"/>
      <c r="AN52" s="833"/>
      <c r="AO52" s="833"/>
      <c r="AP52" s="833"/>
      <c r="AQ52" s="833"/>
      <c r="AR52" s="833"/>
      <c r="AS52" s="833"/>
      <c r="AT52" s="833"/>
      <c r="AU52" s="833"/>
      <c r="AV52" s="833"/>
      <c r="AW52" s="833"/>
      <c r="AX52" s="833"/>
      <c r="AY52" s="833"/>
      <c r="AZ52" s="833"/>
      <c r="BA52" s="833"/>
      <c r="BB52" s="833"/>
      <c r="BC52" s="839"/>
      <c r="BF52" s="687" t="s">
        <v>812</v>
      </c>
      <c r="BG52" s="687" t="s">
        <v>809</v>
      </c>
      <c r="BH52" s="687" cm="1">
        <f t="array" ref="BH52">BH51</f>
        <v>0</v>
      </c>
      <c r="BI52" s="687"/>
      <c r="BJ52" s="198"/>
      <c r="BK52" s="198"/>
    </row>
    <row r="53" spans="1:63" ht="14.65" hidden="1" customHeight="1">
      <c r="B53" s="865"/>
      <c r="E53" s="470">
        <v>15</v>
      </c>
      <c r="F53" s="280" t="str" cm="1">
        <f t="array" aca="1" ref="F53" ca="1">OFFSET(E53,-1,1)</f>
        <v>1</v>
      </c>
      <c r="T53" s="365" t="b" cm="1">
        <f t="array" aca="1" ref="T53" ca="1">T52</f>
        <v>0</v>
      </c>
      <c r="W53" s="528"/>
      <c r="X53" s="1121"/>
      <c r="Y53" s="1050"/>
      <c r="Z53" s="1121"/>
      <c r="AA53" s="1120"/>
      <c r="AB53" s="869" t="str">
        <f>AB51&amp;".2"</f>
        <v>1.0.2</v>
      </c>
      <c r="AC53" s="249" t="s">
        <v>813</v>
      </c>
      <c r="AD53" s="30" t="s">
        <v>814</v>
      </c>
      <c r="AE53" s="833"/>
      <c r="AF53" s="833"/>
      <c r="AG53" s="833"/>
      <c r="AH53" s="833"/>
      <c r="AI53" s="833"/>
      <c r="AJ53" s="833"/>
      <c r="AK53" s="833"/>
      <c r="AL53" s="833"/>
      <c r="AM53" s="833"/>
      <c r="AN53" s="833"/>
      <c r="AO53" s="833"/>
      <c r="AP53" s="833"/>
      <c r="AQ53" s="833"/>
      <c r="AR53" s="833"/>
      <c r="AS53" s="833"/>
      <c r="AT53" s="833"/>
      <c r="AU53" s="833"/>
      <c r="AV53" s="833"/>
      <c r="AW53" s="833"/>
      <c r="AX53" s="833"/>
      <c r="AY53" s="833"/>
      <c r="AZ53" s="833"/>
      <c r="BA53" s="833"/>
      <c r="BB53" s="833"/>
      <c r="BC53" s="839"/>
      <c r="BF53" s="687" t="s">
        <v>815</v>
      </c>
      <c r="BG53" s="687" t="s">
        <v>809</v>
      </c>
      <c r="BH53" s="687" cm="1">
        <f t="array" ref="BH53">BH52</f>
        <v>0</v>
      </c>
      <c r="BI53" s="687"/>
      <c r="BJ53" s="198"/>
      <c r="BK53" s="198"/>
    </row>
    <row r="54" spans="1:63" s="338" customFormat="1" ht="95.25" customHeight="1">
      <c r="A54" s="81"/>
      <c r="C54" s="81"/>
      <c r="D54" s="81"/>
      <c r="E54" s="198">
        <v>15</v>
      </c>
      <c r="F54" s="3" t="str" cm="1">
        <f t="array" aca="1" ref="F54" ca="1">OFFSET(E54,-1,1)</f>
        <v>1</v>
      </c>
      <c r="G54" s="81" t="s">
        <v>327</v>
      </c>
      <c r="H54" s="81" t="str" cm="1">
        <f t="array" ref="H54">AC54</f>
        <v>Гипохлорит натрия</v>
      </c>
      <c r="I54" s="81"/>
      <c r="J54" s="81"/>
      <c r="K54" s="81"/>
      <c r="L54" s="81"/>
      <c r="M54" s="81"/>
      <c r="N54" s="81"/>
      <c r="O54" s="81"/>
      <c r="P54" s="81"/>
      <c r="Q54" s="81"/>
      <c r="R54" s="81"/>
      <c r="S54" s="81"/>
      <c r="T54" s="365" t="b">
        <f ca="1">AND(F54&gt;0,Y54&gt;0)</f>
        <v>1</v>
      </c>
      <c r="U54" s="81"/>
      <c r="V54" s="81"/>
      <c r="W54" s="528"/>
      <c r="X54" s="1050"/>
      <c r="Y54" s="1076" t="s">
        <v>275</v>
      </c>
      <c r="Z54" s="1076"/>
      <c r="AA54" s="1119" t="s">
        <v>174</v>
      </c>
      <c r="AB54" s="27" t="str">
        <f>"1."&amp;Y54</f>
        <v>1.1</v>
      </c>
      <c r="AC54" s="879" t="s">
        <v>837</v>
      </c>
      <c r="AD54" s="31" t="s">
        <v>804</v>
      </c>
      <c r="AE54" s="76">
        <v>164.85367654550001</v>
      </c>
      <c r="AF54" s="76">
        <v>174.23</v>
      </c>
      <c r="AG54" s="76" cm="1">
        <f t="array" ref="AG54">AF54</f>
        <v>174.23</v>
      </c>
      <c r="AH54" s="76">
        <v>184.2570761982</v>
      </c>
      <c r="AI54" s="76">
        <v>201.27</v>
      </c>
      <c r="AJ54" s="833"/>
      <c r="AK54" s="833"/>
      <c r="AL54" s="833"/>
      <c r="AM54" s="833"/>
      <c r="AN54" s="833"/>
      <c r="AO54" s="833"/>
      <c r="AP54" s="833"/>
      <c r="AQ54" s="833"/>
      <c r="AR54" s="833"/>
      <c r="AS54" s="76">
        <v>180.65</v>
      </c>
      <c r="AT54" s="833"/>
      <c r="AU54" s="833"/>
      <c r="AV54" s="833"/>
      <c r="AW54" s="833"/>
      <c r="AX54" s="833"/>
      <c r="AY54" s="833"/>
      <c r="AZ54" s="833"/>
      <c r="BA54" s="833"/>
      <c r="BB54" s="833"/>
      <c r="BC54" s="132" t="s">
        <v>838</v>
      </c>
      <c r="BD54" s="81"/>
      <c r="BE54" s="81"/>
      <c r="BF54" s="687" t="s">
        <v>808</v>
      </c>
      <c r="BG54" s="687" t="s">
        <v>809</v>
      </c>
      <c r="BH54" s="687" t="str" cm="1">
        <f t="array" ref="BH54">AC54</f>
        <v>Гипохлорит натрия</v>
      </c>
      <c r="BJ54" s="198"/>
      <c r="BK54" s="198" t="b">
        <v>1</v>
      </c>
    </row>
    <row r="55" spans="1:63" ht="14.65" customHeight="1">
      <c r="B55" s="865"/>
      <c r="E55" s="470">
        <v>15</v>
      </c>
      <c r="F55" s="280" t="str" cm="1">
        <f t="array" aca="1" ref="F55" ca="1">OFFSET(E55,-1,1)</f>
        <v>1</v>
      </c>
      <c r="T55" s="365" t="b" cm="1">
        <f t="array" aca="1" ref="T55" ca="1">T54</f>
        <v>1</v>
      </c>
      <c r="W55" s="528"/>
      <c r="X55" s="1121"/>
      <c r="Y55" s="1050"/>
      <c r="Z55" s="1121"/>
      <c r="AA55" s="1120"/>
      <c r="AB55" s="869" t="str">
        <f>AB54&amp;".1"</f>
        <v>1.1.1</v>
      </c>
      <c r="AC55" s="249" t="s">
        <v>810</v>
      </c>
      <c r="AD55" s="30" t="s">
        <v>811</v>
      </c>
      <c r="AE55" s="76"/>
      <c r="AF55" s="76"/>
      <c r="AG55" s="76"/>
      <c r="AH55" s="76"/>
      <c r="AI55" s="76"/>
      <c r="AJ55" s="833"/>
      <c r="AK55" s="833"/>
      <c r="AL55" s="833"/>
      <c r="AM55" s="833"/>
      <c r="AN55" s="833"/>
      <c r="AO55" s="833"/>
      <c r="AP55" s="833"/>
      <c r="AQ55" s="833"/>
      <c r="AR55" s="833"/>
      <c r="AS55" s="76"/>
      <c r="AT55" s="833"/>
      <c r="AU55" s="833"/>
      <c r="AV55" s="833"/>
      <c r="AW55" s="833"/>
      <c r="AX55" s="833"/>
      <c r="AY55" s="833"/>
      <c r="AZ55" s="833"/>
      <c r="BA55" s="833"/>
      <c r="BB55" s="833"/>
      <c r="BC55" s="132"/>
      <c r="BF55" s="687" t="s">
        <v>812</v>
      </c>
      <c r="BG55" s="687" t="s">
        <v>809</v>
      </c>
      <c r="BH55" s="687" t="str" cm="1">
        <f t="array" ref="BH55">BH54</f>
        <v>Гипохлорит натрия</v>
      </c>
      <c r="BI55" s="687"/>
      <c r="BJ55" s="198"/>
      <c r="BK55" s="198"/>
    </row>
    <row r="56" spans="1:63" ht="14.65" customHeight="1">
      <c r="B56" s="865"/>
      <c r="E56" s="470">
        <v>15</v>
      </c>
      <c r="F56" s="280" t="str" cm="1">
        <f t="array" aca="1" ref="F56" ca="1">OFFSET(E56,-1,1)</f>
        <v>1</v>
      </c>
      <c r="T56" s="365" t="b" cm="1">
        <f t="array" aca="1" ref="T56" ca="1">T55</f>
        <v>1</v>
      </c>
      <c r="W56" s="528"/>
      <c r="X56" s="1121"/>
      <c r="Y56" s="1050"/>
      <c r="Z56" s="1121"/>
      <c r="AA56" s="1120"/>
      <c r="AB56" s="869" t="str">
        <f>AB54&amp;".2"</f>
        <v>1.1.2</v>
      </c>
      <c r="AC56" s="249" t="s">
        <v>813</v>
      </c>
      <c r="AD56" s="30" t="s">
        <v>814</v>
      </c>
      <c r="AE56" s="76"/>
      <c r="AF56" s="76"/>
      <c r="AG56" s="76"/>
      <c r="AH56" s="76"/>
      <c r="AI56" s="76"/>
      <c r="AJ56" s="833"/>
      <c r="AK56" s="833"/>
      <c r="AL56" s="833"/>
      <c r="AM56" s="833"/>
      <c r="AN56" s="833"/>
      <c r="AO56" s="833"/>
      <c r="AP56" s="833"/>
      <c r="AQ56" s="833"/>
      <c r="AR56" s="833"/>
      <c r="AS56" s="76"/>
      <c r="AT56" s="833"/>
      <c r="AU56" s="833"/>
      <c r="AV56" s="833"/>
      <c r="AW56" s="833"/>
      <c r="AX56" s="833"/>
      <c r="AY56" s="833"/>
      <c r="AZ56" s="833"/>
      <c r="BA56" s="833"/>
      <c r="BB56" s="833"/>
      <c r="BC56" s="132"/>
      <c r="BF56" s="687" t="s">
        <v>815</v>
      </c>
      <c r="BG56" s="687" t="s">
        <v>809</v>
      </c>
      <c r="BH56" s="687" t="str" cm="1">
        <f t="array" ref="BH56">BH55</f>
        <v>Гипохлорит натрия</v>
      </c>
      <c r="BI56" s="687"/>
      <c r="BJ56" s="198"/>
      <c r="BK56" s="198"/>
    </row>
    <row r="57" spans="1:63" ht="14.65" customHeight="1">
      <c r="B57" s="870"/>
      <c r="E57" s="470">
        <v>15</v>
      </c>
      <c r="F57" s="280" t="str" cm="1">
        <f t="array" aca="1" ref="F57" ca="1">OFFSET(E57,-1,1)</f>
        <v>1</v>
      </c>
      <c r="H57" s="78" t="str">
        <f>"!== 'Всего по тарифу'"</f>
        <v>!== 'Всего по тарифу'</v>
      </c>
      <c r="T57" s="365" t="b">
        <f ca="1">F57&gt;0</f>
        <v>1</v>
      </c>
      <c r="W57" s="528" t="s">
        <v>392</v>
      </c>
      <c r="X57" s="1121"/>
      <c r="Z57" s="1121"/>
      <c r="AB57" s="871"/>
      <c r="AC57" s="872" t="s">
        <v>177</v>
      </c>
      <c r="AD57" s="873"/>
      <c r="AE57" s="873"/>
      <c r="AF57" s="873"/>
      <c r="AG57" s="873"/>
      <c r="AH57" s="873"/>
      <c r="AI57" s="873"/>
      <c r="AJ57" s="873"/>
      <c r="AK57" s="873"/>
      <c r="AL57" s="873"/>
      <c r="AM57" s="873"/>
      <c r="AN57" s="873"/>
      <c r="AO57" s="873"/>
      <c r="AP57" s="873"/>
      <c r="AQ57" s="873"/>
      <c r="AR57" s="873"/>
      <c r="AS57" s="873"/>
      <c r="AT57" s="873"/>
      <c r="AU57" s="873"/>
      <c r="AV57" s="873"/>
      <c r="AW57" s="873"/>
      <c r="AX57" s="873"/>
      <c r="AY57" s="873"/>
      <c r="AZ57" s="873"/>
      <c r="BA57" s="873"/>
      <c r="BB57" s="873"/>
      <c r="BC57" s="874"/>
      <c r="BF57" s="683"/>
      <c r="BG57" s="683"/>
      <c r="BH57" s="683"/>
      <c r="BI57" s="683"/>
      <c r="BJ57" s="473" t="s">
        <v>809</v>
      </c>
      <c r="BK57" s="473"/>
    </row>
    <row r="58" spans="1:63" ht="14.65" customHeight="1">
      <c r="B58" s="870"/>
      <c r="E58" s="470">
        <v>15</v>
      </c>
      <c r="F58" s="280" t="str" cm="1">
        <f t="array" aca="1" ref="F58" ca="1">OFFSET(E58,-1,1)</f>
        <v>1</v>
      </c>
      <c r="I58" s="377" t="s">
        <v>816</v>
      </c>
      <c r="T58" s="365" t="b" cm="1">
        <f t="array" aca="1" ref="T58" ca="1">T57</f>
        <v>1</v>
      </c>
      <c r="W58" s="528"/>
      <c r="X58" s="1121"/>
      <c r="Z58" s="1121"/>
      <c r="AB58" s="80" t="s">
        <v>285</v>
      </c>
      <c r="AC58" s="73" t="s">
        <v>816</v>
      </c>
      <c r="AD58" s="31" t="s">
        <v>804</v>
      </c>
      <c r="AE58" s="77">
        <f t="shared" ref="AE58:BB58" si="10">AE59+AE60</f>
        <v>0</v>
      </c>
      <c r="AF58" s="77">
        <f t="shared" si="10"/>
        <v>0</v>
      </c>
      <c r="AG58" s="77">
        <f t="shared" si="10"/>
        <v>0</v>
      </c>
      <c r="AH58" s="77">
        <f t="shared" si="10"/>
        <v>0</v>
      </c>
      <c r="AI58" s="77">
        <f t="shared" si="10"/>
        <v>0</v>
      </c>
      <c r="AJ58" s="77">
        <f t="shared" si="10"/>
        <v>0</v>
      </c>
      <c r="AK58" s="77">
        <f t="shared" si="10"/>
        <v>0</v>
      </c>
      <c r="AL58" s="77">
        <f t="shared" si="10"/>
        <v>0</v>
      </c>
      <c r="AM58" s="77">
        <f t="shared" si="10"/>
        <v>0</v>
      </c>
      <c r="AN58" s="77">
        <f t="shared" si="10"/>
        <v>0</v>
      </c>
      <c r="AO58" s="77">
        <f t="shared" si="10"/>
        <v>0</v>
      </c>
      <c r="AP58" s="77">
        <f t="shared" si="10"/>
        <v>0</v>
      </c>
      <c r="AQ58" s="77">
        <f t="shared" si="10"/>
        <v>0</v>
      </c>
      <c r="AR58" s="77">
        <f t="shared" si="10"/>
        <v>0</v>
      </c>
      <c r="AS58" s="77">
        <f t="shared" si="10"/>
        <v>0</v>
      </c>
      <c r="AT58" s="77">
        <f t="shared" si="10"/>
        <v>0</v>
      </c>
      <c r="AU58" s="77">
        <f t="shared" si="10"/>
        <v>0</v>
      </c>
      <c r="AV58" s="77">
        <f t="shared" si="10"/>
        <v>0</v>
      </c>
      <c r="AW58" s="77">
        <f t="shared" si="10"/>
        <v>0</v>
      </c>
      <c r="AX58" s="77">
        <f t="shared" si="10"/>
        <v>0</v>
      </c>
      <c r="AY58" s="77">
        <f t="shared" si="10"/>
        <v>0</v>
      </c>
      <c r="AZ58" s="77">
        <f t="shared" si="10"/>
        <v>0</v>
      </c>
      <c r="BA58" s="77">
        <f t="shared" si="10"/>
        <v>0</v>
      </c>
      <c r="BB58" s="77">
        <f t="shared" si="10"/>
        <v>0</v>
      </c>
      <c r="BC58" s="878"/>
      <c r="BF58" s="683" t="s">
        <v>817</v>
      </c>
      <c r="BG58" s="683"/>
      <c r="BH58" s="683"/>
      <c r="BI58" s="683"/>
      <c r="BJ58" s="473"/>
      <c r="BK58" s="473"/>
    </row>
    <row r="59" spans="1:63" ht="32.85" customHeight="1">
      <c r="B59" s="870"/>
      <c r="E59" s="470">
        <v>33.75</v>
      </c>
      <c r="F59" s="280" t="str" cm="1">
        <f t="array" aca="1" ref="F59" ca="1">OFFSET(E59,-1,1)</f>
        <v>1</v>
      </c>
      <c r="T59" s="365" t="b" cm="1">
        <f t="array" aca="1" ref="T59" ca="1">T58</f>
        <v>1</v>
      </c>
      <c r="W59" s="528"/>
      <c r="X59" s="1121"/>
      <c r="Z59" s="1121"/>
      <c r="AB59" s="80" t="s">
        <v>537</v>
      </c>
      <c r="AC59" s="73" t="s">
        <v>818</v>
      </c>
      <c r="AD59" s="31" t="s">
        <v>804</v>
      </c>
      <c r="AE59" s="76"/>
      <c r="AF59" s="76"/>
      <c r="AG59" s="76"/>
      <c r="AH59" s="76"/>
      <c r="AI59" s="76"/>
      <c r="AJ59" s="833"/>
      <c r="AK59" s="833"/>
      <c r="AL59" s="833"/>
      <c r="AM59" s="833"/>
      <c r="AN59" s="833"/>
      <c r="AO59" s="833"/>
      <c r="AP59" s="833"/>
      <c r="AQ59" s="833"/>
      <c r="AR59" s="833"/>
      <c r="AS59" s="76"/>
      <c r="AT59" s="833"/>
      <c r="AU59" s="833"/>
      <c r="AV59" s="833"/>
      <c r="AW59" s="833"/>
      <c r="AX59" s="833"/>
      <c r="AY59" s="833"/>
      <c r="AZ59" s="833"/>
      <c r="BA59" s="833"/>
      <c r="BB59" s="833"/>
      <c r="BC59" s="878"/>
      <c r="BF59" s="683" t="s">
        <v>819</v>
      </c>
      <c r="BG59" s="683"/>
      <c r="BH59" s="683"/>
      <c r="BI59" s="683"/>
      <c r="BJ59" s="473"/>
      <c r="BK59" s="473"/>
    </row>
    <row r="60" spans="1:63" ht="43.9" customHeight="1">
      <c r="B60" s="870"/>
      <c r="E60" s="470">
        <v>45</v>
      </c>
      <c r="F60" s="280" t="str" cm="1">
        <f t="array" aca="1" ref="F60" ca="1">OFFSET(E60,-1,1)</f>
        <v>1</v>
      </c>
      <c r="T60" s="365" t="b" cm="1">
        <f t="array" aca="1" ref="T60" ca="1">T59</f>
        <v>1</v>
      </c>
      <c r="W60" s="528"/>
      <c r="X60" s="1121"/>
      <c r="Z60" s="1121"/>
      <c r="AB60" s="80" t="s">
        <v>541</v>
      </c>
      <c r="AC60" s="73" t="s">
        <v>820</v>
      </c>
      <c r="AD60" s="31" t="s">
        <v>804</v>
      </c>
      <c r="AE60" s="77">
        <f t="shared" ref="AE60:BB60" si="11">SUMIF($AD61:$AD64,$AD60,AE61:AE64)</f>
        <v>0</v>
      </c>
      <c r="AF60" s="77">
        <f t="shared" si="11"/>
        <v>0</v>
      </c>
      <c r="AG60" s="77">
        <f t="shared" si="11"/>
        <v>0</v>
      </c>
      <c r="AH60" s="77">
        <f t="shared" si="11"/>
        <v>0</v>
      </c>
      <c r="AI60" s="77">
        <f t="shared" si="11"/>
        <v>0</v>
      </c>
      <c r="AJ60" s="77">
        <f t="shared" si="11"/>
        <v>0</v>
      </c>
      <c r="AK60" s="77">
        <f t="shared" si="11"/>
        <v>0</v>
      </c>
      <c r="AL60" s="77">
        <f t="shared" si="11"/>
        <v>0</v>
      </c>
      <c r="AM60" s="77">
        <f t="shared" si="11"/>
        <v>0</v>
      </c>
      <c r="AN60" s="77">
        <f t="shared" si="11"/>
        <v>0</v>
      </c>
      <c r="AO60" s="77">
        <f t="shared" si="11"/>
        <v>0</v>
      </c>
      <c r="AP60" s="77">
        <f t="shared" si="11"/>
        <v>0</v>
      </c>
      <c r="AQ60" s="77">
        <f t="shared" si="11"/>
        <v>0</v>
      </c>
      <c r="AR60" s="77">
        <f t="shared" si="11"/>
        <v>0</v>
      </c>
      <c r="AS60" s="77">
        <f t="shared" si="11"/>
        <v>0</v>
      </c>
      <c r="AT60" s="77">
        <f t="shared" si="11"/>
        <v>0</v>
      </c>
      <c r="AU60" s="77">
        <f t="shared" si="11"/>
        <v>0</v>
      </c>
      <c r="AV60" s="77">
        <f t="shared" si="11"/>
        <v>0</v>
      </c>
      <c r="AW60" s="77">
        <f t="shared" si="11"/>
        <v>0</v>
      </c>
      <c r="AX60" s="77">
        <f t="shared" si="11"/>
        <v>0</v>
      </c>
      <c r="AY60" s="77">
        <f t="shared" si="11"/>
        <v>0</v>
      </c>
      <c r="AZ60" s="77">
        <f t="shared" si="11"/>
        <v>0</v>
      </c>
      <c r="BA60" s="77">
        <f t="shared" si="11"/>
        <v>0</v>
      </c>
      <c r="BB60" s="77">
        <f t="shared" si="11"/>
        <v>0</v>
      </c>
      <c r="BC60" s="878"/>
      <c r="BF60" s="683" t="s">
        <v>821</v>
      </c>
      <c r="BG60" s="683"/>
      <c r="BH60" s="683"/>
      <c r="BI60" s="683"/>
      <c r="BJ60" s="473"/>
      <c r="BK60" s="473"/>
    </row>
    <row r="61" spans="1:63" ht="14.65" hidden="1" customHeight="1">
      <c r="A61" s="327"/>
      <c r="B61" s="817"/>
      <c r="C61" s="327"/>
      <c r="D61" s="327"/>
      <c r="E61" s="470">
        <v>15</v>
      </c>
      <c r="F61" s="280" t="str" cm="1">
        <f t="array" aca="1" ref="F61" ca="1">OFFSET(E61,-1,1)</f>
        <v>1</v>
      </c>
      <c r="G61" s="327"/>
      <c r="H61" s="327"/>
      <c r="I61" s="327"/>
      <c r="J61" s="327"/>
      <c r="K61" s="327"/>
      <c r="L61" s="327"/>
      <c r="M61" s="327"/>
      <c r="N61" s="327"/>
      <c r="O61" s="327"/>
      <c r="P61" s="327"/>
      <c r="Q61" s="327"/>
      <c r="R61" s="327"/>
      <c r="S61" s="327"/>
      <c r="T61" s="365" t="b">
        <f ca="1">AND(F61&gt;0,Y61&gt;0)</f>
        <v>0</v>
      </c>
      <c r="W61" s="528" t="s">
        <v>173</v>
      </c>
      <c r="X61" s="1121"/>
      <c r="Y61" s="1094">
        <v>0</v>
      </c>
      <c r="Z61" s="1121"/>
      <c r="AA61" s="1112" t="s">
        <v>174</v>
      </c>
      <c r="AB61" s="27" t="str">
        <f>"2.3."&amp;Y61</f>
        <v>2.3.0</v>
      </c>
      <c r="AC61" s="875"/>
      <c r="AD61" s="31" t="s">
        <v>804</v>
      </c>
      <c r="AE61" s="833"/>
      <c r="AF61" s="833"/>
      <c r="AG61" s="833"/>
      <c r="AH61" s="833"/>
      <c r="AI61" s="833"/>
      <c r="AJ61" s="833"/>
      <c r="AK61" s="833"/>
      <c r="AL61" s="833"/>
      <c r="AM61" s="833"/>
      <c r="AN61" s="833"/>
      <c r="AO61" s="833"/>
      <c r="AP61" s="833"/>
      <c r="AQ61" s="833"/>
      <c r="AR61" s="833"/>
      <c r="AS61" s="833"/>
      <c r="AT61" s="833"/>
      <c r="AU61" s="833"/>
      <c r="AV61" s="833"/>
      <c r="AW61" s="833"/>
      <c r="AX61" s="833"/>
      <c r="AY61" s="833"/>
      <c r="AZ61" s="833"/>
      <c r="BA61" s="833"/>
      <c r="BB61" s="833"/>
      <c r="BC61" s="866"/>
      <c r="BF61" s="664" t="s">
        <v>822</v>
      </c>
      <c r="BG61" s="664" t="s">
        <v>823</v>
      </c>
      <c r="BH61" s="664" cm="1">
        <f t="array" ref="BH61">AC61</f>
        <v>0</v>
      </c>
      <c r="BI61" s="664" cm="1">
        <f t="array" ref="BI61">AD62</f>
        <v>0</v>
      </c>
      <c r="BJ61" s="465"/>
      <c r="BK61" s="491" t="b">
        <v>1</v>
      </c>
    </row>
    <row r="62" spans="1:63" ht="14.65" hidden="1" customHeight="1">
      <c r="A62" s="327"/>
      <c r="B62" s="817"/>
      <c r="C62" s="327"/>
      <c r="D62" s="327"/>
      <c r="E62" s="470">
        <v>15</v>
      </c>
      <c r="F62" s="280" t="str" cm="1">
        <f t="array" aca="1" ref="F62" ca="1">OFFSET(E62,-1,1)</f>
        <v>1</v>
      </c>
      <c r="G62" s="327"/>
      <c r="H62" s="327"/>
      <c r="I62" s="327"/>
      <c r="J62" s="327"/>
      <c r="K62" s="327"/>
      <c r="L62" s="327"/>
      <c r="M62" s="327"/>
      <c r="N62" s="327"/>
      <c r="O62" s="327"/>
      <c r="P62" s="327"/>
      <c r="Q62" s="327"/>
      <c r="R62" s="327"/>
      <c r="S62" s="327"/>
      <c r="T62" s="365" t="b" cm="1">
        <f t="array" aca="1" ref="T62" ca="1">T61</f>
        <v>0</v>
      </c>
      <c r="U62" s="327"/>
      <c r="V62" s="75"/>
      <c r="W62" s="327"/>
      <c r="X62" s="1121"/>
      <c r="Y62" s="1094"/>
      <c r="Z62" s="1121"/>
      <c r="AA62" s="1112"/>
      <c r="AB62" s="27" t="str">
        <f>AB61&amp;".1"</f>
        <v>2.3.0.1</v>
      </c>
      <c r="AC62" s="124" t="s">
        <v>810</v>
      </c>
      <c r="AD62" s="876"/>
      <c r="AE62" s="833"/>
      <c r="AF62" s="833"/>
      <c r="AG62" s="833"/>
      <c r="AH62" s="833"/>
      <c r="AI62" s="833"/>
      <c r="AJ62" s="833"/>
      <c r="AK62" s="833"/>
      <c r="AL62" s="833"/>
      <c r="AM62" s="833"/>
      <c r="AN62" s="833"/>
      <c r="AO62" s="833"/>
      <c r="AP62" s="833"/>
      <c r="AQ62" s="833"/>
      <c r="AR62" s="833"/>
      <c r="AS62" s="833"/>
      <c r="AT62" s="833"/>
      <c r="AU62" s="833"/>
      <c r="AV62" s="833"/>
      <c r="AW62" s="833"/>
      <c r="AX62" s="833"/>
      <c r="AY62" s="833"/>
      <c r="AZ62" s="833"/>
      <c r="BA62" s="833"/>
      <c r="BB62" s="833"/>
      <c r="BC62" s="866"/>
      <c r="BF62" s="664" t="s">
        <v>812</v>
      </c>
      <c r="BG62" s="664" t="s">
        <v>823</v>
      </c>
      <c r="BH62" s="664" cm="1">
        <f t="array" ref="BH62">BH61</f>
        <v>0</v>
      </c>
      <c r="BI62" s="664" cm="1">
        <f t="array" ref="BI62">BI61</f>
        <v>0</v>
      </c>
      <c r="BJ62" s="465"/>
      <c r="BK62" s="491"/>
    </row>
    <row r="63" spans="1:63" ht="14.65" hidden="1" customHeight="1">
      <c r="A63" s="327"/>
      <c r="B63" s="817"/>
      <c r="C63" s="327"/>
      <c r="D63" s="327"/>
      <c r="E63" s="470">
        <v>15</v>
      </c>
      <c r="F63" s="280" t="str" cm="1">
        <f t="array" aca="1" ref="F63" ca="1">OFFSET(E63,-1,1)</f>
        <v>1</v>
      </c>
      <c r="G63" s="327"/>
      <c r="H63" s="327"/>
      <c r="I63" s="327"/>
      <c r="J63" s="327"/>
      <c r="K63" s="327"/>
      <c r="L63" s="327"/>
      <c r="M63" s="327"/>
      <c r="N63" s="327"/>
      <c r="O63" s="327"/>
      <c r="P63" s="327"/>
      <c r="Q63" s="327"/>
      <c r="R63" s="327"/>
      <c r="S63" s="327"/>
      <c r="T63" s="365" t="b" cm="1">
        <f t="array" aca="1" ref="T63" ca="1">T62</f>
        <v>0</v>
      </c>
      <c r="U63" s="327"/>
      <c r="V63" s="75"/>
      <c r="W63" s="327"/>
      <c r="X63" s="1121"/>
      <c r="Y63" s="1094"/>
      <c r="Z63" s="1121"/>
      <c r="AA63" s="1112"/>
      <c r="AB63" s="27" t="str">
        <f>AB61&amp;".2"</f>
        <v>2.3.0.2</v>
      </c>
      <c r="AC63" s="124" t="s">
        <v>824</v>
      </c>
      <c r="AD63" s="30" t="s">
        <v>814</v>
      </c>
      <c r="AE63" s="833"/>
      <c r="AF63" s="833"/>
      <c r="AG63" s="833"/>
      <c r="AH63" s="833"/>
      <c r="AI63" s="833"/>
      <c r="AJ63" s="833"/>
      <c r="AK63" s="833"/>
      <c r="AL63" s="833"/>
      <c r="AM63" s="833"/>
      <c r="AN63" s="833"/>
      <c r="AO63" s="833"/>
      <c r="AP63" s="833"/>
      <c r="AQ63" s="833"/>
      <c r="AR63" s="833"/>
      <c r="AS63" s="833"/>
      <c r="AT63" s="833"/>
      <c r="AU63" s="833"/>
      <c r="AV63" s="833"/>
      <c r="AW63" s="833"/>
      <c r="AX63" s="833"/>
      <c r="AY63" s="833"/>
      <c r="AZ63" s="833"/>
      <c r="BA63" s="833"/>
      <c r="BB63" s="833"/>
      <c r="BC63" s="866"/>
      <c r="BF63" s="664" t="s">
        <v>815</v>
      </c>
      <c r="BG63" s="664" t="s">
        <v>823</v>
      </c>
      <c r="BH63" s="664" cm="1">
        <f t="array" ref="BH63">BH62</f>
        <v>0</v>
      </c>
      <c r="BI63" s="664" cm="1">
        <f t="array" ref="BI63">BI62</f>
        <v>0</v>
      </c>
      <c r="BJ63" s="465"/>
      <c r="BK63" s="491"/>
    </row>
    <row r="64" spans="1:63" ht="14.65" customHeight="1">
      <c r="A64" s="327"/>
      <c r="B64" s="817"/>
      <c r="C64" s="327"/>
      <c r="D64" s="327"/>
      <c r="E64" s="470">
        <v>15</v>
      </c>
      <c r="F64" s="280" t="str" cm="1">
        <f t="array" aca="1" ref="F64" ca="1">OFFSET(E64,-1,1)</f>
        <v>1</v>
      </c>
      <c r="G64" s="327"/>
      <c r="H64" s="327"/>
      <c r="I64" s="327"/>
      <c r="J64" s="327"/>
      <c r="K64" s="327"/>
      <c r="L64" s="327"/>
      <c r="M64" s="327"/>
      <c r="N64" s="327"/>
      <c r="O64" s="327"/>
      <c r="P64" s="327"/>
      <c r="Q64" s="327"/>
      <c r="R64" s="327"/>
      <c r="S64" s="327"/>
      <c r="T64" s="365" t="b">
        <f ca="1">F64&gt;0</f>
        <v>1</v>
      </c>
      <c r="U64" s="327"/>
      <c r="V64" s="75"/>
      <c r="W64" s="528" t="s">
        <v>825</v>
      </c>
      <c r="X64" s="1121"/>
      <c r="Y64" s="327"/>
      <c r="Z64" s="1121"/>
      <c r="AA64" s="327"/>
      <c r="AB64" s="877"/>
      <c r="AC64" s="872" t="s">
        <v>177</v>
      </c>
      <c r="AD64" s="873"/>
      <c r="AE64" s="873"/>
      <c r="AF64" s="873"/>
      <c r="AG64" s="873"/>
      <c r="AH64" s="873"/>
      <c r="AI64" s="873"/>
      <c r="AJ64" s="873"/>
      <c r="AK64" s="873"/>
      <c r="AL64" s="873"/>
      <c r="AM64" s="873"/>
      <c r="AN64" s="873"/>
      <c r="AO64" s="873"/>
      <c r="AP64" s="873"/>
      <c r="AQ64" s="873"/>
      <c r="AR64" s="873"/>
      <c r="AS64" s="873"/>
      <c r="AT64" s="873"/>
      <c r="AU64" s="873"/>
      <c r="AV64" s="873"/>
      <c r="AW64" s="873"/>
      <c r="AX64" s="873"/>
      <c r="AY64" s="873"/>
      <c r="AZ64" s="873"/>
      <c r="BA64" s="873"/>
      <c r="BB64" s="873"/>
      <c r="BC64" s="873"/>
      <c r="BF64" s="664"/>
      <c r="BG64" s="664"/>
      <c r="BH64" s="664"/>
      <c r="BI64" s="664"/>
      <c r="BJ64" s="465" t="s">
        <v>823</v>
      </c>
      <c r="BK64" s="491"/>
    </row>
    <row r="65" spans="1:63" ht="22.7" customHeight="1">
      <c r="A65" s="327"/>
      <c r="B65" s="817"/>
      <c r="C65" s="327"/>
      <c r="D65" s="327"/>
      <c r="E65" s="470">
        <v>23.25</v>
      </c>
      <c r="F65" s="280" t="str" cm="1">
        <f t="array" aca="1" ref="F65" ca="1">OFFSET(E65,-1,1)</f>
        <v>1</v>
      </c>
      <c r="G65" s="327"/>
      <c r="I65" s="377" t="s">
        <v>826</v>
      </c>
      <c r="J65" s="327"/>
      <c r="K65" s="327"/>
      <c r="L65" s="327"/>
      <c r="M65" s="327"/>
      <c r="N65" s="327"/>
      <c r="O65" s="327"/>
      <c r="P65" s="327"/>
      <c r="Q65" s="327"/>
      <c r="R65" s="327"/>
      <c r="S65" s="327"/>
      <c r="T65" s="365" t="b" cm="1">
        <f t="array" aca="1" ref="T65" ca="1">T64</f>
        <v>1</v>
      </c>
      <c r="U65" s="327"/>
      <c r="V65" s="75"/>
      <c r="W65" s="327"/>
      <c r="X65" s="1121"/>
      <c r="Y65" s="327"/>
      <c r="Z65" s="1121"/>
      <c r="AA65" s="327"/>
      <c r="AB65" s="80" t="s">
        <v>325</v>
      </c>
      <c r="AC65" s="73" t="s">
        <v>827</v>
      </c>
      <c r="AD65" s="31" t="s">
        <v>804</v>
      </c>
      <c r="AE65" s="77">
        <f t="shared" ref="AE65:BB65" si="12">AE66+AE67</f>
        <v>0</v>
      </c>
      <c r="AF65" s="77">
        <f t="shared" si="12"/>
        <v>0</v>
      </c>
      <c r="AG65" s="77">
        <f t="shared" si="12"/>
        <v>0</v>
      </c>
      <c r="AH65" s="77">
        <f t="shared" si="12"/>
        <v>0</v>
      </c>
      <c r="AI65" s="77">
        <f t="shared" si="12"/>
        <v>0</v>
      </c>
      <c r="AJ65" s="77">
        <f t="shared" si="12"/>
        <v>0</v>
      </c>
      <c r="AK65" s="77">
        <f t="shared" si="12"/>
        <v>0</v>
      </c>
      <c r="AL65" s="77">
        <f t="shared" si="12"/>
        <v>0</v>
      </c>
      <c r="AM65" s="77">
        <f t="shared" si="12"/>
        <v>0</v>
      </c>
      <c r="AN65" s="77">
        <f t="shared" si="12"/>
        <v>0</v>
      </c>
      <c r="AO65" s="77">
        <f t="shared" si="12"/>
        <v>0</v>
      </c>
      <c r="AP65" s="77">
        <f t="shared" si="12"/>
        <v>0</v>
      </c>
      <c r="AQ65" s="77">
        <f t="shared" si="12"/>
        <v>0</v>
      </c>
      <c r="AR65" s="77">
        <f t="shared" si="12"/>
        <v>0</v>
      </c>
      <c r="AS65" s="77">
        <f t="shared" si="12"/>
        <v>0</v>
      </c>
      <c r="AT65" s="77">
        <f t="shared" si="12"/>
        <v>0</v>
      </c>
      <c r="AU65" s="77">
        <f t="shared" si="12"/>
        <v>0</v>
      </c>
      <c r="AV65" s="77">
        <f t="shared" si="12"/>
        <v>0</v>
      </c>
      <c r="AW65" s="77">
        <f t="shared" si="12"/>
        <v>0</v>
      </c>
      <c r="AX65" s="77">
        <f t="shared" si="12"/>
        <v>0</v>
      </c>
      <c r="AY65" s="77">
        <f t="shared" si="12"/>
        <v>0</v>
      </c>
      <c r="AZ65" s="77">
        <f t="shared" si="12"/>
        <v>0</v>
      </c>
      <c r="BA65" s="77">
        <f t="shared" si="12"/>
        <v>0</v>
      </c>
      <c r="BB65" s="77">
        <f t="shared" si="12"/>
        <v>0</v>
      </c>
      <c r="BC65" s="878"/>
      <c r="BF65" s="664" t="s">
        <v>828</v>
      </c>
      <c r="BG65" s="664"/>
      <c r="BH65" s="664"/>
      <c r="BI65" s="664"/>
      <c r="BJ65" s="465"/>
      <c r="BK65" s="491"/>
    </row>
    <row r="66" spans="1:63" ht="32.85" customHeight="1">
      <c r="A66" s="327"/>
      <c r="B66" s="817"/>
      <c r="C66" s="327"/>
      <c r="D66" s="327"/>
      <c r="E66" s="470">
        <v>33.75</v>
      </c>
      <c r="F66" s="280" t="str" cm="1">
        <f t="array" aca="1" ref="F66" ca="1">OFFSET(E66,-1,1)</f>
        <v>1</v>
      </c>
      <c r="G66" s="327"/>
      <c r="H66" s="327"/>
      <c r="I66" s="327"/>
      <c r="J66" s="327"/>
      <c r="K66" s="327"/>
      <c r="L66" s="327"/>
      <c r="M66" s="327"/>
      <c r="N66" s="327"/>
      <c r="O66" s="327"/>
      <c r="P66" s="327"/>
      <c r="Q66" s="327"/>
      <c r="R66" s="327"/>
      <c r="S66" s="327"/>
      <c r="T66" s="365" t="b" cm="1">
        <f t="array" aca="1" ref="T66" ca="1">T65</f>
        <v>1</v>
      </c>
      <c r="U66" s="327"/>
      <c r="V66" s="75"/>
      <c r="W66" s="327"/>
      <c r="X66" s="1121"/>
      <c r="Y66" s="327"/>
      <c r="Z66" s="1121"/>
      <c r="AA66" s="327"/>
      <c r="AB66" s="80" t="s">
        <v>551</v>
      </c>
      <c r="AC66" s="73" t="s">
        <v>829</v>
      </c>
      <c r="AD66" s="31" t="s">
        <v>804</v>
      </c>
      <c r="AE66" s="76"/>
      <c r="AF66" s="76"/>
      <c r="AG66" s="76"/>
      <c r="AH66" s="76"/>
      <c r="AI66" s="76"/>
      <c r="AJ66" s="833"/>
      <c r="AK66" s="833"/>
      <c r="AL66" s="833"/>
      <c r="AM66" s="833"/>
      <c r="AN66" s="833"/>
      <c r="AO66" s="833"/>
      <c r="AP66" s="833"/>
      <c r="AQ66" s="833"/>
      <c r="AR66" s="833"/>
      <c r="AS66" s="76"/>
      <c r="AT66" s="833"/>
      <c r="AU66" s="833"/>
      <c r="AV66" s="833"/>
      <c r="AW66" s="833"/>
      <c r="AX66" s="833"/>
      <c r="AY66" s="833"/>
      <c r="AZ66" s="833"/>
      <c r="BA66" s="833"/>
      <c r="BB66" s="833"/>
      <c r="BC66" s="878"/>
      <c r="BF66" s="664" t="s">
        <v>830</v>
      </c>
      <c r="BG66" s="664"/>
      <c r="BH66" s="664"/>
      <c r="BI66" s="664"/>
      <c r="BJ66" s="465"/>
      <c r="BK66" s="491"/>
    </row>
    <row r="67" spans="1:63" ht="43.9" customHeight="1">
      <c r="A67" s="327"/>
      <c r="B67" s="817"/>
      <c r="C67" s="327"/>
      <c r="D67" s="327"/>
      <c r="E67" s="470">
        <v>45</v>
      </c>
      <c r="F67" s="280" t="str" cm="1">
        <f t="array" aca="1" ref="F67" ca="1">OFFSET(E67,-1,1)</f>
        <v>1</v>
      </c>
      <c r="G67" s="327"/>
      <c r="H67" s="327"/>
      <c r="I67" s="327"/>
      <c r="J67" s="327"/>
      <c r="K67" s="327"/>
      <c r="L67" s="327"/>
      <c r="M67" s="327"/>
      <c r="N67" s="327"/>
      <c r="O67" s="327"/>
      <c r="P67" s="327"/>
      <c r="Q67" s="327"/>
      <c r="R67" s="327"/>
      <c r="S67" s="327"/>
      <c r="T67" s="365" t="b" cm="1">
        <f t="array" aca="1" ref="T67" ca="1">T66</f>
        <v>1</v>
      </c>
      <c r="U67" s="327"/>
      <c r="V67" s="75"/>
      <c r="W67" s="327"/>
      <c r="X67" s="1121"/>
      <c r="Y67" s="327"/>
      <c r="Z67" s="1121"/>
      <c r="AA67" s="327"/>
      <c r="AB67" s="80" t="s">
        <v>555</v>
      </c>
      <c r="AC67" s="73" t="s">
        <v>831</v>
      </c>
      <c r="AD67" s="31" t="s">
        <v>804</v>
      </c>
      <c r="AE67" s="77">
        <f t="shared" ref="AE67:BB67" si="13">SUMIF($AD68:$AD71,$AD67,AE68:AE71)</f>
        <v>0</v>
      </c>
      <c r="AF67" s="77">
        <f t="shared" si="13"/>
        <v>0</v>
      </c>
      <c r="AG67" s="77">
        <f t="shared" si="13"/>
        <v>0</v>
      </c>
      <c r="AH67" s="77">
        <f t="shared" si="13"/>
        <v>0</v>
      </c>
      <c r="AI67" s="77">
        <f t="shared" si="13"/>
        <v>0</v>
      </c>
      <c r="AJ67" s="77">
        <f t="shared" si="13"/>
        <v>0</v>
      </c>
      <c r="AK67" s="77">
        <f t="shared" si="13"/>
        <v>0</v>
      </c>
      <c r="AL67" s="77">
        <f t="shared" si="13"/>
        <v>0</v>
      </c>
      <c r="AM67" s="77">
        <f t="shared" si="13"/>
        <v>0</v>
      </c>
      <c r="AN67" s="77">
        <f t="shared" si="13"/>
        <v>0</v>
      </c>
      <c r="AO67" s="77">
        <f t="shared" si="13"/>
        <v>0</v>
      </c>
      <c r="AP67" s="77">
        <f t="shared" si="13"/>
        <v>0</v>
      </c>
      <c r="AQ67" s="77">
        <f t="shared" si="13"/>
        <v>0</v>
      </c>
      <c r="AR67" s="77">
        <f t="shared" si="13"/>
        <v>0</v>
      </c>
      <c r="AS67" s="77">
        <f t="shared" si="13"/>
        <v>0</v>
      </c>
      <c r="AT67" s="77">
        <f t="shared" si="13"/>
        <v>0</v>
      </c>
      <c r="AU67" s="77">
        <f t="shared" si="13"/>
        <v>0</v>
      </c>
      <c r="AV67" s="77">
        <f t="shared" si="13"/>
        <v>0</v>
      </c>
      <c r="AW67" s="77">
        <f t="shared" si="13"/>
        <v>0</v>
      </c>
      <c r="AX67" s="77">
        <f t="shared" si="13"/>
        <v>0</v>
      </c>
      <c r="AY67" s="77">
        <f t="shared" si="13"/>
        <v>0</v>
      </c>
      <c r="AZ67" s="77">
        <f t="shared" si="13"/>
        <v>0</v>
      </c>
      <c r="BA67" s="77">
        <f t="shared" si="13"/>
        <v>0</v>
      </c>
      <c r="BB67" s="77">
        <f t="shared" si="13"/>
        <v>0</v>
      </c>
      <c r="BC67" s="878"/>
      <c r="BF67" s="664" t="s">
        <v>832</v>
      </c>
      <c r="BG67" s="664"/>
      <c r="BH67" s="664"/>
      <c r="BI67" s="664"/>
      <c r="BJ67" s="465"/>
      <c r="BK67" s="491"/>
    </row>
    <row r="68" spans="1:63" ht="14.65" hidden="1" customHeight="1">
      <c r="A68" s="327"/>
      <c r="B68" s="817"/>
      <c r="C68" s="327"/>
      <c r="D68" s="327"/>
      <c r="E68" s="470">
        <v>15</v>
      </c>
      <c r="F68" s="280" t="str" cm="1">
        <f t="array" aca="1" ref="F68" ca="1">OFFSET(E68,-1,1)</f>
        <v>1</v>
      </c>
      <c r="G68" s="327"/>
      <c r="H68" s="327"/>
      <c r="I68" s="327"/>
      <c r="J68" s="327"/>
      <c r="K68" s="327"/>
      <c r="L68" s="327"/>
      <c r="M68" s="327"/>
      <c r="N68" s="327"/>
      <c r="O68" s="327"/>
      <c r="P68" s="327"/>
      <c r="Q68" s="327"/>
      <c r="R68" s="327"/>
      <c r="S68" s="327"/>
      <c r="T68" s="365" t="b">
        <f ca="1">AND(F68&gt;0,Y68&gt;0)</f>
        <v>0</v>
      </c>
      <c r="U68" s="327"/>
      <c r="V68" s="75"/>
      <c r="W68" s="528" t="s">
        <v>173</v>
      </c>
      <c r="X68" s="1121"/>
      <c r="Y68" s="1094">
        <v>0</v>
      </c>
      <c r="Z68" s="1121"/>
      <c r="AA68" s="1112" t="s">
        <v>174</v>
      </c>
      <c r="AB68" s="27" t="str">
        <f>"3.3."&amp;Y68</f>
        <v>3.3.0</v>
      </c>
      <c r="AC68" s="875"/>
      <c r="AD68" s="31" t="s">
        <v>804</v>
      </c>
      <c r="AE68" s="833"/>
      <c r="AF68" s="833"/>
      <c r="AG68" s="833"/>
      <c r="AH68" s="833"/>
      <c r="AI68" s="833"/>
      <c r="AJ68" s="833"/>
      <c r="AK68" s="833"/>
      <c r="AL68" s="833"/>
      <c r="AM68" s="833"/>
      <c r="AN68" s="833"/>
      <c r="AO68" s="833"/>
      <c r="AP68" s="833"/>
      <c r="AQ68" s="833"/>
      <c r="AR68" s="833"/>
      <c r="AS68" s="833"/>
      <c r="AT68" s="833"/>
      <c r="AU68" s="833"/>
      <c r="AV68" s="833"/>
      <c r="AW68" s="833"/>
      <c r="AX68" s="833"/>
      <c r="AY68" s="833"/>
      <c r="AZ68" s="833"/>
      <c r="BA68" s="833"/>
      <c r="BB68" s="833"/>
      <c r="BC68" s="866"/>
      <c r="BF68" s="664" t="s">
        <v>833</v>
      </c>
      <c r="BG68" s="664" t="s">
        <v>834</v>
      </c>
      <c r="BH68" s="664" cm="1">
        <f t="array" ref="BH68">AC68</f>
        <v>0</v>
      </c>
      <c r="BI68" s="664" cm="1">
        <f t="array" ref="BI68">AD69</f>
        <v>0</v>
      </c>
      <c r="BJ68" s="465"/>
      <c r="BK68" s="491" t="b">
        <v>1</v>
      </c>
    </row>
    <row r="69" spans="1:63" ht="14.65" hidden="1" customHeight="1">
      <c r="A69" s="327"/>
      <c r="B69" s="817"/>
      <c r="C69" s="327"/>
      <c r="D69" s="327"/>
      <c r="E69" s="470">
        <v>15</v>
      </c>
      <c r="F69" s="280" t="str" cm="1">
        <f t="array" aca="1" ref="F69" ca="1">OFFSET(E69,-1,1)</f>
        <v>1</v>
      </c>
      <c r="G69" s="327"/>
      <c r="H69" s="327"/>
      <c r="I69" s="327"/>
      <c r="J69" s="327"/>
      <c r="K69" s="327"/>
      <c r="L69" s="327"/>
      <c r="M69" s="327"/>
      <c r="N69" s="327"/>
      <c r="O69" s="327"/>
      <c r="P69" s="327"/>
      <c r="Q69" s="327"/>
      <c r="R69" s="327"/>
      <c r="S69" s="327"/>
      <c r="T69" s="365" t="b" cm="1">
        <f t="array" aca="1" ref="T69" ca="1">T68</f>
        <v>0</v>
      </c>
      <c r="U69" s="327"/>
      <c r="V69" s="75"/>
      <c r="W69" s="327"/>
      <c r="X69" s="1121"/>
      <c r="Y69" s="1094"/>
      <c r="Z69" s="1121"/>
      <c r="AA69" s="1112"/>
      <c r="AB69" s="27" t="str">
        <f>AB68&amp;".1"</f>
        <v>3.3.0.1</v>
      </c>
      <c r="AC69" s="124" t="s">
        <v>810</v>
      </c>
      <c r="AD69" s="876"/>
      <c r="AE69" s="833"/>
      <c r="AF69" s="833"/>
      <c r="AG69" s="833"/>
      <c r="AH69" s="833"/>
      <c r="AI69" s="833"/>
      <c r="AJ69" s="833"/>
      <c r="AK69" s="833"/>
      <c r="AL69" s="833"/>
      <c r="AM69" s="833"/>
      <c r="AN69" s="833"/>
      <c r="AO69" s="833"/>
      <c r="AP69" s="833"/>
      <c r="AQ69" s="833"/>
      <c r="AR69" s="833"/>
      <c r="AS69" s="833"/>
      <c r="AT69" s="833"/>
      <c r="AU69" s="833"/>
      <c r="AV69" s="833"/>
      <c r="AW69" s="833"/>
      <c r="AX69" s="833"/>
      <c r="AY69" s="833"/>
      <c r="AZ69" s="833"/>
      <c r="BA69" s="833"/>
      <c r="BB69" s="833"/>
      <c r="BC69" s="866"/>
      <c r="BF69" s="664" t="s">
        <v>812</v>
      </c>
      <c r="BG69" s="664" t="s">
        <v>834</v>
      </c>
      <c r="BH69" s="664" cm="1">
        <f t="array" ref="BH69">BH68</f>
        <v>0</v>
      </c>
      <c r="BI69" s="664" cm="1">
        <f t="array" ref="BI69">BI68</f>
        <v>0</v>
      </c>
      <c r="BJ69" s="465"/>
      <c r="BK69" s="491"/>
    </row>
    <row r="70" spans="1:63" ht="14.65" hidden="1" customHeight="1">
      <c r="A70" s="327"/>
      <c r="B70" s="817"/>
      <c r="C70" s="327"/>
      <c r="D70" s="327"/>
      <c r="E70" s="470">
        <v>15</v>
      </c>
      <c r="F70" s="280" t="str" cm="1">
        <f t="array" aca="1" ref="F70" ca="1">OFFSET(E70,-1,1)</f>
        <v>1</v>
      </c>
      <c r="G70" s="327"/>
      <c r="H70" s="327"/>
      <c r="I70" s="327"/>
      <c r="J70" s="327"/>
      <c r="K70" s="327"/>
      <c r="L70" s="327"/>
      <c r="M70" s="327"/>
      <c r="N70" s="327"/>
      <c r="O70" s="327"/>
      <c r="P70" s="327"/>
      <c r="Q70" s="327"/>
      <c r="R70" s="327"/>
      <c r="S70" s="327"/>
      <c r="T70" s="365" t="b" cm="1">
        <f t="array" aca="1" ref="T70" ca="1">T69</f>
        <v>0</v>
      </c>
      <c r="U70" s="327"/>
      <c r="V70" s="75"/>
      <c r="W70" s="327"/>
      <c r="X70" s="1121"/>
      <c r="Y70" s="1094"/>
      <c r="Z70" s="1121"/>
      <c r="AA70" s="1112"/>
      <c r="AB70" s="27" t="str">
        <f>AB68&amp;".2"</f>
        <v>3.3.0.2</v>
      </c>
      <c r="AC70" s="124" t="s">
        <v>824</v>
      </c>
      <c r="AD70" s="30" t="s">
        <v>814</v>
      </c>
      <c r="AE70" s="833"/>
      <c r="AF70" s="833"/>
      <c r="AG70" s="833"/>
      <c r="AH70" s="833"/>
      <c r="AI70" s="833"/>
      <c r="AJ70" s="833"/>
      <c r="AK70" s="833"/>
      <c r="AL70" s="833"/>
      <c r="AM70" s="833"/>
      <c r="AN70" s="833"/>
      <c r="AO70" s="833"/>
      <c r="AP70" s="833"/>
      <c r="AQ70" s="833"/>
      <c r="AR70" s="833"/>
      <c r="AS70" s="833"/>
      <c r="AT70" s="833"/>
      <c r="AU70" s="833"/>
      <c r="AV70" s="833"/>
      <c r="AW70" s="833"/>
      <c r="AX70" s="833"/>
      <c r="AY70" s="833"/>
      <c r="AZ70" s="833"/>
      <c r="BA70" s="833"/>
      <c r="BB70" s="833"/>
      <c r="BC70" s="866"/>
      <c r="BF70" s="664" t="s">
        <v>815</v>
      </c>
      <c r="BG70" s="664" t="s">
        <v>834</v>
      </c>
      <c r="BH70" s="664" cm="1">
        <f t="array" ref="BH70">BH69</f>
        <v>0</v>
      </c>
      <c r="BI70" s="664" cm="1">
        <f t="array" ref="BI70">BI69</f>
        <v>0</v>
      </c>
      <c r="BJ70" s="465"/>
      <c r="BK70" s="491"/>
    </row>
    <row r="71" spans="1:63" s="78" customFormat="1" ht="14.25" customHeight="1">
      <c r="A71" s="327"/>
      <c r="B71" s="817"/>
      <c r="C71" s="327"/>
      <c r="D71" s="327"/>
      <c r="E71" s="470">
        <v>15</v>
      </c>
      <c r="F71" s="280" t="str" cm="1">
        <f t="array" aca="1" ref="F71" ca="1">OFFSET(E71,-1,1)</f>
        <v>1</v>
      </c>
      <c r="G71" s="327"/>
      <c r="H71" s="327"/>
      <c r="I71" s="327"/>
      <c r="J71" s="327"/>
      <c r="K71" s="327"/>
      <c r="L71" s="327"/>
      <c r="M71" s="327"/>
      <c r="N71" s="327"/>
      <c r="O71" s="327"/>
      <c r="P71" s="327"/>
      <c r="Q71" s="327"/>
      <c r="R71" s="327"/>
      <c r="S71" s="327"/>
      <c r="T71" s="365" t="b">
        <f ca="1">F71&gt;0</f>
        <v>1</v>
      </c>
      <c r="U71" s="327"/>
      <c r="V71" s="75"/>
      <c r="W71" s="528" t="s">
        <v>835</v>
      </c>
      <c r="X71" s="1121"/>
      <c r="Y71" s="327"/>
      <c r="Z71" s="1121"/>
      <c r="AA71" s="327"/>
      <c r="AB71" s="877"/>
      <c r="AC71" s="872" t="s">
        <v>177</v>
      </c>
      <c r="AD71" s="873"/>
      <c r="AE71" s="873"/>
      <c r="AF71" s="873"/>
      <c r="AG71" s="873"/>
      <c r="AH71" s="873"/>
      <c r="AI71" s="873"/>
      <c r="AJ71" s="873"/>
      <c r="AK71" s="873"/>
      <c r="AL71" s="873"/>
      <c r="AM71" s="873"/>
      <c r="AN71" s="873"/>
      <c r="AO71" s="873"/>
      <c r="AP71" s="873"/>
      <c r="AQ71" s="873"/>
      <c r="AR71" s="873"/>
      <c r="AS71" s="873"/>
      <c r="AT71" s="873"/>
      <c r="AU71" s="873"/>
      <c r="AV71" s="873"/>
      <c r="AW71" s="873"/>
      <c r="AX71" s="873"/>
      <c r="AY71" s="873"/>
      <c r="AZ71" s="873"/>
      <c r="BA71" s="873"/>
      <c r="BB71" s="873"/>
      <c r="BC71" s="873"/>
      <c r="BF71" s="664"/>
      <c r="BG71" s="664"/>
      <c r="BH71" s="664"/>
      <c r="BI71" s="664"/>
      <c r="BJ71" s="465" t="s">
        <v>834</v>
      </c>
      <c r="BK71" s="491"/>
    </row>
    <row r="72" spans="1:63" s="851" customFormat="1" ht="14.25" customHeight="1">
      <c r="A72" s="79"/>
      <c r="B72" s="338"/>
      <c r="C72" s="79"/>
      <c r="D72" s="79"/>
      <c r="E72" s="470">
        <v>15</v>
      </c>
      <c r="F72" s="266" t="str" cm="1">
        <f t="array" ref="F72">X72</f>
        <v>2</v>
      </c>
      <c r="G72" s="81"/>
      <c r="H72" s="81"/>
      <c r="I72" s="79"/>
      <c r="J72" s="79"/>
      <c r="K72" s="79"/>
      <c r="L72" s="79"/>
      <c r="M72" s="79"/>
      <c r="N72" s="79"/>
      <c r="O72" s="79"/>
      <c r="P72" s="79"/>
      <c r="Q72" s="79"/>
      <c r="R72" s="79"/>
      <c r="S72" s="79"/>
      <c r="T72" s="365" t="b">
        <f>X72&gt;0</f>
        <v>1</v>
      </c>
      <c r="U72" s="79"/>
      <c r="V72" s="79" t="str" cm="1">
        <f t="array" ref="V72">'Условные метры'!$AB$35</f>
        <v>Тариф 2 (Водоотведение) - тариф на водоотведение (Доп. признак не требуется)</v>
      </c>
      <c r="W72" s="79"/>
      <c r="X72" s="1050" t="s">
        <v>285</v>
      </c>
      <c r="Y72" s="79"/>
      <c r="Z72" s="1076"/>
      <c r="AA72" s="79"/>
      <c r="AB72" s="116" t="str" cm="1">
        <f t="array" ref="AB72">'Условные метры'!$AB$35</f>
        <v>Тариф 2 (Водоотведение) - тариф на водоотведение (Доп. признак не требуется)</v>
      </c>
      <c r="AC72" s="113"/>
      <c r="AD72" s="107"/>
      <c r="AE72" s="107"/>
      <c r="AF72" s="107"/>
      <c r="AG72" s="107"/>
      <c r="AH72" s="107"/>
      <c r="AI72" s="107"/>
      <c r="AJ72" s="107"/>
      <c r="AK72" s="107"/>
      <c r="AL72" s="107"/>
      <c r="AM72" s="107"/>
      <c r="AN72" s="107"/>
      <c r="AO72" s="107"/>
      <c r="AP72" s="107"/>
      <c r="AQ72" s="107"/>
      <c r="AR72" s="107"/>
      <c r="AS72" s="107"/>
      <c r="AT72" s="107"/>
      <c r="AU72" s="107"/>
      <c r="AV72" s="107"/>
      <c r="AW72" s="107"/>
      <c r="AX72" s="107"/>
      <c r="AY72" s="107"/>
      <c r="AZ72" s="107"/>
      <c r="BA72" s="107"/>
      <c r="BB72" s="107"/>
      <c r="BC72" s="107"/>
      <c r="BD72" s="79"/>
      <c r="BE72" s="79"/>
      <c r="BF72" s="678"/>
      <c r="BG72" s="678"/>
      <c r="BH72" s="678"/>
      <c r="BJ72" s="470"/>
      <c r="BK72" s="470"/>
    </row>
    <row r="73" spans="1:63" s="338" customFormat="1" ht="14.25" customHeight="1">
      <c r="A73" s="81"/>
      <c r="C73" s="81"/>
      <c r="D73" s="376"/>
      <c r="E73" s="198">
        <v>15</v>
      </c>
      <c r="F73" s="3" t="str" cm="1">
        <f t="array" aca="1" ref="F73" ca="1">OFFSET(E73,-1,1)</f>
        <v>2</v>
      </c>
      <c r="G73" s="81"/>
      <c r="H73" s="81" t="str" cm="1">
        <f t="array" ref="H73">AC73</f>
        <v>Всего по тарифу</v>
      </c>
      <c r="I73" s="81"/>
      <c r="J73" s="81"/>
      <c r="K73" s="376" t="str">
        <f ca="1">F73&amp;"komm"</f>
        <v>2komm</v>
      </c>
      <c r="L73" s="616" t="str" cm="1">
        <f t="array" ref="L73">BC73</f>
        <v>п.п. 10 п. 49 Методических указаний 1746-э.</v>
      </c>
      <c r="M73" s="81"/>
      <c r="N73" s="81"/>
      <c r="O73" s="81"/>
      <c r="P73" s="81"/>
      <c r="Q73" s="81"/>
      <c r="R73" s="81"/>
      <c r="S73" s="81"/>
      <c r="T73" s="365" t="b" cm="1">
        <f t="array" ref="T73">T72</f>
        <v>1</v>
      </c>
      <c r="U73" s="81"/>
      <c r="V73" s="81"/>
      <c r="W73" s="81"/>
      <c r="X73" s="1050"/>
      <c r="Y73" s="81"/>
      <c r="Z73" s="1076"/>
      <c r="AA73" s="81"/>
      <c r="AB73" s="80"/>
      <c r="AC73" s="73" t="s">
        <v>803</v>
      </c>
      <c r="AD73" s="31" t="s">
        <v>804</v>
      </c>
      <c r="AE73" s="77">
        <f t="shared" ref="AE73:BB73" si="14">AE74+AE82+AE89</f>
        <v>155.17450814470001</v>
      </c>
      <c r="AF73" s="77">
        <f t="shared" si="14"/>
        <v>93.92</v>
      </c>
      <c r="AG73" s="77">
        <f t="shared" si="14"/>
        <v>93.92</v>
      </c>
      <c r="AH73" s="77">
        <f t="shared" si="14"/>
        <v>153.09607500000001</v>
      </c>
      <c r="AI73" s="77">
        <f t="shared" si="14"/>
        <v>160.47999999999999</v>
      </c>
      <c r="AJ73" s="77">
        <f t="shared" si="14"/>
        <v>0</v>
      </c>
      <c r="AK73" s="77">
        <f t="shared" si="14"/>
        <v>0</v>
      </c>
      <c r="AL73" s="77">
        <f t="shared" si="14"/>
        <v>0</v>
      </c>
      <c r="AM73" s="77">
        <f t="shared" si="14"/>
        <v>0</v>
      </c>
      <c r="AN73" s="77">
        <f t="shared" si="14"/>
        <v>0</v>
      </c>
      <c r="AO73" s="77">
        <f t="shared" si="14"/>
        <v>0</v>
      </c>
      <c r="AP73" s="77">
        <f t="shared" si="14"/>
        <v>0</v>
      </c>
      <c r="AQ73" s="77">
        <f t="shared" si="14"/>
        <v>0</v>
      </c>
      <c r="AR73" s="77">
        <f t="shared" si="14"/>
        <v>0</v>
      </c>
      <c r="AS73" s="77">
        <f t="shared" si="14"/>
        <v>118.08</v>
      </c>
      <c r="AT73" s="77">
        <f t="shared" si="14"/>
        <v>0</v>
      </c>
      <c r="AU73" s="77">
        <f t="shared" si="14"/>
        <v>0</v>
      </c>
      <c r="AV73" s="77">
        <f t="shared" si="14"/>
        <v>0</v>
      </c>
      <c r="AW73" s="77">
        <f t="shared" si="14"/>
        <v>0</v>
      </c>
      <c r="AX73" s="77">
        <f t="shared" si="14"/>
        <v>0</v>
      </c>
      <c r="AY73" s="77">
        <f t="shared" si="14"/>
        <v>0</v>
      </c>
      <c r="AZ73" s="77">
        <f t="shared" si="14"/>
        <v>0</v>
      </c>
      <c r="BA73" s="77">
        <f t="shared" si="14"/>
        <v>0</v>
      </c>
      <c r="BB73" s="77">
        <f t="shared" si="14"/>
        <v>0</v>
      </c>
      <c r="BC73" s="132" t="s">
        <v>836</v>
      </c>
      <c r="BD73" s="81"/>
      <c r="BE73" s="81"/>
      <c r="BF73" s="687" t="s">
        <v>805</v>
      </c>
      <c r="BG73" s="687"/>
      <c r="BH73" s="687"/>
      <c r="BJ73" s="198"/>
      <c r="BK73" s="198"/>
    </row>
    <row r="74" spans="1:63" ht="14.65" customHeight="1">
      <c r="B74" s="865"/>
      <c r="D74" s="376"/>
      <c r="E74" s="470">
        <v>15</v>
      </c>
      <c r="F74" s="280" t="str" cm="1">
        <f t="array" aca="1" ref="F74" ca="1">OFFSET(E74,-1,1)</f>
        <v>2</v>
      </c>
      <c r="I74" s="377" t="s">
        <v>806</v>
      </c>
      <c r="K74" s="376"/>
      <c r="L74" s="616"/>
      <c r="T74" s="365" t="b" cm="1">
        <f t="array" ref="T74">T73</f>
        <v>1</v>
      </c>
      <c r="X74" s="1121"/>
      <c r="Z74" s="1121"/>
      <c r="AB74" s="80" t="s">
        <v>275</v>
      </c>
      <c r="AC74" s="73" t="s">
        <v>806</v>
      </c>
      <c r="AD74" s="31" t="s">
        <v>804</v>
      </c>
      <c r="AE74" s="77">
        <f t="shared" ref="AE74:BB74" si="15">SUMIF($AD75:$AD81,$AD74,AE75:AE81)</f>
        <v>155.17450814470001</v>
      </c>
      <c r="AF74" s="77">
        <f t="shared" si="15"/>
        <v>93.92</v>
      </c>
      <c r="AG74" s="77">
        <f t="shared" si="15"/>
        <v>93.92</v>
      </c>
      <c r="AH74" s="77">
        <f t="shared" si="15"/>
        <v>153.09607500000001</v>
      </c>
      <c r="AI74" s="77">
        <f t="shared" si="15"/>
        <v>160.47999999999999</v>
      </c>
      <c r="AJ74" s="77">
        <f t="shared" si="15"/>
        <v>0</v>
      </c>
      <c r="AK74" s="77">
        <f t="shared" si="15"/>
        <v>0</v>
      </c>
      <c r="AL74" s="77">
        <f t="shared" si="15"/>
        <v>0</v>
      </c>
      <c r="AM74" s="77">
        <f t="shared" si="15"/>
        <v>0</v>
      </c>
      <c r="AN74" s="77">
        <f t="shared" si="15"/>
        <v>0</v>
      </c>
      <c r="AO74" s="77">
        <f t="shared" si="15"/>
        <v>0</v>
      </c>
      <c r="AP74" s="77">
        <f t="shared" si="15"/>
        <v>0</v>
      </c>
      <c r="AQ74" s="77">
        <f t="shared" si="15"/>
        <v>0</v>
      </c>
      <c r="AR74" s="77">
        <f t="shared" si="15"/>
        <v>0</v>
      </c>
      <c r="AS74" s="77">
        <f t="shared" si="15"/>
        <v>118.08</v>
      </c>
      <c r="AT74" s="77">
        <f t="shared" si="15"/>
        <v>0</v>
      </c>
      <c r="AU74" s="77">
        <f t="shared" si="15"/>
        <v>0</v>
      </c>
      <c r="AV74" s="77">
        <f t="shared" si="15"/>
        <v>0</v>
      </c>
      <c r="AW74" s="77">
        <f t="shared" si="15"/>
        <v>0</v>
      </c>
      <c r="AX74" s="77">
        <f t="shared" si="15"/>
        <v>0</v>
      </c>
      <c r="AY74" s="77">
        <f t="shared" si="15"/>
        <v>0</v>
      </c>
      <c r="AZ74" s="77">
        <f t="shared" si="15"/>
        <v>0</v>
      </c>
      <c r="BA74" s="77">
        <f t="shared" si="15"/>
        <v>0</v>
      </c>
      <c r="BB74" s="77">
        <f t="shared" si="15"/>
        <v>0</v>
      </c>
      <c r="BC74" s="878"/>
      <c r="BF74" s="687" t="s">
        <v>807</v>
      </c>
      <c r="BG74" s="687"/>
      <c r="BH74" s="687"/>
      <c r="BI74" s="687"/>
      <c r="BJ74" s="198"/>
      <c r="BK74" s="198"/>
    </row>
    <row r="75" spans="1:63" s="338" customFormat="1" ht="14.25" hidden="1" customHeight="1">
      <c r="A75" s="81"/>
      <c r="C75" s="81"/>
      <c r="D75" s="81"/>
      <c r="E75" s="198">
        <v>15</v>
      </c>
      <c r="F75" s="3" t="str" cm="1">
        <f t="array" aca="1" ref="F75" ca="1">OFFSET(E75,-1,1)</f>
        <v>2</v>
      </c>
      <c r="G75" s="81" t="s">
        <v>327</v>
      </c>
      <c r="H75" s="81" cm="1">
        <f t="array" ref="H75">AC75</f>
        <v>0</v>
      </c>
      <c r="I75" s="81"/>
      <c r="J75" s="81"/>
      <c r="K75" s="81"/>
      <c r="L75" s="81"/>
      <c r="M75" s="81"/>
      <c r="N75" s="81"/>
      <c r="O75" s="81"/>
      <c r="P75" s="81"/>
      <c r="Q75" s="81"/>
      <c r="R75" s="81"/>
      <c r="S75" s="81"/>
      <c r="T75" s="365" t="b">
        <f ca="1">AND(F75&gt;0,Y75&gt;0)</f>
        <v>0</v>
      </c>
      <c r="U75" s="81"/>
      <c r="V75" s="81"/>
      <c r="W75" s="528" t="s">
        <v>173</v>
      </c>
      <c r="X75" s="1050"/>
      <c r="Y75" s="1076">
        <v>0</v>
      </c>
      <c r="Z75" s="1076"/>
      <c r="AA75" s="1119" t="s">
        <v>174</v>
      </c>
      <c r="AB75" s="27" t="str">
        <f>"1."&amp;Y75</f>
        <v>1.0</v>
      </c>
      <c r="AC75" s="867"/>
      <c r="AD75" s="31" t="s">
        <v>804</v>
      </c>
      <c r="AE75" s="833"/>
      <c r="AF75" s="833"/>
      <c r="AG75" s="833"/>
      <c r="AH75" s="833"/>
      <c r="AI75" s="833"/>
      <c r="AJ75" s="833"/>
      <c r="AK75" s="833"/>
      <c r="AL75" s="833"/>
      <c r="AM75" s="833"/>
      <c r="AN75" s="833"/>
      <c r="AO75" s="833"/>
      <c r="AP75" s="833"/>
      <c r="AQ75" s="833"/>
      <c r="AR75" s="833"/>
      <c r="AS75" s="833"/>
      <c r="AT75" s="833"/>
      <c r="AU75" s="833"/>
      <c r="AV75" s="833"/>
      <c r="AW75" s="833"/>
      <c r="AX75" s="833"/>
      <c r="AY75" s="833"/>
      <c r="AZ75" s="833"/>
      <c r="BA75" s="833"/>
      <c r="BB75" s="833"/>
      <c r="BC75" s="839"/>
      <c r="BD75" s="81"/>
      <c r="BE75" s="81"/>
      <c r="BF75" s="687" t="s">
        <v>808</v>
      </c>
      <c r="BG75" s="687" t="s">
        <v>809</v>
      </c>
      <c r="BH75" s="687" cm="1">
        <f t="array" ref="BH75">AC75</f>
        <v>0</v>
      </c>
      <c r="BJ75" s="198"/>
      <c r="BK75" s="198" t="b">
        <v>1</v>
      </c>
    </row>
    <row r="76" spans="1:63" ht="14.65" hidden="1" customHeight="1">
      <c r="B76" s="865"/>
      <c r="E76" s="470">
        <v>15</v>
      </c>
      <c r="F76" s="280" t="str" cm="1">
        <f t="array" aca="1" ref="F76" ca="1">OFFSET(E76,-1,1)</f>
        <v>2</v>
      </c>
      <c r="T76" s="365" t="b" cm="1">
        <f t="array" aca="1" ref="T76" ca="1">T75</f>
        <v>0</v>
      </c>
      <c r="W76" s="528"/>
      <c r="X76" s="1121"/>
      <c r="Y76" s="1050"/>
      <c r="Z76" s="1121"/>
      <c r="AA76" s="1120"/>
      <c r="AB76" s="869" t="str">
        <f>AB75&amp;".1"</f>
        <v>1.0.1</v>
      </c>
      <c r="AC76" s="249" t="s">
        <v>810</v>
      </c>
      <c r="AD76" s="30" t="s">
        <v>811</v>
      </c>
      <c r="AE76" s="833"/>
      <c r="AF76" s="833"/>
      <c r="AG76" s="833"/>
      <c r="AH76" s="833"/>
      <c r="AI76" s="833"/>
      <c r="AJ76" s="833"/>
      <c r="AK76" s="833"/>
      <c r="AL76" s="833"/>
      <c r="AM76" s="833"/>
      <c r="AN76" s="833"/>
      <c r="AO76" s="833"/>
      <c r="AP76" s="833"/>
      <c r="AQ76" s="833"/>
      <c r="AR76" s="833"/>
      <c r="AS76" s="833"/>
      <c r="AT76" s="833"/>
      <c r="AU76" s="833"/>
      <c r="AV76" s="833"/>
      <c r="AW76" s="833"/>
      <c r="AX76" s="833"/>
      <c r="AY76" s="833"/>
      <c r="AZ76" s="833"/>
      <c r="BA76" s="833"/>
      <c r="BB76" s="833"/>
      <c r="BC76" s="839"/>
      <c r="BF76" s="687" t="s">
        <v>812</v>
      </c>
      <c r="BG76" s="687" t="s">
        <v>809</v>
      </c>
      <c r="BH76" s="687" cm="1">
        <f t="array" ref="BH76">BH75</f>
        <v>0</v>
      </c>
      <c r="BI76" s="687"/>
      <c r="BJ76" s="198"/>
      <c r="BK76" s="198"/>
    </row>
    <row r="77" spans="1:63" ht="14.65" hidden="1" customHeight="1">
      <c r="B77" s="865"/>
      <c r="E77" s="470">
        <v>15</v>
      </c>
      <c r="F77" s="280" t="str" cm="1">
        <f t="array" aca="1" ref="F77" ca="1">OFFSET(E77,-1,1)</f>
        <v>2</v>
      </c>
      <c r="T77" s="365" t="b" cm="1">
        <f t="array" aca="1" ref="T77" ca="1">T76</f>
        <v>0</v>
      </c>
      <c r="W77" s="528"/>
      <c r="X77" s="1121"/>
      <c r="Y77" s="1050"/>
      <c r="Z77" s="1121"/>
      <c r="AA77" s="1120"/>
      <c r="AB77" s="869" t="str">
        <f>AB75&amp;".2"</f>
        <v>1.0.2</v>
      </c>
      <c r="AC77" s="249" t="s">
        <v>813</v>
      </c>
      <c r="AD77" s="30" t="s">
        <v>814</v>
      </c>
      <c r="AE77" s="833"/>
      <c r="AF77" s="833"/>
      <c r="AG77" s="833"/>
      <c r="AH77" s="833"/>
      <c r="AI77" s="833"/>
      <c r="AJ77" s="833"/>
      <c r="AK77" s="833"/>
      <c r="AL77" s="833"/>
      <c r="AM77" s="833"/>
      <c r="AN77" s="833"/>
      <c r="AO77" s="833"/>
      <c r="AP77" s="833"/>
      <c r="AQ77" s="833"/>
      <c r="AR77" s="833"/>
      <c r="AS77" s="833"/>
      <c r="AT77" s="833"/>
      <c r="AU77" s="833"/>
      <c r="AV77" s="833"/>
      <c r="AW77" s="833"/>
      <c r="AX77" s="833"/>
      <c r="AY77" s="833"/>
      <c r="AZ77" s="833"/>
      <c r="BA77" s="833"/>
      <c r="BB77" s="833"/>
      <c r="BC77" s="839"/>
      <c r="BF77" s="687" t="s">
        <v>815</v>
      </c>
      <c r="BG77" s="687" t="s">
        <v>809</v>
      </c>
      <c r="BH77" s="687" cm="1">
        <f t="array" ref="BH77">BH76</f>
        <v>0</v>
      </c>
      <c r="BI77" s="687"/>
      <c r="BJ77" s="198"/>
      <c r="BK77" s="198"/>
    </row>
    <row r="78" spans="1:63" s="338" customFormat="1" ht="88.5" customHeight="1">
      <c r="A78" s="81"/>
      <c r="C78" s="81"/>
      <c r="D78" s="81"/>
      <c r="E78" s="198">
        <v>15</v>
      </c>
      <c r="F78" s="3" t="str" cm="1">
        <f t="array" aca="1" ref="F78" ca="1">OFFSET(E78,-1,1)</f>
        <v>2</v>
      </c>
      <c r="G78" s="81" t="s">
        <v>327</v>
      </c>
      <c r="H78" s="81" t="str" cm="1">
        <f t="array" ref="H78">AC78</f>
        <v>Гипохлорит натрия</v>
      </c>
      <c r="I78" s="81"/>
      <c r="J78" s="81"/>
      <c r="K78" s="81"/>
      <c r="L78" s="81"/>
      <c r="M78" s="81"/>
      <c r="N78" s="81"/>
      <c r="O78" s="81"/>
      <c r="P78" s="81"/>
      <c r="Q78" s="81"/>
      <c r="R78" s="81"/>
      <c r="S78" s="81"/>
      <c r="T78" s="365" t="b">
        <f ca="1">AND(F78&gt;0,Y78&gt;0)</f>
        <v>1</v>
      </c>
      <c r="U78" s="81"/>
      <c r="V78" s="81"/>
      <c r="W78" s="528"/>
      <c r="X78" s="1050"/>
      <c r="Y78" s="1076" t="s">
        <v>275</v>
      </c>
      <c r="Z78" s="1076"/>
      <c r="AA78" s="1119" t="s">
        <v>174</v>
      </c>
      <c r="AB78" s="27" t="str">
        <f>"1."&amp;Y78</f>
        <v>1.1</v>
      </c>
      <c r="AC78" s="879" t="s">
        <v>837</v>
      </c>
      <c r="AD78" s="31" t="s">
        <v>804</v>
      </c>
      <c r="AE78" s="76">
        <v>155.17450814470001</v>
      </c>
      <c r="AF78" s="76">
        <v>93.92</v>
      </c>
      <c r="AG78" s="76" cm="1">
        <f t="array" ref="AG78">AF78</f>
        <v>93.92</v>
      </c>
      <c r="AH78" s="76">
        <v>153.09607500000001</v>
      </c>
      <c r="AI78" s="76">
        <v>160.47999999999999</v>
      </c>
      <c r="AJ78" s="833"/>
      <c r="AK78" s="833"/>
      <c r="AL78" s="833"/>
      <c r="AM78" s="833"/>
      <c r="AN78" s="833"/>
      <c r="AO78" s="833"/>
      <c r="AP78" s="833"/>
      <c r="AQ78" s="833"/>
      <c r="AR78" s="833"/>
      <c r="AS78" s="76">
        <v>118.08</v>
      </c>
      <c r="AT78" s="833"/>
      <c r="AU78" s="833"/>
      <c r="AV78" s="833"/>
      <c r="AW78" s="833"/>
      <c r="AX78" s="833"/>
      <c r="AY78" s="833"/>
      <c r="AZ78" s="833"/>
      <c r="BA78" s="833"/>
      <c r="BB78" s="833"/>
      <c r="BC78" s="132" t="s">
        <v>839</v>
      </c>
      <c r="BD78" s="81"/>
      <c r="BE78" s="81"/>
      <c r="BF78" s="687" t="s">
        <v>808</v>
      </c>
      <c r="BG78" s="687" t="s">
        <v>809</v>
      </c>
      <c r="BH78" s="687" t="str" cm="1">
        <f t="array" ref="BH78">AC78</f>
        <v>Гипохлорит натрия</v>
      </c>
      <c r="BJ78" s="198"/>
      <c r="BK78" s="198" t="b">
        <v>1</v>
      </c>
    </row>
    <row r="79" spans="1:63" ht="14.65" customHeight="1">
      <c r="B79" s="865"/>
      <c r="E79" s="470">
        <v>15</v>
      </c>
      <c r="F79" s="280" t="str" cm="1">
        <f t="array" aca="1" ref="F79" ca="1">OFFSET(E79,-1,1)</f>
        <v>2</v>
      </c>
      <c r="T79" s="365" t="b" cm="1">
        <f t="array" aca="1" ref="T79" ca="1">T78</f>
        <v>1</v>
      </c>
      <c r="W79" s="528"/>
      <c r="X79" s="1121"/>
      <c r="Y79" s="1050"/>
      <c r="Z79" s="1121"/>
      <c r="AA79" s="1120"/>
      <c r="AB79" s="869" t="str">
        <f>AB78&amp;".1"</f>
        <v>1.1.1</v>
      </c>
      <c r="AC79" s="249" t="s">
        <v>810</v>
      </c>
      <c r="AD79" s="30" t="s">
        <v>811</v>
      </c>
      <c r="AE79" s="76"/>
      <c r="AF79" s="76"/>
      <c r="AG79" s="76"/>
      <c r="AH79" s="76"/>
      <c r="AI79" s="76"/>
      <c r="AJ79" s="833"/>
      <c r="AK79" s="833"/>
      <c r="AL79" s="833"/>
      <c r="AM79" s="833"/>
      <c r="AN79" s="833"/>
      <c r="AO79" s="833"/>
      <c r="AP79" s="833"/>
      <c r="AQ79" s="833"/>
      <c r="AR79" s="833"/>
      <c r="AS79" s="76"/>
      <c r="AT79" s="833"/>
      <c r="AU79" s="833"/>
      <c r="AV79" s="833"/>
      <c r="AW79" s="833"/>
      <c r="AX79" s="833"/>
      <c r="AY79" s="833"/>
      <c r="AZ79" s="833"/>
      <c r="BA79" s="833"/>
      <c r="BB79" s="833"/>
      <c r="BC79" s="132"/>
      <c r="BF79" s="687" t="s">
        <v>812</v>
      </c>
      <c r="BG79" s="687" t="s">
        <v>809</v>
      </c>
      <c r="BH79" s="687" t="str" cm="1">
        <f t="array" ref="BH79">BH78</f>
        <v>Гипохлорит натрия</v>
      </c>
      <c r="BI79" s="687"/>
      <c r="BJ79" s="198"/>
      <c r="BK79" s="198"/>
    </row>
    <row r="80" spans="1:63" ht="14.65" customHeight="1">
      <c r="B80" s="865"/>
      <c r="E80" s="470">
        <v>15</v>
      </c>
      <c r="F80" s="280" t="str" cm="1">
        <f t="array" aca="1" ref="F80" ca="1">OFFSET(E80,-1,1)</f>
        <v>2</v>
      </c>
      <c r="T80" s="365" t="b" cm="1">
        <f t="array" aca="1" ref="T80" ca="1">T79</f>
        <v>1</v>
      </c>
      <c r="W80" s="528"/>
      <c r="X80" s="1121"/>
      <c r="Y80" s="1050"/>
      <c r="Z80" s="1121"/>
      <c r="AA80" s="1120"/>
      <c r="AB80" s="869" t="str">
        <f>AB78&amp;".2"</f>
        <v>1.1.2</v>
      </c>
      <c r="AC80" s="249" t="s">
        <v>813</v>
      </c>
      <c r="AD80" s="30" t="s">
        <v>814</v>
      </c>
      <c r="AE80" s="76"/>
      <c r="AF80" s="76"/>
      <c r="AG80" s="76"/>
      <c r="AH80" s="76"/>
      <c r="AI80" s="76"/>
      <c r="AJ80" s="833"/>
      <c r="AK80" s="833"/>
      <c r="AL80" s="833"/>
      <c r="AM80" s="833"/>
      <c r="AN80" s="833"/>
      <c r="AO80" s="833"/>
      <c r="AP80" s="833"/>
      <c r="AQ80" s="833"/>
      <c r="AR80" s="833"/>
      <c r="AS80" s="76"/>
      <c r="AT80" s="833"/>
      <c r="AU80" s="833"/>
      <c r="AV80" s="833"/>
      <c r="AW80" s="833"/>
      <c r="AX80" s="833"/>
      <c r="AY80" s="833"/>
      <c r="AZ80" s="833"/>
      <c r="BA80" s="833"/>
      <c r="BB80" s="833"/>
      <c r="BC80" s="132"/>
      <c r="BF80" s="687" t="s">
        <v>815</v>
      </c>
      <c r="BG80" s="687" t="s">
        <v>809</v>
      </c>
      <c r="BH80" s="687" t="str" cm="1">
        <f t="array" ref="BH80">BH79</f>
        <v>Гипохлорит натрия</v>
      </c>
      <c r="BI80" s="687"/>
      <c r="BJ80" s="198"/>
      <c r="BK80" s="198"/>
    </row>
    <row r="81" spans="1:63" ht="14.65" customHeight="1">
      <c r="B81" s="870"/>
      <c r="E81" s="470">
        <v>15</v>
      </c>
      <c r="F81" s="280" t="str" cm="1">
        <f t="array" aca="1" ref="F81" ca="1">OFFSET(E81,-1,1)</f>
        <v>2</v>
      </c>
      <c r="H81" s="78" t="str">
        <f>"!== 'Всего по тарифу'"</f>
        <v>!== 'Всего по тарифу'</v>
      </c>
      <c r="T81" s="365" t="b">
        <f ca="1">F81&gt;0</f>
        <v>1</v>
      </c>
      <c r="W81" s="528" t="s">
        <v>392</v>
      </c>
      <c r="X81" s="1121"/>
      <c r="Z81" s="1121"/>
      <c r="AB81" s="871"/>
      <c r="AC81" s="872" t="s">
        <v>177</v>
      </c>
      <c r="AD81" s="873"/>
      <c r="AE81" s="873"/>
      <c r="AF81" s="873"/>
      <c r="AG81" s="873"/>
      <c r="AH81" s="873"/>
      <c r="AI81" s="873"/>
      <c r="AJ81" s="873"/>
      <c r="AK81" s="873"/>
      <c r="AL81" s="873"/>
      <c r="AM81" s="873"/>
      <c r="AN81" s="873"/>
      <c r="AO81" s="873"/>
      <c r="AP81" s="873"/>
      <c r="AQ81" s="873"/>
      <c r="AR81" s="873"/>
      <c r="AS81" s="873"/>
      <c r="AT81" s="873"/>
      <c r="AU81" s="873"/>
      <c r="AV81" s="873"/>
      <c r="AW81" s="873"/>
      <c r="AX81" s="873"/>
      <c r="AY81" s="873"/>
      <c r="AZ81" s="873"/>
      <c r="BA81" s="873"/>
      <c r="BB81" s="873"/>
      <c r="BC81" s="874"/>
      <c r="BF81" s="683"/>
      <c r="BG81" s="683"/>
      <c r="BH81" s="683"/>
      <c r="BI81" s="683"/>
      <c r="BJ81" s="473" t="s">
        <v>809</v>
      </c>
      <c r="BK81" s="473"/>
    </row>
    <row r="82" spans="1:63" ht="14.65" customHeight="1">
      <c r="B82" s="870"/>
      <c r="E82" s="470">
        <v>15</v>
      </c>
      <c r="F82" s="280" t="str" cm="1">
        <f t="array" aca="1" ref="F82" ca="1">OFFSET(E82,-1,1)</f>
        <v>2</v>
      </c>
      <c r="I82" s="377" t="s">
        <v>816</v>
      </c>
      <c r="T82" s="365" t="b" cm="1">
        <f t="array" aca="1" ref="T82" ca="1">T81</f>
        <v>1</v>
      </c>
      <c r="W82" s="528"/>
      <c r="X82" s="1121"/>
      <c r="Z82" s="1121"/>
      <c r="AB82" s="80" t="s">
        <v>285</v>
      </c>
      <c r="AC82" s="73" t="s">
        <v>816</v>
      </c>
      <c r="AD82" s="31" t="s">
        <v>804</v>
      </c>
      <c r="AE82" s="77">
        <f t="shared" ref="AE82:BB82" si="16">AE83+AE84</f>
        <v>0</v>
      </c>
      <c r="AF82" s="77">
        <f t="shared" si="16"/>
        <v>0</v>
      </c>
      <c r="AG82" s="77">
        <f t="shared" si="16"/>
        <v>0</v>
      </c>
      <c r="AH82" s="77">
        <f t="shared" si="16"/>
        <v>0</v>
      </c>
      <c r="AI82" s="77">
        <f t="shared" si="16"/>
        <v>0</v>
      </c>
      <c r="AJ82" s="77">
        <f t="shared" si="16"/>
        <v>0</v>
      </c>
      <c r="AK82" s="77">
        <f t="shared" si="16"/>
        <v>0</v>
      </c>
      <c r="AL82" s="77">
        <f t="shared" si="16"/>
        <v>0</v>
      </c>
      <c r="AM82" s="77">
        <f t="shared" si="16"/>
        <v>0</v>
      </c>
      <c r="AN82" s="77">
        <f t="shared" si="16"/>
        <v>0</v>
      </c>
      <c r="AO82" s="77">
        <f t="shared" si="16"/>
        <v>0</v>
      </c>
      <c r="AP82" s="77">
        <f t="shared" si="16"/>
        <v>0</v>
      </c>
      <c r="AQ82" s="77">
        <f t="shared" si="16"/>
        <v>0</v>
      </c>
      <c r="AR82" s="77">
        <f t="shared" si="16"/>
        <v>0</v>
      </c>
      <c r="AS82" s="77">
        <f t="shared" si="16"/>
        <v>0</v>
      </c>
      <c r="AT82" s="77">
        <f t="shared" si="16"/>
        <v>0</v>
      </c>
      <c r="AU82" s="77">
        <f t="shared" si="16"/>
        <v>0</v>
      </c>
      <c r="AV82" s="77">
        <f t="shared" si="16"/>
        <v>0</v>
      </c>
      <c r="AW82" s="77">
        <f t="shared" si="16"/>
        <v>0</v>
      </c>
      <c r="AX82" s="77">
        <f t="shared" si="16"/>
        <v>0</v>
      </c>
      <c r="AY82" s="77">
        <f t="shared" si="16"/>
        <v>0</v>
      </c>
      <c r="AZ82" s="77">
        <f t="shared" si="16"/>
        <v>0</v>
      </c>
      <c r="BA82" s="77">
        <f t="shared" si="16"/>
        <v>0</v>
      </c>
      <c r="BB82" s="77">
        <f t="shared" si="16"/>
        <v>0</v>
      </c>
      <c r="BC82" s="878"/>
      <c r="BF82" s="683" t="s">
        <v>817</v>
      </c>
      <c r="BG82" s="683"/>
      <c r="BH82" s="683"/>
      <c r="BI82" s="683"/>
      <c r="BJ82" s="473"/>
      <c r="BK82" s="473"/>
    </row>
    <row r="83" spans="1:63" ht="32.85" customHeight="1">
      <c r="B83" s="870"/>
      <c r="E83" s="470">
        <v>33.75</v>
      </c>
      <c r="F83" s="280" t="str" cm="1">
        <f t="array" aca="1" ref="F83" ca="1">OFFSET(E83,-1,1)</f>
        <v>2</v>
      </c>
      <c r="T83" s="365" t="b" cm="1">
        <f t="array" aca="1" ref="T83" ca="1">T82</f>
        <v>1</v>
      </c>
      <c r="W83" s="528"/>
      <c r="X83" s="1121"/>
      <c r="Z83" s="1121"/>
      <c r="AB83" s="80" t="s">
        <v>537</v>
      </c>
      <c r="AC83" s="73" t="s">
        <v>818</v>
      </c>
      <c r="AD83" s="31" t="s">
        <v>804</v>
      </c>
      <c r="AE83" s="76"/>
      <c r="AF83" s="76"/>
      <c r="AG83" s="76"/>
      <c r="AH83" s="76"/>
      <c r="AI83" s="76"/>
      <c r="AJ83" s="833"/>
      <c r="AK83" s="833"/>
      <c r="AL83" s="833"/>
      <c r="AM83" s="833"/>
      <c r="AN83" s="833"/>
      <c r="AO83" s="833"/>
      <c r="AP83" s="833"/>
      <c r="AQ83" s="833"/>
      <c r="AR83" s="833"/>
      <c r="AS83" s="76"/>
      <c r="AT83" s="833"/>
      <c r="AU83" s="833"/>
      <c r="AV83" s="833"/>
      <c r="AW83" s="833"/>
      <c r="AX83" s="833"/>
      <c r="AY83" s="833"/>
      <c r="AZ83" s="833"/>
      <c r="BA83" s="833"/>
      <c r="BB83" s="833"/>
      <c r="BC83" s="878"/>
      <c r="BF83" s="683" t="s">
        <v>819</v>
      </c>
      <c r="BG83" s="683"/>
      <c r="BH83" s="683"/>
      <c r="BI83" s="683"/>
      <c r="BJ83" s="473"/>
      <c r="BK83" s="473"/>
    </row>
    <row r="84" spans="1:63" ht="43.9" customHeight="1">
      <c r="B84" s="870"/>
      <c r="E84" s="470">
        <v>45</v>
      </c>
      <c r="F84" s="280" t="str" cm="1">
        <f t="array" aca="1" ref="F84" ca="1">OFFSET(E84,-1,1)</f>
        <v>2</v>
      </c>
      <c r="T84" s="365" t="b" cm="1">
        <f t="array" aca="1" ref="T84" ca="1">T83</f>
        <v>1</v>
      </c>
      <c r="W84" s="528"/>
      <c r="X84" s="1121"/>
      <c r="Z84" s="1121"/>
      <c r="AB84" s="80" t="s">
        <v>541</v>
      </c>
      <c r="AC84" s="73" t="s">
        <v>820</v>
      </c>
      <c r="AD84" s="31" t="s">
        <v>804</v>
      </c>
      <c r="AE84" s="77">
        <f t="shared" ref="AE84:BB84" si="17">SUMIF($AD85:$AD88,$AD84,AE85:AE88)</f>
        <v>0</v>
      </c>
      <c r="AF84" s="77">
        <f t="shared" si="17"/>
        <v>0</v>
      </c>
      <c r="AG84" s="77">
        <f t="shared" si="17"/>
        <v>0</v>
      </c>
      <c r="AH84" s="77">
        <f t="shared" si="17"/>
        <v>0</v>
      </c>
      <c r="AI84" s="77">
        <f t="shared" si="17"/>
        <v>0</v>
      </c>
      <c r="AJ84" s="77">
        <f t="shared" si="17"/>
        <v>0</v>
      </c>
      <c r="AK84" s="77">
        <f t="shared" si="17"/>
        <v>0</v>
      </c>
      <c r="AL84" s="77">
        <f t="shared" si="17"/>
        <v>0</v>
      </c>
      <c r="AM84" s="77">
        <f t="shared" si="17"/>
        <v>0</v>
      </c>
      <c r="AN84" s="77">
        <f t="shared" si="17"/>
        <v>0</v>
      </c>
      <c r="AO84" s="77">
        <f t="shared" si="17"/>
        <v>0</v>
      </c>
      <c r="AP84" s="77">
        <f t="shared" si="17"/>
        <v>0</v>
      </c>
      <c r="AQ84" s="77">
        <f t="shared" si="17"/>
        <v>0</v>
      </c>
      <c r="AR84" s="77">
        <f t="shared" si="17"/>
        <v>0</v>
      </c>
      <c r="AS84" s="77">
        <f t="shared" si="17"/>
        <v>0</v>
      </c>
      <c r="AT84" s="77">
        <f t="shared" si="17"/>
        <v>0</v>
      </c>
      <c r="AU84" s="77">
        <f t="shared" si="17"/>
        <v>0</v>
      </c>
      <c r="AV84" s="77">
        <f t="shared" si="17"/>
        <v>0</v>
      </c>
      <c r="AW84" s="77">
        <f t="shared" si="17"/>
        <v>0</v>
      </c>
      <c r="AX84" s="77">
        <f t="shared" si="17"/>
        <v>0</v>
      </c>
      <c r="AY84" s="77">
        <f t="shared" si="17"/>
        <v>0</v>
      </c>
      <c r="AZ84" s="77">
        <f t="shared" si="17"/>
        <v>0</v>
      </c>
      <c r="BA84" s="77">
        <f t="shared" si="17"/>
        <v>0</v>
      </c>
      <c r="BB84" s="77">
        <f t="shared" si="17"/>
        <v>0</v>
      </c>
      <c r="BC84" s="878"/>
      <c r="BF84" s="683" t="s">
        <v>821</v>
      </c>
      <c r="BG84" s="683"/>
      <c r="BH84" s="683"/>
      <c r="BI84" s="683"/>
      <c r="BJ84" s="473"/>
      <c r="BK84" s="473"/>
    </row>
    <row r="85" spans="1:63" ht="14.65" hidden="1" customHeight="1">
      <c r="A85" s="327"/>
      <c r="B85" s="817"/>
      <c r="C85" s="327"/>
      <c r="D85" s="327"/>
      <c r="E85" s="470">
        <v>15</v>
      </c>
      <c r="F85" s="280" t="str" cm="1">
        <f t="array" aca="1" ref="F85" ca="1">OFFSET(E85,-1,1)</f>
        <v>2</v>
      </c>
      <c r="G85" s="327"/>
      <c r="H85" s="327"/>
      <c r="I85" s="327"/>
      <c r="J85" s="327"/>
      <c r="K85" s="327"/>
      <c r="L85" s="327"/>
      <c r="M85" s="327"/>
      <c r="N85" s="327"/>
      <c r="O85" s="327"/>
      <c r="P85" s="327"/>
      <c r="Q85" s="327"/>
      <c r="R85" s="327"/>
      <c r="S85" s="327"/>
      <c r="T85" s="365" t="b">
        <f ca="1">AND(F85&gt;0,Y85&gt;0)</f>
        <v>0</v>
      </c>
      <c r="W85" s="528" t="s">
        <v>173</v>
      </c>
      <c r="X85" s="1121"/>
      <c r="Y85" s="1094">
        <v>0</v>
      </c>
      <c r="Z85" s="1121"/>
      <c r="AA85" s="1112" t="s">
        <v>174</v>
      </c>
      <c r="AB85" s="27" t="str">
        <f>"2.3."&amp;Y85</f>
        <v>2.3.0</v>
      </c>
      <c r="AC85" s="875"/>
      <c r="AD85" s="31" t="s">
        <v>804</v>
      </c>
      <c r="AE85" s="833"/>
      <c r="AF85" s="833"/>
      <c r="AG85" s="833"/>
      <c r="AH85" s="833"/>
      <c r="AI85" s="833"/>
      <c r="AJ85" s="833"/>
      <c r="AK85" s="833"/>
      <c r="AL85" s="833"/>
      <c r="AM85" s="833"/>
      <c r="AN85" s="833"/>
      <c r="AO85" s="833"/>
      <c r="AP85" s="833"/>
      <c r="AQ85" s="833"/>
      <c r="AR85" s="833"/>
      <c r="AS85" s="833"/>
      <c r="AT85" s="833"/>
      <c r="AU85" s="833"/>
      <c r="AV85" s="833"/>
      <c r="AW85" s="833"/>
      <c r="AX85" s="833"/>
      <c r="AY85" s="833"/>
      <c r="AZ85" s="833"/>
      <c r="BA85" s="833"/>
      <c r="BB85" s="833"/>
      <c r="BC85" s="866"/>
      <c r="BF85" s="664" t="s">
        <v>822</v>
      </c>
      <c r="BG85" s="664" t="s">
        <v>823</v>
      </c>
      <c r="BH85" s="664" cm="1">
        <f t="array" ref="BH85">AC85</f>
        <v>0</v>
      </c>
      <c r="BI85" s="664" cm="1">
        <f t="array" ref="BI85">AD86</f>
        <v>0</v>
      </c>
      <c r="BJ85" s="465"/>
      <c r="BK85" s="491" t="b">
        <v>1</v>
      </c>
    </row>
    <row r="86" spans="1:63" ht="14.65" hidden="1" customHeight="1">
      <c r="A86" s="327"/>
      <c r="B86" s="817"/>
      <c r="C86" s="327"/>
      <c r="D86" s="327"/>
      <c r="E86" s="470">
        <v>15</v>
      </c>
      <c r="F86" s="280" t="str" cm="1">
        <f t="array" aca="1" ref="F86" ca="1">OFFSET(E86,-1,1)</f>
        <v>2</v>
      </c>
      <c r="G86" s="327"/>
      <c r="H86" s="327"/>
      <c r="I86" s="327"/>
      <c r="J86" s="327"/>
      <c r="K86" s="327"/>
      <c r="L86" s="327"/>
      <c r="M86" s="327"/>
      <c r="N86" s="327"/>
      <c r="O86" s="327"/>
      <c r="P86" s="327"/>
      <c r="Q86" s="327"/>
      <c r="R86" s="327"/>
      <c r="S86" s="327"/>
      <c r="T86" s="365" t="b" cm="1">
        <f t="array" aca="1" ref="T86" ca="1">T85</f>
        <v>0</v>
      </c>
      <c r="U86" s="327"/>
      <c r="V86" s="75"/>
      <c r="W86" s="327"/>
      <c r="X86" s="1121"/>
      <c r="Y86" s="1094"/>
      <c r="Z86" s="1121"/>
      <c r="AA86" s="1112"/>
      <c r="AB86" s="27" t="str">
        <f>AB85&amp;".1"</f>
        <v>2.3.0.1</v>
      </c>
      <c r="AC86" s="124" t="s">
        <v>810</v>
      </c>
      <c r="AD86" s="876"/>
      <c r="AE86" s="833"/>
      <c r="AF86" s="833"/>
      <c r="AG86" s="833"/>
      <c r="AH86" s="833"/>
      <c r="AI86" s="833"/>
      <c r="AJ86" s="833"/>
      <c r="AK86" s="833"/>
      <c r="AL86" s="833"/>
      <c r="AM86" s="833"/>
      <c r="AN86" s="833"/>
      <c r="AO86" s="833"/>
      <c r="AP86" s="833"/>
      <c r="AQ86" s="833"/>
      <c r="AR86" s="833"/>
      <c r="AS86" s="833"/>
      <c r="AT86" s="833"/>
      <c r="AU86" s="833"/>
      <c r="AV86" s="833"/>
      <c r="AW86" s="833"/>
      <c r="AX86" s="833"/>
      <c r="AY86" s="833"/>
      <c r="AZ86" s="833"/>
      <c r="BA86" s="833"/>
      <c r="BB86" s="833"/>
      <c r="BC86" s="866"/>
      <c r="BF86" s="664" t="s">
        <v>812</v>
      </c>
      <c r="BG86" s="664" t="s">
        <v>823</v>
      </c>
      <c r="BH86" s="664" cm="1">
        <f t="array" ref="BH86">BH85</f>
        <v>0</v>
      </c>
      <c r="BI86" s="664" cm="1">
        <f t="array" ref="BI86">BI85</f>
        <v>0</v>
      </c>
      <c r="BJ86" s="465"/>
      <c r="BK86" s="491"/>
    </row>
    <row r="87" spans="1:63" ht="14.65" hidden="1" customHeight="1">
      <c r="A87" s="327"/>
      <c r="B87" s="817"/>
      <c r="C87" s="327"/>
      <c r="D87" s="327"/>
      <c r="E87" s="470">
        <v>15</v>
      </c>
      <c r="F87" s="280" t="str" cm="1">
        <f t="array" aca="1" ref="F87" ca="1">OFFSET(E87,-1,1)</f>
        <v>2</v>
      </c>
      <c r="G87" s="327"/>
      <c r="H87" s="327"/>
      <c r="I87" s="327"/>
      <c r="J87" s="327"/>
      <c r="K87" s="327"/>
      <c r="L87" s="327"/>
      <c r="M87" s="327"/>
      <c r="N87" s="327"/>
      <c r="O87" s="327"/>
      <c r="P87" s="327"/>
      <c r="Q87" s="327"/>
      <c r="R87" s="327"/>
      <c r="S87" s="327"/>
      <c r="T87" s="365" t="b" cm="1">
        <f t="array" aca="1" ref="T87" ca="1">T86</f>
        <v>0</v>
      </c>
      <c r="U87" s="327"/>
      <c r="V87" s="75"/>
      <c r="W87" s="327"/>
      <c r="X87" s="1121"/>
      <c r="Y87" s="1094"/>
      <c r="Z87" s="1121"/>
      <c r="AA87" s="1112"/>
      <c r="AB87" s="27" t="str">
        <f>AB85&amp;".2"</f>
        <v>2.3.0.2</v>
      </c>
      <c r="AC87" s="124" t="s">
        <v>824</v>
      </c>
      <c r="AD87" s="30" t="s">
        <v>814</v>
      </c>
      <c r="AE87" s="833"/>
      <c r="AF87" s="833"/>
      <c r="AG87" s="833"/>
      <c r="AH87" s="833"/>
      <c r="AI87" s="833"/>
      <c r="AJ87" s="833"/>
      <c r="AK87" s="833"/>
      <c r="AL87" s="833"/>
      <c r="AM87" s="833"/>
      <c r="AN87" s="833"/>
      <c r="AO87" s="833"/>
      <c r="AP87" s="833"/>
      <c r="AQ87" s="833"/>
      <c r="AR87" s="833"/>
      <c r="AS87" s="833"/>
      <c r="AT87" s="833"/>
      <c r="AU87" s="833"/>
      <c r="AV87" s="833"/>
      <c r="AW87" s="833"/>
      <c r="AX87" s="833"/>
      <c r="AY87" s="833"/>
      <c r="AZ87" s="833"/>
      <c r="BA87" s="833"/>
      <c r="BB87" s="833"/>
      <c r="BC87" s="866"/>
      <c r="BF87" s="664" t="s">
        <v>815</v>
      </c>
      <c r="BG87" s="664" t="s">
        <v>823</v>
      </c>
      <c r="BH87" s="664" cm="1">
        <f t="array" ref="BH87">BH86</f>
        <v>0</v>
      </c>
      <c r="BI87" s="664" cm="1">
        <f t="array" ref="BI87">BI86</f>
        <v>0</v>
      </c>
      <c r="BJ87" s="465"/>
      <c r="BK87" s="491"/>
    </row>
    <row r="88" spans="1:63" ht="14.65" customHeight="1">
      <c r="A88" s="327"/>
      <c r="B88" s="817"/>
      <c r="C88" s="327"/>
      <c r="D88" s="327"/>
      <c r="E88" s="470">
        <v>15</v>
      </c>
      <c r="F88" s="280" t="str" cm="1">
        <f t="array" aca="1" ref="F88" ca="1">OFFSET(E88,-1,1)</f>
        <v>2</v>
      </c>
      <c r="G88" s="327"/>
      <c r="H88" s="327"/>
      <c r="I88" s="327"/>
      <c r="J88" s="327"/>
      <c r="K88" s="327"/>
      <c r="L88" s="327"/>
      <c r="M88" s="327"/>
      <c r="N88" s="327"/>
      <c r="O88" s="327"/>
      <c r="P88" s="327"/>
      <c r="Q88" s="327"/>
      <c r="R88" s="327"/>
      <c r="S88" s="327"/>
      <c r="T88" s="365" t="b">
        <f ca="1">F88&gt;0</f>
        <v>1</v>
      </c>
      <c r="U88" s="327"/>
      <c r="V88" s="75"/>
      <c r="W88" s="528" t="s">
        <v>825</v>
      </c>
      <c r="X88" s="1121"/>
      <c r="Y88" s="327"/>
      <c r="Z88" s="1121"/>
      <c r="AA88" s="327"/>
      <c r="AB88" s="877"/>
      <c r="AC88" s="872" t="s">
        <v>177</v>
      </c>
      <c r="AD88" s="873"/>
      <c r="AE88" s="873"/>
      <c r="AF88" s="873"/>
      <c r="AG88" s="873"/>
      <c r="AH88" s="873"/>
      <c r="AI88" s="873"/>
      <c r="AJ88" s="873"/>
      <c r="AK88" s="873"/>
      <c r="AL88" s="873"/>
      <c r="AM88" s="873"/>
      <c r="AN88" s="873"/>
      <c r="AO88" s="873"/>
      <c r="AP88" s="873"/>
      <c r="AQ88" s="873"/>
      <c r="AR88" s="873"/>
      <c r="AS88" s="873"/>
      <c r="AT88" s="873"/>
      <c r="AU88" s="873"/>
      <c r="AV88" s="873"/>
      <c r="AW88" s="873"/>
      <c r="AX88" s="873"/>
      <c r="AY88" s="873"/>
      <c r="AZ88" s="873"/>
      <c r="BA88" s="873"/>
      <c r="BB88" s="873"/>
      <c r="BC88" s="873"/>
      <c r="BF88" s="664"/>
      <c r="BG88" s="664"/>
      <c r="BH88" s="664"/>
      <c r="BI88" s="664"/>
      <c r="BJ88" s="465" t="s">
        <v>823</v>
      </c>
      <c r="BK88" s="491"/>
    </row>
    <row r="89" spans="1:63" ht="22.7" customHeight="1">
      <c r="A89" s="327"/>
      <c r="B89" s="817"/>
      <c r="C89" s="327"/>
      <c r="D89" s="327"/>
      <c r="E89" s="470">
        <v>23.25</v>
      </c>
      <c r="F89" s="280" t="str" cm="1">
        <f t="array" aca="1" ref="F89" ca="1">OFFSET(E89,-1,1)</f>
        <v>2</v>
      </c>
      <c r="G89" s="327"/>
      <c r="I89" s="377" t="s">
        <v>826</v>
      </c>
      <c r="J89" s="327"/>
      <c r="K89" s="327"/>
      <c r="L89" s="327"/>
      <c r="M89" s="327"/>
      <c r="N89" s="327"/>
      <c r="O89" s="327"/>
      <c r="P89" s="327"/>
      <c r="Q89" s="327"/>
      <c r="R89" s="327"/>
      <c r="S89" s="327"/>
      <c r="T89" s="365" t="b" cm="1">
        <f t="array" aca="1" ref="T89" ca="1">T88</f>
        <v>1</v>
      </c>
      <c r="U89" s="327"/>
      <c r="V89" s="75"/>
      <c r="W89" s="327"/>
      <c r="X89" s="1121"/>
      <c r="Y89" s="327"/>
      <c r="Z89" s="1121"/>
      <c r="AA89" s="327"/>
      <c r="AB89" s="80" t="s">
        <v>325</v>
      </c>
      <c r="AC89" s="73" t="s">
        <v>827</v>
      </c>
      <c r="AD89" s="31" t="s">
        <v>804</v>
      </c>
      <c r="AE89" s="77">
        <f t="shared" ref="AE89:BB89" si="18">AE90+AE91</f>
        <v>0</v>
      </c>
      <c r="AF89" s="77">
        <f t="shared" si="18"/>
        <v>0</v>
      </c>
      <c r="AG89" s="77">
        <f t="shared" si="18"/>
        <v>0</v>
      </c>
      <c r="AH89" s="77">
        <f t="shared" si="18"/>
        <v>0</v>
      </c>
      <c r="AI89" s="77">
        <f t="shared" si="18"/>
        <v>0</v>
      </c>
      <c r="AJ89" s="77">
        <f t="shared" si="18"/>
        <v>0</v>
      </c>
      <c r="AK89" s="77">
        <f t="shared" si="18"/>
        <v>0</v>
      </c>
      <c r="AL89" s="77">
        <f t="shared" si="18"/>
        <v>0</v>
      </c>
      <c r="AM89" s="77">
        <f t="shared" si="18"/>
        <v>0</v>
      </c>
      <c r="AN89" s="77">
        <f t="shared" si="18"/>
        <v>0</v>
      </c>
      <c r="AO89" s="77">
        <f t="shared" si="18"/>
        <v>0</v>
      </c>
      <c r="AP89" s="77">
        <f t="shared" si="18"/>
        <v>0</v>
      </c>
      <c r="AQ89" s="77">
        <f t="shared" si="18"/>
        <v>0</v>
      </c>
      <c r="AR89" s="77">
        <f t="shared" si="18"/>
        <v>0</v>
      </c>
      <c r="AS89" s="77">
        <f t="shared" si="18"/>
        <v>0</v>
      </c>
      <c r="AT89" s="77">
        <f t="shared" si="18"/>
        <v>0</v>
      </c>
      <c r="AU89" s="77">
        <f t="shared" si="18"/>
        <v>0</v>
      </c>
      <c r="AV89" s="77">
        <f t="shared" si="18"/>
        <v>0</v>
      </c>
      <c r="AW89" s="77">
        <f t="shared" si="18"/>
        <v>0</v>
      </c>
      <c r="AX89" s="77">
        <f t="shared" si="18"/>
        <v>0</v>
      </c>
      <c r="AY89" s="77">
        <f t="shared" si="18"/>
        <v>0</v>
      </c>
      <c r="AZ89" s="77">
        <f t="shared" si="18"/>
        <v>0</v>
      </c>
      <c r="BA89" s="77">
        <f t="shared" si="18"/>
        <v>0</v>
      </c>
      <c r="BB89" s="77">
        <f t="shared" si="18"/>
        <v>0</v>
      </c>
      <c r="BC89" s="878"/>
      <c r="BF89" s="664" t="s">
        <v>828</v>
      </c>
      <c r="BG89" s="664"/>
      <c r="BH89" s="664"/>
      <c r="BI89" s="664"/>
      <c r="BJ89" s="465"/>
      <c r="BK89" s="491"/>
    </row>
    <row r="90" spans="1:63" ht="32.85" customHeight="1">
      <c r="A90" s="327"/>
      <c r="B90" s="817"/>
      <c r="C90" s="327"/>
      <c r="D90" s="327"/>
      <c r="E90" s="470">
        <v>33.75</v>
      </c>
      <c r="F90" s="280" t="str" cm="1">
        <f t="array" aca="1" ref="F90" ca="1">OFFSET(E90,-1,1)</f>
        <v>2</v>
      </c>
      <c r="G90" s="327"/>
      <c r="H90" s="327"/>
      <c r="I90" s="327"/>
      <c r="J90" s="327"/>
      <c r="K90" s="327"/>
      <c r="L90" s="327"/>
      <c r="M90" s="327"/>
      <c r="N90" s="327"/>
      <c r="O90" s="327"/>
      <c r="P90" s="327"/>
      <c r="Q90" s="327"/>
      <c r="R90" s="327"/>
      <c r="S90" s="327"/>
      <c r="T90" s="365" t="b" cm="1">
        <f t="array" aca="1" ref="T90" ca="1">T89</f>
        <v>1</v>
      </c>
      <c r="U90" s="327"/>
      <c r="V90" s="75"/>
      <c r="W90" s="327"/>
      <c r="X90" s="1121"/>
      <c r="Y90" s="327"/>
      <c r="Z90" s="1121"/>
      <c r="AA90" s="327"/>
      <c r="AB90" s="80" t="s">
        <v>551</v>
      </c>
      <c r="AC90" s="73" t="s">
        <v>829</v>
      </c>
      <c r="AD90" s="31" t="s">
        <v>804</v>
      </c>
      <c r="AE90" s="76"/>
      <c r="AF90" s="76"/>
      <c r="AG90" s="76"/>
      <c r="AH90" s="76"/>
      <c r="AI90" s="76"/>
      <c r="AJ90" s="833"/>
      <c r="AK90" s="833"/>
      <c r="AL90" s="833"/>
      <c r="AM90" s="833"/>
      <c r="AN90" s="833"/>
      <c r="AO90" s="833"/>
      <c r="AP90" s="833"/>
      <c r="AQ90" s="833"/>
      <c r="AR90" s="833"/>
      <c r="AS90" s="76"/>
      <c r="AT90" s="833"/>
      <c r="AU90" s="833"/>
      <c r="AV90" s="833"/>
      <c r="AW90" s="833"/>
      <c r="AX90" s="833"/>
      <c r="AY90" s="833"/>
      <c r="AZ90" s="833"/>
      <c r="BA90" s="833"/>
      <c r="BB90" s="833"/>
      <c r="BC90" s="878"/>
      <c r="BF90" s="664" t="s">
        <v>830</v>
      </c>
      <c r="BG90" s="664"/>
      <c r="BH90" s="664"/>
      <c r="BI90" s="664"/>
      <c r="BJ90" s="465"/>
      <c r="BK90" s="491"/>
    </row>
    <row r="91" spans="1:63" ht="43.9" customHeight="1">
      <c r="A91" s="327"/>
      <c r="B91" s="817"/>
      <c r="C91" s="327"/>
      <c r="D91" s="327"/>
      <c r="E91" s="470">
        <v>45</v>
      </c>
      <c r="F91" s="280" t="str" cm="1">
        <f t="array" aca="1" ref="F91" ca="1">OFFSET(E91,-1,1)</f>
        <v>2</v>
      </c>
      <c r="G91" s="327"/>
      <c r="H91" s="327"/>
      <c r="I91" s="327"/>
      <c r="J91" s="327"/>
      <c r="K91" s="327"/>
      <c r="L91" s="327"/>
      <c r="M91" s="327"/>
      <c r="N91" s="327"/>
      <c r="O91" s="327"/>
      <c r="P91" s="327"/>
      <c r="Q91" s="327"/>
      <c r="R91" s="327"/>
      <c r="S91" s="327"/>
      <c r="T91" s="365" t="b" cm="1">
        <f t="array" aca="1" ref="T91" ca="1">T90</f>
        <v>1</v>
      </c>
      <c r="U91" s="327"/>
      <c r="V91" s="75"/>
      <c r="W91" s="327"/>
      <c r="X91" s="1121"/>
      <c r="Y91" s="327"/>
      <c r="Z91" s="1121"/>
      <c r="AA91" s="327"/>
      <c r="AB91" s="80" t="s">
        <v>555</v>
      </c>
      <c r="AC91" s="73" t="s">
        <v>831</v>
      </c>
      <c r="AD91" s="31" t="s">
        <v>804</v>
      </c>
      <c r="AE91" s="77">
        <f t="shared" ref="AE91:BB91" si="19">SUMIF($AD92:$AD95,$AD91,AE92:AE95)</f>
        <v>0</v>
      </c>
      <c r="AF91" s="77">
        <f t="shared" si="19"/>
        <v>0</v>
      </c>
      <c r="AG91" s="77">
        <f t="shared" si="19"/>
        <v>0</v>
      </c>
      <c r="AH91" s="77">
        <f t="shared" si="19"/>
        <v>0</v>
      </c>
      <c r="AI91" s="77">
        <f t="shared" si="19"/>
        <v>0</v>
      </c>
      <c r="AJ91" s="77">
        <f t="shared" si="19"/>
        <v>0</v>
      </c>
      <c r="AK91" s="77">
        <f t="shared" si="19"/>
        <v>0</v>
      </c>
      <c r="AL91" s="77">
        <f t="shared" si="19"/>
        <v>0</v>
      </c>
      <c r="AM91" s="77">
        <f t="shared" si="19"/>
        <v>0</v>
      </c>
      <c r="AN91" s="77">
        <f t="shared" si="19"/>
        <v>0</v>
      </c>
      <c r="AO91" s="77">
        <f t="shared" si="19"/>
        <v>0</v>
      </c>
      <c r="AP91" s="77">
        <f t="shared" si="19"/>
        <v>0</v>
      </c>
      <c r="AQ91" s="77">
        <f t="shared" si="19"/>
        <v>0</v>
      </c>
      <c r="AR91" s="77">
        <f t="shared" si="19"/>
        <v>0</v>
      </c>
      <c r="AS91" s="77">
        <f t="shared" si="19"/>
        <v>0</v>
      </c>
      <c r="AT91" s="77">
        <f t="shared" si="19"/>
        <v>0</v>
      </c>
      <c r="AU91" s="77">
        <f t="shared" si="19"/>
        <v>0</v>
      </c>
      <c r="AV91" s="77">
        <f t="shared" si="19"/>
        <v>0</v>
      </c>
      <c r="AW91" s="77">
        <f t="shared" si="19"/>
        <v>0</v>
      </c>
      <c r="AX91" s="77">
        <f t="shared" si="19"/>
        <v>0</v>
      </c>
      <c r="AY91" s="77">
        <f t="shared" si="19"/>
        <v>0</v>
      </c>
      <c r="AZ91" s="77">
        <f t="shared" si="19"/>
        <v>0</v>
      </c>
      <c r="BA91" s="77">
        <f t="shared" si="19"/>
        <v>0</v>
      </c>
      <c r="BB91" s="77">
        <f t="shared" si="19"/>
        <v>0</v>
      </c>
      <c r="BC91" s="878"/>
      <c r="BF91" s="664" t="s">
        <v>832</v>
      </c>
      <c r="BG91" s="664"/>
      <c r="BH91" s="664"/>
      <c r="BI91" s="664"/>
      <c r="BJ91" s="465"/>
      <c r="BK91" s="491"/>
    </row>
    <row r="92" spans="1:63" ht="14.65" hidden="1" customHeight="1">
      <c r="A92" s="327"/>
      <c r="B92" s="817"/>
      <c r="C92" s="327"/>
      <c r="D92" s="327"/>
      <c r="E92" s="470">
        <v>15</v>
      </c>
      <c r="F92" s="280" t="str" cm="1">
        <f t="array" aca="1" ref="F92" ca="1">OFFSET(E92,-1,1)</f>
        <v>2</v>
      </c>
      <c r="G92" s="327"/>
      <c r="H92" s="327"/>
      <c r="I92" s="327"/>
      <c r="J92" s="327"/>
      <c r="K92" s="327"/>
      <c r="L92" s="327"/>
      <c r="M92" s="327"/>
      <c r="N92" s="327"/>
      <c r="O92" s="327"/>
      <c r="P92" s="327"/>
      <c r="Q92" s="327"/>
      <c r="R92" s="327"/>
      <c r="S92" s="327"/>
      <c r="T92" s="365" t="b">
        <f ca="1">AND(F92&gt;0,Y92&gt;0)</f>
        <v>0</v>
      </c>
      <c r="U92" s="327"/>
      <c r="V92" s="75"/>
      <c r="W92" s="528" t="s">
        <v>173</v>
      </c>
      <c r="X92" s="1121"/>
      <c r="Y92" s="1094">
        <v>0</v>
      </c>
      <c r="Z92" s="1121"/>
      <c r="AA92" s="1112" t="s">
        <v>174</v>
      </c>
      <c r="AB92" s="27" t="str">
        <f>"3.3."&amp;Y92</f>
        <v>3.3.0</v>
      </c>
      <c r="AC92" s="875"/>
      <c r="AD92" s="31" t="s">
        <v>804</v>
      </c>
      <c r="AE92" s="833"/>
      <c r="AF92" s="833"/>
      <c r="AG92" s="833"/>
      <c r="AH92" s="833"/>
      <c r="AI92" s="833"/>
      <c r="AJ92" s="833"/>
      <c r="AK92" s="833"/>
      <c r="AL92" s="833"/>
      <c r="AM92" s="833"/>
      <c r="AN92" s="833"/>
      <c r="AO92" s="833"/>
      <c r="AP92" s="833"/>
      <c r="AQ92" s="833"/>
      <c r="AR92" s="833"/>
      <c r="AS92" s="833"/>
      <c r="AT92" s="833"/>
      <c r="AU92" s="833"/>
      <c r="AV92" s="833"/>
      <c r="AW92" s="833"/>
      <c r="AX92" s="833"/>
      <c r="AY92" s="833"/>
      <c r="AZ92" s="833"/>
      <c r="BA92" s="833"/>
      <c r="BB92" s="833"/>
      <c r="BC92" s="866"/>
      <c r="BF92" s="664" t="s">
        <v>833</v>
      </c>
      <c r="BG92" s="664" t="s">
        <v>834</v>
      </c>
      <c r="BH92" s="664" cm="1">
        <f t="array" ref="BH92">AC92</f>
        <v>0</v>
      </c>
      <c r="BI92" s="664" cm="1">
        <f t="array" ref="BI92">AD93</f>
        <v>0</v>
      </c>
      <c r="BJ92" s="465"/>
      <c r="BK92" s="491" t="b">
        <v>1</v>
      </c>
    </row>
    <row r="93" spans="1:63" ht="14.65" hidden="1" customHeight="1">
      <c r="A93" s="327"/>
      <c r="B93" s="817"/>
      <c r="C93" s="327"/>
      <c r="D93" s="327"/>
      <c r="E93" s="470">
        <v>15</v>
      </c>
      <c r="F93" s="280" t="str" cm="1">
        <f t="array" aca="1" ref="F93" ca="1">OFFSET(E93,-1,1)</f>
        <v>2</v>
      </c>
      <c r="G93" s="327"/>
      <c r="H93" s="327"/>
      <c r="I93" s="327"/>
      <c r="J93" s="327"/>
      <c r="K93" s="327"/>
      <c r="L93" s="327"/>
      <c r="M93" s="327"/>
      <c r="N93" s="327"/>
      <c r="O93" s="327"/>
      <c r="P93" s="327"/>
      <c r="Q93" s="327"/>
      <c r="R93" s="327"/>
      <c r="S93" s="327"/>
      <c r="T93" s="365" t="b" cm="1">
        <f t="array" aca="1" ref="T93" ca="1">T92</f>
        <v>0</v>
      </c>
      <c r="U93" s="327"/>
      <c r="V93" s="75"/>
      <c r="W93" s="327"/>
      <c r="X93" s="1121"/>
      <c r="Y93" s="1094"/>
      <c r="Z93" s="1121"/>
      <c r="AA93" s="1112"/>
      <c r="AB93" s="27" t="str">
        <f>AB92&amp;".1"</f>
        <v>3.3.0.1</v>
      </c>
      <c r="AC93" s="124" t="s">
        <v>810</v>
      </c>
      <c r="AD93" s="876"/>
      <c r="AE93" s="833"/>
      <c r="AF93" s="833"/>
      <c r="AG93" s="833"/>
      <c r="AH93" s="833"/>
      <c r="AI93" s="833"/>
      <c r="AJ93" s="833"/>
      <c r="AK93" s="833"/>
      <c r="AL93" s="833"/>
      <c r="AM93" s="833"/>
      <c r="AN93" s="833"/>
      <c r="AO93" s="833"/>
      <c r="AP93" s="833"/>
      <c r="AQ93" s="833"/>
      <c r="AR93" s="833"/>
      <c r="AS93" s="833"/>
      <c r="AT93" s="833"/>
      <c r="AU93" s="833"/>
      <c r="AV93" s="833"/>
      <c r="AW93" s="833"/>
      <c r="AX93" s="833"/>
      <c r="AY93" s="833"/>
      <c r="AZ93" s="833"/>
      <c r="BA93" s="833"/>
      <c r="BB93" s="833"/>
      <c r="BC93" s="866"/>
      <c r="BF93" s="664" t="s">
        <v>812</v>
      </c>
      <c r="BG93" s="664" t="s">
        <v>834</v>
      </c>
      <c r="BH93" s="664" cm="1">
        <f t="array" ref="BH93">BH92</f>
        <v>0</v>
      </c>
      <c r="BI93" s="664" cm="1">
        <f t="array" ref="BI93">BI92</f>
        <v>0</v>
      </c>
      <c r="BJ93" s="465"/>
      <c r="BK93" s="491"/>
    </row>
    <row r="94" spans="1:63" ht="14.65" hidden="1" customHeight="1">
      <c r="A94" s="327"/>
      <c r="B94" s="817"/>
      <c r="C94" s="327"/>
      <c r="D94" s="327"/>
      <c r="E94" s="470">
        <v>15</v>
      </c>
      <c r="F94" s="280" t="str" cm="1">
        <f t="array" aca="1" ref="F94" ca="1">OFFSET(E94,-1,1)</f>
        <v>2</v>
      </c>
      <c r="G94" s="327"/>
      <c r="H94" s="327"/>
      <c r="I94" s="327"/>
      <c r="J94" s="327"/>
      <c r="K94" s="327"/>
      <c r="L94" s="327"/>
      <c r="M94" s="327"/>
      <c r="N94" s="327"/>
      <c r="O94" s="327"/>
      <c r="P94" s="327"/>
      <c r="Q94" s="327"/>
      <c r="R94" s="327"/>
      <c r="S94" s="327"/>
      <c r="T94" s="365" t="b" cm="1">
        <f t="array" aca="1" ref="T94" ca="1">T93</f>
        <v>0</v>
      </c>
      <c r="U94" s="327"/>
      <c r="V94" s="75"/>
      <c r="W94" s="327"/>
      <c r="X94" s="1121"/>
      <c r="Y94" s="1094"/>
      <c r="Z94" s="1121"/>
      <c r="AA94" s="1112"/>
      <c r="AB94" s="27" t="str">
        <f>AB92&amp;".2"</f>
        <v>3.3.0.2</v>
      </c>
      <c r="AC94" s="124" t="s">
        <v>824</v>
      </c>
      <c r="AD94" s="30" t="s">
        <v>814</v>
      </c>
      <c r="AE94" s="833"/>
      <c r="AF94" s="833"/>
      <c r="AG94" s="833"/>
      <c r="AH94" s="833"/>
      <c r="AI94" s="833"/>
      <c r="AJ94" s="833"/>
      <c r="AK94" s="833"/>
      <c r="AL94" s="833"/>
      <c r="AM94" s="833"/>
      <c r="AN94" s="833"/>
      <c r="AO94" s="833"/>
      <c r="AP94" s="833"/>
      <c r="AQ94" s="833"/>
      <c r="AR94" s="833"/>
      <c r="AS94" s="833"/>
      <c r="AT94" s="833"/>
      <c r="AU94" s="833"/>
      <c r="AV94" s="833"/>
      <c r="AW94" s="833"/>
      <c r="AX94" s="833"/>
      <c r="AY94" s="833"/>
      <c r="AZ94" s="833"/>
      <c r="BA94" s="833"/>
      <c r="BB94" s="833"/>
      <c r="BC94" s="866"/>
      <c r="BF94" s="664" t="s">
        <v>815</v>
      </c>
      <c r="BG94" s="664" t="s">
        <v>834</v>
      </c>
      <c r="BH94" s="664" cm="1">
        <f t="array" ref="BH94">BH93</f>
        <v>0</v>
      </c>
      <c r="BI94" s="664" cm="1">
        <f t="array" ref="BI94">BI93</f>
        <v>0</v>
      </c>
      <c r="BJ94" s="465"/>
      <c r="BK94" s="491"/>
    </row>
    <row r="95" spans="1:63" s="78" customFormat="1" ht="14.25" customHeight="1">
      <c r="A95" s="327"/>
      <c r="B95" s="817"/>
      <c r="C95" s="327"/>
      <c r="D95" s="327"/>
      <c r="E95" s="470">
        <v>15</v>
      </c>
      <c r="F95" s="280" t="str" cm="1">
        <f t="array" aca="1" ref="F95" ca="1">OFFSET(E95,-1,1)</f>
        <v>2</v>
      </c>
      <c r="G95" s="327"/>
      <c r="H95" s="327"/>
      <c r="I95" s="327"/>
      <c r="J95" s="327"/>
      <c r="K95" s="327"/>
      <c r="L95" s="327"/>
      <c r="M95" s="327"/>
      <c r="N95" s="327"/>
      <c r="O95" s="327"/>
      <c r="P95" s="327"/>
      <c r="Q95" s="327"/>
      <c r="R95" s="327"/>
      <c r="S95" s="327"/>
      <c r="T95" s="365" t="b">
        <f ca="1">F95&gt;0</f>
        <v>1</v>
      </c>
      <c r="U95" s="327"/>
      <c r="V95" s="75"/>
      <c r="W95" s="528" t="s">
        <v>835</v>
      </c>
      <c r="X95" s="1121"/>
      <c r="Y95" s="327"/>
      <c r="Z95" s="1121"/>
      <c r="AA95" s="327"/>
      <c r="AB95" s="877"/>
      <c r="AC95" s="872" t="s">
        <v>177</v>
      </c>
      <c r="AD95" s="873"/>
      <c r="AE95" s="873"/>
      <c r="AF95" s="873"/>
      <c r="AG95" s="873"/>
      <c r="AH95" s="873"/>
      <c r="AI95" s="873"/>
      <c r="AJ95" s="873"/>
      <c r="AK95" s="873"/>
      <c r="AL95" s="873"/>
      <c r="AM95" s="873"/>
      <c r="AN95" s="873"/>
      <c r="AO95" s="873"/>
      <c r="AP95" s="873"/>
      <c r="AQ95" s="873"/>
      <c r="AR95" s="873"/>
      <c r="AS95" s="873"/>
      <c r="AT95" s="873"/>
      <c r="AU95" s="873"/>
      <c r="AV95" s="873"/>
      <c r="AW95" s="873"/>
      <c r="AX95" s="873"/>
      <c r="AY95" s="873"/>
      <c r="AZ95" s="873"/>
      <c r="BA95" s="873"/>
      <c r="BB95" s="873"/>
      <c r="BC95" s="873"/>
      <c r="BF95" s="664"/>
      <c r="BG95" s="664"/>
      <c r="BH95" s="664"/>
      <c r="BI95" s="664"/>
      <c r="BJ95" s="465" t="s">
        <v>834</v>
      </c>
      <c r="BK95" s="491"/>
    </row>
    <row r="96" spans="1:63" ht="10.9" customHeight="1">
      <c r="A96" s="327"/>
      <c r="B96" s="490"/>
      <c r="C96" s="327"/>
      <c r="D96" s="327"/>
      <c r="E96" s="491">
        <v>11.25</v>
      </c>
      <c r="F96" s="327"/>
      <c r="G96" s="327"/>
      <c r="H96" s="327"/>
      <c r="I96" s="327"/>
      <c r="J96" s="327"/>
      <c r="K96" s="327"/>
      <c r="L96" s="327"/>
      <c r="M96" s="327"/>
      <c r="N96" s="327"/>
      <c r="O96" s="327"/>
      <c r="P96" s="327"/>
      <c r="Q96" s="327"/>
      <c r="R96" s="327"/>
      <c r="S96" s="327"/>
      <c r="T96" s="327"/>
      <c r="U96" s="327" t="s">
        <v>177</v>
      </c>
      <c r="V96" s="75" t="s">
        <v>840</v>
      </c>
      <c r="W96" s="327"/>
      <c r="X96" s="327"/>
      <c r="Y96" s="327"/>
      <c r="Z96" s="327"/>
      <c r="AA96" s="327"/>
      <c r="AB96"/>
      <c r="AC96" s="37"/>
      <c r="AD96" s="37"/>
      <c r="AE96" s="37"/>
      <c r="AF96" s="37"/>
      <c r="AG96"/>
      <c r="AH96"/>
      <c r="AI96"/>
      <c r="AJ96"/>
      <c r="AK96"/>
      <c r="AL96"/>
      <c r="AM96"/>
      <c r="AN96"/>
      <c r="AO96"/>
      <c r="AP96"/>
      <c r="AQ96" s="38"/>
      <c r="AR96"/>
      <c r="AS96"/>
      <c r="AT96"/>
      <c r="AU96"/>
      <c r="AV96"/>
      <c r="AW96"/>
      <c r="AX96"/>
      <c r="AY96"/>
      <c r="AZ96"/>
      <c r="BA96"/>
      <c r="BB96"/>
      <c r="BC96"/>
      <c r="BD96"/>
      <c r="BE96"/>
      <c r="BF96" s="670"/>
      <c r="BG96" s="670"/>
      <c r="BH96" s="670"/>
      <c r="BJ96" s="465"/>
      <c r="BK96" s="465"/>
    </row>
    <row r="97" spans="5:55" ht="10.9" customHeight="1">
      <c r="E97" s="472">
        <v>11.25</v>
      </c>
    </row>
    <row r="98" spans="5:55" ht="14.65" customHeight="1">
      <c r="E98" s="472">
        <v>15</v>
      </c>
      <c r="AB98" s="1088" t="s">
        <v>398</v>
      </c>
      <c r="AC98" s="1088"/>
      <c r="AD98" s="1088"/>
      <c r="AE98" s="1088"/>
      <c r="AF98" s="1088"/>
      <c r="AG98" s="1088"/>
      <c r="AH98" s="1088"/>
      <c r="AI98" s="1096"/>
      <c r="AJ98" s="1096"/>
      <c r="AK98" s="1096"/>
      <c r="AL98" s="1096"/>
      <c r="AM98" s="1096"/>
      <c r="AN98" s="1096"/>
      <c r="AO98" s="1096"/>
      <c r="AP98" s="1096"/>
      <c r="AQ98" s="1096"/>
      <c r="AR98" s="1096"/>
      <c r="AS98" s="1096"/>
      <c r="AT98" s="1096"/>
      <c r="AU98" s="1096"/>
      <c r="AV98" s="1096"/>
      <c r="AW98" s="1096"/>
      <c r="AX98" s="1096"/>
      <c r="AY98" s="1096"/>
      <c r="AZ98" s="1096"/>
      <c r="BA98" s="1096"/>
      <c r="BB98" s="1096"/>
      <c r="BC98" s="1096"/>
    </row>
    <row r="99" spans="5:55" ht="38.25" customHeight="1">
      <c r="E99" s="472">
        <v>15</v>
      </c>
      <c r="AB99" s="1117" t="s">
        <v>517</v>
      </c>
      <c r="AC99" s="1115"/>
      <c r="AD99" s="1115"/>
      <c r="AE99" s="1115"/>
      <c r="AF99" s="1115"/>
      <c r="AG99" s="1115"/>
      <c r="AH99" s="1115"/>
      <c r="AI99" s="1115"/>
      <c r="AJ99" s="1114"/>
      <c r="AK99" s="1114"/>
      <c r="AL99" s="1114"/>
      <c r="AM99" s="1114"/>
      <c r="AN99" s="1114"/>
      <c r="AO99" s="1114"/>
      <c r="AP99" s="1114"/>
      <c r="AQ99" s="1114"/>
      <c r="AR99" s="1114"/>
      <c r="AS99" s="1115"/>
      <c r="AT99" s="1114"/>
      <c r="AU99" s="1114"/>
      <c r="AV99" s="1114"/>
      <c r="AW99" s="1114"/>
      <c r="AX99" s="1114"/>
      <c r="AY99" s="1114"/>
      <c r="AZ99" s="1114"/>
      <c r="BA99" s="1114"/>
      <c r="BB99" s="1114"/>
      <c r="BC99" s="1118"/>
    </row>
    <row r="100" spans="5:55" ht="14.65" hidden="1" customHeight="1">
      <c r="E100" s="472">
        <v>15</v>
      </c>
      <c r="T100" s="365" t="b">
        <f>ROW(W100)&gt;ROW(W$100)</f>
        <v>0</v>
      </c>
      <c r="W100" s="528" t="s">
        <v>173</v>
      </c>
      <c r="AA100" s="493" t="s">
        <v>174</v>
      </c>
      <c r="AB100" s="1113" t="s">
        <v>225</v>
      </c>
      <c r="AC100" s="1114"/>
      <c r="AD100" s="1114"/>
      <c r="AE100" s="1114"/>
      <c r="AF100" s="1114"/>
      <c r="AG100" s="1114"/>
      <c r="AH100" s="1114"/>
      <c r="AI100" s="1115"/>
      <c r="AJ100" s="1114"/>
      <c r="AK100" s="1114"/>
      <c r="AL100" s="1114"/>
      <c r="AM100" s="1114"/>
      <c r="AN100" s="1114"/>
      <c r="AO100" s="1114"/>
      <c r="AP100" s="1114"/>
      <c r="AQ100" s="1114"/>
      <c r="AR100" s="1114"/>
      <c r="AS100" s="1115"/>
      <c r="AT100" s="1114"/>
      <c r="AU100" s="1114"/>
      <c r="AV100" s="1114"/>
      <c r="AW100" s="1114"/>
      <c r="AX100" s="1114"/>
      <c r="AY100" s="1114"/>
      <c r="AZ100" s="1114"/>
      <c r="BA100" s="1114"/>
      <c r="BB100" s="1114"/>
      <c r="BC100" s="1116"/>
    </row>
    <row r="101" spans="5:55" ht="14.65" customHeight="1">
      <c r="E101" s="472">
        <v>15</v>
      </c>
      <c r="W101" s="528" t="s">
        <v>399</v>
      </c>
      <c r="AB101" s="485"/>
      <c r="AC101" s="394" t="s">
        <v>400</v>
      </c>
      <c r="AD101" s="231"/>
      <c r="AE101" s="231"/>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2"/>
      <c r="BA101" s="232"/>
      <c r="BB101" s="232"/>
      <c r="BC101" s="233"/>
    </row>
    <row r="102" spans="5:55" ht="10.7" customHeight="1">
      <c r="E102" s="472">
        <v>11</v>
      </c>
    </row>
  </sheetData>
  <sheetProtection formatColumns="0" formatRows="0" insertRows="0" deleteColumns="0" deleteRows="0" sort="0" autoFilter="0"/>
  <mergeCells count="35">
    <mergeCell ref="X27:X47"/>
    <mergeCell ref="Z27:Z47"/>
    <mergeCell ref="AB98:BC98"/>
    <mergeCell ref="AB24:AB25"/>
    <mergeCell ref="AC24:AC25"/>
    <mergeCell ref="AD24:AD25"/>
    <mergeCell ref="BC24:BC25"/>
    <mergeCell ref="Y30:Y32"/>
    <mergeCell ref="AA30:AA32"/>
    <mergeCell ref="Y92:Y94"/>
    <mergeCell ref="AA92:AA94"/>
    <mergeCell ref="Y61:Y63"/>
    <mergeCell ref="AA61:AA63"/>
    <mergeCell ref="Y68:Y70"/>
    <mergeCell ref="AA68:AA70"/>
    <mergeCell ref="Y37:Y39"/>
    <mergeCell ref="X48:X71"/>
    <mergeCell ref="Z48:Z71"/>
    <mergeCell ref="X72:X95"/>
    <mergeCell ref="Z72:Z95"/>
    <mergeCell ref="Y78:Y80"/>
    <mergeCell ref="Y75:Y77"/>
    <mergeCell ref="Y54:Y56"/>
    <mergeCell ref="Y51:Y53"/>
    <mergeCell ref="Y85:Y87"/>
    <mergeCell ref="AA37:AA39"/>
    <mergeCell ref="Y44:Y46"/>
    <mergeCell ref="AA44:AA46"/>
    <mergeCell ref="AB100:BC100"/>
    <mergeCell ref="AB99:BC99"/>
    <mergeCell ref="AA78:AA80"/>
    <mergeCell ref="AA75:AA77"/>
    <mergeCell ref="AA54:AA56"/>
    <mergeCell ref="AA51:AA53"/>
    <mergeCell ref="AA85:AA87"/>
  </mergeCells>
  <dataValidations count="1">
    <dataValidation type="decimal" allowBlank="1" showErrorMessage="1" errorTitle="Ошибка" error="Допускается ввод только неотрицательных чисел!" sqref="AE30:BB46 AE51:AE70 AF51:AF70 AG51:AG70 AH51:AH70 AI51:AI70 AJ51:AJ70 AK51:AK70 AL51:AL70 AM51:AM70 AN51:AN70 AO51:AO70 AP51:AP70 AQ51:AQ70 AR51:AR70 AS51:AS70 AT51:AT70 AU51:AU70 AV51:AV70 AW51:AW70 AX51:AX70 AY51:AY70 AZ51:AZ70 BA51:BA70 BB51:BB70 AE75:AE94 AF75:AF94 AG75:AG94 AH75:AH94 AI75:AI94 AJ75:AJ94 AK75:AK94 AL75:AL94 AM75:AM94 AN75:AN94 AO75:AO94 AP75:AP94 AQ75:AQ94 AR75:AR94 AS75:AS94 AT75:AT94 AU75:AU94 AV75:AV94 AW75:AW94 AX75:AX94 AY75:AY94 AZ75:AZ94 BA75:BA94 BB75:BB94"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FB528-6AE7-3F08-72B8-A2B924B2976B}">
  <sheetPr>
    <tabColor rgb="FFFFC000"/>
    <outlinePr summaryBelow="0" summaryRight="0"/>
    <pageSetUpPr fitToPage="1"/>
  </sheetPr>
  <dimension ref="A1:BK114"/>
  <sheetViews>
    <sheetView showGridLines="0" workbookViewId="0">
      <pane xSplit="30" ySplit="25" topLeftCell="AE93" activePane="bottomRight" state="frozen"/>
      <selection pane="topRight" activeCell="AE1" sqref="AE1"/>
      <selection pane="bottomLeft" activeCell="A26" sqref="A26"/>
      <selection pane="bottomRight" activeCell="AC94" sqref="AC94"/>
    </sheetView>
  </sheetViews>
  <sheetFormatPr defaultColWidth="9.140625" defaultRowHeight="11.25" customHeight="1"/>
  <cols>
    <col min="1" max="1" width="3.5703125" style="36" hidden="1" customWidth="1"/>
    <col min="2" max="2" width="4.42578125" style="65" hidden="1" customWidth="1"/>
    <col min="3" max="3" width="6.7109375" style="377" hidden="1" customWidth="1"/>
    <col min="4" max="4" width="4.5703125" style="36" hidden="1" customWidth="1"/>
    <col min="5" max="5" width="3.5703125" style="472" hidden="1" customWidth="1"/>
    <col min="6" max="6" width="8.140625" style="36" hidden="1" customWidth="1"/>
    <col min="7" max="10" width="3.5703125" style="36" hidden="1" customWidth="1"/>
    <col min="11" max="11" width="5.85546875" style="36" hidden="1" customWidth="1"/>
    <col min="12" max="19" width="3.5703125" style="36" hidden="1" customWidth="1"/>
    <col min="20" max="20" width="10.28515625" style="36" hidden="1" customWidth="1"/>
    <col min="21" max="21" width="5.85546875" style="36" hidden="1" customWidth="1"/>
    <col min="22" max="23" width="6.140625" style="36" hidden="1" customWidth="1"/>
    <col min="24" max="25" width="5.5703125" style="36" hidden="1" customWidth="1"/>
    <col min="26" max="26" width="5.28515625" style="36" hidden="1" customWidth="1"/>
    <col min="27" max="27" width="3" style="36" customWidth="1"/>
    <col min="28" max="28" width="11" style="36" customWidth="1"/>
    <col min="29" max="29" width="35" style="36" customWidth="1"/>
    <col min="30" max="30" width="12.5703125" style="36" customWidth="1"/>
    <col min="31" max="31" width="14.5703125" style="36" customWidth="1"/>
    <col min="32" max="32" width="12.5703125" style="36" customWidth="1"/>
    <col min="33" max="33" width="15" style="36" customWidth="1"/>
    <col min="34" max="34" width="16" style="36" customWidth="1"/>
    <col min="35" max="35" width="12.5703125" style="36" customWidth="1"/>
    <col min="36" max="44" width="12.5703125" style="36" hidden="1" customWidth="1"/>
    <col min="45" max="45" width="15.42578125" style="36" customWidth="1"/>
    <col min="46" max="54" width="15.42578125" style="36" hidden="1" customWidth="1"/>
    <col min="55" max="55" width="44.42578125" style="36" customWidth="1"/>
    <col min="56" max="56" width="3" style="36" customWidth="1"/>
    <col min="57" max="57" width="9.140625" style="36" hidden="1"/>
    <col min="58" max="60" width="9.140625" style="680" hidden="1"/>
    <col min="61" max="61" width="9.140625" hidden="1"/>
    <col min="62" max="63" width="9.140625" style="472" hidden="1"/>
  </cols>
  <sheetData>
    <row r="1" spans="1:63" ht="11.25" hidden="1" customHeight="1">
      <c r="E1" s="36"/>
      <c r="F1" s="36" t="s">
        <v>315</v>
      </c>
      <c r="G1" s="36" t="s">
        <v>326</v>
      </c>
      <c r="H1" s="36" t="s">
        <v>350</v>
      </c>
      <c r="T1" s="365" t="s">
        <v>93</v>
      </c>
      <c r="U1" s="365" t="s">
        <v>98</v>
      </c>
      <c r="V1" s="365" t="s">
        <v>94</v>
      </c>
      <c r="W1" s="365" t="s">
        <v>95</v>
      </c>
      <c r="X1" s="365" t="s">
        <v>96</v>
      </c>
      <c r="Y1" s="367" t="s">
        <v>317</v>
      </c>
      <c r="Z1" s="365" t="s">
        <v>100</v>
      </c>
      <c r="AA1" s="367" t="s">
        <v>97</v>
      </c>
      <c r="AB1" s="393"/>
      <c r="AC1" s="366" t="s">
        <v>99</v>
      </c>
      <c r="BF1" s="680" t="s">
        <v>318</v>
      </c>
      <c r="BG1" s="680" t="s">
        <v>319</v>
      </c>
      <c r="BH1" s="680" t="s">
        <v>320</v>
      </c>
      <c r="BI1" t="s">
        <v>841</v>
      </c>
      <c r="BJ1" s="472" t="s">
        <v>323</v>
      </c>
      <c r="BK1" s="472" t="s">
        <v>324</v>
      </c>
    </row>
    <row r="2" spans="1:63" s="65" customFormat="1" ht="11.25" hidden="1" customHeight="1">
      <c r="B2" s="353" t="s">
        <v>19</v>
      </c>
      <c r="C2" s="378"/>
      <c r="AF2" s="65" t="b" cm="1">
        <f t="array" ref="AF2">isOrgDeclare</f>
        <v>1</v>
      </c>
      <c r="AI2" s="354" t="b">
        <f t="shared" ref="AI2:AR2" si="0">AND(AI6&lt;=last_year_vis,isOrgDeclare)</f>
        <v>1</v>
      </c>
      <c r="AJ2" s="354" t="b">
        <f t="shared" si="0"/>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ref="AS2:BB2" si="1">AS6&lt;=last_year_vis</f>
        <v>1</v>
      </c>
      <c r="AT2" s="354" t="b">
        <f t="shared" si="1"/>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F2" s="681"/>
      <c r="BG2" s="681"/>
      <c r="BH2" s="681"/>
      <c r="BJ2" s="686"/>
      <c r="BK2" s="686"/>
    </row>
    <row r="3" spans="1:63" ht="11.25" hidden="1" customHeight="1">
      <c r="E3" s="36"/>
    </row>
    <row r="4" spans="1:63" ht="11.25" hidden="1" customHeight="1">
      <c r="E4" s="36"/>
    </row>
    <row r="5" spans="1:63" s="472" customFormat="1" ht="11.25" hidden="1" customHeight="1">
      <c r="A5" s="36"/>
      <c r="B5" s="65"/>
      <c r="C5" s="377"/>
      <c r="D5" s="36"/>
      <c r="E5" s="472" t="s">
        <v>20</v>
      </c>
      <c r="AA5" s="472">
        <v>3</v>
      </c>
      <c r="AB5" s="472">
        <v>11</v>
      </c>
      <c r="AC5" s="472">
        <v>35</v>
      </c>
      <c r="AD5" s="472">
        <v>12.57</v>
      </c>
      <c r="AE5" s="472">
        <v>14.57</v>
      </c>
      <c r="AF5" s="472">
        <v>12.57</v>
      </c>
      <c r="AG5" s="472">
        <v>15</v>
      </c>
      <c r="AH5" s="472">
        <v>16</v>
      </c>
      <c r="AI5" s="472">
        <v>12.57</v>
      </c>
      <c r="AJ5" s="472">
        <v>12.57</v>
      </c>
      <c r="AK5" s="472">
        <v>12.57</v>
      </c>
      <c r="AL5" s="472">
        <v>12.57</v>
      </c>
      <c r="AM5" s="472">
        <v>12.57</v>
      </c>
      <c r="AN5" s="472">
        <v>12.57</v>
      </c>
      <c r="AO5" s="472">
        <v>12.57</v>
      </c>
      <c r="AP5" s="472">
        <v>12.57</v>
      </c>
      <c r="AQ5" s="472">
        <v>12.57</v>
      </c>
      <c r="AR5" s="472">
        <v>12.57</v>
      </c>
      <c r="AS5" s="472">
        <v>15.43</v>
      </c>
      <c r="AT5" s="472">
        <v>15.43</v>
      </c>
      <c r="AU5" s="472">
        <v>15.43</v>
      </c>
      <c r="AV5" s="472">
        <v>15.43</v>
      </c>
      <c r="AW5" s="472">
        <v>15.43</v>
      </c>
      <c r="AX5" s="472">
        <v>15.43</v>
      </c>
      <c r="AY5" s="472">
        <v>15.43</v>
      </c>
      <c r="AZ5" s="472">
        <v>15.43</v>
      </c>
      <c r="BA5" s="472">
        <v>15.43</v>
      </c>
      <c r="BB5" s="472">
        <v>15.43</v>
      </c>
      <c r="BC5" s="472">
        <v>20</v>
      </c>
      <c r="BD5" s="472">
        <v>3</v>
      </c>
      <c r="BF5" s="680"/>
      <c r="BG5" s="680"/>
      <c r="BH5" s="680"/>
    </row>
    <row r="6" spans="1:63" ht="11.25" hidden="1" customHeight="1">
      <c r="A6" s="36" t="s">
        <v>353</v>
      </c>
      <c r="AE6" s="36">
        <f>god-2</f>
        <v>2024</v>
      </c>
      <c r="AF6" s="36">
        <f>god-2</f>
        <v>2024</v>
      </c>
      <c r="AG6" s="36">
        <f>god-2</f>
        <v>2024</v>
      </c>
      <c r="AH6" s="36">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3" ht="11.25" hidden="1" customHeight="1">
      <c r="A7" s="36" t="s">
        <v>354</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$AI$25</f>
        <v>Предложение организации</v>
      </c>
      <c r="AK7" s="36" t="str" cm="1">
        <f t="array" ref="AK7">$AI$25</f>
        <v>Предложение организации</v>
      </c>
      <c r="AL7" s="36" t="str" cm="1">
        <f t="array" ref="AL7">$AI$25</f>
        <v>Предложение организации</v>
      </c>
      <c r="AM7" s="36" t="str" cm="1">
        <f t="array" ref="AM7">$AI$25</f>
        <v>Предложение организации</v>
      </c>
      <c r="AN7" s="36" t="str" cm="1">
        <f t="array" ref="AN7">$AI$25</f>
        <v>Предложение организации</v>
      </c>
      <c r="AO7" s="36" t="str" cm="1">
        <f t="array" ref="AO7">$AI$25</f>
        <v>Предложение организации</v>
      </c>
      <c r="AP7" s="36" t="str" cm="1">
        <f t="array" ref="AP7">$AI$25</f>
        <v>Предложение организации</v>
      </c>
      <c r="AQ7" s="36" t="str" cm="1">
        <f t="array" ref="AQ7">$AI$25</f>
        <v>Предложение организации</v>
      </c>
      <c r="AR7" s="36" t="str" cm="1">
        <f t="array" ref="AR7">$AI$25</f>
        <v>Предложение организации</v>
      </c>
      <c r="AS7" s="36" t="str" cm="1">
        <f t="array" ref="AS7">$AS$25</f>
        <v>Принято органом регулирования</v>
      </c>
      <c r="AT7" s="36" t="str" cm="1">
        <f t="array" ref="AT7">$AS$25</f>
        <v>Принято органом регулирования</v>
      </c>
      <c r="AU7" s="36" t="str" cm="1">
        <f t="array" ref="AU7">$AS$25</f>
        <v>Принято органом регулирования</v>
      </c>
      <c r="AV7" s="36" t="str" cm="1">
        <f t="array" ref="AV7">$AS$25</f>
        <v>Принято органом регулирования</v>
      </c>
      <c r="AW7" s="36" t="str" cm="1">
        <f t="array" ref="AW7">$AS$25</f>
        <v>Принято органом регулирования</v>
      </c>
      <c r="AX7" s="36" t="str" cm="1">
        <f t="array" ref="AX7">$AS$25</f>
        <v>Принято органом регулирования</v>
      </c>
      <c r="AY7" s="36" t="str" cm="1">
        <f t="array" ref="AY7">$AS$25</f>
        <v>Принято органом регулирования</v>
      </c>
      <c r="AZ7" s="36" t="str" cm="1">
        <f t="array" ref="AZ7">$AS$25</f>
        <v>Принято органом регулирования</v>
      </c>
      <c r="BA7" s="36" t="str" cm="1">
        <f t="array" ref="BA7">$AS$25</f>
        <v>Принято органом регулирования</v>
      </c>
      <c r="BB7" s="36" t="str" cm="1">
        <f t="array" ref="BB7">$AS$25</f>
        <v>Принято органом регулирования</v>
      </c>
    </row>
    <row r="8" spans="1:63" ht="11.25" hidden="1" customHeight="1">
      <c r="AE8" s="36" t="str">
        <f t="shared" ref="AE8:BB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2025Принято органом регулирования</v>
      </c>
      <c r="AI8" s="36" t="str">
        <f t="shared" si="2"/>
        <v>2026Предложение организации</v>
      </c>
      <c r="AJ8" s="36" t="str">
        <f t="shared" si="2"/>
        <v>2027Предложение организации</v>
      </c>
      <c r="AK8" s="36" t="str">
        <f t="shared" si="2"/>
        <v>2028Предложение организации</v>
      </c>
      <c r="AL8" s="36" t="str">
        <f t="shared" si="2"/>
        <v>2029Предложение организации</v>
      </c>
      <c r="AM8" s="36" t="str">
        <f t="shared" si="2"/>
        <v>2030Предложение организации</v>
      </c>
      <c r="AN8" s="36" t="str">
        <f t="shared" si="2"/>
        <v>2031Предложение организации</v>
      </c>
      <c r="AO8" s="36" t="str">
        <f t="shared" si="2"/>
        <v>2032Предложение организации</v>
      </c>
      <c r="AP8" s="36" t="str">
        <f t="shared" si="2"/>
        <v>2033Предложение организации</v>
      </c>
      <c r="AQ8" s="36" t="str">
        <f t="shared" si="2"/>
        <v>2034Предложение организации</v>
      </c>
      <c r="AR8" s="36" t="str">
        <f t="shared" si="2"/>
        <v>2035Предложение организации</v>
      </c>
      <c r="AS8" s="36" t="str">
        <f t="shared" si="2"/>
        <v>2026Принято органом регулирования</v>
      </c>
      <c r="AT8" s="36" t="str">
        <f t="shared" si="2"/>
        <v>2027Принято органом регулирования</v>
      </c>
      <c r="AU8" s="36" t="str">
        <f t="shared" si="2"/>
        <v>2028Принято органом регулирования</v>
      </c>
      <c r="AV8" s="36" t="str">
        <f t="shared" si="2"/>
        <v>2029Принято органом регулирования</v>
      </c>
      <c r="AW8" s="36" t="str">
        <f t="shared" si="2"/>
        <v>2030Принято органом регулирования</v>
      </c>
      <c r="AX8" s="36" t="str">
        <f t="shared" si="2"/>
        <v>2031Принято органом регулирования</v>
      </c>
      <c r="AY8" s="36" t="str">
        <f t="shared" si="2"/>
        <v>2032Принято органом регулирования</v>
      </c>
      <c r="AZ8" s="36" t="str">
        <f t="shared" si="2"/>
        <v>2033Принято органом регулирования</v>
      </c>
      <c r="BA8" s="36" t="str">
        <f t="shared" si="2"/>
        <v>2034Принято органом регулирования</v>
      </c>
      <c r="BB8" s="36" t="str">
        <f t="shared" si="2"/>
        <v>2035Принято органом регулирования</v>
      </c>
    </row>
    <row r="9" spans="1:63" s="680" customFormat="1" ht="11.25" hidden="1" customHeight="1">
      <c r="A9" s="680" t="s">
        <v>358</v>
      </c>
      <c r="B9" s="681"/>
      <c r="C9" s="688"/>
      <c r="AE9" s="680" cm="1">
        <f t="array" ref="AE9">AE6</f>
        <v>2024</v>
      </c>
      <c r="AF9" s="680" cm="1">
        <f t="array" ref="AF9">AF6</f>
        <v>2024</v>
      </c>
      <c r="AG9" s="680" cm="1">
        <f t="array" ref="AG9">AG6</f>
        <v>2024</v>
      </c>
      <c r="AH9" s="680" cm="1">
        <f t="array" ref="AH9">AH6</f>
        <v>2025</v>
      </c>
      <c r="AI9" s="680" cm="1">
        <f t="array" ref="AI9">AI6</f>
        <v>2026</v>
      </c>
      <c r="AJ9" s="680" cm="1">
        <f t="array" ref="AJ9">AJ6</f>
        <v>2027</v>
      </c>
      <c r="AK9" s="680" cm="1">
        <f t="array" ref="AK9">AK6</f>
        <v>2028</v>
      </c>
      <c r="AL9" s="680" cm="1">
        <f t="array" ref="AL9">AL6</f>
        <v>2029</v>
      </c>
      <c r="AM9" s="680" cm="1">
        <f t="array" ref="AM9">AM6</f>
        <v>2030</v>
      </c>
      <c r="AN9" s="680" cm="1">
        <f t="array" ref="AN9">AN6</f>
        <v>2031</v>
      </c>
      <c r="AO9" s="680" cm="1">
        <f t="array" ref="AO9">AO6</f>
        <v>2032</v>
      </c>
      <c r="AP9" s="680" cm="1">
        <f t="array" ref="AP9">AP6</f>
        <v>2033</v>
      </c>
      <c r="AQ9" s="680" cm="1">
        <f t="array" ref="AQ9">AQ6</f>
        <v>2034</v>
      </c>
      <c r="AR9" s="680" cm="1">
        <f t="array" ref="AR9">AR6</f>
        <v>2035</v>
      </c>
      <c r="AS9" s="680" cm="1">
        <f t="array" ref="AS9">AS6</f>
        <v>2026</v>
      </c>
      <c r="AT9" s="680" cm="1">
        <f t="array" ref="AT9">AT6</f>
        <v>2027</v>
      </c>
      <c r="AU9" s="680" cm="1">
        <f t="array" ref="AU9">AU6</f>
        <v>2028</v>
      </c>
      <c r="AV9" s="680" cm="1">
        <f t="array" ref="AV9">AV6</f>
        <v>2029</v>
      </c>
      <c r="AW9" s="680" cm="1">
        <f t="array" ref="AW9">AW6</f>
        <v>2030</v>
      </c>
      <c r="AX9" s="680" cm="1">
        <f t="array" ref="AX9">AX6</f>
        <v>2031</v>
      </c>
      <c r="AY9" s="680" cm="1">
        <f t="array" ref="AY9">AY6</f>
        <v>2032</v>
      </c>
      <c r="AZ9" s="680" cm="1">
        <f t="array" ref="AZ9">AZ6</f>
        <v>2033</v>
      </c>
      <c r="BA9" s="680" cm="1">
        <f t="array" ref="BA9">BA6</f>
        <v>2034</v>
      </c>
      <c r="BB9" s="680" cm="1">
        <f t="array" ref="BB9">BB6</f>
        <v>2035</v>
      </c>
      <c r="BJ9" s="472"/>
      <c r="BK9" s="472"/>
    </row>
    <row r="10" spans="1:63" s="680" customFormat="1" ht="11.25" hidden="1" customHeight="1">
      <c r="A10" s="680" t="s">
        <v>359</v>
      </c>
      <c r="B10" s="681"/>
      <c r="C10" s="688"/>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J10" s="472"/>
      <c r="BK10" s="472"/>
    </row>
    <row r="11" spans="1:63" s="680" customFormat="1" ht="11.25" hidden="1" customHeight="1">
      <c r="A11" s="680" t="s">
        <v>360</v>
      </c>
      <c r="B11" s="681"/>
      <c r="C11" s="688"/>
      <c r="BC11" s="680" t="str" cm="1">
        <f t="array" ref="BC11">BC24</f>
        <v>Ссылка на правовую норму (основание для принятия показателя в расчет тарифа)</v>
      </c>
      <c r="BJ11" s="472"/>
      <c r="BK11" s="472"/>
    </row>
    <row r="12" spans="1:63" s="680" customFormat="1" ht="11.25" hidden="1" customHeight="1">
      <c r="A12" s="680" t="s">
        <v>333</v>
      </c>
      <c r="B12" s="681"/>
      <c r="C12" s="688"/>
      <c r="AC12" s="680" t="s">
        <v>320</v>
      </c>
      <c r="BJ12" s="472"/>
      <c r="BK12" s="472"/>
    </row>
    <row r="13" spans="1:63" ht="11.25" hidden="1" customHeight="1"/>
    <row r="14" spans="1:63" ht="11.25" hidden="1" customHeight="1"/>
    <row r="15" spans="1:63" ht="11.25" hidden="1" customHeight="1"/>
    <row r="16" spans="1:63" ht="11.25" hidden="1" customHeight="1"/>
    <row r="17" spans="2:63" ht="11.25" hidden="1" customHeight="1"/>
    <row r="18" spans="2:63" ht="11.25" hidden="1" customHeight="1">
      <c r="AC18" s="36" t="s">
        <v>194</v>
      </c>
    </row>
    <row r="19" spans="2:63" ht="11.25" hidden="1" customHeight="1"/>
    <row r="20" spans="2:63" ht="11.25" hidden="1" customHeight="1"/>
    <row r="21" spans="2:63" ht="14.65" customHeight="1">
      <c r="E21" s="472">
        <v>15</v>
      </c>
      <c r="AA21" s="78"/>
      <c r="AC21" s="3" t="str" cm="1">
        <f t="array" ref="AC21">tpl_title</f>
        <v>Кемеровская область / 2026 / ООО "Энергосервис г. Гурьевска" (ИНН:4202049045, КПП:420201001) / ДПР: 2024-2028</v>
      </c>
    </row>
    <row r="22" spans="2:63" s="78" customFormat="1" ht="19.5" customHeight="1">
      <c r="B22" s="65"/>
      <c r="C22" s="377"/>
      <c r="E22" s="473">
        <v>20</v>
      </c>
      <c r="AB22" s="239" t="s">
        <v>52</v>
      </c>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38"/>
      <c r="BF22" s="683"/>
      <c r="BG22" s="683"/>
      <c r="BH22" s="683"/>
      <c r="BJ22" s="473"/>
      <c r="BK22" s="473"/>
    </row>
    <row r="23" spans="2:63" s="78" customFormat="1" ht="10.9" customHeight="1">
      <c r="B23" s="65"/>
      <c r="C23" s="377"/>
      <c r="E23" s="473">
        <v>11.25</v>
      </c>
      <c r="AB23" s="133"/>
      <c r="AC23" s="133"/>
      <c r="AD23" s="133"/>
      <c r="AE23" s="134"/>
      <c r="AF23" s="134"/>
      <c r="AG23" s="134"/>
      <c r="AH23" s="134"/>
      <c r="AI23" s="133"/>
      <c r="AJ23" s="133"/>
      <c r="AK23" s="133"/>
      <c r="AL23" s="133"/>
      <c r="AM23" s="133"/>
      <c r="AN23" s="133"/>
      <c r="AO23" s="133"/>
      <c r="AP23" s="133"/>
      <c r="AQ23" s="133"/>
      <c r="AR23" s="133"/>
      <c r="AS23" s="133"/>
      <c r="AT23" s="133"/>
      <c r="AU23" s="133"/>
      <c r="AV23" s="133"/>
      <c r="AW23" s="133"/>
      <c r="AX23" s="133"/>
      <c r="AY23" s="133"/>
      <c r="AZ23" s="133"/>
      <c r="BA23" s="133"/>
      <c r="BB23" s="133"/>
      <c r="BC23" s="133"/>
      <c r="BF23" s="683"/>
      <c r="BG23" s="683"/>
      <c r="BH23" s="683"/>
      <c r="BJ23" s="473"/>
      <c r="BK23" s="473"/>
    </row>
    <row r="24" spans="2:63" s="79" customFormat="1" ht="14.65" customHeight="1">
      <c r="B24" s="338"/>
      <c r="C24" s="379"/>
      <c r="E24" s="470">
        <v>15</v>
      </c>
      <c r="AB24" s="1122" t="s">
        <v>22</v>
      </c>
      <c r="AC24" s="1122" t="s">
        <v>362</v>
      </c>
      <c r="AD24" s="1122" t="s">
        <v>363</v>
      </c>
      <c r="AE24" s="274" t="str">
        <f>god-2&amp;" год"</f>
        <v>2024 год</v>
      </c>
      <c r="AF24" s="737" t="str">
        <f>god-2&amp;" год"</f>
        <v>2024 год</v>
      </c>
      <c r="AG24" s="274" t="str">
        <f>god-2&amp;" год"</f>
        <v>2024 год</v>
      </c>
      <c r="AH24" s="32" t="str">
        <f>god-1&amp;" год"</f>
        <v>2025 год</v>
      </c>
      <c r="AI24" s="734" t="str">
        <f>god&amp;" год"</f>
        <v>2026 год</v>
      </c>
      <c r="AJ24" s="734" t="str">
        <f>god+1&amp;" год"</f>
        <v>2027 год</v>
      </c>
      <c r="AK24" s="734" t="str">
        <f>god+2&amp;" год"</f>
        <v>2028 год</v>
      </c>
      <c r="AL24" s="734" t="str">
        <f>god+3&amp;" год"</f>
        <v>2029 год</v>
      </c>
      <c r="AM24" s="734" t="str">
        <f>god+4&amp;" год"</f>
        <v>2030 год</v>
      </c>
      <c r="AN24" s="734" t="str">
        <f>god+5&amp;" год"</f>
        <v>2031 год</v>
      </c>
      <c r="AO24" s="734" t="str">
        <f>god+6&amp;" год"</f>
        <v>2032 год</v>
      </c>
      <c r="AP24" s="734" t="str">
        <f>god+7&amp;" год"</f>
        <v>2033 год</v>
      </c>
      <c r="AQ24" s="734" t="str">
        <f>god+8&amp;" год"</f>
        <v>2034 год</v>
      </c>
      <c r="AR24" s="734"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1089" t="s">
        <v>529</v>
      </c>
      <c r="BF24" s="678"/>
      <c r="BG24" s="678"/>
      <c r="BH24" s="678"/>
      <c r="BJ24" s="470"/>
      <c r="BK24" s="470"/>
    </row>
    <row r="25" spans="2:63" s="79" customFormat="1" ht="48.75" customHeight="1">
      <c r="B25" s="338"/>
      <c r="C25" s="379"/>
      <c r="E25" s="470">
        <v>50</v>
      </c>
      <c r="AB25" s="1122"/>
      <c r="AC25" s="1122"/>
      <c r="AD25" s="1122"/>
      <c r="AE25" s="30" t="s">
        <v>355</v>
      </c>
      <c r="AF25" s="734" t="s">
        <v>450</v>
      </c>
      <c r="AG25" s="30" t="s">
        <v>451</v>
      </c>
      <c r="AH25" s="30" t="s">
        <v>355</v>
      </c>
      <c r="AI25" s="738" t="s">
        <v>356</v>
      </c>
      <c r="AJ25" s="738" t="s">
        <v>356</v>
      </c>
      <c r="AK25" s="738" t="s">
        <v>356</v>
      </c>
      <c r="AL25" s="738" t="s">
        <v>356</v>
      </c>
      <c r="AM25" s="738" t="s">
        <v>356</v>
      </c>
      <c r="AN25" s="738" t="s">
        <v>356</v>
      </c>
      <c r="AO25" s="738" t="s">
        <v>356</v>
      </c>
      <c r="AP25" s="738" t="s">
        <v>356</v>
      </c>
      <c r="AQ25" s="738" t="s">
        <v>356</v>
      </c>
      <c r="AR25" s="738" t="s">
        <v>356</v>
      </c>
      <c r="AS25" s="275" t="s">
        <v>355</v>
      </c>
      <c r="AT25" s="275" t="s">
        <v>355</v>
      </c>
      <c r="AU25" s="275" t="s">
        <v>355</v>
      </c>
      <c r="AV25" s="275" t="s">
        <v>355</v>
      </c>
      <c r="AW25" s="275" t="s">
        <v>355</v>
      </c>
      <c r="AX25" s="275" t="s">
        <v>355</v>
      </c>
      <c r="AY25" s="275" t="s">
        <v>355</v>
      </c>
      <c r="AZ25" s="275" t="s">
        <v>355</v>
      </c>
      <c r="BA25" s="275" t="s">
        <v>355</v>
      </c>
      <c r="BB25" s="275" t="s">
        <v>355</v>
      </c>
      <c r="BC25" s="1089"/>
      <c r="BF25" s="678"/>
      <c r="BG25" s="678"/>
      <c r="BH25" s="678"/>
      <c r="BJ25" s="470"/>
      <c r="BK25" s="470"/>
    </row>
    <row r="26" spans="2:63" s="79" customFormat="1" ht="14.25" hidden="1" customHeight="1">
      <c r="B26" s="338"/>
      <c r="C26" s="379"/>
      <c r="E26" s="470">
        <v>0</v>
      </c>
      <c r="AB26" s="533"/>
      <c r="AC26" s="533"/>
      <c r="AD26" s="533"/>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F26" s="678"/>
      <c r="BG26" s="678"/>
      <c r="BH26" s="678"/>
      <c r="BJ26" s="470"/>
      <c r="BK26" s="470"/>
    </row>
    <row r="27" spans="2:63" s="79" customFormat="1" ht="14.65" hidden="1" customHeight="1">
      <c r="B27" s="338"/>
      <c r="C27" s="378"/>
      <c r="E27" s="472">
        <v>15</v>
      </c>
      <c r="F27" s="36" cm="1">
        <f t="array" ref="F27">X27</f>
        <v>0</v>
      </c>
      <c r="G27" s="36"/>
      <c r="H27" s="36"/>
      <c r="T27" s="365" t="b">
        <f>X27&gt;0</f>
        <v>0</v>
      </c>
      <c r="V27" s="79" t="s">
        <v>264</v>
      </c>
      <c r="X27" s="1050">
        <v>0</v>
      </c>
      <c r="Z27" s="1076"/>
      <c r="AB27" s="116" t="str" cm="1">
        <f t="array" ref="AB27">INDEX('Общие сведения'!$AG$179:$AG$222,MATCH($X27,'Общие сведения'!$Z$179:$Z$222,0))</f>
        <v xml:space="preserve">Тариф 0 () - </v>
      </c>
      <c r="AC27" s="113"/>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F27" s="678"/>
      <c r="BG27" s="678"/>
      <c r="BH27" s="678"/>
      <c r="BJ27" s="470"/>
      <c r="BK27" s="470"/>
    </row>
    <row r="28" spans="2:63" s="81" customFormat="1" ht="10.9" hidden="1" customHeight="1">
      <c r="B28" s="338"/>
      <c r="C28" s="376"/>
      <c r="D28" s="378"/>
      <c r="E28" s="198">
        <v>11.25</v>
      </c>
      <c r="F28" s="3" cm="1">
        <f t="array" aca="1" ref="F28" ca="1">OFFSET(E28,-1,1)</f>
        <v>0</v>
      </c>
      <c r="G28" s="61" t="s">
        <v>327</v>
      </c>
      <c r="H28" s="61"/>
      <c r="K28" s="376" t="str">
        <f ca="1">F28&amp;"komm"</f>
        <v>0komm</v>
      </c>
      <c r="L28" s="616" cm="1">
        <f t="array" ref="L28">BC28</f>
        <v>0</v>
      </c>
      <c r="T28" s="365" t="b" cm="1">
        <f t="array" ref="T28">T27</f>
        <v>0</v>
      </c>
      <c r="X28" s="1050"/>
      <c r="Z28" s="1076"/>
      <c r="AB28" s="27" t="s">
        <v>275</v>
      </c>
      <c r="AC28" s="73" t="s">
        <v>803</v>
      </c>
      <c r="AD28" s="27" t="s">
        <v>804</v>
      </c>
      <c r="AE28" s="77">
        <f t="shared" ref="AE28:BB28" si="3">IF(COUNTIF(AE33:AE48,"Ошибка")&gt;0,"Ошибка",SUMIF($AD33:$AD48,$AD28,AE33:AE48))</f>
        <v>0</v>
      </c>
      <c r="AF28" s="77">
        <f t="shared" si="3"/>
        <v>0</v>
      </c>
      <c r="AG28" s="77">
        <f t="shared" si="3"/>
        <v>0</v>
      </c>
      <c r="AH28" s="77">
        <f t="shared" si="3"/>
        <v>0</v>
      </c>
      <c r="AI28" s="77">
        <f t="shared" si="3"/>
        <v>0</v>
      </c>
      <c r="AJ28" s="77">
        <f t="shared" si="3"/>
        <v>0</v>
      </c>
      <c r="AK28" s="77">
        <f t="shared" si="3"/>
        <v>0</v>
      </c>
      <c r="AL28" s="77">
        <f t="shared" si="3"/>
        <v>0</v>
      </c>
      <c r="AM28" s="77">
        <f t="shared" si="3"/>
        <v>0</v>
      </c>
      <c r="AN28" s="77">
        <f t="shared" si="3"/>
        <v>0</v>
      </c>
      <c r="AO28" s="77">
        <f t="shared" si="3"/>
        <v>0</v>
      </c>
      <c r="AP28" s="77">
        <f t="shared" si="3"/>
        <v>0</v>
      </c>
      <c r="AQ28" s="77">
        <f t="shared" si="3"/>
        <v>0</v>
      </c>
      <c r="AR28" s="77">
        <f t="shared" si="3"/>
        <v>0</v>
      </c>
      <c r="AS28" s="77">
        <f t="shared" si="3"/>
        <v>0</v>
      </c>
      <c r="AT28" s="77">
        <f t="shared" si="3"/>
        <v>0</v>
      </c>
      <c r="AU28" s="77">
        <f t="shared" si="3"/>
        <v>0</v>
      </c>
      <c r="AV28" s="77">
        <f t="shared" si="3"/>
        <v>0</v>
      </c>
      <c r="AW28" s="77">
        <f t="shared" si="3"/>
        <v>0</v>
      </c>
      <c r="AX28" s="77">
        <f t="shared" si="3"/>
        <v>0</v>
      </c>
      <c r="AY28" s="77">
        <f t="shared" si="3"/>
        <v>0</v>
      </c>
      <c r="AZ28" s="77">
        <f t="shared" si="3"/>
        <v>0</v>
      </c>
      <c r="BA28" s="77">
        <f t="shared" si="3"/>
        <v>0</v>
      </c>
      <c r="BB28" s="77">
        <f t="shared" si="3"/>
        <v>0</v>
      </c>
      <c r="BC28" s="839"/>
      <c r="BF28" s="687" t="s">
        <v>842</v>
      </c>
      <c r="BG28" s="687"/>
      <c r="BH28" s="687"/>
      <c r="BJ28" s="198"/>
      <c r="BK28" s="198"/>
    </row>
    <row r="29" spans="2:63" s="81" customFormat="1" ht="10.9" hidden="1" customHeight="1">
      <c r="B29" s="338"/>
      <c r="C29" s="376"/>
      <c r="E29" s="198">
        <v>11.25</v>
      </c>
      <c r="F29" s="3" cm="1">
        <f t="array" aca="1" ref="F29" ca="1">OFFSET(E29,-1,1)</f>
        <v>0</v>
      </c>
      <c r="G29" s="61" t="s">
        <v>328</v>
      </c>
      <c r="H29" s="61"/>
      <c r="T29" s="365" t="b" cm="1">
        <f t="array" ref="T29">T28</f>
        <v>0</v>
      </c>
      <c r="X29" s="1050"/>
      <c r="Z29" s="1076"/>
      <c r="AB29" s="27" t="s">
        <v>285</v>
      </c>
      <c r="AC29" s="73" t="s">
        <v>843</v>
      </c>
      <c r="AD29" s="30" t="s">
        <v>844</v>
      </c>
      <c r="AE29" s="77">
        <f>SUMIF(AD33:AD48,AD29,AE33:AE48)</f>
        <v>0</v>
      </c>
      <c r="AF29" s="77">
        <f>SUMIF(AD33:AD48,AD29,AF33:AF48)</f>
        <v>0</v>
      </c>
      <c r="AG29" s="77">
        <f>SUMIF(AD33:AD48,AD29,AG33:AG48)</f>
        <v>0</v>
      </c>
      <c r="AH29" s="77">
        <f>SUMIF(AD33:AD48,AD29,AH33:AH48)</f>
        <v>0</v>
      </c>
      <c r="AI29" s="77">
        <f>SUMIF(AD33:AD48,AD29,AI33:AI48)</f>
        <v>0</v>
      </c>
      <c r="AJ29" s="77">
        <f>SUMIF(AD33:AD48,AD29,AJ33:AJ48)</f>
        <v>0</v>
      </c>
      <c r="AK29" s="77">
        <f>SUMIF(AD33:AD48,AD29,AK33:AK48)</f>
        <v>0</v>
      </c>
      <c r="AL29" s="77">
        <f>SUMIF(AD33:AD48,AD29,AL33:AL48)</f>
        <v>0</v>
      </c>
      <c r="AM29" s="77">
        <f>SUMIF(AD33:AD48,AD29,AM33:AM48)</f>
        <v>0</v>
      </c>
      <c r="AN29" s="77">
        <f>SUMIF(AD33:AD48,AD29,AN33:AN48)</f>
        <v>0</v>
      </c>
      <c r="AO29" s="77">
        <f>SUMIF(AD33:AD48,AD29,AO33:AO48)</f>
        <v>0</v>
      </c>
      <c r="AP29" s="77">
        <f>SUMIF(AD33:AD48,AD29,AP33:AP48)</f>
        <v>0</v>
      </c>
      <c r="AQ29" s="77">
        <f>SUMIF(AD33:AD48,AD29,AQ33:AQ48)</f>
        <v>0</v>
      </c>
      <c r="AR29" s="77">
        <f>SUMIF(AD33:AD48,AD29,AR33:AR48)</f>
        <v>0</v>
      </c>
      <c r="AS29" s="77">
        <f>SUMIF(AD33:AD48,AD29,AS33:AS48)</f>
        <v>0</v>
      </c>
      <c r="AT29" s="77">
        <f>SUMIF(AD33:AD48,AD29,AT33:AT48)</f>
        <v>0</v>
      </c>
      <c r="AU29" s="77">
        <f>SUMIF(AD33:AD48,AD29,AU33:AU48)</f>
        <v>0</v>
      </c>
      <c r="AV29" s="77">
        <f>SUMIF(AD33:AD48,AD29,AV33:AV48)</f>
        <v>0</v>
      </c>
      <c r="AW29" s="77">
        <f>SUMIF(AD33:AD48,AD29,AW33:AW48)</f>
        <v>0</v>
      </c>
      <c r="AX29" s="77">
        <f>SUMIF(AD33:AD48,AD29,AX33:AX48)</f>
        <v>0</v>
      </c>
      <c r="AY29" s="77">
        <f>SUMIF(AD33:AD48,AD29,AY33:AY48)</f>
        <v>0</v>
      </c>
      <c r="AZ29" s="77">
        <f>SUMIF(AD33:AD48,AD29,AZ33:AZ48)</f>
        <v>0</v>
      </c>
      <c r="BA29" s="77">
        <f>SUMIF(AD33:AD48,AD29,BA33:BA48)</f>
        <v>0</v>
      </c>
      <c r="BB29" s="77">
        <f>SUMIF(AD33:AD48,AD29,BB33:BB48)</f>
        <v>0</v>
      </c>
      <c r="BC29" s="839"/>
      <c r="BF29" s="687" t="s">
        <v>845</v>
      </c>
      <c r="BG29" s="687"/>
      <c r="BH29" s="687"/>
      <c r="BJ29" s="198"/>
      <c r="BK29" s="198"/>
    </row>
    <row r="30" spans="2:63" s="81" customFormat="1" ht="10.9" hidden="1" customHeight="1">
      <c r="B30" s="338"/>
      <c r="C30" s="376"/>
      <c r="E30" s="198">
        <v>11.25</v>
      </c>
      <c r="F30" s="3" cm="1">
        <f t="array" aca="1" ref="F30" ca="1">OFFSET(E30,-1,1)</f>
        <v>0</v>
      </c>
      <c r="G30" s="61" t="s">
        <v>329</v>
      </c>
      <c r="H30" s="61"/>
      <c r="T30" s="365" t="b" cm="1">
        <f t="array" ref="T30">T29</f>
        <v>0</v>
      </c>
      <c r="X30" s="1050"/>
      <c r="Z30" s="1076"/>
      <c r="AB30" s="27" t="s">
        <v>325</v>
      </c>
      <c r="AC30" s="73" t="s">
        <v>846</v>
      </c>
      <c r="AD30" s="30" t="s">
        <v>847</v>
      </c>
      <c r="AE30" s="880"/>
      <c r="AF30" s="880"/>
      <c r="AG30" s="880"/>
      <c r="AH30" s="880"/>
      <c r="AI30" s="880"/>
      <c r="AJ30" s="880"/>
      <c r="AK30" s="880"/>
      <c r="AL30" s="880"/>
      <c r="AM30" s="880"/>
      <c r="AN30" s="880"/>
      <c r="AO30" s="880"/>
      <c r="AP30" s="880"/>
      <c r="AQ30" s="880"/>
      <c r="AR30" s="880"/>
      <c r="AS30" s="880"/>
      <c r="AT30" s="880"/>
      <c r="AU30" s="880"/>
      <c r="AV30" s="880"/>
      <c r="AW30" s="880"/>
      <c r="AX30" s="880"/>
      <c r="AY30" s="880"/>
      <c r="AZ30" s="880"/>
      <c r="BA30" s="880"/>
      <c r="BB30" s="880"/>
      <c r="BC30" s="839"/>
      <c r="BF30" s="687" t="s">
        <v>848</v>
      </c>
      <c r="BG30" s="687"/>
      <c r="BH30" s="687"/>
      <c r="BJ30" s="198"/>
      <c r="BK30" s="198"/>
    </row>
    <row r="31" spans="2:63" s="81" customFormat="1" ht="10.9" hidden="1" customHeight="1">
      <c r="B31" s="338"/>
      <c r="C31" s="376"/>
      <c r="E31" s="198">
        <v>11.25</v>
      </c>
      <c r="F31" s="3" cm="1">
        <f t="array" aca="1" ref="F31" ca="1">OFFSET(E31,-1,1)</f>
        <v>0</v>
      </c>
      <c r="G31" s="61" t="s">
        <v>331</v>
      </c>
      <c r="H31" s="61"/>
      <c r="T31" s="365" t="b" cm="1">
        <f t="array" ref="T31">T30</f>
        <v>0</v>
      </c>
      <c r="X31" s="1050"/>
      <c r="Z31" s="1076"/>
      <c r="AB31" s="27" t="s">
        <v>433</v>
      </c>
      <c r="AC31" s="73" t="s">
        <v>849</v>
      </c>
      <c r="AD31" s="30" t="s">
        <v>850</v>
      </c>
      <c r="AE31" s="77">
        <f t="shared" ref="AE31:BB31" si="4">IF(AE29=0,0,AE28/AE29)</f>
        <v>0</v>
      </c>
      <c r="AF31" s="77">
        <f t="shared" si="4"/>
        <v>0</v>
      </c>
      <c r="AG31" s="77">
        <f t="shared" si="4"/>
        <v>0</v>
      </c>
      <c r="AH31" s="77">
        <f t="shared" si="4"/>
        <v>0</v>
      </c>
      <c r="AI31" s="77">
        <f t="shared" si="4"/>
        <v>0</v>
      </c>
      <c r="AJ31" s="77">
        <f t="shared" si="4"/>
        <v>0</v>
      </c>
      <c r="AK31" s="77">
        <f t="shared" si="4"/>
        <v>0</v>
      </c>
      <c r="AL31" s="77">
        <f t="shared" si="4"/>
        <v>0</v>
      </c>
      <c r="AM31" s="77">
        <f t="shared" si="4"/>
        <v>0</v>
      </c>
      <c r="AN31" s="77">
        <f t="shared" si="4"/>
        <v>0</v>
      </c>
      <c r="AO31" s="77">
        <f t="shared" si="4"/>
        <v>0</v>
      </c>
      <c r="AP31" s="77">
        <f t="shared" si="4"/>
        <v>0</v>
      </c>
      <c r="AQ31" s="77">
        <f t="shared" si="4"/>
        <v>0</v>
      </c>
      <c r="AR31" s="77">
        <f t="shared" si="4"/>
        <v>0</v>
      </c>
      <c r="AS31" s="77">
        <f t="shared" si="4"/>
        <v>0</v>
      </c>
      <c r="AT31" s="77">
        <f t="shared" si="4"/>
        <v>0</v>
      </c>
      <c r="AU31" s="77">
        <f t="shared" si="4"/>
        <v>0</v>
      </c>
      <c r="AV31" s="77">
        <f t="shared" si="4"/>
        <v>0</v>
      </c>
      <c r="AW31" s="77">
        <f t="shared" si="4"/>
        <v>0</v>
      </c>
      <c r="AX31" s="77">
        <f t="shared" si="4"/>
        <v>0</v>
      </c>
      <c r="AY31" s="77">
        <f t="shared" si="4"/>
        <v>0</v>
      </c>
      <c r="AZ31" s="77">
        <f t="shared" si="4"/>
        <v>0</v>
      </c>
      <c r="BA31" s="77">
        <f t="shared" si="4"/>
        <v>0</v>
      </c>
      <c r="BB31" s="77">
        <f t="shared" si="4"/>
        <v>0</v>
      </c>
      <c r="BC31" s="839"/>
      <c r="BF31" s="687" t="s">
        <v>851</v>
      </c>
      <c r="BG31" s="687"/>
      <c r="BH31" s="687"/>
      <c r="BJ31" s="198"/>
      <c r="BK31" s="198"/>
    </row>
    <row r="32" spans="2:63" s="81" customFormat="1" ht="10.9" hidden="1" customHeight="1">
      <c r="B32" s="338"/>
      <c r="C32" s="376"/>
      <c r="E32" s="198">
        <v>11.25</v>
      </c>
      <c r="F32" s="3" cm="1">
        <f t="array" aca="1" ref="F32" ca="1">OFFSET(E32,-1,1)</f>
        <v>0</v>
      </c>
      <c r="G32" s="61" t="s">
        <v>330</v>
      </c>
      <c r="H32" s="61"/>
      <c r="T32" s="365" t="b" cm="1">
        <f t="array" ref="T32">T31</f>
        <v>0</v>
      </c>
      <c r="X32" s="1050"/>
      <c r="Z32" s="1076"/>
      <c r="AB32" s="27" t="s">
        <v>444</v>
      </c>
      <c r="AC32" s="73" t="s">
        <v>852</v>
      </c>
      <c r="AD32" s="30" t="s">
        <v>853</v>
      </c>
      <c r="AE32" s="236">
        <f t="shared" ref="AE32:BB32" si="5">IF(AE30=0,0,AE29/AE30)</f>
        <v>0</v>
      </c>
      <c r="AF32" s="236">
        <f t="shared" si="5"/>
        <v>0</v>
      </c>
      <c r="AG32" s="236">
        <f t="shared" si="5"/>
        <v>0</v>
      </c>
      <c r="AH32" s="236">
        <f t="shared" si="5"/>
        <v>0</v>
      </c>
      <c r="AI32" s="236">
        <f t="shared" si="5"/>
        <v>0</v>
      </c>
      <c r="AJ32" s="236">
        <f t="shared" si="5"/>
        <v>0</v>
      </c>
      <c r="AK32" s="236">
        <f t="shared" si="5"/>
        <v>0</v>
      </c>
      <c r="AL32" s="236">
        <f t="shared" si="5"/>
        <v>0</v>
      </c>
      <c r="AM32" s="236">
        <f t="shared" si="5"/>
        <v>0</v>
      </c>
      <c r="AN32" s="236">
        <f t="shared" si="5"/>
        <v>0</v>
      </c>
      <c r="AO32" s="236">
        <f t="shared" si="5"/>
        <v>0</v>
      </c>
      <c r="AP32" s="236">
        <f t="shared" si="5"/>
        <v>0</v>
      </c>
      <c r="AQ32" s="236">
        <f t="shared" si="5"/>
        <v>0</v>
      </c>
      <c r="AR32" s="236">
        <f t="shared" si="5"/>
        <v>0</v>
      </c>
      <c r="AS32" s="236">
        <f t="shared" si="5"/>
        <v>0</v>
      </c>
      <c r="AT32" s="236">
        <f t="shared" si="5"/>
        <v>0</v>
      </c>
      <c r="AU32" s="236">
        <f t="shared" si="5"/>
        <v>0</v>
      </c>
      <c r="AV32" s="236">
        <f t="shared" si="5"/>
        <v>0</v>
      </c>
      <c r="AW32" s="236">
        <f t="shared" si="5"/>
        <v>0</v>
      </c>
      <c r="AX32" s="236">
        <f t="shared" si="5"/>
        <v>0</v>
      </c>
      <c r="AY32" s="236">
        <f t="shared" si="5"/>
        <v>0</v>
      </c>
      <c r="AZ32" s="236">
        <f t="shared" si="5"/>
        <v>0</v>
      </c>
      <c r="BA32" s="236">
        <f t="shared" si="5"/>
        <v>0</v>
      </c>
      <c r="BB32" s="236">
        <f t="shared" si="5"/>
        <v>0</v>
      </c>
      <c r="BC32" s="839"/>
      <c r="BF32" s="687" t="s">
        <v>854</v>
      </c>
      <c r="BG32" s="687"/>
      <c r="BH32" s="687"/>
      <c r="BJ32" s="198"/>
      <c r="BK32" s="198"/>
    </row>
    <row r="33" spans="2:63" s="81" customFormat="1" ht="12.6" hidden="1" customHeight="1">
      <c r="B33" s="338"/>
      <c r="C33" s="376"/>
      <c r="E33" s="198">
        <v>13</v>
      </c>
      <c r="F33" s="3" cm="1">
        <f t="array" aca="1" ref="F33" ca="1">OFFSET(E33,-1,1)</f>
        <v>0</v>
      </c>
      <c r="G33" s="61"/>
      <c r="H33" s="61"/>
      <c r="T33" s="365" t="b" cm="1">
        <f t="array" ref="T33">T32</f>
        <v>0</v>
      </c>
      <c r="X33" s="1050"/>
      <c r="Z33" s="1076"/>
      <c r="AB33" s="487"/>
      <c r="AC33" s="197" t="s">
        <v>855</v>
      </c>
      <c r="AD33" s="198"/>
      <c r="AE33" s="199"/>
      <c r="AF33" s="199"/>
      <c r="AG33" s="199"/>
      <c r="AH33" s="199"/>
      <c r="AI33" s="199"/>
      <c r="AJ33" s="199"/>
      <c r="AK33" s="199"/>
      <c r="AL33" s="199"/>
      <c r="AM33" s="199"/>
      <c r="AN33" s="199"/>
      <c r="AO33" s="199"/>
      <c r="AP33" s="199"/>
      <c r="AQ33" s="199"/>
      <c r="AR33" s="199"/>
      <c r="AS33" s="199"/>
      <c r="AT33" s="199"/>
      <c r="AU33" s="199"/>
      <c r="AV33" s="199"/>
      <c r="AW33" s="199"/>
      <c r="AX33" s="199"/>
      <c r="AY33" s="199"/>
      <c r="AZ33" s="199"/>
      <c r="BA33" s="199"/>
      <c r="BB33" s="199"/>
      <c r="BC33" s="200"/>
      <c r="BF33" s="687"/>
      <c r="BG33" s="687"/>
      <c r="BH33" s="687"/>
      <c r="BJ33" s="198"/>
      <c r="BK33" s="198"/>
    </row>
    <row r="34" spans="2:63" ht="10.7" hidden="1" customHeight="1">
      <c r="B34" s="865"/>
      <c r="C34" s="376"/>
      <c r="E34" s="198">
        <v>11</v>
      </c>
      <c r="F34" s="3" cm="1">
        <f t="array" aca="1" ref="F34" ca="1">OFFSET(E34,-1,1)</f>
        <v>0</v>
      </c>
      <c r="G34" s="61"/>
      <c r="H34" s="61"/>
      <c r="T34" s="365" t="b">
        <f ca="1">AND(F34&gt;0,Y34&gt;0)</f>
        <v>0</v>
      </c>
      <c r="W34" s="528" t="s">
        <v>173</v>
      </c>
      <c r="X34" s="1121"/>
      <c r="Y34" s="1123">
        <v>0</v>
      </c>
      <c r="Z34" s="1121"/>
      <c r="AA34" s="1124" t="s">
        <v>174</v>
      </c>
      <c r="AB34" s="27" t="str">
        <f>"6."&amp;Y34</f>
        <v>6.0</v>
      </c>
      <c r="AC34" s="881"/>
      <c r="AD34" s="27"/>
      <c r="AE34" s="271"/>
      <c r="AF34" s="271"/>
      <c r="AG34" s="271"/>
      <c r="AH34" s="271"/>
      <c r="AI34" s="271"/>
      <c r="AJ34" s="271"/>
      <c r="AK34" s="271"/>
      <c r="AL34" s="271"/>
      <c r="AM34" s="271"/>
      <c r="AN34" s="271"/>
      <c r="AO34" s="271"/>
      <c r="AP34" s="271"/>
      <c r="AQ34" s="271"/>
      <c r="AR34" s="271"/>
      <c r="AS34" s="271"/>
      <c r="AT34" s="271"/>
      <c r="AU34" s="271"/>
      <c r="AV34" s="271"/>
      <c r="AW34" s="271"/>
      <c r="AX34" s="271"/>
      <c r="AY34" s="271"/>
      <c r="AZ34" s="271"/>
      <c r="BA34" s="271"/>
      <c r="BB34" s="271"/>
      <c r="BC34" s="271"/>
      <c r="BD34" s="856"/>
      <c r="BF34" s="687"/>
      <c r="BG34" s="687"/>
      <c r="BH34" s="687"/>
      <c r="BI34" s="687"/>
      <c r="BJ34" s="198"/>
      <c r="BK34" s="198"/>
    </row>
    <row r="35" spans="2:63" s="81" customFormat="1" ht="10.9" hidden="1" customHeight="1">
      <c r="B35" s="338"/>
      <c r="C35" s="376"/>
      <c r="E35" s="198">
        <v>11.25</v>
      </c>
      <c r="F35" s="3" cm="1">
        <f t="array" aca="1" ref="F35" ca="1">OFFSET(E35,-1,1)</f>
        <v>0</v>
      </c>
      <c r="G35" s="61" t="s">
        <v>511</v>
      </c>
      <c r="H35" s="61" cm="1">
        <f t="array" ref="H35">AC35</f>
        <v>0</v>
      </c>
      <c r="T35" s="365" t="b" cm="1">
        <f t="array" aca="1" ref="T35" ca="1">T34</f>
        <v>0</v>
      </c>
      <c r="W35" s="528"/>
      <c r="X35" s="1050"/>
      <c r="Y35" s="1050">
        <v>0</v>
      </c>
      <c r="Z35" s="1076"/>
      <c r="AA35" s="1049" t="s">
        <v>174</v>
      </c>
      <c r="AB35" s="27" t="str">
        <f>AB34&amp;".1"</f>
        <v>6.0.1</v>
      </c>
      <c r="AC35" s="875"/>
      <c r="AD35" s="27" t="s">
        <v>804</v>
      </c>
      <c r="AE35" s="833"/>
      <c r="AF35" s="833"/>
      <c r="AG35" s="833"/>
      <c r="AH35" s="833"/>
      <c r="AI35" s="833"/>
      <c r="AJ35" s="833"/>
      <c r="AK35" s="833"/>
      <c r="AL35" s="833"/>
      <c r="AM35" s="833"/>
      <c r="AN35" s="833"/>
      <c r="AO35" s="833"/>
      <c r="AP35" s="833"/>
      <c r="AQ35" s="833"/>
      <c r="AR35" s="833"/>
      <c r="AS35" s="833"/>
      <c r="AT35" s="833"/>
      <c r="AU35" s="833"/>
      <c r="AV35" s="833"/>
      <c r="AW35" s="833"/>
      <c r="AX35" s="833"/>
      <c r="AY35" s="833"/>
      <c r="AZ35" s="833"/>
      <c r="BA35" s="833"/>
      <c r="BB35" s="833"/>
      <c r="BC35" s="839"/>
      <c r="BF35" s="687" t="s">
        <v>856</v>
      </c>
      <c r="BG35" s="687" t="s">
        <v>857</v>
      </c>
      <c r="BH35" s="687" cm="1">
        <f t="array" ref="BH35">AC35</f>
        <v>0</v>
      </c>
      <c r="BI35" s="81" cm="1">
        <f t="array" ref="BI35">AC34</f>
        <v>0</v>
      </c>
      <c r="BJ35" s="198"/>
      <c r="BK35" s="198" t="b">
        <v>1</v>
      </c>
    </row>
    <row r="36" spans="2:63" s="81" customFormat="1" ht="10.9" hidden="1" customHeight="1">
      <c r="B36" s="338"/>
      <c r="C36" s="376"/>
      <c r="E36" s="198">
        <v>11.25</v>
      </c>
      <c r="F36" s="3" cm="1">
        <f t="array" aca="1" ref="F36" ca="1">OFFSET(E36,-1,1)</f>
        <v>0</v>
      </c>
      <c r="G36" s="61" t="s">
        <v>672</v>
      </c>
      <c r="H36" s="61" cm="1">
        <f t="array" ref="H36">H35</f>
        <v>0</v>
      </c>
      <c r="T36" s="365" t="b" cm="1">
        <f t="array" aca="1" ref="T36" ca="1">T35</f>
        <v>0</v>
      </c>
      <c r="X36" s="1050"/>
      <c r="Y36" s="1050"/>
      <c r="Z36" s="1076"/>
      <c r="AA36" s="1049"/>
      <c r="AB36" s="27" t="str">
        <f>AB34&amp;".2"</f>
        <v>6.0.2</v>
      </c>
      <c r="AC36" s="124" t="s">
        <v>858</v>
      </c>
      <c r="AD36" s="30" t="s">
        <v>850</v>
      </c>
      <c r="AE36" s="77">
        <f t="shared" ref="AE36:BB36" si="6">IF(OR(AND(AE35&lt;&gt;0,AE37=0),AND(AE35=0,AE37&lt;&gt;0)),"Ошибка",IF(AE37=0,0,AE35/AE37))</f>
        <v>0</v>
      </c>
      <c r="AF36" s="77">
        <f t="shared" si="6"/>
        <v>0</v>
      </c>
      <c r="AG36" s="77">
        <f t="shared" si="6"/>
        <v>0</v>
      </c>
      <c r="AH36" s="77">
        <f t="shared" si="6"/>
        <v>0</v>
      </c>
      <c r="AI36" s="77">
        <f t="shared" si="6"/>
        <v>0</v>
      </c>
      <c r="AJ36" s="77">
        <f t="shared" si="6"/>
        <v>0</v>
      </c>
      <c r="AK36" s="77">
        <f t="shared" si="6"/>
        <v>0</v>
      </c>
      <c r="AL36" s="77">
        <f t="shared" si="6"/>
        <v>0</v>
      </c>
      <c r="AM36" s="77">
        <f t="shared" si="6"/>
        <v>0</v>
      </c>
      <c r="AN36" s="77">
        <f t="shared" si="6"/>
        <v>0</v>
      </c>
      <c r="AO36" s="77">
        <f t="shared" si="6"/>
        <v>0</v>
      </c>
      <c r="AP36" s="77">
        <f t="shared" si="6"/>
        <v>0</v>
      </c>
      <c r="AQ36" s="77">
        <f t="shared" si="6"/>
        <v>0</v>
      </c>
      <c r="AR36" s="77">
        <f t="shared" si="6"/>
        <v>0</v>
      </c>
      <c r="AS36" s="77">
        <f t="shared" si="6"/>
        <v>0</v>
      </c>
      <c r="AT36" s="77">
        <f t="shared" si="6"/>
        <v>0</v>
      </c>
      <c r="AU36" s="77">
        <f t="shared" si="6"/>
        <v>0</v>
      </c>
      <c r="AV36" s="77">
        <f t="shared" si="6"/>
        <v>0</v>
      </c>
      <c r="AW36" s="77">
        <f t="shared" si="6"/>
        <v>0</v>
      </c>
      <c r="AX36" s="77">
        <f t="shared" si="6"/>
        <v>0</v>
      </c>
      <c r="AY36" s="77">
        <f t="shared" si="6"/>
        <v>0</v>
      </c>
      <c r="AZ36" s="77">
        <f t="shared" si="6"/>
        <v>0</v>
      </c>
      <c r="BA36" s="77">
        <f t="shared" si="6"/>
        <v>0</v>
      </c>
      <c r="BB36" s="77">
        <f t="shared" si="6"/>
        <v>0</v>
      </c>
      <c r="BC36" s="839"/>
      <c r="BF36" s="687" t="s">
        <v>859</v>
      </c>
      <c r="BG36" s="687" t="s">
        <v>857</v>
      </c>
      <c r="BH36" s="687" cm="1">
        <f t="array" ref="BH36">BH35</f>
        <v>0</v>
      </c>
      <c r="BI36" s="81" cm="1">
        <f t="array" ref="BI36">BI35</f>
        <v>0</v>
      </c>
      <c r="BJ36" s="198"/>
      <c r="BK36" s="198"/>
    </row>
    <row r="37" spans="2:63" s="81" customFormat="1" ht="10.9" hidden="1" customHeight="1">
      <c r="B37" s="338"/>
      <c r="C37" s="376"/>
      <c r="E37" s="198">
        <v>11.25</v>
      </c>
      <c r="F37" s="3" cm="1">
        <f t="array" aca="1" ref="F37" ca="1">OFFSET(E37,-1,1)</f>
        <v>0</v>
      </c>
      <c r="G37" s="61" t="s">
        <v>675</v>
      </c>
      <c r="H37" s="61" cm="1">
        <f t="array" ref="H37">H36</f>
        <v>0</v>
      </c>
      <c r="T37" s="365" t="b" cm="1">
        <f t="array" aca="1" ref="T37" ca="1">T36</f>
        <v>0</v>
      </c>
      <c r="X37" s="1050"/>
      <c r="Y37" s="1050"/>
      <c r="Z37" s="1076"/>
      <c r="AA37" s="1049"/>
      <c r="AB37" s="27" t="str">
        <f>AB34&amp;".3"</f>
        <v>6.0.3</v>
      </c>
      <c r="AC37" s="124" t="s">
        <v>860</v>
      </c>
      <c r="AD37" s="30" t="s">
        <v>844</v>
      </c>
      <c r="AE37" s="833"/>
      <c r="AF37" s="833"/>
      <c r="AG37" s="833"/>
      <c r="AH37" s="833"/>
      <c r="AI37" s="833"/>
      <c r="AJ37" s="833"/>
      <c r="AK37" s="833"/>
      <c r="AL37" s="833"/>
      <c r="AM37" s="833"/>
      <c r="AN37" s="833"/>
      <c r="AO37" s="833"/>
      <c r="AP37" s="833"/>
      <c r="AQ37" s="833"/>
      <c r="AR37" s="833"/>
      <c r="AS37" s="833"/>
      <c r="AT37" s="833"/>
      <c r="AU37" s="833"/>
      <c r="AV37" s="833"/>
      <c r="AW37" s="833"/>
      <c r="AX37" s="833"/>
      <c r="AY37" s="833"/>
      <c r="AZ37" s="833"/>
      <c r="BA37" s="833"/>
      <c r="BB37" s="833"/>
      <c r="BC37" s="839"/>
      <c r="BF37" s="687" t="s">
        <v>861</v>
      </c>
      <c r="BG37" s="687" t="s">
        <v>857</v>
      </c>
      <c r="BH37" s="687" cm="1">
        <f t="array" ref="BH37">BH36</f>
        <v>0</v>
      </c>
      <c r="BI37" s="81" cm="1">
        <f t="array" ref="BI37">BI36</f>
        <v>0</v>
      </c>
      <c r="BJ37" s="198"/>
      <c r="BK37" s="198"/>
    </row>
    <row r="38" spans="2:63" s="78" customFormat="1" ht="14.65" hidden="1" customHeight="1">
      <c r="B38" s="65"/>
      <c r="C38" s="376"/>
      <c r="E38" s="473">
        <v>15</v>
      </c>
      <c r="F38" s="3" cm="1">
        <f t="array" aca="1" ref="F38" ca="1">OFFSET(E38,-1,1)</f>
        <v>0</v>
      </c>
      <c r="H38" s="641" t="s">
        <v>862</v>
      </c>
      <c r="T38" s="365" t="b">
        <f ca="1">F38&gt;0</f>
        <v>0</v>
      </c>
      <c r="W38" s="528" t="s">
        <v>392</v>
      </c>
      <c r="X38" s="1050"/>
      <c r="Z38" s="1076"/>
      <c r="AB38" s="488"/>
      <c r="AC38" s="111" t="s">
        <v>177</v>
      </c>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20"/>
      <c r="BF38" s="683"/>
      <c r="BG38" s="683"/>
      <c r="BH38" s="683"/>
      <c r="BJ38" s="473" t="s">
        <v>857</v>
      </c>
      <c r="BK38" s="473"/>
    </row>
    <row r="39" spans="2:63" s="81" customFormat="1" ht="12.6" hidden="1" customHeight="1">
      <c r="B39" s="338"/>
      <c r="C39" s="376"/>
      <c r="E39" s="198">
        <v>13</v>
      </c>
      <c r="F39" s="3" cm="1">
        <f t="array" aca="1" ref="F39" ca="1">OFFSET(E39,-1,1)</f>
        <v>0</v>
      </c>
      <c r="G39" s="61"/>
      <c r="H39" s="61"/>
      <c r="T39" s="365" t="b" cm="1">
        <f t="array" aca="1" ref="T39" ca="1">T38</f>
        <v>0</v>
      </c>
      <c r="X39" s="1050"/>
      <c r="Z39" s="1076"/>
      <c r="AB39" s="487"/>
      <c r="AC39" s="197" t="s">
        <v>863</v>
      </c>
      <c r="AD39" s="198"/>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200"/>
      <c r="BF39" s="687"/>
      <c r="BG39" s="687"/>
      <c r="BH39" s="687"/>
      <c r="BJ39" s="198"/>
      <c r="BK39" s="198"/>
    </row>
    <row r="40" spans="2:63" ht="10.7" hidden="1" customHeight="1">
      <c r="B40" s="865"/>
      <c r="C40" s="376"/>
      <c r="E40" s="198">
        <v>11</v>
      </c>
      <c r="F40" s="3" cm="1">
        <f t="array" aca="1" ref="F40" ca="1">OFFSET(E40,-1,1)</f>
        <v>0</v>
      </c>
      <c r="G40" s="61"/>
      <c r="H40" s="61"/>
      <c r="T40" s="365" t="b">
        <f ca="1">AND(F40&gt;0,Y40&gt;0)</f>
        <v>0</v>
      </c>
      <c r="W40" s="528" t="s">
        <v>173</v>
      </c>
      <c r="X40" s="1121"/>
      <c r="Y40" s="1123">
        <v>0</v>
      </c>
      <c r="Z40" s="1121"/>
      <c r="AA40" s="1124" t="s">
        <v>174</v>
      </c>
      <c r="AB40" s="27" t="str">
        <f>"7."&amp;Y40</f>
        <v>7.0</v>
      </c>
      <c r="AC40" s="881"/>
      <c r="AD40" s="31"/>
      <c r="AE40" s="271"/>
      <c r="AF40" s="271"/>
      <c r="AG40" s="271"/>
      <c r="AH40" s="271"/>
      <c r="AI40" s="271"/>
      <c r="AJ40" s="271"/>
      <c r="AK40" s="271"/>
      <c r="AL40" s="271"/>
      <c r="AM40" s="271"/>
      <c r="AN40" s="271"/>
      <c r="AO40" s="271"/>
      <c r="AP40" s="271"/>
      <c r="AQ40" s="271"/>
      <c r="AR40" s="271"/>
      <c r="AS40" s="271"/>
      <c r="AT40" s="271"/>
      <c r="AU40" s="271"/>
      <c r="AV40" s="271"/>
      <c r="AW40" s="271"/>
      <c r="AX40" s="271"/>
      <c r="AY40" s="271"/>
      <c r="AZ40" s="271"/>
      <c r="BA40" s="271"/>
      <c r="BB40" s="271"/>
      <c r="BC40" s="271"/>
      <c r="BD40" s="856"/>
      <c r="BF40" s="687"/>
      <c r="BG40" s="687"/>
      <c r="BH40" s="687"/>
      <c r="BI40" s="687"/>
      <c r="BJ40" s="198"/>
      <c r="BK40" s="198"/>
    </row>
    <row r="41" spans="2:63" s="81" customFormat="1" ht="10.9" hidden="1" customHeight="1">
      <c r="B41" s="338"/>
      <c r="C41" s="376"/>
      <c r="E41" s="198">
        <v>11.25</v>
      </c>
      <c r="F41" s="3" cm="1">
        <f t="array" aca="1" ref="F41" ca="1">OFFSET(E41,-1,1)</f>
        <v>0</v>
      </c>
      <c r="G41" s="61" t="s">
        <v>511</v>
      </c>
      <c r="H41" s="61" cm="1">
        <f t="array" ref="H41">AC41</f>
        <v>0</v>
      </c>
      <c r="T41" s="365" t="b" cm="1">
        <f t="array" aca="1" ref="T41" ca="1">T40</f>
        <v>0</v>
      </c>
      <c r="W41" s="528"/>
      <c r="X41" s="1050"/>
      <c r="Y41" s="1050">
        <v>0</v>
      </c>
      <c r="Z41" s="1076"/>
      <c r="AA41" s="1049" t="s">
        <v>174</v>
      </c>
      <c r="AB41" s="27" t="str">
        <f>AB40&amp;".1"</f>
        <v>7.0.1</v>
      </c>
      <c r="AC41" s="875"/>
      <c r="AD41" s="27" t="s">
        <v>804</v>
      </c>
      <c r="AE41" s="77">
        <f t="shared" ref="AE41:BB41" si="7">AE42+AE45</f>
        <v>0</v>
      </c>
      <c r="AF41" s="77">
        <f t="shared" si="7"/>
        <v>0</v>
      </c>
      <c r="AG41" s="77">
        <f t="shared" si="7"/>
        <v>0</v>
      </c>
      <c r="AH41" s="77">
        <f t="shared" si="7"/>
        <v>0</v>
      </c>
      <c r="AI41" s="77">
        <f t="shared" si="7"/>
        <v>0</v>
      </c>
      <c r="AJ41" s="77">
        <f t="shared" si="7"/>
        <v>0</v>
      </c>
      <c r="AK41" s="77">
        <f t="shared" si="7"/>
        <v>0</v>
      </c>
      <c r="AL41" s="77">
        <f t="shared" si="7"/>
        <v>0</v>
      </c>
      <c r="AM41" s="77">
        <f t="shared" si="7"/>
        <v>0</v>
      </c>
      <c r="AN41" s="77">
        <f t="shared" si="7"/>
        <v>0</v>
      </c>
      <c r="AO41" s="77">
        <f t="shared" si="7"/>
        <v>0</v>
      </c>
      <c r="AP41" s="77">
        <f t="shared" si="7"/>
        <v>0</v>
      </c>
      <c r="AQ41" s="77">
        <f t="shared" si="7"/>
        <v>0</v>
      </c>
      <c r="AR41" s="77">
        <f t="shared" si="7"/>
        <v>0</v>
      </c>
      <c r="AS41" s="77">
        <f t="shared" si="7"/>
        <v>0</v>
      </c>
      <c r="AT41" s="77">
        <f t="shared" si="7"/>
        <v>0</v>
      </c>
      <c r="AU41" s="77">
        <f t="shared" si="7"/>
        <v>0</v>
      </c>
      <c r="AV41" s="77">
        <f t="shared" si="7"/>
        <v>0</v>
      </c>
      <c r="AW41" s="77">
        <f t="shared" si="7"/>
        <v>0</v>
      </c>
      <c r="AX41" s="77">
        <f t="shared" si="7"/>
        <v>0</v>
      </c>
      <c r="AY41" s="77">
        <f t="shared" si="7"/>
        <v>0</v>
      </c>
      <c r="AZ41" s="77">
        <f t="shared" si="7"/>
        <v>0</v>
      </c>
      <c r="BA41" s="77">
        <f t="shared" si="7"/>
        <v>0</v>
      </c>
      <c r="BB41" s="77">
        <f t="shared" si="7"/>
        <v>0</v>
      </c>
      <c r="BC41" s="839"/>
      <c r="BF41" s="687" t="s">
        <v>864</v>
      </c>
      <c r="BG41" s="687" t="s">
        <v>865</v>
      </c>
      <c r="BH41" s="687" cm="1">
        <f t="array" ref="BH41">AC41</f>
        <v>0</v>
      </c>
      <c r="BI41" s="81" cm="1">
        <f t="array" ref="BI41">AC40</f>
        <v>0</v>
      </c>
      <c r="BJ41" s="198"/>
      <c r="BK41" s="198" t="b">
        <v>1</v>
      </c>
    </row>
    <row r="42" spans="2:63" s="81" customFormat="1" ht="10.9" hidden="1" customHeight="1">
      <c r="B42" s="338"/>
      <c r="C42" s="376"/>
      <c r="E42" s="198">
        <v>11.25</v>
      </c>
      <c r="F42" s="3" cm="1">
        <f t="array" aca="1" ref="F42" ca="1">OFFSET(E42,-1,1)</f>
        <v>0</v>
      </c>
      <c r="G42" s="61" t="s">
        <v>679</v>
      </c>
      <c r="H42" s="61" cm="1">
        <f t="array" ref="H42">H41</f>
        <v>0</v>
      </c>
      <c r="T42" s="365" t="b" cm="1">
        <f t="array" aca="1" ref="T42" ca="1">T41</f>
        <v>0</v>
      </c>
      <c r="X42" s="1050"/>
      <c r="Y42" s="1050"/>
      <c r="Z42" s="1076"/>
      <c r="AA42" s="1049"/>
      <c r="AB42" s="27" t="str">
        <f>AB40&amp;".2"</f>
        <v>7.0.2</v>
      </c>
      <c r="AC42" s="124" t="s">
        <v>866</v>
      </c>
      <c r="AD42" s="27" t="s">
        <v>867</v>
      </c>
      <c r="AE42" s="833"/>
      <c r="AF42" s="833"/>
      <c r="AG42" s="833"/>
      <c r="AH42" s="833"/>
      <c r="AI42" s="833"/>
      <c r="AJ42" s="833"/>
      <c r="AK42" s="833"/>
      <c r="AL42" s="833"/>
      <c r="AM42" s="833"/>
      <c r="AN42" s="833"/>
      <c r="AO42" s="833"/>
      <c r="AP42" s="833"/>
      <c r="AQ42" s="833"/>
      <c r="AR42" s="833"/>
      <c r="AS42" s="833"/>
      <c r="AT42" s="833"/>
      <c r="AU42" s="833"/>
      <c r="AV42" s="833"/>
      <c r="AW42" s="833"/>
      <c r="AX42" s="833"/>
      <c r="AY42" s="833"/>
      <c r="AZ42" s="833"/>
      <c r="BA42" s="833"/>
      <c r="BB42" s="833"/>
      <c r="BC42" s="839"/>
      <c r="BF42" s="687" t="s">
        <v>868</v>
      </c>
      <c r="BG42" s="687" t="s">
        <v>865</v>
      </c>
      <c r="BH42" s="687" cm="1">
        <f t="array" ref="BH42">BH41</f>
        <v>0</v>
      </c>
      <c r="BI42" s="81" cm="1">
        <f t="array" ref="BI42">BI41</f>
        <v>0</v>
      </c>
      <c r="BJ42" s="198"/>
      <c r="BK42" s="198"/>
    </row>
    <row r="43" spans="2:63" s="81" customFormat="1" ht="10.9" hidden="1" customHeight="1">
      <c r="B43" s="338"/>
      <c r="C43" s="376"/>
      <c r="E43" s="198">
        <v>11.25</v>
      </c>
      <c r="F43" s="3" cm="1">
        <f t="array" aca="1" ref="F43" ca="1">OFFSET(E43,-1,1)</f>
        <v>0</v>
      </c>
      <c r="G43" s="61" t="s">
        <v>869</v>
      </c>
      <c r="H43" s="61" cm="1">
        <f t="array" ref="H43">H42</f>
        <v>0</v>
      </c>
      <c r="T43" s="365" t="b" cm="1">
        <f t="array" aca="1" ref="T43" ca="1">T42</f>
        <v>0</v>
      </c>
      <c r="X43" s="1050"/>
      <c r="Y43" s="1050"/>
      <c r="Z43" s="1076"/>
      <c r="AA43" s="1049"/>
      <c r="AB43" s="27" t="str">
        <f>AB40&amp;".3"</f>
        <v>7.0.3</v>
      </c>
      <c r="AC43" s="250" t="s">
        <v>858</v>
      </c>
      <c r="AD43" s="30" t="s">
        <v>850</v>
      </c>
      <c r="AE43" s="77">
        <f t="shared" ref="AE43:BB43" si="8">IF(OR(AND(AE42&lt;&gt;0,AE44=0),AND(AE42=0,AE44&lt;&gt;0)),"Ошибка",IF(AE44=0,0,AE42/AE44))</f>
        <v>0</v>
      </c>
      <c r="AF43" s="77">
        <f t="shared" si="8"/>
        <v>0</v>
      </c>
      <c r="AG43" s="77">
        <f t="shared" si="8"/>
        <v>0</v>
      </c>
      <c r="AH43" s="77">
        <f t="shared" si="8"/>
        <v>0</v>
      </c>
      <c r="AI43" s="77">
        <f t="shared" si="8"/>
        <v>0</v>
      </c>
      <c r="AJ43" s="77">
        <f t="shared" si="8"/>
        <v>0</v>
      </c>
      <c r="AK43" s="77">
        <f t="shared" si="8"/>
        <v>0</v>
      </c>
      <c r="AL43" s="77">
        <f t="shared" si="8"/>
        <v>0</v>
      </c>
      <c r="AM43" s="77">
        <f t="shared" si="8"/>
        <v>0</v>
      </c>
      <c r="AN43" s="77">
        <f t="shared" si="8"/>
        <v>0</v>
      </c>
      <c r="AO43" s="77">
        <f t="shared" si="8"/>
        <v>0</v>
      </c>
      <c r="AP43" s="77">
        <f t="shared" si="8"/>
        <v>0</v>
      </c>
      <c r="AQ43" s="77">
        <f t="shared" si="8"/>
        <v>0</v>
      </c>
      <c r="AR43" s="77">
        <f t="shared" si="8"/>
        <v>0</v>
      </c>
      <c r="AS43" s="77">
        <f t="shared" si="8"/>
        <v>0</v>
      </c>
      <c r="AT43" s="77">
        <f t="shared" si="8"/>
        <v>0</v>
      </c>
      <c r="AU43" s="77">
        <f t="shared" si="8"/>
        <v>0</v>
      </c>
      <c r="AV43" s="77">
        <f t="shared" si="8"/>
        <v>0</v>
      </c>
      <c r="AW43" s="77">
        <f t="shared" si="8"/>
        <v>0</v>
      </c>
      <c r="AX43" s="77">
        <f t="shared" si="8"/>
        <v>0</v>
      </c>
      <c r="AY43" s="77">
        <f t="shared" si="8"/>
        <v>0</v>
      </c>
      <c r="AZ43" s="77">
        <f t="shared" si="8"/>
        <v>0</v>
      </c>
      <c r="BA43" s="77">
        <f t="shared" si="8"/>
        <v>0</v>
      </c>
      <c r="BB43" s="77">
        <f t="shared" si="8"/>
        <v>0</v>
      </c>
      <c r="BC43" s="839"/>
      <c r="BF43" s="687" t="s">
        <v>870</v>
      </c>
      <c r="BG43" s="687" t="s">
        <v>865</v>
      </c>
      <c r="BH43" s="687" cm="1">
        <f t="array" ref="BH43">BH42</f>
        <v>0</v>
      </c>
      <c r="BI43" s="81" cm="1">
        <f t="array" ref="BI43">BI42</f>
        <v>0</v>
      </c>
      <c r="BJ43" s="198"/>
      <c r="BK43" s="198"/>
    </row>
    <row r="44" spans="2:63" s="81" customFormat="1" ht="10.9" hidden="1" customHeight="1">
      <c r="B44" s="338"/>
      <c r="C44" s="376"/>
      <c r="E44" s="198">
        <v>11.25</v>
      </c>
      <c r="F44" s="3" cm="1">
        <f t="array" aca="1" ref="F44" ca="1">OFFSET(E44,-1,1)</f>
        <v>0</v>
      </c>
      <c r="G44" s="61" t="s">
        <v>871</v>
      </c>
      <c r="H44" s="61" cm="1">
        <f t="array" ref="H44">H43</f>
        <v>0</v>
      </c>
      <c r="T44" s="365" t="b" cm="1">
        <f t="array" aca="1" ref="T44" ca="1">T43</f>
        <v>0</v>
      </c>
      <c r="X44" s="1050"/>
      <c r="Y44" s="1050"/>
      <c r="Z44" s="1076"/>
      <c r="AA44" s="1049"/>
      <c r="AB44" s="27" t="str">
        <f>AB40&amp;".4"</f>
        <v>7.0.4</v>
      </c>
      <c r="AC44" s="250" t="s">
        <v>860</v>
      </c>
      <c r="AD44" s="30" t="s">
        <v>844</v>
      </c>
      <c r="AE44" s="833"/>
      <c r="AF44" s="833"/>
      <c r="AG44" s="833"/>
      <c r="AH44" s="833"/>
      <c r="AI44" s="833"/>
      <c r="AJ44" s="833"/>
      <c r="AK44" s="833"/>
      <c r="AL44" s="833"/>
      <c r="AM44" s="833"/>
      <c r="AN44" s="833"/>
      <c r="AO44" s="833"/>
      <c r="AP44" s="833"/>
      <c r="AQ44" s="833"/>
      <c r="AR44" s="833"/>
      <c r="AS44" s="833"/>
      <c r="AT44" s="833"/>
      <c r="AU44" s="833"/>
      <c r="AV44" s="833"/>
      <c r="AW44" s="833"/>
      <c r="AX44" s="833"/>
      <c r="AY44" s="833"/>
      <c r="AZ44" s="833"/>
      <c r="BA44" s="833"/>
      <c r="BB44" s="833"/>
      <c r="BC44" s="839"/>
      <c r="BF44" s="687" t="s">
        <v>872</v>
      </c>
      <c r="BG44" s="687" t="s">
        <v>865</v>
      </c>
      <c r="BH44" s="687" cm="1">
        <f t="array" ref="BH44">BH43</f>
        <v>0</v>
      </c>
      <c r="BI44" s="81" cm="1">
        <f t="array" ref="BI44">BI43</f>
        <v>0</v>
      </c>
      <c r="BJ44" s="198"/>
      <c r="BK44" s="198"/>
    </row>
    <row r="45" spans="2:63" s="81" customFormat="1" ht="10.9" hidden="1" customHeight="1">
      <c r="B45" s="338"/>
      <c r="C45" s="376"/>
      <c r="E45" s="198">
        <v>11.25</v>
      </c>
      <c r="F45" s="3" cm="1">
        <f t="array" aca="1" ref="F45" ca="1">OFFSET(E45,-1,1)</f>
        <v>0</v>
      </c>
      <c r="G45" s="61" t="s">
        <v>682</v>
      </c>
      <c r="H45" s="61" cm="1">
        <f t="array" ref="H45">H44</f>
        <v>0</v>
      </c>
      <c r="T45" s="365" t="b" cm="1">
        <f t="array" aca="1" ref="T45" ca="1">T44</f>
        <v>0</v>
      </c>
      <c r="X45" s="1050"/>
      <c r="Y45" s="1050"/>
      <c r="Z45" s="1076"/>
      <c r="AA45" s="1049"/>
      <c r="AB45" s="27" t="str">
        <f>AB40&amp;".5"</f>
        <v>7.0.5</v>
      </c>
      <c r="AC45" s="124" t="s">
        <v>873</v>
      </c>
      <c r="AD45" s="27" t="s">
        <v>867</v>
      </c>
      <c r="AE45" s="833"/>
      <c r="AF45" s="833"/>
      <c r="AG45" s="833"/>
      <c r="AH45" s="833"/>
      <c r="AI45" s="833"/>
      <c r="AJ45" s="833"/>
      <c r="AK45" s="833"/>
      <c r="AL45" s="833"/>
      <c r="AM45" s="833"/>
      <c r="AN45" s="833"/>
      <c r="AO45" s="833"/>
      <c r="AP45" s="833"/>
      <c r="AQ45" s="833"/>
      <c r="AR45" s="833"/>
      <c r="AS45" s="833"/>
      <c r="AT45" s="833"/>
      <c r="AU45" s="833"/>
      <c r="AV45" s="833"/>
      <c r="AW45" s="833"/>
      <c r="AX45" s="833"/>
      <c r="AY45" s="833"/>
      <c r="AZ45" s="833"/>
      <c r="BA45" s="833"/>
      <c r="BB45" s="833"/>
      <c r="BC45" s="839"/>
      <c r="BF45" s="687" t="s">
        <v>874</v>
      </c>
      <c r="BG45" s="687" t="s">
        <v>865</v>
      </c>
      <c r="BH45" s="687" cm="1">
        <f t="array" ref="BH45">BH44</f>
        <v>0</v>
      </c>
      <c r="BI45" s="81" cm="1">
        <f t="array" ref="BI45">BI44</f>
        <v>0</v>
      </c>
      <c r="BJ45" s="198"/>
      <c r="BK45" s="198"/>
    </row>
    <row r="46" spans="2:63" s="81" customFormat="1" ht="10.9" hidden="1" customHeight="1">
      <c r="B46" s="338"/>
      <c r="C46" s="376"/>
      <c r="E46" s="198">
        <v>11.25</v>
      </c>
      <c r="F46" s="3" cm="1">
        <f t="array" aca="1" ref="F46" ca="1">OFFSET(E46,-1,1)</f>
        <v>0</v>
      </c>
      <c r="G46" s="61" t="s">
        <v>875</v>
      </c>
      <c r="H46" s="61" cm="1">
        <f t="array" ref="H46">H45</f>
        <v>0</v>
      </c>
      <c r="T46" s="365" t="b" cm="1">
        <f t="array" aca="1" ref="T46" ca="1">T45</f>
        <v>0</v>
      </c>
      <c r="X46" s="1050"/>
      <c r="Y46" s="1050"/>
      <c r="Z46" s="1076"/>
      <c r="AA46" s="1049"/>
      <c r="AB46" s="27" t="str">
        <f>AB40&amp;".6"</f>
        <v>7.0.6</v>
      </c>
      <c r="AC46" s="250" t="s">
        <v>876</v>
      </c>
      <c r="AD46" s="30" t="s">
        <v>877</v>
      </c>
      <c r="AE46" s="77">
        <f t="shared" ref="AE46:BB46" si="9">IF(OR(AND(AE45&lt;&gt;0,AE47=0),AND(AE45=0,AE47&lt;&gt;0)),"Ошибка",IF(AE47=0,0,AE45/AE47*1000/12))</f>
        <v>0</v>
      </c>
      <c r="AF46" s="77">
        <f t="shared" si="9"/>
        <v>0</v>
      </c>
      <c r="AG46" s="77">
        <f t="shared" si="9"/>
        <v>0</v>
      </c>
      <c r="AH46" s="77">
        <f t="shared" si="9"/>
        <v>0</v>
      </c>
      <c r="AI46" s="77">
        <f t="shared" si="9"/>
        <v>0</v>
      </c>
      <c r="AJ46" s="77">
        <f t="shared" si="9"/>
        <v>0</v>
      </c>
      <c r="AK46" s="77">
        <f t="shared" si="9"/>
        <v>0</v>
      </c>
      <c r="AL46" s="77">
        <f t="shared" si="9"/>
        <v>0</v>
      </c>
      <c r="AM46" s="77">
        <f t="shared" si="9"/>
        <v>0</v>
      </c>
      <c r="AN46" s="77">
        <f t="shared" si="9"/>
        <v>0</v>
      </c>
      <c r="AO46" s="77">
        <f t="shared" si="9"/>
        <v>0</v>
      </c>
      <c r="AP46" s="77">
        <f t="shared" si="9"/>
        <v>0</v>
      </c>
      <c r="AQ46" s="77">
        <f t="shared" si="9"/>
        <v>0</v>
      </c>
      <c r="AR46" s="77">
        <f t="shared" si="9"/>
        <v>0</v>
      </c>
      <c r="AS46" s="77">
        <f t="shared" si="9"/>
        <v>0</v>
      </c>
      <c r="AT46" s="77">
        <f t="shared" si="9"/>
        <v>0</v>
      </c>
      <c r="AU46" s="77">
        <f t="shared" si="9"/>
        <v>0</v>
      </c>
      <c r="AV46" s="77">
        <f t="shared" si="9"/>
        <v>0</v>
      </c>
      <c r="AW46" s="77">
        <f t="shared" si="9"/>
        <v>0</v>
      </c>
      <c r="AX46" s="77">
        <f t="shared" si="9"/>
        <v>0</v>
      </c>
      <c r="AY46" s="77">
        <f t="shared" si="9"/>
        <v>0</v>
      </c>
      <c r="AZ46" s="77">
        <f t="shared" si="9"/>
        <v>0</v>
      </c>
      <c r="BA46" s="77">
        <f t="shared" si="9"/>
        <v>0</v>
      </c>
      <c r="BB46" s="77">
        <f t="shared" si="9"/>
        <v>0</v>
      </c>
      <c r="BC46" s="839"/>
      <c r="BF46" s="687" t="s">
        <v>878</v>
      </c>
      <c r="BG46" s="687" t="s">
        <v>865</v>
      </c>
      <c r="BH46" s="687" cm="1">
        <f t="array" ref="BH46">BH45</f>
        <v>0</v>
      </c>
      <c r="BI46" s="81" cm="1">
        <f t="array" ref="BI46">BI45</f>
        <v>0</v>
      </c>
      <c r="BJ46" s="198"/>
      <c r="BK46" s="198"/>
    </row>
    <row r="47" spans="2:63" s="81" customFormat="1" ht="10.9" hidden="1" customHeight="1">
      <c r="B47" s="338"/>
      <c r="C47" s="376"/>
      <c r="E47" s="198">
        <v>11.25</v>
      </c>
      <c r="F47" s="3" cm="1">
        <f t="array" aca="1" ref="F47" ca="1">OFFSET(E47,-1,1)</f>
        <v>0</v>
      </c>
      <c r="G47" s="61" t="s">
        <v>879</v>
      </c>
      <c r="H47" s="61" cm="1">
        <f t="array" ref="H47">H46</f>
        <v>0</v>
      </c>
      <c r="T47" s="365" t="b" cm="1">
        <f t="array" aca="1" ref="T47" ca="1">T46</f>
        <v>0</v>
      </c>
      <c r="X47" s="1050"/>
      <c r="Y47" s="1050"/>
      <c r="Z47" s="1076"/>
      <c r="AA47" s="1049"/>
      <c r="AB47" s="27" t="str">
        <f>AB40&amp;".7"</f>
        <v>7.0.7</v>
      </c>
      <c r="AC47" s="250" t="s">
        <v>880</v>
      </c>
      <c r="AD47" s="30" t="s">
        <v>881</v>
      </c>
      <c r="AE47" s="833"/>
      <c r="AF47" s="833"/>
      <c r="AG47" s="833"/>
      <c r="AH47" s="833"/>
      <c r="AI47" s="833"/>
      <c r="AJ47" s="833"/>
      <c r="AK47" s="833"/>
      <c r="AL47" s="833"/>
      <c r="AM47" s="833"/>
      <c r="AN47" s="833"/>
      <c r="AO47" s="833"/>
      <c r="AP47" s="833"/>
      <c r="AQ47" s="833"/>
      <c r="AR47" s="833"/>
      <c r="AS47" s="833"/>
      <c r="AT47" s="833"/>
      <c r="AU47" s="833"/>
      <c r="AV47" s="833"/>
      <c r="AW47" s="833"/>
      <c r="AX47" s="833"/>
      <c r="AY47" s="833"/>
      <c r="AZ47" s="833"/>
      <c r="BA47" s="833"/>
      <c r="BB47" s="833"/>
      <c r="BC47" s="839"/>
      <c r="BF47" s="687" t="s">
        <v>882</v>
      </c>
      <c r="BG47" s="687" t="s">
        <v>865</v>
      </c>
      <c r="BH47" s="687" cm="1">
        <f t="array" ref="BH47">BH46</f>
        <v>0</v>
      </c>
      <c r="BI47" s="81" cm="1">
        <f t="array" ref="BI47">BI46</f>
        <v>0</v>
      </c>
      <c r="BJ47" s="198"/>
      <c r="BK47" s="198"/>
    </row>
    <row r="48" spans="2:63" s="78" customFormat="1" ht="14.65" hidden="1" customHeight="1">
      <c r="B48" s="65"/>
      <c r="C48" s="376"/>
      <c r="E48" s="473">
        <v>15</v>
      </c>
      <c r="F48" s="3" cm="1">
        <f t="array" aca="1" ref="F48" ca="1">OFFSET(E48,-1,1)</f>
        <v>0</v>
      </c>
      <c r="H48" s="641" t="s">
        <v>883</v>
      </c>
      <c r="T48" s="365" t="b">
        <f ca="1">F48&gt;0</f>
        <v>0</v>
      </c>
      <c r="W48" s="528" t="s">
        <v>884</v>
      </c>
      <c r="X48" s="1050"/>
      <c r="Z48" s="1076"/>
      <c r="AB48" s="108"/>
      <c r="AC48" s="111" t="s">
        <v>885</v>
      </c>
      <c r="AD48" s="109"/>
      <c r="AE48" s="109"/>
      <c r="AF48" s="109"/>
      <c r="AG48" s="109"/>
      <c r="AH48" s="109"/>
      <c r="AI48" s="109"/>
      <c r="AJ48" s="109"/>
      <c r="AK48" s="109"/>
      <c r="AL48" s="109"/>
      <c r="AM48" s="109"/>
      <c r="AN48" s="109"/>
      <c r="AO48" s="109"/>
      <c r="AP48" s="109"/>
      <c r="AQ48" s="109"/>
      <c r="AR48" s="109"/>
      <c r="AS48" s="109"/>
      <c r="AT48" s="109"/>
      <c r="AU48" s="109"/>
      <c r="AV48" s="109"/>
      <c r="AW48" s="109"/>
      <c r="AX48" s="109"/>
      <c r="AY48" s="109"/>
      <c r="AZ48" s="109"/>
      <c r="BA48" s="109"/>
      <c r="BB48" s="109"/>
      <c r="BC48" s="120"/>
      <c r="BF48" s="683"/>
      <c r="BG48" s="683"/>
      <c r="BH48" s="683"/>
      <c r="BJ48" s="473" t="s">
        <v>865</v>
      </c>
      <c r="BK48" s="473"/>
    </row>
    <row r="49" spans="1:63" s="851" customFormat="1" ht="14.25" customHeight="1">
      <c r="A49" s="79"/>
      <c r="B49" s="338"/>
      <c r="C49" s="378"/>
      <c r="D49" s="79"/>
      <c r="E49" s="472">
        <v>15</v>
      </c>
      <c r="F49" s="36" t="str" cm="1">
        <f t="array" ref="F49">X49</f>
        <v>1</v>
      </c>
      <c r="G49" s="36"/>
      <c r="H49" s="36"/>
      <c r="I49" s="79"/>
      <c r="J49" s="79"/>
      <c r="K49" s="79"/>
      <c r="L49" s="79"/>
      <c r="M49" s="79"/>
      <c r="N49" s="79"/>
      <c r="O49" s="79"/>
      <c r="P49" s="79"/>
      <c r="Q49" s="79"/>
      <c r="R49" s="79"/>
      <c r="S49" s="79"/>
      <c r="T49" s="365" t="b">
        <f>X49&gt;0</f>
        <v>1</v>
      </c>
      <c r="U49" s="79"/>
      <c r="V49" s="79" t="str" cm="1">
        <f t="array" ref="V49">'Сырье и материалы'!$AB$48</f>
        <v>Тариф 1 (Водоснабжение) - тариф на питьевую воду (Доп. признак не требуется)</v>
      </c>
      <c r="W49" s="79"/>
      <c r="X49" s="1050" t="s">
        <v>275</v>
      </c>
      <c r="Y49" s="79"/>
      <c r="Z49" s="1076"/>
      <c r="AA49" s="79"/>
      <c r="AB49" s="116" t="str" cm="1">
        <f t="array" ref="AB49">'Сырье и материалы'!$AB$48</f>
        <v>Тариф 1 (Водоснабжение) - тариф на питьевую воду (Доп. признак не требуется)</v>
      </c>
      <c r="AC49" s="113"/>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79"/>
      <c r="BE49" s="79"/>
      <c r="BF49" s="678"/>
      <c r="BG49" s="678"/>
      <c r="BH49" s="678"/>
      <c r="BJ49" s="470"/>
      <c r="BK49" s="470"/>
    </row>
    <row r="50" spans="1:63" s="338" customFormat="1" ht="44.25" customHeight="1">
      <c r="A50" s="81"/>
      <c r="C50" s="376"/>
      <c r="D50" s="378"/>
      <c r="E50" s="198">
        <v>11.25</v>
      </c>
      <c r="F50" s="3" t="str" cm="1">
        <f t="array" aca="1" ref="F50" ca="1">OFFSET(E50,-1,1)</f>
        <v>1</v>
      </c>
      <c r="G50" s="61" t="s">
        <v>327</v>
      </c>
      <c r="H50" s="61"/>
      <c r="I50" s="81"/>
      <c r="J50" s="81"/>
      <c r="K50" s="376" t="str">
        <f ca="1">F50&amp;"komm"</f>
        <v>1komm</v>
      </c>
      <c r="L50" s="616" t="str" cm="1">
        <f t="array" ref="L50">BC50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50" s="81"/>
      <c r="N50" s="81"/>
      <c r="O50" s="81"/>
      <c r="P50" s="81"/>
      <c r="Q50" s="81"/>
      <c r="R50" s="81"/>
      <c r="S50" s="81"/>
      <c r="T50" s="365" t="b" cm="1">
        <f t="array" ref="T50">T49</f>
        <v>1</v>
      </c>
      <c r="U50" s="81"/>
      <c r="V50" s="81"/>
      <c r="W50" s="81"/>
      <c r="X50" s="1050"/>
      <c r="Y50" s="81"/>
      <c r="Z50" s="1076"/>
      <c r="AA50" s="81"/>
      <c r="AB50" s="27" t="s">
        <v>275</v>
      </c>
      <c r="AC50" s="73" t="s">
        <v>803</v>
      </c>
      <c r="AD50" s="27" t="s">
        <v>804</v>
      </c>
      <c r="AE50" s="77">
        <f t="shared" ref="AE50:BB50" si="10">IF(COUNTIF(AE55:AE78,"Ошибка")&gt;0,"Ошибка",SUMIF($AD55:$AD78,$AD50,AE55:AE78))</f>
        <v>7312.7743869921005</v>
      </c>
      <c r="AF50" s="77">
        <f t="shared" si="10"/>
        <v>8020.5199999999995</v>
      </c>
      <c r="AG50" s="77">
        <f t="shared" si="10"/>
        <v>7740.74</v>
      </c>
      <c r="AH50" s="77">
        <f t="shared" si="10"/>
        <v>7643.4825164316999</v>
      </c>
      <c r="AI50" s="77">
        <f t="shared" si="10"/>
        <v>9416.4500000000007</v>
      </c>
      <c r="AJ50" s="77">
        <f t="shared" si="10"/>
        <v>0</v>
      </c>
      <c r="AK50" s="77">
        <f t="shared" si="10"/>
        <v>0</v>
      </c>
      <c r="AL50" s="77">
        <f t="shared" si="10"/>
        <v>0</v>
      </c>
      <c r="AM50" s="77">
        <f t="shared" si="10"/>
        <v>0</v>
      </c>
      <c r="AN50" s="77">
        <f t="shared" si="10"/>
        <v>0</v>
      </c>
      <c r="AO50" s="77">
        <f t="shared" si="10"/>
        <v>0</v>
      </c>
      <c r="AP50" s="77">
        <f t="shared" si="10"/>
        <v>0</v>
      </c>
      <c r="AQ50" s="77">
        <f t="shared" si="10"/>
        <v>0</v>
      </c>
      <c r="AR50" s="77">
        <f t="shared" si="10"/>
        <v>0</v>
      </c>
      <c r="AS50" s="77">
        <f t="shared" si="10"/>
        <v>9292.8333000000002</v>
      </c>
      <c r="AT50" s="77" t="str">
        <f t="shared" si="10"/>
        <v>Ошибка</v>
      </c>
      <c r="AU50" s="77" t="str">
        <f t="shared" si="10"/>
        <v>Ошибка</v>
      </c>
      <c r="AV50" s="77">
        <f t="shared" si="10"/>
        <v>0</v>
      </c>
      <c r="AW50" s="77">
        <f t="shared" si="10"/>
        <v>0</v>
      </c>
      <c r="AX50" s="77">
        <f t="shared" si="10"/>
        <v>0</v>
      </c>
      <c r="AY50" s="77">
        <f t="shared" si="10"/>
        <v>0</v>
      </c>
      <c r="AZ50" s="77">
        <f t="shared" si="10"/>
        <v>0</v>
      </c>
      <c r="BA50" s="77">
        <f t="shared" si="10"/>
        <v>0</v>
      </c>
      <c r="BB50" s="77">
        <f t="shared" si="10"/>
        <v>0</v>
      </c>
      <c r="BC50" s="132" t="s">
        <v>886</v>
      </c>
      <c r="BD50" s="81"/>
      <c r="BE50" s="81"/>
      <c r="BF50" s="687" t="s">
        <v>842</v>
      </c>
      <c r="BG50" s="687"/>
      <c r="BH50" s="687"/>
      <c r="BJ50" s="198"/>
      <c r="BK50" s="198"/>
    </row>
    <row r="51" spans="1:63" s="338" customFormat="1" ht="10.5" customHeight="1">
      <c r="A51" s="81"/>
      <c r="C51" s="376"/>
      <c r="D51" s="81"/>
      <c r="E51" s="198">
        <v>11.25</v>
      </c>
      <c r="F51" s="3" t="str" cm="1">
        <f t="array" aca="1" ref="F51" ca="1">OFFSET(E51,-1,1)</f>
        <v>1</v>
      </c>
      <c r="G51" s="61" t="s">
        <v>328</v>
      </c>
      <c r="H51" s="61"/>
      <c r="I51" s="81"/>
      <c r="J51" s="81"/>
      <c r="K51" s="81"/>
      <c r="L51" s="81"/>
      <c r="M51" s="81"/>
      <c r="N51" s="81"/>
      <c r="O51" s="81"/>
      <c r="P51" s="81"/>
      <c r="Q51" s="81"/>
      <c r="R51" s="81"/>
      <c r="S51" s="81"/>
      <c r="T51" s="365" t="b" cm="1">
        <f t="array" ref="T51">T50</f>
        <v>1</v>
      </c>
      <c r="U51" s="81"/>
      <c r="V51" s="81"/>
      <c r="W51" s="81"/>
      <c r="X51" s="1050"/>
      <c r="Y51" s="81"/>
      <c r="Z51" s="1076"/>
      <c r="AA51" s="81"/>
      <c r="AB51" s="27" t="s">
        <v>285</v>
      </c>
      <c r="AC51" s="73" t="s">
        <v>843</v>
      </c>
      <c r="AD51" s="30" t="s">
        <v>844</v>
      </c>
      <c r="AE51" s="77">
        <f>SUMIF(AD55:AD78,AD51,AE55:AE78)</f>
        <v>925.48851210869998</v>
      </c>
      <c r="AF51" s="77">
        <f>SUMIF(AD55:AD78,AD51,AF55:AF78)</f>
        <v>1043.1399999999999</v>
      </c>
      <c r="AG51" s="77">
        <f>SUMIF(AD55:AD78,AD51,AG55:AG78)</f>
        <v>999.79</v>
      </c>
      <c r="AH51" s="77">
        <f>SUMIF(AD55:AD78,AD51,AH55:AH78)</f>
        <v>922.15553929200007</v>
      </c>
      <c r="AI51" s="77">
        <f>SUMIF(AD55:AD78,AD51,AI55:AI78)</f>
        <v>1043.1399999999999</v>
      </c>
      <c r="AJ51" s="77">
        <f>SUMIF(AD55:AD78,AD51,AJ55:AJ78)</f>
        <v>0</v>
      </c>
      <c r="AK51" s="77">
        <f>SUMIF(AD55:AD78,AD51,AK55:AK78)</f>
        <v>0</v>
      </c>
      <c r="AL51" s="77">
        <f>SUMIF(AD55:AD78,AD51,AL55:AL78)</f>
        <v>0</v>
      </c>
      <c r="AM51" s="77">
        <f>SUMIF(AD55:AD78,AD51,AM55:AM78)</f>
        <v>0</v>
      </c>
      <c r="AN51" s="77">
        <f>SUMIF(AD55:AD78,AD51,AN55:AN78)</f>
        <v>0</v>
      </c>
      <c r="AO51" s="77">
        <f>SUMIF(AD55:AD78,AD51,AO55:AO78)</f>
        <v>0</v>
      </c>
      <c r="AP51" s="77">
        <f>SUMIF(AD55:AD78,AD51,AP55:AP78)</f>
        <v>0</v>
      </c>
      <c r="AQ51" s="77">
        <f>SUMIF(AD55:AD78,AD51,AQ55:AQ78)</f>
        <v>0</v>
      </c>
      <c r="AR51" s="77">
        <f>SUMIF(AD55:AD78,AD51,AR55:AR78)</f>
        <v>0</v>
      </c>
      <c r="AS51" s="77">
        <f>SUMIF(AD55:AD78,AD51,AS55:AS78)</f>
        <v>911.6400000000001</v>
      </c>
      <c r="AT51" s="77">
        <f>SUMIF(AD55:AD78,AD51,AT55:AT78)</f>
        <v>911.6400000000001</v>
      </c>
      <c r="AU51" s="77">
        <f>SUMIF(AD55:AD78,AD51,AU55:AU78)</f>
        <v>911.6400000000001</v>
      </c>
      <c r="AV51" s="77">
        <f>SUMIF(AD55:AD78,AD51,AV55:AV78)</f>
        <v>0</v>
      </c>
      <c r="AW51" s="77">
        <f>SUMIF(AD55:AD78,AD51,AW55:AW78)</f>
        <v>0</v>
      </c>
      <c r="AX51" s="77">
        <f>SUMIF(AD55:AD78,AD51,AX55:AX78)</f>
        <v>0</v>
      </c>
      <c r="AY51" s="77">
        <f>SUMIF(AD55:AD78,AD51,AY55:AY78)</f>
        <v>0</v>
      </c>
      <c r="AZ51" s="77">
        <f>SUMIF(AD55:AD78,AD51,AZ55:AZ78)</f>
        <v>0</v>
      </c>
      <c r="BA51" s="77">
        <f>SUMIF(AD55:AD78,AD51,BA55:BA78)</f>
        <v>0</v>
      </c>
      <c r="BB51" s="77">
        <f>SUMIF(AD55:AD78,AD51,BB55:BB78)</f>
        <v>0</v>
      </c>
      <c r="BC51" s="132"/>
      <c r="BD51" s="81"/>
      <c r="BE51" s="81"/>
      <c r="BF51" s="687" t="s">
        <v>845</v>
      </c>
      <c r="BG51" s="687"/>
      <c r="BH51" s="687"/>
      <c r="BJ51" s="198"/>
      <c r="BK51" s="198"/>
    </row>
    <row r="52" spans="1:63" s="338" customFormat="1" ht="12.75" customHeight="1">
      <c r="A52" s="81"/>
      <c r="C52" s="376"/>
      <c r="D52" s="81"/>
      <c r="E52" s="198">
        <v>11.25</v>
      </c>
      <c r="F52" s="3" t="str" cm="1">
        <f t="array" aca="1" ref="F52" ca="1">OFFSET(E52,-1,1)</f>
        <v>1</v>
      </c>
      <c r="G52" s="61" t="s">
        <v>329</v>
      </c>
      <c r="H52" s="61"/>
      <c r="I52" s="81"/>
      <c r="J52" s="81"/>
      <c r="K52" s="81"/>
      <c r="L52" s="81"/>
      <c r="M52" s="81"/>
      <c r="N52" s="81"/>
      <c r="O52" s="81"/>
      <c r="P52" s="81"/>
      <c r="Q52" s="81"/>
      <c r="R52" s="81"/>
      <c r="S52" s="81"/>
      <c r="T52" s="365" t="b" cm="1">
        <f t="array" ref="T52">T51</f>
        <v>1</v>
      </c>
      <c r="U52" s="81"/>
      <c r="V52" s="81"/>
      <c r="W52" s="81"/>
      <c r="X52" s="1050"/>
      <c r="Y52" s="81"/>
      <c r="Z52" s="1076"/>
      <c r="AA52" s="81"/>
      <c r="AB52" s="27" t="s">
        <v>325</v>
      </c>
      <c r="AC52" s="73" t="s">
        <v>846</v>
      </c>
      <c r="AD52" s="30" t="s">
        <v>847</v>
      </c>
      <c r="AE52" s="171">
        <v>1352.01</v>
      </c>
      <c r="AF52" s="171">
        <f>Баланс!AF120+Баланс!AF127</f>
        <v>1468.0259999999998</v>
      </c>
      <c r="AG52" s="228">
        <f>Баланс!AG120+Баланс!AG127</f>
        <v>1468.0259999999998</v>
      </c>
      <c r="AH52" s="171">
        <v>1347.1409902620001</v>
      </c>
      <c r="AI52" s="171">
        <f>Баланс!AI120+Баланс!AI127</f>
        <v>1469.5129999999999</v>
      </c>
      <c r="AJ52" s="880"/>
      <c r="AK52" s="880"/>
      <c r="AL52" s="880"/>
      <c r="AM52" s="880"/>
      <c r="AN52" s="880"/>
      <c r="AO52" s="880"/>
      <c r="AP52" s="880"/>
      <c r="AQ52" s="880"/>
      <c r="AR52" s="880"/>
      <c r="AS52" s="171">
        <f>Баланс!AS120+Баланс!AS127</f>
        <v>1331.7809599999998</v>
      </c>
      <c r="AT52" s="880" cm="1">
        <f t="array" ref="AT52">AS52</f>
        <v>1331.7809599999998</v>
      </c>
      <c r="AU52" s="880" cm="1">
        <f t="array" ref="AU52">AT52</f>
        <v>1331.7809599999998</v>
      </c>
      <c r="AV52" s="880"/>
      <c r="AW52" s="880"/>
      <c r="AX52" s="880"/>
      <c r="AY52" s="880"/>
      <c r="AZ52" s="880"/>
      <c r="BA52" s="880"/>
      <c r="BB52" s="880"/>
      <c r="BC52" s="132"/>
      <c r="BD52" s="81"/>
      <c r="BE52" s="81"/>
      <c r="BF52" s="687" t="s">
        <v>848</v>
      </c>
      <c r="BG52" s="687"/>
      <c r="BH52" s="687"/>
      <c r="BJ52" s="198"/>
      <c r="BK52" s="198"/>
    </row>
    <row r="53" spans="1:63" s="338" customFormat="1" ht="10.5" customHeight="1">
      <c r="A53" s="81"/>
      <c r="C53" s="376"/>
      <c r="D53" s="81"/>
      <c r="E53" s="198">
        <v>11.25</v>
      </c>
      <c r="F53" s="3" t="str" cm="1">
        <f t="array" aca="1" ref="F53" ca="1">OFFSET(E53,-1,1)</f>
        <v>1</v>
      </c>
      <c r="G53" s="61" t="s">
        <v>331</v>
      </c>
      <c r="H53" s="61"/>
      <c r="I53" s="81"/>
      <c r="J53" s="81"/>
      <c r="K53" s="81"/>
      <c r="L53" s="81"/>
      <c r="M53" s="81"/>
      <c r="N53" s="81"/>
      <c r="O53" s="81"/>
      <c r="P53" s="81"/>
      <c r="Q53" s="81"/>
      <c r="R53" s="81"/>
      <c r="S53" s="81"/>
      <c r="T53" s="365" t="b" cm="1">
        <f t="array" ref="T53">T52</f>
        <v>1</v>
      </c>
      <c r="U53" s="81"/>
      <c r="V53" s="81"/>
      <c r="W53" s="81"/>
      <c r="X53" s="1050"/>
      <c r="Y53" s="81"/>
      <c r="Z53" s="1076"/>
      <c r="AA53" s="81"/>
      <c r="AB53" s="27" t="s">
        <v>433</v>
      </c>
      <c r="AC53" s="73" t="s">
        <v>849</v>
      </c>
      <c r="AD53" s="30" t="s">
        <v>850</v>
      </c>
      <c r="AE53" s="77">
        <f t="shared" ref="AE53:BB53" si="11">IF(AE51=0,0,AE50/AE51)</f>
        <v>7.9015290749856488</v>
      </c>
      <c r="AF53" s="77">
        <f t="shared" si="11"/>
        <v>7.688824127154553</v>
      </c>
      <c r="AG53" s="77">
        <f t="shared" si="11"/>
        <v>7.7423658968383364</v>
      </c>
      <c r="AH53" s="77">
        <f t="shared" si="11"/>
        <v>8.2887129022725468</v>
      </c>
      <c r="AI53" s="77">
        <f t="shared" si="11"/>
        <v>9.0270241770040478</v>
      </c>
      <c r="AJ53" s="77">
        <f t="shared" si="11"/>
        <v>0</v>
      </c>
      <c r="AK53" s="77">
        <f t="shared" si="11"/>
        <v>0</v>
      </c>
      <c r="AL53" s="77">
        <f t="shared" si="11"/>
        <v>0</v>
      </c>
      <c r="AM53" s="77">
        <f t="shared" si="11"/>
        <v>0</v>
      </c>
      <c r="AN53" s="77">
        <f t="shared" si="11"/>
        <v>0</v>
      </c>
      <c r="AO53" s="77">
        <f t="shared" si="11"/>
        <v>0</v>
      </c>
      <c r="AP53" s="77">
        <f t="shared" si="11"/>
        <v>0</v>
      </c>
      <c r="AQ53" s="77">
        <f t="shared" si="11"/>
        <v>0</v>
      </c>
      <c r="AR53" s="77">
        <f t="shared" si="11"/>
        <v>0</v>
      </c>
      <c r="AS53" s="77">
        <f t="shared" si="11"/>
        <v>10.193533960773989</v>
      </c>
      <c r="AT53" s="77" t="e">
        <f t="shared" si="11"/>
        <v>#VALUE!</v>
      </c>
      <c r="AU53" s="77" t="e">
        <f t="shared" si="11"/>
        <v>#VALUE!</v>
      </c>
      <c r="AV53" s="77">
        <f t="shared" si="11"/>
        <v>0</v>
      </c>
      <c r="AW53" s="77">
        <f t="shared" si="11"/>
        <v>0</v>
      </c>
      <c r="AX53" s="77">
        <f t="shared" si="11"/>
        <v>0</v>
      </c>
      <c r="AY53" s="77">
        <f t="shared" si="11"/>
        <v>0</v>
      </c>
      <c r="AZ53" s="77">
        <f t="shared" si="11"/>
        <v>0</v>
      </c>
      <c r="BA53" s="77">
        <f t="shared" si="11"/>
        <v>0</v>
      </c>
      <c r="BB53" s="77">
        <f t="shared" si="11"/>
        <v>0</v>
      </c>
      <c r="BC53" s="132"/>
      <c r="BD53" s="81"/>
      <c r="BE53" s="81"/>
      <c r="BF53" s="687" t="s">
        <v>851</v>
      </c>
      <c r="BG53" s="687"/>
      <c r="BH53" s="687"/>
      <c r="BJ53" s="198"/>
      <c r="BK53" s="198"/>
    </row>
    <row r="54" spans="1:63" s="338" customFormat="1" ht="10.5" customHeight="1">
      <c r="A54" s="81"/>
      <c r="C54" s="376"/>
      <c r="D54" s="81"/>
      <c r="E54" s="198">
        <v>11.25</v>
      </c>
      <c r="F54" s="3" t="str" cm="1">
        <f t="array" aca="1" ref="F54" ca="1">OFFSET(E54,-1,1)</f>
        <v>1</v>
      </c>
      <c r="G54" s="61" t="s">
        <v>330</v>
      </c>
      <c r="H54" s="61"/>
      <c r="I54" s="81"/>
      <c r="J54" s="81"/>
      <c r="K54" s="81"/>
      <c r="L54" s="81"/>
      <c r="M54" s="81"/>
      <c r="N54" s="81"/>
      <c r="O54" s="81"/>
      <c r="P54" s="81"/>
      <c r="Q54" s="81"/>
      <c r="R54" s="81"/>
      <c r="S54" s="81"/>
      <c r="T54" s="365" t="b" cm="1">
        <f t="array" ref="T54">T53</f>
        <v>1</v>
      </c>
      <c r="U54" s="81"/>
      <c r="V54" s="81"/>
      <c r="W54" s="81"/>
      <c r="X54" s="1050"/>
      <c r="Y54" s="81"/>
      <c r="Z54" s="1076"/>
      <c r="AA54" s="81"/>
      <c r="AB54" s="27" t="s">
        <v>444</v>
      </c>
      <c r="AC54" s="73" t="s">
        <v>852</v>
      </c>
      <c r="AD54" s="30" t="s">
        <v>853</v>
      </c>
      <c r="AE54" s="77">
        <f t="shared" ref="AE54:BB54" si="12">IF(AE52=0,0,AE51/AE52)</f>
        <v>0.68452786008143429</v>
      </c>
      <c r="AF54" s="77">
        <f t="shared" si="12"/>
        <v>0.71057324597793226</v>
      </c>
      <c r="AG54" s="77">
        <f t="shared" si="12"/>
        <v>0.68104379622704236</v>
      </c>
      <c r="AH54" s="77">
        <f t="shared" si="12"/>
        <v>0.6845278600814112</v>
      </c>
      <c r="AI54" s="77">
        <f t="shared" si="12"/>
        <v>0.70985421700930851</v>
      </c>
      <c r="AJ54" s="236">
        <f t="shared" si="12"/>
        <v>0</v>
      </c>
      <c r="AK54" s="236">
        <f t="shared" si="12"/>
        <v>0</v>
      </c>
      <c r="AL54" s="236">
        <f t="shared" si="12"/>
        <v>0</v>
      </c>
      <c r="AM54" s="236">
        <f t="shared" si="12"/>
        <v>0</v>
      </c>
      <c r="AN54" s="236">
        <f t="shared" si="12"/>
        <v>0</v>
      </c>
      <c r="AO54" s="236">
        <f t="shared" si="12"/>
        <v>0</v>
      </c>
      <c r="AP54" s="236">
        <f t="shared" si="12"/>
        <v>0</v>
      </c>
      <c r="AQ54" s="236">
        <f t="shared" si="12"/>
        <v>0</v>
      </c>
      <c r="AR54" s="236">
        <f t="shared" si="12"/>
        <v>0</v>
      </c>
      <c r="AS54" s="77">
        <f t="shared" si="12"/>
        <v>0.6845269810735245</v>
      </c>
      <c r="AT54" s="236">
        <f t="shared" si="12"/>
        <v>0.6845269810735245</v>
      </c>
      <c r="AU54" s="236">
        <f t="shared" si="12"/>
        <v>0.6845269810735245</v>
      </c>
      <c r="AV54" s="236">
        <f t="shared" si="12"/>
        <v>0</v>
      </c>
      <c r="AW54" s="236">
        <f t="shared" si="12"/>
        <v>0</v>
      </c>
      <c r="AX54" s="236">
        <f t="shared" si="12"/>
        <v>0</v>
      </c>
      <c r="AY54" s="236">
        <f t="shared" si="12"/>
        <v>0</v>
      </c>
      <c r="AZ54" s="236">
        <f t="shared" si="12"/>
        <v>0</v>
      </c>
      <c r="BA54" s="236">
        <f t="shared" si="12"/>
        <v>0</v>
      </c>
      <c r="BB54" s="236">
        <f t="shared" si="12"/>
        <v>0</v>
      </c>
      <c r="BC54" s="132"/>
      <c r="BD54" s="81"/>
      <c r="BE54" s="81"/>
      <c r="BF54" s="687" t="s">
        <v>854</v>
      </c>
      <c r="BG54" s="687"/>
      <c r="BH54" s="687"/>
      <c r="BJ54" s="198"/>
      <c r="BK54" s="198"/>
    </row>
    <row r="55" spans="1:63" s="338" customFormat="1" ht="12" customHeight="1">
      <c r="A55" s="81"/>
      <c r="C55" s="376"/>
      <c r="D55" s="81"/>
      <c r="E55" s="198">
        <v>13</v>
      </c>
      <c r="F55" s="3" t="str" cm="1">
        <f t="array" aca="1" ref="F55" ca="1">OFFSET(E55,-1,1)</f>
        <v>1</v>
      </c>
      <c r="G55" s="61"/>
      <c r="H55" s="61"/>
      <c r="I55" s="81"/>
      <c r="J55" s="81"/>
      <c r="K55" s="81"/>
      <c r="L55" s="81"/>
      <c r="M55" s="81"/>
      <c r="N55" s="81"/>
      <c r="O55" s="81"/>
      <c r="P55" s="81"/>
      <c r="Q55" s="81"/>
      <c r="R55" s="81"/>
      <c r="S55" s="81"/>
      <c r="T55" s="365" t="b" cm="1">
        <f t="array" ref="T55">T54</f>
        <v>1</v>
      </c>
      <c r="U55" s="81"/>
      <c r="V55" s="81"/>
      <c r="W55" s="81"/>
      <c r="X55" s="1050"/>
      <c r="Y55" s="81"/>
      <c r="Z55" s="1076"/>
      <c r="AA55" s="81"/>
      <c r="AB55" s="487"/>
      <c r="AC55" s="197" t="s">
        <v>855</v>
      </c>
      <c r="AD55" s="198"/>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200"/>
      <c r="BD55" s="81"/>
      <c r="BE55" s="81"/>
      <c r="BF55" s="687"/>
      <c r="BG55" s="687"/>
      <c r="BH55" s="687"/>
      <c r="BJ55" s="198"/>
      <c r="BK55" s="198"/>
    </row>
    <row r="56" spans="1:63" ht="10.7" hidden="1" customHeight="1">
      <c r="B56" s="865"/>
      <c r="C56" s="376"/>
      <c r="E56" s="198">
        <v>11</v>
      </c>
      <c r="F56" s="3" t="str" cm="1">
        <f t="array" aca="1" ref="F56" ca="1">OFFSET(E56,-1,1)</f>
        <v>1</v>
      </c>
      <c r="G56" s="61"/>
      <c r="H56" s="61"/>
      <c r="T56" s="365" t="b">
        <f ca="1">AND(F56&gt;0,Y56&gt;0)</f>
        <v>0</v>
      </c>
      <c r="W56" s="528" t="s">
        <v>173</v>
      </c>
      <c r="X56" s="1121"/>
      <c r="Y56" s="1123">
        <v>0</v>
      </c>
      <c r="Z56" s="1121"/>
      <c r="AA56" s="1124" t="s">
        <v>174</v>
      </c>
      <c r="AB56" s="27" t="str">
        <f>"6."&amp;Y56</f>
        <v>6.0</v>
      </c>
      <c r="AC56" s="881"/>
      <c r="AD56" s="27"/>
      <c r="AE56" s="271"/>
      <c r="AF56" s="271"/>
      <c r="AG56" s="271"/>
      <c r="AH56" s="271"/>
      <c r="AI56" s="271"/>
      <c r="AJ56" s="271"/>
      <c r="AK56" s="271"/>
      <c r="AL56" s="271"/>
      <c r="AM56" s="271"/>
      <c r="AN56" s="271"/>
      <c r="AO56" s="271"/>
      <c r="AP56" s="271"/>
      <c r="AQ56" s="271"/>
      <c r="AR56" s="271"/>
      <c r="AS56" s="271"/>
      <c r="AT56" s="271"/>
      <c r="AU56" s="271"/>
      <c r="AV56" s="271"/>
      <c r="AW56" s="271"/>
      <c r="AX56" s="271"/>
      <c r="AY56" s="271"/>
      <c r="AZ56" s="271"/>
      <c r="BA56" s="271"/>
      <c r="BB56" s="271"/>
      <c r="BC56" s="271"/>
      <c r="BD56" s="856"/>
      <c r="BF56" s="687"/>
      <c r="BG56" s="687"/>
      <c r="BH56" s="687"/>
      <c r="BI56" s="687"/>
      <c r="BJ56" s="198"/>
      <c r="BK56" s="198"/>
    </row>
    <row r="57" spans="1:63" s="338" customFormat="1" ht="10.5" hidden="1" customHeight="1">
      <c r="A57" s="81"/>
      <c r="C57" s="376"/>
      <c r="D57" s="81"/>
      <c r="E57" s="198">
        <v>11.25</v>
      </c>
      <c r="F57" s="3" t="str" cm="1">
        <f t="array" aca="1" ref="F57" ca="1">OFFSET(E57,-1,1)</f>
        <v>1</v>
      </c>
      <c r="G57" s="61" t="s">
        <v>511</v>
      </c>
      <c r="H57" s="61" cm="1">
        <f t="array" ref="H57">AC57</f>
        <v>0</v>
      </c>
      <c r="I57" s="81"/>
      <c r="J57" s="81"/>
      <c r="K57" s="81"/>
      <c r="L57" s="81"/>
      <c r="M57" s="81"/>
      <c r="N57" s="81"/>
      <c r="O57" s="81"/>
      <c r="P57" s="81"/>
      <c r="Q57" s="81"/>
      <c r="R57" s="81"/>
      <c r="S57" s="81"/>
      <c r="T57" s="365" t="b" cm="1">
        <f t="array" aca="1" ref="T57" ca="1">T56</f>
        <v>0</v>
      </c>
      <c r="U57" s="81"/>
      <c r="V57" s="81"/>
      <c r="W57" s="528"/>
      <c r="X57" s="1050"/>
      <c r="Y57" s="1050">
        <v>0</v>
      </c>
      <c r="Z57" s="1076"/>
      <c r="AA57" s="1049" t="s">
        <v>174</v>
      </c>
      <c r="AB57" s="27" t="str">
        <f>AB56&amp;".1"</f>
        <v>6.0.1</v>
      </c>
      <c r="AC57" s="875"/>
      <c r="AD57" s="27" t="s">
        <v>804</v>
      </c>
      <c r="AE57" s="833"/>
      <c r="AF57" s="833"/>
      <c r="AG57" s="833"/>
      <c r="AH57" s="833"/>
      <c r="AI57" s="833"/>
      <c r="AJ57" s="833"/>
      <c r="AK57" s="833"/>
      <c r="AL57" s="833"/>
      <c r="AM57" s="833"/>
      <c r="AN57" s="833"/>
      <c r="AO57" s="833"/>
      <c r="AP57" s="833"/>
      <c r="AQ57" s="833"/>
      <c r="AR57" s="833"/>
      <c r="AS57" s="833"/>
      <c r="AT57" s="833"/>
      <c r="AU57" s="833"/>
      <c r="AV57" s="833"/>
      <c r="AW57" s="833"/>
      <c r="AX57" s="833"/>
      <c r="AY57" s="833"/>
      <c r="AZ57" s="833"/>
      <c r="BA57" s="833"/>
      <c r="BB57" s="833"/>
      <c r="BC57" s="839"/>
      <c r="BD57" s="81"/>
      <c r="BE57" s="81"/>
      <c r="BF57" s="687" t="s">
        <v>856</v>
      </c>
      <c r="BG57" s="687" t="s">
        <v>857</v>
      </c>
      <c r="BH57" s="687" cm="1">
        <f t="array" ref="BH57">AC57</f>
        <v>0</v>
      </c>
      <c r="BI57" s="338" cm="1">
        <f t="array" ref="BI57">AC56</f>
        <v>0</v>
      </c>
      <c r="BJ57" s="198"/>
      <c r="BK57" s="198" t="b">
        <v>1</v>
      </c>
    </row>
    <row r="58" spans="1:63" s="338" customFormat="1" ht="10.5" hidden="1" customHeight="1">
      <c r="A58" s="81"/>
      <c r="C58" s="376"/>
      <c r="D58" s="81"/>
      <c r="E58" s="198">
        <v>11.25</v>
      </c>
      <c r="F58" s="3" t="str" cm="1">
        <f t="array" aca="1" ref="F58" ca="1">OFFSET(E58,-1,1)</f>
        <v>1</v>
      </c>
      <c r="G58" s="61" t="s">
        <v>672</v>
      </c>
      <c r="H58" s="61" cm="1">
        <f t="array" ref="H58">H57</f>
        <v>0</v>
      </c>
      <c r="I58" s="81"/>
      <c r="J58" s="81"/>
      <c r="K58" s="81"/>
      <c r="L58" s="81"/>
      <c r="M58" s="81"/>
      <c r="N58" s="81"/>
      <c r="O58" s="81"/>
      <c r="P58" s="81"/>
      <c r="Q58" s="81"/>
      <c r="R58" s="81"/>
      <c r="S58" s="81"/>
      <c r="T58" s="365" t="b" cm="1">
        <f t="array" aca="1" ref="T58" ca="1">T57</f>
        <v>0</v>
      </c>
      <c r="U58" s="81"/>
      <c r="V58" s="81"/>
      <c r="W58" s="81"/>
      <c r="X58" s="1050"/>
      <c r="Y58" s="1050"/>
      <c r="Z58" s="1076"/>
      <c r="AA58" s="1049"/>
      <c r="AB58" s="27" t="str">
        <f>AB56&amp;".2"</f>
        <v>6.0.2</v>
      </c>
      <c r="AC58" s="124" t="s">
        <v>858</v>
      </c>
      <c r="AD58" s="30" t="s">
        <v>850</v>
      </c>
      <c r="AE58" s="77">
        <f t="shared" ref="AE58:BB58" si="13">IF(OR(AND(AE57&lt;&gt;0,AE59=0),AND(AE57=0,AE59&lt;&gt;0)),"Ошибка",IF(AE59=0,0,AE57/AE59))</f>
        <v>0</v>
      </c>
      <c r="AF58" s="77">
        <f t="shared" si="13"/>
        <v>0</v>
      </c>
      <c r="AG58" s="77">
        <f t="shared" si="13"/>
        <v>0</v>
      </c>
      <c r="AH58" s="77">
        <f t="shared" si="13"/>
        <v>0</v>
      </c>
      <c r="AI58" s="77">
        <f t="shared" si="13"/>
        <v>0</v>
      </c>
      <c r="AJ58" s="77">
        <f t="shared" si="13"/>
        <v>0</v>
      </c>
      <c r="AK58" s="77">
        <f t="shared" si="13"/>
        <v>0</v>
      </c>
      <c r="AL58" s="77">
        <f t="shared" si="13"/>
        <v>0</v>
      </c>
      <c r="AM58" s="77">
        <f t="shared" si="13"/>
        <v>0</v>
      </c>
      <c r="AN58" s="77">
        <f t="shared" si="13"/>
        <v>0</v>
      </c>
      <c r="AO58" s="77">
        <f t="shared" si="13"/>
        <v>0</v>
      </c>
      <c r="AP58" s="77">
        <f t="shared" si="13"/>
        <v>0</v>
      </c>
      <c r="AQ58" s="77">
        <f t="shared" si="13"/>
        <v>0</v>
      </c>
      <c r="AR58" s="77">
        <f t="shared" si="13"/>
        <v>0</v>
      </c>
      <c r="AS58" s="77">
        <f t="shared" si="13"/>
        <v>0</v>
      </c>
      <c r="AT58" s="77">
        <f t="shared" si="13"/>
        <v>0</v>
      </c>
      <c r="AU58" s="77">
        <f t="shared" si="13"/>
        <v>0</v>
      </c>
      <c r="AV58" s="77">
        <f t="shared" si="13"/>
        <v>0</v>
      </c>
      <c r="AW58" s="77">
        <f t="shared" si="13"/>
        <v>0</v>
      </c>
      <c r="AX58" s="77">
        <f t="shared" si="13"/>
        <v>0</v>
      </c>
      <c r="AY58" s="77">
        <f t="shared" si="13"/>
        <v>0</v>
      </c>
      <c r="AZ58" s="77">
        <f t="shared" si="13"/>
        <v>0</v>
      </c>
      <c r="BA58" s="77">
        <f t="shared" si="13"/>
        <v>0</v>
      </c>
      <c r="BB58" s="77">
        <f t="shared" si="13"/>
        <v>0</v>
      </c>
      <c r="BC58" s="839"/>
      <c r="BD58" s="81"/>
      <c r="BE58" s="81"/>
      <c r="BF58" s="687" t="s">
        <v>859</v>
      </c>
      <c r="BG58" s="687" t="s">
        <v>857</v>
      </c>
      <c r="BH58" s="687" cm="1">
        <f t="array" ref="BH58">BH57</f>
        <v>0</v>
      </c>
      <c r="BI58" s="338" cm="1">
        <f t="array" ref="BI58">BI57</f>
        <v>0</v>
      </c>
      <c r="BJ58" s="198"/>
      <c r="BK58" s="198"/>
    </row>
    <row r="59" spans="1:63" s="338" customFormat="1" ht="10.5" hidden="1" customHeight="1">
      <c r="A59" s="81"/>
      <c r="C59" s="376"/>
      <c r="D59" s="81"/>
      <c r="E59" s="198">
        <v>11.25</v>
      </c>
      <c r="F59" s="3" t="str" cm="1">
        <f t="array" aca="1" ref="F59" ca="1">OFFSET(E59,-1,1)</f>
        <v>1</v>
      </c>
      <c r="G59" s="61" t="s">
        <v>675</v>
      </c>
      <c r="H59" s="61" cm="1">
        <f t="array" ref="H59">H58</f>
        <v>0</v>
      </c>
      <c r="I59" s="81"/>
      <c r="J59" s="81"/>
      <c r="K59" s="81"/>
      <c r="L59" s="81"/>
      <c r="M59" s="81"/>
      <c r="N59" s="81"/>
      <c r="O59" s="81"/>
      <c r="P59" s="81"/>
      <c r="Q59" s="81"/>
      <c r="R59" s="81"/>
      <c r="S59" s="81"/>
      <c r="T59" s="365" t="b" cm="1">
        <f t="array" aca="1" ref="T59" ca="1">T58</f>
        <v>0</v>
      </c>
      <c r="U59" s="81"/>
      <c r="V59" s="81"/>
      <c r="W59" s="81"/>
      <c r="X59" s="1050"/>
      <c r="Y59" s="1050"/>
      <c r="Z59" s="1076"/>
      <c r="AA59" s="1049"/>
      <c r="AB59" s="27" t="str">
        <f>AB56&amp;".3"</f>
        <v>6.0.3</v>
      </c>
      <c r="AC59" s="124" t="s">
        <v>860</v>
      </c>
      <c r="AD59" s="30" t="s">
        <v>844</v>
      </c>
      <c r="AE59" s="833"/>
      <c r="AF59" s="833"/>
      <c r="AG59" s="833"/>
      <c r="AH59" s="833"/>
      <c r="AI59" s="833"/>
      <c r="AJ59" s="833"/>
      <c r="AK59" s="833"/>
      <c r="AL59" s="833"/>
      <c r="AM59" s="833"/>
      <c r="AN59" s="833"/>
      <c r="AO59" s="833"/>
      <c r="AP59" s="833"/>
      <c r="AQ59" s="833"/>
      <c r="AR59" s="833"/>
      <c r="AS59" s="833"/>
      <c r="AT59" s="833"/>
      <c r="AU59" s="833"/>
      <c r="AV59" s="833"/>
      <c r="AW59" s="833"/>
      <c r="AX59" s="833"/>
      <c r="AY59" s="833"/>
      <c r="AZ59" s="833"/>
      <c r="BA59" s="833"/>
      <c r="BB59" s="833"/>
      <c r="BC59" s="839"/>
      <c r="BD59" s="81"/>
      <c r="BE59" s="81"/>
      <c r="BF59" s="687" t="s">
        <v>861</v>
      </c>
      <c r="BG59" s="687" t="s">
        <v>857</v>
      </c>
      <c r="BH59" s="687" cm="1">
        <f t="array" ref="BH59">BH58</f>
        <v>0</v>
      </c>
      <c r="BI59" s="338" cm="1">
        <f t="array" ref="BI59">BI58</f>
        <v>0</v>
      </c>
      <c r="BJ59" s="198"/>
      <c r="BK59" s="198"/>
    </row>
    <row r="60" spans="1:63" ht="23.25" customHeight="1">
      <c r="B60" s="865"/>
      <c r="C60" s="376"/>
      <c r="E60" s="198">
        <v>11</v>
      </c>
      <c r="F60" s="3" t="str" cm="1">
        <f t="array" aca="1" ref="F60" ca="1">OFFSET(E60,-1,1)</f>
        <v>1</v>
      </c>
      <c r="G60" s="61"/>
      <c r="H60" s="61"/>
      <c r="T60" s="365" t="b">
        <f ca="1">AND(F60&gt;0,Y60&gt;0)</f>
        <v>1</v>
      </c>
      <c r="W60" s="528"/>
      <c r="X60" s="1121"/>
      <c r="Y60" s="1123" t="s">
        <v>275</v>
      </c>
      <c r="Z60" s="1121"/>
      <c r="AA60" s="1124" t="s">
        <v>174</v>
      </c>
      <c r="AB60" s="27" t="str">
        <f>"6."&amp;Y60</f>
        <v>6.1</v>
      </c>
      <c r="AC60" s="881" t="s">
        <v>887</v>
      </c>
      <c r="AD60" s="27"/>
      <c r="AE60" s="271"/>
      <c r="AF60" s="271"/>
      <c r="AG60" s="271"/>
      <c r="AH60" s="271"/>
      <c r="AI60" s="271"/>
      <c r="AJ60" s="271"/>
      <c r="AK60" s="271"/>
      <c r="AL60" s="271"/>
      <c r="AM60" s="271"/>
      <c r="AN60" s="271"/>
      <c r="AO60" s="271"/>
      <c r="AP60" s="271"/>
      <c r="AQ60" s="271"/>
      <c r="AR60" s="271"/>
      <c r="AS60" s="271"/>
      <c r="AT60" s="271"/>
      <c r="AU60" s="271"/>
      <c r="AV60" s="271"/>
      <c r="AW60" s="271"/>
      <c r="AX60" s="271"/>
      <c r="AY60" s="271"/>
      <c r="AZ60" s="271"/>
      <c r="BA60" s="271"/>
      <c r="BB60" s="271"/>
      <c r="BC60" s="271"/>
      <c r="BD60" s="856"/>
      <c r="BF60" s="687"/>
      <c r="BG60" s="687"/>
      <c r="BH60" s="687"/>
      <c r="BI60" s="687"/>
      <c r="BJ60" s="198"/>
      <c r="BK60" s="198"/>
    </row>
    <row r="61" spans="1:63" s="338" customFormat="1" ht="12.75" customHeight="1">
      <c r="A61" s="81"/>
      <c r="C61" s="376"/>
      <c r="D61" s="81"/>
      <c r="E61" s="198">
        <v>11.25</v>
      </c>
      <c r="F61" s="3" t="str" cm="1">
        <f t="array" aca="1" ref="F61" ca="1">OFFSET(E61,-1,1)</f>
        <v>1</v>
      </c>
      <c r="G61" s="61" t="s">
        <v>511</v>
      </c>
      <c r="H61" s="61" t="str" cm="1">
        <f t="array" ref="H61">AC61</f>
        <v>НН</v>
      </c>
      <c r="I61" s="81"/>
      <c r="J61" s="81"/>
      <c r="K61" s="81"/>
      <c r="L61" s="81"/>
      <c r="M61" s="81"/>
      <c r="N61" s="81"/>
      <c r="O61" s="81"/>
      <c r="P61" s="81"/>
      <c r="Q61" s="81"/>
      <c r="R61" s="81"/>
      <c r="S61" s="81"/>
      <c r="T61" s="365" t="b" cm="1">
        <f t="array" aca="1" ref="T61" ca="1">T60</f>
        <v>1</v>
      </c>
      <c r="U61" s="81"/>
      <c r="V61" s="81"/>
      <c r="W61" s="528"/>
      <c r="X61" s="1050"/>
      <c r="Y61" s="1050" t="s">
        <v>275</v>
      </c>
      <c r="Z61" s="1076"/>
      <c r="AA61" s="1049" t="s">
        <v>174</v>
      </c>
      <c r="AB61" s="27" t="str">
        <f>AB60&amp;".1"</f>
        <v>6.1.1</v>
      </c>
      <c r="AC61" s="131" t="s">
        <v>888</v>
      </c>
      <c r="AD61" s="27" t="s">
        <v>804</v>
      </c>
      <c r="AE61" s="76">
        <v>2080.3465780727001</v>
      </c>
      <c r="AF61" s="76">
        <v>1964.49</v>
      </c>
      <c r="AG61" s="76">
        <v>2142.5500000000002</v>
      </c>
      <c r="AH61" s="76">
        <v>2174.4271594342999</v>
      </c>
      <c r="AI61" s="76">
        <v>2373.4</v>
      </c>
      <c r="AJ61" s="833"/>
      <c r="AK61" s="833"/>
      <c r="AL61" s="833"/>
      <c r="AM61" s="833"/>
      <c r="AN61" s="833"/>
      <c r="AO61" s="833"/>
      <c r="AP61" s="833"/>
      <c r="AQ61" s="833"/>
      <c r="AR61" s="833"/>
      <c r="AS61" s="76">
        <v>2572.1516000000001</v>
      </c>
      <c r="AT61" s="833"/>
      <c r="AU61" s="833"/>
      <c r="AV61" s="833"/>
      <c r="AW61" s="833"/>
      <c r="AX61" s="833"/>
      <c r="AY61" s="833"/>
      <c r="AZ61" s="833"/>
      <c r="BA61" s="833"/>
      <c r="BB61" s="833"/>
      <c r="BC61" s="132"/>
      <c r="BD61" s="81"/>
      <c r="BE61" s="81"/>
      <c r="BF61" s="687" t="s">
        <v>856</v>
      </c>
      <c r="BG61" s="687" t="s">
        <v>857</v>
      </c>
      <c r="BH61" s="687" t="str" cm="1">
        <f t="array" ref="BH61">AC61</f>
        <v>НН</v>
      </c>
      <c r="BI61" s="338" t="str" cm="1">
        <f t="array" ref="BI61">AC60</f>
        <v>ПАО "Кузбассэнергосбыт" (ИНН: 4205109214, КПП: 420501001)</v>
      </c>
      <c r="BJ61" s="198"/>
      <c r="BK61" s="198" t="b">
        <v>1</v>
      </c>
    </row>
    <row r="62" spans="1:63" s="338" customFormat="1" ht="33.75" customHeight="1">
      <c r="A62" s="81"/>
      <c r="C62" s="376"/>
      <c r="D62" s="81"/>
      <c r="E62" s="198">
        <v>11.25</v>
      </c>
      <c r="F62" s="3" t="str" cm="1">
        <f t="array" aca="1" ref="F62" ca="1">OFFSET(E62,-1,1)</f>
        <v>1</v>
      </c>
      <c r="G62" s="61" t="s">
        <v>672</v>
      </c>
      <c r="H62" s="61" t="str" cm="1">
        <f t="array" ref="H62">H61</f>
        <v>НН</v>
      </c>
      <c r="I62" s="81"/>
      <c r="J62" s="81"/>
      <c r="K62" s="81"/>
      <c r="L62" s="81"/>
      <c r="M62" s="81"/>
      <c r="N62" s="81"/>
      <c r="O62" s="81"/>
      <c r="P62" s="81"/>
      <c r="Q62" s="81"/>
      <c r="R62" s="81"/>
      <c r="S62" s="81"/>
      <c r="T62" s="365" t="b" cm="1">
        <f t="array" aca="1" ref="T62" ca="1">T61</f>
        <v>1</v>
      </c>
      <c r="U62" s="81"/>
      <c r="V62" s="81"/>
      <c r="W62" s="81"/>
      <c r="X62" s="1050"/>
      <c r="Y62" s="1050"/>
      <c r="Z62" s="1076"/>
      <c r="AA62" s="1049"/>
      <c r="AB62" s="27" t="str">
        <f>AB60&amp;".2"</f>
        <v>6.1.2</v>
      </c>
      <c r="AC62" s="124" t="s">
        <v>858</v>
      </c>
      <c r="AD62" s="30" t="s">
        <v>850</v>
      </c>
      <c r="AE62" s="77">
        <f t="shared" ref="AE62:BB62" si="14">IF(OR(AND(AE61&lt;&gt;0,AE63=0),AND(AE61=0,AE63&lt;&gt;0)),"Ошибка",IF(AE63=0,0,AE61/AE63))</f>
        <v>9.6459928496723322</v>
      </c>
      <c r="AF62" s="77">
        <f t="shared" si="14"/>
        <v>9.1961894953656032</v>
      </c>
      <c r="AG62" s="77">
        <f t="shared" si="14"/>
        <v>9.1962829427418669</v>
      </c>
      <c r="AH62" s="77">
        <f t="shared" si="14"/>
        <v>10.118658983901643</v>
      </c>
      <c r="AI62" s="77">
        <f t="shared" si="14"/>
        <v>11.11038292294729</v>
      </c>
      <c r="AJ62" s="77">
        <f t="shared" si="14"/>
        <v>0</v>
      </c>
      <c r="AK62" s="77">
        <f t="shared" si="14"/>
        <v>0</v>
      </c>
      <c r="AL62" s="77">
        <f t="shared" si="14"/>
        <v>0</v>
      </c>
      <c r="AM62" s="77">
        <f t="shared" si="14"/>
        <v>0</v>
      </c>
      <c r="AN62" s="77">
        <f t="shared" si="14"/>
        <v>0</v>
      </c>
      <c r="AO62" s="77">
        <f t="shared" si="14"/>
        <v>0</v>
      </c>
      <c r="AP62" s="77">
        <f t="shared" si="14"/>
        <v>0</v>
      </c>
      <c r="AQ62" s="77">
        <f t="shared" si="14"/>
        <v>0</v>
      </c>
      <c r="AR62" s="77">
        <f t="shared" si="14"/>
        <v>0</v>
      </c>
      <c r="AS62" s="77">
        <f t="shared" si="14"/>
        <v>12.107661457352664</v>
      </c>
      <c r="AT62" s="77" t="str">
        <f t="shared" si="14"/>
        <v>Ошибка</v>
      </c>
      <c r="AU62" s="77" t="str">
        <f t="shared" si="14"/>
        <v>Ошибка</v>
      </c>
      <c r="AV62" s="77">
        <f t="shared" si="14"/>
        <v>0</v>
      </c>
      <c r="AW62" s="77">
        <f t="shared" si="14"/>
        <v>0</v>
      </c>
      <c r="AX62" s="77">
        <f t="shared" si="14"/>
        <v>0</v>
      </c>
      <c r="AY62" s="77">
        <f t="shared" si="14"/>
        <v>0</v>
      </c>
      <c r="AZ62" s="77">
        <f t="shared" si="14"/>
        <v>0</v>
      </c>
      <c r="BA62" s="77">
        <f t="shared" si="14"/>
        <v>0</v>
      </c>
      <c r="BB62" s="77">
        <f t="shared" si="14"/>
        <v>0</v>
      </c>
      <c r="BC62" s="132" t="s">
        <v>889</v>
      </c>
      <c r="BD62" s="81"/>
      <c r="BE62" s="81"/>
      <c r="BF62" s="687" t="s">
        <v>859</v>
      </c>
      <c r="BG62" s="687" t="s">
        <v>857</v>
      </c>
      <c r="BH62" s="687" t="str" cm="1">
        <f t="array" ref="BH62">BH61</f>
        <v>НН</v>
      </c>
      <c r="BI62" s="338" t="str" cm="1">
        <f t="array" ref="BI62">BI61</f>
        <v>ПАО "Кузбассэнергосбыт" (ИНН: 4205109214, КПП: 420501001)</v>
      </c>
      <c r="BJ62" s="198"/>
      <c r="BK62" s="198"/>
    </row>
    <row r="63" spans="1:63" s="338" customFormat="1" ht="12.75" customHeight="1">
      <c r="A63" s="81"/>
      <c r="C63" s="376"/>
      <c r="D63" s="81"/>
      <c r="E63" s="198">
        <v>11.25</v>
      </c>
      <c r="F63" s="3" t="str" cm="1">
        <f t="array" aca="1" ref="F63" ca="1">OFFSET(E63,-1,1)</f>
        <v>1</v>
      </c>
      <c r="G63" s="61" t="s">
        <v>675</v>
      </c>
      <c r="H63" s="61" t="str" cm="1">
        <f t="array" ref="H63">H62</f>
        <v>НН</v>
      </c>
      <c r="I63" s="81"/>
      <c r="J63" s="81"/>
      <c r="K63" s="81"/>
      <c r="L63" s="81"/>
      <c r="M63" s="81"/>
      <c r="N63" s="81"/>
      <c r="O63" s="81"/>
      <c r="P63" s="81"/>
      <c r="Q63" s="81"/>
      <c r="R63" s="81"/>
      <c r="S63" s="81"/>
      <c r="T63" s="365" t="b" cm="1">
        <f t="array" aca="1" ref="T63" ca="1">T62</f>
        <v>1</v>
      </c>
      <c r="U63" s="81"/>
      <c r="V63" s="81"/>
      <c r="W63" s="81"/>
      <c r="X63" s="1050"/>
      <c r="Y63" s="1050"/>
      <c r="Z63" s="1076"/>
      <c r="AA63" s="1049"/>
      <c r="AB63" s="27" t="str">
        <f>AB60&amp;".3"</f>
        <v>6.1.3</v>
      </c>
      <c r="AC63" s="124" t="s">
        <v>860</v>
      </c>
      <c r="AD63" s="30" t="s">
        <v>844</v>
      </c>
      <c r="AE63" s="76">
        <v>215.6695127701</v>
      </c>
      <c r="AF63" s="76">
        <v>213.62</v>
      </c>
      <c r="AG63" s="76">
        <v>232.98</v>
      </c>
      <c r="AH63" s="76">
        <v>214.89281958149999</v>
      </c>
      <c r="AI63" s="76">
        <v>213.62</v>
      </c>
      <c r="AJ63" s="833"/>
      <c r="AK63" s="833"/>
      <c r="AL63" s="833"/>
      <c r="AM63" s="833"/>
      <c r="AN63" s="833"/>
      <c r="AO63" s="833"/>
      <c r="AP63" s="833"/>
      <c r="AQ63" s="833"/>
      <c r="AR63" s="833"/>
      <c r="AS63" s="76">
        <v>212.44</v>
      </c>
      <c r="AT63" s="833" cm="1">
        <f t="array" ref="AT63">AS63</f>
        <v>212.44</v>
      </c>
      <c r="AU63" s="833" cm="1">
        <f t="array" ref="AU63">AT63</f>
        <v>212.44</v>
      </c>
      <c r="AV63" s="833"/>
      <c r="AW63" s="833"/>
      <c r="AX63" s="833"/>
      <c r="AY63" s="833"/>
      <c r="AZ63" s="833"/>
      <c r="BA63" s="833"/>
      <c r="BB63" s="833"/>
      <c r="BC63" s="132" t="s">
        <v>890</v>
      </c>
      <c r="BD63" s="81"/>
      <c r="BE63" s="81"/>
      <c r="BF63" s="687" t="s">
        <v>861</v>
      </c>
      <c r="BG63" s="687" t="s">
        <v>857</v>
      </c>
      <c r="BH63" s="687" t="str" cm="1">
        <f t="array" ref="BH63">BH62</f>
        <v>НН</v>
      </c>
      <c r="BI63" s="338" t="str" cm="1">
        <f t="array" ref="BI63">BI62</f>
        <v>ПАО "Кузбассэнергосбыт" (ИНН: 4205109214, КПП: 420501001)</v>
      </c>
      <c r="BJ63" s="198"/>
      <c r="BK63" s="198"/>
    </row>
    <row r="64" spans="1:63" ht="23.25" customHeight="1">
      <c r="B64" s="865"/>
      <c r="C64" s="376"/>
      <c r="E64" s="198">
        <v>11</v>
      </c>
      <c r="F64" s="3" t="str" cm="1">
        <f t="array" aca="1" ref="F64" ca="1">OFFSET(E64,-1,1)</f>
        <v>1</v>
      </c>
      <c r="G64" s="61"/>
      <c r="H64" s="61"/>
      <c r="T64" s="365" t="b">
        <f ca="1">AND(F64&gt;0,Y64&gt;0)</f>
        <v>1</v>
      </c>
      <c r="W64" s="528"/>
      <c r="X64" s="1121"/>
      <c r="Y64" s="1123" t="s">
        <v>285</v>
      </c>
      <c r="Z64" s="1121"/>
      <c r="AA64" s="1124" t="s">
        <v>174</v>
      </c>
      <c r="AB64" s="27" t="str">
        <f>"6."&amp;Y64</f>
        <v>6.2</v>
      </c>
      <c r="AC64" s="881" t="s">
        <v>887</v>
      </c>
      <c r="AD64" s="27"/>
      <c r="AE64" s="271"/>
      <c r="AF64" s="271"/>
      <c r="AG64" s="271"/>
      <c r="AH64" s="271"/>
      <c r="AI64" s="271"/>
      <c r="AJ64" s="271"/>
      <c r="AK64" s="271"/>
      <c r="AL64" s="271"/>
      <c r="AM64" s="271"/>
      <c r="AN64" s="271"/>
      <c r="AO64" s="271"/>
      <c r="AP64" s="271"/>
      <c r="AQ64" s="271"/>
      <c r="AR64" s="271"/>
      <c r="AS64" s="271"/>
      <c r="AT64" s="271"/>
      <c r="AU64" s="271"/>
      <c r="AV64" s="271"/>
      <c r="AW64" s="271"/>
      <c r="AX64" s="271"/>
      <c r="AY64" s="271"/>
      <c r="AZ64" s="271"/>
      <c r="BA64" s="271"/>
      <c r="BB64" s="271"/>
      <c r="BC64" s="271"/>
      <c r="BD64" s="856"/>
      <c r="BF64" s="687"/>
      <c r="BG64" s="687"/>
      <c r="BH64" s="687"/>
      <c r="BI64" s="687"/>
      <c r="BJ64" s="198"/>
      <c r="BK64" s="198"/>
    </row>
    <row r="65" spans="1:63" s="338" customFormat="1" ht="12.75" customHeight="1">
      <c r="A65" s="81"/>
      <c r="C65" s="376"/>
      <c r="D65" s="81"/>
      <c r="E65" s="198">
        <v>11.25</v>
      </c>
      <c r="F65" s="3" t="str" cm="1">
        <f t="array" aca="1" ref="F65" ca="1">OFFSET(E65,-1,1)</f>
        <v>1</v>
      </c>
      <c r="G65" s="61" t="s">
        <v>511</v>
      </c>
      <c r="H65" s="61" t="str" cm="1">
        <f t="array" ref="H65">AC65</f>
        <v>СН2</v>
      </c>
      <c r="I65" s="81"/>
      <c r="J65" s="81"/>
      <c r="K65" s="81"/>
      <c r="L65" s="81"/>
      <c r="M65" s="81"/>
      <c r="N65" s="81"/>
      <c r="O65" s="81"/>
      <c r="P65" s="81"/>
      <c r="Q65" s="81"/>
      <c r="R65" s="81"/>
      <c r="S65" s="81"/>
      <c r="T65" s="365" t="b" cm="1">
        <f t="array" aca="1" ref="T65" ca="1">T64</f>
        <v>1</v>
      </c>
      <c r="U65" s="81"/>
      <c r="V65" s="81"/>
      <c r="W65" s="528"/>
      <c r="X65" s="1050"/>
      <c r="Y65" s="1050" t="s">
        <v>285</v>
      </c>
      <c r="Z65" s="1076"/>
      <c r="AA65" s="1049" t="s">
        <v>174</v>
      </c>
      <c r="AB65" s="27" t="str">
        <f>AB64&amp;".1"</f>
        <v>6.2.1</v>
      </c>
      <c r="AC65" s="131" t="s">
        <v>891</v>
      </c>
      <c r="AD65" s="27" t="s">
        <v>804</v>
      </c>
      <c r="AE65" s="76">
        <v>5232.4278089194004</v>
      </c>
      <c r="AF65" s="76">
        <v>6056.03</v>
      </c>
      <c r="AG65" s="76">
        <v>5598.19</v>
      </c>
      <c r="AH65" s="76">
        <v>5469.0553569973999</v>
      </c>
      <c r="AI65" s="76">
        <v>7043.05</v>
      </c>
      <c r="AJ65" s="833"/>
      <c r="AK65" s="833"/>
      <c r="AL65" s="833"/>
      <c r="AM65" s="833"/>
      <c r="AN65" s="833"/>
      <c r="AO65" s="833"/>
      <c r="AP65" s="833"/>
      <c r="AQ65" s="833"/>
      <c r="AR65" s="833"/>
      <c r="AS65" s="76">
        <v>6720.6817000000001</v>
      </c>
      <c r="AT65" s="833"/>
      <c r="AU65" s="833"/>
      <c r="AV65" s="833"/>
      <c r="AW65" s="833"/>
      <c r="AX65" s="833"/>
      <c r="AY65" s="833"/>
      <c r="AZ65" s="833"/>
      <c r="BA65" s="833"/>
      <c r="BB65" s="833"/>
      <c r="BC65" s="132"/>
      <c r="BD65" s="81"/>
      <c r="BE65" s="81"/>
      <c r="BF65" s="687" t="s">
        <v>856</v>
      </c>
      <c r="BG65" s="687" t="s">
        <v>857</v>
      </c>
      <c r="BH65" s="687" t="str" cm="1">
        <f t="array" ref="BH65">AC65</f>
        <v>СН2</v>
      </c>
      <c r="BI65" s="338" t="str" cm="1">
        <f t="array" ref="BI65">AC64</f>
        <v>ПАО "Кузбассэнергосбыт" (ИНН: 4205109214, КПП: 420501001)</v>
      </c>
      <c r="BJ65" s="198"/>
      <c r="BK65" s="198" t="b">
        <v>1</v>
      </c>
    </row>
    <row r="66" spans="1:63" s="338" customFormat="1" ht="33.75" customHeight="1">
      <c r="A66" s="81"/>
      <c r="C66" s="376"/>
      <c r="D66" s="81"/>
      <c r="E66" s="198">
        <v>11.25</v>
      </c>
      <c r="F66" s="3" t="str" cm="1">
        <f t="array" aca="1" ref="F66" ca="1">OFFSET(E66,-1,1)</f>
        <v>1</v>
      </c>
      <c r="G66" s="61" t="s">
        <v>672</v>
      </c>
      <c r="H66" s="61" t="str" cm="1">
        <f t="array" ref="H66">H65</f>
        <v>СН2</v>
      </c>
      <c r="I66" s="81"/>
      <c r="J66" s="81"/>
      <c r="K66" s="81"/>
      <c r="L66" s="81"/>
      <c r="M66" s="81"/>
      <c r="N66" s="81"/>
      <c r="O66" s="81"/>
      <c r="P66" s="81"/>
      <c r="Q66" s="81"/>
      <c r="R66" s="81"/>
      <c r="S66" s="81"/>
      <c r="T66" s="365" t="b" cm="1">
        <f t="array" aca="1" ref="T66" ca="1">T65</f>
        <v>1</v>
      </c>
      <c r="U66" s="81"/>
      <c r="V66" s="81"/>
      <c r="W66" s="81"/>
      <c r="X66" s="1050"/>
      <c r="Y66" s="1050"/>
      <c r="Z66" s="1076"/>
      <c r="AA66" s="1049"/>
      <c r="AB66" s="27" t="str">
        <f>AB64&amp;".2"</f>
        <v>6.2.2</v>
      </c>
      <c r="AC66" s="124" t="s">
        <v>858</v>
      </c>
      <c r="AD66" s="30" t="s">
        <v>850</v>
      </c>
      <c r="AE66" s="77">
        <f t="shared" ref="AE66:BB66" si="15">IF(OR(AND(AE65&lt;&gt;0,AE67=0),AND(AE65=0,AE67&lt;&gt;0)),"Ошибка",IF(AE67=0,0,AE65/AE67))</f>
        <v>7.3714958514704563</v>
      </c>
      <c r="AF66" s="77">
        <f t="shared" si="15"/>
        <v>7.3006437457806923</v>
      </c>
      <c r="AG66" s="77">
        <f t="shared" si="15"/>
        <v>7.3006220576153158</v>
      </c>
      <c r="AH66" s="77">
        <f t="shared" si="15"/>
        <v>7.7327069624651195</v>
      </c>
      <c r="AI66" s="77">
        <f t="shared" si="15"/>
        <v>8.4905125855916683</v>
      </c>
      <c r="AJ66" s="77">
        <f t="shared" si="15"/>
        <v>0</v>
      </c>
      <c r="AK66" s="77">
        <f t="shared" si="15"/>
        <v>0</v>
      </c>
      <c r="AL66" s="77">
        <f t="shared" si="15"/>
        <v>0</v>
      </c>
      <c r="AM66" s="77">
        <f t="shared" si="15"/>
        <v>0</v>
      </c>
      <c r="AN66" s="77">
        <f t="shared" si="15"/>
        <v>0</v>
      </c>
      <c r="AO66" s="77">
        <f t="shared" si="15"/>
        <v>0</v>
      </c>
      <c r="AP66" s="77">
        <f t="shared" si="15"/>
        <v>0</v>
      </c>
      <c r="AQ66" s="77">
        <f t="shared" si="15"/>
        <v>0</v>
      </c>
      <c r="AR66" s="77">
        <f t="shared" si="15"/>
        <v>0</v>
      </c>
      <c r="AS66" s="77">
        <f t="shared" si="15"/>
        <v>9.6119589530892444</v>
      </c>
      <c r="AT66" s="77" t="str">
        <f t="shared" si="15"/>
        <v>Ошибка</v>
      </c>
      <c r="AU66" s="77" t="str">
        <f t="shared" si="15"/>
        <v>Ошибка</v>
      </c>
      <c r="AV66" s="77">
        <f t="shared" si="15"/>
        <v>0</v>
      </c>
      <c r="AW66" s="77">
        <f t="shared" si="15"/>
        <v>0</v>
      </c>
      <c r="AX66" s="77">
        <f t="shared" si="15"/>
        <v>0</v>
      </c>
      <c r="AY66" s="77">
        <f t="shared" si="15"/>
        <v>0</v>
      </c>
      <c r="AZ66" s="77">
        <f t="shared" si="15"/>
        <v>0</v>
      </c>
      <c r="BA66" s="77">
        <f t="shared" si="15"/>
        <v>0</v>
      </c>
      <c r="BB66" s="77">
        <f t="shared" si="15"/>
        <v>0</v>
      </c>
      <c r="BC66" s="132" t="s">
        <v>889</v>
      </c>
      <c r="BD66" s="81"/>
      <c r="BE66" s="81"/>
      <c r="BF66" s="687" t="s">
        <v>859</v>
      </c>
      <c r="BG66" s="687" t="s">
        <v>857</v>
      </c>
      <c r="BH66" s="687" t="str" cm="1">
        <f t="array" ref="BH66">BH65</f>
        <v>СН2</v>
      </c>
      <c r="BI66" s="338" t="str" cm="1">
        <f t="array" ref="BI66">BI65</f>
        <v>ПАО "Кузбассэнергосбыт" (ИНН: 4205109214, КПП: 420501001)</v>
      </c>
      <c r="BJ66" s="198"/>
      <c r="BK66" s="198"/>
    </row>
    <row r="67" spans="1:63" s="338" customFormat="1" ht="23.25" customHeight="1">
      <c r="A67" s="81"/>
      <c r="C67" s="376"/>
      <c r="D67" s="81"/>
      <c r="E67" s="198">
        <v>11.25</v>
      </c>
      <c r="F67" s="3" t="str" cm="1">
        <f t="array" aca="1" ref="F67" ca="1">OFFSET(E67,-1,1)</f>
        <v>1</v>
      </c>
      <c r="G67" s="61" t="s">
        <v>675</v>
      </c>
      <c r="H67" s="61" t="str" cm="1">
        <f t="array" ref="H67">H66</f>
        <v>СН2</v>
      </c>
      <c r="I67" s="81"/>
      <c r="J67" s="81"/>
      <c r="K67" s="81"/>
      <c r="L67" s="81"/>
      <c r="M67" s="81"/>
      <c r="N67" s="81"/>
      <c r="O67" s="81"/>
      <c r="P67" s="81"/>
      <c r="Q67" s="81"/>
      <c r="R67" s="81"/>
      <c r="S67" s="81"/>
      <c r="T67" s="365" t="b" cm="1">
        <f t="array" aca="1" ref="T67" ca="1">T66</f>
        <v>1</v>
      </c>
      <c r="U67" s="81"/>
      <c r="V67" s="81"/>
      <c r="W67" s="81"/>
      <c r="X67" s="1050"/>
      <c r="Y67" s="1050"/>
      <c r="Z67" s="1076"/>
      <c r="AA67" s="1049"/>
      <c r="AB67" s="27" t="str">
        <f>AB64&amp;".3"</f>
        <v>6.2.3</v>
      </c>
      <c r="AC67" s="124" t="s">
        <v>860</v>
      </c>
      <c r="AD67" s="30" t="s">
        <v>844</v>
      </c>
      <c r="AE67" s="76">
        <v>709.81899933859995</v>
      </c>
      <c r="AF67" s="76">
        <v>829.52</v>
      </c>
      <c r="AG67" s="76">
        <v>766.81</v>
      </c>
      <c r="AH67" s="76">
        <v>707.26271971050005</v>
      </c>
      <c r="AI67" s="76">
        <v>829.52</v>
      </c>
      <c r="AJ67" s="833"/>
      <c r="AK67" s="833"/>
      <c r="AL67" s="833"/>
      <c r="AM67" s="833"/>
      <c r="AN67" s="833"/>
      <c r="AO67" s="833"/>
      <c r="AP67" s="833"/>
      <c r="AQ67" s="833"/>
      <c r="AR67" s="833"/>
      <c r="AS67" s="76">
        <v>699.2</v>
      </c>
      <c r="AT67" s="833" cm="1">
        <f t="array" ref="AT67">AS67</f>
        <v>699.2</v>
      </c>
      <c r="AU67" s="833" cm="1">
        <f t="array" ref="AU67">AT67</f>
        <v>699.2</v>
      </c>
      <c r="AV67" s="833"/>
      <c r="AW67" s="833"/>
      <c r="AX67" s="833"/>
      <c r="AY67" s="833"/>
      <c r="AZ67" s="833"/>
      <c r="BA67" s="833"/>
      <c r="BB67" s="833"/>
      <c r="BC67" s="132" t="s">
        <v>890</v>
      </c>
      <c r="BD67" s="81"/>
      <c r="BE67" s="81"/>
      <c r="BF67" s="687" t="s">
        <v>861</v>
      </c>
      <c r="BG67" s="687" t="s">
        <v>857</v>
      </c>
      <c r="BH67" s="687" t="str" cm="1">
        <f t="array" ref="BH67">BH66</f>
        <v>СН2</v>
      </c>
      <c r="BI67" s="338" t="str" cm="1">
        <f t="array" ref="BI67">BI66</f>
        <v>ПАО "Кузбассэнергосбыт" (ИНН: 4205109214, КПП: 420501001)</v>
      </c>
      <c r="BJ67" s="198"/>
      <c r="BK67" s="198"/>
    </row>
    <row r="68" spans="1:63" s="78" customFormat="1" ht="14.25" customHeight="1">
      <c r="B68" s="65"/>
      <c r="C68" s="376"/>
      <c r="E68" s="473">
        <v>15</v>
      </c>
      <c r="F68" s="3" t="str" cm="1">
        <f t="array" aca="1" ref="F68" ca="1">OFFSET(E68,-1,1)</f>
        <v>1</v>
      </c>
      <c r="H68" s="641" t="s">
        <v>862</v>
      </c>
      <c r="T68" s="365" t="b">
        <f ca="1">F68&gt;0</f>
        <v>1</v>
      </c>
      <c r="W68" s="528" t="s">
        <v>392</v>
      </c>
      <c r="X68" s="1050"/>
      <c r="Z68" s="1076"/>
      <c r="AB68" s="488"/>
      <c r="AC68" s="111" t="s">
        <v>177</v>
      </c>
      <c r="AD68" s="109"/>
      <c r="AE68" s="109"/>
      <c r="AF68" s="109"/>
      <c r="AG68" s="109"/>
      <c r="AH68" s="109"/>
      <c r="AI68" s="109"/>
      <c r="AJ68" s="109"/>
      <c r="AK68" s="109"/>
      <c r="AL68" s="109"/>
      <c r="AM68" s="109"/>
      <c r="AN68" s="109"/>
      <c r="AO68" s="109"/>
      <c r="AP68" s="109"/>
      <c r="AQ68" s="109"/>
      <c r="AR68" s="109"/>
      <c r="AS68" s="109"/>
      <c r="AT68" s="109"/>
      <c r="AU68" s="109"/>
      <c r="AV68" s="109"/>
      <c r="AW68" s="109"/>
      <c r="AX68" s="109"/>
      <c r="AY68" s="109"/>
      <c r="AZ68" s="109"/>
      <c r="BA68" s="109"/>
      <c r="BB68" s="109"/>
      <c r="BC68" s="120"/>
      <c r="BF68" s="683"/>
      <c r="BG68" s="683"/>
      <c r="BH68" s="683"/>
      <c r="BJ68" s="473" t="s">
        <v>857</v>
      </c>
      <c r="BK68" s="473"/>
    </row>
    <row r="69" spans="1:63" s="338" customFormat="1" ht="12" customHeight="1">
      <c r="A69" s="81"/>
      <c r="C69" s="376"/>
      <c r="D69" s="81"/>
      <c r="E69" s="198">
        <v>13</v>
      </c>
      <c r="F69" s="3" t="str" cm="1">
        <f t="array" aca="1" ref="F69" ca="1">OFFSET(E69,-1,1)</f>
        <v>1</v>
      </c>
      <c r="G69" s="61"/>
      <c r="H69" s="61"/>
      <c r="I69" s="81"/>
      <c r="J69" s="81"/>
      <c r="K69" s="81"/>
      <c r="L69" s="81"/>
      <c r="M69" s="81"/>
      <c r="N69" s="81"/>
      <c r="O69" s="81"/>
      <c r="P69" s="81"/>
      <c r="Q69" s="81"/>
      <c r="R69" s="81"/>
      <c r="S69" s="81"/>
      <c r="T69" s="365" t="b" cm="1">
        <f t="array" aca="1" ref="T69" ca="1">T68</f>
        <v>1</v>
      </c>
      <c r="U69" s="81"/>
      <c r="V69" s="81"/>
      <c r="W69" s="81"/>
      <c r="X69" s="1050"/>
      <c r="Y69" s="81"/>
      <c r="Z69" s="1076"/>
      <c r="AA69" s="81"/>
      <c r="AB69" s="487"/>
      <c r="AC69" s="197" t="s">
        <v>863</v>
      </c>
      <c r="AD69" s="198"/>
      <c r="AE69" s="199"/>
      <c r="AF69" s="199"/>
      <c r="AG69" s="199"/>
      <c r="AH69" s="199"/>
      <c r="AI69" s="199"/>
      <c r="AJ69" s="199"/>
      <c r="AK69" s="199"/>
      <c r="AL69" s="199"/>
      <c r="AM69" s="199"/>
      <c r="AN69" s="199"/>
      <c r="AO69" s="199"/>
      <c r="AP69" s="199"/>
      <c r="AQ69" s="199"/>
      <c r="AR69" s="199"/>
      <c r="AS69" s="199"/>
      <c r="AT69" s="199"/>
      <c r="AU69" s="199"/>
      <c r="AV69" s="199"/>
      <c r="AW69" s="199"/>
      <c r="AX69" s="199"/>
      <c r="AY69" s="199"/>
      <c r="AZ69" s="199"/>
      <c r="BA69" s="199"/>
      <c r="BB69" s="199"/>
      <c r="BC69" s="200"/>
      <c r="BD69" s="81"/>
      <c r="BE69" s="81"/>
      <c r="BF69" s="687"/>
      <c r="BG69" s="687"/>
      <c r="BH69" s="687"/>
      <c r="BJ69" s="198"/>
      <c r="BK69" s="198"/>
    </row>
    <row r="70" spans="1:63" ht="10.7" hidden="1" customHeight="1">
      <c r="B70" s="865"/>
      <c r="C70" s="376"/>
      <c r="E70" s="198">
        <v>11</v>
      </c>
      <c r="F70" s="3" t="str" cm="1">
        <f t="array" aca="1" ref="F70" ca="1">OFFSET(E70,-1,1)</f>
        <v>1</v>
      </c>
      <c r="G70" s="61"/>
      <c r="H70" s="61"/>
      <c r="T70" s="365" t="b">
        <f ca="1">AND(F70&gt;0,Y70&gt;0)</f>
        <v>0</v>
      </c>
      <c r="W70" s="528" t="s">
        <v>173</v>
      </c>
      <c r="X70" s="1121"/>
      <c r="Y70" s="1123">
        <v>0</v>
      </c>
      <c r="Z70" s="1121"/>
      <c r="AA70" s="1124" t="s">
        <v>174</v>
      </c>
      <c r="AB70" s="27" t="str">
        <f>"7."&amp;Y70</f>
        <v>7.0</v>
      </c>
      <c r="AC70" s="881"/>
      <c r="AD70" s="31"/>
      <c r="AE70" s="271"/>
      <c r="AF70" s="271"/>
      <c r="AG70" s="271"/>
      <c r="AH70" s="271"/>
      <c r="AI70" s="271"/>
      <c r="AJ70" s="271"/>
      <c r="AK70" s="271"/>
      <c r="AL70" s="271"/>
      <c r="AM70" s="271"/>
      <c r="AN70" s="271"/>
      <c r="AO70" s="271"/>
      <c r="AP70" s="271"/>
      <c r="AQ70" s="271"/>
      <c r="AR70" s="271"/>
      <c r="AS70" s="271"/>
      <c r="AT70" s="271"/>
      <c r="AU70" s="271"/>
      <c r="AV70" s="271"/>
      <c r="AW70" s="271"/>
      <c r="AX70" s="271"/>
      <c r="AY70" s="271"/>
      <c r="AZ70" s="271"/>
      <c r="BA70" s="271"/>
      <c r="BB70" s="271"/>
      <c r="BC70" s="271"/>
      <c r="BD70" s="856"/>
      <c r="BF70" s="687"/>
      <c r="BG70" s="687"/>
      <c r="BH70" s="687"/>
      <c r="BI70" s="687"/>
      <c r="BJ70" s="198"/>
      <c r="BK70" s="198"/>
    </row>
    <row r="71" spans="1:63" s="338" customFormat="1" ht="10.5" hidden="1" customHeight="1">
      <c r="A71" s="81"/>
      <c r="C71" s="376"/>
      <c r="D71" s="81"/>
      <c r="E71" s="198">
        <v>11.25</v>
      </c>
      <c r="F71" s="3" t="str" cm="1">
        <f t="array" aca="1" ref="F71" ca="1">OFFSET(E71,-1,1)</f>
        <v>1</v>
      </c>
      <c r="G71" s="61" t="s">
        <v>511</v>
      </c>
      <c r="H71" s="61" cm="1">
        <f t="array" ref="H71">AC71</f>
        <v>0</v>
      </c>
      <c r="I71" s="81"/>
      <c r="J71" s="81"/>
      <c r="K71" s="81"/>
      <c r="L71" s="81"/>
      <c r="M71" s="81"/>
      <c r="N71" s="81"/>
      <c r="O71" s="81"/>
      <c r="P71" s="81"/>
      <c r="Q71" s="81"/>
      <c r="R71" s="81"/>
      <c r="S71" s="81"/>
      <c r="T71" s="365" t="b" cm="1">
        <f t="array" aca="1" ref="T71" ca="1">T70</f>
        <v>0</v>
      </c>
      <c r="U71" s="81"/>
      <c r="V71" s="81"/>
      <c r="W71" s="528"/>
      <c r="X71" s="1050"/>
      <c r="Y71" s="1050">
        <v>0</v>
      </c>
      <c r="Z71" s="1076"/>
      <c r="AA71" s="1049" t="s">
        <v>174</v>
      </c>
      <c r="AB71" s="27" t="str">
        <f>AB70&amp;".1"</f>
        <v>7.0.1</v>
      </c>
      <c r="AC71" s="875"/>
      <c r="AD71" s="27" t="s">
        <v>804</v>
      </c>
      <c r="AE71" s="77">
        <f t="shared" ref="AE71:BB71" si="16">AE72+AE75</f>
        <v>0</v>
      </c>
      <c r="AF71" s="77">
        <f t="shared" si="16"/>
        <v>0</v>
      </c>
      <c r="AG71" s="77">
        <f t="shared" si="16"/>
        <v>0</v>
      </c>
      <c r="AH71" s="77">
        <f t="shared" si="16"/>
        <v>0</v>
      </c>
      <c r="AI71" s="77">
        <f t="shared" si="16"/>
        <v>0</v>
      </c>
      <c r="AJ71" s="77">
        <f t="shared" si="16"/>
        <v>0</v>
      </c>
      <c r="AK71" s="77">
        <f t="shared" si="16"/>
        <v>0</v>
      </c>
      <c r="AL71" s="77">
        <f t="shared" si="16"/>
        <v>0</v>
      </c>
      <c r="AM71" s="77">
        <f t="shared" si="16"/>
        <v>0</v>
      </c>
      <c r="AN71" s="77">
        <f t="shared" si="16"/>
        <v>0</v>
      </c>
      <c r="AO71" s="77">
        <f t="shared" si="16"/>
        <v>0</v>
      </c>
      <c r="AP71" s="77">
        <f t="shared" si="16"/>
        <v>0</v>
      </c>
      <c r="AQ71" s="77">
        <f t="shared" si="16"/>
        <v>0</v>
      </c>
      <c r="AR71" s="77">
        <f t="shared" si="16"/>
        <v>0</v>
      </c>
      <c r="AS71" s="77">
        <f t="shared" si="16"/>
        <v>0</v>
      </c>
      <c r="AT71" s="77">
        <f t="shared" si="16"/>
        <v>0</v>
      </c>
      <c r="AU71" s="77">
        <f t="shared" si="16"/>
        <v>0</v>
      </c>
      <c r="AV71" s="77">
        <f t="shared" si="16"/>
        <v>0</v>
      </c>
      <c r="AW71" s="77">
        <f t="shared" si="16"/>
        <v>0</v>
      </c>
      <c r="AX71" s="77">
        <f t="shared" si="16"/>
        <v>0</v>
      </c>
      <c r="AY71" s="77">
        <f t="shared" si="16"/>
        <v>0</v>
      </c>
      <c r="AZ71" s="77">
        <f t="shared" si="16"/>
        <v>0</v>
      </c>
      <c r="BA71" s="77">
        <f t="shared" si="16"/>
        <v>0</v>
      </c>
      <c r="BB71" s="77">
        <f t="shared" si="16"/>
        <v>0</v>
      </c>
      <c r="BC71" s="839"/>
      <c r="BD71" s="81"/>
      <c r="BE71" s="81"/>
      <c r="BF71" s="687" t="s">
        <v>864</v>
      </c>
      <c r="BG71" s="687" t="s">
        <v>865</v>
      </c>
      <c r="BH71" s="687" cm="1">
        <f t="array" ref="BH71">AC71</f>
        <v>0</v>
      </c>
      <c r="BI71" s="338" cm="1">
        <f t="array" ref="BI71">AC70</f>
        <v>0</v>
      </c>
      <c r="BJ71" s="198"/>
      <c r="BK71" s="198" t="b">
        <v>1</v>
      </c>
    </row>
    <row r="72" spans="1:63" s="338" customFormat="1" ht="10.5" hidden="1" customHeight="1">
      <c r="A72" s="81"/>
      <c r="C72" s="376"/>
      <c r="D72" s="81"/>
      <c r="E72" s="198">
        <v>11.25</v>
      </c>
      <c r="F72" s="3" t="str" cm="1">
        <f t="array" aca="1" ref="F72" ca="1">OFFSET(E72,-1,1)</f>
        <v>1</v>
      </c>
      <c r="G72" s="61" t="s">
        <v>679</v>
      </c>
      <c r="H72" s="61" cm="1">
        <f t="array" ref="H72">H71</f>
        <v>0</v>
      </c>
      <c r="I72" s="81"/>
      <c r="J72" s="81"/>
      <c r="K72" s="81"/>
      <c r="L72" s="81"/>
      <c r="M72" s="81"/>
      <c r="N72" s="81"/>
      <c r="O72" s="81"/>
      <c r="P72" s="81"/>
      <c r="Q72" s="81"/>
      <c r="R72" s="81"/>
      <c r="S72" s="81"/>
      <c r="T72" s="365" t="b" cm="1">
        <f t="array" aca="1" ref="T72" ca="1">T71</f>
        <v>0</v>
      </c>
      <c r="U72" s="81"/>
      <c r="V72" s="81"/>
      <c r="W72" s="81"/>
      <c r="X72" s="1050"/>
      <c r="Y72" s="1050"/>
      <c r="Z72" s="1076"/>
      <c r="AA72" s="1049"/>
      <c r="AB72" s="27" t="str">
        <f>AB70&amp;".2"</f>
        <v>7.0.2</v>
      </c>
      <c r="AC72" s="124" t="s">
        <v>866</v>
      </c>
      <c r="AD72" s="27" t="s">
        <v>867</v>
      </c>
      <c r="AE72" s="833"/>
      <c r="AF72" s="833"/>
      <c r="AG72" s="833"/>
      <c r="AH72" s="833"/>
      <c r="AI72" s="833"/>
      <c r="AJ72" s="833"/>
      <c r="AK72" s="833"/>
      <c r="AL72" s="833"/>
      <c r="AM72" s="833"/>
      <c r="AN72" s="833"/>
      <c r="AO72" s="833"/>
      <c r="AP72" s="833"/>
      <c r="AQ72" s="833"/>
      <c r="AR72" s="833"/>
      <c r="AS72" s="833"/>
      <c r="AT72" s="833"/>
      <c r="AU72" s="833"/>
      <c r="AV72" s="833"/>
      <c r="AW72" s="833"/>
      <c r="AX72" s="833"/>
      <c r="AY72" s="833"/>
      <c r="AZ72" s="833"/>
      <c r="BA72" s="833"/>
      <c r="BB72" s="833"/>
      <c r="BC72" s="839"/>
      <c r="BD72" s="81"/>
      <c r="BE72" s="81"/>
      <c r="BF72" s="687" t="s">
        <v>868</v>
      </c>
      <c r="BG72" s="687" t="s">
        <v>865</v>
      </c>
      <c r="BH72" s="687" cm="1">
        <f t="array" ref="BH72">BH71</f>
        <v>0</v>
      </c>
      <c r="BI72" s="338" cm="1">
        <f t="array" ref="BI72">BI71</f>
        <v>0</v>
      </c>
      <c r="BJ72" s="198"/>
      <c r="BK72" s="198"/>
    </row>
    <row r="73" spans="1:63" s="338" customFormat="1" ht="10.5" hidden="1" customHeight="1">
      <c r="A73" s="81"/>
      <c r="C73" s="376"/>
      <c r="D73" s="81"/>
      <c r="E73" s="198">
        <v>11.25</v>
      </c>
      <c r="F73" s="3" t="str" cm="1">
        <f t="array" aca="1" ref="F73" ca="1">OFFSET(E73,-1,1)</f>
        <v>1</v>
      </c>
      <c r="G73" s="61" t="s">
        <v>869</v>
      </c>
      <c r="H73" s="61" cm="1">
        <f t="array" ref="H73">H72</f>
        <v>0</v>
      </c>
      <c r="I73" s="81"/>
      <c r="J73" s="81"/>
      <c r="K73" s="81"/>
      <c r="L73" s="81"/>
      <c r="M73" s="81"/>
      <c r="N73" s="81"/>
      <c r="O73" s="81"/>
      <c r="P73" s="81"/>
      <c r="Q73" s="81"/>
      <c r="R73" s="81"/>
      <c r="S73" s="81"/>
      <c r="T73" s="365" t="b" cm="1">
        <f t="array" aca="1" ref="T73" ca="1">T72</f>
        <v>0</v>
      </c>
      <c r="U73" s="81"/>
      <c r="V73" s="81"/>
      <c r="W73" s="81"/>
      <c r="X73" s="1050"/>
      <c r="Y73" s="1050"/>
      <c r="Z73" s="1076"/>
      <c r="AA73" s="1049"/>
      <c r="AB73" s="27" t="str">
        <f>AB70&amp;".3"</f>
        <v>7.0.3</v>
      </c>
      <c r="AC73" s="250" t="s">
        <v>858</v>
      </c>
      <c r="AD73" s="30" t="s">
        <v>850</v>
      </c>
      <c r="AE73" s="77">
        <f t="shared" ref="AE73:BB73" si="17">IF(OR(AND(AE72&lt;&gt;0,AE74=0),AND(AE72=0,AE74&lt;&gt;0)),"Ошибка",IF(AE74=0,0,AE72/AE74))</f>
        <v>0</v>
      </c>
      <c r="AF73" s="77">
        <f t="shared" si="17"/>
        <v>0</v>
      </c>
      <c r="AG73" s="77">
        <f t="shared" si="17"/>
        <v>0</v>
      </c>
      <c r="AH73" s="77">
        <f t="shared" si="17"/>
        <v>0</v>
      </c>
      <c r="AI73" s="77">
        <f t="shared" si="17"/>
        <v>0</v>
      </c>
      <c r="AJ73" s="77">
        <f t="shared" si="17"/>
        <v>0</v>
      </c>
      <c r="AK73" s="77">
        <f t="shared" si="17"/>
        <v>0</v>
      </c>
      <c r="AL73" s="77">
        <f t="shared" si="17"/>
        <v>0</v>
      </c>
      <c r="AM73" s="77">
        <f t="shared" si="17"/>
        <v>0</v>
      </c>
      <c r="AN73" s="77">
        <f t="shared" si="17"/>
        <v>0</v>
      </c>
      <c r="AO73" s="77">
        <f t="shared" si="17"/>
        <v>0</v>
      </c>
      <c r="AP73" s="77">
        <f t="shared" si="17"/>
        <v>0</v>
      </c>
      <c r="AQ73" s="77">
        <f t="shared" si="17"/>
        <v>0</v>
      </c>
      <c r="AR73" s="77">
        <f t="shared" si="17"/>
        <v>0</v>
      </c>
      <c r="AS73" s="77">
        <f t="shared" si="17"/>
        <v>0</v>
      </c>
      <c r="AT73" s="77">
        <f t="shared" si="17"/>
        <v>0</v>
      </c>
      <c r="AU73" s="77">
        <f t="shared" si="17"/>
        <v>0</v>
      </c>
      <c r="AV73" s="77">
        <f t="shared" si="17"/>
        <v>0</v>
      </c>
      <c r="AW73" s="77">
        <f t="shared" si="17"/>
        <v>0</v>
      </c>
      <c r="AX73" s="77">
        <f t="shared" si="17"/>
        <v>0</v>
      </c>
      <c r="AY73" s="77">
        <f t="shared" si="17"/>
        <v>0</v>
      </c>
      <c r="AZ73" s="77">
        <f t="shared" si="17"/>
        <v>0</v>
      </c>
      <c r="BA73" s="77">
        <f t="shared" si="17"/>
        <v>0</v>
      </c>
      <c r="BB73" s="77">
        <f t="shared" si="17"/>
        <v>0</v>
      </c>
      <c r="BC73" s="839"/>
      <c r="BD73" s="81"/>
      <c r="BE73" s="81"/>
      <c r="BF73" s="687" t="s">
        <v>870</v>
      </c>
      <c r="BG73" s="687" t="s">
        <v>865</v>
      </c>
      <c r="BH73" s="687" cm="1">
        <f t="array" ref="BH73">BH72</f>
        <v>0</v>
      </c>
      <c r="BI73" s="338" cm="1">
        <f t="array" ref="BI73">BI72</f>
        <v>0</v>
      </c>
      <c r="BJ73" s="198"/>
      <c r="BK73" s="198"/>
    </row>
    <row r="74" spans="1:63" s="338" customFormat="1" ht="10.5" hidden="1" customHeight="1">
      <c r="A74" s="81"/>
      <c r="C74" s="376"/>
      <c r="D74" s="81"/>
      <c r="E74" s="198">
        <v>11.25</v>
      </c>
      <c r="F74" s="3" t="str" cm="1">
        <f t="array" aca="1" ref="F74" ca="1">OFFSET(E74,-1,1)</f>
        <v>1</v>
      </c>
      <c r="G74" s="61" t="s">
        <v>871</v>
      </c>
      <c r="H74" s="61" cm="1">
        <f t="array" ref="H74">H73</f>
        <v>0</v>
      </c>
      <c r="I74" s="81"/>
      <c r="J74" s="81"/>
      <c r="K74" s="81"/>
      <c r="L74" s="81"/>
      <c r="M74" s="81"/>
      <c r="N74" s="81"/>
      <c r="O74" s="81"/>
      <c r="P74" s="81"/>
      <c r="Q74" s="81"/>
      <c r="R74" s="81"/>
      <c r="S74" s="81"/>
      <c r="T74" s="365" t="b" cm="1">
        <f t="array" aca="1" ref="T74" ca="1">T73</f>
        <v>0</v>
      </c>
      <c r="U74" s="81"/>
      <c r="V74" s="81"/>
      <c r="W74" s="81"/>
      <c r="X74" s="1050"/>
      <c r="Y74" s="1050"/>
      <c r="Z74" s="1076"/>
      <c r="AA74" s="1049"/>
      <c r="AB74" s="27" t="str">
        <f>AB70&amp;".4"</f>
        <v>7.0.4</v>
      </c>
      <c r="AC74" s="250" t="s">
        <v>860</v>
      </c>
      <c r="AD74" s="30" t="s">
        <v>844</v>
      </c>
      <c r="AE74" s="833"/>
      <c r="AF74" s="833"/>
      <c r="AG74" s="833"/>
      <c r="AH74" s="833"/>
      <c r="AI74" s="833"/>
      <c r="AJ74" s="833"/>
      <c r="AK74" s="833"/>
      <c r="AL74" s="833"/>
      <c r="AM74" s="833"/>
      <c r="AN74" s="833"/>
      <c r="AO74" s="833"/>
      <c r="AP74" s="833"/>
      <c r="AQ74" s="833"/>
      <c r="AR74" s="833"/>
      <c r="AS74" s="833"/>
      <c r="AT74" s="833"/>
      <c r="AU74" s="833"/>
      <c r="AV74" s="833"/>
      <c r="AW74" s="833"/>
      <c r="AX74" s="833"/>
      <c r="AY74" s="833"/>
      <c r="AZ74" s="833"/>
      <c r="BA74" s="833"/>
      <c r="BB74" s="833"/>
      <c r="BC74" s="839"/>
      <c r="BD74" s="81"/>
      <c r="BE74" s="81"/>
      <c r="BF74" s="687" t="s">
        <v>872</v>
      </c>
      <c r="BG74" s="687" t="s">
        <v>865</v>
      </c>
      <c r="BH74" s="687" cm="1">
        <f t="array" ref="BH74">BH73</f>
        <v>0</v>
      </c>
      <c r="BI74" s="338" cm="1">
        <f t="array" ref="BI74">BI73</f>
        <v>0</v>
      </c>
      <c r="BJ74" s="198"/>
      <c r="BK74" s="198"/>
    </row>
    <row r="75" spans="1:63" s="338" customFormat="1" ht="10.5" hidden="1" customHeight="1">
      <c r="A75" s="81"/>
      <c r="C75" s="376"/>
      <c r="D75" s="81"/>
      <c r="E75" s="198">
        <v>11.25</v>
      </c>
      <c r="F75" s="3" t="str" cm="1">
        <f t="array" aca="1" ref="F75" ca="1">OFFSET(E75,-1,1)</f>
        <v>1</v>
      </c>
      <c r="G75" s="61" t="s">
        <v>682</v>
      </c>
      <c r="H75" s="61" cm="1">
        <f t="array" ref="H75">H74</f>
        <v>0</v>
      </c>
      <c r="I75" s="81"/>
      <c r="J75" s="81"/>
      <c r="K75" s="81"/>
      <c r="L75" s="81"/>
      <c r="M75" s="81"/>
      <c r="N75" s="81"/>
      <c r="O75" s="81"/>
      <c r="P75" s="81"/>
      <c r="Q75" s="81"/>
      <c r="R75" s="81"/>
      <c r="S75" s="81"/>
      <c r="T75" s="365" t="b" cm="1">
        <f t="array" aca="1" ref="T75" ca="1">T74</f>
        <v>0</v>
      </c>
      <c r="U75" s="81"/>
      <c r="V75" s="81"/>
      <c r="W75" s="81"/>
      <c r="X75" s="1050"/>
      <c r="Y75" s="1050"/>
      <c r="Z75" s="1076"/>
      <c r="AA75" s="1049"/>
      <c r="AB75" s="27" t="str">
        <f>AB70&amp;".5"</f>
        <v>7.0.5</v>
      </c>
      <c r="AC75" s="124" t="s">
        <v>873</v>
      </c>
      <c r="AD75" s="27" t="s">
        <v>867</v>
      </c>
      <c r="AE75" s="833"/>
      <c r="AF75" s="833"/>
      <c r="AG75" s="833"/>
      <c r="AH75" s="833"/>
      <c r="AI75" s="833"/>
      <c r="AJ75" s="833"/>
      <c r="AK75" s="833"/>
      <c r="AL75" s="833"/>
      <c r="AM75" s="833"/>
      <c r="AN75" s="833"/>
      <c r="AO75" s="833"/>
      <c r="AP75" s="833"/>
      <c r="AQ75" s="833"/>
      <c r="AR75" s="833"/>
      <c r="AS75" s="833"/>
      <c r="AT75" s="833"/>
      <c r="AU75" s="833"/>
      <c r="AV75" s="833"/>
      <c r="AW75" s="833"/>
      <c r="AX75" s="833"/>
      <c r="AY75" s="833"/>
      <c r="AZ75" s="833"/>
      <c r="BA75" s="833"/>
      <c r="BB75" s="833"/>
      <c r="BC75" s="839"/>
      <c r="BD75" s="81"/>
      <c r="BE75" s="81"/>
      <c r="BF75" s="687" t="s">
        <v>874</v>
      </c>
      <c r="BG75" s="687" t="s">
        <v>865</v>
      </c>
      <c r="BH75" s="687" cm="1">
        <f t="array" ref="BH75">BH74</f>
        <v>0</v>
      </c>
      <c r="BI75" s="338" cm="1">
        <f t="array" ref="BI75">BI74</f>
        <v>0</v>
      </c>
      <c r="BJ75" s="198"/>
      <c r="BK75" s="198"/>
    </row>
    <row r="76" spans="1:63" s="338" customFormat="1" ht="10.5" hidden="1" customHeight="1">
      <c r="A76" s="81"/>
      <c r="C76" s="376"/>
      <c r="D76" s="81"/>
      <c r="E76" s="198">
        <v>11.25</v>
      </c>
      <c r="F76" s="3" t="str" cm="1">
        <f t="array" aca="1" ref="F76" ca="1">OFFSET(E76,-1,1)</f>
        <v>1</v>
      </c>
      <c r="G76" s="61" t="s">
        <v>875</v>
      </c>
      <c r="H76" s="61" cm="1">
        <f t="array" ref="H76">H75</f>
        <v>0</v>
      </c>
      <c r="I76" s="81"/>
      <c r="J76" s="81"/>
      <c r="K76" s="81"/>
      <c r="L76" s="81"/>
      <c r="M76" s="81"/>
      <c r="N76" s="81"/>
      <c r="O76" s="81"/>
      <c r="P76" s="81"/>
      <c r="Q76" s="81"/>
      <c r="R76" s="81"/>
      <c r="S76" s="81"/>
      <c r="T76" s="365" t="b" cm="1">
        <f t="array" aca="1" ref="T76" ca="1">T75</f>
        <v>0</v>
      </c>
      <c r="U76" s="81"/>
      <c r="V76" s="81"/>
      <c r="W76" s="81"/>
      <c r="X76" s="1050"/>
      <c r="Y76" s="1050"/>
      <c r="Z76" s="1076"/>
      <c r="AA76" s="1049"/>
      <c r="AB76" s="27" t="str">
        <f>AB70&amp;".6"</f>
        <v>7.0.6</v>
      </c>
      <c r="AC76" s="250" t="s">
        <v>876</v>
      </c>
      <c r="AD76" s="30" t="s">
        <v>877</v>
      </c>
      <c r="AE76" s="77">
        <f t="shared" ref="AE76:BB76" si="18">IF(OR(AND(AE75&lt;&gt;0,AE77=0),AND(AE75=0,AE77&lt;&gt;0)),"Ошибка",IF(AE77=0,0,AE75/AE77*1000/12))</f>
        <v>0</v>
      </c>
      <c r="AF76" s="77">
        <f t="shared" si="18"/>
        <v>0</v>
      </c>
      <c r="AG76" s="77">
        <f t="shared" si="18"/>
        <v>0</v>
      </c>
      <c r="AH76" s="77">
        <f t="shared" si="18"/>
        <v>0</v>
      </c>
      <c r="AI76" s="77">
        <f t="shared" si="18"/>
        <v>0</v>
      </c>
      <c r="AJ76" s="77">
        <f t="shared" si="18"/>
        <v>0</v>
      </c>
      <c r="AK76" s="77">
        <f t="shared" si="18"/>
        <v>0</v>
      </c>
      <c r="AL76" s="77">
        <f t="shared" si="18"/>
        <v>0</v>
      </c>
      <c r="AM76" s="77">
        <f t="shared" si="18"/>
        <v>0</v>
      </c>
      <c r="AN76" s="77">
        <f t="shared" si="18"/>
        <v>0</v>
      </c>
      <c r="AO76" s="77">
        <f t="shared" si="18"/>
        <v>0</v>
      </c>
      <c r="AP76" s="77">
        <f t="shared" si="18"/>
        <v>0</v>
      </c>
      <c r="AQ76" s="77">
        <f t="shared" si="18"/>
        <v>0</v>
      </c>
      <c r="AR76" s="77">
        <f t="shared" si="18"/>
        <v>0</v>
      </c>
      <c r="AS76" s="77">
        <f t="shared" si="18"/>
        <v>0</v>
      </c>
      <c r="AT76" s="77">
        <f t="shared" si="18"/>
        <v>0</v>
      </c>
      <c r="AU76" s="77">
        <f t="shared" si="18"/>
        <v>0</v>
      </c>
      <c r="AV76" s="77">
        <f t="shared" si="18"/>
        <v>0</v>
      </c>
      <c r="AW76" s="77">
        <f t="shared" si="18"/>
        <v>0</v>
      </c>
      <c r="AX76" s="77">
        <f t="shared" si="18"/>
        <v>0</v>
      </c>
      <c r="AY76" s="77">
        <f t="shared" si="18"/>
        <v>0</v>
      </c>
      <c r="AZ76" s="77">
        <f t="shared" si="18"/>
        <v>0</v>
      </c>
      <c r="BA76" s="77">
        <f t="shared" si="18"/>
        <v>0</v>
      </c>
      <c r="BB76" s="77">
        <f t="shared" si="18"/>
        <v>0</v>
      </c>
      <c r="BC76" s="839"/>
      <c r="BD76" s="81"/>
      <c r="BE76" s="81"/>
      <c r="BF76" s="687" t="s">
        <v>878</v>
      </c>
      <c r="BG76" s="687" t="s">
        <v>865</v>
      </c>
      <c r="BH76" s="687" cm="1">
        <f t="array" ref="BH76">BH75</f>
        <v>0</v>
      </c>
      <c r="BI76" s="338" cm="1">
        <f t="array" ref="BI76">BI75</f>
        <v>0</v>
      </c>
      <c r="BJ76" s="198"/>
      <c r="BK76" s="198"/>
    </row>
    <row r="77" spans="1:63" s="338" customFormat="1" ht="10.5" hidden="1" customHeight="1">
      <c r="A77" s="81"/>
      <c r="C77" s="376"/>
      <c r="D77" s="81"/>
      <c r="E77" s="198">
        <v>11.25</v>
      </c>
      <c r="F77" s="3" t="str" cm="1">
        <f t="array" aca="1" ref="F77" ca="1">OFFSET(E77,-1,1)</f>
        <v>1</v>
      </c>
      <c r="G77" s="61" t="s">
        <v>879</v>
      </c>
      <c r="H77" s="61" cm="1">
        <f t="array" ref="H77">H76</f>
        <v>0</v>
      </c>
      <c r="I77" s="81"/>
      <c r="J77" s="81"/>
      <c r="K77" s="81"/>
      <c r="L77" s="81"/>
      <c r="M77" s="81"/>
      <c r="N77" s="81"/>
      <c r="O77" s="81"/>
      <c r="P77" s="81"/>
      <c r="Q77" s="81"/>
      <c r="R77" s="81"/>
      <c r="S77" s="81"/>
      <c r="T77" s="365" t="b" cm="1">
        <f t="array" aca="1" ref="T77" ca="1">T76</f>
        <v>0</v>
      </c>
      <c r="U77" s="81"/>
      <c r="V77" s="81"/>
      <c r="W77" s="81"/>
      <c r="X77" s="1050"/>
      <c r="Y77" s="1050"/>
      <c r="Z77" s="1076"/>
      <c r="AA77" s="1049"/>
      <c r="AB77" s="27" t="str">
        <f>AB70&amp;".7"</f>
        <v>7.0.7</v>
      </c>
      <c r="AC77" s="250" t="s">
        <v>880</v>
      </c>
      <c r="AD77" s="30" t="s">
        <v>881</v>
      </c>
      <c r="AE77" s="833"/>
      <c r="AF77" s="833"/>
      <c r="AG77" s="833"/>
      <c r="AH77" s="833"/>
      <c r="AI77" s="833"/>
      <c r="AJ77" s="833"/>
      <c r="AK77" s="833"/>
      <c r="AL77" s="833"/>
      <c r="AM77" s="833"/>
      <c r="AN77" s="833"/>
      <c r="AO77" s="833"/>
      <c r="AP77" s="833"/>
      <c r="AQ77" s="833"/>
      <c r="AR77" s="833"/>
      <c r="AS77" s="833"/>
      <c r="AT77" s="833"/>
      <c r="AU77" s="833"/>
      <c r="AV77" s="833"/>
      <c r="AW77" s="833"/>
      <c r="AX77" s="833"/>
      <c r="AY77" s="833"/>
      <c r="AZ77" s="833"/>
      <c r="BA77" s="833"/>
      <c r="BB77" s="833"/>
      <c r="BC77" s="839"/>
      <c r="BD77" s="81"/>
      <c r="BE77" s="81"/>
      <c r="BF77" s="687" t="s">
        <v>882</v>
      </c>
      <c r="BG77" s="687" t="s">
        <v>865</v>
      </c>
      <c r="BH77" s="687" cm="1">
        <f t="array" ref="BH77">BH76</f>
        <v>0</v>
      </c>
      <c r="BI77" s="338" cm="1">
        <f t="array" ref="BI77">BI76</f>
        <v>0</v>
      </c>
      <c r="BJ77" s="198"/>
      <c r="BK77" s="198"/>
    </row>
    <row r="78" spans="1:63" s="78" customFormat="1" ht="14.25" customHeight="1">
      <c r="B78" s="65"/>
      <c r="C78" s="376"/>
      <c r="E78" s="473">
        <v>15</v>
      </c>
      <c r="F78" s="3" t="str" cm="1">
        <f t="array" aca="1" ref="F78" ca="1">OFFSET(E78,-1,1)</f>
        <v>1</v>
      </c>
      <c r="H78" s="641" t="s">
        <v>883</v>
      </c>
      <c r="T78" s="365" t="b">
        <f ca="1">F78&gt;0</f>
        <v>1</v>
      </c>
      <c r="W78" s="528" t="s">
        <v>884</v>
      </c>
      <c r="X78" s="1050"/>
      <c r="Z78" s="1076"/>
      <c r="AB78" s="108"/>
      <c r="AC78" s="111" t="s">
        <v>885</v>
      </c>
      <c r="AD78" s="109"/>
      <c r="AE78" s="109"/>
      <c r="AF78" s="109"/>
      <c r="AG78" s="109"/>
      <c r="AH78" s="109"/>
      <c r="AI78" s="109"/>
      <c r="AJ78" s="109"/>
      <c r="AK78" s="109"/>
      <c r="AL78" s="109"/>
      <c r="AM78" s="109"/>
      <c r="AN78" s="109"/>
      <c r="AO78" s="109"/>
      <c r="AP78" s="109"/>
      <c r="AQ78" s="109"/>
      <c r="AR78" s="109"/>
      <c r="AS78" s="109"/>
      <c r="AT78" s="109"/>
      <c r="AU78" s="109"/>
      <c r="AV78" s="109"/>
      <c r="AW78" s="109"/>
      <c r="AX78" s="109"/>
      <c r="AY78" s="109"/>
      <c r="AZ78" s="109"/>
      <c r="BA78" s="109"/>
      <c r="BB78" s="109"/>
      <c r="BC78" s="120"/>
      <c r="BF78" s="683"/>
      <c r="BG78" s="683"/>
      <c r="BH78" s="683"/>
      <c r="BJ78" s="473" t="s">
        <v>865</v>
      </c>
      <c r="BK78" s="473"/>
    </row>
    <row r="79" spans="1:63" s="851" customFormat="1" ht="14.25" customHeight="1">
      <c r="A79" s="79"/>
      <c r="B79" s="338"/>
      <c r="C79" s="378"/>
      <c r="D79" s="79"/>
      <c r="E79" s="472">
        <v>15</v>
      </c>
      <c r="F79" s="36" t="str" cm="1">
        <f t="array" ref="F79">X79</f>
        <v>2</v>
      </c>
      <c r="G79" s="36"/>
      <c r="H79" s="36"/>
      <c r="I79" s="79"/>
      <c r="J79" s="79"/>
      <c r="K79" s="79"/>
      <c r="L79" s="79"/>
      <c r="M79" s="79"/>
      <c r="N79" s="79"/>
      <c r="O79" s="79"/>
      <c r="P79" s="79"/>
      <c r="Q79" s="79"/>
      <c r="R79" s="79"/>
      <c r="S79" s="79"/>
      <c r="T79" s="365" t="b">
        <f>X79&gt;0</f>
        <v>1</v>
      </c>
      <c r="U79" s="79"/>
      <c r="V79" s="79" t="str" cm="1">
        <f t="array" ref="V79">'Сырье и материалы'!$AB$72</f>
        <v>Тариф 2 (Водоотведение) - тариф на водоотведение (Доп. признак не требуется)</v>
      </c>
      <c r="W79" s="79"/>
      <c r="X79" s="1050" t="s">
        <v>285</v>
      </c>
      <c r="Y79" s="79"/>
      <c r="Z79" s="1076"/>
      <c r="AA79" s="79"/>
      <c r="AB79" s="116" t="str" cm="1">
        <f t="array" ref="AB79">'Сырье и материалы'!$AB$72</f>
        <v>Тариф 2 (Водоотведение) - тариф на водоотведение (Доп. признак не требуется)</v>
      </c>
      <c r="AC79" s="113"/>
      <c r="AD79" s="107"/>
      <c r="AE79" s="107"/>
      <c r="AF79" s="107"/>
      <c r="AG79" s="107"/>
      <c r="AH79" s="107"/>
      <c r="AI79" s="107"/>
      <c r="AJ79" s="107"/>
      <c r="AK79" s="107"/>
      <c r="AL79" s="107"/>
      <c r="AM79" s="107"/>
      <c r="AN79" s="107"/>
      <c r="AO79" s="107"/>
      <c r="AP79" s="107"/>
      <c r="AQ79" s="107"/>
      <c r="AR79" s="107"/>
      <c r="AS79" s="107"/>
      <c r="AT79" s="107"/>
      <c r="AU79" s="107"/>
      <c r="AV79" s="107"/>
      <c r="AW79" s="107"/>
      <c r="AX79" s="107"/>
      <c r="AY79" s="107"/>
      <c r="AZ79" s="107"/>
      <c r="BA79" s="107"/>
      <c r="BB79" s="107"/>
      <c r="BC79" s="107"/>
      <c r="BD79" s="79"/>
      <c r="BE79" s="79"/>
      <c r="BF79" s="678"/>
      <c r="BG79" s="678"/>
      <c r="BH79" s="678"/>
      <c r="BJ79" s="470"/>
      <c r="BK79" s="470"/>
    </row>
    <row r="80" spans="1:63" s="338" customFormat="1" ht="44.25" customHeight="1">
      <c r="A80" s="81"/>
      <c r="C80" s="376"/>
      <c r="D80" s="378"/>
      <c r="E80" s="198">
        <v>11.25</v>
      </c>
      <c r="F80" s="3" t="str" cm="1">
        <f t="array" aca="1" ref="F80" ca="1">OFFSET(E80,-1,1)</f>
        <v>2</v>
      </c>
      <c r="G80" s="61" t="s">
        <v>327</v>
      </c>
      <c r="H80" s="61"/>
      <c r="I80" s="81"/>
      <c r="J80" s="81"/>
      <c r="K80" s="376" t="str">
        <f ca="1">F80&amp;"komm"</f>
        <v>2komm</v>
      </c>
      <c r="L80" s="616" t="str" cm="1">
        <f t="array" ref="L80">BC80</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M80" s="81"/>
      <c r="N80" s="81"/>
      <c r="O80" s="81"/>
      <c r="P80" s="81"/>
      <c r="Q80" s="81"/>
      <c r="R80" s="81"/>
      <c r="S80" s="81"/>
      <c r="T80" s="365" t="b" cm="1">
        <f t="array" ref="T80">T79</f>
        <v>1</v>
      </c>
      <c r="U80" s="81"/>
      <c r="V80" s="81"/>
      <c r="W80" s="81"/>
      <c r="X80" s="1050"/>
      <c r="Y80" s="81"/>
      <c r="Z80" s="1076"/>
      <c r="AA80" s="81"/>
      <c r="AB80" s="27" t="s">
        <v>275</v>
      </c>
      <c r="AC80" s="73" t="s">
        <v>803</v>
      </c>
      <c r="AD80" s="27" t="s">
        <v>804</v>
      </c>
      <c r="AE80" s="77">
        <f t="shared" ref="AE80:BB80" si="19">IF(COUNTIF(AE85:AE108,"Ошибка")&gt;0,"Ошибка",SUMIF($AD85:$AD108,$AD80,AE85:AE108))</f>
        <v>3604.1134688361999</v>
      </c>
      <c r="AF80" s="77">
        <f t="shared" si="19"/>
        <v>3180.1200000000003</v>
      </c>
      <c r="AG80" s="77">
        <f t="shared" si="19"/>
        <v>3180.1200000000003</v>
      </c>
      <c r="AH80" s="77">
        <f t="shared" si="19"/>
        <v>3797.2434786017998</v>
      </c>
      <c r="AI80" s="77">
        <f t="shared" si="19"/>
        <v>4189.45</v>
      </c>
      <c r="AJ80" s="77">
        <f t="shared" si="19"/>
        <v>0</v>
      </c>
      <c r="AK80" s="77">
        <f t="shared" si="19"/>
        <v>0</v>
      </c>
      <c r="AL80" s="77">
        <f t="shared" si="19"/>
        <v>0</v>
      </c>
      <c r="AM80" s="77">
        <f t="shared" si="19"/>
        <v>0</v>
      </c>
      <c r="AN80" s="77">
        <f t="shared" si="19"/>
        <v>0</v>
      </c>
      <c r="AO80" s="77">
        <f t="shared" si="19"/>
        <v>0</v>
      </c>
      <c r="AP80" s="77">
        <f t="shared" si="19"/>
        <v>0</v>
      </c>
      <c r="AQ80" s="77">
        <f t="shared" si="19"/>
        <v>0</v>
      </c>
      <c r="AR80" s="77">
        <f t="shared" si="19"/>
        <v>0</v>
      </c>
      <c r="AS80" s="77">
        <f t="shared" si="19"/>
        <v>4687.99</v>
      </c>
      <c r="AT80" s="77" t="str">
        <f t="shared" si="19"/>
        <v>Ошибка</v>
      </c>
      <c r="AU80" s="77" t="str">
        <f t="shared" si="19"/>
        <v>Ошибка</v>
      </c>
      <c r="AV80" s="77">
        <f t="shared" si="19"/>
        <v>0</v>
      </c>
      <c r="AW80" s="77">
        <f t="shared" si="19"/>
        <v>0</v>
      </c>
      <c r="AX80" s="77">
        <f t="shared" si="19"/>
        <v>0</v>
      </c>
      <c r="AY80" s="77">
        <f t="shared" si="19"/>
        <v>0</v>
      </c>
      <c r="AZ80" s="77">
        <f t="shared" si="19"/>
        <v>0</v>
      </c>
      <c r="BA80" s="77">
        <f t="shared" si="19"/>
        <v>0</v>
      </c>
      <c r="BB80" s="77">
        <f t="shared" si="19"/>
        <v>0</v>
      </c>
      <c r="BC80" s="132" t="s">
        <v>886</v>
      </c>
      <c r="BD80" s="81"/>
      <c r="BE80" s="81"/>
      <c r="BF80" s="687" t="s">
        <v>842</v>
      </c>
      <c r="BG80" s="687"/>
      <c r="BH80" s="687"/>
      <c r="BJ80" s="198"/>
      <c r="BK80" s="198"/>
    </row>
    <row r="81" spans="1:63" s="338" customFormat="1" ht="10.5" customHeight="1">
      <c r="A81" s="81"/>
      <c r="C81" s="376"/>
      <c r="D81" s="81"/>
      <c r="E81" s="198">
        <v>11.25</v>
      </c>
      <c r="F81" s="3" t="str" cm="1">
        <f t="array" aca="1" ref="F81" ca="1">OFFSET(E81,-1,1)</f>
        <v>2</v>
      </c>
      <c r="G81" s="61" t="s">
        <v>328</v>
      </c>
      <c r="H81" s="61"/>
      <c r="I81" s="81"/>
      <c r="J81" s="81"/>
      <c r="K81" s="81"/>
      <c r="L81" s="81"/>
      <c r="M81" s="81"/>
      <c r="N81" s="81"/>
      <c r="O81" s="81"/>
      <c r="P81" s="81"/>
      <c r="Q81" s="81"/>
      <c r="R81" s="81"/>
      <c r="S81" s="81"/>
      <c r="T81" s="365" t="b" cm="1">
        <f t="array" ref="T81">T80</f>
        <v>1</v>
      </c>
      <c r="U81" s="81"/>
      <c r="V81" s="81"/>
      <c r="W81" s="81"/>
      <c r="X81" s="1050"/>
      <c r="Y81" s="81"/>
      <c r="Z81" s="1076"/>
      <c r="AA81" s="81"/>
      <c r="AB81" s="27" t="s">
        <v>285</v>
      </c>
      <c r="AC81" s="73" t="s">
        <v>843</v>
      </c>
      <c r="AD81" s="30" t="s">
        <v>844</v>
      </c>
      <c r="AE81" s="77">
        <f>SUMIF(AD85:AD108,AD81,AE85:AE108)</f>
        <v>483.70870725700001</v>
      </c>
      <c r="AF81" s="77">
        <f>SUMIF(AD85:AD108,AD81,AF85:AF108)</f>
        <v>430.26</v>
      </c>
      <c r="AG81" s="77">
        <f>SUMIF(AD85:AD108,AD81,AG85:AG108)</f>
        <v>430.26</v>
      </c>
      <c r="AH81" s="77">
        <f>SUMIF(AD85:AD108,AD81,AH85:AH108)</f>
        <v>485.82375934519996</v>
      </c>
      <c r="AI81" s="77">
        <f>SUMIF(AD85:AD108,AD81,AI85:AI108)</f>
        <v>485.82</v>
      </c>
      <c r="AJ81" s="77">
        <f>SUMIF(AD85:AD108,AD81,AJ85:AJ108)</f>
        <v>0</v>
      </c>
      <c r="AK81" s="77">
        <f>SUMIF(AD85:AD108,AD81,AK85:AK108)</f>
        <v>0</v>
      </c>
      <c r="AL81" s="77">
        <f>SUMIF(AD85:AD108,AD81,AL85:AL108)</f>
        <v>0</v>
      </c>
      <c r="AM81" s="77">
        <f>SUMIF(AD85:AD108,AD81,AM85:AM108)</f>
        <v>0</v>
      </c>
      <c r="AN81" s="77">
        <f>SUMIF(AD85:AD108,AD81,AN85:AN108)</f>
        <v>0</v>
      </c>
      <c r="AO81" s="77">
        <f>SUMIF(AD85:AD108,AD81,AO85:AO108)</f>
        <v>0</v>
      </c>
      <c r="AP81" s="77">
        <f>SUMIF(AD85:AD108,AD81,AP85:AP108)</f>
        <v>0</v>
      </c>
      <c r="AQ81" s="77">
        <f>SUMIF(AD85:AD108,AD81,AQ85:AQ108)</f>
        <v>0</v>
      </c>
      <c r="AR81" s="77">
        <f>SUMIF(AD85:AD108,AD81,AR85:AR108)</f>
        <v>0</v>
      </c>
      <c r="AS81" s="77">
        <f>SUMIF(AD85:AD108,AD81,AS85:AS108)</f>
        <v>484.90117354815789</v>
      </c>
      <c r="AT81" s="77">
        <f>SUMIF(AD85:AD108,AD81,AT85:AT108)</f>
        <v>484.90117354815789</v>
      </c>
      <c r="AU81" s="77">
        <f>SUMIF(AD85:AD108,AD81,AU85:AU108)</f>
        <v>484.90117354815789</v>
      </c>
      <c r="AV81" s="77">
        <f>SUMIF(AD85:AD108,AD81,AV85:AV108)</f>
        <v>0</v>
      </c>
      <c r="AW81" s="77">
        <f>SUMIF(AD85:AD108,AD81,AW85:AW108)</f>
        <v>0</v>
      </c>
      <c r="AX81" s="77">
        <f>SUMIF(AD85:AD108,AD81,AX85:AX108)</f>
        <v>0</v>
      </c>
      <c r="AY81" s="77">
        <f>SUMIF(AD85:AD108,AD81,AY85:AY108)</f>
        <v>0</v>
      </c>
      <c r="AZ81" s="77">
        <f>SUMIF(AD85:AD108,AD81,AZ85:AZ108)</f>
        <v>0</v>
      </c>
      <c r="BA81" s="77">
        <f>SUMIF(AD85:AD108,AD81,BA85:BA108)</f>
        <v>0</v>
      </c>
      <c r="BB81" s="77">
        <f>SUMIF(AD85:AD108,AD81,BB85:BB108)</f>
        <v>0</v>
      </c>
      <c r="BC81" s="132"/>
      <c r="BD81" s="81"/>
      <c r="BE81" s="81"/>
      <c r="BF81" s="687" t="s">
        <v>845</v>
      </c>
      <c r="BG81" s="687"/>
      <c r="BH81" s="687"/>
      <c r="BJ81" s="198"/>
      <c r="BK81" s="198"/>
    </row>
    <row r="82" spans="1:63" s="338" customFormat="1" ht="12.75" customHeight="1">
      <c r="A82" s="81"/>
      <c r="C82" s="376"/>
      <c r="D82" s="81"/>
      <c r="E82" s="198">
        <v>11.25</v>
      </c>
      <c r="F82" s="3" t="str" cm="1">
        <f t="array" aca="1" ref="F82" ca="1">OFFSET(E82,-1,1)</f>
        <v>2</v>
      </c>
      <c r="G82" s="61" t="s">
        <v>329</v>
      </c>
      <c r="H82" s="61"/>
      <c r="I82" s="81"/>
      <c r="J82" s="81"/>
      <c r="K82" s="81"/>
      <c r="L82" s="81"/>
      <c r="M82" s="81"/>
      <c r="N82" s="81"/>
      <c r="O82" s="81"/>
      <c r="P82" s="81"/>
      <c r="Q82" s="81"/>
      <c r="R82" s="81"/>
      <c r="S82" s="81"/>
      <c r="T82" s="365" t="b" cm="1">
        <f t="array" ref="T82">T81</f>
        <v>1</v>
      </c>
      <c r="U82" s="81"/>
      <c r="V82" s="81"/>
      <c r="W82" s="81"/>
      <c r="X82" s="1050"/>
      <c r="Y82" s="81"/>
      <c r="Z82" s="1076"/>
      <c r="AA82" s="81"/>
      <c r="AB82" s="27" t="s">
        <v>325</v>
      </c>
      <c r="AC82" s="73" t="s">
        <v>846</v>
      </c>
      <c r="AD82" s="30" t="s">
        <v>847</v>
      </c>
      <c r="AE82" s="171">
        <v>945.83128278080005</v>
      </c>
      <c r="AF82" s="171" cm="1">
        <f t="array" ref="AF82">Баланс!AF266</f>
        <v>948.16300000000001</v>
      </c>
      <c r="AG82" s="171" cm="1">
        <f t="array" ref="AG82">Баланс!AG266</f>
        <v>948.16300000000001</v>
      </c>
      <c r="AH82" s="171">
        <v>949.96699999999998</v>
      </c>
      <c r="AI82" s="171" cm="1">
        <f t="array" ref="AI82">Баланс!AI266</f>
        <v>938.9369999999999</v>
      </c>
      <c r="AJ82" s="880"/>
      <c r="AK82" s="880"/>
      <c r="AL82" s="880"/>
      <c r="AM82" s="880"/>
      <c r="AN82" s="880"/>
      <c r="AO82" s="880"/>
      <c r="AP82" s="880"/>
      <c r="AQ82" s="880"/>
      <c r="AR82" s="880"/>
      <c r="AS82" s="171" cm="1">
        <f t="array" ref="AS82">Баланс!AS266</f>
        <v>948.16300000000001</v>
      </c>
      <c r="AT82" s="880" cm="1">
        <f t="array" ref="AT82">AS82</f>
        <v>948.16300000000001</v>
      </c>
      <c r="AU82" s="880" cm="1">
        <f t="array" ref="AU82">AT82</f>
        <v>948.16300000000001</v>
      </c>
      <c r="AV82" s="880"/>
      <c r="AW82" s="880"/>
      <c r="AX82" s="880"/>
      <c r="AY82" s="880"/>
      <c r="AZ82" s="880"/>
      <c r="BA82" s="880"/>
      <c r="BB82" s="880"/>
      <c r="BC82" s="132"/>
      <c r="BD82" s="81"/>
      <c r="BE82" s="81"/>
      <c r="BF82" s="687" t="s">
        <v>848</v>
      </c>
      <c r="BG82" s="687"/>
      <c r="BH82" s="687"/>
      <c r="BJ82" s="198"/>
      <c r="BK82" s="198"/>
    </row>
    <row r="83" spans="1:63" s="338" customFormat="1" ht="10.5" customHeight="1">
      <c r="A83" s="81"/>
      <c r="C83" s="376"/>
      <c r="D83" s="81"/>
      <c r="E83" s="198">
        <v>11.25</v>
      </c>
      <c r="F83" s="3" t="str" cm="1">
        <f t="array" aca="1" ref="F83" ca="1">OFFSET(E83,-1,1)</f>
        <v>2</v>
      </c>
      <c r="G83" s="61" t="s">
        <v>331</v>
      </c>
      <c r="H83" s="61"/>
      <c r="I83" s="81"/>
      <c r="J83" s="81"/>
      <c r="K83" s="81"/>
      <c r="L83" s="81"/>
      <c r="M83" s="81"/>
      <c r="N83" s="81"/>
      <c r="O83" s="81"/>
      <c r="P83" s="81"/>
      <c r="Q83" s="81"/>
      <c r="R83" s="81"/>
      <c r="S83" s="81"/>
      <c r="T83" s="365" t="b" cm="1">
        <f t="array" ref="T83">T82</f>
        <v>1</v>
      </c>
      <c r="U83" s="81"/>
      <c r="V83" s="81"/>
      <c r="W83" s="81"/>
      <c r="X83" s="1050"/>
      <c r="Y83" s="81"/>
      <c r="Z83" s="1076"/>
      <c r="AA83" s="81"/>
      <c r="AB83" s="27" t="s">
        <v>433</v>
      </c>
      <c r="AC83" s="73" t="s">
        <v>849</v>
      </c>
      <c r="AD83" s="30" t="s">
        <v>850</v>
      </c>
      <c r="AE83" s="77">
        <f t="shared" ref="AE83:BB83" si="20">IF(AE81=0,0,AE80/AE81)</f>
        <v>7.4509997747906835</v>
      </c>
      <c r="AF83" s="77">
        <f t="shared" si="20"/>
        <v>7.3911588341932797</v>
      </c>
      <c r="AG83" s="77">
        <f t="shared" si="20"/>
        <v>7.3911588341932797</v>
      </c>
      <c r="AH83" s="77">
        <f t="shared" si="20"/>
        <v>7.8160925758752056</v>
      </c>
      <c r="AI83" s="77">
        <f t="shared" si="20"/>
        <v>8.6234613642913018</v>
      </c>
      <c r="AJ83" s="77">
        <f t="shared" si="20"/>
        <v>0</v>
      </c>
      <c r="AK83" s="77">
        <f t="shared" si="20"/>
        <v>0</v>
      </c>
      <c r="AL83" s="77">
        <f t="shared" si="20"/>
        <v>0</v>
      </c>
      <c r="AM83" s="77">
        <f t="shared" si="20"/>
        <v>0</v>
      </c>
      <c r="AN83" s="77">
        <f t="shared" si="20"/>
        <v>0</v>
      </c>
      <c r="AO83" s="77">
        <f t="shared" si="20"/>
        <v>0</v>
      </c>
      <c r="AP83" s="77">
        <f t="shared" si="20"/>
        <v>0</v>
      </c>
      <c r="AQ83" s="77">
        <f t="shared" si="20"/>
        <v>0</v>
      </c>
      <c r="AR83" s="77">
        <f t="shared" si="20"/>
        <v>0</v>
      </c>
      <c r="AS83" s="77">
        <f t="shared" si="20"/>
        <v>9.6679287568983643</v>
      </c>
      <c r="AT83" s="77" t="e">
        <f t="shared" si="20"/>
        <v>#VALUE!</v>
      </c>
      <c r="AU83" s="77" t="e">
        <f t="shared" si="20"/>
        <v>#VALUE!</v>
      </c>
      <c r="AV83" s="77">
        <f t="shared" si="20"/>
        <v>0</v>
      </c>
      <c r="AW83" s="77">
        <f t="shared" si="20"/>
        <v>0</v>
      </c>
      <c r="AX83" s="77">
        <f t="shared" si="20"/>
        <v>0</v>
      </c>
      <c r="AY83" s="77">
        <f t="shared" si="20"/>
        <v>0</v>
      </c>
      <c r="AZ83" s="77">
        <f t="shared" si="20"/>
        <v>0</v>
      </c>
      <c r="BA83" s="77">
        <f t="shared" si="20"/>
        <v>0</v>
      </c>
      <c r="BB83" s="77">
        <f t="shared" si="20"/>
        <v>0</v>
      </c>
      <c r="BC83" s="132"/>
      <c r="BD83" s="81"/>
      <c r="BE83" s="81"/>
      <c r="BF83" s="687" t="s">
        <v>851</v>
      </c>
      <c r="BG83" s="687"/>
      <c r="BH83" s="687"/>
      <c r="BJ83" s="198"/>
      <c r="BK83" s="198"/>
    </row>
    <row r="84" spans="1:63" s="338" customFormat="1" ht="10.5" customHeight="1">
      <c r="A84" s="81"/>
      <c r="C84" s="376"/>
      <c r="D84" s="81"/>
      <c r="E84" s="198">
        <v>11.25</v>
      </c>
      <c r="F84" s="3" t="str" cm="1">
        <f t="array" aca="1" ref="F84" ca="1">OFFSET(E84,-1,1)</f>
        <v>2</v>
      </c>
      <c r="G84" s="61" t="s">
        <v>330</v>
      </c>
      <c r="H84" s="61"/>
      <c r="I84" s="81"/>
      <c r="J84" s="81"/>
      <c r="K84" s="81"/>
      <c r="L84" s="81"/>
      <c r="M84" s="81"/>
      <c r="N84" s="81"/>
      <c r="O84" s="81"/>
      <c r="P84" s="81"/>
      <c r="Q84" s="81"/>
      <c r="R84" s="81"/>
      <c r="S84" s="81"/>
      <c r="T84" s="365" t="b" cm="1">
        <f t="array" ref="T84">T83</f>
        <v>1</v>
      </c>
      <c r="U84" s="81"/>
      <c r="V84" s="81"/>
      <c r="W84" s="81"/>
      <c r="X84" s="1050"/>
      <c r="Y84" s="81"/>
      <c r="Z84" s="1076"/>
      <c r="AA84" s="81"/>
      <c r="AB84" s="27" t="s">
        <v>444</v>
      </c>
      <c r="AC84" s="73" t="s">
        <v>852</v>
      </c>
      <c r="AD84" s="30" t="s">
        <v>853</v>
      </c>
      <c r="AE84" s="236">
        <f t="shared" ref="AE84:BB84" si="21">IF(AE82=0,0,AE81/AE82)</f>
        <v>0.51141119569958371</v>
      </c>
      <c r="AF84" s="236">
        <f t="shared" si="21"/>
        <v>0.45378273566886707</v>
      </c>
      <c r="AG84" s="236">
        <f t="shared" si="21"/>
        <v>0.45378273566886707</v>
      </c>
      <c r="AH84" s="236">
        <f t="shared" si="21"/>
        <v>0.51141119569964011</v>
      </c>
      <c r="AI84" s="236">
        <f t="shared" si="21"/>
        <v>0.51741490643142196</v>
      </c>
      <c r="AJ84" s="236">
        <f t="shared" si="21"/>
        <v>0</v>
      </c>
      <c r="AK84" s="236">
        <f t="shared" si="21"/>
        <v>0</v>
      </c>
      <c r="AL84" s="236">
        <f t="shared" si="21"/>
        <v>0</v>
      </c>
      <c r="AM84" s="236">
        <f t="shared" si="21"/>
        <v>0</v>
      </c>
      <c r="AN84" s="236">
        <f t="shared" si="21"/>
        <v>0</v>
      </c>
      <c r="AO84" s="236">
        <f t="shared" si="21"/>
        <v>0</v>
      </c>
      <c r="AP84" s="236">
        <f t="shared" si="21"/>
        <v>0</v>
      </c>
      <c r="AQ84" s="236">
        <f t="shared" si="21"/>
        <v>0</v>
      </c>
      <c r="AR84" s="236">
        <f t="shared" si="21"/>
        <v>0</v>
      </c>
      <c r="AS84" s="236">
        <f t="shared" si="21"/>
        <v>0.51141119569964011</v>
      </c>
      <c r="AT84" s="236">
        <f t="shared" si="21"/>
        <v>0.51141119569964011</v>
      </c>
      <c r="AU84" s="236">
        <f t="shared" si="21"/>
        <v>0.51141119569964011</v>
      </c>
      <c r="AV84" s="236">
        <f t="shared" si="21"/>
        <v>0</v>
      </c>
      <c r="AW84" s="236">
        <f t="shared" si="21"/>
        <v>0</v>
      </c>
      <c r="AX84" s="236">
        <f t="shared" si="21"/>
        <v>0</v>
      </c>
      <c r="AY84" s="236">
        <f t="shared" si="21"/>
        <v>0</v>
      </c>
      <c r="AZ84" s="236">
        <f t="shared" si="21"/>
        <v>0</v>
      </c>
      <c r="BA84" s="236">
        <f t="shared" si="21"/>
        <v>0</v>
      </c>
      <c r="BB84" s="236">
        <f t="shared" si="21"/>
        <v>0</v>
      </c>
      <c r="BC84" s="132"/>
      <c r="BD84" s="81"/>
      <c r="BE84" s="81"/>
      <c r="BF84" s="687" t="s">
        <v>854</v>
      </c>
      <c r="BG84" s="687"/>
      <c r="BH84" s="687"/>
      <c r="BJ84" s="198"/>
      <c r="BK84" s="198"/>
    </row>
    <row r="85" spans="1:63" s="338" customFormat="1" ht="12" customHeight="1">
      <c r="A85" s="81"/>
      <c r="C85" s="376"/>
      <c r="D85" s="81"/>
      <c r="E85" s="198">
        <v>13</v>
      </c>
      <c r="F85" s="3" t="str" cm="1">
        <f t="array" aca="1" ref="F85" ca="1">OFFSET(E85,-1,1)</f>
        <v>2</v>
      </c>
      <c r="G85" s="61"/>
      <c r="H85" s="61"/>
      <c r="I85" s="81"/>
      <c r="J85" s="81"/>
      <c r="K85" s="81"/>
      <c r="L85" s="81"/>
      <c r="M85" s="81"/>
      <c r="N85" s="81"/>
      <c r="O85" s="81"/>
      <c r="P85" s="81"/>
      <c r="Q85" s="81"/>
      <c r="R85" s="81"/>
      <c r="S85" s="81"/>
      <c r="T85" s="365" t="b" cm="1">
        <f t="array" ref="T85">T84</f>
        <v>1</v>
      </c>
      <c r="U85" s="81"/>
      <c r="V85" s="81"/>
      <c r="W85" s="81"/>
      <c r="X85" s="1050"/>
      <c r="Y85" s="81"/>
      <c r="Z85" s="1076"/>
      <c r="AA85" s="81"/>
      <c r="AB85" s="487"/>
      <c r="AC85" s="197" t="s">
        <v>855</v>
      </c>
      <c r="AD85" s="198"/>
      <c r="AE85" s="199"/>
      <c r="AF85" s="199"/>
      <c r="AG85" s="199"/>
      <c r="AH85" s="199"/>
      <c r="AI85" s="199"/>
      <c r="AJ85" s="199"/>
      <c r="AK85" s="199"/>
      <c r="AL85" s="199"/>
      <c r="AM85" s="199"/>
      <c r="AN85" s="199"/>
      <c r="AO85" s="199"/>
      <c r="AP85" s="199"/>
      <c r="AQ85" s="199"/>
      <c r="AR85" s="199"/>
      <c r="AS85" s="199"/>
      <c r="AT85" s="199"/>
      <c r="AU85" s="199"/>
      <c r="AV85" s="199"/>
      <c r="AW85" s="199"/>
      <c r="AX85" s="199"/>
      <c r="AY85" s="199"/>
      <c r="AZ85" s="199"/>
      <c r="BA85" s="199"/>
      <c r="BB85" s="199"/>
      <c r="BC85" s="200"/>
      <c r="BD85" s="81"/>
      <c r="BE85" s="81"/>
      <c r="BF85" s="687"/>
      <c r="BG85" s="687"/>
      <c r="BH85" s="687"/>
      <c r="BJ85" s="198"/>
      <c r="BK85" s="198"/>
    </row>
    <row r="86" spans="1:63" ht="10.7" hidden="1" customHeight="1">
      <c r="B86" s="865"/>
      <c r="C86" s="376"/>
      <c r="E86" s="198">
        <v>11</v>
      </c>
      <c r="F86" s="3" t="str" cm="1">
        <f t="array" aca="1" ref="F86" ca="1">OFFSET(E86,-1,1)</f>
        <v>2</v>
      </c>
      <c r="G86" s="61"/>
      <c r="H86" s="61"/>
      <c r="T86" s="365" t="b">
        <f ca="1">AND(F86&gt;0,Y86&gt;0)</f>
        <v>0</v>
      </c>
      <c r="W86" s="528" t="s">
        <v>173</v>
      </c>
      <c r="X86" s="1121"/>
      <c r="Y86" s="1123">
        <v>0</v>
      </c>
      <c r="Z86" s="1121"/>
      <c r="AA86" s="1124" t="s">
        <v>174</v>
      </c>
      <c r="AB86" s="27" t="str">
        <f>"6."&amp;Y86</f>
        <v>6.0</v>
      </c>
      <c r="AC86" s="881"/>
      <c r="AD86" s="27"/>
      <c r="AE86" s="271"/>
      <c r="AF86" s="271"/>
      <c r="AG86" s="271"/>
      <c r="AH86" s="271"/>
      <c r="AI86" s="271"/>
      <c r="AJ86" s="271"/>
      <c r="AK86" s="271"/>
      <c r="AL86" s="271"/>
      <c r="AM86" s="271"/>
      <c r="AN86" s="271"/>
      <c r="AO86" s="271"/>
      <c r="AP86" s="271"/>
      <c r="AQ86" s="271"/>
      <c r="AR86" s="271"/>
      <c r="AS86" s="271"/>
      <c r="AT86" s="271"/>
      <c r="AU86" s="271"/>
      <c r="AV86" s="271"/>
      <c r="AW86" s="271"/>
      <c r="AX86" s="271"/>
      <c r="AY86" s="271"/>
      <c r="AZ86" s="271"/>
      <c r="BA86" s="271"/>
      <c r="BB86" s="271"/>
      <c r="BC86" s="271"/>
      <c r="BD86" s="856"/>
      <c r="BF86" s="687"/>
      <c r="BG86" s="687"/>
      <c r="BH86" s="687"/>
      <c r="BI86" s="687"/>
      <c r="BJ86" s="198"/>
      <c r="BK86" s="198"/>
    </row>
    <row r="87" spans="1:63" s="338" customFormat="1" ht="10.5" hidden="1" customHeight="1">
      <c r="A87" s="81"/>
      <c r="C87" s="376"/>
      <c r="D87" s="81"/>
      <c r="E87" s="198">
        <v>11.25</v>
      </c>
      <c r="F87" s="3" t="str" cm="1">
        <f t="array" aca="1" ref="F87" ca="1">OFFSET(E87,-1,1)</f>
        <v>2</v>
      </c>
      <c r="G87" s="61" t="s">
        <v>511</v>
      </c>
      <c r="H87" s="61" cm="1">
        <f t="array" ref="H87">AC87</f>
        <v>0</v>
      </c>
      <c r="I87" s="81"/>
      <c r="J87" s="81"/>
      <c r="K87" s="81"/>
      <c r="L87" s="81"/>
      <c r="M87" s="81"/>
      <c r="N87" s="81"/>
      <c r="O87" s="81"/>
      <c r="P87" s="81"/>
      <c r="Q87" s="81"/>
      <c r="R87" s="81"/>
      <c r="S87" s="81"/>
      <c r="T87" s="365" t="b" cm="1">
        <f t="array" aca="1" ref="T87" ca="1">T86</f>
        <v>0</v>
      </c>
      <c r="U87" s="81"/>
      <c r="V87" s="81"/>
      <c r="W87" s="528"/>
      <c r="X87" s="1050"/>
      <c r="Y87" s="1050">
        <v>0</v>
      </c>
      <c r="Z87" s="1076"/>
      <c r="AA87" s="1049" t="s">
        <v>174</v>
      </c>
      <c r="AB87" s="27" t="str">
        <f>AB86&amp;".1"</f>
        <v>6.0.1</v>
      </c>
      <c r="AC87" s="875"/>
      <c r="AD87" s="27" t="s">
        <v>804</v>
      </c>
      <c r="AE87" s="833"/>
      <c r="AF87" s="833"/>
      <c r="AG87" s="833"/>
      <c r="AH87" s="833"/>
      <c r="AI87" s="833"/>
      <c r="AJ87" s="833"/>
      <c r="AK87" s="833"/>
      <c r="AL87" s="833"/>
      <c r="AM87" s="833"/>
      <c r="AN87" s="833"/>
      <c r="AO87" s="833"/>
      <c r="AP87" s="833"/>
      <c r="AQ87" s="833"/>
      <c r="AR87" s="833"/>
      <c r="AS87" s="833"/>
      <c r="AT87" s="833"/>
      <c r="AU87" s="833"/>
      <c r="AV87" s="833"/>
      <c r="AW87" s="833"/>
      <c r="AX87" s="833"/>
      <c r="AY87" s="833"/>
      <c r="AZ87" s="833"/>
      <c r="BA87" s="833"/>
      <c r="BB87" s="833"/>
      <c r="BC87" s="839"/>
      <c r="BD87" s="81"/>
      <c r="BE87" s="81"/>
      <c r="BF87" s="687" t="s">
        <v>856</v>
      </c>
      <c r="BG87" s="687" t="s">
        <v>857</v>
      </c>
      <c r="BH87" s="687" cm="1">
        <f t="array" ref="BH87">AC87</f>
        <v>0</v>
      </c>
      <c r="BI87" s="338" cm="1">
        <f t="array" ref="BI87">AC86</f>
        <v>0</v>
      </c>
      <c r="BJ87" s="198"/>
      <c r="BK87" s="198" t="b">
        <v>1</v>
      </c>
    </row>
    <row r="88" spans="1:63" s="338" customFormat="1" ht="10.5" hidden="1" customHeight="1">
      <c r="A88" s="81"/>
      <c r="C88" s="376"/>
      <c r="D88" s="81"/>
      <c r="E88" s="198">
        <v>11.25</v>
      </c>
      <c r="F88" s="3" t="str" cm="1">
        <f t="array" aca="1" ref="F88" ca="1">OFFSET(E88,-1,1)</f>
        <v>2</v>
      </c>
      <c r="G88" s="61" t="s">
        <v>672</v>
      </c>
      <c r="H88" s="61" cm="1">
        <f t="array" ref="H88">H87</f>
        <v>0</v>
      </c>
      <c r="I88" s="81"/>
      <c r="J88" s="81"/>
      <c r="K88" s="81"/>
      <c r="L88" s="81"/>
      <c r="M88" s="81"/>
      <c r="N88" s="81"/>
      <c r="O88" s="81"/>
      <c r="P88" s="81"/>
      <c r="Q88" s="81"/>
      <c r="R88" s="81"/>
      <c r="S88" s="81"/>
      <c r="T88" s="365" t="b" cm="1">
        <f t="array" aca="1" ref="T88" ca="1">T87</f>
        <v>0</v>
      </c>
      <c r="U88" s="81"/>
      <c r="V88" s="81"/>
      <c r="W88" s="81"/>
      <c r="X88" s="1050"/>
      <c r="Y88" s="1050"/>
      <c r="Z88" s="1076"/>
      <c r="AA88" s="1049"/>
      <c r="AB88" s="27" t="str">
        <f>AB86&amp;".2"</f>
        <v>6.0.2</v>
      </c>
      <c r="AC88" s="124" t="s">
        <v>858</v>
      </c>
      <c r="AD88" s="30" t="s">
        <v>850</v>
      </c>
      <c r="AE88" s="77">
        <f t="shared" ref="AE88:BB88" si="22">IF(OR(AND(AE87&lt;&gt;0,AE89=0),AND(AE87=0,AE89&lt;&gt;0)),"Ошибка",IF(AE89=0,0,AE87/AE89))</f>
        <v>0</v>
      </c>
      <c r="AF88" s="77">
        <f t="shared" si="22"/>
        <v>0</v>
      </c>
      <c r="AG88" s="77">
        <f t="shared" si="22"/>
        <v>0</v>
      </c>
      <c r="AH88" s="77">
        <f t="shared" si="22"/>
        <v>0</v>
      </c>
      <c r="AI88" s="77">
        <f t="shared" si="22"/>
        <v>0</v>
      </c>
      <c r="AJ88" s="77">
        <f t="shared" si="22"/>
        <v>0</v>
      </c>
      <c r="AK88" s="77">
        <f t="shared" si="22"/>
        <v>0</v>
      </c>
      <c r="AL88" s="77">
        <f t="shared" si="22"/>
        <v>0</v>
      </c>
      <c r="AM88" s="77">
        <f t="shared" si="22"/>
        <v>0</v>
      </c>
      <c r="AN88" s="77">
        <f t="shared" si="22"/>
        <v>0</v>
      </c>
      <c r="AO88" s="77">
        <f t="shared" si="22"/>
        <v>0</v>
      </c>
      <c r="AP88" s="77">
        <f t="shared" si="22"/>
        <v>0</v>
      </c>
      <c r="AQ88" s="77">
        <f t="shared" si="22"/>
        <v>0</v>
      </c>
      <c r="AR88" s="77">
        <f t="shared" si="22"/>
        <v>0</v>
      </c>
      <c r="AS88" s="77">
        <f t="shared" si="22"/>
        <v>0</v>
      </c>
      <c r="AT88" s="77">
        <f t="shared" si="22"/>
        <v>0</v>
      </c>
      <c r="AU88" s="77">
        <f t="shared" si="22"/>
        <v>0</v>
      </c>
      <c r="AV88" s="77">
        <f t="shared" si="22"/>
        <v>0</v>
      </c>
      <c r="AW88" s="77">
        <f t="shared" si="22"/>
        <v>0</v>
      </c>
      <c r="AX88" s="77">
        <f t="shared" si="22"/>
        <v>0</v>
      </c>
      <c r="AY88" s="77">
        <f t="shared" si="22"/>
        <v>0</v>
      </c>
      <c r="AZ88" s="77">
        <f t="shared" si="22"/>
        <v>0</v>
      </c>
      <c r="BA88" s="77">
        <f t="shared" si="22"/>
        <v>0</v>
      </c>
      <c r="BB88" s="77">
        <f t="shared" si="22"/>
        <v>0</v>
      </c>
      <c r="BC88" s="839"/>
      <c r="BD88" s="81"/>
      <c r="BE88" s="81"/>
      <c r="BF88" s="687" t="s">
        <v>859</v>
      </c>
      <c r="BG88" s="687" t="s">
        <v>857</v>
      </c>
      <c r="BH88" s="687" cm="1">
        <f t="array" ref="BH88">BH87</f>
        <v>0</v>
      </c>
      <c r="BI88" s="338" cm="1">
        <f t="array" ref="BI88">BI87</f>
        <v>0</v>
      </c>
      <c r="BJ88" s="198"/>
      <c r="BK88" s="198"/>
    </row>
    <row r="89" spans="1:63" s="338" customFormat="1" ht="10.5" hidden="1" customHeight="1">
      <c r="A89" s="81"/>
      <c r="C89" s="376"/>
      <c r="D89" s="81"/>
      <c r="E89" s="198">
        <v>11.25</v>
      </c>
      <c r="F89" s="3" t="str" cm="1">
        <f t="array" aca="1" ref="F89" ca="1">OFFSET(E89,-1,1)</f>
        <v>2</v>
      </c>
      <c r="G89" s="61" t="s">
        <v>675</v>
      </c>
      <c r="H89" s="61" cm="1">
        <f t="array" ref="H89">H88</f>
        <v>0</v>
      </c>
      <c r="I89" s="81"/>
      <c r="J89" s="81"/>
      <c r="K89" s="81"/>
      <c r="L89" s="81"/>
      <c r="M89" s="81"/>
      <c r="N89" s="81"/>
      <c r="O89" s="81"/>
      <c r="P89" s="81"/>
      <c r="Q89" s="81"/>
      <c r="R89" s="81"/>
      <c r="S89" s="81"/>
      <c r="T89" s="365" t="b" cm="1">
        <f t="array" aca="1" ref="T89" ca="1">T88</f>
        <v>0</v>
      </c>
      <c r="U89" s="81"/>
      <c r="V89" s="81"/>
      <c r="W89" s="81"/>
      <c r="X89" s="1050"/>
      <c r="Y89" s="1050"/>
      <c r="Z89" s="1076"/>
      <c r="AA89" s="1049"/>
      <c r="AB89" s="27" t="str">
        <f>AB86&amp;".3"</f>
        <v>6.0.3</v>
      </c>
      <c r="AC89" s="124" t="s">
        <v>860</v>
      </c>
      <c r="AD89" s="30" t="s">
        <v>844</v>
      </c>
      <c r="AE89" s="833"/>
      <c r="AF89" s="833"/>
      <c r="AG89" s="833"/>
      <c r="AH89" s="833"/>
      <c r="AI89" s="833"/>
      <c r="AJ89" s="833"/>
      <c r="AK89" s="833"/>
      <c r="AL89" s="833"/>
      <c r="AM89" s="833"/>
      <c r="AN89" s="833"/>
      <c r="AO89" s="833"/>
      <c r="AP89" s="833"/>
      <c r="AQ89" s="833"/>
      <c r="AR89" s="833"/>
      <c r="AS89" s="833"/>
      <c r="AT89" s="833"/>
      <c r="AU89" s="833"/>
      <c r="AV89" s="833"/>
      <c r="AW89" s="833"/>
      <c r="AX89" s="833"/>
      <c r="AY89" s="833"/>
      <c r="AZ89" s="833"/>
      <c r="BA89" s="833"/>
      <c r="BB89" s="833"/>
      <c r="BC89" s="839"/>
      <c r="BD89" s="81"/>
      <c r="BE89" s="81"/>
      <c r="BF89" s="687" t="s">
        <v>861</v>
      </c>
      <c r="BG89" s="687" t="s">
        <v>857</v>
      </c>
      <c r="BH89" s="687" cm="1">
        <f t="array" ref="BH89">BH88</f>
        <v>0</v>
      </c>
      <c r="BI89" s="338" cm="1">
        <f t="array" ref="BI89">BI88</f>
        <v>0</v>
      </c>
      <c r="BJ89" s="198"/>
      <c r="BK89" s="198"/>
    </row>
    <row r="90" spans="1:63" ht="23.25" customHeight="1">
      <c r="B90" s="865"/>
      <c r="C90" s="376"/>
      <c r="E90" s="198">
        <v>11</v>
      </c>
      <c r="F90" s="3" t="str" cm="1">
        <f t="array" aca="1" ref="F90" ca="1">OFFSET(E90,-1,1)</f>
        <v>2</v>
      </c>
      <c r="G90" s="61"/>
      <c r="H90" s="61"/>
      <c r="T90" s="365" t="b">
        <f ca="1">AND(F90&gt;0,Y90&gt;0)</f>
        <v>1</v>
      </c>
      <c r="W90" s="528"/>
      <c r="X90" s="1121"/>
      <c r="Y90" s="1123" t="s">
        <v>275</v>
      </c>
      <c r="Z90" s="1121"/>
      <c r="AA90" s="1124" t="s">
        <v>174</v>
      </c>
      <c r="AB90" s="27" t="str">
        <f>"6."&amp;Y90</f>
        <v>6.1</v>
      </c>
      <c r="AC90" s="881" t="s">
        <v>887</v>
      </c>
      <c r="AD90" s="27"/>
      <c r="AE90" s="271"/>
      <c r="AF90" s="271"/>
      <c r="AG90" s="271"/>
      <c r="AH90" s="271"/>
      <c r="AI90" s="271"/>
      <c r="AJ90" s="271"/>
      <c r="AK90" s="271"/>
      <c r="AL90" s="271"/>
      <c r="AM90" s="271"/>
      <c r="AN90" s="271"/>
      <c r="AO90" s="271"/>
      <c r="AP90" s="271"/>
      <c r="AQ90" s="271"/>
      <c r="AR90" s="271"/>
      <c r="AS90" s="271"/>
      <c r="AT90" s="271"/>
      <c r="AU90" s="271"/>
      <c r="AV90" s="271"/>
      <c r="AW90" s="271"/>
      <c r="AX90" s="271"/>
      <c r="AY90" s="271"/>
      <c r="AZ90" s="271"/>
      <c r="BA90" s="271"/>
      <c r="BB90" s="271"/>
      <c r="BC90" s="271"/>
      <c r="BD90" s="856"/>
      <c r="BF90" s="687"/>
      <c r="BG90" s="687"/>
      <c r="BH90" s="687"/>
      <c r="BI90" s="687"/>
      <c r="BJ90" s="198"/>
      <c r="BK90" s="198"/>
    </row>
    <row r="91" spans="1:63" s="338" customFormat="1" ht="12.75" customHeight="1">
      <c r="A91" s="81"/>
      <c r="C91" s="376"/>
      <c r="D91" s="81"/>
      <c r="E91" s="198">
        <v>11.25</v>
      </c>
      <c r="F91" s="3" t="str" cm="1">
        <f t="array" aca="1" ref="F91" ca="1">OFFSET(E91,-1,1)</f>
        <v>2</v>
      </c>
      <c r="G91" s="61" t="s">
        <v>511</v>
      </c>
      <c r="H91" s="61" t="str" cm="1">
        <f t="array" ref="H91">AC91</f>
        <v>НН</v>
      </c>
      <c r="I91" s="81"/>
      <c r="J91" s="81"/>
      <c r="K91" s="81"/>
      <c r="L91" s="81"/>
      <c r="M91" s="81"/>
      <c r="N91" s="81"/>
      <c r="O91" s="81"/>
      <c r="P91" s="81"/>
      <c r="Q91" s="81"/>
      <c r="R91" s="81"/>
      <c r="S91" s="81"/>
      <c r="T91" s="365" t="b" cm="1">
        <f t="array" aca="1" ref="T91" ca="1">T90</f>
        <v>1</v>
      </c>
      <c r="U91" s="81"/>
      <c r="V91" s="81"/>
      <c r="W91" s="528"/>
      <c r="X91" s="1050"/>
      <c r="Y91" s="1050" t="s">
        <v>275</v>
      </c>
      <c r="Z91" s="1076"/>
      <c r="AA91" s="1049" t="s">
        <v>174</v>
      </c>
      <c r="AB91" s="27" t="str">
        <f>AB90&amp;".1"</f>
        <v>6.1.1</v>
      </c>
      <c r="AC91" s="131" t="s">
        <v>888</v>
      </c>
      <c r="AD91" s="27" t="s">
        <v>804</v>
      </c>
      <c r="AE91" s="76">
        <v>268.56664845580002</v>
      </c>
      <c r="AF91" s="76">
        <v>323.11</v>
      </c>
      <c r="AG91" s="76" cm="1">
        <f t="array" ref="AG91">AF91</f>
        <v>323.11</v>
      </c>
      <c r="AH91" s="76">
        <v>282.95828367989998</v>
      </c>
      <c r="AI91" s="76">
        <v>392.35</v>
      </c>
      <c r="AJ91" s="833"/>
      <c r="AK91" s="833"/>
      <c r="AL91" s="833"/>
      <c r="AM91" s="833"/>
      <c r="AN91" s="833"/>
      <c r="AO91" s="833"/>
      <c r="AP91" s="833"/>
      <c r="AQ91" s="833"/>
      <c r="AR91" s="833"/>
      <c r="AS91" s="76">
        <v>336.23</v>
      </c>
      <c r="AT91" s="833"/>
      <c r="AU91" s="833"/>
      <c r="AV91" s="833"/>
      <c r="AW91" s="833"/>
      <c r="AX91" s="833"/>
      <c r="AY91" s="833"/>
      <c r="AZ91" s="833"/>
      <c r="BA91" s="833"/>
      <c r="BB91" s="833"/>
      <c r="BC91" s="132"/>
      <c r="BD91" s="81"/>
      <c r="BE91" s="81"/>
      <c r="BF91" s="687" t="s">
        <v>856</v>
      </c>
      <c r="BG91" s="687" t="s">
        <v>857</v>
      </c>
      <c r="BH91" s="687" t="str" cm="1">
        <f t="array" ref="BH91">AC91</f>
        <v>НН</v>
      </c>
      <c r="BI91" s="338" t="str" cm="1">
        <f t="array" ref="BI91">AC90</f>
        <v>ПАО "Кузбассэнергосбыт" (ИНН: 4205109214, КПП: 420501001)</v>
      </c>
      <c r="BJ91" s="198"/>
      <c r="BK91" s="198" t="b">
        <v>1</v>
      </c>
    </row>
    <row r="92" spans="1:63" s="338" customFormat="1" ht="33.75" customHeight="1">
      <c r="A92" s="81"/>
      <c r="C92" s="376"/>
      <c r="D92" s="81"/>
      <c r="E92" s="198">
        <v>11.25</v>
      </c>
      <c r="F92" s="3" t="str" cm="1">
        <f t="array" aca="1" ref="F92" ca="1">OFFSET(E92,-1,1)</f>
        <v>2</v>
      </c>
      <c r="G92" s="61" t="s">
        <v>672</v>
      </c>
      <c r="H92" s="61" t="str" cm="1">
        <f t="array" ref="H92">H91</f>
        <v>НН</v>
      </c>
      <c r="I92" s="81"/>
      <c r="J92" s="81"/>
      <c r="K92" s="81"/>
      <c r="L92" s="81"/>
      <c r="M92" s="81"/>
      <c r="N92" s="81"/>
      <c r="O92" s="81"/>
      <c r="P92" s="81"/>
      <c r="Q92" s="81"/>
      <c r="R92" s="81"/>
      <c r="S92" s="81"/>
      <c r="T92" s="365" t="b" cm="1">
        <f t="array" aca="1" ref="T92" ca="1">T91</f>
        <v>1</v>
      </c>
      <c r="U92" s="81"/>
      <c r="V92" s="81"/>
      <c r="W92" s="81"/>
      <c r="X92" s="1050"/>
      <c r="Y92" s="1050"/>
      <c r="Z92" s="1076"/>
      <c r="AA92" s="1049"/>
      <c r="AB92" s="27" t="str">
        <f>AB90&amp;".2"</f>
        <v>6.1.2</v>
      </c>
      <c r="AC92" s="124" t="s">
        <v>858</v>
      </c>
      <c r="AD92" s="30" t="s">
        <v>850</v>
      </c>
      <c r="AE92" s="77">
        <f t="shared" ref="AE92:BB92" si="23">IF(OR(AND(AE91&lt;&gt;0,AE93=0),AND(AE91=0,AE93&lt;&gt;0)),"Ошибка",IF(AE93=0,0,AE91/AE93))</f>
        <v>9.6990136319888105</v>
      </c>
      <c r="AF92" s="77">
        <f t="shared" si="23"/>
        <v>9.200170842824603</v>
      </c>
      <c r="AG92" s="77">
        <f t="shared" si="23"/>
        <v>9.200170842824603</v>
      </c>
      <c r="AH92" s="77">
        <f t="shared" si="23"/>
        <v>10.17426529535558</v>
      </c>
      <c r="AI92" s="77">
        <f t="shared" si="23"/>
        <v>11.171697038724375</v>
      </c>
      <c r="AJ92" s="77">
        <f t="shared" si="23"/>
        <v>0</v>
      </c>
      <c r="AK92" s="77">
        <f t="shared" si="23"/>
        <v>0</v>
      </c>
      <c r="AL92" s="77">
        <f t="shared" si="23"/>
        <v>0</v>
      </c>
      <c r="AM92" s="77">
        <f t="shared" si="23"/>
        <v>0</v>
      </c>
      <c r="AN92" s="77">
        <f t="shared" si="23"/>
        <v>0</v>
      </c>
      <c r="AO92" s="77">
        <f t="shared" si="23"/>
        <v>0</v>
      </c>
      <c r="AP92" s="77">
        <f t="shared" si="23"/>
        <v>0</v>
      </c>
      <c r="AQ92" s="77">
        <f t="shared" si="23"/>
        <v>0</v>
      </c>
      <c r="AR92" s="77">
        <f t="shared" si="23"/>
        <v>0</v>
      </c>
      <c r="AS92" s="77">
        <f t="shared" si="23"/>
        <v>12.112746294603632</v>
      </c>
      <c r="AT92" s="77" t="str">
        <f t="shared" si="23"/>
        <v>Ошибка</v>
      </c>
      <c r="AU92" s="77" t="str">
        <f t="shared" si="23"/>
        <v>Ошибка</v>
      </c>
      <c r="AV92" s="77">
        <f t="shared" si="23"/>
        <v>0</v>
      </c>
      <c r="AW92" s="77">
        <f t="shared" si="23"/>
        <v>0</v>
      </c>
      <c r="AX92" s="77">
        <f t="shared" si="23"/>
        <v>0</v>
      </c>
      <c r="AY92" s="77">
        <f t="shared" si="23"/>
        <v>0</v>
      </c>
      <c r="AZ92" s="77">
        <f t="shared" si="23"/>
        <v>0</v>
      </c>
      <c r="BA92" s="77">
        <f t="shared" si="23"/>
        <v>0</v>
      </c>
      <c r="BB92" s="77">
        <f t="shared" si="23"/>
        <v>0</v>
      </c>
      <c r="BC92" s="132" t="s">
        <v>889</v>
      </c>
      <c r="BD92" s="81"/>
      <c r="BE92" s="81"/>
      <c r="BF92" s="687" t="s">
        <v>859</v>
      </c>
      <c r="BG92" s="687" t="s">
        <v>857</v>
      </c>
      <c r="BH92" s="687" t="str" cm="1">
        <f t="array" ref="BH92">BH91</f>
        <v>НН</v>
      </c>
      <c r="BI92" s="338" t="str" cm="1">
        <f t="array" ref="BI92">BI91</f>
        <v>ПАО "Кузбассэнергосбыт" (ИНН: 4205109214, КПП: 420501001)</v>
      </c>
      <c r="BJ92" s="198"/>
      <c r="BK92" s="198"/>
    </row>
    <row r="93" spans="1:63" s="338" customFormat="1" ht="23.25" customHeight="1">
      <c r="A93" s="81"/>
      <c r="C93" s="376"/>
      <c r="D93" s="81"/>
      <c r="E93" s="198">
        <v>11.25</v>
      </c>
      <c r="F93" s="3" t="str" cm="1">
        <f t="array" aca="1" ref="F93" ca="1">OFFSET(E93,-1,1)</f>
        <v>2</v>
      </c>
      <c r="G93" s="61" t="s">
        <v>675</v>
      </c>
      <c r="H93" s="61" t="str" cm="1">
        <f t="array" ref="H93">H92</f>
        <v>НН</v>
      </c>
      <c r="I93" s="81"/>
      <c r="J93" s="81"/>
      <c r="K93" s="81"/>
      <c r="L93" s="81"/>
      <c r="M93" s="81"/>
      <c r="N93" s="81"/>
      <c r="O93" s="81"/>
      <c r="P93" s="81"/>
      <c r="Q93" s="81"/>
      <c r="R93" s="81"/>
      <c r="S93" s="81"/>
      <c r="T93" s="365" t="b" cm="1">
        <f t="array" aca="1" ref="T93" ca="1">T92</f>
        <v>1</v>
      </c>
      <c r="U93" s="81"/>
      <c r="V93" s="81"/>
      <c r="W93" s="81"/>
      <c r="X93" s="1050"/>
      <c r="Y93" s="1050"/>
      <c r="Z93" s="1076"/>
      <c r="AA93" s="1049"/>
      <c r="AB93" s="27" t="str">
        <f>AB90&amp;".3"</f>
        <v>6.1.3</v>
      </c>
      <c r="AC93" s="124" t="s">
        <v>860</v>
      </c>
      <c r="AD93" s="30" t="s">
        <v>844</v>
      </c>
      <c r="AE93" s="76">
        <v>27.6900990808</v>
      </c>
      <c r="AF93" s="76">
        <v>35.119999999999997</v>
      </c>
      <c r="AG93" s="76" cm="1">
        <f t="array" ref="AG93">AF93</f>
        <v>35.119999999999997</v>
      </c>
      <c r="AH93" s="76">
        <v>27.811176086500002</v>
      </c>
      <c r="AI93" s="76">
        <v>35.119999999999997</v>
      </c>
      <c r="AJ93" s="833"/>
      <c r="AK93" s="833"/>
      <c r="AL93" s="833"/>
      <c r="AM93" s="833"/>
      <c r="AN93" s="833"/>
      <c r="AO93" s="833"/>
      <c r="AP93" s="833"/>
      <c r="AQ93" s="833"/>
      <c r="AR93" s="833"/>
      <c r="AS93" s="76">
        <f>AH93/AH82*AS82</f>
        <v>27.758362292273418</v>
      </c>
      <c r="AT93" s="833" cm="1">
        <f t="array" ref="AT93">AS93</f>
        <v>27.758362292273418</v>
      </c>
      <c r="AU93" s="833" cm="1">
        <f t="array" ref="AU93">AT93</f>
        <v>27.758362292273418</v>
      </c>
      <c r="AV93" s="833"/>
      <c r="AW93" s="833"/>
      <c r="AX93" s="833"/>
      <c r="AY93" s="833"/>
      <c r="AZ93" s="833"/>
      <c r="BA93" s="833"/>
      <c r="BB93" s="833"/>
      <c r="BC93" s="132" t="s">
        <v>890</v>
      </c>
      <c r="BD93" s="81"/>
      <c r="BE93" s="81"/>
      <c r="BF93" s="687" t="s">
        <v>861</v>
      </c>
      <c r="BG93" s="687" t="s">
        <v>857</v>
      </c>
      <c r="BH93" s="687" t="str" cm="1">
        <f t="array" ref="BH93">BH92</f>
        <v>НН</v>
      </c>
      <c r="BI93" s="338" t="str" cm="1">
        <f t="array" ref="BI93">BI92</f>
        <v>ПАО "Кузбассэнергосбыт" (ИНН: 4205109214, КПП: 420501001)</v>
      </c>
      <c r="BJ93" s="198"/>
      <c r="BK93" s="198"/>
    </row>
    <row r="94" spans="1:63" ht="23.25" customHeight="1">
      <c r="B94" s="865"/>
      <c r="C94" s="376"/>
      <c r="E94" s="198">
        <v>11</v>
      </c>
      <c r="F94" s="3" t="str" cm="1">
        <f t="array" aca="1" ref="F94" ca="1">OFFSET(E94,-1,1)</f>
        <v>2</v>
      </c>
      <c r="G94" s="61"/>
      <c r="H94" s="61"/>
      <c r="T94" s="365" t="b">
        <f ca="1">AND(F94&gt;0,Y94&gt;0)</f>
        <v>1</v>
      </c>
      <c r="W94" s="528"/>
      <c r="X94" s="1121"/>
      <c r="Y94" s="1123" t="s">
        <v>285</v>
      </c>
      <c r="Z94" s="1121"/>
      <c r="AA94" s="1124" t="s">
        <v>174</v>
      </c>
      <c r="AB94" s="27" t="str">
        <f>"6."&amp;Y94</f>
        <v>6.2</v>
      </c>
      <c r="AC94" s="881" t="s">
        <v>887</v>
      </c>
      <c r="AD94" s="27"/>
      <c r="AE94" s="271"/>
      <c r="AF94" s="271"/>
      <c r="AG94" s="271"/>
      <c r="AH94" s="271"/>
      <c r="AI94" s="271"/>
      <c r="AJ94" s="271"/>
      <c r="AK94" s="271"/>
      <c r="AL94" s="271"/>
      <c r="AM94" s="271"/>
      <c r="AN94" s="271"/>
      <c r="AO94" s="271"/>
      <c r="AP94" s="271"/>
      <c r="AQ94" s="271"/>
      <c r="AR94" s="271"/>
      <c r="AS94" s="271"/>
      <c r="AT94" s="271"/>
      <c r="AU94" s="271"/>
      <c r="AV94" s="271"/>
      <c r="AW94" s="271"/>
      <c r="AX94" s="271"/>
      <c r="AY94" s="271"/>
      <c r="AZ94" s="271"/>
      <c r="BA94" s="271"/>
      <c r="BB94" s="271"/>
      <c r="BC94" s="271"/>
      <c r="BD94" s="856"/>
      <c r="BF94" s="687"/>
      <c r="BG94" s="687"/>
      <c r="BH94" s="687"/>
      <c r="BI94" s="687"/>
      <c r="BJ94" s="198"/>
      <c r="BK94" s="198"/>
    </row>
    <row r="95" spans="1:63" s="338" customFormat="1" ht="12.75" customHeight="1">
      <c r="A95" s="81"/>
      <c r="C95" s="376"/>
      <c r="D95" s="81"/>
      <c r="E95" s="198">
        <v>11.25</v>
      </c>
      <c r="F95" s="3" t="str" cm="1">
        <f t="array" aca="1" ref="F95" ca="1">OFFSET(E95,-1,1)</f>
        <v>2</v>
      </c>
      <c r="G95" s="61" t="s">
        <v>511</v>
      </c>
      <c r="H95" s="61" t="str" cm="1">
        <f t="array" ref="H95">AC95</f>
        <v>СН2</v>
      </c>
      <c r="I95" s="81"/>
      <c r="J95" s="81"/>
      <c r="K95" s="81"/>
      <c r="L95" s="81"/>
      <c r="M95" s="81"/>
      <c r="N95" s="81"/>
      <c r="O95" s="81"/>
      <c r="P95" s="81"/>
      <c r="Q95" s="81"/>
      <c r="R95" s="81"/>
      <c r="S95" s="81"/>
      <c r="T95" s="365" t="b" cm="1">
        <f t="array" aca="1" ref="T95" ca="1">T94</f>
        <v>1</v>
      </c>
      <c r="U95" s="81"/>
      <c r="V95" s="81"/>
      <c r="W95" s="528"/>
      <c r="X95" s="1050"/>
      <c r="Y95" s="1050" t="s">
        <v>285</v>
      </c>
      <c r="Z95" s="1076"/>
      <c r="AA95" s="1049" t="s">
        <v>174</v>
      </c>
      <c r="AB95" s="27" t="str">
        <f>AB94&amp;".1"</f>
        <v>6.2.1</v>
      </c>
      <c r="AC95" s="131" t="s">
        <v>891</v>
      </c>
      <c r="AD95" s="27" t="s">
        <v>804</v>
      </c>
      <c r="AE95" s="76">
        <v>3335.5468203803998</v>
      </c>
      <c r="AF95" s="76">
        <v>2857.01</v>
      </c>
      <c r="AG95" s="76" cm="1">
        <f t="array" ref="AG95">AF95</f>
        <v>2857.01</v>
      </c>
      <c r="AH95" s="76">
        <v>3514.2851949218998</v>
      </c>
      <c r="AI95" s="76">
        <v>3797.1</v>
      </c>
      <c r="AJ95" s="833"/>
      <c r="AK95" s="833"/>
      <c r="AL95" s="833"/>
      <c r="AM95" s="833"/>
      <c r="AN95" s="833"/>
      <c r="AO95" s="833"/>
      <c r="AP95" s="833"/>
      <c r="AQ95" s="833"/>
      <c r="AR95" s="833"/>
      <c r="AS95" s="76">
        <v>4351.76</v>
      </c>
      <c r="AT95" s="833"/>
      <c r="AU95" s="833"/>
      <c r="AV95" s="833"/>
      <c r="AW95" s="833"/>
      <c r="AX95" s="833"/>
      <c r="AY95" s="833"/>
      <c r="AZ95" s="833"/>
      <c r="BA95" s="833"/>
      <c r="BB95" s="833"/>
      <c r="BC95" s="132"/>
      <c r="BD95" s="81"/>
      <c r="BE95" s="81"/>
      <c r="BF95" s="687" t="s">
        <v>856</v>
      </c>
      <c r="BG95" s="687" t="s">
        <v>857</v>
      </c>
      <c r="BH95" s="687" t="str" cm="1">
        <f t="array" ref="BH95">AC95</f>
        <v>СН2</v>
      </c>
      <c r="BI95" s="338" t="str" cm="1">
        <f t="array" ref="BI95">AC94</f>
        <v>ПАО "Кузбассэнергосбыт" (ИНН: 4205109214, КПП: 420501001)</v>
      </c>
      <c r="BJ95" s="198"/>
      <c r="BK95" s="198" t="b">
        <v>1</v>
      </c>
    </row>
    <row r="96" spans="1:63" s="338" customFormat="1" ht="33.75" customHeight="1">
      <c r="A96" s="81"/>
      <c r="C96" s="376"/>
      <c r="D96" s="81"/>
      <c r="E96" s="198">
        <v>11.25</v>
      </c>
      <c r="F96" s="3" t="str" cm="1">
        <f t="array" aca="1" ref="F96" ca="1">OFFSET(E96,-1,1)</f>
        <v>2</v>
      </c>
      <c r="G96" s="61" t="s">
        <v>672</v>
      </c>
      <c r="H96" s="61" t="str" cm="1">
        <f t="array" ref="H96">H95</f>
        <v>СН2</v>
      </c>
      <c r="I96" s="81"/>
      <c r="J96" s="81"/>
      <c r="K96" s="81"/>
      <c r="L96" s="81"/>
      <c r="M96" s="81"/>
      <c r="N96" s="81"/>
      <c r="O96" s="81"/>
      <c r="P96" s="81"/>
      <c r="Q96" s="81"/>
      <c r="R96" s="81"/>
      <c r="S96" s="81"/>
      <c r="T96" s="365" t="b" cm="1">
        <f t="array" aca="1" ref="T96" ca="1">T95</f>
        <v>1</v>
      </c>
      <c r="U96" s="81"/>
      <c r="V96" s="81"/>
      <c r="W96" s="81"/>
      <c r="X96" s="1050"/>
      <c r="Y96" s="1050"/>
      <c r="Z96" s="1076"/>
      <c r="AA96" s="1049"/>
      <c r="AB96" s="27" t="str">
        <f>AB94&amp;".2"</f>
        <v>6.2.2</v>
      </c>
      <c r="AC96" s="124" t="s">
        <v>858</v>
      </c>
      <c r="AD96" s="30" t="s">
        <v>850</v>
      </c>
      <c r="AE96" s="77">
        <f t="shared" ref="AE96:BB96" si="24">IF(OR(AND(AE95&lt;&gt;0,AE97=0),AND(AE95=0,AE97&lt;&gt;0)),"Ошибка",IF(AE97=0,0,AE95/AE97))</f>
        <v>7.3144971730881325</v>
      </c>
      <c r="AF96" s="77">
        <f t="shared" si="24"/>
        <v>7.2303740446424056</v>
      </c>
      <c r="AG96" s="77">
        <f t="shared" si="24"/>
        <v>7.2303740446424056</v>
      </c>
      <c r="AH96" s="77">
        <f t="shared" si="24"/>
        <v>7.6729009712314395</v>
      </c>
      <c r="AI96" s="77">
        <f t="shared" si="24"/>
        <v>8.4248946083869534</v>
      </c>
      <c r="AJ96" s="77">
        <f t="shared" si="24"/>
        <v>0</v>
      </c>
      <c r="AK96" s="77">
        <f t="shared" si="24"/>
        <v>0</v>
      </c>
      <c r="AL96" s="77">
        <f t="shared" si="24"/>
        <v>0</v>
      </c>
      <c r="AM96" s="77">
        <f t="shared" si="24"/>
        <v>0</v>
      </c>
      <c r="AN96" s="77">
        <f t="shared" si="24"/>
        <v>0</v>
      </c>
      <c r="AO96" s="77">
        <f t="shared" si="24"/>
        <v>0</v>
      </c>
      <c r="AP96" s="77">
        <f t="shared" si="24"/>
        <v>0</v>
      </c>
      <c r="AQ96" s="77">
        <f t="shared" si="24"/>
        <v>0</v>
      </c>
      <c r="AR96" s="77">
        <f t="shared" si="24"/>
        <v>0</v>
      </c>
      <c r="AS96" s="77">
        <f t="shared" si="24"/>
        <v>9.519475955543605</v>
      </c>
      <c r="AT96" s="77" t="str">
        <f t="shared" si="24"/>
        <v>Ошибка</v>
      </c>
      <c r="AU96" s="77" t="str">
        <f t="shared" si="24"/>
        <v>Ошибка</v>
      </c>
      <c r="AV96" s="77">
        <f t="shared" si="24"/>
        <v>0</v>
      </c>
      <c r="AW96" s="77">
        <f t="shared" si="24"/>
        <v>0</v>
      </c>
      <c r="AX96" s="77">
        <f t="shared" si="24"/>
        <v>0</v>
      </c>
      <c r="AY96" s="77">
        <f t="shared" si="24"/>
        <v>0</v>
      </c>
      <c r="AZ96" s="77">
        <f t="shared" si="24"/>
        <v>0</v>
      </c>
      <c r="BA96" s="77">
        <f t="shared" si="24"/>
        <v>0</v>
      </c>
      <c r="BB96" s="77">
        <f t="shared" si="24"/>
        <v>0</v>
      </c>
      <c r="BC96" s="132" t="s">
        <v>889</v>
      </c>
      <c r="BD96" s="81"/>
      <c r="BE96" s="81"/>
      <c r="BF96" s="687" t="s">
        <v>859</v>
      </c>
      <c r="BG96" s="687" t="s">
        <v>857</v>
      </c>
      <c r="BH96" s="687" t="str" cm="1">
        <f t="array" ref="BH96">BH95</f>
        <v>СН2</v>
      </c>
      <c r="BI96" s="338" t="str" cm="1">
        <f t="array" ref="BI96">BI95</f>
        <v>ПАО "Кузбассэнергосбыт" (ИНН: 4205109214, КПП: 420501001)</v>
      </c>
      <c r="BJ96" s="198"/>
      <c r="BK96" s="198"/>
    </row>
    <row r="97" spans="1:63" s="338" customFormat="1" ht="23.25" customHeight="1">
      <c r="A97" s="81"/>
      <c r="C97" s="376"/>
      <c r="D97" s="81"/>
      <c r="E97" s="198">
        <v>11.25</v>
      </c>
      <c r="F97" s="3" t="str" cm="1">
        <f t="array" aca="1" ref="F97" ca="1">OFFSET(E97,-1,1)</f>
        <v>2</v>
      </c>
      <c r="G97" s="61" t="s">
        <v>675</v>
      </c>
      <c r="H97" s="61" t="str" cm="1">
        <f t="array" ref="H97">H96</f>
        <v>СН2</v>
      </c>
      <c r="I97" s="81"/>
      <c r="J97" s="81"/>
      <c r="K97" s="81"/>
      <c r="L97" s="81"/>
      <c r="M97" s="81"/>
      <c r="N97" s="81"/>
      <c r="O97" s="81"/>
      <c r="P97" s="81"/>
      <c r="Q97" s="81"/>
      <c r="R97" s="81"/>
      <c r="S97" s="81"/>
      <c r="T97" s="365" t="b" cm="1">
        <f t="array" aca="1" ref="T97" ca="1">T96</f>
        <v>1</v>
      </c>
      <c r="U97" s="81"/>
      <c r="V97" s="81"/>
      <c r="W97" s="81"/>
      <c r="X97" s="1050"/>
      <c r="Y97" s="1050"/>
      <c r="Z97" s="1076"/>
      <c r="AA97" s="1049"/>
      <c r="AB97" s="27" t="str">
        <f>AB94&amp;".3"</f>
        <v>6.2.3</v>
      </c>
      <c r="AC97" s="124" t="s">
        <v>860</v>
      </c>
      <c r="AD97" s="30" t="s">
        <v>844</v>
      </c>
      <c r="AE97" s="76">
        <v>456.01860817620002</v>
      </c>
      <c r="AF97" s="76">
        <v>395.14</v>
      </c>
      <c r="AG97" s="76" cm="1">
        <f t="array" ref="AG97">AF97</f>
        <v>395.14</v>
      </c>
      <c r="AH97" s="76">
        <v>458.01258325869998</v>
      </c>
      <c r="AI97" s="76">
        <v>450.7</v>
      </c>
      <c r="AJ97" s="833"/>
      <c r="AK97" s="833"/>
      <c r="AL97" s="833"/>
      <c r="AM97" s="833"/>
      <c r="AN97" s="833"/>
      <c r="AO97" s="833"/>
      <c r="AP97" s="833"/>
      <c r="AQ97" s="833"/>
      <c r="AR97" s="833"/>
      <c r="AS97" s="76">
        <f>AH97/AH82*AS82</f>
        <v>457.14281125588445</v>
      </c>
      <c r="AT97" s="833" cm="1">
        <f t="array" ref="AT97">AS97</f>
        <v>457.14281125588445</v>
      </c>
      <c r="AU97" s="833" cm="1">
        <f t="array" ref="AU97">AT97</f>
        <v>457.14281125588445</v>
      </c>
      <c r="AV97" s="833"/>
      <c r="AW97" s="833"/>
      <c r="AX97" s="833"/>
      <c r="AY97" s="833"/>
      <c r="AZ97" s="833"/>
      <c r="BA97" s="833"/>
      <c r="BB97" s="833"/>
      <c r="BC97" s="132" t="s">
        <v>890</v>
      </c>
      <c r="BD97" s="81"/>
      <c r="BE97" s="81"/>
      <c r="BF97" s="687" t="s">
        <v>861</v>
      </c>
      <c r="BG97" s="687" t="s">
        <v>857</v>
      </c>
      <c r="BH97" s="687" t="str" cm="1">
        <f t="array" ref="BH97">BH96</f>
        <v>СН2</v>
      </c>
      <c r="BI97" s="338" t="str" cm="1">
        <f t="array" ref="BI97">BI96</f>
        <v>ПАО "Кузбассэнергосбыт" (ИНН: 4205109214, КПП: 420501001)</v>
      </c>
      <c r="BJ97" s="198"/>
      <c r="BK97" s="198"/>
    </row>
    <row r="98" spans="1:63" s="78" customFormat="1" ht="14.25" customHeight="1">
      <c r="B98" s="65"/>
      <c r="C98" s="376"/>
      <c r="E98" s="473">
        <v>15</v>
      </c>
      <c r="F98" s="3" t="str" cm="1">
        <f t="array" aca="1" ref="F98" ca="1">OFFSET(E98,-1,1)</f>
        <v>2</v>
      </c>
      <c r="H98" s="641" t="s">
        <v>862</v>
      </c>
      <c r="T98" s="365" t="b">
        <f ca="1">F98&gt;0</f>
        <v>1</v>
      </c>
      <c r="W98" s="528" t="s">
        <v>392</v>
      </c>
      <c r="X98" s="1050"/>
      <c r="Z98" s="1076"/>
      <c r="AB98" s="488"/>
      <c r="AC98" s="111" t="s">
        <v>177</v>
      </c>
      <c r="AD98" s="109"/>
      <c r="AE98" s="109"/>
      <c r="AF98" s="109"/>
      <c r="AG98" s="109"/>
      <c r="AH98" s="109"/>
      <c r="AI98" s="109"/>
      <c r="AJ98" s="109"/>
      <c r="AK98" s="109"/>
      <c r="AL98" s="109"/>
      <c r="AM98" s="109"/>
      <c r="AN98" s="109"/>
      <c r="AO98" s="109"/>
      <c r="AP98" s="109"/>
      <c r="AQ98" s="109"/>
      <c r="AR98" s="109"/>
      <c r="AS98" s="109"/>
      <c r="AT98" s="109"/>
      <c r="AU98" s="109"/>
      <c r="AV98" s="109"/>
      <c r="AW98" s="109"/>
      <c r="AX98" s="109"/>
      <c r="AY98" s="109"/>
      <c r="AZ98" s="109"/>
      <c r="BA98" s="109"/>
      <c r="BB98" s="109"/>
      <c r="BC98" s="120"/>
      <c r="BF98" s="683"/>
      <c r="BG98" s="683"/>
      <c r="BH98" s="683"/>
      <c r="BJ98" s="473" t="s">
        <v>857</v>
      </c>
      <c r="BK98" s="473"/>
    </row>
    <row r="99" spans="1:63" s="338" customFormat="1" ht="12" customHeight="1">
      <c r="A99" s="81"/>
      <c r="C99" s="376"/>
      <c r="D99" s="81"/>
      <c r="E99" s="198">
        <v>13</v>
      </c>
      <c r="F99" s="3" t="str" cm="1">
        <f t="array" aca="1" ref="F99" ca="1">OFFSET(E99,-1,1)</f>
        <v>2</v>
      </c>
      <c r="G99" s="61"/>
      <c r="H99" s="61"/>
      <c r="I99" s="81"/>
      <c r="J99" s="81"/>
      <c r="K99" s="81"/>
      <c r="L99" s="81"/>
      <c r="M99" s="81"/>
      <c r="N99" s="81"/>
      <c r="O99" s="81"/>
      <c r="P99" s="81"/>
      <c r="Q99" s="81"/>
      <c r="R99" s="81"/>
      <c r="S99" s="81"/>
      <c r="T99" s="365" t="b" cm="1">
        <f t="array" aca="1" ref="T99" ca="1">T98</f>
        <v>1</v>
      </c>
      <c r="U99" s="81"/>
      <c r="V99" s="81"/>
      <c r="W99" s="81"/>
      <c r="X99" s="1050"/>
      <c r="Y99" s="81"/>
      <c r="Z99" s="1076"/>
      <c r="AA99" s="81"/>
      <c r="AB99" s="487"/>
      <c r="AC99" s="197" t="s">
        <v>863</v>
      </c>
      <c r="AD99" s="198"/>
      <c r="AE99" s="199"/>
      <c r="AF99" s="199"/>
      <c r="AG99" s="199"/>
      <c r="AH99" s="199"/>
      <c r="AI99" s="199"/>
      <c r="AJ99" s="199"/>
      <c r="AK99" s="199"/>
      <c r="AL99" s="199"/>
      <c r="AM99" s="199"/>
      <c r="AN99" s="199"/>
      <c r="AO99" s="199"/>
      <c r="AP99" s="199"/>
      <c r="AQ99" s="199"/>
      <c r="AR99" s="199"/>
      <c r="AS99" s="199"/>
      <c r="AT99" s="199"/>
      <c r="AU99" s="199"/>
      <c r="AV99" s="199"/>
      <c r="AW99" s="199"/>
      <c r="AX99" s="199"/>
      <c r="AY99" s="199"/>
      <c r="AZ99" s="199"/>
      <c r="BA99" s="199"/>
      <c r="BB99" s="199"/>
      <c r="BC99" s="200"/>
      <c r="BD99" s="81"/>
      <c r="BE99" s="81"/>
      <c r="BF99" s="687"/>
      <c r="BG99" s="687"/>
      <c r="BH99" s="687"/>
      <c r="BJ99" s="198"/>
      <c r="BK99" s="198"/>
    </row>
    <row r="100" spans="1:63" ht="10.7" hidden="1" customHeight="1">
      <c r="B100" s="865"/>
      <c r="C100" s="376"/>
      <c r="E100" s="198">
        <v>11</v>
      </c>
      <c r="F100" s="3" t="str" cm="1">
        <f t="array" aca="1" ref="F100" ca="1">OFFSET(E100,-1,1)</f>
        <v>2</v>
      </c>
      <c r="G100" s="61"/>
      <c r="H100" s="61"/>
      <c r="T100" s="365" t="b">
        <f ca="1">AND(F100&gt;0,Y100&gt;0)</f>
        <v>0</v>
      </c>
      <c r="W100" s="528" t="s">
        <v>173</v>
      </c>
      <c r="X100" s="1121"/>
      <c r="Y100" s="1123">
        <v>0</v>
      </c>
      <c r="Z100" s="1121"/>
      <c r="AA100" s="1124" t="s">
        <v>174</v>
      </c>
      <c r="AB100" s="27" t="str">
        <f>"7."&amp;Y100</f>
        <v>7.0</v>
      </c>
      <c r="AC100" s="881"/>
      <c r="AD100" s="31"/>
      <c r="AE100" s="271"/>
      <c r="AF100" s="271"/>
      <c r="AG100" s="271"/>
      <c r="AH100" s="271"/>
      <c r="AI100" s="271"/>
      <c r="AJ100" s="271"/>
      <c r="AK100" s="271"/>
      <c r="AL100" s="271"/>
      <c r="AM100" s="271"/>
      <c r="AN100" s="271"/>
      <c r="AO100" s="271"/>
      <c r="AP100" s="271"/>
      <c r="AQ100" s="271"/>
      <c r="AR100" s="271"/>
      <c r="AS100" s="271"/>
      <c r="AT100" s="271"/>
      <c r="AU100" s="271"/>
      <c r="AV100" s="271"/>
      <c r="AW100" s="271"/>
      <c r="AX100" s="271"/>
      <c r="AY100" s="271"/>
      <c r="AZ100" s="271"/>
      <c r="BA100" s="271"/>
      <c r="BB100" s="271"/>
      <c r="BC100" s="271"/>
      <c r="BD100" s="856"/>
      <c r="BF100" s="687"/>
      <c r="BG100" s="687"/>
      <c r="BH100" s="687"/>
      <c r="BI100" s="687"/>
      <c r="BJ100" s="198"/>
      <c r="BK100" s="198"/>
    </row>
    <row r="101" spans="1:63" s="338" customFormat="1" ht="10.5" hidden="1" customHeight="1">
      <c r="A101" s="81"/>
      <c r="C101" s="376"/>
      <c r="D101" s="81"/>
      <c r="E101" s="198">
        <v>11.25</v>
      </c>
      <c r="F101" s="3" t="str" cm="1">
        <f t="array" aca="1" ref="F101" ca="1">OFFSET(E101,-1,1)</f>
        <v>2</v>
      </c>
      <c r="G101" s="61" t="s">
        <v>511</v>
      </c>
      <c r="H101" s="61" cm="1">
        <f t="array" ref="H101">AC101</f>
        <v>0</v>
      </c>
      <c r="I101" s="81"/>
      <c r="J101" s="81"/>
      <c r="K101" s="81"/>
      <c r="L101" s="81"/>
      <c r="M101" s="81"/>
      <c r="N101" s="81"/>
      <c r="O101" s="81"/>
      <c r="P101" s="81"/>
      <c r="Q101" s="81"/>
      <c r="R101" s="81"/>
      <c r="S101" s="81"/>
      <c r="T101" s="365" t="b" cm="1">
        <f t="array" aca="1" ref="T101" ca="1">T100</f>
        <v>0</v>
      </c>
      <c r="U101" s="81"/>
      <c r="V101" s="81"/>
      <c r="W101" s="528"/>
      <c r="X101" s="1050"/>
      <c r="Y101" s="1050">
        <v>0</v>
      </c>
      <c r="Z101" s="1076"/>
      <c r="AA101" s="1049" t="s">
        <v>174</v>
      </c>
      <c r="AB101" s="27" t="str">
        <f>AB100&amp;".1"</f>
        <v>7.0.1</v>
      </c>
      <c r="AC101" s="875"/>
      <c r="AD101" s="27" t="s">
        <v>804</v>
      </c>
      <c r="AE101" s="77">
        <f t="shared" ref="AE101:BB101" si="25">AE102+AE105</f>
        <v>0</v>
      </c>
      <c r="AF101" s="77">
        <f t="shared" si="25"/>
        <v>0</v>
      </c>
      <c r="AG101" s="77">
        <f t="shared" si="25"/>
        <v>0</v>
      </c>
      <c r="AH101" s="77">
        <f t="shared" si="25"/>
        <v>0</v>
      </c>
      <c r="AI101" s="77">
        <f t="shared" si="25"/>
        <v>0</v>
      </c>
      <c r="AJ101" s="77">
        <f t="shared" si="25"/>
        <v>0</v>
      </c>
      <c r="AK101" s="77">
        <f t="shared" si="25"/>
        <v>0</v>
      </c>
      <c r="AL101" s="77">
        <f t="shared" si="25"/>
        <v>0</v>
      </c>
      <c r="AM101" s="77">
        <f t="shared" si="25"/>
        <v>0</v>
      </c>
      <c r="AN101" s="77">
        <f t="shared" si="25"/>
        <v>0</v>
      </c>
      <c r="AO101" s="77">
        <f t="shared" si="25"/>
        <v>0</v>
      </c>
      <c r="AP101" s="77">
        <f t="shared" si="25"/>
        <v>0</v>
      </c>
      <c r="AQ101" s="77">
        <f t="shared" si="25"/>
        <v>0</v>
      </c>
      <c r="AR101" s="77">
        <f t="shared" si="25"/>
        <v>0</v>
      </c>
      <c r="AS101" s="77">
        <f t="shared" si="25"/>
        <v>0</v>
      </c>
      <c r="AT101" s="77">
        <f t="shared" si="25"/>
        <v>0</v>
      </c>
      <c r="AU101" s="77">
        <f t="shared" si="25"/>
        <v>0</v>
      </c>
      <c r="AV101" s="77">
        <f t="shared" si="25"/>
        <v>0</v>
      </c>
      <c r="AW101" s="77">
        <f t="shared" si="25"/>
        <v>0</v>
      </c>
      <c r="AX101" s="77">
        <f t="shared" si="25"/>
        <v>0</v>
      </c>
      <c r="AY101" s="77">
        <f t="shared" si="25"/>
        <v>0</v>
      </c>
      <c r="AZ101" s="77">
        <f t="shared" si="25"/>
        <v>0</v>
      </c>
      <c r="BA101" s="77">
        <f t="shared" si="25"/>
        <v>0</v>
      </c>
      <c r="BB101" s="77">
        <f t="shared" si="25"/>
        <v>0</v>
      </c>
      <c r="BC101" s="839"/>
      <c r="BD101" s="81"/>
      <c r="BE101" s="81"/>
      <c r="BF101" s="687" t="s">
        <v>864</v>
      </c>
      <c r="BG101" s="687" t="s">
        <v>865</v>
      </c>
      <c r="BH101" s="687" cm="1">
        <f t="array" ref="BH101">AC101</f>
        <v>0</v>
      </c>
      <c r="BI101" s="338" cm="1">
        <f t="array" ref="BI101">AC100</f>
        <v>0</v>
      </c>
      <c r="BJ101" s="198"/>
      <c r="BK101" s="198" t="b">
        <v>1</v>
      </c>
    </row>
    <row r="102" spans="1:63" s="338" customFormat="1" ht="10.5" hidden="1" customHeight="1">
      <c r="A102" s="81"/>
      <c r="C102" s="376"/>
      <c r="D102" s="81"/>
      <c r="E102" s="198">
        <v>11.25</v>
      </c>
      <c r="F102" s="3" t="str" cm="1">
        <f t="array" aca="1" ref="F102" ca="1">OFFSET(E102,-1,1)</f>
        <v>2</v>
      </c>
      <c r="G102" s="61" t="s">
        <v>679</v>
      </c>
      <c r="H102" s="61" cm="1">
        <f t="array" ref="H102">H101</f>
        <v>0</v>
      </c>
      <c r="I102" s="81"/>
      <c r="J102" s="81"/>
      <c r="K102" s="81"/>
      <c r="L102" s="81"/>
      <c r="M102" s="81"/>
      <c r="N102" s="81"/>
      <c r="O102" s="81"/>
      <c r="P102" s="81"/>
      <c r="Q102" s="81"/>
      <c r="R102" s="81"/>
      <c r="S102" s="81"/>
      <c r="T102" s="365" t="b" cm="1">
        <f t="array" aca="1" ref="T102" ca="1">T101</f>
        <v>0</v>
      </c>
      <c r="U102" s="81"/>
      <c r="V102" s="81"/>
      <c r="W102" s="81"/>
      <c r="X102" s="1050"/>
      <c r="Y102" s="1050"/>
      <c r="Z102" s="1076"/>
      <c r="AA102" s="1049"/>
      <c r="AB102" s="27" t="str">
        <f>AB100&amp;".2"</f>
        <v>7.0.2</v>
      </c>
      <c r="AC102" s="124" t="s">
        <v>866</v>
      </c>
      <c r="AD102" s="27" t="s">
        <v>867</v>
      </c>
      <c r="AE102" s="833"/>
      <c r="AF102" s="833"/>
      <c r="AG102" s="833"/>
      <c r="AH102" s="833"/>
      <c r="AI102" s="833"/>
      <c r="AJ102" s="833"/>
      <c r="AK102" s="833"/>
      <c r="AL102" s="833"/>
      <c r="AM102" s="833"/>
      <c r="AN102" s="833"/>
      <c r="AO102" s="833"/>
      <c r="AP102" s="833"/>
      <c r="AQ102" s="833"/>
      <c r="AR102" s="833"/>
      <c r="AS102" s="833"/>
      <c r="AT102" s="833"/>
      <c r="AU102" s="833"/>
      <c r="AV102" s="833"/>
      <c r="AW102" s="833"/>
      <c r="AX102" s="833"/>
      <c r="AY102" s="833"/>
      <c r="AZ102" s="833"/>
      <c r="BA102" s="833"/>
      <c r="BB102" s="833"/>
      <c r="BC102" s="839"/>
      <c r="BD102" s="81"/>
      <c r="BE102" s="81"/>
      <c r="BF102" s="687" t="s">
        <v>868</v>
      </c>
      <c r="BG102" s="687" t="s">
        <v>865</v>
      </c>
      <c r="BH102" s="687" cm="1">
        <f t="array" ref="BH102">BH101</f>
        <v>0</v>
      </c>
      <c r="BI102" s="338" cm="1">
        <f t="array" ref="BI102">BI101</f>
        <v>0</v>
      </c>
      <c r="BJ102" s="198"/>
      <c r="BK102" s="198"/>
    </row>
    <row r="103" spans="1:63" s="338" customFormat="1" ht="10.5" hidden="1" customHeight="1">
      <c r="A103" s="81"/>
      <c r="C103" s="376"/>
      <c r="D103" s="81"/>
      <c r="E103" s="198">
        <v>11.25</v>
      </c>
      <c r="F103" s="3" t="str" cm="1">
        <f t="array" aca="1" ref="F103" ca="1">OFFSET(E103,-1,1)</f>
        <v>2</v>
      </c>
      <c r="G103" s="61" t="s">
        <v>869</v>
      </c>
      <c r="H103" s="61" cm="1">
        <f t="array" ref="H103">H102</f>
        <v>0</v>
      </c>
      <c r="I103" s="81"/>
      <c r="J103" s="81"/>
      <c r="K103" s="81"/>
      <c r="L103" s="81"/>
      <c r="M103" s="81"/>
      <c r="N103" s="81"/>
      <c r="O103" s="81"/>
      <c r="P103" s="81"/>
      <c r="Q103" s="81"/>
      <c r="R103" s="81"/>
      <c r="S103" s="81"/>
      <c r="T103" s="365" t="b" cm="1">
        <f t="array" aca="1" ref="T103" ca="1">T102</f>
        <v>0</v>
      </c>
      <c r="U103" s="81"/>
      <c r="V103" s="81"/>
      <c r="W103" s="81"/>
      <c r="X103" s="1050"/>
      <c r="Y103" s="1050"/>
      <c r="Z103" s="1076"/>
      <c r="AA103" s="1049"/>
      <c r="AB103" s="27" t="str">
        <f>AB100&amp;".3"</f>
        <v>7.0.3</v>
      </c>
      <c r="AC103" s="250" t="s">
        <v>858</v>
      </c>
      <c r="AD103" s="30" t="s">
        <v>850</v>
      </c>
      <c r="AE103" s="77">
        <f t="shared" ref="AE103:BB103" si="26">IF(OR(AND(AE102&lt;&gt;0,AE104=0),AND(AE102=0,AE104&lt;&gt;0)),"Ошибка",IF(AE104=0,0,AE102/AE104))</f>
        <v>0</v>
      </c>
      <c r="AF103" s="77">
        <f t="shared" si="26"/>
        <v>0</v>
      </c>
      <c r="AG103" s="77">
        <f t="shared" si="26"/>
        <v>0</v>
      </c>
      <c r="AH103" s="77">
        <f t="shared" si="26"/>
        <v>0</v>
      </c>
      <c r="AI103" s="77">
        <f t="shared" si="26"/>
        <v>0</v>
      </c>
      <c r="AJ103" s="77">
        <f t="shared" si="26"/>
        <v>0</v>
      </c>
      <c r="AK103" s="77">
        <f t="shared" si="26"/>
        <v>0</v>
      </c>
      <c r="AL103" s="77">
        <f t="shared" si="26"/>
        <v>0</v>
      </c>
      <c r="AM103" s="77">
        <f t="shared" si="26"/>
        <v>0</v>
      </c>
      <c r="AN103" s="77">
        <f t="shared" si="26"/>
        <v>0</v>
      </c>
      <c r="AO103" s="77">
        <f t="shared" si="26"/>
        <v>0</v>
      </c>
      <c r="AP103" s="77">
        <f t="shared" si="26"/>
        <v>0</v>
      </c>
      <c r="AQ103" s="77">
        <f t="shared" si="26"/>
        <v>0</v>
      </c>
      <c r="AR103" s="77">
        <f t="shared" si="26"/>
        <v>0</v>
      </c>
      <c r="AS103" s="77">
        <f t="shared" si="26"/>
        <v>0</v>
      </c>
      <c r="AT103" s="77">
        <f t="shared" si="26"/>
        <v>0</v>
      </c>
      <c r="AU103" s="77">
        <f t="shared" si="26"/>
        <v>0</v>
      </c>
      <c r="AV103" s="77">
        <f t="shared" si="26"/>
        <v>0</v>
      </c>
      <c r="AW103" s="77">
        <f t="shared" si="26"/>
        <v>0</v>
      </c>
      <c r="AX103" s="77">
        <f t="shared" si="26"/>
        <v>0</v>
      </c>
      <c r="AY103" s="77">
        <f t="shared" si="26"/>
        <v>0</v>
      </c>
      <c r="AZ103" s="77">
        <f t="shared" si="26"/>
        <v>0</v>
      </c>
      <c r="BA103" s="77">
        <f t="shared" si="26"/>
        <v>0</v>
      </c>
      <c r="BB103" s="77">
        <f t="shared" si="26"/>
        <v>0</v>
      </c>
      <c r="BC103" s="839"/>
      <c r="BD103" s="81"/>
      <c r="BE103" s="81"/>
      <c r="BF103" s="687" t="s">
        <v>870</v>
      </c>
      <c r="BG103" s="687" t="s">
        <v>865</v>
      </c>
      <c r="BH103" s="687" cm="1">
        <f t="array" ref="BH103">BH102</f>
        <v>0</v>
      </c>
      <c r="BI103" s="338" cm="1">
        <f t="array" ref="BI103">BI102</f>
        <v>0</v>
      </c>
      <c r="BJ103" s="198"/>
      <c r="BK103" s="198"/>
    </row>
    <row r="104" spans="1:63" s="338" customFormat="1" ht="10.5" hidden="1" customHeight="1">
      <c r="A104" s="81"/>
      <c r="C104" s="376"/>
      <c r="D104" s="81"/>
      <c r="E104" s="198">
        <v>11.25</v>
      </c>
      <c r="F104" s="3" t="str" cm="1">
        <f t="array" aca="1" ref="F104" ca="1">OFFSET(E104,-1,1)</f>
        <v>2</v>
      </c>
      <c r="G104" s="61" t="s">
        <v>871</v>
      </c>
      <c r="H104" s="61" cm="1">
        <f t="array" ref="H104">H103</f>
        <v>0</v>
      </c>
      <c r="I104" s="81"/>
      <c r="J104" s="81"/>
      <c r="K104" s="81"/>
      <c r="L104" s="81"/>
      <c r="M104" s="81"/>
      <c r="N104" s="81"/>
      <c r="O104" s="81"/>
      <c r="P104" s="81"/>
      <c r="Q104" s="81"/>
      <c r="R104" s="81"/>
      <c r="S104" s="81"/>
      <c r="T104" s="365" t="b" cm="1">
        <f t="array" aca="1" ref="T104" ca="1">T103</f>
        <v>0</v>
      </c>
      <c r="U104" s="81"/>
      <c r="V104" s="81"/>
      <c r="W104" s="81"/>
      <c r="X104" s="1050"/>
      <c r="Y104" s="1050"/>
      <c r="Z104" s="1076"/>
      <c r="AA104" s="1049"/>
      <c r="AB104" s="27" t="str">
        <f>AB100&amp;".4"</f>
        <v>7.0.4</v>
      </c>
      <c r="AC104" s="250" t="s">
        <v>860</v>
      </c>
      <c r="AD104" s="30" t="s">
        <v>844</v>
      </c>
      <c r="AE104" s="833"/>
      <c r="AF104" s="833"/>
      <c r="AG104" s="833"/>
      <c r="AH104" s="833"/>
      <c r="AI104" s="833"/>
      <c r="AJ104" s="833"/>
      <c r="AK104" s="833"/>
      <c r="AL104" s="833"/>
      <c r="AM104" s="833"/>
      <c r="AN104" s="833"/>
      <c r="AO104" s="833"/>
      <c r="AP104" s="833"/>
      <c r="AQ104" s="833"/>
      <c r="AR104" s="833"/>
      <c r="AS104" s="833"/>
      <c r="AT104" s="833"/>
      <c r="AU104" s="833"/>
      <c r="AV104" s="833"/>
      <c r="AW104" s="833"/>
      <c r="AX104" s="833"/>
      <c r="AY104" s="833"/>
      <c r="AZ104" s="833"/>
      <c r="BA104" s="833"/>
      <c r="BB104" s="833"/>
      <c r="BC104" s="839"/>
      <c r="BD104" s="81"/>
      <c r="BE104" s="81"/>
      <c r="BF104" s="687" t="s">
        <v>872</v>
      </c>
      <c r="BG104" s="687" t="s">
        <v>865</v>
      </c>
      <c r="BH104" s="687" cm="1">
        <f t="array" ref="BH104">BH103</f>
        <v>0</v>
      </c>
      <c r="BI104" s="338" cm="1">
        <f t="array" ref="BI104">BI103</f>
        <v>0</v>
      </c>
      <c r="BJ104" s="198"/>
      <c r="BK104" s="198"/>
    </row>
    <row r="105" spans="1:63" s="338" customFormat="1" ht="10.5" hidden="1" customHeight="1">
      <c r="A105" s="81"/>
      <c r="C105" s="376"/>
      <c r="D105" s="81"/>
      <c r="E105" s="198">
        <v>11.25</v>
      </c>
      <c r="F105" s="3" t="str" cm="1">
        <f t="array" aca="1" ref="F105" ca="1">OFFSET(E105,-1,1)</f>
        <v>2</v>
      </c>
      <c r="G105" s="61" t="s">
        <v>682</v>
      </c>
      <c r="H105" s="61" cm="1">
        <f t="array" ref="H105">H104</f>
        <v>0</v>
      </c>
      <c r="I105" s="81"/>
      <c r="J105" s="81"/>
      <c r="K105" s="81"/>
      <c r="L105" s="81"/>
      <c r="M105" s="81"/>
      <c r="N105" s="81"/>
      <c r="O105" s="81"/>
      <c r="P105" s="81"/>
      <c r="Q105" s="81"/>
      <c r="R105" s="81"/>
      <c r="S105" s="81"/>
      <c r="T105" s="365" t="b" cm="1">
        <f t="array" aca="1" ref="T105" ca="1">T104</f>
        <v>0</v>
      </c>
      <c r="U105" s="81"/>
      <c r="V105" s="81"/>
      <c r="W105" s="81"/>
      <c r="X105" s="1050"/>
      <c r="Y105" s="1050"/>
      <c r="Z105" s="1076"/>
      <c r="AA105" s="1049"/>
      <c r="AB105" s="27" t="str">
        <f>AB100&amp;".5"</f>
        <v>7.0.5</v>
      </c>
      <c r="AC105" s="124" t="s">
        <v>873</v>
      </c>
      <c r="AD105" s="27" t="s">
        <v>867</v>
      </c>
      <c r="AE105" s="833"/>
      <c r="AF105" s="833"/>
      <c r="AG105" s="833"/>
      <c r="AH105" s="833"/>
      <c r="AI105" s="833"/>
      <c r="AJ105" s="833"/>
      <c r="AK105" s="833"/>
      <c r="AL105" s="833"/>
      <c r="AM105" s="833"/>
      <c r="AN105" s="833"/>
      <c r="AO105" s="833"/>
      <c r="AP105" s="833"/>
      <c r="AQ105" s="833"/>
      <c r="AR105" s="833"/>
      <c r="AS105" s="833"/>
      <c r="AT105" s="833"/>
      <c r="AU105" s="833"/>
      <c r="AV105" s="833"/>
      <c r="AW105" s="833"/>
      <c r="AX105" s="833"/>
      <c r="AY105" s="833"/>
      <c r="AZ105" s="833"/>
      <c r="BA105" s="833"/>
      <c r="BB105" s="833"/>
      <c r="BC105" s="839"/>
      <c r="BD105" s="81"/>
      <c r="BE105" s="81"/>
      <c r="BF105" s="687" t="s">
        <v>874</v>
      </c>
      <c r="BG105" s="687" t="s">
        <v>865</v>
      </c>
      <c r="BH105" s="687" cm="1">
        <f t="array" ref="BH105">BH104</f>
        <v>0</v>
      </c>
      <c r="BI105" s="338" cm="1">
        <f t="array" ref="BI105">BI104</f>
        <v>0</v>
      </c>
      <c r="BJ105" s="198"/>
      <c r="BK105" s="198"/>
    </row>
    <row r="106" spans="1:63" s="338" customFormat="1" ht="10.5" hidden="1" customHeight="1">
      <c r="A106" s="81"/>
      <c r="C106" s="376"/>
      <c r="D106" s="81"/>
      <c r="E106" s="198">
        <v>11.25</v>
      </c>
      <c r="F106" s="3" t="str" cm="1">
        <f t="array" aca="1" ref="F106" ca="1">OFFSET(E106,-1,1)</f>
        <v>2</v>
      </c>
      <c r="G106" s="61" t="s">
        <v>875</v>
      </c>
      <c r="H106" s="61" cm="1">
        <f t="array" ref="H106">H105</f>
        <v>0</v>
      </c>
      <c r="I106" s="81"/>
      <c r="J106" s="81"/>
      <c r="K106" s="81"/>
      <c r="L106" s="81"/>
      <c r="M106" s="81"/>
      <c r="N106" s="81"/>
      <c r="O106" s="81"/>
      <c r="P106" s="81"/>
      <c r="Q106" s="81"/>
      <c r="R106" s="81"/>
      <c r="S106" s="81"/>
      <c r="T106" s="365" t="b" cm="1">
        <f t="array" aca="1" ref="T106" ca="1">T105</f>
        <v>0</v>
      </c>
      <c r="U106" s="81"/>
      <c r="V106" s="81"/>
      <c r="W106" s="81"/>
      <c r="X106" s="1050"/>
      <c r="Y106" s="1050"/>
      <c r="Z106" s="1076"/>
      <c r="AA106" s="1049"/>
      <c r="AB106" s="27" t="str">
        <f>AB100&amp;".6"</f>
        <v>7.0.6</v>
      </c>
      <c r="AC106" s="250" t="s">
        <v>876</v>
      </c>
      <c r="AD106" s="30" t="s">
        <v>877</v>
      </c>
      <c r="AE106" s="77">
        <f t="shared" ref="AE106:BB106" si="27">IF(OR(AND(AE105&lt;&gt;0,AE107=0),AND(AE105=0,AE107&lt;&gt;0)),"Ошибка",IF(AE107=0,0,AE105/AE107*1000/12))</f>
        <v>0</v>
      </c>
      <c r="AF106" s="77">
        <f t="shared" si="27"/>
        <v>0</v>
      </c>
      <c r="AG106" s="77">
        <f t="shared" si="27"/>
        <v>0</v>
      </c>
      <c r="AH106" s="77">
        <f t="shared" si="27"/>
        <v>0</v>
      </c>
      <c r="AI106" s="77">
        <f t="shared" si="27"/>
        <v>0</v>
      </c>
      <c r="AJ106" s="77">
        <f t="shared" si="27"/>
        <v>0</v>
      </c>
      <c r="AK106" s="77">
        <f t="shared" si="27"/>
        <v>0</v>
      </c>
      <c r="AL106" s="77">
        <f t="shared" si="27"/>
        <v>0</v>
      </c>
      <c r="AM106" s="77">
        <f t="shared" si="27"/>
        <v>0</v>
      </c>
      <c r="AN106" s="77">
        <f t="shared" si="27"/>
        <v>0</v>
      </c>
      <c r="AO106" s="77">
        <f t="shared" si="27"/>
        <v>0</v>
      </c>
      <c r="AP106" s="77">
        <f t="shared" si="27"/>
        <v>0</v>
      </c>
      <c r="AQ106" s="77">
        <f t="shared" si="27"/>
        <v>0</v>
      </c>
      <c r="AR106" s="77">
        <f t="shared" si="27"/>
        <v>0</v>
      </c>
      <c r="AS106" s="77">
        <f t="shared" si="27"/>
        <v>0</v>
      </c>
      <c r="AT106" s="77">
        <f t="shared" si="27"/>
        <v>0</v>
      </c>
      <c r="AU106" s="77">
        <f t="shared" si="27"/>
        <v>0</v>
      </c>
      <c r="AV106" s="77">
        <f t="shared" si="27"/>
        <v>0</v>
      </c>
      <c r="AW106" s="77">
        <f t="shared" si="27"/>
        <v>0</v>
      </c>
      <c r="AX106" s="77">
        <f t="shared" si="27"/>
        <v>0</v>
      </c>
      <c r="AY106" s="77">
        <f t="shared" si="27"/>
        <v>0</v>
      </c>
      <c r="AZ106" s="77">
        <f t="shared" si="27"/>
        <v>0</v>
      </c>
      <c r="BA106" s="77">
        <f t="shared" si="27"/>
        <v>0</v>
      </c>
      <c r="BB106" s="77">
        <f t="shared" si="27"/>
        <v>0</v>
      </c>
      <c r="BC106" s="839"/>
      <c r="BD106" s="81"/>
      <c r="BE106" s="81"/>
      <c r="BF106" s="687" t="s">
        <v>878</v>
      </c>
      <c r="BG106" s="687" t="s">
        <v>865</v>
      </c>
      <c r="BH106" s="687" cm="1">
        <f t="array" ref="BH106">BH105</f>
        <v>0</v>
      </c>
      <c r="BI106" s="338" cm="1">
        <f t="array" ref="BI106">BI105</f>
        <v>0</v>
      </c>
      <c r="BJ106" s="198"/>
      <c r="BK106" s="198"/>
    </row>
    <row r="107" spans="1:63" s="338" customFormat="1" ht="10.5" hidden="1" customHeight="1">
      <c r="A107" s="81"/>
      <c r="C107" s="376"/>
      <c r="D107" s="81"/>
      <c r="E107" s="198">
        <v>11.25</v>
      </c>
      <c r="F107" s="3" t="str" cm="1">
        <f t="array" aca="1" ref="F107" ca="1">OFFSET(E107,-1,1)</f>
        <v>2</v>
      </c>
      <c r="G107" s="61" t="s">
        <v>879</v>
      </c>
      <c r="H107" s="61" cm="1">
        <f t="array" ref="H107">H106</f>
        <v>0</v>
      </c>
      <c r="I107" s="81"/>
      <c r="J107" s="81"/>
      <c r="K107" s="81"/>
      <c r="L107" s="81"/>
      <c r="M107" s="81"/>
      <c r="N107" s="81"/>
      <c r="O107" s="81"/>
      <c r="P107" s="81"/>
      <c r="Q107" s="81"/>
      <c r="R107" s="81"/>
      <c r="S107" s="81"/>
      <c r="T107" s="365" t="b" cm="1">
        <f t="array" aca="1" ref="T107" ca="1">T106</f>
        <v>0</v>
      </c>
      <c r="U107" s="81"/>
      <c r="V107" s="81"/>
      <c r="W107" s="81"/>
      <c r="X107" s="1050"/>
      <c r="Y107" s="1050"/>
      <c r="Z107" s="1076"/>
      <c r="AA107" s="1049"/>
      <c r="AB107" s="27" t="str">
        <f>AB100&amp;".7"</f>
        <v>7.0.7</v>
      </c>
      <c r="AC107" s="250" t="s">
        <v>880</v>
      </c>
      <c r="AD107" s="30" t="s">
        <v>881</v>
      </c>
      <c r="AE107" s="833"/>
      <c r="AF107" s="833"/>
      <c r="AG107" s="833"/>
      <c r="AH107" s="833"/>
      <c r="AI107" s="833"/>
      <c r="AJ107" s="833"/>
      <c r="AK107" s="833"/>
      <c r="AL107" s="833"/>
      <c r="AM107" s="833"/>
      <c r="AN107" s="833"/>
      <c r="AO107" s="833"/>
      <c r="AP107" s="833"/>
      <c r="AQ107" s="833"/>
      <c r="AR107" s="833"/>
      <c r="AS107" s="833"/>
      <c r="AT107" s="833"/>
      <c r="AU107" s="833"/>
      <c r="AV107" s="833"/>
      <c r="AW107" s="833"/>
      <c r="AX107" s="833"/>
      <c r="AY107" s="833"/>
      <c r="AZ107" s="833"/>
      <c r="BA107" s="833"/>
      <c r="BB107" s="833"/>
      <c r="BC107" s="839"/>
      <c r="BD107" s="81"/>
      <c r="BE107" s="81"/>
      <c r="BF107" s="687" t="s">
        <v>882</v>
      </c>
      <c r="BG107" s="687" t="s">
        <v>865</v>
      </c>
      <c r="BH107" s="687" cm="1">
        <f t="array" ref="BH107">BH106</f>
        <v>0</v>
      </c>
      <c r="BI107" s="338" cm="1">
        <f t="array" ref="BI107">BI106</f>
        <v>0</v>
      </c>
      <c r="BJ107" s="198"/>
      <c r="BK107" s="198"/>
    </row>
    <row r="108" spans="1:63" s="78" customFormat="1" ht="14.25" customHeight="1">
      <c r="B108" s="65"/>
      <c r="C108" s="376"/>
      <c r="E108" s="473">
        <v>15</v>
      </c>
      <c r="F108" s="3" t="str" cm="1">
        <f t="array" aca="1" ref="F108" ca="1">OFFSET(E108,-1,1)</f>
        <v>2</v>
      </c>
      <c r="H108" s="641" t="s">
        <v>883</v>
      </c>
      <c r="T108" s="365" t="b">
        <f ca="1">F108&gt;0</f>
        <v>1</v>
      </c>
      <c r="W108" s="528" t="s">
        <v>884</v>
      </c>
      <c r="X108" s="1050"/>
      <c r="Z108" s="1076"/>
      <c r="AB108" s="108"/>
      <c r="AC108" s="111" t="s">
        <v>885</v>
      </c>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20"/>
      <c r="BF108" s="683"/>
      <c r="BG108" s="683"/>
      <c r="BH108" s="683"/>
      <c r="BJ108" s="473" t="s">
        <v>865</v>
      </c>
      <c r="BK108" s="473"/>
    </row>
    <row r="109" spans="1:63" ht="10.9" customHeight="1">
      <c r="E109" s="491">
        <v>11.25</v>
      </c>
      <c r="U109" s="36" t="s">
        <v>177</v>
      </c>
      <c r="V109" s="75" t="s">
        <v>892</v>
      </c>
    </row>
    <row r="110" spans="1:63" ht="14.65" customHeight="1">
      <c r="E110" s="472">
        <v>15</v>
      </c>
      <c r="AB110" s="1125" t="s">
        <v>398</v>
      </c>
      <c r="AC110" s="1126"/>
      <c r="AD110" s="1126"/>
      <c r="AE110" s="1126"/>
      <c r="AF110" s="1126"/>
      <c r="AG110" s="1126"/>
      <c r="AH110" s="1126"/>
      <c r="AI110" s="1126"/>
      <c r="AJ110" s="1126"/>
      <c r="AK110" s="1126"/>
      <c r="AL110" s="1126"/>
      <c r="AM110" s="1126"/>
      <c r="AN110" s="1126"/>
      <c r="AO110" s="1126"/>
      <c r="AP110" s="1126"/>
      <c r="AQ110" s="1126"/>
      <c r="AR110" s="1126"/>
      <c r="AS110" s="1126"/>
      <c r="AT110" s="1126"/>
      <c r="AU110" s="1126"/>
      <c r="AV110" s="1126"/>
      <c r="AW110" s="1126"/>
      <c r="AX110" s="1126"/>
      <c r="AY110" s="1126"/>
      <c r="AZ110" s="1126"/>
      <c r="BA110" s="1126"/>
      <c r="BB110" s="1126"/>
      <c r="BC110" s="1127"/>
    </row>
    <row r="111" spans="1:63" ht="30.75" customHeight="1">
      <c r="E111" s="472">
        <v>15</v>
      </c>
      <c r="AA111" s="492"/>
      <c r="AB111" s="1117" t="s">
        <v>517</v>
      </c>
      <c r="AC111" s="1115"/>
      <c r="AD111" s="1115"/>
      <c r="AE111" s="1115"/>
      <c r="AF111" s="1115"/>
      <c r="AG111" s="1115"/>
      <c r="AH111" s="1115"/>
      <c r="AI111" s="1115"/>
      <c r="AJ111" s="1114"/>
      <c r="AK111" s="1114"/>
      <c r="AL111" s="1114"/>
      <c r="AM111" s="1114"/>
      <c r="AN111" s="1114"/>
      <c r="AO111" s="1114"/>
      <c r="AP111" s="1114"/>
      <c r="AQ111" s="1114"/>
      <c r="AR111" s="1114"/>
      <c r="AS111" s="1115"/>
      <c r="AT111" s="1114"/>
      <c r="AU111" s="1114"/>
      <c r="AV111" s="1114"/>
      <c r="AW111" s="1114"/>
      <c r="AX111" s="1114"/>
      <c r="AY111" s="1114"/>
      <c r="AZ111" s="1114"/>
      <c r="BA111" s="1114"/>
      <c r="BB111" s="1114"/>
      <c r="BC111" s="1118"/>
    </row>
    <row r="112" spans="1:63" ht="14.65" hidden="1" customHeight="1">
      <c r="E112" s="472">
        <v>15</v>
      </c>
      <c r="T112" s="365" t="b">
        <f>ROW(W112)&gt;ROW(W$112)</f>
        <v>0</v>
      </c>
      <c r="W112" s="528" t="s">
        <v>173</v>
      </c>
      <c r="AA112" s="500" t="s">
        <v>174</v>
      </c>
      <c r="AB112" s="1113" t="s">
        <v>225</v>
      </c>
      <c r="AC112" s="1114"/>
      <c r="AD112" s="1114"/>
      <c r="AE112" s="1114"/>
      <c r="AF112" s="1114"/>
      <c r="AG112" s="1114"/>
      <c r="AH112" s="1114"/>
      <c r="AI112" s="1115"/>
      <c r="AJ112" s="1114"/>
      <c r="AK112" s="1114"/>
      <c r="AL112" s="1114"/>
      <c r="AM112" s="1114"/>
      <c r="AN112" s="1114"/>
      <c r="AO112" s="1114"/>
      <c r="AP112" s="1114"/>
      <c r="AQ112" s="1114"/>
      <c r="AR112" s="1114"/>
      <c r="AS112" s="1115"/>
      <c r="AT112" s="1114"/>
      <c r="AU112" s="1114"/>
      <c r="AV112" s="1114"/>
      <c r="AW112" s="1114"/>
      <c r="AX112" s="1114"/>
      <c r="AY112" s="1114"/>
      <c r="AZ112" s="1114"/>
      <c r="BA112" s="1114"/>
      <c r="BB112" s="1114"/>
      <c r="BC112" s="1116"/>
    </row>
    <row r="113" spans="5:56" ht="14.65" customHeight="1">
      <c r="E113" s="472">
        <v>15</v>
      </c>
      <c r="W113" s="528" t="s">
        <v>399</v>
      </c>
      <c r="AA113" s="501"/>
      <c r="AB113" s="485"/>
      <c r="AC113" s="394" t="s">
        <v>400</v>
      </c>
      <c r="AD113" s="231"/>
      <c r="AE113" s="231"/>
      <c r="AF113" s="232"/>
      <c r="AG113" s="232"/>
      <c r="AH113" s="232"/>
      <c r="AI113" s="232"/>
      <c r="AJ113" s="232"/>
      <c r="AK113" s="232"/>
      <c r="AL113" s="232"/>
      <c r="AM113" s="232"/>
      <c r="AN113" s="232"/>
      <c r="AO113" s="232"/>
      <c r="AP113" s="232"/>
      <c r="AQ113" s="232"/>
      <c r="AR113" s="232"/>
      <c r="AS113" s="232"/>
      <c r="AT113" s="232"/>
      <c r="AU113" s="232"/>
      <c r="AV113" s="232"/>
      <c r="AW113" s="232"/>
      <c r="AX113" s="232"/>
      <c r="AY113" s="232"/>
      <c r="AZ113" s="232"/>
      <c r="BA113" s="232"/>
      <c r="BB113" s="232"/>
      <c r="BC113" s="233"/>
    </row>
    <row r="114" spans="5:56" ht="10.9" customHeight="1">
      <c r="E114" s="472">
        <v>11.25</v>
      </c>
      <c r="AA114" s="537"/>
      <c r="AB114" s="538"/>
      <c r="BD114" s="41"/>
    </row>
  </sheetData>
  <sheetProtection formatColumns="0" formatRows="0" insertRows="0" deleteColumns="0" deleteRows="0" sort="0" autoFilter="0"/>
  <mergeCells count="33">
    <mergeCell ref="AB110:BC110"/>
    <mergeCell ref="AB111:BC111"/>
    <mergeCell ref="AB112:BC112"/>
    <mergeCell ref="X79:X108"/>
    <mergeCell ref="Z79:Z108"/>
    <mergeCell ref="Y94:Y97"/>
    <mergeCell ref="AA94:AA97"/>
    <mergeCell ref="Y90:Y93"/>
    <mergeCell ref="AA90:AA93"/>
    <mergeCell ref="Y86:Y89"/>
    <mergeCell ref="AA86:AA89"/>
    <mergeCell ref="Y100:Y107"/>
    <mergeCell ref="AA100:AA107"/>
    <mergeCell ref="Y70:Y77"/>
    <mergeCell ref="AA70:AA77"/>
    <mergeCell ref="X27:X48"/>
    <mergeCell ref="Z27:Z48"/>
    <mergeCell ref="Y40:Y47"/>
    <mergeCell ref="X49:X78"/>
    <mergeCell ref="Z49:Z78"/>
    <mergeCell ref="Y64:Y67"/>
    <mergeCell ref="AA64:AA67"/>
    <mergeCell ref="Y60:Y63"/>
    <mergeCell ref="AA60:AA63"/>
    <mergeCell ref="Y56:Y59"/>
    <mergeCell ref="AA56:AA59"/>
    <mergeCell ref="AA40:AA47"/>
    <mergeCell ref="AB24:AB25"/>
    <mergeCell ref="AC24:AC25"/>
    <mergeCell ref="AD24:AD25"/>
    <mergeCell ref="BC24:BC25"/>
    <mergeCell ref="Y34:Y37"/>
    <mergeCell ref="AA34:AA37"/>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AE61 AE63:AE65 AE67 AF59:AF61 AF63:AF65 AF67 AG59:AG61 AG63:AG65 AG67 AH59:AH61 AH63:AH65 AH67 AI59:AI61 AI63:AI65 AI67 AJ59:AJ61 AJ63:AJ65 AJ67 AK59:AK61 AK63:AK65 AK67 AL59:AL61 AL63:AL65 AL67 AM59:AM61 AM63:AM65 AM67 AN59:AN61 AN63:AN65 AN67 AO59:AO61 AO63:AO65 AO67 AP59:AP61 AP63:AP65 AP67 AQ59:AQ61 AQ63:AQ65 AQ67 AR59:AR61 AR63:AR65 AR67 AS59:AS61 AS63:AS65 AS67 AT59:AT61 AT63:AT65 AT67 AU59:AU61 AU63:AU65 AU67 AV59:AV61 AV63:AV65 AV67 AW59:AW61 AW63:AW65 AW67 AX59:AX61 AX63:AX65 AX67 AY59:AY61 AY63:AY65 AY67 AZ59:AZ61 AZ63:AZ65 AZ67 BA59:BA61 BA63:BA65 BA67 BB59:BB61 BB63:BB65 BB67 AE72 AF72 AG72 AH72 AI72 AJ72 AK72 AL72 AM72 AN72 AO72 AP72 AQ72 AR72 AS72 AT72 AU72 AV72 AW72 AX72 AY72 AZ72 BA72 BB72 AE74 AF74 AG74 AH74 AI74 AJ74 AK74 AL74 AM74 AN74 AO74 AP74 AQ74 AR74 AS74 AT74 AU74 AV74 AW74 AX74 AY74 AZ74 BA74 BB74 AE75 AF75 AG75 AH75 AI75 AJ75 AK75 AL75 AM75 AN75 AO75 AP75 AQ75 AR75 AS75 AT75 AU75 AV75 AW75 AX75 AY75 AZ75 BA75 BB75 AE77 AF77 AG77 AH77 AI77 AJ77 AK77 AL77 AM77 AN77 AO77 AP77 AQ77 AR77 AS77 AT77 AU77 AV77 AW77 AX77 AY77 AZ77 BA77 BB77 AE87 AF87 AG87 AH87 AI87 AJ87 AK87 AL87 AM87 AN87 AO87 AP87 AQ87 AR87 AS87 AT87 AU87 AV87 AW87 AX87 AY87 AZ87 BA87 BB87 AE89:AE91 AE93:AE95 AE97 AF89:AF91 AF93:AF95 AF97 AG89:AG91 AG93:AG95 AG97 AH89:AH91 AH93:AH95 AH97 AI89:AI91 AI93:AI95 AI97 AJ89:AJ91 AJ93:AJ95 AJ97 AK89:AK91 AK93:AK95 AK97 AL89:AL91 AL93:AL95 AL97 AM89:AM91 AM93:AM95 AM97 AN89:AN91 AN93:AN95 AN97 AO89:AO91 AO93:AO95 AO97 AP89:AP91 AP93:AP95 AP97 AQ89:AQ91 AQ93:AQ95 AQ97 AR89:AR91 AR93:AR95 AR97 AS89:AS91 AS93:AS95 AS97 AT89:AT91 AT93:AT95 AT97 AU89:AU91 AU93:AU95 AU97 AV89:AV91 AV93:AV95 AV97 AW89:AW91 AW93:AW95 AW97 AX89:AX91 AX93:AX95 AX97 AY89:AY91 AY93:AY95 AY97 AZ89:AZ91 AZ93:AZ95 AZ97 BA89:BA91 BA93:BA95 BA97 BB89:BB91 BB93:BB95 BB97 AE102 AF102 AG102 AH102 AI102 AJ102 AK102 AL102 AM102 AN102 AO102 AP102 AQ102 AR102 AS102 AT102 AU102 AV102 AW102 AX102 AY102 AZ102 BA102 BB102 AE104 AF104 AG104 AH104 AI104 AJ104 AK104 AL104 AM104 AN104 AO104 AP104 AQ104 AR104 AS104 AT104 AU104 AV104 AW104 AX104 AY104 AZ104 BA104 BB104 AE105 AF105 AG105 AH105 AI105 AJ105 AK105 AL105 AM105 AN105 AO105 AP105 AQ105 AR105 AS105 AT105 AU105 AV105 AW105 AX105 AY105 AZ105 BA105 BB105 AE107 AF107 AG107 AH107 AI107 AJ107 AK107 AL107 AM107 AN107 AO107 AP107 AQ107 AR107 AS107 AT107 AU107 AV107 AW107 AX107 AY107 AZ107 BA107 BB107" xr:uid="{00000000-0002-0000-0D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AC61 AC65 AC87 AC91 AC95" xr:uid="{00000000-0002-0000-0D00-000001000000}">
      <formula1>VOLTAGE_LEVEL_list</formula1>
    </dataValidation>
    <dataValidation type="list" allowBlank="1" showInputMessage="1" showErrorMessage="1" errorTitle="Ошибка" error="Выберите значение из списка" prompt="Выберите значение из списка" sqref="AC41 AC71 AC101" xr:uid="{00000000-0002-0000-0D00-000002000000}">
      <formula1>VOLTAGE_LEVEL2_list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AF3AF-DFF8-3C48-C7F8-2A91A8101268}">
  <sheetPr>
    <tabColor rgb="FF002060"/>
    <outlinePr summaryBelow="0" summaryRight="0"/>
    <pageSetUpPr fitToPage="1"/>
  </sheetPr>
  <dimension ref="A1:BF181"/>
  <sheetViews>
    <sheetView showGridLines="0" workbookViewId="0">
      <pane xSplit="30" ySplit="25" topLeftCell="AE166" activePane="bottomRight" state="frozen"/>
      <selection pane="topRight" activeCell="AE1" sqref="AE1"/>
      <selection pane="bottomLeft" activeCell="A26" sqref="A26"/>
      <selection pane="bottomRight" activeCell="AH171" sqref="AH170:AH171"/>
    </sheetView>
  </sheetViews>
  <sheetFormatPr defaultColWidth="8.7109375" defaultRowHeight="11.25" customHeight="1"/>
  <cols>
    <col min="1" max="1" width="3.5703125" style="41" hidden="1" customWidth="1"/>
    <col min="2" max="2" width="6.7109375" style="62" hidden="1" customWidth="1"/>
    <col min="3" max="4" width="3.5703125" style="41" hidden="1" customWidth="1"/>
    <col min="5" max="5" width="7.85546875" style="460" hidden="1" customWidth="1"/>
    <col min="6" max="19" width="3.5703125" style="41" hidden="1" customWidth="1"/>
    <col min="20" max="20" width="11.140625" style="41" hidden="1" customWidth="1"/>
    <col min="21" max="21" width="5.85546875" style="41" hidden="1" customWidth="1"/>
    <col min="22" max="23" width="6.140625" style="41" hidden="1" customWidth="1"/>
    <col min="24" max="25" width="5.5703125" style="41" hidden="1" customWidth="1"/>
    <col min="26" max="26" width="5.28515625" style="41" hidden="1" customWidth="1"/>
    <col min="27" max="27" width="3" style="41" customWidth="1"/>
    <col min="28" max="28" width="11" style="41" customWidth="1"/>
    <col min="29" max="29" width="41.7109375" style="41" customWidth="1"/>
    <col min="30" max="30" width="11" style="63" customWidth="1"/>
    <col min="31" max="35" width="12.5703125" style="63" customWidth="1"/>
    <col min="36" max="44" width="12.5703125" style="63" hidden="1" customWidth="1"/>
    <col min="45" max="45" width="12.5703125" style="63" customWidth="1"/>
    <col min="46" max="54" width="12.5703125" style="63" hidden="1" customWidth="1"/>
    <col min="55" max="55" width="20" style="41" customWidth="1"/>
    <col min="56" max="56" width="3" style="41" customWidth="1"/>
    <col min="57" max="57" width="8.7109375" style="41" hidden="1"/>
    <col min="58" max="58" width="8.7109375" style="667" hidden="1"/>
  </cols>
  <sheetData>
    <row r="1" spans="1:58" ht="11.25" hidden="1" customHeight="1">
      <c r="E1" s="41"/>
      <c r="F1" s="41" t="s">
        <v>315</v>
      </c>
      <c r="G1" s="41" t="s">
        <v>326</v>
      </c>
      <c r="T1" s="365" t="s">
        <v>93</v>
      </c>
      <c r="U1" s="365" t="s">
        <v>98</v>
      </c>
      <c r="V1" s="365" t="s">
        <v>94</v>
      </c>
      <c r="W1" s="365" t="s">
        <v>95</v>
      </c>
      <c r="X1" s="365" t="s">
        <v>96</v>
      </c>
      <c r="Y1" s="367" t="s">
        <v>317</v>
      </c>
      <c r="Z1" s="365" t="s">
        <v>100</v>
      </c>
      <c r="AA1" s="366" t="s">
        <v>97</v>
      </c>
      <c r="AB1" s="23"/>
      <c r="AC1" s="366" t="s">
        <v>99</v>
      </c>
      <c r="BF1" s="667" t="s">
        <v>318</v>
      </c>
    </row>
    <row r="2" spans="1:58" s="62" customFormat="1" ht="11.25" hidden="1" customHeight="1">
      <c r="B2" s="354" t="s">
        <v>19</v>
      </c>
      <c r="AF2" s="62" t="b" cm="1">
        <f t="array" ref="AF2">isOrgDeclare</f>
        <v>1</v>
      </c>
      <c r="AI2" s="354" t="b">
        <f t="shared" ref="AI2:AR2" si="0">AND(AI6&lt;=last_year_vis,isOrgDeclare)</f>
        <v>1</v>
      </c>
      <c r="AJ2" s="354" t="b">
        <f t="shared" si="0"/>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ref="AS2:BB2" si="1">AS6&lt;=last_year_vis</f>
        <v>1</v>
      </c>
      <c r="AT2" s="354" t="b">
        <f t="shared" si="1"/>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F2" s="674"/>
    </row>
    <row r="3" spans="1:58" ht="11.25" hidden="1" customHeight="1">
      <c r="E3" s="41"/>
    </row>
    <row r="4" spans="1:58" ht="11.25" hidden="1" customHeight="1">
      <c r="E4" s="41"/>
    </row>
    <row r="5" spans="1:58" s="460" customFormat="1" ht="11.25" hidden="1" customHeight="1">
      <c r="A5" s="41"/>
      <c r="B5" s="62"/>
      <c r="C5" s="41"/>
      <c r="D5" s="41"/>
      <c r="E5" s="460" t="s">
        <v>20</v>
      </c>
      <c r="AA5" s="460">
        <v>3</v>
      </c>
      <c r="AB5" s="460">
        <v>11</v>
      </c>
      <c r="AC5" s="460">
        <v>41.71</v>
      </c>
      <c r="AD5" s="486">
        <v>11</v>
      </c>
      <c r="AE5" s="486">
        <v>12.57</v>
      </c>
      <c r="AF5" s="486">
        <v>12.57</v>
      </c>
      <c r="AG5" s="486">
        <v>12.57</v>
      </c>
      <c r="AH5" s="486">
        <v>12.57</v>
      </c>
      <c r="AI5" s="486">
        <v>12.57</v>
      </c>
      <c r="AJ5" s="486">
        <v>12.57</v>
      </c>
      <c r="AK5" s="486">
        <v>12.57</v>
      </c>
      <c r="AL5" s="486">
        <v>12.57</v>
      </c>
      <c r="AM5" s="486">
        <v>12.57</v>
      </c>
      <c r="AN5" s="486">
        <v>12.57</v>
      </c>
      <c r="AO5" s="486">
        <v>12.57</v>
      </c>
      <c r="AP5" s="486">
        <v>12.57</v>
      </c>
      <c r="AQ5" s="486">
        <v>12.57</v>
      </c>
      <c r="AR5" s="486">
        <v>12.57</v>
      </c>
      <c r="AS5" s="486">
        <v>12.57</v>
      </c>
      <c r="AT5" s="486">
        <v>12.57</v>
      </c>
      <c r="AU5" s="486">
        <v>12.57</v>
      </c>
      <c r="AV5" s="486">
        <v>12.57</v>
      </c>
      <c r="AW5" s="486">
        <v>12.57</v>
      </c>
      <c r="AX5" s="486">
        <v>12.57</v>
      </c>
      <c r="AY5" s="486">
        <v>12.57</v>
      </c>
      <c r="AZ5" s="486">
        <v>12.57</v>
      </c>
      <c r="BA5" s="486">
        <v>12.57</v>
      </c>
      <c r="BB5" s="486">
        <v>12.57</v>
      </c>
      <c r="BC5" s="460">
        <v>20</v>
      </c>
      <c r="BD5" s="460">
        <v>3</v>
      </c>
      <c r="BF5" s="667"/>
    </row>
    <row r="6" spans="1:58" ht="11.25" hidden="1" customHeight="1">
      <c r="A6" s="41" t="s">
        <v>353</v>
      </c>
      <c r="AE6" s="63">
        <f>god-2</f>
        <v>2024</v>
      </c>
      <c r="AF6" s="63">
        <f>god-2</f>
        <v>2024</v>
      </c>
      <c r="AG6" s="63">
        <f>god-2</f>
        <v>2024</v>
      </c>
      <c r="AH6" s="63">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58" ht="11.25" hidden="1" customHeight="1">
      <c r="A7" s="41" t="s">
        <v>354</v>
      </c>
      <c r="AE7" s="287" t="str" cm="1">
        <f t="array" ref="AE7">AE25</f>
        <v>Принято органом регулирования</v>
      </c>
      <c r="AF7" s="287" t="str" cm="1">
        <f t="array" ref="AF7">AF25</f>
        <v>Факт по данным организации</v>
      </c>
      <c r="AG7" s="287" t="str" cm="1">
        <f t="array" ref="AG7">AG25</f>
        <v>Факт, принятый органом регулирования</v>
      </c>
      <c r="AH7" s="287" t="str" cm="1">
        <f t="array" ref="AH7">AH25</f>
        <v>Принято органом регулирования</v>
      </c>
      <c r="AI7" s="287" t="str" cm="1">
        <f t="array" ref="AI7">AI25</f>
        <v>Предложение организации</v>
      </c>
      <c r="AJ7" s="287" t="str" cm="1">
        <f t="array" ref="AJ7">AJ25</f>
        <v>Предложение организации</v>
      </c>
      <c r="AK7" s="287" t="str" cm="1">
        <f t="array" ref="AK7">AK25</f>
        <v>Предложение организации</v>
      </c>
      <c r="AL7" s="287" t="str" cm="1">
        <f t="array" ref="AL7">AL25</f>
        <v>Предложение организации</v>
      </c>
      <c r="AM7" s="287" t="str" cm="1">
        <f t="array" ref="AM7">AM25</f>
        <v>Предложение организации</v>
      </c>
      <c r="AN7" s="287" t="str" cm="1">
        <f t="array" ref="AN7">AN25</f>
        <v>Предложение организации</v>
      </c>
      <c r="AO7" s="287" t="str" cm="1">
        <f t="array" ref="AO7">AO25</f>
        <v>Предложение организации</v>
      </c>
      <c r="AP7" s="287" t="str" cm="1">
        <f t="array" ref="AP7">AP25</f>
        <v>Предложение организации</v>
      </c>
      <c r="AQ7" s="287" t="str" cm="1">
        <f t="array" ref="AQ7">AQ25</f>
        <v>Предложение организации</v>
      </c>
      <c r="AR7" s="287" t="str" cm="1">
        <f t="array" ref="AR7">AR25</f>
        <v>Предложение организации</v>
      </c>
      <c r="AS7" s="287" t="str" cm="1">
        <f t="array" ref="AS7">AS25</f>
        <v>Принято органом регулирования</v>
      </c>
      <c r="AT7" s="287" t="str" cm="1">
        <f t="array" ref="AT7">AT25</f>
        <v>Принято органом регулирования</v>
      </c>
      <c r="AU7" s="287" t="str" cm="1">
        <f t="array" ref="AU7">AU25</f>
        <v>Принято органом регулирования</v>
      </c>
      <c r="AV7" s="287" t="str" cm="1">
        <f t="array" ref="AV7">AV25</f>
        <v>Принято органом регулирования</v>
      </c>
      <c r="AW7" s="287" t="str" cm="1">
        <f t="array" ref="AW7">AW25</f>
        <v>Принято органом регулирования</v>
      </c>
      <c r="AX7" s="287" t="str" cm="1">
        <f t="array" ref="AX7">AX25</f>
        <v>Принято органом регулирования</v>
      </c>
      <c r="AY7" s="287" t="str" cm="1">
        <f t="array" ref="AY7">AY25</f>
        <v>Принято органом регулирования</v>
      </c>
      <c r="AZ7" s="287" t="str" cm="1">
        <f t="array" ref="AZ7">AZ25</f>
        <v>Принято органом регулирования</v>
      </c>
      <c r="BA7" s="287" t="str" cm="1">
        <f t="array" ref="BA7">BA25</f>
        <v>Принято органом регулирования</v>
      </c>
      <c r="BB7" s="287" t="str" cm="1">
        <f t="array" ref="BB7">BB25</f>
        <v>Принято органом регулирования</v>
      </c>
    </row>
    <row r="8" spans="1:58" ht="11.25" hidden="1" customHeight="1"/>
    <row r="9" spans="1:58" s="667" customFormat="1" ht="11.25" hidden="1" customHeight="1">
      <c r="A9" s="680" t="s">
        <v>358</v>
      </c>
      <c r="B9" s="674"/>
      <c r="AD9" s="684"/>
      <c r="AE9" s="684" cm="1">
        <f t="array" ref="AE9">AE6</f>
        <v>2024</v>
      </c>
      <c r="AF9" s="684" cm="1">
        <f t="array" ref="AF9">AF6</f>
        <v>2024</v>
      </c>
      <c r="AG9" s="684" cm="1">
        <f t="array" ref="AG9">AG6</f>
        <v>2024</v>
      </c>
      <c r="AH9" s="684" cm="1">
        <f t="array" ref="AH9">AH6</f>
        <v>2025</v>
      </c>
      <c r="AI9" s="684" cm="1">
        <f t="array" ref="AI9">AI6</f>
        <v>2026</v>
      </c>
      <c r="AJ9" s="684" cm="1">
        <f t="array" ref="AJ9">AJ6</f>
        <v>2027</v>
      </c>
      <c r="AK9" s="684" cm="1">
        <f t="array" ref="AK9">AK6</f>
        <v>2028</v>
      </c>
      <c r="AL9" s="684" cm="1">
        <f t="array" ref="AL9">AL6</f>
        <v>2029</v>
      </c>
      <c r="AM9" s="684" cm="1">
        <f t="array" ref="AM9">AM6</f>
        <v>2030</v>
      </c>
      <c r="AN9" s="684" cm="1">
        <f t="array" ref="AN9">AN6</f>
        <v>2031</v>
      </c>
      <c r="AO9" s="684" cm="1">
        <f t="array" ref="AO9">AO6</f>
        <v>2032</v>
      </c>
      <c r="AP9" s="684" cm="1">
        <f t="array" ref="AP9">AP6</f>
        <v>2033</v>
      </c>
      <c r="AQ9" s="684" cm="1">
        <f t="array" ref="AQ9">AQ6</f>
        <v>2034</v>
      </c>
      <c r="AR9" s="684" cm="1">
        <f t="array" ref="AR9">AR6</f>
        <v>2035</v>
      </c>
      <c r="AS9" s="684" cm="1">
        <f t="array" ref="AS9">AS6</f>
        <v>2026</v>
      </c>
      <c r="AT9" s="684" cm="1">
        <f t="array" ref="AT9">AT6</f>
        <v>2027</v>
      </c>
      <c r="AU9" s="684" cm="1">
        <f t="array" ref="AU9">AU6</f>
        <v>2028</v>
      </c>
      <c r="AV9" s="684" cm="1">
        <f t="array" ref="AV9">AV6</f>
        <v>2029</v>
      </c>
      <c r="AW9" s="684" cm="1">
        <f t="array" ref="AW9">AW6</f>
        <v>2030</v>
      </c>
      <c r="AX9" s="684" cm="1">
        <f t="array" ref="AX9">AX6</f>
        <v>2031</v>
      </c>
      <c r="AY9" s="684" cm="1">
        <f t="array" ref="AY9">AY6</f>
        <v>2032</v>
      </c>
      <c r="AZ9" s="684" cm="1">
        <f t="array" ref="AZ9">AZ6</f>
        <v>2033</v>
      </c>
      <c r="BA9" s="684" cm="1">
        <f t="array" ref="BA9">BA6</f>
        <v>2034</v>
      </c>
      <c r="BB9" s="684" cm="1">
        <f t="array" ref="BB9">BB6</f>
        <v>2035</v>
      </c>
    </row>
    <row r="10" spans="1:58" s="667" customFormat="1" ht="11.25" hidden="1" customHeight="1">
      <c r="A10" s="680" t="s">
        <v>359</v>
      </c>
      <c r="B10" s="674"/>
      <c r="AD10" s="684"/>
      <c r="AE10" s="684" t="str" cm="1">
        <f t="array" ref="AE10">AE25</f>
        <v>Принято органом регулирования</v>
      </c>
      <c r="AF10" s="684" t="str" cm="1">
        <f t="array" ref="AF10">AF25</f>
        <v>Факт по данным организации</v>
      </c>
      <c r="AG10" s="684" t="str" cm="1">
        <f t="array" ref="AG10">AG25</f>
        <v>Факт, принятый органом регулирования</v>
      </c>
      <c r="AH10" s="684" t="str" cm="1">
        <f t="array" ref="AH10">AH25</f>
        <v>Принято органом регулирования</v>
      </c>
      <c r="AI10" s="684" t="str" cm="1">
        <f t="array" ref="AI10">AI25</f>
        <v>Предложение организации</v>
      </c>
      <c r="AJ10" s="684" t="str" cm="1">
        <f t="array" ref="AJ10">AJ25</f>
        <v>Предложение организации</v>
      </c>
      <c r="AK10" s="684" t="str" cm="1">
        <f t="array" ref="AK10">AK25</f>
        <v>Предложение организации</v>
      </c>
      <c r="AL10" s="684" t="str" cm="1">
        <f t="array" ref="AL10">AL25</f>
        <v>Предложение организации</v>
      </c>
      <c r="AM10" s="684" t="str" cm="1">
        <f t="array" ref="AM10">AM25</f>
        <v>Предложение организации</v>
      </c>
      <c r="AN10" s="684" t="str" cm="1">
        <f t="array" ref="AN10">AN25</f>
        <v>Предложение организации</v>
      </c>
      <c r="AO10" s="684" t="str" cm="1">
        <f t="array" ref="AO10">AO25</f>
        <v>Предложение организации</v>
      </c>
      <c r="AP10" s="684" t="str" cm="1">
        <f t="array" ref="AP10">AP25</f>
        <v>Предложение организации</v>
      </c>
      <c r="AQ10" s="684" t="str" cm="1">
        <f t="array" ref="AQ10">AQ25</f>
        <v>Предложение организации</v>
      </c>
      <c r="AR10" s="684" t="str" cm="1">
        <f t="array" ref="AR10">AR25</f>
        <v>Предложение организации</v>
      </c>
      <c r="AS10" s="684" t="str" cm="1">
        <f t="array" ref="AS10">AS25</f>
        <v>Принято органом регулирования</v>
      </c>
      <c r="AT10" s="684" t="str" cm="1">
        <f t="array" ref="AT10">AT25</f>
        <v>Принято органом регулирования</v>
      </c>
      <c r="AU10" s="684" t="str" cm="1">
        <f t="array" ref="AU10">AU25</f>
        <v>Принято органом регулирования</v>
      </c>
      <c r="AV10" s="684" t="str" cm="1">
        <f t="array" ref="AV10">AV25</f>
        <v>Принято органом регулирования</v>
      </c>
      <c r="AW10" s="684" t="str" cm="1">
        <f t="array" ref="AW10">AW25</f>
        <v>Принято органом регулирования</v>
      </c>
      <c r="AX10" s="684" t="str" cm="1">
        <f t="array" ref="AX10">AX25</f>
        <v>Принято органом регулирования</v>
      </c>
      <c r="AY10" s="684" t="str" cm="1">
        <f t="array" ref="AY10">AY25</f>
        <v>Принято органом регулирования</v>
      </c>
      <c r="AZ10" s="684" t="str" cm="1">
        <f t="array" ref="AZ10">AZ25</f>
        <v>Принято органом регулирования</v>
      </c>
      <c r="BA10" s="684" t="str" cm="1">
        <f t="array" ref="BA10">BA25</f>
        <v>Принято органом регулирования</v>
      </c>
      <c r="BB10" s="684" t="str" cm="1">
        <f t="array" ref="BB10">BB25</f>
        <v>Принято органом регулирования</v>
      </c>
    </row>
    <row r="11" spans="1:58" s="667" customFormat="1" ht="11.25" hidden="1" customHeight="1">
      <c r="A11" s="680" t="s">
        <v>360</v>
      </c>
      <c r="B11" s="674"/>
      <c r="AD11" s="684"/>
      <c r="AE11" s="684"/>
      <c r="AF11" s="684"/>
      <c r="AG11" s="684"/>
      <c r="AH11" s="684"/>
      <c r="AI11" s="684"/>
      <c r="AJ11" s="684"/>
      <c r="AK11" s="684"/>
      <c r="AL11" s="684"/>
      <c r="AM11" s="684"/>
      <c r="AN11" s="684"/>
      <c r="AO11" s="684"/>
      <c r="AP11" s="684"/>
      <c r="AQ11" s="684"/>
      <c r="AR11" s="684"/>
      <c r="AS11" s="684"/>
      <c r="AT11" s="684"/>
      <c r="AU11" s="684"/>
      <c r="AV11" s="684"/>
      <c r="AW11" s="684"/>
      <c r="AX11" s="684"/>
      <c r="AY11" s="684"/>
      <c r="AZ11" s="684"/>
      <c r="BA11" s="684"/>
      <c r="BB11" s="684"/>
      <c r="BC11" s="667"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58"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58"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58"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1:58" ht="11.25" hidden="1" customHeight="1"/>
    <row r="18" spans="1:58" ht="11.25" hidden="1" customHeight="1"/>
    <row r="19" spans="1:58" ht="11.25" hidden="1" customHeight="1"/>
    <row r="20" spans="1:58" ht="11.25" hidden="1" customHeight="1"/>
    <row r="21" spans="1:58" ht="14.65" customHeight="1">
      <c r="E21" s="460">
        <v>15</v>
      </c>
      <c r="AA21" s="337"/>
      <c r="AC21" s="3" t="str" cm="1">
        <f t="array" ref="AC21">tpl_title</f>
        <v>Кемеровская область / 2026 / ООО "Энергосервис г. Гурьевска" (ИНН:4202049045, КПП:420201001) / ДПР: 2024-2028</v>
      </c>
    </row>
    <row r="22" spans="1:58" ht="19.5" customHeight="1">
      <c r="E22" s="460">
        <v>20</v>
      </c>
      <c r="AB22" s="239" t="s">
        <v>893</v>
      </c>
      <c r="AC22" s="138"/>
      <c r="AD22" s="141"/>
      <c r="AE22" s="138"/>
      <c r="AF22" s="138"/>
      <c r="AG22" s="138"/>
      <c r="AH22" s="138"/>
      <c r="AI22" s="138"/>
      <c r="AJ22" s="138"/>
      <c r="AK22" s="138"/>
      <c r="AL22" s="138"/>
      <c r="AM22" s="138"/>
      <c r="AN22" s="138"/>
      <c r="AO22" s="138"/>
      <c r="AP22" s="138"/>
      <c r="AQ22" s="138"/>
      <c r="AR22" s="138"/>
      <c r="AS22" s="138"/>
      <c r="AT22" s="138"/>
      <c r="AU22" s="138"/>
      <c r="AV22" s="138"/>
      <c r="AW22" s="138"/>
      <c r="AX22" s="138"/>
      <c r="AY22" s="138"/>
      <c r="AZ22" s="138"/>
      <c r="BA22" s="138"/>
      <c r="BB22" s="138"/>
      <c r="BC22" s="140"/>
    </row>
    <row r="23" spans="1:58" ht="10.7" customHeight="1">
      <c r="E23" s="460">
        <v>11</v>
      </c>
      <c r="AB23" s="1103"/>
      <c r="AC23" s="1103"/>
      <c r="AD23" s="1103"/>
      <c r="AE23" s="1103"/>
      <c r="AF23" s="1103"/>
      <c r="AG23" s="1103"/>
      <c r="AH23" s="1103"/>
      <c r="AI23" s="1103"/>
      <c r="AJ23" s="1103"/>
      <c r="AK23" s="1103"/>
      <c r="AL23" s="1103"/>
      <c r="AM23" s="1103"/>
      <c r="AN23" s="1103"/>
      <c r="AO23" s="1103"/>
      <c r="AP23" s="1103"/>
      <c r="AQ23" s="1103"/>
      <c r="AR23" s="1103"/>
      <c r="AS23" s="1103"/>
      <c r="AT23" s="1103"/>
      <c r="AU23" s="1103"/>
      <c r="AV23" s="1103"/>
      <c r="AW23" s="1103"/>
      <c r="AX23" s="1103"/>
      <c r="AY23" s="1103"/>
      <c r="AZ23" s="1103"/>
      <c r="BA23" s="1103"/>
      <c r="BB23" s="1103"/>
    </row>
    <row r="24" spans="1:58" ht="14.65" customHeight="1">
      <c r="E24" s="460">
        <v>15</v>
      </c>
      <c r="AB24" s="1088" t="s">
        <v>786</v>
      </c>
      <c r="AC24" s="1128" t="s">
        <v>194</v>
      </c>
      <c r="AD24" s="1088" t="s">
        <v>363</v>
      </c>
      <c r="AE24" s="274" t="str">
        <f>god-2&amp;" год"</f>
        <v>2024 год</v>
      </c>
      <c r="AF24" s="737" t="str">
        <f>god-2&amp;" год"</f>
        <v>2024 год</v>
      </c>
      <c r="AG24" s="274" t="str">
        <f>god-2&amp;" год"</f>
        <v>2024 год</v>
      </c>
      <c r="AH24" s="32" t="str">
        <f>god-1&amp;" год"</f>
        <v>2025 год</v>
      </c>
      <c r="AI24" s="734" t="str">
        <f>god&amp;" год"</f>
        <v>2026 год</v>
      </c>
      <c r="AJ24" s="734" t="str">
        <f>god+1&amp;" год"</f>
        <v>2027 год</v>
      </c>
      <c r="AK24" s="734" t="str">
        <f>god+2&amp;" год"</f>
        <v>2028 год</v>
      </c>
      <c r="AL24" s="734" t="str">
        <f>god+3&amp;" год"</f>
        <v>2029 год</v>
      </c>
      <c r="AM24" s="734" t="str">
        <f>god+4&amp;" год"</f>
        <v>2030 год</v>
      </c>
      <c r="AN24" s="734" t="str">
        <f>god+5&amp;" год"</f>
        <v>2031 год</v>
      </c>
      <c r="AO24" s="734" t="str">
        <f>god+6&amp;" год"</f>
        <v>2032 год</v>
      </c>
      <c r="AP24" s="734" t="str">
        <f>god+7&amp;" год"</f>
        <v>2033 год</v>
      </c>
      <c r="AQ24" s="734" t="str">
        <f>god+8&amp;" год"</f>
        <v>2034 год</v>
      </c>
      <c r="AR24" s="734"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1129" t="s">
        <v>529</v>
      </c>
    </row>
    <row r="25" spans="1:58" ht="48.75" customHeight="1">
      <c r="E25" s="460">
        <v>50</v>
      </c>
      <c r="AB25" s="1088"/>
      <c r="AC25" s="1128"/>
      <c r="AD25" s="1088"/>
      <c r="AE25" s="30" t="s">
        <v>355</v>
      </c>
      <c r="AF25" s="734" t="s">
        <v>450</v>
      </c>
      <c r="AG25" s="30" t="s">
        <v>451</v>
      </c>
      <c r="AH25" s="30" t="s">
        <v>355</v>
      </c>
      <c r="AI25" s="738" t="s">
        <v>356</v>
      </c>
      <c r="AJ25" s="738" t="s">
        <v>356</v>
      </c>
      <c r="AK25" s="738" t="s">
        <v>356</v>
      </c>
      <c r="AL25" s="738" t="s">
        <v>356</v>
      </c>
      <c r="AM25" s="738" t="s">
        <v>356</v>
      </c>
      <c r="AN25" s="738" t="s">
        <v>356</v>
      </c>
      <c r="AO25" s="738" t="s">
        <v>356</v>
      </c>
      <c r="AP25" s="738" t="s">
        <v>356</v>
      </c>
      <c r="AQ25" s="738" t="s">
        <v>356</v>
      </c>
      <c r="AR25" s="738" t="s">
        <v>356</v>
      </c>
      <c r="AS25" s="275" t="s">
        <v>355</v>
      </c>
      <c r="AT25" s="275" t="s">
        <v>355</v>
      </c>
      <c r="AU25" s="275" t="s">
        <v>355</v>
      </c>
      <c r="AV25" s="275" t="s">
        <v>355</v>
      </c>
      <c r="AW25" s="275" t="s">
        <v>355</v>
      </c>
      <c r="AX25" s="275" t="s">
        <v>355</v>
      </c>
      <c r="AY25" s="275" t="s">
        <v>355</v>
      </c>
      <c r="AZ25" s="275" t="s">
        <v>355</v>
      </c>
      <c r="BA25" s="275" t="s">
        <v>355</v>
      </c>
      <c r="BB25" s="275" t="s">
        <v>355</v>
      </c>
      <c r="BC25" s="1130"/>
    </row>
    <row r="26" spans="1:58" ht="11.25" customHeight="1">
      <c r="A26"/>
      <c r="B26" s="339"/>
      <c r="C26"/>
      <c r="D26"/>
      <c r="E26" s="465" t="s">
        <v>366</v>
      </c>
      <c r="F26" s="105" t="s">
        <v>894</v>
      </c>
      <c r="G26"/>
      <c r="H26"/>
      <c r="I26"/>
      <c r="J26"/>
      <c r="K26"/>
      <c r="L26"/>
      <c r="M26"/>
      <c r="N26"/>
      <c r="O26"/>
      <c r="P26"/>
      <c r="Q26"/>
      <c r="R26"/>
      <c r="S26"/>
      <c r="T26"/>
      <c r="U26"/>
      <c r="V26"/>
      <c r="W26"/>
      <c r="X26"/>
      <c r="Y26"/>
      <c r="Z26"/>
      <c r="AA26"/>
      <c r="AB26"/>
      <c r="AC26" s="37"/>
      <c r="AD26" s="37"/>
      <c r="AE26" s="37"/>
      <c r="AF26" s="37"/>
      <c r="AG26"/>
      <c r="AH26"/>
      <c r="AI26"/>
      <c r="AJ26"/>
      <c r="AK26"/>
      <c r="AL26"/>
      <c r="AM26"/>
      <c r="AN26"/>
      <c r="AO26"/>
      <c r="AP26"/>
      <c r="AQ26" s="38"/>
      <c r="AR26"/>
      <c r="AS26"/>
      <c r="AT26"/>
      <c r="AU26"/>
      <c r="AV26"/>
      <c r="AW26"/>
      <c r="AX26"/>
      <c r="AY26"/>
      <c r="AZ26"/>
      <c r="BA26"/>
      <c r="BB26"/>
      <c r="BC26"/>
      <c r="BD26"/>
      <c r="BE26"/>
      <c r="BF26" s="670"/>
    </row>
    <row r="27" spans="1:58" ht="14.65" hidden="1" customHeight="1">
      <c r="E27" s="460">
        <v>15</v>
      </c>
      <c r="F27" s="530" cm="1">
        <f t="array" ref="F27">X27</f>
        <v>0</v>
      </c>
      <c r="T27" s="365" t="b">
        <f>X27&gt;0</f>
        <v>0</v>
      </c>
      <c r="V27" s="41" t="s">
        <v>264</v>
      </c>
      <c r="X27" s="1094">
        <v>0</v>
      </c>
      <c r="Z27" s="1095"/>
      <c r="AB27" s="116" t="str" cm="1">
        <f t="array" ref="AB27">INDEX('Общие сведения'!$AG$179:$AG$222,MATCH($X27,'Общие сведения'!$Z$179:$Z$222,0))</f>
        <v xml:space="preserve">Тариф 0 () - </v>
      </c>
      <c r="AC27" s="113"/>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42"/>
    </row>
    <row r="28" spans="1:58" s="82" customFormat="1" ht="21.95" hidden="1" customHeight="1">
      <c r="B28" s="340"/>
      <c r="E28" s="499">
        <v>22.5</v>
      </c>
      <c r="F28" s="3" cm="1">
        <f t="array" aca="1" ref="F28" ca="1">OFFSET(E28,-1,1)</f>
        <v>0</v>
      </c>
      <c r="G28" s="41" t="s">
        <v>327</v>
      </c>
      <c r="T28" s="365" t="b" cm="1">
        <f t="array" ref="T28">T27</f>
        <v>0</v>
      </c>
      <c r="X28" s="1094"/>
      <c r="Z28" s="1095"/>
      <c r="AB28" s="143">
        <v>1</v>
      </c>
      <c r="AC28" s="144" t="s">
        <v>895</v>
      </c>
      <c r="AD28" s="27" t="s">
        <v>804</v>
      </c>
      <c r="AE28" s="783">
        <f t="shared" ref="AE28:BB28" si="2">SUM(AE29:AE33)</f>
        <v>0</v>
      </c>
      <c r="AF28" s="783">
        <f t="shared" si="2"/>
        <v>0</v>
      </c>
      <c r="AG28" s="783">
        <f t="shared" si="2"/>
        <v>0</v>
      </c>
      <c r="AH28" s="783">
        <f t="shared" si="2"/>
        <v>0</v>
      </c>
      <c r="AI28" s="783">
        <f t="shared" si="2"/>
        <v>0</v>
      </c>
      <c r="AJ28" s="783">
        <f t="shared" si="2"/>
        <v>0</v>
      </c>
      <c r="AK28" s="783">
        <f t="shared" si="2"/>
        <v>0</v>
      </c>
      <c r="AL28" s="783">
        <f t="shared" si="2"/>
        <v>0</v>
      </c>
      <c r="AM28" s="783">
        <f t="shared" si="2"/>
        <v>0</v>
      </c>
      <c r="AN28" s="783">
        <f t="shared" si="2"/>
        <v>0</v>
      </c>
      <c r="AO28" s="783">
        <f t="shared" si="2"/>
        <v>0</v>
      </c>
      <c r="AP28" s="783">
        <f t="shared" si="2"/>
        <v>0</v>
      </c>
      <c r="AQ28" s="783">
        <f t="shared" si="2"/>
        <v>0</v>
      </c>
      <c r="AR28" s="783">
        <f t="shared" si="2"/>
        <v>0</v>
      </c>
      <c r="AS28" s="783">
        <f t="shared" si="2"/>
        <v>0</v>
      </c>
      <c r="AT28" s="783">
        <f t="shared" si="2"/>
        <v>0</v>
      </c>
      <c r="AU28" s="783">
        <f t="shared" si="2"/>
        <v>0</v>
      </c>
      <c r="AV28" s="783">
        <f t="shared" si="2"/>
        <v>0</v>
      </c>
      <c r="AW28" s="783">
        <f t="shared" si="2"/>
        <v>0</v>
      </c>
      <c r="AX28" s="783">
        <f t="shared" si="2"/>
        <v>0</v>
      </c>
      <c r="AY28" s="783">
        <f t="shared" si="2"/>
        <v>0</v>
      </c>
      <c r="AZ28" s="783">
        <f t="shared" si="2"/>
        <v>0</v>
      </c>
      <c r="BA28" s="783">
        <f t="shared" si="2"/>
        <v>0</v>
      </c>
      <c r="BB28" s="783">
        <f t="shared" si="2"/>
        <v>0</v>
      </c>
      <c r="BC28" s="839"/>
      <c r="BF28" s="689" t="s">
        <v>896</v>
      </c>
    </row>
    <row r="29" spans="1:58" ht="14.65" hidden="1" customHeight="1">
      <c r="E29" s="460">
        <v>15</v>
      </c>
      <c r="F29" s="3" cm="1">
        <f t="array" aca="1" ref="F29" ca="1">OFFSET(E29,-1,1)</f>
        <v>0</v>
      </c>
      <c r="G29" s="41" t="s">
        <v>461</v>
      </c>
      <c r="T29" s="365" t="b" cm="1">
        <f t="array" ref="T29">T28</f>
        <v>0</v>
      </c>
      <c r="X29" s="1094"/>
      <c r="Z29" s="1095"/>
      <c r="AB29" s="26" t="s">
        <v>897</v>
      </c>
      <c r="AC29" s="146" t="s">
        <v>898</v>
      </c>
      <c r="AD29" s="27" t="s">
        <v>804</v>
      </c>
      <c r="AE29" s="787"/>
      <c r="AF29" s="787"/>
      <c r="AG29" s="787"/>
      <c r="AH29" s="787"/>
      <c r="AI29" s="787"/>
      <c r="AJ29" s="787"/>
      <c r="AK29" s="787"/>
      <c r="AL29" s="787"/>
      <c r="AM29" s="787"/>
      <c r="AN29" s="787"/>
      <c r="AO29" s="787"/>
      <c r="AP29" s="787"/>
      <c r="AQ29" s="787"/>
      <c r="AR29" s="787"/>
      <c r="AS29" s="787"/>
      <c r="AT29" s="787"/>
      <c r="AU29" s="787"/>
      <c r="AV29" s="787"/>
      <c r="AW29" s="787"/>
      <c r="AX29" s="787"/>
      <c r="AY29" s="787"/>
      <c r="AZ29" s="787"/>
      <c r="BA29" s="787"/>
      <c r="BB29" s="787"/>
      <c r="BC29" s="839"/>
      <c r="BF29" s="689" t="s">
        <v>899</v>
      </c>
    </row>
    <row r="30" spans="1:58" ht="14.65" hidden="1" customHeight="1">
      <c r="E30" s="460">
        <v>15</v>
      </c>
      <c r="F30" s="3" cm="1">
        <f t="array" aca="1" ref="F30" ca="1">OFFSET(E30,-1,1)</f>
        <v>0</v>
      </c>
      <c r="G30" s="41" t="s">
        <v>465</v>
      </c>
      <c r="T30" s="365" t="b" cm="1">
        <f t="array" ref="T30">T29</f>
        <v>0</v>
      </c>
      <c r="X30" s="1094"/>
      <c r="Z30" s="1095"/>
      <c r="AB30" s="26" t="s">
        <v>900</v>
      </c>
      <c r="AC30" s="146" t="s">
        <v>901</v>
      </c>
      <c r="AD30" s="27" t="s">
        <v>804</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839"/>
      <c r="BF30" s="689" t="s">
        <v>902</v>
      </c>
    </row>
    <row r="31" spans="1:58" ht="14.65" hidden="1" customHeight="1">
      <c r="E31" s="460">
        <v>15</v>
      </c>
      <c r="F31" s="3" cm="1">
        <f t="array" aca="1" ref="F31" ca="1">OFFSET(E31,-1,1)</f>
        <v>0</v>
      </c>
      <c r="G31" s="41" t="s">
        <v>468</v>
      </c>
      <c r="T31" s="365" t="b" cm="1">
        <f t="array" ref="T31">T30</f>
        <v>0</v>
      </c>
      <c r="X31" s="1094"/>
      <c r="Z31" s="1095"/>
      <c r="AB31" s="26" t="s">
        <v>903</v>
      </c>
      <c r="AC31" s="146" t="s">
        <v>904</v>
      </c>
      <c r="AD31" s="27" t="s">
        <v>804</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839"/>
      <c r="BF31" s="689" t="s">
        <v>905</v>
      </c>
    </row>
    <row r="32" spans="1:58" ht="14.65" hidden="1" customHeight="1">
      <c r="E32" s="460">
        <v>15</v>
      </c>
      <c r="F32" s="3" cm="1">
        <f t="array" aca="1" ref="F32" ca="1">OFFSET(E32,-1,1)</f>
        <v>0</v>
      </c>
      <c r="G32" s="41" t="s">
        <v>472</v>
      </c>
      <c r="T32" s="365" t="b" cm="1">
        <f t="array" ref="T32">T31</f>
        <v>0</v>
      </c>
      <c r="X32" s="1094"/>
      <c r="Z32" s="1095"/>
      <c r="AB32" s="26" t="s">
        <v>906</v>
      </c>
      <c r="AC32" s="146" t="s">
        <v>907</v>
      </c>
      <c r="AD32" s="27" t="s">
        <v>804</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839"/>
      <c r="BF32" s="689" t="s">
        <v>908</v>
      </c>
    </row>
    <row r="33" spans="2:58" ht="14.65" hidden="1" customHeight="1">
      <c r="E33" s="460">
        <v>15</v>
      </c>
      <c r="F33" s="3" cm="1">
        <f t="array" aca="1" ref="F33" ca="1">OFFSET(E33,-1,1)</f>
        <v>0</v>
      </c>
      <c r="G33" s="41" t="s">
        <v>909</v>
      </c>
      <c r="T33" s="365" t="b" cm="1">
        <f t="array" ref="T33">T32</f>
        <v>0</v>
      </c>
      <c r="X33" s="1094"/>
      <c r="Z33" s="1095"/>
      <c r="AB33" s="26" t="s">
        <v>910</v>
      </c>
      <c r="AC33" s="146" t="s">
        <v>911</v>
      </c>
      <c r="AD33" s="27" t="s">
        <v>804</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839"/>
      <c r="BF33" s="689" t="s">
        <v>912</v>
      </c>
    </row>
    <row r="34" spans="2:58" s="82" customFormat="1" ht="14.65" hidden="1" customHeight="1">
      <c r="B34" s="340"/>
      <c r="E34" s="460">
        <v>15</v>
      </c>
      <c r="F34" s="3" cm="1">
        <f t="array" aca="1" ref="F34" ca="1">OFFSET(E34,-1,1)</f>
        <v>0</v>
      </c>
      <c r="G34" s="41" t="s">
        <v>328</v>
      </c>
      <c r="T34" s="365" t="b" cm="1">
        <f t="array" ref="T34">T33</f>
        <v>0</v>
      </c>
      <c r="X34" s="1094"/>
      <c r="Z34" s="1095"/>
      <c r="AB34" s="143">
        <v>2</v>
      </c>
      <c r="AC34" s="144" t="s">
        <v>913</v>
      </c>
      <c r="AD34" s="27" t="s">
        <v>804</v>
      </c>
      <c r="AE34" s="783">
        <f t="shared" ref="AE34:BB34" si="3">SUM(AE35:AE39)</f>
        <v>0</v>
      </c>
      <c r="AF34" s="783">
        <f t="shared" si="3"/>
        <v>0</v>
      </c>
      <c r="AG34" s="783">
        <f t="shared" si="3"/>
        <v>0</v>
      </c>
      <c r="AH34" s="783">
        <f t="shared" si="3"/>
        <v>0</v>
      </c>
      <c r="AI34" s="783">
        <f t="shared" si="3"/>
        <v>0</v>
      </c>
      <c r="AJ34" s="783">
        <f t="shared" si="3"/>
        <v>0</v>
      </c>
      <c r="AK34" s="783">
        <f t="shared" si="3"/>
        <v>0</v>
      </c>
      <c r="AL34" s="783">
        <f t="shared" si="3"/>
        <v>0</v>
      </c>
      <c r="AM34" s="783">
        <f t="shared" si="3"/>
        <v>0</v>
      </c>
      <c r="AN34" s="783">
        <f t="shared" si="3"/>
        <v>0</v>
      </c>
      <c r="AO34" s="783">
        <f t="shared" si="3"/>
        <v>0</v>
      </c>
      <c r="AP34" s="783">
        <f t="shared" si="3"/>
        <v>0</v>
      </c>
      <c r="AQ34" s="783">
        <f t="shared" si="3"/>
        <v>0</v>
      </c>
      <c r="AR34" s="783">
        <f t="shared" si="3"/>
        <v>0</v>
      </c>
      <c r="AS34" s="783">
        <f t="shared" si="3"/>
        <v>0</v>
      </c>
      <c r="AT34" s="783">
        <f t="shared" si="3"/>
        <v>0</v>
      </c>
      <c r="AU34" s="783">
        <f t="shared" si="3"/>
        <v>0</v>
      </c>
      <c r="AV34" s="783">
        <f t="shared" si="3"/>
        <v>0</v>
      </c>
      <c r="AW34" s="783">
        <f t="shared" si="3"/>
        <v>0</v>
      </c>
      <c r="AX34" s="783">
        <f t="shared" si="3"/>
        <v>0</v>
      </c>
      <c r="AY34" s="783">
        <f t="shared" si="3"/>
        <v>0</v>
      </c>
      <c r="AZ34" s="783">
        <f t="shared" si="3"/>
        <v>0</v>
      </c>
      <c r="BA34" s="783">
        <f t="shared" si="3"/>
        <v>0</v>
      </c>
      <c r="BB34" s="783">
        <f t="shared" si="3"/>
        <v>0</v>
      </c>
      <c r="BC34" s="839"/>
      <c r="BF34" s="689" t="s">
        <v>914</v>
      </c>
    </row>
    <row r="35" spans="2:58" ht="14.65" hidden="1" customHeight="1">
      <c r="E35" s="460">
        <v>15</v>
      </c>
      <c r="F35" s="3" cm="1">
        <f t="array" aca="1" ref="F35" ca="1">OFFSET(E35,-1,1)</f>
        <v>0</v>
      </c>
      <c r="G35" s="41" t="s">
        <v>479</v>
      </c>
      <c r="T35" s="365" t="b" cm="1">
        <f t="array" ref="T35">T34</f>
        <v>0</v>
      </c>
      <c r="X35" s="1094"/>
      <c r="Z35" s="1095"/>
      <c r="AB35" s="26" t="s">
        <v>537</v>
      </c>
      <c r="AC35" s="146" t="s">
        <v>898</v>
      </c>
      <c r="AD35" s="27" t="s">
        <v>804</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839"/>
      <c r="BF35" s="689" t="s">
        <v>915</v>
      </c>
    </row>
    <row r="36" spans="2:58" ht="14.65" hidden="1" customHeight="1">
      <c r="E36" s="460">
        <v>15</v>
      </c>
      <c r="F36" s="3" cm="1">
        <f t="array" aca="1" ref="F36" ca="1">OFFSET(E36,-1,1)</f>
        <v>0</v>
      </c>
      <c r="G36" s="41" t="s">
        <v>482</v>
      </c>
      <c r="T36" s="365" t="b" cm="1">
        <f t="array" ref="T36">T35</f>
        <v>0</v>
      </c>
      <c r="X36" s="1094"/>
      <c r="Z36" s="1095"/>
      <c r="AB36" s="26" t="s">
        <v>541</v>
      </c>
      <c r="AC36" s="146" t="s">
        <v>901</v>
      </c>
      <c r="AD36" s="27" t="s">
        <v>804</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839"/>
      <c r="BF36" s="689" t="s">
        <v>916</v>
      </c>
    </row>
    <row r="37" spans="2:58" ht="14.65" hidden="1" customHeight="1">
      <c r="E37" s="460">
        <v>15</v>
      </c>
      <c r="F37" s="3" cm="1">
        <f t="array" aca="1" ref="F37" ca="1">OFFSET(E37,-1,1)</f>
        <v>0</v>
      </c>
      <c r="G37" s="41" t="s">
        <v>917</v>
      </c>
      <c r="T37" s="365" t="b" cm="1">
        <f t="array" ref="T37">T36</f>
        <v>0</v>
      </c>
      <c r="X37" s="1094"/>
      <c r="Z37" s="1095"/>
      <c r="AB37" s="26" t="s">
        <v>545</v>
      </c>
      <c r="AC37" s="146" t="s">
        <v>904</v>
      </c>
      <c r="AD37" s="27" t="s">
        <v>804</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839"/>
      <c r="BF37" s="689" t="s">
        <v>918</v>
      </c>
    </row>
    <row r="38" spans="2:58" ht="14.65" hidden="1" customHeight="1">
      <c r="E38" s="460">
        <v>15</v>
      </c>
      <c r="F38" s="3" cm="1">
        <f t="array" aca="1" ref="F38" ca="1">OFFSET(E38,-1,1)</f>
        <v>0</v>
      </c>
      <c r="G38" s="41" t="s">
        <v>919</v>
      </c>
      <c r="T38" s="365" t="b" cm="1">
        <f t="array" ref="T38">T37</f>
        <v>0</v>
      </c>
      <c r="X38" s="1094"/>
      <c r="Z38" s="1095"/>
      <c r="AB38" s="26" t="s">
        <v>920</v>
      </c>
      <c r="AC38" s="146" t="s">
        <v>907</v>
      </c>
      <c r="AD38" s="27" t="s">
        <v>804</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839"/>
      <c r="BF38" s="689" t="s">
        <v>921</v>
      </c>
    </row>
    <row r="39" spans="2:58" ht="14.65" hidden="1" customHeight="1">
      <c r="E39" s="460">
        <v>15</v>
      </c>
      <c r="F39" s="3" cm="1">
        <f t="array" aca="1" ref="F39" ca="1">OFFSET(E39,-1,1)</f>
        <v>0</v>
      </c>
      <c r="G39" s="41" t="s">
        <v>922</v>
      </c>
      <c r="T39" s="365" t="b" cm="1">
        <f t="array" ref="T39">T38</f>
        <v>0</v>
      </c>
      <c r="X39" s="1094"/>
      <c r="Z39" s="1095"/>
      <c r="AB39" s="26" t="s">
        <v>923</v>
      </c>
      <c r="AC39" s="146" t="s">
        <v>911</v>
      </c>
      <c r="AD39" s="27" t="s">
        <v>804</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839"/>
      <c r="BF39" s="689" t="s">
        <v>924</v>
      </c>
    </row>
    <row r="40" spans="2:58" s="82" customFormat="1" ht="14.65" hidden="1" customHeight="1">
      <c r="B40" s="340"/>
      <c r="E40" s="460">
        <v>15</v>
      </c>
      <c r="F40" s="3" cm="1">
        <f t="array" aca="1" ref="F40" ca="1">OFFSET(E40,-1,1)</f>
        <v>0</v>
      </c>
      <c r="G40" s="41" t="s">
        <v>329</v>
      </c>
      <c r="T40" s="365" t="b" cm="1">
        <f t="array" ref="T40">T39</f>
        <v>0</v>
      </c>
      <c r="X40" s="1094"/>
      <c r="Z40" s="1095"/>
      <c r="AB40" s="143">
        <v>3</v>
      </c>
      <c r="AC40" s="144" t="s">
        <v>925</v>
      </c>
      <c r="AD40" s="27" t="s">
        <v>804</v>
      </c>
      <c r="AE40" s="783">
        <f t="shared" ref="AE40:BB40" si="4">SUM(AE41:AE45)</f>
        <v>0</v>
      </c>
      <c r="AF40" s="783">
        <f t="shared" si="4"/>
        <v>0</v>
      </c>
      <c r="AG40" s="783">
        <f t="shared" si="4"/>
        <v>0</v>
      </c>
      <c r="AH40" s="783">
        <f t="shared" si="4"/>
        <v>0</v>
      </c>
      <c r="AI40" s="783">
        <f t="shared" si="4"/>
        <v>0</v>
      </c>
      <c r="AJ40" s="783">
        <f t="shared" si="4"/>
        <v>0</v>
      </c>
      <c r="AK40" s="783">
        <f t="shared" si="4"/>
        <v>0</v>
      </c>
      <c r="AL40" s="783">
        <f t="shared" si="4"/>
        <v>0</v>
      </c>
      <c r="AM40" s="783">
        <f t="shared" si="4"/>
        <v>0</v>
      </c>
      <c r="AN40" s="783">
        <f t="shared" si="4"/>
        <v>0</v>
      </c>
      <c r="AO40" s="783">
        <f t="shared" si="4"/>
        <v>0</v>
      </c>
      <c r="AP40" s="783">
        <f t="shared" si="4"/>
        <v>0</v>
      </c>
      <c r="AQ40" s="783">
        <f t="shared" si="4"/>
        <v>0</v>
      </c>
      <c r="AR40" s="783">
        <f t="shared" si="4"/>
        <v>0</v>
      </c>
      <c r="AS40" s="783">
        <f t="shared" si="4"/>
        <v>0</v>
      </c>
      <c r="AT40" s="783">
        <f t="shared" si="4"/>
        <v>0</v>
      </c>
      <c r="AU40" s="783">
        <f t="shared" si="4"/>
        <v>0</v>
      </c>
      <c r="AV40" s="783">
        <f t="shared" si="4"/>
        <v>0</v>
      </c>
      <c r="AW40" s="783">
        <f t="shared" si="4"/>
        <v>0</v>
      </c>
      <c r="AX40" s="783">
        <f t="shared" si="4"/>
        <v>0</v>
      </c>
      <c r="AY40" s="783">
        <f t="shared" si="4"/>
        <v>0</v>
      </c>
      <c r="AZ40" s="783">
        <f t="shared" si="4"/>
        <v>0</v>
      </c>
      <c r="BA40" s="783">
        <f t="shared" si="4"/>
        <v>0</v>
      </c>
      <c r="BB40" s="783">
        <f t="shared" si="4"/>
        <v>0</v>
      </c>
      <c r="BC40" s="839"/>
      <c r="BF40" s="689" t="s">
        <v>926</v>
      </c>
    </row>
    <row r="41" spans="2:58" ht="14.65" hidden="1" customHeight="1">
      <c r="E41" s="460">
        <v>15</v>
      </c>
      <c r="F41" s="3" cm="1">
        <f t="array" aca="1" ref="F41" ca="1">OFFSET(E41,-1,1)</f>
        <v>0</v>
      </c>
      <c r="G41" s="41" t="s">
        <v>927</v>
      </c>
      <c r="T41" s="365" t="b" cm="1">
        <f t="array" ref="T41">T40</f>
        <v>0</v>
      </c>
      <c r="X41" s="1094"/>
      <c r="Z41" s="1095"/>
      <c r="AB41" s="26" t="s">
        <v>551</v>
      </c>
      <c r="AC41" s="146" t="s">
        <v>898</v>
      </c>
      <c r="AD41" s="27" t="s">
        <v>804</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839"/>
      <c r="BF41" s="689" t="s">
        <v>928</v>
      </c>
    </row>
    <row r="42" spans="2:58" ht="14.65" hidden="1" customHeight="1">
      <c r="E42" s="460">
        <v>15</v>
      </c>
      <c r="F42" s="3" cm="1">
        <f t="array" aca="1" ref="F42" ca="1">OFFSET(E42,-1,1)</f>
        <v>0</v>
      </c>
      <c r="G42" s="41" t="s">
        <v>929</v>
      </c>
      <c r="T42" s="365" t="b" cm="1">
        <f t="array" ref="T42">T41</f>
        <v>0</v>
      </c>
      <c r="X42" s="1094"/>
      <c r="Z42" s="1095"/>
      <c r="AB42" s="26" t="s">
        <v>555</v>
      </c>
      <c r="AC42" s="146" t="s">
        <v>901</v>
      </c>
      <c r="AD42" s="27" t="s">
        <v>804</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839"/>
      <c r="BF42" s="689" t="s">
        <v>930</v>
      </c>
    </row>
    <row r="43" spans="2:58" ht="14.65" hidden="1" customHeight="1">
      <c r="E43" s="460">
        <v>15</v>
      </c>
      <c r="F43" s="3" cm="1">
        <f t="array" aca="1" ref="F43" ca="1">OFFSET(E43,-1,1)</f>
        <v>0</v>
      </c>
      <c r="G43" s="41" t="s">
        <v>931</v>
      </c>
      <c r="T43" s="365" t="b" cm="1">
        <f t="array" ref="T43">T42</f>
        <v>0</v>
      </c>
      <c r="X43" s="1094"/>
      <c r="Z43" s="1095"/>
      <c r="AB43" s="26" t="s">
        <v>771</v>
      </c>
      <c r="AC43" s="146" t="s">
        <v>904</v>
      </c>
      <c r="AD43" s="27" t="s">
        <v>804</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839"/>
      <c r="BF43" s="689" t="s">
        <v>932</v>
      </c>
    </row>
    <row r="44" spans="2:58" ht="14.65" hidden="1" customHeight="1">
      <c r="E44" s="460">
        <v>15</v>
      </c>
      <c r="F44" s="3" cm="1">
        <f t="array" aca="1" ref="F44" ca="1">OFFSET(E44,-1,1)</f>
        <v>0</v>
      </c>
      <c r="G44" s="41" t="s">
        <v>933</v>
      </c>
      <c r="T44" s="365" t="b" cm="1">
        <f t="array" ref="T44">T43</f>
        <v>0</v>
      </c>
      <c r="X44" s="1094"/>
      <c r="Z44" s="1095"/>
      <c r="AB44" s="26" t="s">
        <v>934</v>
      </c>
      <c r="AC44" s="146" t="s">
        <v>907</v>
      </c>
      <c r="AD44" s="27" t="s">
        <v>804</v>
      </c>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787"/>
      <c r="BC44" s="839"/>
      <c r="BF44" s="689" t="s">
        <v>935</v>
      </c>
    </row>
    <row r="45" spans="2:58" ht="14.65" hidden="1" customHeight="1">
      <c r="E45" s="460">
        <v>15</v>
      </c>
      <c r="F45" s="3" cm="1">
        <f t="array" aca="1" ref="F45" ca="1">OFFSET(E45,-1,1)</f>
        <v>0</v>
      </c>
      <c r="G45" s="41" t="s">
        <v>936</v>
      </c>
      <c r="T45" s="365" t="b" cm="1">
        <f t="array" ref="T45">T44</f>
        <v>0</v>
      </c>
      <c r="X45" s="1094"/>
      <c r="Z45" s="1095"/>
      <c r="AB45" s="26" t="s">
        <v>937</v>
      </c>
      <c r="AC45" s="146" t="s">
        <v>911</v>
      </c>
      <c r="AD45" s="27" t="s">
        <v>804</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839"/>
      <c r="BF45" s="689" t="s">
        <v>938</v>
      </c>
    </row>
    <row r="46" spans="2:58" s="82" customFormat="1" ht="21.95" hidden="1" customHeight="1">
      <c r="B46" s="340"/>
      <c r="E46" s="499">
        <v>22.5</v>
      </c>
      <c r="F46" s="3" cm="1">
        <f t="array" aca="1" ref="F46" ca="1">OFFSET(E46,-1,1)</f>
        <v>0</v>
      </c>
      <c r="G46" s="41" t="s">
        <v>331</v>
      </c>
      <c r="T46" s="365" t="b" cm="1">
        <f t="array" ref="T46">T45</f>
        <v>0</v>
      </c>
      <c r="X46" s="1094"/>
      <c r="Z46" s="1095"/>
      <c r="AB46" s="143">
        <v>4</v>
      </c>
      <c r="AC46" s="144" t="s">
        <v>939</v>
      </c>
      <c r="AD46" s="27" t="s">
        <v>804</v>
      </c>
      <c r="AE46" s="783">
        <f t="shared" ref="AE46:BB46" si="5">SUM(AE47:AE51)</f>
        <v>0</v>
      </c>
      <c r="AF46" s="783">
        <f t="shared" si="5"/>
        <v>0</v>
      </c>
      <c r="AG46" s="783">
        <f t="shared" si="5"/>
        <v>0</v>
      </c>
      <c r="AH46" s="783">
        <f t="shared" si="5"/>
        <v>0</v>
      </c>
      <c r="AI46" s="783">
        <f t="shared" si="5"/>
        <v>0</v>
      </c>
      <c r="AJ46" s="783">
        <f t="shared" si="5"/>
        <v>0</v>
      </c>
      <c r="AK46" s="783">
        <f t="shared" si="5"/>
        <v>0</v>
      </c>
      <c r="AL46" s="783">
        <f t="shared" si="5"/>
        <v>0</v>
      </c>
      <c r="AM46" s="783">
        <f t="shared" si="5"/>
        <v>0</v>
      </c>
      <c r="AN46" s="783">
        <f t="shared" si="5"/>
        <v>0</v>
      </c>
      <c r="AO46" s="783">
        <f t="shared" si="5"/>
        <v>0</v>
      </c>
      <c r="AP46" s="783">
        <f t="shared" si="5"/>
        <v>0</v>
      </c>
      <c r="AQ46" s="783">
        <f t="shared" si="5"/>
        <v>0</v>
      </c>
      <c r="AR46" s="783">
        <f t="shared" si="5"/>
        <v>0</v>
      </c>
      <c r="AS46" s="783">
        <f t="shared" si="5"/>
        <v>0</v>
      </c>
      <c r="AT46" s="783">
        <f t="shared" si="5"/>
        <v>0</v>
      </c>
      <c r="AU46" s="783">
        <f t="shared" si="5"/>
        <v>0</v>
      </c>
      <c r="AV46" s="783">
        <f t="shared" si="5"/>
        <v>0</v>
      </c>
      <c r="AW46" s="783">
        <f t="shared" si="5"/>
        <v>0</v>
      </c>
      <c r="AX46" s="783">
        <f t="shared" si="5"/>
        <v>0</v>
      </c>
      <c r="AY46" s="783">
        <f t="shared" si="5"/>
        <v>0</v>
      </c>
      <c r="AZ46" s="783">
        <f t="shared" si="5"/>
        <v>0</v>
      </c>
      <c r="BA46" s="783">
        <f t="shared" si="5"/>
        <v>0</v>
      </c>
      <c r="BB46" s="783">
        <f t="shared" si="5"/>
        <v>0</v>
      </c>
      <c r="BC46" s="839"/>
      <c r="BF46" s="689" t="s">
        <v>940</v>
      </c>
    </row>
    <row r="47" spans="2:58" ht="14.65" hidden="1" customHeight="1">
      <c r="E47" s="460">
        <v>15</v>
      </c>
      <c r="F47" s="3" cm="1">
        <f t="array" aca="1" ref="F47" ca="1">OFFSET(E47,-1,1)</f>
        <v>0</v>
      </c>
      <c r="G47" s="41" t="s">
        <v>536</v>
      </c>
      <c r="T47" s="365" t="b" cm="1">
        <f t="array" ref="T47">T46</f>
        <v>0</v>
      </c>
      <c r="X47" s="1094"/>
      <c r="Z47" s="1095"/>
      <c r="AB47" s="26" t="s">
        <v>673</v>
      </c>
      <c r="AC47" s="146" t="s">
        <v>898</v>
      </c>
      <c r="AD47" s="27" t="s">
        <v>804</v>
      </c>
      <c r="AE47" s="787">
        <f t="shared" ref="AE47:BB47" si="6">AE29+AE35-AE41</f>
        <v>0</v>
      </c>
      <c r="AF47" s="787">
        <f t="shared" si="6"/>
        <v>0</v>
      </c>
      <c r="AG47" s="787">
        <f t="shared" si="6"/>
        <v>0</v>
      </c>
      <c r="AH47" s="787">
        <f t="shared" si="6"/>
        <v>0</v>
      </c>
      <c r="AI47" s="787">
        <f t="shared" si="6"/>
        <v>0</v>
      </c>
      <c r="AJ47" s="787">
        <f t="shared" si="6"/>
        <v>0</v>
      </c>
      <c r="AK47" s="787">
        <f t="shared" si="6"/>
        <v>0</v>
      </c>
      <c r="AL47" s="787">
        <f t="shared" si="6"/>
        <v>0</v>
      </c>
      <c r="AM47" s="787">
        <f t="shared" si="6"/>
        <v>0</v>
      </c>
      <c r="AN47" s="787">
        <f t="shared" si="6"/>
        <v>0</v>
      </c>
      <c r="AO47" s="787">
        <f t="shared" si="6"/>
        <v>0</v>
      </c>
      <c r="AP47" s="787">
        <f t="shared" si="6"/>
        <v>0</v>
      </c>
      <c r="AQ47" s="787">
        <f t="shared" si="6"/>
        <v>0</v>
      </c>
      <c r="AR47" s="787">
        <f t="shared" si="6"/>
        <v>0</v>
      </c>
      <c r="AS47" s="787">
        <f t="shared" si="6"/>
        <v>0</v>
      </c>
      <c r="AT47" s="787">
        <f t="shared" si="6"/>
        <v>0</v>
      </c>
      <c r="AU47" s="787">
        <f t="shared" si="6"/>
        <v>0</v>
      </c>
      <c r="AV47" s="787">
        <f t="shared" si="6"/>
        <v>0</v>
      </c>
      <c r="AW47" s="787">
        <f t="shared" si="6"/>
        <v>0</v>
      </c>
      <c r="AX47" s="787">
        <f t="shared" si="6"/>
        <v>0</v>
      </c>
      <c r="AY47" s="787">
        <f t="shared" si="6"/>
        <v>0</v>
      </c>
      <c r="AZ47" s="787">
        <f t="shared" si="6"/>
        <v>0</v>
      </c>
      <c r="BA47" s="787">
        <f t="shared" si="6"/>
        <v>0</v>
      </c>
      <c r="BB47" s="787">
        <f t="shared" si="6"/>
        <v>0</v>
      </c>
      <c r="BC47" s="839"/>
      <c r="BF47" s="689" t="s">
        <v>941</v>
      </c>
    </row>
    <row r="48" spans="2:58" ht="14.65" hidden="1" customHeight="1">
      <c r="E48" s="460">
        <v>15</v>
      </c>
      <c r="F48" s="3" cm="1">
        <f t="array" aca="1" ref="F48" ca="1">OFFSET(E48,-1,1)</f>
        <v>0</v>
      </c>
      <c r="G48" s="41" t="s">
        <v>540</v>
      </c>
      <c r="T48" s="365" t="b" cm="1">
        <f t="array" ref="T48">T47</f>
        <v>0</v>
      </c>
      <c r="X48" s="1094"/>
      <c r="Z48" s="1095"/>
      <c r="AB48" s="26" t="s">
        <v>676</v>
      </c>
      <c r="AC48" s="146" t="s">
        <v>901</v>
      </c>
      <c r="AD48" s="27" t="s">
        <v>804</v>
      </c>
      <c r="AE48" s="787">
        <f t="shared" ref="AE48:BB48" si="7">AE30+AE36-AE42</f>
        <v>0</v>
      </c>
      <c r="AF48" s="787">
        <f t="shared" si="7"/>
        <v>0</v>
      </c>
      <c r="AG48" s="787">
        <f t="shared" si="7"/>
        <v>0</v>
      </c>
      <c r="AH48" s="787">
        <f t="shared" si="7"/>
        <v>0</v>
      </c>
      <c r="AI48" s="787">
        <f t="shared" si="7"/>
        <v>0</v>
      </c>
      <c r="AJ48" s="787">
        <f t="shared" si="7"/>
        <v>0</v>
      </c>
      <c r="AK48" s="787">
        <f t="shared" si="7"/>
        <v>0</v>
      </c>
      <c r="AL48" s="787">
        <f t="shared" si="7"/>
        <v>0</v>
      </c>
      <c r="AM48" s="787">
        <f t="shared" si="7"/>
        <v>0</v>
      </c>
      <c r="AN48" s="787">
        <f t="shared" si="7"/>
        <v>0</v>
      </c>
      <c r="AO48" s="787">
        <f t="shared" si="7"/>
        <v>0</v>
      </c>
      <c r="AP48" s="787">
        <f t="shared" si="7"/>
        <v>0</v>
      </c>
      <c r="AQ48" s="787">
        <f t="shared" si="7"/>
        <v>0</v>
      </c>
      <c r="AR48" s="787">
        <f t="shared" si="7"/>
        <v>0</v>
      </c>
      <c r="AS48" s="787">
        <f t="shared" si="7"/>
        <v>0</v>
      </c>
      <c r="AT48" s="787">
        <f t="shared" si="7"/>
        <v>0</v>
      </c>
      <c r="AU48" s="787">
        <f t="shared" si="7"/>
        <v>0</v>
      </c>
      <c r="AV48" s="787">
        <f t="shared" si="7"/>
        <v>0</v>
      </c>
      <c r="AW48" s="787">
        <f t="shared" si="7"/>
        <v>0</v>
      </c>
      <c r="AX48" s="787">
        <f t="shared" si="7"/>
        <v>0</v>
      </c>
      <c r="AY48" s="787">
        <f t="shared" si="7"/>
        <v>0</v>
      </c>
      <c r="AZ48" s="787">
        <f t="shared" si="7"/>
        <v>0</v>
      </c>
      <c r="BA48" s="787">
        <f t="shared" si="7"/>
        <v>0</v>
      </c>
      <c r="BB48" s="787">
        <f t="shared" si="7"/>
        <v>0</v>
      </c>
      <c r="BC48" s="839"/>
      <c r="BF48" s="689" t="s">
        <v>942</v>
      </c>
    </row>
    <row r="49" spans="2:58" ht="14.65" hidden="1" customHeight="1">
      <c r="E49" s="460">
        <v>15</v>
      </c>
      <c r="F49" s="3" cm="1">
        <f t="array" aca="1" ref="F49" ca="1">OFFSET(E49,-1,1)</f>
        <v>0</v>
      </c>
      <c r="G49" s="41" t="s">
        <v>544</v>
      </c>
      <c r="T49" s="365" t="b" cm="1">
        <f t="array" ref="T49">T48</f>
        <v>0</v>
      </c>
      <c r="X49" s="1094"/>
      <c r="Z49" s="1095"/>
      <c r="AB49" s="26" t="s">
        <v>710</v>
      </c>
      <c r="AC49" s="146" t="s">
        <v>904</v>
      </c>
      <c r="AD49" s="27" t="s">
        <v>804</v>
      </c>
      <c r="AE49" s="787">
        <f t="shared" ref="AE49:BB49" si="8">AE31+AE37-AE43</f>
        <v>0</v>
      </c>
      <c r="AF49" s="787">
        <f t="shared" si="8"/>
        <v>0</v>
      </c>
      <c r="AG49" s="787">
        <f t="shared" si="8"/>
        <v>0</v>
      </c>
      <c r="AH49" s="787">
        <f t="shared" si="8"/>
        <v>0</v>
      </c>
      <c r="AI49" s="787">
        <f t="shared" si="8"/>
        <v>0</v>
      </c>
      <c r="AJ49" s="787">
        <f t="shared" si="8"/>
        <v>0</v>
      </c>
      <c r="AK49" s="787">
        <f t="shared" si="8"/>
        <v>0</v>
      </c>
      <c r="AL49" s="787">
        <f t="shared" si="8"/>
        <v>0</v>
      </c>
      <c r="AM49" s="787">
        <f t="shared" si="8"/>
        <v>0</v>
      </c>
      <c r="AN49" s="787">
        <f t="shared" si="8"/>
        <v>0</v>
      </c>
      <c r="AO49" s="787">
        <f t="shared" si="8"/>
        <v>0</v>
      </c>
      <c r="AP49" s="787">
        <f t="shared" si="8"/>
        <v>0</v>
      </c>
      <c r="AQ49" s="787">
        <f t="shared" si="8"/>
        <v>0</v>
      </c>
      <c r="AR49" s="787">
        <f t="shared" si="8"/>
        <v>0</v>
      </c>
      <c r="AS49" s="787">
        <f t="shared" si="8"/>
        <v>0</v>
      </c>
      <c r="AT49" s="787">
        <f t="shared" si="8"/>
        <v>0</v>
      </c>
      <c r="AU49" s="787">
        <f t="shared" si="8"/>
        <v>0</v>
      </c>
      <c r="AV49" s="787">
        <f t="shared" si="8"/>
        <v>0</v>
      </c>
      <c r="AW49" s="787">
        <f t="shared" si="8"/>
        <v>0</v>
      </c>
      <c r="AX49" s="787">
        <f t="shared" si="8"/>
        <v>0</v>
      </c>
      <c r="AY49" s="787">
        <f t="shared" si="8"/>
        <v>0</v>
      </c>
      <c r="AZ49" s="787">
        <f t="shared" si="8"/>
        <v>0</v>
      </c>
      <c r="BA49" s="787">
        <f t="shared" si="8"/>
        <v>0</v>
      </c>
      <c r="BB49" s="787">
        <f t="shared" si="8"/>
        <v>0</v>
      </c>
      <c r="BC49" s="839"/>
      <c r="BF49" s="689" t="s">
        <v>943</v>
      </c>
    </row>
    <row r="50" spans="2:58" ht="14.65" hidden="1" customHeight="1">
      <c r="E50" s="460">
        <v>15</v>
      </c>
      <c r="F50" s="3" cm="1">
        <f t="array" aca="1" ref="F50" ca="1">OFFSET(E50,-1,1)</f>
        <v>0</v>
      </c>
      <c r="G50" s="41" t="s">
        <v>944</v>
      </c>
      <c r="T50" s="365" t="b" cm="1">
        <f t="array" ref="T50">T49</f>
        <v>0</v>
      </c>
      <c r="X50" s="1094"/>
      <c r="Z50" s="1095"/>
      <c r="AB50" s="26" t="s">
        <v>719</v>
      </c>
      <c r="AC50" s="146" t="s">
        <v>907</v>
      </c>
      <c r="AD50" s="27" t="s">
        <v>804</v>
      </c>
      <c r="AE50" s="787">
        <f t="shared" ref="AE50:BB50" si="9">AE32+AE38-AE44</f>
        <v>0</v>
      </c>
      <c r="AF50" s="787">
        <f t="shared" si="9"/>
        <v>0</v>
      </c>
      <c r="AG50" s="787">
        <f t="shared" si="9"/>
        <v>0</v>
      </c>
      <c r="AH50" s="787">
        <f t="shared" si="9"/>
        <v>0</v>
      </c>
      <c r="AI50" s="787">
        <f t="shared" si="9"/>
        <v>0</v>
      </c>
      <c r="AJ50" s="787">
        <f t="shared" si="9"/>
        <v>0</v>
      </c>
      <c r="AK50" s="787">
        <f t="shared" si="9"/>
        <v>0</v>
      </c>
      <c r="AL50" s="787">
        <f t="shared" si="9"/>
        <v>0</v>
      </c>
      <c r="AM50" s="787">
        <f t="shared" si="9"/>
        <v>0</v>
      </c>
      <c r="AN50" s="787">
        <f t="shared" si="9"/>
        <v>0</v>
      </c>
      <c r="AO50" s="787">
        <f t="shared" si="9"/>
        <v>0</v>
      </c>
      <c r="AP50" s="787">
        <f t="shared" si="9"/>
        <v>0</v>
      </c>
      <c r="AQ50" s="787">
        <f t="shared" si="9"/>
        <v>0</v>
      </c>
      <c r="AR50" s="787">
        <f t="shared" si="9"/>
        <v>0</v>
      </c>
      <c r="AS50" s="787">
        <f t="shared" si="9"/>
        <v>0</v>
      </c>
      <c r="AT50" s="787">
        <f t="shared" si="9"/>
        <v>0</v>
      </c>
      <c r="AU50" s="787">
        <f t="shared" si="9"/>
        <v>0</v>
      </c>
      <c r="AV50" s="787">
        <f t="shared" si="9"/>
        <v>0</v>
      </c>
      <c r="AW50" s="787">
        <f t="shared" si="9"/>
        <v>0</v>
      </c>
      <c r="AX50" s="787">
        <f t="shared" si="9"/>
        <v>0</v>
      </c>
      <c r="AY50" s="787">
        <f t="shared" si="9"/>
        <v>0</v>
      </c>
      <c r="AZ50" s="787">
        <f t="shared" si="9"/>
        <v>0</v>
      </c>
      <c r="BA50" s="787">
        <f t="shared" si="9"/>
        <v>0</v>
      </c>
      <c r="BB50" s="787">
        <f t="shared" si="9"/>
        <v>0</v>
      </c>
      <c r="BC50" s="839"/>
      <c r="BF50" s="689" t="s">
        <v>945</v>
      </c>
    </row>
    <row r="51" spans="2:58" ht="14.65" hidden="1" customHeight="1">
      <c r="E51" s="460">
        <v>15</v>
      </c>
      <c r="F51" s="3" cm="1">
        <f t="array" aca="1" ref="F51" ca="1">OFFSET(E51,-1,1)</f>
        <v>0</v>
      </c>
      <c r="G51" s="41" t="s">
        <v>946</v>
      </c>
      <c r="T51" s="365" t="b" cm="1">
        <f t="array" ref="T51">T50</f>
        <v>0</v>
      </c>
      <c r="X51" s="1094"/>
      <c r="Z51" s="1095"/>
      <c r="AB51" s="26" t="s">
        <v>729</v>
      </c>
      <c r="AC51" s="146" t="s">
        <v>911</v>
      </c>
      <c r="AD51" s="27" t="s">
        <v>804</v>
      </c>
      <c r="AE51" s="787">
        <f t="shared" ref="AE51:BB51" si="10">AE33+AE39-AE45</f>
        <v>0</v>
      </c>
      <c r="AF51" s="787">
        <f t="shared" si="10"/>
        <v>0</v>
      </c>
      <c r="AG51" s="787">
        <f t="shared" si="10"/>
        <v>0</v>
      </c>
      <c r="AH51" s="787">
        <f t="shared" si="10"/>
        <v>0</v>
      </c>
      <c r="AI51" s="787">
        <f t="shared" si="10"/>
        <v>0</v>
      </c>
      <c r="AJ51" s="787">
        <f t="shared" si="10"/>
        <v>0</v>
      </c>
      <c r="AK51" s="787">
        <f t="shared" si="10"/>
        <v>0</v>
      </c>
      <c r="AL51" s="787">
        <f t="shared" si="10"/>
        <v>0</v>
      </c>
      <c r="AM51" s="787">
        <f t="shared" si="10"/>
        <v>0</v>
      </c>
      <c r="AN51" s="787">
        <f t="shared" si="10"/>
        <v>0</v>
      </c>
      <c r="AO51" s="787">
        <f t="shared" si="10"/>
        <v>0</v>
      </c>
      <c r="AP51" s="787">
        <f t="shared" si="10"/>
        <v>0</v>
      </c>
      <c r="AQ51" s="787">
        <f t="shared" si="10"/>
        <v>0</v>
      </c>
      <c r="AR51" s="787">
        <f t="shared" si="10"/>
        <v>0</v>
      </c>
      <c r="AS51" s="787">
        <f t="shared" si="10"/>
        <v>0</v>
      </c>
      <c r="AT51" s="787">
        <f t="shared" si="10"/>
        <v>0</v>
      </c>
      <c r="AU51" s="787">
        <f t="shared" si="10"/>
        <v>0</v>
      </c>
      <c r="AV51" s="787">
        <f t="shared" si="10"/>
        <v>0</v>
      </c>
      <c r="AW51" s="787">
        <f t="shared" si="10"/>
        <v>0</v>
      </c>
      <c r="AX51" s="787">
        <f t="shared" si="10"/>
        <v>0</v>
      </c>
      <c r="AY51" s="787">
        <f t="shared" si="10"/>
        <v>0</v>
      </c>
      <c r="AZ51" s="787">
        <f t="shared" si="10"/>
        <v>0</v>
      </c>
      <c r="BA51" s="787">
        <f t="shared" si="10"/>
        <v>0</v>
      </c>
      <c r="BB51" s="787">
        <f t="shared" si="10"/>
        <v>0</v>
      </c>
      <c r="BC51" s="839"/>
      <c r="BF51" s="689" t="s">
        <v>947</v>
      </c>
    </row>
    <row r="52" spans="2:58" s="82" customFormat="1" ht="14.65" hidden="1" customHeight="1">
      <c r="B52" s="340"/>
      <c r="E52" s="460">
        <v>15</v>
      </c>
      <c r="F52" s="3" cm="1">
        <f t="array" aca="1" ref="F52" ca="1">OFFSET(E52,-1,1)</f>
        <v>0</v>
      </c>
      <c r="G52" s="41" t="s">
        <v>330</v>
      </c>
      <c r="T52" s="365" t="b" cm="1">
        <f t="array" ref="T52">T51</f>
        <v>0</v>
      </c>
      <c r="X52" s="1094"/>
      <c r="Z52" s="1095"/>
      <c r="AB52" s="143">
        <v>5</v>
      </c>
      <c r="AC52" s="144" t="s">
        <v>948</v>
      </c>
      <c r="AD52" s="27" t="s">
        <v>804</v>
      </c>
      <c r="AE52" s="783">
        <f t="shared" ref="AE52:BB52" si="11">SUM(AE53:AE57)</f>
        <v>0</v>
      </c>
      <c r="AF52" s="783">
        <f t="shared" si="11"/>
        <v>0</v>
      </c>
      <c r="AG52" s="783">
        <f t="shared" si="11"/>
        <v>0</v>
      </c>
      <c r="AH52" s="783">
        <f t="shared" si="11"/>
        <v>0</v>
      </c>
      <c r="AI52" s="783">
        <f t="shared" si="11"/>
        <v>0</v>
      </c>
      <c r="AJ52" s="783">
        <f t="shared" si="11"/>
        <v>0</v>
      </c>
      <c r="AK52" s="783">
        <f t="shared" si="11"/>
        <v>0</v>
      </c>
      <c r="AL52" s="783">
        <f t="shared" si="11"/>
        <v>0</v>
      </c>
      <c r="AM52" s="783">
        <f t="shared" si="11"/>
        <v>0</v>
      </c>
      <c r="AN52" s="783">
        <f t="shared" si="11"/>
        <v>0</v>
      </c>
      <c r="AO52" s="783">
        <f t="shared" si="11"/>
        <v>0</v>
      </c>
      <c r="AP52" s="783">
        <f t="shared" si="11"/>
        <v>0</v>
      </c>
      <c r="AQ52" s="783">
        <f t="shared" si="11"/>
        <v>0</v>
      </c>
      <c r="AR52" s="783">
        <f t="shared" si="11"/>
        <v>0</v>
      </c>
      <c r="AS52" s="783">
        <f t="shared" si="11"/>
        <v>0</v>
      </c>
      <c r="AT52" s="783">
        <f t="shared" si="11"/>
        <v>0</v>
      </c>
      <c r="AU52" s="783">
        <f t="shared" si="11"/>
        <v>0</v>
      </c>
      <c r="AV52" s="783">
        <f t="shared" si="11"/>
        <v>0</v>
      </c>
      <c r="AW52" s="783">
        <f t="shared" si="11"/>
        <v>0</v>
      </c>
      <c r="AX52" s="783">
        <f t="shared" si="11"/>
        <v>0</v>
      </c>
      <c r="AY52" s="783">
        <f t="shared" si="11"/>
        <v>0</v>
      </c>
      <c r="AZ52" s="783">
        <f t="shared" si="11"/>
        <v>0</v>
      </c>
      <c r="BA52" s="783">
        <f t="shared" si="11"/>
        <v>0</v>
      </c>
      <c r="BB52" s="783">
        <f t="shared" si="11"/>
        <v>0</v>
      </c>
      <c r="BC52" s="839"/>
      <c r="BF52" s="689" t="s">
        <v>949</v>
      </c>
    </row>
    <row r="53" spans="2:58" ht="14.65" hidden="1" customHeight="1">
      <c r="E53" s="460">
        <v>15</v>
      </c>
      <c r="F53" s="3" cm="1">
        <f t="array" aca="1" ref="F53" ca="1">OFFSET(E53,-1,1)</f>
        <v>0</v>
      </c>
      <c r="G53" s="41" t="s">
        <v>550</v>
      </c>
      <c r="T53" s="365" t="b" cm="1">
        <f t="array" ref="T53">T52</f>
        <v>0</v>
      </c>
      <c r="X53" s="1094"/>
      <c r="Z53" s="1095"/>
      <c r="AB53" s="26" t="s">
        <v>680</v>
      </c>
      <c r="AC53" s="146" t="s">
        <v>898</v>
      </c>
      <c r="AD53" s="27" t="s">
        <v>804</v>
      </c>
      <c r="AE53" s="787">
        <f t="shared" ref="AE53:BB53" si="12">(AE47+AE29)/2</f>
        <v>0</v>
      </c>
      <c r="AF53" s="787">
        <f t="shared" si="12"/>
        <v>0</v>
      </c>
      <c r="AG53" s="787">
        <f t="shared" si="12"/>
        <v>0</v>
      </c>
      <c r="AH53" s="787">
        <f t="shared" si="12"/>
        <v>0</v>
      </c>
      <c r="AI53" s="787">
        <f t="shared" si="12"/>
        <v>0</v>
      </c>
      <c r="AJ53" s="787">
        <f t="shared" si="12"/>
        <v>0</v>
      </c>
      <c r="AK53" s="787">
        <f t="shared" si="12"/>
        <v>0</v>
      </c>
      <c r="AL53" s="787">
        <f t="shared" si="12"/>
        <v>0</v>
      </c>
      <c r="AM53" s="787">
        <f t="shared" si="12"/>
        <v>0</v>
      </c>
      <c r="AN53" s="787">
        <f t="shared" si="12"/>
        <v>0</v>
      </c>
      <c r="AO53" s="787">
        <f t="shared" si="12"/>
        <v>0</v>
      </c>
      <c r="AP53" s="787">
        <f t="shared" si="12"/>
        <v>0</v>
      </c>
      <c r="AQ53" s="787">
        <f t="shared" si="12"/>
        <v>0</v>
      </c>
      <c r="AR53" s="787">
        <f t="shared" si="12"/>
        <v>0</v>
      </c>
      <c r="AS53" s="787">
        <f t="shared" si="12"/>
        <v>0</v>
      </c>
      <c r="AT53" s="787">
        <f t="shared" si="12"/>
        <v>0</v>
      </c>
      <c r="AU53" s="787">
        <f t="shared" si="12"/>
        <v>0</v>
      </c>
      <c r="AV53" s="787">
        <f t="shared" si="12"/>
        <v>0</v>
      </c>
      <c r="AW53" s="787">
        <f t="shared" si="12"/>
        <v>0</v>
      </c>
      <c r="AX53" s="787">
        <f t="shared" si="12"/>
        <v>0</v>
      </c>
      <c r="AY53" s="787">
        <f t="shared" si="12"/>
        <v>0</v>
      </c>
      <c r="AZ53" s="787">
        <f t="shared" si="12"/>
        <v>0</v>
      </c>
      <c r="BA53" s="787">
        <f t="shared" si="12"/>
        <v>0</v>
      </c>
      <c r="BB53" s="787">
        <f t="shared" si="12"/>
        <v>0</v>
      </c>
      <c r="BC53" s="839"/>
      <c r="BF53" s="689" t="s">
        <v>950</v>
      </c>
    </row>
    <row r="54" spans="2:58" ht="14.65" hidden="1" customHeight="1">
      <c r="E54" s="460">
        <v>15</v>
      </c>
      <c r="F54" s="3" cm="1">
        <f t="array" aca="1" ref="F54" ca="1">OFFSET(E54,-1,1)</f>
        <v>0</v>
      </c>
      <c r="G54" s="41" t="s">
        <v>554</v>
      </c>
      <c r="T54" s="365" t="b" cm="1">
        <f t="array" ref="T54">T53</f>
        <v>0</v>
      </c>
      <c r="X54" s="1094"/>
      <c r="Z54" s="1095"/>
      <c r="AB54" s="26" t="s">
        <v>683</v>
      </c>
      <c r="AC54" s="146" t="s">
        <v>901</v>
      </c>
      <c r="AD54" s="27" t="s">
        <v>804</v>
      </c>
      <c r="AE54" s="787">
        <f t="shared" ref="AE54:BB54" si="13">(AE48+AE30)/2</f>
        <v>0</v>
      </c>
      <c r="AF54" s="787">
        <f t="shared" si="13"/>
        <v>0</v>
      </c>
      <c r="AG54" s="787">
        <f t="shared" si="13"/>
        <v>0</v>
      </c>
      <c r="AH54" s="787">
        <f t="shared" si="13"/>
        <v>0</v>
      </c>
      <c r="AI54" s="787">
        <f t="shared" si="13"/>
        <v>0</v>
      </c>
      <c r="AJ54" s="787">
        <f t="shared" si="13"/>
        <v>0</v>
      </c>
      <c r="AK54" s="787">
        <f t="shared" si="13"/>
        <v>0</v>
      </c>
      <c r="AL54" s="787">
        <f t="shared" si="13"/>
        <v>0</v>
      </c>
      <c r="AM54" s="787">
        <f t="shared" si="13"/>
        <v>0</v>
      </c>
      <c r="AN54" s="787">
        <f t="shared" si="13"/>
        <v>0</v>
      </c>
      <c r="AO54" s="787">
        <f t="shared" si="13"/>
        <v>0</v>
      </c>
      <c r="AP54" s="787">
        <f t="shared" si="13"/>
        <v>0</v>
      </c>
      <c r="AQ54" s="787">
        <f t="shared" si="13"/>
        <v>0</v>
      </c>
      <c r="AR54" s="787">
        <f t="shared" si="13"/>
        <v>0</v>
      </c>
      <c r="AS54" s="787">
        <f t="shared" si="13"/>
        <v>0</v>
      </c>
      <c r="AT54" s="787">
        <f t="shared" si="13"/>
        <v>0</v>
      </c>
      <c r="AU54" s="787">
        <f t="shared" si="13"/>
        <v>0</v>
      </c>
      <c r="AV54" s="787">
        <f t="shared" si="13"/>
        <v>0</v>
      </c>
      <c r="AW54" s="787">
        <f t="shared" si="13"/>
        <v>0</v>
      </c>
      <c r="AX54" s="787">
        <f t="shared" si="13"/>
        <v>0</v>
      </c>
      <c r="AY54" s="787">
        <f t="shared" si="13"/>
        <v>0</v>
      </c>
      <c r="AZ54" s="787">
        <f t="shared" si="13"/>
        <v>0</v>
      </c>
      <c r="BA54" s="787">
        <f t="shared" si="13"/>
        <v>0</v>
      </c>
      <c r="BB54" s="787">
        <f t="shared" si="13"/>
        <v>0</v>
      </c>
      <c r="BC54" s="839"/>
      <c r="BF54" s="689" t="s">
        <v>951</v>
      </c>
    </row>
    <row r="55" spans="2:58" ht="14.65" hidden="1" customHeight="1">
      <c r="E55" s="460">
        <v>15</v>
      </c>
      <c r="F55" s="3" cm="1">
        <f t="array" aca="1" ref="F55" ca="1">OFFSET(E55,-1,1)</f>
        <v>0</v>
      </c>
      <c r="G55" s="41" t="s">
        <v>770</v>
      </c>
      <c r="T55" s="365" t="b" cm="1">
        <f t="array" ref="T55">T54</f>
        <v>0</v>
      </c>
      <c r="X55" s="1094"/>
      <c r="Z55" s="1095"/>
      <c r="AB55" s="26" t="s">
        <v>952</v>
      </c>
      <c r="AC55" s="146" t="s">
        <v>904</v>
      </c>
      <c r="AD55" s="27" t="s">
        <v>804</v>
      </c>
      <c r="AE55" s="787">
        <f t="shared" ref="AE55:BB55" si="14">(AE49+AE31)/2</f>
        <v>0</v>
      </c>
      <c r="AF55" s="787">
        <f t="shared" si="14"/>
        <v>0</v>
      </c>
      <c r="AG55" s="787">
        <f t="shared" si="14"/>
        <v>0</v>
      </c>
      <c r="AH55" s="787">
        <f t="shared" si="14"/>
        <v>0</v>
      </c>
      <c r="AI55" s="787">
        <f t="shared" si="14"/>
        <v>0</v>
      </c>
      <c r="AJ55" s="787">
        <f t="shared" si="14"/>
        <v>0</v>
      </c>
      <c r="AK55" s="787">
        <f t="shared" si="14"/>
        <v>0</v>
      </c>
      <c r="AL55" s="787">
        <f t="shared" si="14"/>
        <v>0</v>
      </c>
      <c r="AM55" s="787">
        <f t="shared" si="14"/>
        <v>0</v>
      </c>
      <c r="AN55" s="787">
        <f t="shared" si="14"/>
        <v>0</v>
      </c>
      <c r="AO55" s="787">
        <f t="shared" si="14"/>
        <v>0</v>
      </c>
      <c r="AP55" s="787">
        <f t="shared" si="14"/>
        <v>0</v>
      </c>
      <c r="AQ55" s="787">
        <f t="shared" si="14"/>
        <v>0</v>
      </c>
      <c r="AR55" s="787">
        <f t="shared" si="14"/>
        <v>0</v>
      </c>
      <c r="AS55" s="787">
        <f t="shared" si="14"/>
        <v>0</v>
      </c>
      <c r="AT55" s="787">
        <f t="shared" si="14"/>
        <v>0</v>
      </c>
      <c r="AU55" s="787">
        <f t="shared" si="14"/>
        <v>0</v>
      </c>
      <c r="AV55" s="787">
        <f t="shared" si="14"/>
        <v>0</v>
      </c>
      <c r="AW55" s="787">
        <f t="shared" si="14"/>
        <v>0</v>
      </c>
      <c r="AX55" s="787">
        <f t="shared" si="14"/>
        <v>0</v>
      </c>
      <c r="AY55" s="787">
        <f t="shared" si="14"/>
        <v>0</v>
      </c>
      <c r="AZ55" s="787">
        <f t="shared" si="14"/>
        <v>0</v>
      </c>
      <c r="BA55" s="787">
        <f t="shared" si="14"/>
        <v>0</v>
      </c>
      <c r="BB55" s="787">
        <f t="shared" si="14"/>
        <v>0</v>
      </c>
      <c r="BC55" s="839"/>
      <c r="BF55" s="689" t="s">
        <v>953</v>
      </c>
    </row>
    <row r="56" spans="2:58" ht="14.65" hidden="1" customHeight="1">
      <c r="E56" s="460">
        <v>15</v>
      </c>
      <c r="F56" s="3" cm="1">
        <f t="array" aca="1" ref="F56" ca="1">OFFSET(E56,-1,1)</f>
        <v>0</v>
      </c>
      <c r="G56" s="41" t="s">
        <v>954</v>
      </c>
      <c r="T56" s="365" t="b" cm="1">
        <f t="array" ref="T56">T55</f>
        <v>0</v>
      </c>
      <c r="X56" s="1094"/>
      <c r="Z56" s="1095"/>
      <c r="AB56" s="26" t="s">
        <v>955</v>
      </c>
      <c r="AC56" s="146" t="s">
        <v>907</v>
      </c>
      <c r="AD56" s="27" t="s">
        <v>804</v>
      </c>
      <c r="AE56" s="787">
        <f t="shared" ref="AE56:BB56" si="15">(AE50+AE32)/2</f>
        <v>0</v>
      </c>
      <c r="AF56" s="787">
        <f t="shared" si="15"/>
        <v>0</v>
      </c>
      <c r="AG56" s="787">
        <f t="shared" si="15"/>
        <v>0</v>
      </c>
      <c r="AH56" s="787">
        <f t="shared" si="15"/>
        <v>0</v>
      </c>
      <c r="AI56" s="787">
        <f t="shared" si="15"/>
        <v>0</v>
      </c>
      <c r="AJ56" s="787">
        <f t="shared" si="15"/>
        <v>0</v>
      </c>
      <c r="AK56" s="787">
        <f t="shared" si="15"/>
        <v>0</v>
      </c>
      <c r="AL56" s="787">
        <f t="shared" si="15"/>
        <v>0</v>
      </c>
      <c r="AM56" s="787">
        <f t="shared" si="15"/>
        <v>0</v>
      </c>
      <c r="AN56" s="787">
        <f t="shared" si="15"/>
        <v>0</v>
      </c>
      <c r="AO56" s="787">
        <f t="shared" si="15"/>
        <v>0</v>
      </c>
      <c r="AP56" s="787">
        <f t="shared" si="15"/>
        <v>0</v>
      </c>
      <c r="AQ56" s="787">
        <f t="shared" si="15"/>
        <v>0</v>
      </c>
      <c r="AR56" s="787">
        <f t="shared" si="15"/>
        <v>0</v>
      </c>
      <c r="AS56" s="787">
        <f t="shared" si="15"/>
        <v>0</v>
      </c>
      <c r="AT56" s="787">
        <f t="shared" si="15"/>
        <v>0</v>
      </c>
      <c r="AU56" s="787">
        <f t="shared" si="15"/>
        <v>0</v>
      </c>
      <c r="AV56" s="787">
        <f t="shared" si="15"/>
        <v>0</v>
      </c>
      <c r="AW56" s="787">
        <f t="shared" si="15"/>
        <v>0</v>
      </c>
      <c r="AX56" s="787">
        <f t="shared" si="15"/>
        <v>0</v>
      </c>
      <c r="AY56" s="787">
        <f t="shared" si="15"/>
        <v>0</v>
      </c>
      <c r="AZ56" s="787">
        <f t="shared" si="15"/>
        <v>0</v>
      </c>
      <c r="BA56" s="787">
        <f t="shared" si="15"/>
        <v>0</v>
      </c>
      <c r="BB56" s="787">
        <f t="shared" si="15"/>
        <v>0</v>
      </c>
      <c r="BC56" s="839"/>
      <c r="BF56" s="689" t="s">
        <v>956</v>
      </c>
    </row>
    <row r="57" spans="2:58" ht="14.65" hidden="1" customHeight="1">
      <c r="E57" s="460">
        <v>15</v>
      </c>
      <c r="F57" s="3" cm="1">
        <f t="array" aca="1" ref="F57" ca="1">OFFSET(E57,-1,1)</f>
        <v>0</v>
      </c>
      <c r="G57" s="41" t="s">
        <v>957</v>
      </c>
      <c r="T57" s="365" t="b" cm="1">
        <f t="array" ref="T57">T56</f>
        <v>0</v>
      </c>
      <c r="X57" s="1094"/>
      <c r="Z57" s="1095"/>
      <c r="AB57" s="26" t="s">
        <v>958</v>
      </c>
      <c r="AC57" s="146" t="s">
        <v>911</v>
      </c>
      <c r="AD57" s="27" t="s">
        <v>804</v>
      </c>
      <c r="AE57" s="787">
        <f t="shared" ref="AE57:BB57" si="16">(AE51+AE33)/2</f>
        <v>0</v>
      </c>
      <c r="AF57" s="787">
        <f t="shared" si="16"/>
        <v>0</v>
      </c>
      <c r="AG57" s="787">
        <f t="shared" si="16"/>
        <v>0</v>
      </c>
      <c r="AH57" s="787">
        <f t="shared" si="16"/>
        <v>0</v>
      </c>
      <c r="AI57" s="787">
        <f t="shared" si="16"/>
        <v>0</v>
      </c>
      <c r="AJ57" s="787">
        <f t="shared" si="16"/>
        <v>0</v>
      </c>
      <c r="AK57" s="787">
        <f t="shared" si="16"/>
        <v>0</v>
      </c>
      <c r="AL57" s="787">
        <f t="shared" si="16"/>
        <v>0</v>
      </c>
      <c r="AM57" s="787">
        <f t="shared" si="16"/>
        <v>0</v>
      </c>
      <c r="AN57" s="787">
        <f t="shared" si="16"/>
        <v>0</v>
      </c>
      <c r="AO57" s="787">
        <f t="shared" si="16"/>
        <v>0</v>
      </c>
      <c r="AP57" s="787">
        <f t="shared" si="16"/>
        <v>0</v>
      </c>
      <c r="AQ57" s="787">
        <f t="shared" si="16"/>
        <v>0</v>
      </c>
      <c r="AR57" s="787">
        <f t="shared" si="16"/>
        <v>0</v>
      </c>
      <c r="AS57" s="787">
        <f t="shared" si="16"/>
        <v>0</v>
      </c>
      <c r="AT57" s="787">
        <f t="shared" si="16"/>
        <v>0</v>
      </c>
      <c r="AU57" s="787">
        <f t="shared" si="16"/>
        <v>0</v>
      </c>
      <c r="AV57" s="787">
        <f t="shared" si="16"/>
        <v>0</v>
      </c>
      <c r="AW57" s="787">
        <f t="shared" si="16"/>
        <v>0</v>
      </c>
      <c r="AX57" s="787">
        <f t="shared" si="16"/>
        <v>0</v>
      </c>
      <c r="AY57" s="787">
        <f t="shared" si="16"/>
        <v>0</v>
      </c>
      <c r="AZ57" s="787">
        <f t="shared" si="16"/>
        <v>0</v>
      </c>
      <c r="BA57" s="787">
        <f t="shared" si="16"/>
        <v>0</v>
      </c>
      <c r="BB57" s="787">
        <f t="shared" si="16"/>
        <v>0</v>
      </c>
      <c r="BC57" s="839"/>
      <c r="BF57" s="689" t="s">
        <v>959</v>
      </c>
    </row>
    <row r="58" spans="2:58" s="82" customFormat="1" ht="21.95" hidden="1" customHeight="1">
      <c r="B58" s="340"/>
      <c r="E58" s="499">
        <v>22.5</v>
      </c>
      <c r="F58" s="3" cm="1">
        <f t="array" aca="1" ref="F58" ca="1">OFFSET(E58,-1,1)</f>
        <v>0</v>
      </c>
      <c r="G58" s="41" t="s">
        <v>511</v>
      </c>
      <c r="T58" s="365" t="b" cm="1">
        <f t="array" ref="T58">T57</f>
        <v>0</v>
      </c>
      <c r="X58" s="1094"/>
      <c r="Z58" s="1095"/>
      <c r="AB58" s="143">
        <v>6</v>
      </c>
      <c r="AC58" s="144" t="s">
        <v>960</v>
      </c>
      <c r="AD58" s="143"/>
      <c r="AE58" s="148"/>
      <c r="AF58" s="148"/>
      <c r="AG58" s="148"/>
      <c r="AH58" s="148"/>
      <c r="AI58" s="148"/>
      <c r="AJ58" s="148"/>
      <c r="AK58" s="148"/>
      <c r="AL58" s="148"/>
      <c r="AM58" s="148"/>
      <c r="AN58" s="148"/>
      <c r="AO58" s="148"/>
      <c r="AP58" s="148"/>
      <c r="AQ58" s="148"/>
      <c r="AR58" s="148"/>
      <c r="AS58" s="148"/>
      <c r="AT58" s="148"/>
      <c r="AU58" s="148"/>
      <c r="AV58" s="148"/>
      <c r="AW58" s="148"/>
      <c r="AX58" s="148"/>
      <c r="AY58" s="148"/>
      <c r="AZ58" s="148"/>
      <c r="BA58" s="148"/>
      <c r="BB58" s="148"/>
      <c r="BC58" s="839"/>
      <c r="BF58" s="689" t="s">
        <v>961</v>
      </c>
    </row>
    <row r="59" spans="2:58" ht="14.65" hidden="1" customHeight="1">
      <c r="E59" s="460">
        <v>15</v>
      </c>
      <c r="F59" s="3" cm="1">
        <f t="array" aca="1" ref="F59" ca="1">OFFSET(E59,-1,1)</f>
        <v>0</v>
      </c>
      <c r="G59" s="41" t="s">
        <v>672</v>
      </c>
      <c r="T59" s="365" t="b" cm="1">
        <f t="array" ref="T59">T58</f>
        <v>0</v>
      </c>
      <c r="X59" s="1094"/>
      <c r="Z59" s="1095"/>
      <c r="AB59" s="26" t="s">
        <v>566</v>
      </c>
      <c r="AC59" s="146" t="s">
        <v>898</v>
      </c>
      <c r="AD59" s="26" t="s">
        <v>456</v>
      </c>
      <c r="AE59" s="787">
        <f t="shared" ref="AE59:BB59" si="17">IF(AE53=0,0,AE65/AE53*100)</f>
        <v>0</v>
      </c>
      <c r="AF59" s="787">
        <f t="shared" si="17"/>
        <v>0</v>
      </c>
      <c r="AG59" s="787">
        <f t="shared" si="17"/>
        <v>0</v>
      </c>
      <c r="AH59" s="787">
        <f t="shared" si="17"/>
        <v>0</v>
      </c>
      <c r="AI59" s="787">
        <f t="shared" si="17"/>
        <v>0</v>
      </c>
      <c r="AJ59" s="787">
        <f t="shared" si="17"/>
        <v>0</v>
      </c>
      <c r="AK59" s="787">
        <f t="shared" si="17"/>
        <v>0</v>
      </c>
      <c r="AL59" s="787">
        <f t="shared" si="17"/>
        <v>0</v>
      </c>
      <c r="AM59" s="787">
        <f t="shared" si="17"/>
        <v>0</v>
      </c>
      <c r="AN59" s="787">
        <f t="shared" si="17"/>
        <v>0</v>
      </c>
      <c r="AO59" s="787">
        <f t="shared" si="17"/>
        <v>0</v>
      </c>
      <c r="AP59" s="787">
        <f t="shared" si="17"/>
        <v>0</v>
      </c>
      <c r="AQ59" s="787">
        <f t="shared" si="17"/>
        <v>0</v>
      </c>
      <c r="AR59" s="787">
        <f t="shared" si="17"/>
        <v>0</v>
      </c>
      <c r="AS59" s="787">
        <f t="shared" si="17"/>
        <v>0</v>
      </c>
      <c r="AT59" s="787">
        <f t="shared" si="17"/>
        <v>0</v>
      </c>
      <c r="AU59" s="787">
        <f t="shared" si="17"/>
        <v>0</v>
      </c>
      <c r="AV59" s="787">
        <f t="shared" si="17"/>
        <v>0</v>
      </c>
      <c r="AW59" s="787">
        <f t="shared" si="17"/>
        <v>0</v>
      </c>
      <c r="AX59" s="787">
        <f t="shared" si="17"/>
        <v>0</v>
      </c>
      <c r="AY59" s="787">
        <f t="shared" si="17"/>
        <v>0</v>
      </c>
      <c r="AZ59" s="787">
        <f t="shared" si="17"/>
        <v>0</v>
      </c>
      <c r="BA59" s="787">
        <f t="shared" si="17"/>
        <v>0</v>
      </c>
      <c r="BB59" s="787">
        <f t="shared" si="17"/>
        <v>0</v>
      </c>
      <c r="BC59" s="839"/>
      <c r="BF59" s="689" t="s">
        <v>962</v>
      </c>
    </row>
    <row r="60" spans="2:58" ht="14.65" hidden="1" customHeight="1">
      <c r="E60" s="460">
        <v>15</v>
      </c>
      <c r="F60" s="3" cm="1">
        <f t="array" aca="1" ref="F60" ca="1">OFFSET(E60,-1,1)</f>
        <v>0</v>
      </c>
      <c r="G60" s="41" t="s">
        <v>675</v>
      </c>
      <c r="T60" s="365" t="b" cm="1">
        <f t="array" ref="T60">T59</f>
        <v>0</v>
      </c>
      <c r="X60" s="1094"/>
      <c r="Z60" s="1095"/>
      <c r="AB60" s="26" t="s">
        <v>570</v>
      </c>
      <c r="AC60" s="146" t="s">
        <v>901</v>
      </c>
      <c r="AD60" s="26" t="s">
        <v>456</v>
      </c>
      <c r="AE60" s="787">
        <f t="shared" ref="AE60:BB60" si="18">IF(AE54=0,0,AE66/AE54*100)</f>
        <v>0</v>
      </c>
      <c r="AF60" s="787">
        <f t="shared" si="18"/>
        <v>0</v>
      </c>
      <c r="AG60" s="787">
        <f t="shared" si="18"/>
        <v>0</v>
      </c>
      <c r="AH60" s="787">
        <f t="shared" si="18"/>
        <v>0</v>
      </c>
      <c r="AI60" s="787">
        <f t="shared" si="18"/>
        <v>0</v>
      </c>
      <c r="AJ60" s="787">
        <f t="shared" si="18"/>
        <v>0</v>
      </c>
      <c r="AK60" s="787">
        <f t="shared" si="18"/>
        <v>0</v>
      </c>
      <c r="AL60" s="787">
        <f t="shared" si="18"/>
        <v>0</v>
      </c>
      <c r="AM60" s="787">
        <f t="shared" si="18"/>
        <v>0</v>
      </c>
      <c r="AN60" s="787">
        <f t="shared" si="18"/>
        <v>0</v>
      </c>
      <c r="AO60" s="787">
        <f t="shared" si="18"/>
        <v>0</v>
      </c>
      <c r="AP60" s="787">
        <f t="shared" si="18"/>
        <v>0</v>
      </c>
      <c r="AQ60" s="787">
        <f t="shared" si="18"/>
        <v>0</v>
      </c>
      <c r="AR60" s="787">
        <f t="shared" si="18"/>
        <v>0</v>
      </c>
      <c r="AS60" s="787">
        <f t="shared" si="18"/>
        <v>0</v>
      </c>
      <c r="AT60" s="787">
        <f t="shared" si="18"/>
        <v>0</v>
      </c>
      <c r="AU60" s="787">
        <f t="shared" si="18"/>
        <v>0</v>
      </c>
      <c r="AV60" s="787">
        <f t="shared" si="18"/>
        <v>0</v>
      </c>
      <c r="AW60" s="787">
        <f t="shared" si="18"/>
        <v>0</v>
      </c>
      <c r="AX60" s="787">
        <f t="shared" si="18"/>
        <v>0</v>
      </c>
      <c r="AY60" s="787">
        <f t="shared" si="18"/>
        <v>0</v>
      </c>
      <c r="AZ60" s="787">
        <f t="shared" si="18"/>
        <v>0</v>
      </c>
      <c r="BA60" s="787">
        <f t="shared" si="18"/>
        <v>0</v>
      </c>
      <c r="BB60" s="787">
        <f t="shared" si="18"/>
        <v>0</v>
      </c>
      <c r="BC60" s="839"/>
      <c r="BF60" s="689" t="s">
        <v>963</v>
      </c>
    </row>
    <row r="61" spans="2:58" ht="14.65" hidden="1" customHeight="1">
      <c r="E61" s="460">
        <v>15</v>
      </c>
      <c r="F61" s="3" cm="1">
        <f t="array" aca="1" ref="F61" ca="1">OFFSET(E61,-1,1)</f>
        <v>0</v>
      </c>
      <c r="G61" s="41" t="s">
        <v>709</v>
      </c>
      <c r="T61" s="365" t="b" cm="1">
        <f t="array" ref="T61">T60</f>
        <v>0</v>
      </c>
      <c r="X61" s="1094"/>
      <c r="Z61" s="1095"/>
      <c r="AB61" s="26" t="s">
        <v>574</v>
      </c>
      <c r="AC61" s="146" t="s">
        <v>904</v>
      </c>
      <c r="AD61" s="26" t="s">
        <v>456</v>
      </c>
      <c r="AE61" s="787">
        <f t="shared" ref="AE61:BB61" si="19">IF(AE55=0,0,AE67/AE55*100)</f>
        <v>0</v>
      </c>
      <c r="AF61" s="787">
        <f t="shared" si="19"/>
        <v>0</v>
      </c>
      <c r="AG61" s="787">
        <f t="shared" si="19"/>
        <v>0</v>
      </c>
      <c r="AH61" s="787">
        <f t="shared" si="19"/>
        <v>0</v>
      </c>
      <c r="AI61" s="787">
        <f t="shared" si="19"/>
        <v>0</v>
      </c>
      <c r="AJ61" s="787">
        <f t="shared" si="19"/>
        <v>0</v>
      </c>
      <c r="AK61" s="787">
        <f t="shared" si="19"/>
        <v>0</v>
      </c>
      <c r="AL61" s="787">
        <f t="shared" si="19"/>
        <v>0</v>
      </c>
      <c r="AM61" s="787">
        <f t="shared" si="19"/>
        <v>0</v>
      </c>
      <c r="AN61" s="787">
        <f t="shared" si="19"/>
        <v>0</v>
      </c>
      <c r="AO61" s="787">
        <f t="shared" si="19"/>
        <v>0</v>
      </c>
      <c r="AP61" s="787">
        <f t="shared" si="19"/>
        <v>0</v>
      </c>
      <c r="AQ61" s="787">
        <f t="shared" si="19"/>
        <v>0</v>
      </c>
      <c r="AR61" s="787">
        <f t="shared" si="19"/>
        <v>0</v>
      </c>
      <c r="AS61" s="787">
        <f t="shared" si="19"/>
        <v>0</v>
      </c>
      <c r="AT61" s="787">
        <f t="shared" si="19"/>
        <v>0</v>
      </c>
      <c r="AU61" s="787">
        <f t="shared" si="19"/>
        <v>0</v>
      </c>
      <c r="AV61" s="787">
        <f t="shared" si="19"/>
        <v>0</v>
      </c>
      <c r="AW61" s="787">
        <f t="shared" si="19"/>
        <v>0</v>
      </c>
      <c r="AX61" s="787">
        <f t="shared" si="19"/>
        <v>0</v>
      </c>
      <c r="AY61" s="787">
        <f t="shared" si="19"/>
        <v>0</v>
      </c>
      <c r="AZ61" s="787">
        <f t="shared" si="19"/>
        <v>0</v>
      </c>
      <c r="BA61" s="787">
        <f t="shared" si="19"/>
        <v>0</v>
      </c>
      <c r="BB61" s="787">
        <f t="shared" si="19"/>
        <v>0</v>
      </c>
      <c r="BC61" s="839"/>
      <c r="BF61" s="689" t="s">
        <v>964</v>
      </c>
    </row>
    <row r="62" spans="2:58" ht="14.65" hidden="1" customHeight="1">
      <c r="E62" s="460">
        <v>15</v>
      </c>
      <c r="F62" s="3" cm="1">
        <f t="array" aca="1" ref="F62" ca="1">OFFSET(E62,-1,1)</f>
        <v>0</v>
      </c>
      <c r="G62" s="41" t="s">
        <v>718</v>
      </c>
      <c r="T62" s="365" t="b" cm="1">
        <f t="array" ref="T62">T61</f>
        <v>0</v>
      </c>
      <c r="X62" s="1094"/>
      <c r="Z62" s="1095"/>
      <c r="AB62" s="26" t="s">
        <v>965</v>
      </c>
      <c r="AC62" s="146" t="s">
        <v>907</v>
      </c>
      <c r="AD62" s="26" t="s">
        <v>456</v>
      </c>
      <c r="AE62" s="787">
        <f t="shared" ref="AE62:BB62" si="20">IF(AE56=0,0,AE68/AE56*100)</f>
        <v>0</v>
      </c>
      <c r="AF62" s="787">
        <f t="shared" si="20"/>
        <v>0</v>
      </c>
      <c r="AG62" s="787">
        <f t="shared" si="20"/>
        <v>0</v>
      </c>
      <c r="AH62" s="787">
        <f t="shared" si="20"/>
        <v>0</v>
      </c>
      <c r="AI62" s="787">
        <f t="shared" si="20"/>
        <v>0</v>
      </c>
      <c r="AJ62" s="787">
        <f t="shared" si="20"/>
        <v>0</v>
      </c>
      <c r="AK62" s="787">
        <f t="shared" si="20"/>
        <v>0</v>
      </c>
      <c r="AL62" s="787">
        <f t="shared" si="20"/>
        <v>0</v>
      </c>
      <c r="AM62" s="787">
        <f t="shared" si="20"/>
        <v>0</v>
      </c>
      <c r="AN62" s="787">
        <f t="shared" si="20"/>
        <v>0</v>
      </c>
      <c r="AO62" s="787">
        <f t="shared" si="20"/>
        <v>0</v>
      </c>
      <c r="AP62" s="787">
        <f t="shared" si="20"/>
        <v>0</v>
      </c>
      <c r="AQ62" s="787">
        <f t="shared" si="20"/>
        <v>0</v>
      </c>
      <c r="AR62" s="787">
        <f t="shared" si="20"/>
        <v>0</v>
      </c>
      <c r="AS62" s="787">
        <f t="shared" si="20"/>
        <v>0</v>
      </c>
      <c r="AT62" s="787">
        <f t="shared" si="20"/>
        <v>0</v>
      </c>
      <c r="AU62" s="787">
        <f t="shared" si="20"/>
        <v>0</v>
      </c>
      <c r="AV62" s="787">
        <f t="shared" si="20"/>
        <v>0</v>
      </c>
      <c r="AW62" s="787">
        <f t="shared" si="20"/>
        <v>0</v>
      </c>
      <c r="AX62" s="787">
        <f t="shared" si="20"/>
        <v>0</v>
      </c>
      <c r="AY62" s="787">
        <f t="shared" si="20"/>
        <v>0</v>
      </c>
      <c r="AZ62" s="787">
        <f t="shared" si="20"/>
        <v>0</v>
      </c>
      <c r="BA62" s="787">
        <f t="shared" si="20"/>
        <v>0</v>
      </c>
      <c r="BB62" s="787">
        <f t="shared" si="20"/>
        <v>0</v>
      </c>
      <c r="BC62" s="839"/>
      <c r="BF62" s="689" t="s">
        <v>966</v>
      </c>
    </row>
    <row r="63" spans="2:58" ht="14.65" hidden="1" customHeight="1">
      <c r="E63" s="460">
        <v>15</v>
      </c>
      <c r="F63" s="3" cm="1">
        <f t="array" aca="1" ref="F63" ca="1">OFFSET(E63,-1,1)</f>
        <v>0</v>
      </c>
      <c r="G63" s="41" t="s">
        <v>728</v>
      </c>
      <c r="T63" s="365" t="b" cm="1">
        <f t="array" ref="T63">T62</f>
        <v>0</v>
      </c>
      <c r="X63" s="1094"/>
      <c r="Z63" s="1095"/>
      <c r="AB63" s="26" t="s">
        <v>967</v>
      </c>
      <c r="AC63" s="146" t="s">
        <v>911</v>
      </c>
      <c r="AD63" s="26" t="s">
        <v>456</v>
      </c>
      <c r="AE63" s="787">
        <f t="shared" ref="AE63:BB63" si="21">IF(AE57=0,0,AE69/AE57*100)</f>
        <v>0</v>
      </c>
      <c r="AF63" s="787">
        <f t="shared" si="21"/>
        <v>0</v>
      </c>
      <c r="AG63" s="787">
        <f t="shared" si="21"/>
        <v>0</v>
      </c>
      <c r="AH63" s="787">
        <f t="shared" si="21"/>
        <v>0</v>
      </c>
      <c r="AI63" s="787">
        <f t="shared" si="21"/>
        <v>0</v>
      </c>
      <c r="AJ63" s="787">
        <f t="shared" si="21"/>
        <v>0</v>
      </c>
      <c r="AK63" s="787">
        <f t="shared" si="21"/>
        <v>0</v>
      </c>
      <c r="AL63" s="787">
        <f t="shared" si="21"/>
        <v>0</v>
      </c>
      <c r="AM63" s="787">
        <f t="shared" si="21"/>
        <v>0</v>
      </c>
      <c r="AN63" s="787">
        <f t="shared" si="21"/>
        <v>0</v>
      </c>
      <c r="AO63" s="787">
        <f t="shared" si="21"/>
        <v>0</v>
      </c>
      <c r="AP63" s="787">
        <f t="shared" si="21"/>
        <v>0</v>
      </c>
      <c r="AQ63" s="787">
        <f t="shared" si="21"/>
        <v>0</v>
      </c>
      <c r="AR63" s="787">
        <f t="shared" si="21"/>
        <v>0</v>
      </c>
      <c r="AS63" s="787">
        <f t="shared" si="21"/>
        <v>0</v>
      </c>
      <c r="AT63" s="787">
        <f t="shared" si="21"/>
        <v>0</v>
      </c>
      <c r="AU63" s="787">
        <f t="shared" si="21"/>
        <v>0</v>
      </c>
      <c r="AV63" s="787">
        <f t="shared" si="21"/>
        <v>0</v>
      </c>
      <c r="AW63" s="787">
        <f t="shared" si="21"/>
        <v>0</v>
      </c>
      <c r="AX63" s="787">
        <f t="shared" si="21"/>
        <v>0</v>
      </c>
      <c r="AY63" s="787">
        <f t="shared" si="21"/>
        <v>0</v>
      </c>
      <c r="AZ63" s="787">
        <f t="shared" si="21"/>
        <v>0</v>
      </c>
      <c r="BA63" s="787">
        <f t="shared" si="21"/>
        <v>0</v>
      </c>
      <c r="BB63" s="787">
        <f t="shared" si="21"/>
        <v>0</v>
      </c>
      <c r="BC63" s="839"/>
      <c r="BF63" s="689" t="s">
        <v>968</v>
      </c>
    </row>
    <row r="64" spans="2:58" s="82" customFormat="1" ht="14.65" hidden="1" customHeight="1">
      <c r="B64" s="340"/>
      <c r="E64" s="460">
        <v>15</v>
      </c>
      <c r="F64" s="3" cm="1">
        <f t="array" aca="1" ref="F64" ca="1">OFFSET(E64,-1,1)</f>
        <v>0</v>
      </c>
      <c r="G64" s="41" t="s">
        <v>514</v>
      </c>
      <c r="K64" s="59" t="str">
        <f ca="1">F64&amp;"komm"</f>
        <v>0komm</v>
      </c>
      <c r="L64" s="618" cm="1">
        <f t="array" ref="L64">BC64</f>
        <v>0</v>
      </c>
      <c r="T64" s="365" t="b" cm="1">
        <f t="array" ref="T64">T63</f>
        <v>0</v>
      </c>
      <c r="X64" s="1094"/>
      <c r="Z64" s="1095"/>
      <c r="AB64" s="143">
        <v>7</v>
      </c>
      <c r="AC64" s="144" t="s">
        <v>969</v>
      </c>
      <c r="AD64" s="27" t="s">
        <v>804</v>
      </c>
      <c r="AE64" s="783">
        <f t="shared" ref="AE64:BB64" si="22">SUM(AE65:AE69)</f>
        <v>0</v>
      </c>
      <c r="AF64" s="783">
        <f t="shared" si="22"/>
        <v>0</v>
      </c>
      <c r="AG64" s="783">
        <f t="shared" si="22"/>
        <v>0</v>
      </c>
      <c r="AH64" s="783">
        <f t="shared" si="22"/>
        <v>0</v>
      </c>
      <c r="AI64" s="783">
        <f t="shared" si="22"/>
        <v>0</v>
      </c>
      <c r="AJ64" s="783">
        <f t="shared" si="22"/>
        <v>0</v>
      </c>
      <c r="AK64" s="783">
        <f t="shared" si="22"/>
        <v>0</v>
      </c>
      <c r="AL64" s="783">
        <f t="shared" si="22"/>
        <v>0</v>
      </c>
      <c r="AM64" s="783">
        <f t="shared" si="22"/>
        <v>0</v>
      </c>
      <c r="AN64" s="783">
        <f t="shared" si="22"/>
        <v>0</v>
      </c>
      <c r="AO64" s="783">
        <f t="shared" si="22"/>
        <v>0</v>
      </c>
      <c r="AP64" s="783">
        <f t="shared" si="22"/>
        <v>0</v>
      </c>
      <c r="AQ64" s="783">
        <f t="shared" si="22"/>
        <v>0</v>
      </c>
      <c r="AR64" s="783">
        <f t="shared" si="22"/>
        <v>0</v>
      </c>
      <c r="AS64" s="783">
        <f t="shared" si="22"/>
        <v>0</v>
      </c>
      <c r="AT64" s="783">
        <f t="shared" si="22"/>
        <v>0</v>
      </c>
      <c r="AU64" s="783">
        <f t="shared" si="22"/>
        <v>0</v>
      </c>
      <c r="AV64" s="783">
        <f t="shared" si="22"/>
        <v>0</v>
      </c>
      <c r="AW64" s="783">
        <f t="shared" si="22"/>
        <v>0</v>
      </c>
      <c r="AX64" s="783">
        <f t="shared" si="22"/>
        <v>0</v>
      </c>
      <c r="AY64" s="783">
        <f t="shared" si="22"/>
        <v>0</v>
      </c>
      <c r="AZ64" s="783">
        <f t="shared" si="22"/>
        <v>0</v>
      </c>
      <c r="BA64" s="783">
        <f t="shared" si="22"/>
        <v>0</v>
      </c>
      <c r="BB64" s="783">
        <f t="shared" si="22"/>
        <v>0</v>
      </c>
      <c r="BC64" s="839"/>
      <c r="BF64" s="689" t="s">
        <v>970</v>
      </c>
    </row>
    <row r="65" spans="2:58" ht="14.65" hidden="1" customHeight="1">
      <c r="E65" s="460">
        <v>15</v>
      </c>
      <c r="F65" s="3" cm="1">
        <f t="array" aca="1" ref="F65" ca="1">OFFSET(E65,-1,1)</f>
        <v>0</v>
      </c>
      <c r="G65" s="41" t="s">
        <v>679</v>
      </c>
      <c r="T65" s="365" t="b" cm="1">
        <f t="array" ref="T65">T64</f>
        <v>0</v>
      </c>
      <c r="X65" s="1094"/>
      <c r="Z65" s="1095"/>
      <c r="AB65" s="26" t="s">
        <v>582</v>
      </c>
      <c r="AC65" s="146" t="s">
        <v>898</v>
      </c>
      <c r="AD65" s="27" t="s">
        <v>804</v>
      </c>
      <c r="AE65" s="787"/>
      <c r="AF65" s="787"/>
      <c r="AG65" s="787"/>
      <c r="AH65" s="787"/>
      <c r="AI65" s="787"/>
      <c r="AJ65" s="787"/>
      <c r="AK65" s="787"/>
      <c r="AL65" s="787"/>
      <c r="AM65" s="787"/>
      <c r="AN65" s="787"/>
      <c r="AO65" s="787"/>
      <c r="AP65" s="787"/>
      <c r="AQ65" s="787"/>
      <c r="AR65" s="787"/>
      <c r="AS65" s="787"/>
      <c r="AT65" s="787"/>
      <c r="AU65" s="787"/>
      <c r="AV65" s="787"/>
      <c r="AW65" s="787"/>
      <c r="AX65" s="787"/>
      <c r="AY65" s="787"/>
      <c r="AZ65" s="787"/>
      <c r="BA65" s="787"/>
      <c r="BB65" s="787"/>
      <c r="BC65" s="839"/>
      <c r="BF65" s="689" t="s">
        <v>971</v>
      </c>
    </row>
    <row r="66" spans="2:58" ht="14.65" hidden="1" customHeight="1">
      <c r="E66" s="460">
        <v>15</v>
      </c>
      <c r="F66" s="3" cm="1">
        <f t="array" aca="1" ref="F66" ca="1">OFFSET(E66,-1,1)</f>
        <v>0</v>
      </c>
      <c r="G66" s="41" t="s">
        <v>682</v>
      </c>
      <c r="T66" s="365" t="b" cm="1">
        <f t="array" ref="T66">T65</f>
        <v>0</v>
      </c>
      <c r="X66" s="1094"/>
      <c r="Z66" s="1095"/>
      <c r="AB66" s="26" t="s">
        <v>972</v>
      </c>
      <c r="AC66" s="146" t="s">
        <v>901</v>
      </c>
      <c r="AD66" s="27" t="s">
        <v>804</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839"/>
      <c r="BF66" s="689" t="s">
        <v>973</v>
      </c>
    </row>
    <row r="67" spans="2:58" ht="14.65" hidden="1" customHeight="1">
      <c r="E67" s="460">
        <v>15</v>
      </c>
      <c r="F67" s="3" cm="1">
        <f t="array" aca="1" ref="F67" ca="1">OFFSET(E67,-1,1)</f>
        <v>0</v>
      </c>
      <c r="G67" s="41" t="s">
        <v>974</v>
      </c>
      <c r="T67" s="365" t="b" cm="1">
        <f t="array" ref="T67">T66</f>
        <v>0</v>
      </c>
      <c r="X67" s="1094"/>
      <c r="Z67" s="1095"/>
      <c r="AB67" s="26" t="s">
        <v>975</v>
      </c>
      <c r="AC67" s="146" t="s">
        <v>904</v>
      </c>
      <c r="AD67" s="27" t="s">
        <v>804</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839"/>
      <c r="BF67" s="689" t="s">
        <v>976</v>
      </c>
    </row>
    <row r="68" spans="2:58" ht="14.65" hidden="1" customHeight="1">
      <c r="E68" s="460">
        <v>15</v>
      </c>
      <c r="F68" s="3" cm="1">
        <f t="array" aca="1" ref="F68" ca="1">OFFSET(E68,-1,1)</f>
        <v>0</v>
      </c>
      <c r="G68" s="41" t="s">
        <v>977</v>
      </c>
      <c r="T68" s="365" t="b" cm="1">
        <f t="array" ref="T68">T67</f>
        <v>0</v>
      </c>
      <c r="X68" s="1094"/>
      <c r="Z68" s="1095"/>
      <c r="AB68" s="26" t="s">
        <v>978</v>
      </c>
      <c r="AC68" s="146" t="s">
        <v>907</v>
      </c>
      <c r="AD68" s="27" t="s">
        <v>804</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839"/>
      <c r="BF68" s="689" t="s">
        <v>979</v>
      </c>
    </row>
    <row r="69" spans="2:58" ht="14.65" hidden="1" customHeight="1">
      <c r="E69" s="460">
        <v>15</v>
      </c>
      <c r="F69" s="3" cm="1">
        <f t="array" aca="1" ref="F69" ca="1">OFFSET(E69,-1,1)</f>
        <v>0</v>
      </c>
      <c r="G69" s="41" t="s">
        <v>980</v>
      </c>
      <c r="T69" s="365" t="b" cm="1">
        <f t="array" ref="T69">T68</f>
        <v>0</v>
      </c>
      <c r="X69" s="1094"/>
      <c r="Z69" s="1095"/>
      <c r="AB69" s="26" t="s">
        <v>981</v>
      </c>
      <c r="AC69" s="146" t="s">
        <v>911</v>
      </c>
      <c r="AD69" s="27" t="s">
        <v>804</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839"/>
      <c r="BF69" s="689" t="s">
        <v>982</v>
      </c>
    </row>
    <row r="70" spans="2:58" s="82" customFormat="1" ht="14.65" hidden="1" customHeight="1">
      <c r="B70" s="340"/>
      <c r="E70" s="460">
        <v>15</v>
      </c>
      <c r="F70" s="3" cm="1">
        <f t="array" aca="1" ref="F70" ca="1">OFFSET(E70,-1,1)</f>
        <v>0</v>
      </c>
      <c r="G70" s="41" t="s">
        <v>562</v>
      </c>
      <c r="T70" s="365" t="b" cm="1">
        <f t="array" ref="T70">T69</f>
        <v>0</v>
      </c>
      <c r="X70" s="1094"/>
      <c r="Z70" s="1095"/>
      <c r="AB70" s="143">
        <v>8</v>
      </c>
      <c r="AC70" s="144" t="s">
        <v>983</v>
      </c>
      <c r="AD70" s="27" t="s">
        <v>804</v>
      </c>
      <c r="AE70" s="783">
        <f t="shared" ref="AE70:BB70" si="23">SUM(AE71:AE75)</f>
        <v>0</v>
      </c>
      <c r="AF70" s="783">
        <f t="shared" si="23"/>
        <v>0</v>
      </c>
      <c r="AG70" s="783">
        <f t="shared" si="23"/>
        <v>0</v>
      </c>
      <c r="AH70" s="783">
        <f t="shared" si="23"/>
        <v>0</v>
      </c>
      <c r="AI70" s="783">
        <f t="shared" si="23"/>
        <v>0</v>
      </c>
      <c r="AJ70" s="783">
        <f t="shared" si="23"/>
        <v>0</v>
      </c>
      <c r="AK70" s="783">
        <f t="shared" si="23"/>
        <v>0</v>
      </c>
      <c r="AL70" s="783">
        <f t="shared" si="23"/>
        <v>0</v>
      </c>
      <c r="AM70" s="783">
        <f t="shared" si="23"/>
        <v>0</v>
      </c>
      <c r="AN70" s="783">
        <f t="shared" si="23"/>
        <v>0</v>
      </c>
      <c r="AO70" s="783">
        <f t="shared" si="23"/>
        <v>0</v>
      </c>
      <c r="AP70" s="783">
        <f t="shared" si="23"/>
        <v>0</v>
      </c>
      <c r="AQ70" s="783">
        <f t="shared" si="23"/>
        <v>0</v>
      </c>
      <c r="AR70" s="783">
        <f t="shared" si="23"/>
        <v>0</v>
      </c>
      <c r="AS70" s="783">
        <f t="shared" si="23"/>
        <v>0</v>
      </c>
      <c r="AT70" s="783">
        <f t="shared" si="23"/>
        <v>0</v>
      </c>
      <c r="AU70" s="783">
        <f t="shared" si="23"/>
        <v>0</v>
      </c>
      <c r="AV70" s="783">
        <f t="shared" si="23"/>
        <v>0</v>
      </c>
      <c r="AW70" s="783">
        <f t="shared" si="23"/>
        <v>0</v>
      </c>
      <c r="AX70" s="783">
        <f t="shared" si="23"/>
        <v>0</v>
      </c>
      <c r="AY70" s="783">
        <f t="shared" si="23"/>
        <v>0</v>
      </c>
      <c r="AZ70" s="783">
        <f t="shared" si="23"/>
        <v>0</v>
      </c>
      <c r="BA70" s="783">
        <f t="shared" si="23"/>
        <v>0</v>
      </c>
      <c r="BB70" s="783">
        <f t="shared" si="23"/>
        <v>0</v>
      </c>
      <c r="BC70" s="839"/>
      <c r="BF70" s="689" t="s">
        <v>984</v>
      </c>
    </row>
    <row r="71" spans="2:58" ht="14.65" hidden="1" customHeight="1">
      <c r="E71" s="460">
        <v>15</v>
      </c>
      <c r="F71" s="3" cm="1">
        <f t="array" aca="1" ref="F71" ca="1">OFFSET(E71,-1,1)</f>
        <v>0</v>
      </c>
      <c r="G71" s="41" t="s">
        <v>565</v>
      </c>
      <c r="T71" s="365" t="b" cm="1">
        <f t="array" ref="T71">T70</f>
        <v>0</v>
      </c>
      <c r="X71" s="1094"/>
      <c r="Z71" s="1095"/>
      <c r="AB71" s="26" t="s">
        <v>590</v>
      </c>
      <c r="AC71" s="146" t="s">
        <v>898</v>
      </c>
      <c r="AD71" s="27" t="s">
        <v>804</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839"/>
      <c r="BF71" s="689" t="s">
        <v>985</v>
      </c>
    </row>
    <row r="72" spans="2:58" ht="14.65" hidden="1" customHeight="1">
      <c r="E72" s="460">
        <v>15</v>
      </c>
      <c r="F72" s="3" cm="1">
        <f t="array" aca="1" ref="F72" ca="1">OFFSET(E72,-1,1)</f>
        <v>0</v>
      </c>
      <c r="G72" s="41" t="s">
        <v>569</v>
      </c>
      <c r="T72" s="365" t="b" cm="1">
        <f t="array" ref="T72">T71</f>
        <v>0</v>
      </c>
      <c r="X72" s="1094"/>
      <c r="Z72" s="1095"/>
      <c r="AB72" s="26" t="s">
        <v>607</v>
      </c>
      <c r="AC72" s="146" t="s">
        <v>901</v>
      </c>
      <c r="AD72" s="27" t="s">
        <v>804</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839"/>
      <c r="BF72" s="689" t="s">
        <v>986</v>
      </c>
    </row>
    <row r="73" spans="2:58" ht="14.65" hidden="1" customHeight="1">
      <c r="E73" s="460">
        <v>15</v>
      </c>
      <c r="F73" s="3" cm="1">
        <f t="array" aca="1" ref="F73" ca="1">OFFSET(E73,-1,1)</f>
        <v>0</v>
      </c>
      <c r="G73" s="41" t="s">
        <v>573</v>
      </c>
      <c r="T73" s="365" t="b" cm="1">
        <f t="array" ref="T73">T72</f>
        <v>0</v>
      </c>
      <c r="X73" s="1094"/>
      <c r="Z73" s="1095"/>
      <c r="AB73" s="26" t="s">
        <v>619</v>
      </c>
      <c r="AC73" s="146" t="s">
        <v>904</v>
      </c>
      <c r="AD73" s="27" t="s">
        <v>804</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839"/>
      <c r="BF73" s="689" t="s">
        <v>987</v>
      </c>
    </row>
    <row r="74" spans="2:58" ht="14.65" hidden="1" customHeight="1">
      <c r="E74" s="460">
        <v>15</v>
      </c>
      <c r="F74" s="3" cm="1">
        <f t="array" aca="1" ref="F74" ca="1">OFFSET(E74,-1,1)</f>
        <v>0</v>
      </c>
      <c r="G74" s="41" t="s">
        <v>988</v>
      </c>
      <c r="T74" s="365" t="b" cm="1">
        <f t="array" ref="T74">T73</f>
        <v>0</v>
      </c>
      <c r="X74" s="1094"/>
      <c r="Z74" s="1095"/>
      <c r="AB74" s="26" t="s">
        <v>654</v>
      </c>
      <c r="AC74" s="146" t="s">
        <v>907</v>
      </c>
      <c r="AD74" s="27" t="s">
        <v>804</v>
      </c>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7"/>
      <c r="BA74" s="787"/>
      <c r="BB74" s="787"/>
      <c r="BC74" s="839"/>
      <c r="BF74" s="689" t="s">
        <v>989</v>
      </c>
    </row>
    <row r="75" spans="2:58" ht="14.65" hidden="1" customHeight="1">
      <c r="E75" s="460">
        <v>15</v>
      </c>
      <c r="F75" s="3" cm="1">
        <f t="array" aca="1" ref="F75" ca="1">OFFSET(E75,-1,1)</f>
        <v>0</v>
      </c>
      <c r="G75" s="41" t="s">
        <v>990</v>
      </c>
      <c r="T75" s="365" t="b" cm="1">
        <f t="array" ref="T75">T74</f>
        <v>0</v>
      </c>
      <c r="X75" s="1094"/>
      <c r="Z75" s="1095"/>
      <c r="AB75" s="26" t="s">
        <v>657</v>
      </c>
      <c r="AC75" s="146" t="s">
        <v>911</v>
      </c>
      <c r="AD75" s="27" t="s">
        <v>804</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839"/>
      <c r="BF75" s="689" t="s">
        <v>991</v>
      </c>
    </row>
    <row r="76" spans="2:58" ht="14.25" customHeight="1">
      <c r="E76" s="460">
        <v>15</v>
      </c>
      <c r="F76" s="530" t="str" cm="1">
        <f t="array" ref="F76">X76</f>
        <v>1</v>
      </c>
      <c r="T76" s="365" t="b">
        <f>X76&gt;0</f>
        <v>1</v>
      </c>
      <c r="V76" s="41" t="str" cm="1">
        <f t="array" ref="V76">ЭЭ!$AB$49</f>
        <v>Тариф 1 (Водоснабжение) - тариф на питьевую воду (Доп. признак не требуется)</v>
      </c>
      <c r="X76" s="1094" t="s">
        <v>275</v>
      </c>
      <c r="Z76" s="1095"/>
      <c r="AB76" s="116" t="str" cm="1">
        <f t="array" ref="AB76">ЭЭ!$AB$49</f>
        <v>Тариф 1 (Водоснабжение) - тариф на питьевую воду (Доп. признак не требуется)</v>
      </c>
      <c r="AC76" s="113"/>
      <c r="AD76" s="107"/>
      <c r="AE76" s="107"/>
      <c r="AF76" s="107"/>
      <c r="AG76" s="107"/>
      <c r="AH76" s="107"/>
      <c r="AI76" s="107"/>
      <c r="AJ76" s="107"/>
      <c r="AK76" s="107"/>
      <c r="AL76" s="107"/>
      <c r="AM76" s="107"/>
      <c r="AN76" s="107"/>
      <c r="AO76" s="107"/>
      <c r="AP76" s="107"/>
      <c r="AQ76" s="107"/>
      <c r="AR76" s="107"/>
      <c r="AS76" s="107"/>
      <c r="AT76" s="107"/>
      <c r="AU76" s="107"/>
      <c r="AV76" s="107"/>
      <c r="AW76" s="107"/>
      <c r="AX76" s="107"/>
      <c r="AY76" s="107"/>
      <c r="AZ76" s="107"/>
      <c r="BA76" s="107"/>
      <c r="BB76" s="107"/>
      <c r="BC76" s="142"/>
    </row>
    <row r="77" spans="2:58" s="82" customFormat="1" ht="21.75" customHeight="1">
      <c r="B77" s="340"/>
      <c r="E77" s="499">
        <v>22.5</v>
      </c>
      <c r="F77" s="3" t="str" cm="1">
        <f t="array" aca="1" ref="F77" ca="1">OFFSET(E77,-1,1)</f>
        <v>1</v>
      </c>
      <c r="G77" s="41" t="s">
        <v>327</v>
      </c>
      <c r="T77" s="365" t="b" cm="1">
        <f t="array" ref="T77">T76</f>
        <v>1</v>
      </c>
      <c r="X77" s="1094"/>
      <c r="Z77" s="1095"/>
      <c r="AB77" s="143">
        <v>1</v>
      </c>
      <c r="AC77" s="144" t="s">
        <v>895</v>
      </c>
      <c r="AD77" s="27" t="s">
        <v>804</v>
      </c>
      <c r="AE77" s="157">
        <f t="shared" ref="AE77:BB77" si="24">SUM(AE78:AE82)</f>
        <v>0</v>
      </c>
      <c r="AF77" s="157">
        <f t="shared" si="24"/>
        <v>0</v>
      </c>
      <c r="AG77" s="157">
        <f t="shared" si="24"/>
        <v>0</v>
      </c>
      <c r="AH77" s="157">
        <f t="shared" si="24"/>
        <v>0</v>
      </c>
      <c r="AI77" s="157">
        <f t="shared" si="24"/>
        <v>0</v>
      </c>
      <c r="AJ77" s="783">
        <f t="shared" si="24"/>
        <v>0</v>
      </c>
      <c r="AK77" s="783">
        <f t="shared" si="24"/>
        <v>0</v>
      </c>
      <c r="AL77" s="783">
        <f t="shared" si="24"/>
        <v>0</v>
      </c>
      <c r="AM77" s="783">
        <f t="shared" si="24"/>
        <v>0</v>
      </c>
      <c r="AN77" s="783">
        <f t="shared" si="24"/>
        <v>0</v>
      </c>
      <c r="AO77" s="783">
        <f t="shared" si="24"/>
        <v>0</v>
      </c>
      <c r="AP77" s="783">
        <f t="shared" si="24"/>
        <v>0</v>
      </c>
      <c r="AQ77" s="783">
        <f t="shared" si="24"/>
        <v>0</v>
      </c>
      <c r="AR77" s="783">
        <f t="shared" si="24"/>
        <v>0</v>
      </c>
      <c r="AS77" s="157">
        <f t="shared" si="24"/>
        <v>0</v>
      </c>
      <c r="AT77" s="783">
        <f t="shared" si="24"/>
        <v>0</v>
      </c>
      <c r="AU77" s="783">
        <f t="shared" si="24"/>
        <v>0</v>
      </c>
      <c r="AV77" s="783">
        <f t="shared" si="24"/>
        <v>0</v>
      </c>
      <c r="AW77" s="783">
        <f t="shared" si="24"/>
        <v>0</v>
      </c>
      <c r="AX77" s="783">
        <f t="shared" si="24"/>
        <v>0</v>
      </c>
      <c r="AY77" s="783">
        <f t="shared" si="24"/>
        <v>0</v>
      </c>
      <c r="AZ77" s="783">
        <f t="shared" si="24"/>
        <v>0</v>
      </c>
      <c r="BA77" s="783">
        <f t="shared" si="24"/>
        <v>0</v>
      </c>
      <c r="BB77" s="783">
        <f t="shared" si="24"/>
        <v>0</v>
      </c>
      <c r="BC77" s="132"/>
      <c r="BF77" s="689" t="s">
        <v>896</v>
      </c>
    </row>
    <row r="78" spans="2:58" ht="14.25" customHeight="1">
      <c r="E78" s="460">
        <v>15</v>
      </c>
      <c r="F78" s="3" t="str" cm="1">
        <f t="array" aca="1" ref="F78" ca="1">OFFSET(E78,-1,1)</f>
        <v>1</v>
      </c>
      <c r="G78" s="41" t="s">
        <v>461</v>
      </c>
      <c r="T78" s="365" t="b" cm="1">
        <f t="array" ref="T78">T77</f>
        <v>1</v>
      </c>
      <c r="X78" s="1094"/>
      <c r="Z78" s="1095"/>
      <c r="AB78" s="26" t="s">
        <v>897</v>
      </c>
      <c r="AC78" s="146" t="s">
        <v>898</v>
      </c>
      <c r="AD78" s="27" t="s">
        <v>804</v>
      </c>
      <c r="AE78" s="147"/>
      <c r="AF78" s="147"/>
      <c r="AG78" s="147"/>
      <c r="AH78" s="147"/>
      <c r="AI78" s="147"/>
      <c r="AJ78" s="787"/>
      <c r="AK78" s="787"/>
      <c r="AL78" s="787"/>
      <c r="AM78" s="787"/>
      <c r="AN78" s="787"/>
      <c r="AO78" s="787"/>
      <c r="AP78" s="787"/>
      <c r="AQ78" s="787"/>
      <c r="AR78" s="787"/>
      <c r="AS78" s="147"/>
      <c r="AT78" s="787"/>
      <c r="AU78" s="787"/>
      <c r="AV78" s="787"/>
      <c r="AW78" s="787"/>
      <c r="AX78" s="787"/>
      <c r="AY78" s="787"/>
      <c r="AZ78" s="787"/>
      <c r="BA78" s="787"/>
      <c r="BB78" s="787"/>
      <c r="BC78" s="132"/>
      <c r="BF78" s="689" t="s">
        <v>899</v>
      </c>
    </row>
    <row r="79" spans="2:58" ht="14.25" customHeight="1">
      <c r="E79" s="460">
        <v>15</v>
      </c>
      <c r="F79" s="3" t="str" cm="1">
        <f t="array" aca="1" ref="F79" ca="1">OFFSET(E79,-1,1)</f>
        <v>1</v>
      </c>
      <c r="G79" s="41" t="s">
        <v>465</v>
      </c>
      <c r="T79" s="365" t="b" cm="1">
        <f t="array" ref="T79">T78</f>
        <v>1</v>
      </c>
      <c r="X79" s="1094"/>
      <c r="Z79" s="1095"/>
      <c r="AB79" s="26" t="s">
        <v>900</v>
      </c>
      <c r="AC79" s="146" t="s">
        <v>901</v>
      </c>
      <c r="AD79" s="27" t="s">
        <v>804</v>
      </c>
      <c r="AE79" s="147"/>
      <c r="AF79" s="147"/>
      <c r="AG79" s="147"/>
      <c r="AH79" s="147"/>
      <c r="AI79" s="147"/>
      <c r="AJ79" s="787"/>
      <c r="AK79" s="787"/>
      <c r="AL79" s="787"/>
      <c r="AM79" s="787"/>
      <c r="AN79" s="787"/>
      <c r="AO79" s="787"/>
      <c r="AP79" s="787"/>
      <c r="AQ79" s="787"/>
      <c r="AR79" s="787"/>
      <c r="AS79" s="147"/>
      <c r="AT79" s="787"/>
      <c r="AU79" s="787"/>
      <c r="AV79" s="787"/>
      <c r="AW79" s="787"/>
      <c r="AX79" s="787"/>
      <c r="AY79" s="787"/>
      <c r="AZ79" s="787"/>
      <c r="BA79" s="787"/>
      <c r="BB79" s="787"/>
      <c r="BC79" s="132"/>
      <c r="BF79" s="689" t="s">
        <v>902</v>
      </c>
    </row>
    <row r="80" spans="2:58" ht="14.25" customHeight="1">
      <c r="E80" s="460">
        <v>15</v>
      </c>
      <c r="F80" s="3" t="str" cm="1">
        <f t="array" aca="1" ref="F80" ca="1">OFFSET(E80,-1,1)</f>
        <v>1</v>
      </c>
      <c r="G80" s="41" t="s">
        <v>468</v>
      </c>
      <c r="T80" s="365" t="b" cm="1">
        <f t="array" ref="T80">T79</f>
        <v>1</v>
      </c>
      <c r="X80" s="1094"/>
      <c r="Z80" s="1095"/>
      <c r="AB80" s="26" t="s">
        <v>903</v>
      </c>
      <c r="AC80" s="146" t="s">
        <v>904</v>
      </c>
      <c r="AD80" s="27" t="s">
        <v>804</v>
      </c>
      <c r="AE80" s="147"/>
      <c r="AF80" s="147"/>
      <c r="AG80" s="147"/>
      <c r="AH80" s="147"/>
      <c r="AI80" s="147"/>
      <c r="AJ80" s="787"/>
      <c r="AK80" s="787"/>
      <c r="AL80" s="787"/>
      <c r="AM80" s="787"/>
      <c r="AN80" s="787"/>
      <c r="AO80" s="787"/>
      <c r="AP80" s="787"/>
      <c r="AQ80" s="787"/>
      <c r="AR80" s="787"/>
      <c r="AS80" s="147"/>
      <c r="AT80" s="787"/>
      <c r="AU80" s="787"/>
      <c r="AV80" s="787"/>
      <c r="AW80" s="787"/>
      <c r="AX80" s="787"/>
      <c r="AY80" s="787"/>
      <c r="AZ80" s="787"/>
      <c r="BA80" s="787"/>
      <c r="BB80" s="787"/>
      <c r="BC80" s="132"/>
      <c r="BF80" s="689" t="s">
        <v>905</v>
      </c>
    </row>
    <row r="81" spans="2:58" ht="14.25" customHeight="1">
      <c r="E81" s="460">
        <v>15</v>
      </c>
      <c r="F81" s="3" t="str" cm="1">
        <f t="array" aca="1" ref="F81" ca="1">OFFSET(E81,-1,1)</f>
        <v>1</v>
      </c>
      <c r="G81" s="41" t="s">
        <v>472</v>
      </c>
      <c r="T81" s="365" t="b" cm="1">
        <f t="array" ref="T81">T80</f>
        <v>1</v>
      </c>
      <c r="X81" s="1094"/>
      <c r="Z81" s="1095"/>
      <c r="AB81" s="26" t="s">
        <v>906</v>
      </c>
      <c r="AC81" s="146" t="s">
        <v>907</v>
      </c>
      <c r="AD81" s="27" t="s">
        <v>804</v>
      </c>
      <c r="AE81" s="147"/>
      <c r="AF81" s="147"/>
      <c r="AG81" s="147"/>
      <c r="AH81" s="147"/>
      <c r="AI81" s="147"/>
      <c r="AJ81" s="787"/>
      <c r="AK81" s="787"/>
      <c r="AL81" s="787"/>
      <c r="AM81" s="787"/>
      <c r="AN81" s="787"/>
      <c r="AO81" s="787"/>
      <c r="AP81" s="787"/>
      <c r="AQ81" s="787"/>
      <c r="AR81" s="787"/>
      <c r="AS81" s="147"/>
      <c r="AT81" s="787"/>
      <c r="AU81" s="787"/>
      <c r="AV81" s="787"/>
      <c r="AW81" s="787"/>
      <c r="AX81" s="787"/>
      <c r="AY81" s="787"/>
      <c r="AZ81" s="787"/>
      <c r="BA81" s="787"/>
      <c r="BB81" s="787"/>
      <c r="BC81" s="132"/>
      <c r="BF81" s="689" t="s">
        <v>908</v>
      </c>
    </row>
    <row r="82" spans="2:58" ht="14.25" customHeight="1">
      <c r="E82" s="460">
        <v>15</v>
      </c>
      <c r="F82" s="3" t="str" cm="1">
        <f t="array" aca="1" ref="F82" ca="1">OFFSET(E82,-1,1)</f>
        <v>1</v>
      </c>
      <c r="G82" s="41" t="s">
        <v>909</v>
      </c>
      <c r="T82" s="365" t="b" cm="1">
        <f t="array" ref="T82">T81</f>
        <v>1</v>
      </c>
      <c r="X82" s="1094"/>
      <c r="Z82" s="1095"/>
      <c r="AB82" s="26" t="s">
        <v>910</v>
      </c>
      <c r="AC82" s="146" t="s">
        <v>911</v>
      </c>
      <c r="AD82" s="27" t="s">
        <v>804</v>
      </c>
      <c r="AE82" s="147"/>
      <c r="AF82" s="147"/>
      <c r="AG82" s="147"/>
      <c r="AH82" s="147"/>
      <c r="AI82" s="147"/>
      <c r="AJ82" s="787"/>
      <c r="AK82" s="787"/>
      <c r="AL82" s="787"/>
      <c r="AM82" s="787"/>
      <c r="AN82" s="787"/>
      <c r="AO82" s="787"/>
      <c r="AP82" s="787"/>
      <c r="AQ82" s="787"/>
      <c r="AR82" s="787"/>
      <c r="AS82" s="147"/>
      <c r="AT82" s="787"/>
      <c r="AU82" s="787"/>
      <c r="AV82" s="787"/>
      <c r="AW82" s="787"/>
      <c r="AX82" s="787"/>
      <c r="AY82" s="787"/>
      <c r="AZ82" s="787"/>
      <c r="BA82" s="787"/>
      <c r="BB82" s="787"/>
      <c r="BC82" s="132"/>
      <c r="BF82" s="689" t="s">
        <v>912</v>
      </c>
    </row>
    <row r="83" spans="2:58" s="82" customFormat="1" ht="14.25" customHeight="1">
      <c r="B83" s="340"/>
      <c r="E83" s="460">
        <v>15</v>
      </c>
      <c r="F83" s="3" t="str" cm="1">
        <f t="array" aca="1" ref="F83" ca="1">OFFSET(E83,-1,1)</f>
        <v>1</v>
      </c>
      <c r="G83" s="41" t="s">
        <v>328</v>
      </c>
      <c r="T83" s="365" t="b" cm="1">
        <f t="array" ref="T83">T82</f>
        <v>1</v>
      </c>
      <c r="X83" s="1094"/>
      <c r="Z83" s="1095"/>
      <c r="AB83" s="143">
        <v>2</v>
      </c>
      <c r="AC83" s="144" t="s">
        <v>913</v>
      </c>
      <c r="AD83" s="27" t="s">
        <v>804</v>
      </c>
      <c r="AE83" s="157">
        <f t="shared" ref="AE83:BB83" si="25">SUM(AE84:AE88)</f>
        <v>0</v>
      </c>
      <c r="AF83" s="157">
        <f t="shared" si="25"/>
        <v>0</v>
      </c>
      <c r="AG83" s="157">
        <f t="shared" si="25"/>
        <v>0</v>
      </c>
      <c r="AH83" s="157">
        <f t="shared" si="25"/>
        <v>0</v>
      </c>
      <c r="AI83" s="157">
        <f t="shared" si="25"/>
        <v>0</v>
      </c>
      <c r="AJ83" s="783">
        <f t="shared" si="25"/>
        <v>0</v>
      </c>
      <c r="AK83" s="783">
        <f t="shared" si="25"/>
        <v>0</v>
      </c>
      <c r="AL83" s="783">
        <f t="shared" si="25"/>
        <v>0</v>
      </c>
      <c r="AM83" s="783">
        <f t="shared" si="25"/>
        <v>0</v>
      </c>
      <c r="AN83" s="783">
        <f t="shared" si="25"/>
        <v>0</v>
      </c>
      <c r="AO83" s="783">
        <f t="shared" si="25"/>
        <v>0</v>
      </c>
      <c r="AP83" s="783">
        <f t="shared" si="25"/>
        <v>0</v>
      </c>
      <c r="AQ83" s="783">
        <f t="shared" si="25"/>
        <v>0</v>
      </c>
      <c r="AR83" s="783">
        <f t="shared" si="25"/>
        <v>0</v>
      </c>
      <c r="AS83" s="157">
        <f t="shared" si="25"/>
        <v>0</v>
      </c>
      <c r="AT83" s="783">
        <f t="shared" si="25"/>
        <v>0</v>
      </c>
      <c r="AU83" s="783">
        <f t="shared" si="25"/>
        <v>0</v>
      </c>
      <c r="AV83" s="783">
        <f t="shared" si="25"/>
        <v>0</v>
      </c>
      <c r="AW83" s="783">
        <f t="shared" si="25"/>
        <v>0</v>
      </c>
      <c r="AX83" s="783">
        <f t="shared" si="25"/>
        <v>0</v>
      </c>
      <c r="AY83" s="783">
        <f t="shared" si="25"/>
        <v>0</v>
      </c>
      <c r="AZ83" s="783">
        <f t="shared" si="25"/>
        <v>0</v>
      </c>
      <c r="BA83" s="783">
        <f t="shared" si="25"/>
        <v>0</v>
      </c>
      <c r="BB83" s="783">
        <f t="shared" si="25"/>
        <v>0</v>
      </c>
      <c r="BC83" s="132"/>
      <c r="BF83" s="689" t="s">
        <v>914</v>
      </c>
    </row>
    <row r="84" spans="2:58" ht="14.25" customHeight="1">
      <c r="E84" s="460">
        <v>15</v>
      </c>
      <c r="F84" s="3" t="str" cm="1">
        <f t="array" aca="1" ref="F84" ca="1">OFFSET(E84,-1,1)</f>
        <v>1</v>
      </c>
      <c r="G84" s="41" t="s">
        <v>479</v>
      </c>
      <c r="T84" s="365" t="b" cm="1">
        <f t="array" ref="T84">T83</f>
        <v>1</v>
      </c>
      <c r="X84" s="1094"/>
      <c r="Z84" s="1095"/>
      <c r="AB84" s="26" t="s">
        <v>537</v>
      </c>
      <c r="AC84" s="146" t="s">
        <v>898</v>
      </c>
      <c r="AD84" s="27" t="s">
        <v>804</v>
      </c>
      <c r="AE84" s="147"/>
      <c r="AF84" s="147"/>
      <c r="AG84" s="147"/>
      <c r="AH84" s="147"/>
      <c r="AI84" s="147"/>
      <c r="AJ84" s="787"/>
      <c r="AK84" s="787"/>
      <c r="AL84" s="787"/>
      <c r="AM84" s="787"/>
      <c r="AN84" s="787"/>
      <c r="AO84" s="787"/>
      <c r="AP84" s="787"/>
      <c r="AQ84" s="787"/>
      <c r="AR84" s="787"/>
      <c r="AS84" s="147"/>
      <c r="AT84" s="787"/>
      <c r="AU84" s="787"/>
      <c r="AV84" s="787"/>
      <c r="AW84" s="787"/>
      <c r="AX84" s="787"/>
      <c r="AY84" s="787"/>
      <c r="AZ84" s="787"/>
      <c r="BA84" s="787"/>
      <c r="BB84" s="787"/>
      <c r="BC84" s="132"/>
      <c r="BF84" s="689" t="s">
        <v>915</v>
      </c>
    </row>
    <row r="85" spans="2:58" ht="14.25" customHeight="1">
      <c r="E85" s="460">
        <v>15</v>
      </c>
      <c r="F85" s="3" t="str" cm="1">
        <f t="array" aca="1" ref="F85" ca="1">OFFSET(E85,-1,1)</f>
        <v>1</v>
      </c>
      <c r="G85" s="41" t="s">
        <v>482</v>
      </c>
      <c r="T85" s="365" t="b" cm="1">
        <f t="array" ref="T85">T84</f>
        <v>1</v>
      </c>
      <c r="X85" s="1094"/>
      <c r="Z85" s="1095"/>
      <c r="AB85" s="26" t="s">
        <v>541</v>
      </c>
      <c r="AC85" s="146" t="s">
        <v>901</v>
      </c>
      <c r="AD85" s="27" t="s">
        <v>804</v>
      </c>
      <c r="AE85" s="147"/>
      <c r="AF85" s="147"/>
      <c r="AG85" s="147"/>
      <c r="AH85" s="147"/>
      <c r="AI85" s="147"/>
      <c r="AJ85" s="787"/>
      <c r="AK85" s="787"/>
      <c r="AL85" s="787"/>
      <c r="AM85" s="787"/>
      <c r="AN85" s="787"/>
      <c r="AO85" s="787"/>
      <c r="AP85" s="787"/>
      <c r="AQ85" s="787"/>
      <c r="AR85" s="787"/>
      <c r="AS85" s="147"/>
      <c r="AT85" s="787"/>
      <c r="AU85" s="787"/>
      <c r="AV85" s="787"/>
      <c r="AW85" s="787"/>
      <c r="AX85" s="787"/>
      <c r="AY85" s="787"/>
      <c r="AZ85" s="787"/>
      <c r="BA85" s="787"/>
      <c r="BB85" s="787"/>
      <c r="BC85" s="132"/>
      <c r="BF85" s="689" t="s">
        <v>916</v>
      </c>
    </row>
    <row r="86" spans="2:58" ht="14.25" customHeight="1">
      <c r="E86" s="460">
        <v>15</v>
      </c>
      <c r="F86" s="3" t="str" cm="1">
        <f t="array" aca="1" ref="F86" ca="1">OFFSET(E86,-1,1)</f>
        <v>1</v>
      </c>
      <c r="G86" s="41" t="s">
        <v>917</v>
      </c>
      <c r="T86" s="365" t="b" cm="1">
        <f t="array" ref="T86">T85</f>
        <v>1</v>
      </c>
      <c r="X86" s="1094"/>
      <c r="Z86" s="1095"/>
      <c r="AB86" s="26" t="s">
        <v>545</v>
      </c>
      <c r="AC86" s="146" t="s">
        <v>904</v>
      </c>
      <c r="AD86" s="27" t="s">
        <v>804</v>
      </c>
      <c r="AE86" s="147"/>
      <c r="AF86" s="147"/>
      <c r="AG86" s="147"/>
      <c r="AH86" s="147"/>
      <c r="AI86" s="147"/>
      <c r="AJ86" s="787"/>
      <c r="AK86" s="787"/>
      <c r="AL86" s="787"/>
      <c r="AM86" s="787"/>
      <c r="AN86" s="787"/>
      <c r="AO86" s="787"/>
      <c r="AP86" s="787"/>
      <c r="AQ86" s="787"/>
      <c r="AR86" s="787"/>
      <c r="AS86" s="147"/>
      <c r="AT86" s="787"/>
      <c r="AU86" s="787"/>
      <c r="AV86" s="787"/>
      <c r="AW86" s="787"/>
      <c r="AX86" s="787"/>
      <c r="AY86" s="787"/>
      <c r="AZ86" s="787"/>
      <c r="BA86" s="787"/>
      <c r="BB86" s="787"/>
      <c r="BC86" s="132"/>
      <c r="BF86" s="689" t="s">
        <v>918</v>
      </c>
    </row>
    <row r="87" spans="2:58" ht="14.25" customHeight="1">
      <c r="E87" s="460">
        <v>15</v>
      </c>
      <c r="F87" s="3" t="str" cm="1">
        <f t="array" aca="1" ref="F87" ca="1">OFFSET(E87,-1,1)</f>
        <v>1</v>
      </c>
      <c r="G87" s="41" t="s">
        <v>919</v>
      </c>
      <c r="T87" s="365" t="b" cm="1">
        <f t="array" ref="T87">T86</f>
        <v>1</v>
      </c>
      <c r="X87" s="1094"/>
      <c r="Z87" s="1095"/>
      <c r="AB87" s="26" t="s">
        <v>920</v>
      </c>
      <c r="AC87" s="146" t="s">
        <v>907</v>
      </c>
      <c r="AD87" s="27" t="s">
        <v>804</v>
      </c>
      <c r="AE87" s="147"/>
      <c r="AF87" s="147"/>
      <c r="AG87" s="147"/>
      <c r="AH87" s="147"/>
      <c r="AI87" s="147"/>
      <c r="AJ87" s="787"/>
      <c r="AK87" s="787"/>
      <c r="AL87" s="787"/>
      <c r="AM87" s="787"/>
      <c r="AN87" s="787"/>
      <c r="AO87" s="787"/>
      <c r="AP87" s="787"/>
      <c r="AQ87" s="787"/>
      <c r="AR87" s="787"/>
      <c r="AS87" s="147"/>
      <c r="AT87" s="787"/>
      <c r="AU87" s="787"/>
      <c r="AV87" s="787"/>
      <c r="AW87" s="787"/>
      <c r="AX87" s="787"/>
      <c r="AY87" s="787"/>
      <c r="AZ87" s="787"/>
      <c r="BA87" s="787"/>
      <c r="BB87" s="787"/>
      <c r="BC87" s="132"/>
      <c r="BF87" s="689" t="s">
        <v>921</v>
      </c>
    </row>
    <row r="88" spans="2:58" ht="14.25" customHeight="1">
      <c r="E88" s="460">
        <v>15</v>
      </c>
      <c r="F88" s="3" t="str" cm="1">
        <f t="array" aca="1" ref="F88" ca="1">OFFSET(E88,-1,1)</f>
        <v>1</v>
      </c>
      <c r="G88" s="41" t="s">
        <v>922</v>
      </c>
      <c r="T88" s="365" t="b" cm="1">
        <f t="array" ref="T88">T87</f>
        <v>1</v>
      </c>
      <c r="X88" s="1094"/>
      <c r="Z88" s="1095"/>
      <c r="AB88" s="26" t="s">
        <v>923</v>
      </c>
      <c r="AC88" s="146" t="s">
        <v>911</v>
      </c>
      <c r="AD88" s="27" t="s">
        <v>804</v>
      </c>
      <c r="AE88" s="147"/>
      <c r="AF88" s="147"/>
      <c r="AG88" s="147"/>
      <c r="AH88" s="147"/>
      <c r="AI88" s="147"/>
      <c r="AJ88" s="787"/>
      <c r="AK88" s="787"/>
      <c r="AL88" s="787"/>
      <c r="AM88" s="787"/>
      <c r="AN88" s="787"/>
      <c r="AO88" s="787"/>
      <c r="AP88" s="787"/>
      <c r="AQ88" s="787"/>
      <c r="AR88" s="787"/>
      <c r="AS88" s="147"/>
      <c r="AT88" s="787"/>
      <c r="AU88" s="787"/>
      <c r="AV88" s="787"/>
      <c r="AW88" s="787"/>
      <c r="AX88" s="787"/>
      <c r="AY88" s="787"/>
      <c r="AZ88" s="787"/>
      <c r="BA88" s="787"/>
      <c r="BB88" s="787"/>
      <c r="BC88" s="132"/>
      <c r="BF88" s="689" t="s">
        <v>924</v>
      </c>
    </row>
    <row r="89" spans="2:58" s="82" customFormat="1" ht="14.25" customHeight="1">
      <c r="B89" s="340"/>
      <c r="E89" s="460">
        <v>15</v>
      </c>
      <c r="F89" s="3" t="str" cm="1">
        <f t="array" aca="1" ref="F89" ca="1">OFFSET(E89,-1,1)</f>
        <v>1</v>
      </c>
      <c r="G89" s="41" t="s">
        <v>329</v>
      </c>
      <c r="T89" s="365" t="b" cm="1">
        <f t="array" ref="T89">T88</f>
        <v>1</v>
      </c>
      <c r="X89" s="1094"/>
      <c r="Z89" s="1095"/>
      <c r="AB89" s="143">
        <v>3</v>
      </c>
      <c r="AC89" s="144" t="s">
        <v>925</v>
      </c>
      <c r="AD89" s="27" t="s">
        <v>804</v>
      </c>
      <c r="AE89" s="157">
        <f t="shared" ref="AE89:BB89" si="26">SUM(AE90:AE94)</f>
        <v>0</v>
      </c>
      <c r="AF89" s="157">
        <f t="shared" si="26"/>
        <v>0</v>
      </c>
      <c r="AG89" s="157">
        <f t="shared" si="26"/>
        <v>0</v>
      </c>
      <c r="AH89" s="157">
        <f t="shared" si="26"/>
        <v>0</v>
      </c>
      <c r="AI89" s="157">
        <f t="shared" si="26"/>
        <v>0</v>
      </c>
      <c r="AJ89" s="783">
        <f t="shared" si="26"/>
        <v>0</v>
      </c>
      <c r="AK89" s="783">
        <f t="shared" si="26"/>
        <v>0</v>
      </c>
      <c r="AL89" s="783">
        <f t="shared" si="26"/>
        <v>0</v>
      </c>
      <c r="AM89" s="783">
        <f t="shared" si="26"/>
        <v>0</v>
      </c>
      <c r="AN89" s="783">
        <f t="shared" si="26"/>
        <v>0</v>
      </c>
      <c r="AO89" s="783">
        <f t="shared" si="26"/>
        <v>0</v>
      </c>
      <c r="AP89" s="783">
        <f t="shared" si="26"/>
        <v>0</v>
      </c>
      <c r="AQ89" s="783">
        <f t="shared" si="26"/>
        <v>0</v>
      </c>
      <c r="AR89" s="783">
        <f t="shared" si="26"/>
        <v>0</v>
      </c>
      <c r="AS89" s="157">
        <f t="shared" si="26"/>
        <v>0</v>
      </c>
      <c r="AT89" s="783">
        <f t="shared" si="26"/>
        <v>0</v>
      </c>
      <c r="AU89" s="783">
        <f t="shared" si="26"/>
        <v>0</v>
      </c>
      <c r="AV89" s="783">
        <f t="shared" si="26"/>
        <v>0</v>
      </c>
      <c r="AW89" s="783">
        <f t="shared" si="26"/>
        <v>0</v>
      </c>
      <c r="AX89" s="783">
        <f t="shared" si="26"/>
        <v>0</v>
      </c>
      <c r="AY89" s="783">
        <f t="shared" si="26"/>
        <v>0</v>
      </c>
      <c r="AZ89" s="783">
        <f t="shared" si="26"/>
        <v>0</v>
      </c>
      <c r="BA89" s="783">
        <f t="shared" si="26"/>
        <v>0</v>
      </c>
      <c r="BB89" s="783">
        <f t="shared" si="26"/>
        <v>0</v>
      </c>
      <c r="BC89" s="132"/>
      <c r="BF89" s="689" t="s">
        <v>926</v>
      </c>
    </row>
    <row r="90" spans="2:58" ht="14.25" customHeight="1">
      <c r="E90" s="460">
        <v>15</v>
      </c>
      <c r="F90" s="3" t="str" cm="1">
        <f t="array" aca="1" ref="F90" ca="1">OFFSET(E90,-1,1)</f>
        <v>1</v>
      </c>
      <c r="G90" s="41" t="s">
        <v>927</v>
      </c>
      <c r="T90" s="365" t="b" cm="1">
        <f t="array" ref="T90">T89</f>
        <v>1</v>
      </c>
      <c r="X90" s="1094"/>
      <c r="Z90" s="1095"/>
      <c r="AB90" s="26" t="s">
        <v>551</v>
      </c>
      <c r="AC90" s="146" t="s">
        <v>898</v>
      </c>
      <c r="AD90" s="27" t="s">
        <v>804</v>
      </c>
      <c r="AE90" s="147"/>
      <c r="AF90" s="147"/>
      <c r="AG90" s="147"/>
      <c r="AH90" s="147"/>
      <c r="AI90" s="147"/>
      <c r="AJ90" s="787"/>
      <c r="AK90" s="787"/>
      <c r="AL90" s="787"/>
      <c r="AM90" s="787"/>
      <c r="AN90" s="787"/>
      <c r="AO90" s="787"/>
      <c r="AP90" s="787"/>
      <c r="AQ90" s="787"/>
      <c r="AR90" s="787"/>
      <c r="AS90" s="147"/>
      <c r="AT90" s="787"/>
      <c r="AU90" s="787"/>
      <c r="AV90" s="787"/>
      <c r="AW90" s="787"/>
      <c r="AX90" s="787"/>
      <c r="AY90" s="787"/>
      <c r="AZ90" s="787"/>
      <c r="BA90" s="787"/>
      <c r="BB90" s="787"/>
      <c r="BC90" s="132"/>
      <c r="BF90" s="689" t="s">
        <v>928</v>
      </c>
    </row>
    <row r="91" spans="2:58" ht="14.25" customHeight="1">
      <c r="E91" s="460">
        <v>15</v>
      </c>
      <c r="F91" s="3" t="str" cm="1">
        <f t="array" aca="1" ref="F91" ca="1">OFFSET(E91,-1,1)</f>
        <v>1</v>
      </c>
      <c r="G91" s="41" t="s">
        <v>929</v>
      </c>
      <c r="T91" s="365" t="b" cm="1">
        <f t="array" ref="T91">T90</f>
        <v>1</v>
      </c>
      <c r="X91" s="1094"/>
      <c r="Z91" s="1095"/>
      <c r="AB91" s="26" t="s">
        <v>555</v>
      </c>
      <c r="AC91" s="146" t="s">
        <v>901</v>
      </c>
      <c r="AD91" s="27" t="s">
        <v>804</v>
      </c>
      <c r="AE91" s="147"/>
      <c r="AF91" s="147"/>
      <c r="AG91" s="147"/>
      <c r="AH91" s="147"/>
      <c r="AI91" s="147"/>
      <c r="AJ91" s="787"/>
      <c r="AK91" s="787"/>
      <c r="AL91" s="787"/>
      <c r="AM91" s="787"/>
      <c r="AN91" s="787"/>
      <c r="AO91" s="787"/>
      <c r="AP91" s="787"/>
      <c r="AQ91" s="787"/>
      <c r="AR91" s="787"/>
      <c r="AS91" s="147"/>
      <c r="AT91" s="787"/>
      <c r="AU91" s="787"/>
      <c r="AV91" s="787"/>
      <c r="AW91" s="787"/>
      <c r="AX91" s="787"/>
      <c r="AY91" s="787"/>
      <c r="AZ91" s="787"/>
      <c r="BA91" s="787"/>
      <c r="BB91" s="787"/>
      <c r="BC91" s="132"/>
      <c r="BF91" s="689" t="s">
        <v>930</v>
      </c>
    </row>
    <row r="92" spans="2:58" ht="14.25" customHeight="1">
      <c r="E92" s="460">
        <v>15</v>
      </c>
      <c r="F92" s="3" t="str" cm="1">
        <f t="array" aca="1" ref="F92" ca="1">OFFSET(E92,-1,1)</f>
        <v>1</v>
      </c>
      <c r="G92" s="41" t="s">
        <v>931</v>
      </c>
      <c r="T92" s="365" t="b" cm="1">
        <f t="array" ref="T92">T91</f>
        <v>1</v>
      </c>
      <c r="X92" s="1094"/>
      <c r="Z92" s="1095"/>
      <c r="AB92" s="26" t="s">
        <v>771</v>
      </c>
      <c r="AC92" s="146" t="s">
        <v>904</v>
      </c>
      <c r="AD92" s="27" t="s">
        <v>804</v>
      </c>
      <c r="AE92" s="147"/>
      <c r="AF92" s="147"/>
      <c r="AG92" s="147"/>
      <c r="AH92" s="147"/>
      <c r="AI92" s="147"/>
      <c r="AJ92" s="787"/>
      <c r="AK92" s="787"/>
      <c r="AL92" s="787"/>
      <c r="AM92" s="787"/>
      <c r="AN92" s="787"/>
      <c r="AO92" s="787"/>
      <c r="AP92" s="787"/>
      <c r="AQ92" s="787"/>
      <c r="AR92" s="787"/>
      <c r="AS92" s="147"/>
      <c r="AT92" s="787"/>
      <c r="AU92" s="787"/>
      <c r="AV92" s="787"/>
      <c r="AW92" s="787"/>
      <c r="AX92" s="787"/>
      <c r="AY92" s="787"/>
      <c r="AZ92" s="787"/>
      <c r="BA92" s="787"/>
      <c r="BB92" s="787"/>
      <c r="BC92" s="132"/>
      <c r="BF92" s="689" t="s">
        <v>932</v>
      </c>
    </row>
    <row r="93" spans="2:58" ht="14.25" customHeight="1">
      <c r="E93" s="460">
        <v>15</v>
      </c>
      <c r="F93" s="3" t="str" cm="1">
        <f t="array" aca="1" ref="F93" ca="1">OFFSET(E93,-1,1)</f>
        <v>1</v>
      </c>
      <c r="G93" s="41" t="s">
        <v>933</v>
      </c>
      <c r="T93" s="365" t="b" cm="1">
        <f t="array" ref="T93">T92</f>
        <v>1</v>
      </c>
      <c r="X93" s="1094"/>
      <c r="Z93" s="1095"/>
      <c r="AB93" s="26" t="s">
        <v>934</v>
      </c>
      <c r="AC93" s="146" t="s">
        <v>907</v>
      </c>
      <c r="AD93" s="27" t="s">
        <v>804</v>
      </c>
      <c r="AE93" s="147"/>
      <c r="AF93" s="147"/>
      <c r="AG93" s="147"/>
      <c r="AH93" s="147"/>
      <c r="AI93" s="147"/>
      <c r="AJ93" s="787"/>
      <c r="AK93" s="787"/>
      <c r="AL93" s="787"/>
      <c r="AM93" s="787"/>
      <c r="AN93" s="787"/>
      <c r="AO93" s="787"/>
      <c r="AP93" s="787"/>
      <c r="AQ93" s="787"/>
      <c r="AR93" s="787"/>
      <c r="AS93" s="147"/>
      <c r="AT93" s="787"/>
      <c r="AU93" s="787"/>
      <c r="AV93" s="787"/>
      <c r="AW93" s="787"/>
      <c r="AX93" s="787"/>
      <c r="AY93" s="787"/>
      <c r="AZ93" s="787"/>
      <c r="BA93" s="787"/>
      <c r="BB93" s="787"/>
      <c r="BC93" s="132"/>
      <c r="BF93" s="689" t="s">
        <v>935</v>
      </c>
    </row>
    <row r="94" spans="2:58" ht="14.25" customHeight="1">
      <c r="E94" s="460">
        <v>15</v>
      </c>
      <c r="F94" s="3" t="str" cm="1">
        <f t="array" aca="1" ref="F94" ca="1">OFFSET(E94,-1,1)</f>
        <v>1</v>
      </c>
      <c r="G94" s="41" t="s">
        <v>936</v>
      </c>
      <c r="T94" s="365" t="b" cm="1">
        <f t="array" ref="T94">T93</f>
        <v>1</v>
      </c>
      <c r="X94" s="1094"/>
      <c r="Z94" s="1095"/>
      <c r="AB94" s="26" t="s">
        <v>937</v>
      </c>
      <c r="AC94" s="146" t="s">
        <v>911</v>
      </c>
      <c r="AD94" s="27" t="s">
        <v>804</v>
      </c>
      <c r="AE94" s="147"/>
      <c r="AF94" s="147"/>
      <c r="AG94" s="147"/>
      <c r="AH94" s="147"/>
      <c r="AI94" s="147"/>
      <c r="AJ94" s="787"/>
      <c r="AK94" s="787"/>
      <c r="AL94" s="787"/>
      <c r="AM94" s="787"/>
      <c r="AN94" s="787"/>
      <c r="AO94" s="787"/>
      <c r="AP94" s="787"/>
      <c r="AQ94" s="787"/>
      <c r="AR94" s="787"/>
      <c r="AS94" s="147"/>
      <c r="AT94" s="787"/>
      <c r="AU94" s="787"/>
      <c r="AV94" s="787"/>
      <c r="AW94" s="787"/>
      <c r="AX94" s="787"/>
      <c r="AY94" s="787"/>
      <c r="AZ94" s="787"/>
      <c r="BA94" s="787"/>
      <c r="BB94" s="787"/>
      <c r="BC94" s="132"/>
      <c r="BF94" s="689" t="s">
        <v>938</v>
      </c>
    </row>
    <row r="95" spans="2:58" s="82" customFormat="1" ht="21.75" customHeight="1">
      <c r="B95" s="340"/>
      <c r="E95" s="499">
        <v>22.5</v>
      </c>
      <c r="F95" s="3" t="str" cm="1">
        <f t="array" aca="1" ref="F95" ca="1">OFFSET(E95,-1,1)</f>
        <v>1</v>
      </c>
      <c r="G95" s="41" t="s">
        <v>331</v>
      </c>
      <c r="T95" s="365" t="b" cm="1">
        <f t="array" ref="T95">T94</f>
        <v>1</v>
      </c>
      <c r="X95" s="1094"/>
      <c r="Z95" s="1095"/>
      <c r="AB95" s="143">
        <v>4</v>
      </c>
      <c r="AC95" s="144" t="s">
        <v>939</v>
      </c>
      <c r="AD95" s="27" t="s">
        <v>804</v>
      </c>
      <c r="AE95" s="157">
        <f t="shared" ref="AE95:BB95" si="27">SUM(AE96:AE100)</f>
        <v>0</v>
      </c>
      <c r="AF95" s="157">
        <f t="shared" si="27"/>
        <v>0</v>
      </c>
      <c r="AG95" s="157">
        <f t="shared" si="27"/>
        <v>0</v>
      </c>
      <c r="AH95" s="157">
        <f t="shared" si="27"/>
        <v>0</v>
      </c>
      <c r="AI95" s="157">
        <f t="shared" si="27"/>
        <v>0</v>
      </c>
      <c r="AJ95" s="783">
        <f t="shared" si="27"/>
        <v>0</v>
      </c>
      <c r="AK95" s="783">
        <f t="shared" si="27"/>
        <v>0</v>
      </c>
      <c r="AL95" s="783">
        <f t="shared" si="27"/>
        <v>0</v>
      </c>
      <c r="AM95" s="783">
        <f t="shared" si="27"/>
        <v>0</v>
      </c>
      <c r="AN95" s="783">
        <f t="shared" si="27"/>
        <v>0</v>
      </c>
      <c r="AO95" s="783">
        <f t="shared" si="27"/>
        <v>0</v>
      </c>
      <c r="AP95" s="783">
        <f t="shared" si="27"/>
        <v>0</v>
      </c>
      <c r="AQ95" s="783">
        <f t="shared" si="27"/>
        <v>0</v>
      </c>
      <c r="AR95" s="783">
        <f t="shared" si="27"/>
        <v>0</v>
      </c>
      <c r="AS95" s="157">
        <f t="shared" si="27"/>
        <v>0</v>
      </c>
      <c r="AT95" s="783">
        <f t="shared" si="27"/>
        <v>0</v>
      </c>
      <c r="AU95" s="783">
        <f t="shared" si="27"/>
        <v>0</v>
      </c>
      <c r="AV95" s="783">
        <f t="shared" si="27"/>
        <v>0</v>
      </c>
      <c r="AW95" s="783">
        <f t="shared" si="27"/>
        <v>0</v>
      </c>
      <c r="AX95" s="783">
        <f t="shared" si="27"/>
        <v>0</v>
      </c>
      <c r="AY95" s="783">
        <f t="shared" si="27"/>
        <v>0</v>
      </c>
      <c r="AZ95" s="783">
        <f t="shared" si="27"/>
        <v>0</v>
      </c>
      <c r="BA95" s="783">
        <f t="shared" si="27"/>
        <v>0</v>
      </c>
      <c r="BB95" s="783">
        <f t="shared" si="27"/>
        <v>0</v>
      </c>
      <c r="BC95" s="132"/>
      <c r="BF95" s="689" t="s">
        <v>940</v>
      </c>
    </row>
    <row r="96" spans="2:58" ht="14.25" customHeight="1">
      <c r="E96" s="460">
        <v>15</v>
      </c>
      <c r="F96" s="3" t="str" cm="1">
        <f t="array" aca="1" ref="F96" ca="1">OFFSET(E96,-1,1)</f>
        <v>1</v>
      </c>
      <c r="G96" s="41" t="s">
        <v>536</v>
      </c>
      <c r="T96" s="365" t="b" cm="1">
        <f t="array" ref="T96">T95</f>
        <v>1</v>
      </c>
      <c r="X96" s="1094"/>
      <c r="Z96" s="1095"/>
      <c r="AB96" s="26" t="s">
        <v>673</v>
      </c>
      <c r="AC96" s="146" t="s">
        <v>898</v>
      </c>
      <c r="AD96" s="27" t="s">
        <v>804</v>
      </c>
      <c r="AE96" s="147">
        <f t="shared" ref="AE96:BB96" si="28">AE78+AE84-AE90</f>
        <v>0</v>
      </c>
      <c r="AF96" s="147">
        <f t="shared" si="28"/>
        <v>0</v>
      </c>
      <c r="AG96" s="147">
        <f t="shared" si="28"/>
        <v>0</v>
      </c>
      <c r="AH96" s="147">
        <f t="shared" si="28"/>
        <v>0</v>
      </c>
      <c r="AI96" s="147">
        <f t="shared" si="28"/>
        <v>0</v>
      </c>
      <c r="AJ96" s="787">
        <f t="shared" si="28"/>
        <v>0</v>
      </c>
      <c r="AK96" s="787">
        <f t="shared" si="28"/>
        <v>0</v>
      </c>
      <c r="AL96" s="787">
        <f t="shared" si="28"/>
        <v>0</v>
      </c>
      <c r="AM96" s="787">
        <f t="shared" si="28"/>
        <v>0</v>
      </c>
      <c r="AN96" s="787">
        <f t="shared" si="28"/>
        <v>0</v>
      </c>
      <c r="AO96" s="787">
        <f t="shared" si="28"/>
        <v>0</v>
      </c>
      <c r="AP96" s="787">
        <f t="shared" si="28"/>
        <v>0</v>
      </c>
      <c r="AQ96" s="787">
        <f t="shared" si="28"/>
        <v>0</v>
      </c>
      <c r="AR96" s="787">
        <f t="shared" si="28"/>
        <v>0</v>
      </c>
      <c r="AS96" s="147">
        <f t="shared" si="28"/>
        <v>0</v>
      </c>
      <c r="AT96" s="787">
        <f t="shared" si="28"/>
        <v>0</v>
      </c>
      <c r="AU96" s="787">
        <f t="shared" si="28"/>
        <v>0</v>
      </c>
      <c r="AV96" s="787">
        <f t="shared" si="28"/>
        <v>0</v>
      </c>
      <c r="AW96" s="787">
        <f t="shared" si="28"/>
        <v>0</v>
      </c>
      <c r="AX96" s="787">
        <f t="shared" si="28"/>
        <v>0</v>
      </c>
      <c r="AY96" s="787">
        <f t="shared" si="28"/>
        <v>0</v>
      </c>
      <c r="AZ96" s="787">
        <f t="shared" si="28"/>
        <v>0</v>
      </c>
      <c r="BA96" s="787">
        <f t="shared" si="28"/>
        <v>0</v>
      </c>
      <c r="BB96" s="787">
        <f t="shared" si="28"/>
        <v>0</v>
      </c>
      <c r="BC96" s="132"/>
      <c r="BF96" s="689" t="s">
        <v>941</v>
      </c>
    </row>
    <row r="97" spans="2:58" ht="14.25" customHeight="1">
      <c r="E97" s="460">
        <v>15</v>
      </c>
      <c r="F97" s="3" t="str" cm="1">
        <f t="array" aca="1" ref="F97" ca="1">OFFSET(E97,-1,1)</f>
        <v>1</v>
      </c>
      <c r="G97" s="41" t="s">
        <v>540</v>
      </c>
      <c r="T97" s="365" t="b" cm="1">
        <f t="array" ref="T97">T96</f>
        <v>1</v>
      </c>
      <c r="X97" s="1094"/>
      <c r="Z97" s="1095"/>
      <c r="AB97" s="26" t="s">
        <v>676</v>
      </c>
      <c r="AC97" s="146" t="s">
        <v>901</v>
      </c>
      <c r="AD97" s="27" t="s">
        <v>804</v>
      </c>
      <c r="AE97" s="147">
        <f t="shared" ref="AE97:BB97" si="29">AE79+AE85-AE91</f>
        <v>0</v>
      </c>
      <c r="AF97" s="147">
        <f t="shared" si="29"/>
        <v>0</v>
      </c>
      <c r="AG97" s="147">
        <f t="shared" si="29"/>
        <v>0</v>
      </c>
      <c r="AH97" s="147">
        <f t="shared" si="29"/>
        <v>0</v>
      </c>
      <c r="AI97" s="147">
        <f t="shared" si="29"/>
        <v>0</v>
      </c>
      <c r="AJ97" s="787">
        <f t="shared" si="29"/>
        <v>0</v>
      </c>
      <c r="AK97" s="787">
        <f t="shared" si="29"/>
        <v>0</v>
      </c>
      <c r="AL97" s="787">
        <f t="shared" si="29"/>
        <v>0</v>
      </c>
      <c r="AM97" s="787">
        <f t="shared" si="29"/>
        <v>0</v>
      </c>
      <c r="AN97" s="787">
        <f t="shared" si="29"/>
        <v>0</v>
      </c>
      <c r="AO97" s="787">
        <f t="shared" si="29"/>
        <v>0</v>
      </c>
      <c r="AP97" s="787">
        <f t="shared" si="29"/>
        <v>0</v>
      </c>
      <c r="AQ97" s="787">
        <f t="shared" si="29"/>
        <v>0</v>
      </c>
      <c r="AR97" s="787">
        <f t="shared" si="29"/>
        <v>0</v>
      </c>
      <c r="AS97" s="147">
        <f t="shared" si="29"/>
        <v>0</v>
      </c>
      <c r="AT97" s="787">
        <f t="shared" si="29"/>
        <v>0</v>
      </c>
      <c r="AU97" s="787">
        <f t="shared" si="29"/>
        <v>0</v>
      </c>
      <c r="AV97" s="787">
        <f t="shared" si="29"/>
        <v>0</v>
      </c>
      <c r="AW97" s="787">
        <f t="shared" si="29"/>
        <v>0</v>
      </c>
      <c r="AX97" s="787">
        <f t="shared" si="29"/>
        <v>0</v>
      </c>
      <c r="AY97" s="787">
        <f t="shared" si="29"/>
        <v>0</v>
      </c>
      <c r="AZ97" s="787">
        <f t="shared" si="29"/>
        <v>0</v>
      </c>
      <c r="BA97" s="787">
        <f t="shared" si="29"/>
        <v>0</v>
      </c>
      <c r="BB97" s="787">
        <f t="shared" si="29"/>
        <v>0</v>
      </c>
      <c r="BC97" s="132"/>
      <c r="BF97" s="689" t="s">
        <v>942</v>
      </c>
    </row>
    <row r="98" spans="2:58" ht="14.25" customHeight="1">
      <c r="E98" s="460">
        <v>15</v>
      </c>
      <c r="F98" s="3" t="str" cm="1">
        <f t="array" aca="1" ref="F98" ca="1">OFFSET(E98,-1,1)</f>
        <v>1</v>
      </c>
      <c r="G98" s="41" t="s">
        <v>544</v>
      </c>
      <c r="T98" s="365" t="b" cm="1">
        <f t="array" ref="T98">T97</f>
        <v>1</v>
      </c>
      <c r="X98" s="1094"/>
      <c r="Z98" s="1095"/>
      <c r="AB98" s="26" t="s">
        <v>710</v>
      </c>
      <c r="AC98" s="146" t="s">
        <v>904</v>
      </c>
      <c r="AD98" s="27" t="s">
        <v>804</v>
      </c>
      <c r="AE98" s="147">
        <f t="shared" ref="AE98:BB98" si="30">AE80+AE86-AE92</f>
        <v>0</v>
      </c>
      <c r="AF98" s="147">
        <f t="shared" si="30"/>
        <v>0</v>
      </c>
      <c r="AG98" s="147">
        <f t="shared" si="30"/>
        <v>0</v>
      </c>
      <c r="AH98" s="147">
        <f t="shared" si="30"/>
        <v>0</v>
      </c>
      <c r="AI98" s="147">
        <f t="shared" si="30"/>
        <v>0</v>
      </c>
      <c r="AJ98" s="787">
        <f t="shared" si="30"/>
        <v>0</v>
      </c>
      <c r="AK98" s="787">
        <f t="shared" si="30"/>
        <v>0</v>
      </c>
      <c r="AL98" s="787">
        <f t="shared" si="30"/>
        <v>0</v>
      </c>
      <c r="AM98" s="787">
        <f t="shared" si="30"/>
        <v>0</v>
      </c>
      <c r="AN98" s="787">
        <f t="shared" si="30"/>
        <v>0</v>
      </c>
      <c r="AO98" s="787">
        <f t="shared" si="30"/>
        <v>0</v>
      </c>
      <c r="AP98" s="787">
        <f t="shared" si="30"/>
        <v>0</v>
      </c>
      <c r="AQ98" s="787">
        <f t="shared" si="30"/>
        <v>0</v>
      </c>
      <c r="AR98" s="787">
        <f t="shared" si="30"/>
        <v>0</v>
      </c>
      <c r="AS98" s="147">
        <f t="shared" si="30"/>
        <v>0</v>
      </c>
      <c r="AT98" s="787">
        <f t="shared" si="30"/>
        <v>0</v>
      </c>
      <c r="AU98" s="787">
        <f t="shared" si="30"/>
        <v>0</v>
      </c>
      <c r="AV98" s="787">
        <f t="shared" si="30"/>
        <v>0</v>
      </c>
      <c r="AW98" s="787">
        <f t="shared" si="30"/>
        <v>0</v>
      </c>
      <c r="AX98" s="787">
        <f t="shared" si="30"/>
        <v>0</v>
      </c>
      <c r="AY98" s="787">
        <f t="shared" si="30"/>
        <v>0</v>
      </c>
      <c r="AZ98" s="787">
        <f t="shared" si="30"/>
        <v>0</v>
      </c>
      <c r="BA98" s="787">
        <f t="shared" si="30"/>
        <v>0</v>
      </c>
      <c r="BB98" s="787">
        <f t="shared" si="30"/>
        <v>0</v>
      </c>
      <c r="BC98" s="132"/>
      <c r="BF98" s="689" t="s">
        <v>943</v>
      </c>
    </row>
    <row r="99" spans="2:58" ht="14.25" customHeight="1">
      <c r="E99" s="460">
        <v>15</v>
      </c>
      <c r="F99" s="3" t="str" cm="1">
        <f t="array" aca="1" ref="F99" ca="1">OFFSET(E99,-1,1)</f>
        <v>1</v>
      </c>
      <c r="G99" s="41" t="s">
        <v>944</v>
      </c>
      <c r="T99" s="365" t="b" cm="1">
        <f t="array" ref="T99">T98</f>
        <v>1</v>
      </c>
      <c r="X99" s="1094"/>
      <c r="Z99" s="1095"/>
      <c r="AB99" s="26" t="s">
        <v>719</v>
      </c>
      <c r="AC99" s="146" t="s">
        <v>907</v>
      </c>
      <c r="AD99" s="27" t="s">
        <v>804</v>
      </c>
      <c r="AE99" s="147">
        <f t="shared" ref="AE99:BB99" si="31">AE81+AE87-AE93</f>
        <v>0</v>
      </c>
      <c r="AF99" s="147">
        <f t="shared" si="31"/>
        <v>0</v>
      </c>
      <c r="AG99" s="147">
        <f t="shared" si="31"/>
        <v>0</v>
      </c>
      <c r="AH99" s="147">
        <f t="shared" si="31"/>
        <v>0</v>
      </c>
      <c r="AI99" s="147">
        <f t="shared" si="31"/>
        <v>0</v>
      </c>
      <c r="AJ99" s="787">
        <f t="shared" si="31"/>
        <v>0</v>
      </c>
      <c r="AK99" s="787">
        <f t="shared" si="31"/>
        <v>0</v>
      </c>
      <c r="AL99" s="787">
        <f t="shared" si="31"/>
        <v>0</v>
      </c>
      <c r="AM99" s="787">
        <f t="shared" si="31"/>
        <v>0</v>
      </c>
      <c r="AN99" s="787">
        <f t="shared" si="31"/>
        <v>0</v>
      </c>
      <c r="AO99" s="787">
        <f t="shared" si="31"/>
        <v>0</v>
      </c>
      <c r="AP99" s="787">
        <f t="shared" si="31"/>
        <v>0</v>
      </c>
      <c r="AQ99" s="787">
        <f t="shared" si="31"/>
        <v>0</v>
      </c>
      <c r="AR99" s="787">
        <f t="shared" si="31"/>
        <v>0</v>
      </c>
      <c r="AS99" s="147">
        <f t="shared" si="31"/>
        <v>0</v>
      </c>
      <c r="AT99" s="787">
        <f t="shared" si="31"/>
        <v>0</v>
      </c>
      <c r="AU99" s="787">
        <f t="shared" si="31"/>
        <v>0</v>
      </c>
      <c r="AV99" s="787">
        <f t="shared" si="31"/>
        <v>0</v>
      </c>
      <c r="AW99" s="787">
        <f t="shared" si="31"/>
        <v>0</v>
      </c>
      <c r="AX99" s="787">
        <f t="shared" si="31"/>
        <v>0</v>
      </c>
      <c r="AY99" s="787">
        <f t="shared" si="31"/>
        <v>0</v>
      </c>
      <c r="AZ99" s="787">
        <f t="shared" si="31"/>
        <v>0</v>
      </c>
      <c r="BA99" s="787">
        <f t="shared" si="31"/>
        <v>0</v>
      </c>
      <c r="BB99" s="787">
        <f t="shared" si="31"/>
        <v>0</v>
      </c>
      <c r="BC99" s="132"/>
      <c r="BF99" s="689" t="s">
        <v>945</v>
      </c>
    </row>
    <row r="100" spans="2:58" ht="14.25" customHeight="1">
      <c r="E100" s="460">
        <v>15</v>
      </c>
      <c r="F100" s="3" t="str" cm="1">
        <f t="array" aca="1" ref="F100" ca="1">OFFSET(E100,-1,1)</f>
        <v>1</v>
      </c>
      <c r="G100" s="41" t="s">
        <v>946</v>
      </c>
      <c r="T100" s="365" t="b" cm="1">
        <f t="array" ref="T100">T99</f>
        <v>1</v>
      </c>
      <c r="X100" s="1094"/>
      <c r="Z100" s="1095"/>
      <c r="AB100" s="26" t="s">
        <v>729</v>
      </c>
      <c r="AC100" s="146" t="s">
        <v>911</v>
      </c>
      <c r="AD100" s="27" t="s">
        <v>804</v>
      </c>
      <c r="AE100" s="147">
        <f t="shared" ref="AE100:BB100" si="32">AE82+AE88-AE94</f>
        <v>0</v>
      </c>
      <c r="AF100" s="147">
        <f t="shared" si="32"/>
        <v>0</v>
      </c>
      <c r="AG100" s="147">
        <f t="shared" si="32"/>
        <v>0</v>
      </c>
      <c r="AH100" s="147">
        <f t="shared" si="32"/>
        <v>0</v>
      </c>
      <c r="AI100" s="147">
        <f t="shared" si="32"/>
        <v>0</v>
      </c>
      <c r="AJ100" s="787">
        <f t="shared" si="32"/>
        <v>0</v>
      </c>
      <c r="AK100" s="787">
        <f t="shared" si="32"/>
        <v>0</v>
      </c>
      <c r="AL100" s="787">
        <f t="shared" si="32"/>
        <v>0</v>
      </c>
      <c r="AM100" s="787">
        <f t="shared" si="32"/>
        <v>0</v>
      </c>
      <c r="AN100" s="787">
        <f t="shared" si="32"/>
        <v>0</v>
      </c>
      <c r="AO100" s="787">
        <f t="shared" si="32"/>
        <v>0</v>
      </c>
      <c r="AP100" s="787">
        <f t="shared" si="32"/>
        <v>0</v>
      </c>
      <c r="AQ100" s="787">
        <f t="shared" si="32"/>
        <v>0</v>
      </c>
      <c r="AR100" s="787">
        <f t="shared" si="32"/>
        <v>0</v>
      </c>
      <c r="AS100" s="147">
        <f t="shared" si="32"/>
        <v>0</v>
      </c>
      <c r="AT100" s="787">
        <f t="shared" si="32"/>
        <v>0</v>
      </c>
      <c r="AU100" s="787">
        <f t="shared" si="32"/>
        <v>0</v>
      </c>
      <c r="AV100" s="787">
        <f t="shared" si="32"/>
        <v>0</v>
      </c>
      <c r="AW100" s="787">
        <f t="shared" si="32"/>
        <v>0</v>
      </c>
      <c r="AX100" s="787">
        <f t="shared" si="32"/>
        <v>0</v>
      </c>
      <c r="AY100" s="787">
        <f t="shared" si="32"/>
        <v>0</v>
      </c>
      <c r="AZ100" s="787">
        <f t="shared" si="32"/>
        <v>0</v>
      </c>
      <c r="BA100" s="787">
        <f t="shared" si="32"/>
        <v>0</v>
      </c>
      <c r="BB100" s="787">
        <f t="shared" si="32"/>
        <v>0</v>
      </c>
      <c r="BC100" s="132"/>
      <c r="BF100" s="689" t="s">
        <v>947</v>
      </c>
    </row>
    <row r="101" spans="2:58" s="82" customFormat="1" ht="14.25" customHeight="1">
      <c r="B101" s="340"/>
      <c r="E101" s="460">
        <v>15</v>
      </c>
      <c r="F101" s="3" t="str" cm="1">
        <f t="array" aca="1" ref="F101" ca="1">OFFSET(E101,-1,1)</f>
        <v>1</v>
      </c>
      <c r="G101" s="41" t="s">
        <v>330</v>
      </c>
      <c r="T101" s="365" t="b" cm="1">
        <f t="array" ref="T101">T100</f>
        <v>1</v>
      </c>
      <c r="X101" s="1094"/>
      <c r="Z101" s="1095"/>
      <c r="AB101" s="143">
        <v>5</v>
      </c>
      <c r="AC101" s="144" t="s">
        <v>948</v>
      </c>
      <c r="AD101" s="27" t="s">
        <v>804</v>
      </c>
      <c r="AE101" s="157">
        <f t="shared" ref="AE101:BB101" si="33">SUM(AE102:AE106)</f>
        <v>0</v>
      </c>
      <c r="AF101" s="157">
        <f t="shared" si="33"/>
        <v>0</v>
      </c>
      <c r="AG101" s="157">
        <f t="shared" si="33"/>
        <v>0</v>
      </c>
      <c r="AH101" s="157">
        <f t="shared" si="33"/>
        <v>0</v>
      </c>
      <c r="AI101" s="157">
        <f t="shared" si="33"/>
        <v>0</v>
      </c>
      <c r="AJ101" s="783">
        <f t="shared" si="33"/>
        <v>0</v>
      </c>
      <c r="AK101" s="783">
        <f t="shared" si="33"/>
        <v>0</v>
      </c>
      <c r="AL101" s="783">
        <f t="shared" si="33"/>
        <v>0</v>
      </c>
      <c r="AM101" s="783">
        <f t="shared" si="33"/>
        <v>0</v>
      </c>
      <c r="AN101" s="783">
        <f t="shared" si="33"/>
        <v>0</v>
      </c>
      <c r="AO101" s="783">
        <f t="shared" si="33"/>
        <v>0</v>
      </c>
      <c r="AP101" s="783">
        <f t="shared" si="33"/>
        <v>0</v>
      </c>
      <c r="AQ101" s="783">
        <f t="shared" si="33"/>
        <v>0</v>
      </c>
      <c r="AR101" s="783">
        <f t="shared" si="33"/>
        <v>0</v>
      </c>
      <c r="AS101" s="157">
        <f t="shared" si="33"/>
        <v>0</v>
      </c>
      <c r="AT101" s="783">
        <f t="shared" si="33"/>
        <v>0</v>
      </c>
      <c r="AU101" s="783">
        <f t="shared" si="33"/>
        <v>0</v>
      </c>
      <c r="AV101" s="783">
        <f t="shared" si="33"/>
        <v>0</v>
      </c>
      <c r="AW101" s="783">
        <f t="shared" si="33"/>
        <v>0</v>
      </c>
      <c r="AX101" s="783">
        <f t="shared" si="33"/>
        <v>0</v>
      </c>
      <c r="AY101" s="783">
        <f t="shared" si="33"/>
        <v>0</v>
      </c>
      <c r="AZ101" s="783">
        <f t="shared" si="33"/>
        <v>0</v>
      </c>
      <c r="BA101" s="783">
        <f t="shared" si="33"/>
        <v>0</v>
      </c>
      <c r="BB101" s="783">
        <f t="shared" si="33"/>
        <v>0</v>
      </c>
      <c r="BC101" s="132"/>
      <c r="BF101" s="689" t="s">
        <v>949</v>
      </c>
    </row>
    <row r="102" spans="2:58" ht="14.25" customHeight="1">
      <c r="E102" s="460">
        <v>15</v>
      </c>
      <c r="F102" s="3" t="str" cm="1">
        <f t="array" aca="1" ref="F102" ca="1">OFFSET(E102,-1,1)</f>
        <v>1</v>
      </c>
      <c r="G102" s="41" t="s">
        <v>550</v>
      </c>
      <c r="T102" s="365" t="b" cm="1">
        <f t="array" ref="T102">T101</f>
        <v>1</v>
      </c>
      <c r="X102" s="1094"/>
      <c r="Z102" s="1095"/>
      <c r="AB102" s="26" t="s">
        <v>680</v>
      </c>
      <c r="AC102" s="146" t="s">
        <v>898</v>
      </c>
      <c r="AD102" s="27" t="s">
        <v>804</v>
      </c>
      <c r="AE102" s="147">
        <f t="shared" ref="AE102:BB102" si="34">(AE96+AE78)/2</f>
        <v>0</v>
      </c>
      <c r="AF102" s="147">
        <f t="shared" si="34"/>
        <v>0</v>
      </c>
      <c r="AG102" s="147">
        <f t="shared" si="34"/>
        <v>0</v>
      </c>
      <c r="AH102" s="147">
        <f t="shared" si="34"/>
        <v>0</v>
      </c>
      <c r="AI102" s="147">
        <f t="shared" si="34"/>
        <v>0</v>
      </c>
      <c r="AJ102" s="787">
        <f t="shared" si="34"/>
        <v>0</v>
      </c>
      <c r="AK102" s="787">
        <f t="shared" si="34"/>
        <v>0</v>
      </c>
      <c r="AL102" s="787">
        <f t="shared" si="34"/>
        <v>0</v>
      </c>
      <c r="AM102" s="787">
        <f t="shared" si="34"/>
        <v>0</v>
      </c>
      <c r="AN102" s="787">
        <f t="shared" si="34"/>
        <v>0</v>
      </c>
      <c r="AO102" s="787">
        <f t="shared" si="34"/>
        <v>0</v>
      </c>
      <c r="AP102" s="787">
        <f t="shared" si="34"/>
        <v>0</v>
      </c>
      <c r="AQ102" s="787">
        <f t="shared" si="34"/>
        <v>0</v>
      </c>
      <c r="AR102" s="787">
        <f t="shared" si="34"/>
        <v>0</v>
      </c>
      <c r="AS102" s="147">
        <f t="shared" si="34"/>
        <v>0</v>
      </c>
      <c r="AT102" s="787">
        <f t="shared" si="34"/>
        <v>0</v>
      </c>
      <c r="AU102" s="787">
        <f t="shared" si="34"/>
        <v>0</v>
      </c>
      <c r="AV102" s="787">
        <f t="shared" si="34"/>
        <v>0</v>
      </c>
      <c r="AW102" s="787">
        <f t="shared" si="34"/>
        <v>0</v>
      </c>
      <c r="AX102" s="787">
        <f t="shared" si="34"/>
        <v>0</v>
      </c>
      <c r="AY102" s="787">
        <f t="shared" si="34"/>
        <v>0</v>
      </c>
      <c r="AZ102" s="787">
        <f t="shared" si="34"/>
        <v>0</v>
      </c>
      <c r="BA102" s="787">
        <f t="shared" si="34"/>
        <v>0</v>
      </c>
      <c r="BB102" s="787">
        <f t="shared" si="34"/>
        <v>0</v>
      </c>
      <c r="BC102" s="132"/>
      <c r="BF102" s="689" t="s">
        <v>950</v>
      </c>
    </row>
    <row r="103" spans="2:58" ht="14.25" customHeight="1">
      <c r="E103" s="460">
        <v>15</v>
      </c>
      <c r="F103" s="3" t="str" cm="1">
        <f t="array" aca="1" ref="F103" ca="1">OFFSET(E103,-1,1)</f>
        <v>1</v>
      </c>
      <c r="G103" s="41" t="s">
        <v>554</v>
      </c>
      <c r="T103" s="365" t="b" cm="1">
        <f t="array" ref="T103">T102</f>
        <v>1</v>
      </c>
      <c r="X103" s="1094"/>
      <c r="Z103" s="1095"/>
      <c r="AB103" s="26" t="s">
        <v>683</v>
      </c>
      <c r="AC103" s="146" t="s">
        <v>901</v>
      </c>
      <c r="AD103" s="27" t="s">
        <v>804</v>
      </c>
      <c r="AE103" s="147">
        <f t="shared" ref="AE103:BB103" si="35">(AE97+AE79)/2</f>
        <v>0</v>
      </c>
      <c r="AF103" s="147">
        <f t="shared" si="35"/>
        <v>0</v>
      </c>
      <c r="AG103" s="147">
        <f t="shared" si="35"/>
        <v>0</v>
      </c>
      <c r="AH103" s="147">
        <f t="shared" si="35"/>
        <v>0</v>
      </c>
      <c r="AI103" s="147">
        <f t="shared" si="35"/>
        <v>0</v>
      </c>
      <c r="AJ103" s="787">
        <f t="shared" si="35"/>
        <v>0</v>
      </c>
      <c r="AK103" s="787">
        <f t="shared" si="35"/>
        <v>0</v>
      </c>
      <c r="AL103" s="787">
        <f t="shared" si="35"/>
        <v>0</v>
      </c>
      <c r="AM103" s="787">
        <f t="shared" si="35"/>
        <v>0</v>
      </c>
      <c r="AN103" s="787">
        <f t="shared" si="35"/>
        <v>0</v>
      </c>
      <c r="AO103" s="787">
        <f t="shared" si="35"/>
        <v>0</v>
      </c>
      <c r="AP103" s="787">
        <f t="shared" si="35"/>
        <v>0</v>
      </c>
      <c r="AQ103" s="787">
        <f t="shared" si="35"/>
        <v>0</v>
      </c>
      <c r="AR103" s="787">
        <f t="shared" si="35"/>
        <v>0</v>
      </c>
      <c r="AS103" s="147">
        <f t="shared" si="35"/>
        <v>0</v>
      </c>
      <c r="AT103" s="787">
        <f t="shared" si="35"/>
        <v>0</v>
      </c>
      <c r="AU103" s="787">
        <f t="shared" si="35"/>
        <v>0</v>
      </c>
      <c r="AV103" s="787">
        <f t="shared" si="35"/>
        <v>0</v>
      </c>
      <c r="AW103" s="787">
        <f t="shared" si="35"/>
        <v>0</v>
      </c>
      <c r="AX103" s="787">
        <f t="shared" si="35"/>
        <v>0</v>
      </c>
      <c r="AY103" s="787">
        <f t="shared" si="35"/>
        <v>0</v>
      </c>
      <c r="AZ103" s="787">
        <f t="shared" si="35"/>
        <v>0</v>
      </c>
      <c r="BA103" s="787">
        <f t="shared" si="35"/>
        <v>0</v>
      </c>
      <c r="BB103" s="787">
        <f t="shared" si="35"/>
        <v>0</v>
      </c>
      <c r="BC103" s="132"/>
      <c r="BF103" s="689" t="s">
        <v>951</v>
      </c>
    </row>
    <row r="104" spans="2:58" ht="14.25" customHeight="1">
      <c r="E104" s="460">
        <v>15</v>
      </c>
      <c r="F104" s="3" t="str" cm="1">
        <f t="array" aca="1" ref="F104" ca="1">OFFSET(E104,-1,1)</f>
        <v>1</v>
      </c>
      <c r="G104" s="41" t="s">
        <v>770</v>
      </c>
      <c r="T104" s="365" t="b" cm="1">
        <f t="array" ref="T104">T103</f>
        <v>1</v>
      </c>
      <c r="X104" s="1094"/>
      <c r="Z104" s="1095"/>
      <c r="AB104" s="26" t="s">
        <v>952</v>
      </c>
      <c r="AC104" s="146" t="s">
        <v>904</v>
      </c>
      <c r="AD104" s="27" t="s">
        <v>804</v>
      </c>
      <c r="AE104" s="147">
        <f t="shared" ref="AE104:BB104" si="36">(AE98+AE80)/2</f>
        <v>0</v>
      </c>
      <c r="AF104" s="147">
        <f t="shared" si="36"/>
        <v>0</v>
      </c>
      <c r="AG104" s="147">
        <f t="shared" si="36"/>
        <v>0</v>
      </c>
      <c r="AH104" s="147">
        <f t="shared" si="36"/>
        <v>0</v>
      </c>
      <c r="AI104" s="147">
        <f t="shared" si="36"/>
        <v>0</v>
      </c>
      <c r="AJ104" s="787">
        <f t="shared" si="36"/>
        <v>0</v>
      </c>
      <c r="AK104" s="787">
        <f t="shared" si="36"/>
        <v>0</v>
      </c>
      <c r="AL104" s="787">
        <f t="shared" si="36"/>
        <v>0</v>
      </c>
      <c r="AM104" s="787">
        <f t="shared" si="36"/>
        <v>0</v>
      </c>
      <c r="AN104" s="787">
        <f t="shared" si="36"/>
        <v>0</v>
      </c>
      <c r="AO104" s="787">
        <f t="shared" si="36"/>
        <v>0</v>
      </c>
      <c r="AP104" s="787">
        <f t="shared" si="36"/>
        <v>0</v>
      </c>
      <c r="AQ104" s="787">
        <f t="shared" si="36"/>
        <v>0</v>
      </c>
      <c r="AR104" s="787">
        <f t="shared" si="36"/>
        <v>0</v>
      </c>
      <c r="AS104" s="147">
        <f t="shared" si="36"/>
        <v>0</v>
      </c>
      <c r="AT104" s="787">
        <f t="shared" si="36"/>
        <v>0</v>
      </c>
      <c r="AU104" s="787">
        <f t="shared" si="36"/>
        <v>0</v>
      </c>
      <c r="AV104" s="787">
        <f t="shared" si="36"/>
        <v>0</v>
      </c>
      <c r="AW104" s="787">
        <f t="shared" si="36"/>
        <v>0</v>
      </c>
      <c r="AX104" s="787">
        <f t="shared" si="36"/>
        <v>0</v>
      </c>
      <c r="AY104" s="787">
        <f t="shared" si="36"/>
        <v>0</v>
      </c>
      <c r="AZ104" s="787">
        <f t="shared" si="36"/>
        <v>0</v>
      </c>
      <c r="BA104" s="787">
        <f t="shared" si="36"/>
        <v>0</v>
      </c>
      <c r="BB104" s="787">
        <f t="shared" si="36"/>
        <v>0</v>
      </c>
      <c r="BC104" s="132"/>
      <c r="BF104" s="689" t="s">
        <v>953</v>
      </c>
    </row>
    <row r="105" spans="2:58" ht="14.25" customHeight="1">
      <c r="E105" s="460">
        <v>15</v>
      </c>
      <c r="F105" s="3" t="str" cm="1">
        <f t="array" aca="1" ref="F105" ca="1">OFFSET(E105,-1,1)</f>
        <v>1</v>
      </c>
      <c r="G105" s="41" t="s">
        <v>954</v>
      </c>
      <c r="T105" s="365" t="b" cm="1">
        <f t="array" ref="T105">T104</f>
        <v>1</v>
      </c>
      <c r="X105" s="1094"/>
      <c r="Z105" s="1095"/>
      <c r="AB105" s="26" t="s">
        <v>955</v>
      </c>
      <c r="AC105" s="146" t="s">
        <v>907</v>
      </c>
      <c r="AD105" s="27" t="s">
        <v>804</v>
      </c>
      <c r="AE105" s="147">
        <f t="shared" ref="AE105:BB105" si="37">(AE99+AE81)/2</f>
        <v>0</v>
      </c>
      <c r="AF105" s="147">
        <f t="shared" si="37"/>
        <v>0</v>
      </c>
      <c r="AG105" s="147">
        <f t="shared" si="37"/>
        <v>0</v>
      </c>
      <c r="AH105" s="147">
        <f t="shared" si="37"/>
        <v>0</v>
      </c>
      <c r="AI105" s="147">
        <f t="shared" si="37"/>
        <v>0</v>
      </c>
      <c r="AJ105" s="787">
        <f t="shared" si="37"/>
        <v>0</v>
      </c>
      <c r="AK105" s="787">
        <f t="shared" si="37"/>
        <v>0</v>
      </c>
      <c r="AL105" s="787">
        <f t="shared" si="37"/>
        <v>0</v>
      </c>
      <c r="AM105" s="787">
        <f t="shared" si="37"/>
        <v>0</v>
      </c>
      <c r="AN105" s="787">
        <f t="shared" si="37"/>
        <v>0</v>
      </c>
      <c r="AO105" s="787">
        <f t="shared" si="37"/>
        <v>0</v>
      </c>
      <c r="AP105" s="787">
        <f t="shared" si="37"/>
        <v>0</v>
      </c>
      <c r="AQ105" s="787">
        <f t="shared" si="37"/>
        <v>0</v>
      </c>
      <c r="AR105" s="787">
        <f t="shared" si="37"/>
        <v>0</v>
      </c>
      <c r="AS105" s="147">
        <f t="shared" si="37"/>
        <v>0</v>
      </c>
      <c r="AT105" s="787">
        <f t="shared" si="37"/>
        <v>0</v>
      </c>
      <c r="AU105" s="787">
        <f t="shared" si="37"/>
        <v>0</v>
      </c>
      <c r="AV105" s="787">
        <f t="shared" si="37"/>
        <v>0</v>
      </c>
      <c r="AW105" s="787">
        <f t="shared" si="37"/>
        <v>0</v>
      </c>
      <c r="AX105" s="787">
        <f t="shared" si="37"/>
        <v>0</v>
      </c>
      <c r="AY105" s="787">
        <f t="shared" si="37"/>
        <v>0</v>
      </c>
      <c r="AZ105" s="787">
        <f t="shared" si="37"/>
        <v>0</v>
      </c>
      <c r="BA105" s="787">
        <f t="shared" si="37"/>
        <v>0</v>
      </c>
      <c r="BB105" s="787">
        <f t="shared" si="37"/>
        <v>0</v>
      </c>
      <c r="BC105" s="132"/>
      <c r="BF105" s="689" t="s">
        <v>956</v>
      </c>
    </row>
    <row r="106" spans="2:58" ht="14.25" customHeight="1">
      <c r="E106" s="460">
        <v>15</v>
      </c>
      <c r="F106" s="3" t="str" cm="1">
        <f t="array" aca="1" ref="F106" ca="1">OFFSET(E106,-1,1)</f>
        <v>1</v>
      </c>
      <c r="G106" s="41" t="s">
        <v>957</v>
      </c>
      <c r="T106" s="365" t="b" cm="1">
        <f t="array" ref="T106">T105</f>
        <v>1</v>
      </c>
      <c r="X106" s="1094"/>
      <c r="Z106" s="1095"/>
      <c r="AB106" s="26" t="s">
        <v>958</v>
      </c>
      <c r="AC106" s="146" t="s">
        <v>911</v>
      </c>
      <c r="AD106" s="27" t="s">
        <v>804</v>
      </c>
      <c r="AE106" s="147">
        <f t="shared" ref="AE106:BB106" si="38">(AE100+AE82)/2</f>
        <v>0</v>
      </c>
      <c r="AF106" s="147">
        <f t="shared" si="38"/>
        <v>0</v>
      </c>
      <c r="AG106" s="147">
        <f t="shared" si="38"/>
        <v>0</v>
      </c>
      <c r="AH106" s="147">
        <f t="shared" si="38"/>
        <v>0</v>
      </c>
      <c r="AI106" s="147">
        <f t="shared" si="38"/>
        <v>0</v>
      </c>
      <c r="AJ106" s="787">
        <f t="shared" si="38"/>
        <v>0</v>
      </c>
      <c r="AK106" s="787">
        <f t="shared" si="38"/>
        <v>0</v>
      </c>
      <c r="AL106" s="787">
        <f t="shared" si="38"/>
        <v>0</v>
      </c>
      <c r="AM106" s="787">
        <f t="shared" si="38"/>
        <v>0</v>
      </c>
      <c r="AN106" s="787">
        <f t="shared" si="38"/>
        <v>0</v>
      </c>
      <c r="AO106" s="787">
        <f t="shared" si="38"/>
        <v>0</v>
      </c>
      <c r="AP106" s="787">
        <f t="shared" si="38"/>
        <v>0</v>
      </c>
      <c r="AQ106" s="787">
        <f t="shared" si="38"/>
        <v>0</v>
      </c>
      <c r="AR106" s="787">
        <f t="shared" si="38"/>
        <v>0</v>
      </c>
      <c r="AS106" s="147">
        <f t="shared" si="38"/>
        <v>0</v>
      </c>
      <c r="AT106" s="787">
        <f t="shared" si="38"/>
        <v>0</v>
      </c>
      <c r="AU106" s="787">
        <f t="shared" si="38"/>
        <v>0</v>
      </c>
      <c r="AV106" s="787">
        <f t="shared" si="38"/>
        <v>0</v>
      </c>
      <c r="AW106" s="787">
        <f t="shared" si="38"/>
        <v>0</v>
      </c>
      <c r="AX106" s="787">
        <f t="shared" si="38"/>
        <v>0</v>
      </c>
      <c r="AY106" s="787">
        <f t="shared" si="38"/>
        <v>0</v>
      </c>
      <c r="AZ106" s="787">
        <f t="shared" si="38"/>
        <v>0</v>
      </c>
      <c r="BA106" s="787">
        <f t="shared" si="38"/>
        <v>0</v>
      </c>
      <c r="BB106" s="787">
        <f t="shared" si="38"/>
        <v>0</v>
      </c>
      <c r="BC106" s="132"/>
      <c r="BF106" s="689" t="s">
        <v>959</v>
      </c>
    </row>
    <row r="107" spans="2:58" s="82" customFormat="1" ht="21.75" customHeight="1">
      <c r="B107" s="340"/>
      <c r="E107" s="499">
        <v>22.5</v>
      </c>
      <c r="F107" s="3" t="str" cm="1">
        <f t="array" aca="1" ref="F107" ca="1">OFFSET(E107,-1,1)</f>
        <v>1</v>
      </c>
      <c r="G107" s="41" t="s">
        <v>511</v>
      </c>
      <c r="T107" s="365" t="b" cm="1">
        <f t="array" ref="T107">T106</f>
        <v>1</v>
      </c>
      <c r="X107" s="1094"/>
      <c r="Z107" s="1095"/>
      <c r="AB107" s="143">
        <v>6</v>
      </c>
      <c r="AC107" s="144" t="s">
        <v>960</v>
      </c>
      <c r="AD107" s="143"/>
      <c r="AE107" s="148"/>
      <c r="AF107" s="148"/>
      <c r="AG107" s="148"/>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32"/>
      <c r="BF107" s="689" t="s">
        <v>961</v>
      </c>
    </row>
    <row r="108" spans="2:58" ht="14.25" customHeight="1">
      <c r="E108" s="460">
        <v>15</v>
      </c>
      <c r="F108" s="3" t="str" cm="1">
        <f t="array" aca="1" ref="F108" ca="1">OFFSET(E108,-1,1)</f>
        <v>1</v>
      </c>
      <c r="G108" s="41" t="s">
        <v>672</v>
      </c>
      <c r="T108" s="365" t="b" cm="1">
        <f t="array" ref="T108">T107</f>
        <v>1</v>
      </c>
      <c r="X108" s="1094"/>
      <c r="Z108" s="1095"/>
      <c r="AB108" s="26" t="s">
        <v>566</v>
      </c>
      <c r="AC108" s="146" t="s">
        <v>898</v>
      </c>
      <c r="AD108" s="26" t="s">
        <v>456</v>
      </c>
      <c r="AE108" s="147">
        <f t="shared" ref="AE108:BB108" si="39">IF(AE102=0,0,AE114/AE102*100)</f>
        <v>0</v>
      </c>
      <c r="AF108" s="147">
        <f t="shared" si="39"/>
        <v>0</v>
      </c>
      <c r="AG108" s="147">
        <f t="shared" si="39"/>
        <v>0</v>
      </c>
      <c r="AH108" s="147">
        <f t="shared" si="39"/>
        <v>0</v>
      </c>
      <c r="AI108" s="147">
        <f t="shared" si="39"/>
        <v>0</v>
      </c>
      <c r="AJ108" s="787">
        <f t="shared" si="39"/>
        <v>0</v>
      </c>
      <c r="AK108" s="787">
        <f t="shared" si="39"/>
        <v>0</v>
      </c>
      <c r="AL108" s="787">
        <f t="shared" si="39"/>
        <v>0</v>
      </c>
      <c r="AM108" s="787">
        <f t="shared" si="39"/>
        <v>0</v>
      </c>
      <c r="AN108" s="787">
        <f t="shared" si="39"/>
        <v>0</v>
      </c>
      <c r="AO108" s="787">
        <f t="shared" si="39"/>
        <v>0</v>
      </c>
      <c r="AP108" s="787">
        <f t="shared" si="39"/>
        <v>0</v>
      </c>
      <c r="AQ108" s="787">
        <f t="shared" si="39"/>
        <v>0</v>
      </c>
      <c r="AR108" s="787">
        <f t="shared" si="39"/>
        <v>0</v>
      </c>
      <c r="AS108" s="147">
        <f t="shared" si="39"/>
        <v>0</v>
      </c>
      <c r="AT108" s="787">
        <f t="shared" si="39"/>
        <v>0</v>
      </c>
      <c r="AU108" s="787">
        <f t="shared" si="39"/>
        <v>0</v>
      </c>
      <c r="AV108" s="787">
        <f t="shared" si="39"/>
        <v>0</v>
      </c>
      <c r="AW108" s="787">
        <f t="shared" si="39"/>
        <v>0</v>
      </c>
      <c r="AX108" s="787">
        <f t="shared" si="39"/>
        <v>0</v>
      </c>
      <c r="AY108" s="787">
        <f t="shared" si="39"/>
        <v>0</v>
      </c>
      <c r="AZ108" s="787">
        <f t="shared" si="39"/>
        <v>0</v>
      </c>
      <c r="BA108" s="787">
        <f t="shared" si="39"/>
        <v>0</v>
      </c>
      <c r="BB108" s="787">
        <f t="shared" si="39"/>
        <v>0</v>
      </c>
      <c r="BC108" s="132"/>
      <c r="BF108" s="689" t="s">
        <v>962</v>
      </c>
    </row>
    <row r="109" spans="2:58" ht="14.25" customHeight="1">
      <c r="E109" s="460">
        <v>15</v>
      </c>
      <c r="F109" s="3" t="str" cm="1">
        <f t="array" aca="1" ref="F109" ca="1">OFFSET(E109,-1,1)</f>
        <v>1</v>
      </c>
      <c r="G109" s="41" t="s">
        <v>675</v>
      </c>
      <c r="T109" s="365" t="b" cm="1">
        <f t="array" ref="T109">T108</f>
        <v>1</v>
      </c>
      <c r="X109" s="1094"/>
      <c r="Z109" s="1095"/>
      <c r="AB109" s="26" t="s">
        <v>570</v>
      </c>
      <c r="AC109" s="146" t="s">
        <v>901</v>
      </c>
      <c r="AD109" s="26" t="s">
        <v>456</v>
      </c>
      <c r="AE109" s="147">
        <f t="shared" ref="AE109:BB109" si="40">IF(AE103=0,0,AE115/AE103*100)</f>
        <v>0</v>
      </c>
      <c r="AF109" s="147">
        <f t="shared" si="40"/>
        <v>0</v>
      </c>
      <c r="AG109" s="147">
        <f t="shared" si="40"/>
        <v>0</v>
      </c>
      <c r="AH109" s="147">
        <f t="shared" si="40"/>
        <v>0</v>
      </c>
      <c r="AI109" s="147">
        <f t="shared" si="40"/>
        <v>0</v>
      </c>
      <c r="AJ109" s="787">
        <f t="shared" si="40"/>
        <v>0</v>
      </c>
      <c r="AK109" s="787">
        <f t="shared" si="40"/>
        <v>0</v>
      </c>
      <c r="AL109" s="787">
        <f t="shared" si="40"/>
        <v>0</v>
      </c>
      <c r="AM109" s="787">
        <f t="shared" si="40"/>
        <v>0</v>
      </c>
      <c r="AN109" s="787">
        <f t="shared" si="40"/>
        <v>0</v>
      </c>
      <c r="AO109" s="787">
        <f t="shared" si="40"/>
        <v>0</v>
      </c>
      <c r="AP109" s="787">
        <f t="shared" si="40"/>
        <v>0</v>
      </c>
      <c r="AQ109" s="787">
        <f t="shared" si="40"/>
        <v>0</v>
      </c>
      <c r="AR109" s="787">
        <f t="shared" si="40"/>
        <v>0</v>
      </c>
      <c r="AS109" s="147">
        <f t="shared" si="40"/>
        <v>0</v>
      </c>
      <c r="AT109" s="787">
        <f t="shared" si="40"/>
        <v>0</v>
      </c>
      <c r="AU109" s="787">
        <f t="shared" si="40"/>
        <v>0</v>
      </c>
      <c r="AV109" s="787">
        <f t="shared" si="40"/>
        <v>0</v>
      </c>
      <c r="AW109" s="787">
        <f t="shared" si="40"/>
        <v>0</v>
      </c>
      <c r="AX109" s="787">
        <f t="shared" si="40"/>
        <v>0</v>
      </c>
      <c r="AY109" s="787">
        <f t="shared" si="40"/>
        <v>0</v>
      </c>
      <c r="AZ109" s="787">
        <f t="shared" si="40"/>
        <v>0</v>
      </c>
      <c r="BA109" s="787">
        <f t="shared" si="40"/>
        <v>0</v>
      </c>
      <c r="BB109" s="787">
        <f t="shared" si="40"/>
        <v>0</v>
      </c>
      <c r="BC109" s="132"/>
      <c r="BF109" s="689" t="s">
        <v>963</v>
      </c>
    </row>
    <row r="110" spans="2:58" ht="14.25" customHeight="1">
      <c r="E110" s="460">
        <v>15</v>
      </c>
      <c r="F110" s="3" t="str" cm="1">
        <f t="array" aca="1" ref="F110" ca="1">OFFSET(E110,-1,1)</f>
        <v>1</v>
      </c>
      <c r="G110" s="41" t="s">
        <v>709</v>
      </c>
      <c r="T110" s="365" t="b" cm="1">
        <f t="array" ref="T110">T109</f>
        <v>1</v>
      </c>
      <c r="X110" s="1094"/>
      <c r="Z110" s="1095"/>
      <c r="AB110" s="26" t="s">
        <v>574</v>
      </c>
      <c r="AC110" s="146" t="s">
        <v>904</v>
      </c>
      <c r="AD110" s="26" t="s">
        <v>456</v>
      </c>
      <c r="AE110" s="147">
        <f t="shared" ref="AE110:BB110" si="41">IF(AE104=0,0,AE116/AE104*100)</f>
        <v>0</v>
      </c>
      <c r="AF110" s="147">
        <f t="shared" si="41"/>
        <v>0</v>
      </c>
      <c r="AG110" s="147">
        <f t="shared" si="41"/>
        <v>0</v>
      </c>
      <c r="AH110" s="147">
        <f t="shared" si="41"/>
        <v>0</v>
      </c>
      <c r="AI110" s="147">
        <f t="shared" si="41"/>
        <v>0</v>
      </c>
      <c r="AJ110" s="787">
        <f t="shared" si="41"/>
        <v>0</v>
      </c>
      <c r="AK110" s="787">
        <f t="shared" si="41"/>
        <v>0</v>
      </c>
      <c r="AL110" s="787">
        <f t="shared" si="41"/>
        <v>0</v>
      </c>
      <c r="AM110" s="787">
        <f t="shared" si="41"/>
        <v>0</v>
      </c>
      <c r="AN110" s="787">
        <f t="shared" si="41"/>
        <v>0</v>
      </c>
      <c r="AO110" s="787">
        <f t="shared" si="41"/>
        <v>0</v>
      </c>
      <c r="AP110" s="787">
        <f t="shared" si="41"/>
        <v>0</v>
      </c>
      <c r="AQ110" s="787">
        <f t="shared" si="41"/>
        <v>0</v>
      </c>
      <c r="AR110" s="787">
        <f t="shared" si="41"/>
        <v>0</v>
      </c>
      <c r="AS110" s="147">
        <f t="shared" si="41"/>
        <v>0</v>
      </c>
      <c r="AT110" s="787">
        <f t="shared" si="41"/>
        <v>0</v>
      </c>
      <c r="AU110" s="787">
        <f t="shared" si="41"/>
        <v>0</v>
      </c>
      <c r="AV110" s="787">
        <f t="shared" si="41"/>
        <v>0</v>
      </c>
      <c r="AW110" s="787">
        <f t="shared" si="41"/>
        <v>0</v>
      </c>
      <c r="AX110" s="787">
        <f t="shared" si="41"/>
        <v>0</v>
      </c>
      <c r="AY110" s="787">
        <f t="shared" si="41"/>
        <v>0</v>
      </c>
      <c r="AZ110" s="787">
        <f t="shared" si="41"/>
        <v>0</v>
      </c>
      <c r="BA110" s="787">
        <f t="shared" si="41"/>
        <v>0</v>
      </c>
      <c r="BB110" s="787">
        <f t="shared" si="41"/>
        <v>0</v>
      </c>
      <c r="BC110" s="132"/>
      <c r="BF110" s="689" t="s">
        <v>964</v>
      </c>
    </row>
    <row r="111" spans="2:58" ht="14.25" customHeight="1">
      <c r="E111" s="460">
        <v>15</v>
      </c>
      <c r="F111" s="3" t="str" cm="1">
        <f t="array" aca="1" ref="F111" ca="1">OFFSET(E111,-1,1)</f>
        <v>1</v>
      </c>
      <c r="G111" s="41" t="s">
        <v>718</v>
      </c>
      <c r="T111" s="365" t="b" cm="1">
        <f t="array" ref="T111">T110</f>
        <v>1</v>
      </c>
      <c r="X111" s="1094"/>
      <c r="Z111" s="1095"/>
      <c r="AB111" s="26" t="s">
        <v>965</v>
      </c>
      <c r="AC111" s="146" t="s">
        <v>907</v>
      </c>
      <c r="AD111" s="26" t="s">
        <v>456</v>
      </c>
      <c r="AE111" s="147">
        <f t="shared" ref="AE111:BB111" si="42">IF(AE105=0,0,AE117/AE105*100)</f>
        <v>0</v>
      </c>
      <c r="AF111" s="147">
        <f t="shared" si="42"/>
        <v>0</v>
      </c>
      <c r="AG111" s="147">
        <f t="shared" si="42"/>
        <v>0</v>
      </c>
      <c r="AH111" s="147">
        <f t="shared" si="42"/>
        <v>0</v>
      </c>
      <c r="AI111" s="147">
        <f t="shared" si="42"/>
        <v>0</v>
      </c>
      <c r="AJ111" s="787">
        <f t="shared" si="42"/>
        <v>0</v>
      </c>
      <c r="AK111" s="787">
        <f t="shared" si="42"/>
        <v>0</v>
      </c>
      <c r="AL111" s="787">
        <f t="shared" si="42"/>
        <v>0</v>
      </c>
      <c r="AM111" s="787">
        <f t="shared" si="42"/>
        <v>0</v>
      </c>
      <c r="AN111" s="787">
        <f t="shared" si="42"/>
        <v>0</v>
      </c>
      <c r="AO111" s="787">
        <f t="shared" si="42"/>
        <v>0</v>
      </c>
      <c r="AP111" s="787">
        <f t="shared" si="42"/>
        <v>0</v>
      </c>
      <c r="AQ111" s="787">
        <f t="shared" si="42"/>
        <v>0</v>
      </c>
      <c r="AR111" s="787">
        <f t="shared" si="42"/>
        <v>0</v>
      </c>
      <c r="AS111" s="147">
        <f t="shared" si="42"/>
        <v>0</v>
      </c>
      <c r="AT111" s="787">
        <f t="shared" si="42"/>
        <v>0</v>
      </c>
      <c r="AU111" s="787">
        <f t="shared" si="42"/>
        <v>0</v>
      </c>
      <c r="AV111" s="787">
        <f t="shared" si="42"/>
        <v>0</v>
      </c>
      <c r="AW111" s="787">
        <f t="shared" si="42"/>
        <v>0</v>
      </c>
      <c r="AX111" s="787">
        <f t="shared" si="42"/>
        <v>0</v>
      </c>
      <c r="AY111" s="787">
        <f t="shared" si="42"/>
        <v>0</v>
      </c>
      <c r="AZ111" s="787">
        <f t="shared" si="42"/>
        <v>0</v>
      </c>
      <c r="BA111" s="787">
        <f t="shared" si="42"/>
        <v>0</v>
      </c>
      <c r="BB111" s="787">
        <f t="shared" si="42"/>
        <v>0</v>
      </c>
      <c r="BC111" s="132"/>
      <c r="BF111" s="689" t="s">
        <v>966</v>
      </c>
    </row>
    <row r="112" spans="2:58" ht="14.25" customHeight="1">
      <c r="E112" s="460">
        <v>15</v>
      </c>
      <c r="F112" s="3" t="str" cm="1">
        <f t="array" aca="1" ref="F112" ca="1">OFFSET(E112,-1,1)</f>
        <v>1</v>
      </c>
      <c r="G112" s="41" t="s">
        <v>728</v>
      </c>
      <c r="T112" s="365" t="b" cm="1">
        <f t="array" ref="T112">T111</f>
        <v>1</v>
      </c>
      <c r="X112" s="1094"/>
      <c r="Z112" s="1095"/>
      <c r="AB112" s="26" t="s">
        <v>967</v>
      </c>
      <c r="AC112" s="146" t="s">
        <v>911</v>
      </c>
      <c r="AD112" s="26" t="s">
        <v>456</v>
      </c>
      <c r="AE112" s="147">
        <f t="shared" ref="AE112:BB112" si="43">IF(AE106=0,0,AE118/AE106*100)</f>
        <v>0</v>
      </c>
      <c r="AF112" s="147">
        <f t="shared" si="43"/>
        <v>0</v>
      </c>
      <c r="AG112" s="147">
        <f t="shared" si="43"/>
        <v>0</v>
      </c>
      <c r="AH112" s="147">
        <f t="shared" si="43"/>
        <v>0</v>
      </c>
      <c r="AI112" s="147">
        <f t="shared" si="43"/>
        <v>0</v>
      </c>
      <c r="AJ112" s="787">
        <f t="shared" si="43"/>
        <v>0</v>
      </c>
      <c r="AK112" s="787">
        <f t="shared" si="43"/>
        <v>0</v>
      </c>
      <c r="AL112" s="787">
        <f t="shared" si="43"/>
        <v>0</v>
      </c>
      <c r="AM112" s="787">
        <f t="shared" si="43"/>
        <v>0</v>
      </c>
      <c r="AN112" s="787">
        <f t="shared" si="43"/>
        <v>0</v>
      </c>
      <c r="AO112" s="787">
        <f t="shared" si="43"/>
        <v>0</v>
      </c>
      <c r="AP112" s="787">
        <f t="shared" si="43"/>
        <v>0</v>
      </c>
      <c r="AQ112" s="787">
        <f t="shared" si="43"/>
        <v>0</v>
      </c>
      <c r="AR112" s="787">
        <f t="shared" si="43"/>
        <v>0</v>
      </c>
      <c r="AS112" s="147">
        <f t="shared" si="43"/>
        <v>0</v>
      </c>
      <c r="AT112" s="787">
        <f t="shared" si="43"/>
        <v>0</v>
      </c>
      <c r="AU112" s="787">
        <f t="shared" si="43"/>
        <v>0</v>
      </c>
      <c r="AV112" s="787">
        <f t="shared" si="43"/>
        <v>0</v>
      </c>
      <c r="AW112" s="787">
        <f t="shared" si="43"/>
        <v>0</v>
      </c>
      <c r="AX112" s="787">
        <f t="shared" si="43"/>
        <v>0</v>
      </c>
      <c r="AY112" s="787">
        <f t="shared" si="43"/>
        <v>0</v>
      </c>
      <c r="AZ112" s="787">
        <f t="shared" si="43"/>
        <v>0</v>
      </c>
      <c r="BA112" s="787">
        <f t="shared" si="43"/>
        <v>0</v>
      </c>
      <c r="BB112" s="787">
        <f t="shared" si="43"/>
        <v>0</v>
      </c>
      <c r="BC112" s="132"/>
      <c r="BF112" s="689" t="s">
        <v>968</v>
      </c>
    </row>
    <row r="113" spans="2:58" s="82" customFormat="1" ht="14.65" customHeight="1">
      <c r="B113" s="340"/>
      <c r="E113" s="460">
        <v>15</v>
      </c>
      <c r="F113" s="3" t="str" cm="1">
        <f t="array" aca="1" ref="F113" ca="1">OFFSET(E113,-1,1)</f>
        <v>1</v>
      </c>
      <c r="G113" s="41" t="s">
        <v>514</v>
      </c>
      <c r="K113" s="59" t="str">
        <f ca="1">F113&amp;"komm"</f>
        <v>1komm</v>
      </c>
      <c r="L113" s="618" cm="1">
        <f t="array" ref="L113">BC113</f>
        <v>0</v>
      </c>
      <c r="T113" s="365" t="b" cm="1">
        <f t="array" ref="T113">T112</f>
        <v>1</v>
      </c>
      <c r="X113" s="1094"/>
      <c r="Z113" s="1095"/>
      <c r="AB113" s="143">
        <v>7</v>
      </c>
      <c r="AC113" s="144" t="s">
        <v>969</v>
      </c>
      <c r="AD113" s="27" t="s">
        <v>804</v>
      </c>
      <c r="AE113" s="157">
        <v>424.93</v>
      </c>
      <c r="AF113" s="157">
        <f>SUM(AF114:AF118)</f>
        <v>533.19000000000005</v>
      </c>
      <c r="AG113" s="157">
        <f>SUM(AG114:AG118)</f>
        <v>533.19000000000005</v>
      </c>
      <c r="AH113" s="157">
        <v>400.83</v>
      </c>
      <c r="AI113" s="157">
        <f t="shared" ref="AI113:BB113" si="44">SUM(AI114:AI118)</f>
        <v>229.66</v>
      </c>
      <c r="AJ113" s="783">
        <f t="shared" si="44"/>
        <v>0</v>
      </c>
      <c r="AK113" s="783">
        <f t="shared" si="44"/>
        <v>0</v>
      </c>
      <c r="AL113" s="783">
        <f t="shared" si="44"/>
        <v>0</v>
      </c>
      <c r="AM113" s="783">
        <f t="shared" si="44"/>
        <v>0</v>
      </c>
      <c r="AN113" s="783">
        <f t="shared" si="44"/>
        <v>0</v>
      </c>
      <c r="AO113" s="783">
        <f t="shared" si="44"/>
        <v>0</v>
      </c>
      <c r="AP113" s="783">
        <f t="shared" si="44"/>
        <v>0</v>
      </c>
      <c r="AQ113" s="783">
        <f t="shared" si="44"/>
        <v>0</v>
      </c>
      <c r="AR113" s="783">
        <f t="shared" si="44"/>
        <v>0</v>
      </c>
      <c r="AS113" s="157">
        <f t="shared" si="44"/>
        <v>229.66</v>
      </c>
      <c r="AT113" s="783">
        <f t="shared" si="44"/>
        <v>0</v>
      </c>
      <c r="AU113" s="783">
        <f t="shared" si="44"/>
        <v>0</v>
      </c>
      <c r="AV113" s="783">
        <f t="shared" si="44"/>
        <v>0</v>
      </c>
      <c r="AW113" s="783">
        <f t="shared" si="44"/>
        <v>0</v>
      </c>
      <c r="AX113" s="783">
        <f t="shared" si="44"/>
        <v>0</v>
      </c>
      <c r="AY113" s="783">
        <f t="shared" si="44"/>
        <v>0</v>
      </c>
      <c r="AZ113" s="783">
        <f t="shared" si="44"/>
        <v>0</v>
      </c>
      <c r="BA113" s="783">
        <f t="shared" si="44"/>
        <v>0</v>
      </c>
      <c r="BB113" s="783">
        <f t="shared" si="44"/>
        <v>0</v>
      </c>
      <c r="BC113" s="132"/>
      <c r="BF113" s="689" t="s">
        <v>970</v>
      </c>
    </row>
    <row r="114" spans="2:58" ht="14.25" customHeight="1">
      <c r="E114" s="460">
        <v>15</v>
      </c>
      <c r="F114" s="3" t="str" cm="1">
        <f t="array" aca="1" ref="F114" ca="1">OFFSET(E114,-1,1)</f>
        <v>1</v>
      </c>
      <c r="G114" s="41" t="s">
        <v>679</v>
      </c>
      <c r="T114" s="365" t="b" cm="1">
        <f t="array" ref="T114">T113</f>
        <v>1</v>
      </c>
      <c r="X114" s="1094"/>
      <c r="Z114" s="1095"/>
      <c r="AB114" s="26" t="s">
        <v>582</v>
      </c>
      <c r="AC114" s="146" t="s">
        <v>898</v>
      </c>
      <c r="AD114" s="27" t="s">
        <v>804</v>
      </c>
      <c r="AE114" s="147"/>
      <c r="AF114" s="147"/>
      <c r="AG114" s="147"/>
      <c r="AH114" s="147"/>
      <c r="AI114" s="147"/>
      <c r="AJ114" s="787"/>
      <c r="AK114" s="787"/>
      <c r="AL114" s="787"/>
      <c r="AM114" s="787"/>
      <c r="AN114" s="787"/>
      <c r="AO114" s="787"/>
      <c r="AP114" s="787"/>
      <c r="AQ114" s="787"/>
      <c r="AR114" s="787"/>
      <c r="AS114" s="147"/>
      <c r="AT114" s="787"/>
      <c r="AU114" s="787"/>
      <c r="AV114" s="787"/>
      <c r="AW114" s="787"/>
      <c r="AX114" s="787"/>
      <c r="AY114" s="787"/>
      <c r="AZ114" s="787"/>
      <c r="BA114" s="787"/>
      <c r="BB114" s="787"/>
      <c r="BC114" s="132"/>
      <c r="BF114" s="689" t="s">
        <v>971</v>
      </c>
    </row>
    <row r="115" spans="2:58" ht="14.25" customHeight="1">
      <c r="E115" s="460">
        <v>15</v>
      </c>
      <c r="F115" s="3" t="str" cm="1">
        <f t="array" aca="1" ref="F115" ca="1">OFFSET(E115,-1,1)</f>
        <v>1</v>
      </c>
      <c r="G115" s="41" t="s">
        <v>682</v>
      </c>
      <c r="T115" s="365" t="b" cm="1">
        <f t="array" ref="T115">T114</f>
        <v>1</v>
      </c>
      <c r="X115" s="1094"/>
      <c r="Z115" s="1095"/>
      <c r="AB115" s="26" t="s">
        <v>972</v>
      </c>
      <c r="AC115" s="146" t="s">
        <v>901</v>
      </c>
      <c r="AD115" s="27" t="s">
        <v>804</v>
      </c>
      <c r="AE115" s="147"/>
      <c r="AF115" s="147"/>
      <c r="AG115" s="147"/>
      <c r="AH115" s="147"/>
      <c r="AI115" s="147"/>
      <c r="AJ115" s="787"/>
      <c r="AK115" s="787"/>
      <c r="AL115" s="787"/>
      <c r="AM115" s="787"/>
      <c r="AN115" s="787"/>
      <c r="AO115" s="787"/>
      <c r="AP115" s="787"/>
      <c r="AQ115" s="787"/>
      <c r="AR115" s="787"/>
      <c r="AS115" s="147"/>
      <c r="AT115" s="787"/>
      <c r="AU115" s="787"/>
      <c r="AV115" s="787"/>
      <c r="AW115" s="787"/>
      <c r="AX115" s="787"/>
      <c r="AY115" s="787"/>
      <c r="AZ115" s="787"/>
      <c r="BA115" s="787"/>
      <c r="BB115" s="787"/>
      <c r="BC115" s="132"/>
      <c r="BF115" s="689" t="s">
        <v>973</v>
      </c>
    </row>
    <row r="116" spans="2:58" ht="14.25" customHeight="1">
      <c r="E116" s="460">
        <v>15</v>
      </c>
      <c r="F116" s="3" t="str" cm="1">
        <f t="array" aca="1" ref="F116" ca="1">OFFSET(E116,-1,1)</f>
        <v>1</v>
      </c>
      <c r="G116" s="41" t="s">
        <v>974</v>
      </c>
      <c r="T116" s="365" t="b" cm="1">
        <f t="array" ref="T116">T115</f>
        <v>1</v>
      </c>
      <c r="X116" s="1094"/>
      <c r="Z116" s="1095"/>
      <c r="AB116" s="26" t="s">
        <v>975</v>
      </c>
      <c r="AC116" s="146" t="s">
        <v>904</v>
      </c>
      <c r="AD116" s="27" t="s">
        <v>804</v>
      </c>
      <c r="AE116" s="147"/>
      <c r="AF116" s="147"/>
      <c r="AG116" s="147"/>
      <c r="AH116" s="147"/>
      <c r="AI116" s="147"/>
      <c r="AJ116" s="787"/>
      <c r="AK116" s="787"/>
      <c r="AL116" s="787"/>
      <c r="AM116" s="787"/>
      <c r="AN116" s="787"/>
      <c r="AO116" s="787"/>
      <c r="AP116" s="787"/>
      <c r="AQ116" s="787"/>
      <c r="AR116" s="787"/>
      <c r="AS116" s="147"/>
      <c r="AT116" s="787"/>
      <c r="AU116" s="787"/>
      <c r="AV116" s="787"/>
      <c r="AW116" s="787"/>
      <c r="AX116" s="787"/>
      <c r="AY116" s="787"/>
      <c r="AZ116" s="787"/>
      <c r="BA116" s="787"/>
      <c r="BB116" s="787"/>
      <c r="BC116" s="132"/>
      <c r="BF116" s="689" t="s">
        <v>976</v>
      </c>
    </row>
    <row r="117" spans="2:58" ht="14.25" customHeight="1">
      <c r="E117" s="460">
        <v>15</v>
      </c>
      <c r="F117" s="3" t="str" cm="1">
        <f t="array" aca="1" ref="F117" ca="1">OFFSET(E117,-1,1)</f>
        <v>1</v>
      </c>
      <c r="G117" s="41" t="s">
        <v>977</v>
      </c>
      <c r="T117" s="365" t="b" cm="1">
        <f t="array" ref="T117">T116</f>
        <v>1</v>
      </c>
      <c r="X117" s="1094"/>
      <c r="Z117" s="1095"/>
      <c r="AB117" s="26" t="s">
        <v>978</v>
      </c>
      <c r="AC117" s="146" t="s">
        <v>907</v>
      </c>
      <c r="AD117" s="27" t="s">
        <v>804</v>
      </c>
      <c r="AE117" s="147"/>
      <c r="AF117" s="147"/>
      <c r="AG117" s="147"/>
      <c r="AH117" s="147"/>
      <c r="AI117" s="147"/>
      <c r="AJ117" s="787"/>
      <c r="AK117" s="787"/>
      <c r="AL117" s="787"/>
      <c r="AM117" s="787"/>
      <c r="AN117" s="787"/>
      <c r="AO117" s="787"/>
      <c r="AP117" s="787"/>
      <c r="AQ117" s="787"/>
      <c r="AR117" s="787"/>
      <c r="AS117" s="147"/>
      <c r="AT117" s="787"/>
      <c r="AU117" s="787"/>
      <c r="AV117" s="787"/>
      <c r="AW117" s="787"/>
      <c r="AX117" s="787"/>
      <c r="AY117" s="787"/>
      <c r="AZ117" s="787"/>
      <c r="BA117" s="787"/>
      <c r="BB117" s="787"/>
      <c r="BC117" s="132"/>
      <c r="BF117" s="689" t="s">
        <v>979</v>
      </c>
    </row>
    <row r="118" spans="2:58" ht="54.75" customHeight="1">
      <c r="E118" s="460">
        <v>15</v>
      </c>
      <c r="F118" s="3" t="str" cm="1">
        <f t="array" aca="1" ref="F118" ca="1">OFFSET(E118,-1,1)</f>
        <v>1</v>
      </c>
      <c r="G118" s="41" t="s">
        <v>980</v>
      </c>
      <c r="T118" s="365" t="b" cm="1">
        <f t="array" ref="T118">T117</f>
        <v>1</v>
      </c>
      <c r="X118" s="1094"/>
      <c r="Z118" s="1095"/>
      <c r="AB118" s="26" t="s">
        <v>981</v>
      </c>
      <c r="AC118" s="146" t="s">
        <v>911</v>
      </c>
      <c r="AD118" s="27" t="s">
        <v>804</v>
      </c>
      <c r="AE118" s="147">
        <v>424.93</v>
      </c>
      <c r="AF118" s="147">
        <v>533.19000000000005</v>
      </c>
      <c r="AG118" s="147">
        <v>533.19000000000005</v>
      </c>
      <c r="AH118" s="147">
        <v>400.83</v>
      </c>
      <c r="AI118" s="147">
        <v>229.66</v>
      </c>
      <c r="AJ118" s="787"/>
      <c r="AK118" s="787"/>
      <c r="AL118" s="787"/>
      <c r="AM118" s="787"/>
      <c r="AN118" s="787"/>
      <c r="AO118" s="787"/>
      <c r="AP118" s="787"/>
      <c r="AQ118" s="787"/>
      <c r="AR118" s="787"/>
      <c r="AS118" s="147">
        <v>229.66</v>
      </c>
      <c r="AT118" s="787"/>
      <c r="AU118" s="787"/>
      <c r="AV118" s="787"/>
      <c r="AW118" s="787"/>
      <c r="AX118" s="787"/>
      <c r="AY118" s="787"/>
      <c r="AZ118" s="787"/>
      <c r="BA118" s="787"/>
      <c r="BB118" s="787"/>
      <c r="BC118" s="132" t="s">
        <v>992</v>
      </c>
      <c r="BF118" s="689" t="s">
        <v>982</v>
      </c>
    </row>
    <row r="119" spans="2:58" s="82" customFormat="1" ht="14.25" customHeight="1">
      <c r="B119" s="340"/>
      <c r="E119" s="460">
        <v>15</v>
      </c>
      <c r="F119" s="3" t="str" cm="1">
        <f t="array" aca="1" ref="F119" ca="1">OFFSET(E119,-1,1)</f>
        <v>1</v>
      </c>
      <c r="G119" s="41" t="s">
        <v>562</v>
      </c>
      <c r="T119" s="365" t="b" cm="1">
        <f t="array" ref="T119">T118</f>
        <v>1</v>
      </c>
      <c r="X119" s="1094"/>
      <c r="Z119" s="1095"/>
      <c r="AB119" s="143">
        <v>8</v>
      </c>
      <c r="AC119" s="144" t="s">
        <v>983</v>
      </c>
      <c r="AD119" s="27" t="s">
        <v>804</v>
      </c>
      <c r="AE119" s="157">
        <f t="shared" ref="AE119:BB119" si="45">SUM(AE120:AE124)</f>
        <v>0</v>
      </c>
      <c r="AF119" s="157">
        <f t="shared" si="45"/>
        <v>0</v>
      </c>
      <c r="AG119" s="157">
        <f t="shared" si="45"/>
        <v>0</v>
      </c>
      <c r="AH119" s="157">
        <f t="shared" si="45"/>
        <v>0</v>
      </c>
      <c r="AI119" s="157">
        <f t="shared" si="45"/>
        <v>0</v>
      </c>
      <c r="AJ119" s="783">
        <f t="shared" si="45"/>
        <v>0</v>
      </c>
      <c r="AK119" s="783">
        <f t="shared" si="45"/>
        <v>0</v>
      </c>
      <c r="AL119" s="783">
        <f t="shared" si="45"/>
        <v>0</v>
      </c>
      <c r="AM119" s="783">
        <f t="shared" si="45"/>
        <v>0</v>
      </c>
      <c r="AN119" s="783">
        <f t="shared" si="45"/>
        <v>0</v>
      </c>
      <c r="AO119" s="783">
        <f t="shared" si="45"/>
        <v>0</v>
      </c>
      <c r="AP119" s="783">
        <f t="shared" si="45"/>
        <v>0</v>
      </c>
      <c r="AQ119" s="783">
        <f t="shared" si="45"/>
        <v>0</v>
      </c>
      <c r="AR119" s="783">
        <f t="shared" si="45"/>
        <v>0</v>
      </c>
      <c r="AS119" s="157">
        <f t="shared" si="45"/>
        <v>0</v>
      </c>
      <c r="AT119" s="783">
        <f t="shared" si="45"/>
        <v>0</v>
      </c>
      <c r="AU119" s="783">
        <f t="shared" si="45"/>
        <v>0</v>
      </c>
      <c r="AV119" s="783">
        <f t="shared" si="45"/>
        <v>0</v>
      </c>
      <c r="AW119" s="783">
        <f t="shared" si="45"/>
        <v>0</v>
      </c>
      <c r="AX119" s="783">
        <f t="shared" si="45"/>
        <v>0</v>
      </c>
      <c r="AY119" s="783">
        <f t="shared" si="45"/>
        <v>0</v>
      </c>
      <c r="AZ119" s="783">
        <f t="shared" si="45"/>
        <v>0</v>
      </c>
      <c r="BA119" s="783">
        <f t="shared" si="45"/>
        <v>0</v>
      </c>
      <c r="BB119" s="783">
        <f t="shared" si="45"/>
        <v>0</v>
      </c>
      <c r="BC119" s="132"/>
      <c r="BF119" s="689" t="s">
        <v>984</v>
      </c>
    </row>
    <row r="120" spans="2:58" ht="14.25" customHeight="1">
      <c r="E120" s="460">
        <v>15</v>
      </c>
      <c r="F120" s="3" t="str" cm="1">
        <f t="array" aca="1" ref="F120" ca="1">OFFSET(E120,-1,1)</f>
        <v>1</v>
      </c>
      <c r="G120" s="41" t="s">
        <v>565</v>
      </c>
      <c r="T120" s="365" t="b" cm="1">
        <f t="array" ref="T120">T119</f>
        <v>1</v>
      </c>
      <c r="X120" s="1094"/>
      <c r="Z120" s="1095"/>
      <c r="AB120" s="26" t="s">
        <v>590</v>
      </c>
      <c r="AC120" s="146" t="s">
        <v>898</v>
      </c>
      <c r="AD120" s="27" t="s">
        <v>804</v>
      </c>
      <c r="AE120" s="147"/>
      <c r="AF120" s="147"/>
      <c r="AG120" s="147"/>
      <c r="AH120" s="147"/>
      <c r="AI120" s="147"/>
      <c r="AJ120" s="787"/>
      <c r="AK120" s="787"/>
      <c r="AL120" s="787"/>
      <c r="AM120" s="787"/>
      <c r="AN120" s="787"/>
      <c r="AO120" s="787"/>
      <c r="AP120" s="787"/>
      <c r="AQ120" s="787"/>
      <c r="AR120" s="787"/>
      <c r="AS120" s="147"/>
      <c r="AT120" s="787"/>
      <c r="AU120" s="787"/>
      <c r="AV120" s="787"/>
      <c r="AW120" s="787"/>
      <c r="AX120" s="787"/>
      <c r="AY120" s="787"/>
      <c r="AZ120" s="787"/>
      <c r="BA120" s="787"/>
      <c r="BB120" s="787"/>
      <c r="BC120" s="132"/>
      <c r="BF120" s="689" t="s">
        <v>985</v>
      </c>
    </row>
    <row r="121" spans="2:58" ht="14.25" customHeight="1">
      <c r="E121" s="460">
        <v>15</v>
      </c>
      <c r="F121" s="3" t="str" cm="1">
        <f t="array" aca="1" ref="F121" ca="1">OFFSET(E121,-1,1)</f>
        <v>1</v>
      </c>
      <c r="G121" s="41" t="s">
        <v>569</v>
      </c>
      <c r="T121" s="365" t="b" cm="1">
        <f t="array" ref="T121">T120</f>
        <v>1</v>
      </c>
      <c r="X121" s="1094"/>
      <c r="Z121" s="1095"/>
      <c r="AB121" s="26" t="s">
        <v>607</v>
      </c>
      <c r="AC121" s="146" t="s">
        <v>901</v>
      </c>
      <c r="AD121" s="27" t="s">
        <v>804</v>
      </c>
      <c r="AE121" s="147"/>
      <c r="AF121" s="147"/>
      <c r="AG121" s="147"/>
      <c r="AH121" s="147"/>
      <c r="AI121" s="147"/>
      <c r="AJ121" s="787"/>
      <c r="AK121" s="787"/>
      <c r="AL121" s="787"/>
      <c r="AM121" s="787"/>
      <c r="AN121" s="787"/>
      <c r="AO121" s="787"/>
      <c r="AP121" s="787"/>
      <c r="AQ121" s="787"/>
      <c r="AR121" s="787"/>
      <c r="AS121" s="147"/>
      <c r="AT121" s="787"/>
      <c r="AU121" s="787"/>
      <c r="AV121" s="787"/>
      <c r="AW121" s="787"/>
      <c r="AX121" s="787"/>
      <c r="AY121" s="787"/>
      <c r="AZ121" s="787"/>
      <c r="BA121" s="787"/>
      <c r="BB121" s="787"/>
      <c r="BC121" s="132"/>
      <c r="BF121" s="689" t="s">
        <v>986</v>
      </c>
    </row>
    <row r="122" spans="2:58" ht="14.25" customHeight="1">
      <c r="E122" s="460">
        <v>15</v>
      </c>
      <c r="F122" s="3" t="str" cm="1">
        <f t="array" aca="1" ref="F122" ca="1">OFFSET(E122,-1,1)</f>
        <v>1</v>
      </c>
      <c r="G122" s="41" t="s">
        <v>573</v>
      </c>
      <c r="T122" s="365" t="b" cm="1">
        <f t="array" ref="T122">T121</f>
        <v>1</v>
      </c>
      <c r="X122" s="1094"/>
      <c r="Z122" s="1095"/>
      <c r="AB122" s="26" t="s">
        <v>619</v>
      </c>
      <c r="AC122" s="146" t="s">
        <v>904</v>
      </c>
      <c r="AD122" s="27" t="s">
        <v>804</v>
      </c>
      <c r="AE122" s="147"/>
      <c r="AF122" s="147"/>
      <c r="AG122" s="147"/>
      <c r="AH122" s="147"/>
      <c r="AI122" s="147"/>
      <c r="AJ122" s="787"/>
      <c r="AK122" s="787"/>
      <c r="AL122" s="787"/>
      <c r="AM122" s="787"/>
      <c r="AN122" s="787"/>
      <c r="AO122" s="787"/>
      <c r="AP122" s="787"/>
      <c r="AQ122" s="787"/>
      <c r="AR122" s="787"/>
      <c r="AS122" s="147"/>
      <c r="AT122" s="787"/>
      <c r="AU122" s="787"/>
      <c r="AV122" s="787"/>
      <c r="AW122" s="787"/>
      <c r="AX122" s="787"/>
      <c r="AY122" s="787"/>
      <c r="AZ122" s="787"/>
      <c r="BA122" s="787"/>
      <c r="BB122" s="787"/>
      <c r="BC122" s="132"/>
      <c r="BF122" s="689" t="s">
        <v>987</v>
      </c>
    </row>
    <row r="123" spans="2:58" ht="14.25" customHeight="1">
      <c r="E123" s="460">
        <v>15</v>
      </c>
      <c r="F123" s="3" t="str" cm="1">
        <f t="array" aca="1" ref="F123" ca="1">OFFSET(E123,-1,1)</f>
        <v>1</v>
      </c>
      <c r="G123" s="41" t="s">
        <v>988</v>
      </c>
      <c r="T123" s="365" t="b" cm="1">
        <f t="array" ref="T123">T122</f>
        <v>1</v>
      </c>
      <c r="X123" s="1094"/>
      <c r="Z123" s="1095"/>
      <c r="AB123" s="26" t="s">
        <v>654</v>
      </c>
      <c r="AC123" s="146" t="s">
        <v>907</v>
      </c>
      <c r="AD123" s="27" t="s">
        <v>804</v>
      </c>
      <c r="AE123" s="147"/>
      <c r="AF123" s="147"/>
      <c r="AG123" s="147"/>
      <c r="AH123" s="147"/>
      <c r="AI123" s="147"/>
      <c r="AJ123" s="787"/>
      <c r="AK123" s="787"/>
      <c r="AL123" s="787"/>
      <c r="AM123" s="787"/>
      <c r="AN123" s="787"/>
      <c r="AO123" s="787"/>
      <c r="AP123" s="787"/>
      <c r="AQ123" s="787"/>
      <c r="AR123" s="787"/>
      <c r="AS123" s="147"/>
      <c r="AT123" s="787"/>
      <c r="AU123" s="787"/>
      <c r="AV123" s="787"/>
      <c r="AW123" s="787"/>
      <c r="AX123" s="787"/>
      <c r="AY123" s="787"/>
      <c r="AZ123" s="787"/>
      <c r="BA123" s="787"/>
      <c r="BB123" s="787"/>
      <c r="BC123" s="132"/>
      <c r="BF123" s="689" t="s">
        <v>989</v>
      </c>
    </row>
    <row r="124" spans="2:58" ht="14.25" customHeight="1">
      <c r="E124" s="460">
        <v>15</v>
      </c>
      <c r="F124" s="3" t="str" cm="1">
        <f t="array" aca="1" ref="F124" ca="1">OFFSET(E124,-1,1)</f>
        <v>1</v>
      </c>
      <c r="G124" s="41" t="s">
        <v>990</v>
      </c>
      <c r="T124" s="365" t="b" cm="1">
        <f t="array" ref="T124">T123</f>
        <v>1</v>
      </c>
      <c r="X124" s="1094"/>
      <c r="Z124" s="1095"/>
      <c r="AB124" s="26" t="s">
        <v>657</v>
      </c>
      <c r="AC124" s="146" t="s">
        <v>911</v>
      </c>
      <c r="AD124" s="27" t="s">
        <v>804</v>
      </c>
      <c r="AE124" s="147"/>
      <c r="AF124" s="147"/>
      <c r="AG124" s="147"/>
      <c r="AH124" s="147"/>
      <c r="AI124" s="147"/>
      <c r="AJ124" s="787"/>
      <c r="AK124" s="787"/>
      <c r="AL124" s="787"/>
      <c r="AM124" s="787"/>
      <c r="AN124" s="787"/>
      <c r="AO124" s="787"/>
      <c r="AP124" s="787"/>
      <c r="AQ124" s="787"/>
      <c r="AR124" s="787"/>
      <c r="AS124" s="147"/>
      <c r="AT124" s="787"/>
      <c r="AU124" s="787"/>
      <c r="AV124" s="787"/>
      <c r="AW124" s="787"/>
      <c r="AX124" s="787"/>
      <c r="AY124" s="787"/>
      <c r="AZ124" s="787"/>
      <c r="BA124" s="787"/>
      <c r="BB124" s="787"/>
      <c r="BC124" s="132"/>
      <c r="BF124" s="689" t="s">
        <v>991</v>
      </c>
    </row>
    <row r="125" spans="2:58" ht="14.25" customHeight="1">
      <c r="E125" s="460">
        <v>15</v>
      </c>
      <c r="F125" s="530" t="str" cm="1">
        <f t="array" ref="F125">X125</f>
        <v>2</v>
      </c>
      <c r="T125" s="365" t="b">
        <f>X125&gt;0</f>
        <v>1</v>
      </c>
      <c r="V125" s="41" t="str" cm="1">
        <f t="array" ref="V125">ЭЭ!$AB$79</f>
        <v>Тариф 2 (Водоотведение) - тариф на водоотведение (Доп. признак не требуется)</v>
      </c>
      <c r="X125" s="1094" t="s">
        <v>285</v>
      </c>
      <c r="Z125" s="1095"/>
      <c r="AB125" s="116" t="str" cm="1">
        <f t="array" ref="AB125">ЭЭ!$AB$79</f>
        <v>Тариф 2 (Водоотведение) - тариф на водоотведение (Доп. признак не требуется)</v>
      </c>
      <c r="AC125" s="113"/>
      <c r="AD125" s="107"/>
      <c r="AE125" s="107"/>
      <c r="AF125" s="107"/>
      <c r="AG125" s="107"/>
      <c r="AH125" s="107"/>
      <c r="AI125" s="107"/>
      <c r="AJ125" s="107"/>
      <c r="AK125" s="107"/>
      <c r="AL125" s="107"/>
      <c r="AM125" s="107"/>
      <c r="AN125" s="107"/>
      <c r="AO125" s="107"/>
      <c r="AP125" s="107"/>
      <c r="AQ125" s="107"/>
      <c r="AR125" s="107"/>
      <c r="AS125" s="107"/>
      <c r="AT125" s="107"/>
      <c r="AU125" s="107"/>
      <c r="AV125" s="107"/>
      <c r="AW125" s="107"/>
      <c r="AX125" s="107"/>
      <c r="AY125" s="107"/>
      <c r="AZ125" s="107"/>
      <c r="BA125" s="107"/>
      <c r="BB125" s="107"/>
      <c r="BC125" s="142"/>
    </row>
    <row r="126" spans="2:58" s="82" customFormat="1" ht="21.75" customHeight="1">
      <c r="B126" s="340"/>
      <c r="E126" s="499">
        <v>22.5</v>
      </c>
      <c r="F126" s="3" t="str" cm="1">
        <f t="array" aca="1" ref="F126" ca="1">OFFSET(E126,-1,1)</f>
        <v>2</v>
      </c>
      <c r="G126" s="41" t="s">
        <v>327</v>
      </c>
      <c r="T126" s="365" t="b" cm="1">
        <f t="array" ref="T126">T125</f>
        <v>1</v>
      </c>
      <c r="X126" s="1094"/>
      <c r="Z126" s="1095"/>
      <c r="AB126" s="143">
        <v>1</v>
      </c>
      <c r="AC126" s="144" t="s">
        <v>895</v>
      </c>
      <c r="AD126" s="27" t="s">
        <v>804</v>
      </c>
      <c r="AE126" s="157">
        <f t="shared" ref="AE126:BB126" si="46">SUM(AE127:AE131)</f>
        <v>0</v>
      </c>
      <c r="AF126" s="157">
        <f t="shared" si="46"/>
        <v>0</v>
      </c>
      <c r="AG126" s="157">
        <f t="shared" si="46"/>
        <v>0</v>
      </c>
      <c r="AH126" s="157">
        <f t="shared" si="46"/>
        <v>0</v>
      </c>
      <c r="AI126" s="157">
        <f t="shared" si="46"/>
        <v>0</v>
      </c>
      <c r="AJ126" s="783">
        <f t="shared" si="46"/>
        <v>0</v>
      </c>
      <c r="AK126" s="783">
        <f t="shared" si="46"/>
        <v>0</v>
      </c>
      <c r="AL126" s="783">
        <f t="shared" si="46"/>
        <v>0</v>
      </c>
      <c r="AM126" s="783">
        <f t="shared" si="46"/>
        <v>0</v>
      </c>
      <c r="AN126" s="783">
        <f t="shared" si="46"/>
        <v>0</v>
      </c>
      <c r="AO126" s="783">
        <f t="shared" si="46"/>
        <v>0</v>
      </c>
      <c r="AP126" s="783">
        <f t="shared" si="46"/>
        <v>0</v>
      </c>
      <c r="AQ126" s="783">
        <f t="shared" si="46"/>
        <v>0</v>
      </c>
      <c r="AR126" s="783">
        <f t="shared" si="46"/>
        <v>0</v>
      </c>
      <c r="AS126" s="157">
        <f t="shared" si="46"/>
        <v>0</v>
      </c>
      <c r="AT126" s="783">
        <f t="shared" si="46"/>
        <v>0</v>
      </c>
      <c r="AU126" s="783">
        <f t="shared" si="46"/>
        <v>0</v>
      </c>
      <c r="AV126" s="783">
        <f t="shared" si="46"/>
        <v>0</v>
      </c>
      <c r="AW126" s="783">
        <f t="shared" si="46"/>
        <v>0</v>
      </c>
      <c r="AX126" s="783">
        <f t="shared" si="46"/>
        <v>0</v>
      </c>
      <c r="AY126" s="783">
        <f t="shared" si="46"/>
        <v>0</v>
      </c>
      <c r="AZ126" s="783">
        <f t="shared" si="46"/>
        <v>0</v>
      </c>
      <c r="BA126" s="783">
        <f t="shared" si="46"/>
        <v>0</v>
      </c>
      <c r="BB126" s="783">
        <f t="shared" si="46"/>
        <v>0</v>
      </c>
      <c r="BC126" s="132"/>
      <c r="BF126" s="689" t="s">
        <v>896</v>
      </c>
    </row>
    <row r="127" spans="2:58" ht="14.25" customHeight="1">
      <c r="E127" s="460">
        <v>15</v>
      </c>
      <c r="F127" s="3" t="str" cm="1">
        <f t="array" aca="1" ref="F127" ca="1">OFFSET(E127,-1,1)</f>
        <v>2</v>
      </c>
      <c r="G127" s="41" t="s">
        <v>461</v>
      </c>
      <c r="T127" s="365" t="b" cm="1">
        <f t="array" ref="T127">T126</f>
        <v>1</v>
      </c>
      <c r="X127" s="1094"/>
      <c r="Z127" s="1095"/>
      <c r="AB127" s="26" t="s">
        <v>897</v>
      </c>
      <c r="AC127" s="146" t="s">
        <v>898</v>
      </c>
      <c r="AD127" s="27" t="s">
        <v>804</v>
      </c>
      <c r="AE127" s="147"/>
      <c r="AF127" s="147"/>
      <c r="AG127" s="147"/>
      <c r="AH127" s="147"/>
      <c r="AI127" s="147"/>
      <c r="AJ127" s="787"/>
      <c r="AK127" s="787"/>
      <c r="AL127" s="787"/>
      <c r="AM127" s="787"/>
      <c r="AN127" s="787"/>
      <c r="AO127" s="787"/>
      <c r="AP127" s="787"/>
      <c r="AQ127" s="787"/>
      <c r="AR127" s="787"/>
      <c r="AS127" s="147"/>
      <c r="AT127" s="787"/>
      <c r="AU127" s="787"/>
      <c r="AV127" s="787"/>
      <c r="AW127" s="787"/>
      <c r="AX127" s="787"/>
      <c r="AY127" s="787"/>
      <c r="AZ127" s="787"/>
      <c r="BA127" s="787"/>
      <c r="BB127" s="787"/>
      <c r="BC127" s="132"/>
      <c r="BF127" s="689" t="s">
        <v>899</v>
      </c>
    </row>
    <row r="128" spans="2:58" ht="14.25" customHeight="1">
      <c r="E128" s="460">
        <v>15</v>
      </c>
      <c r="F128" s="3" t="str" cm="1">
        <f t="array" aca="1" ref="F128" ca="1">OFFSET(E128,-1,1)</f>
        <v>2</v>
      </c>
      <c r="G128" s="41" t="s">
        <v>465</v>
      </c>
      <c r="T128" s="365" t="b" cm="1">
        <f t="array" ref="T128">T127</f>
        <v>1</v>
      </c>
      <c r="X128" s="1094"/>
      <c r="Z128" s="1095"/>
      <c r="AB128" s="26" t="s">
        <v>900</v>
      </c>
      <c r="AC128" s="146" t="s">
        <v>901</v>
      </c>
      <c r="AD128" s="27" t="s">
        <v>804</v>
      </c>
      <c r="AE128" s="147"/>
      <c r="AF128" s="147"/>
      <c r="AG128" s="147"/>
      <c r="AH128" s="147"/>
      <c r="AI128" s="147"/>
      <c r="AJ128" s="787"/>
      <c r="AK128" s="787"/>
      <c r="AL128" s="787"/>
      <c r="AM128" s="787"/>
      <c r="AN128" s="787"/>
      <c r="AO128" s="787"/>
      <c r="AP128" s="787"/>
      <c r="AQ128" s="787"/>
      <c r="AR128" s="787"/>
      <c r="AS128" s="147"/>
      <c r="AT128" s="787"/>
      <c r="AU128" s="787"/>
      <c r="AV128" s="787"/>
      <c r="AW128" s="787"/>
      <c r="AX128" s="787"/>
      <c r="AY128" s="787"/>
      <c r="AZ128" s="787"/>
      <c r="BA128" s="787"/>
      <c r="BB128" s="787"/>
      <c r="BC128" s="132"/>
      <c r="BF128" s="689" t="s">
        <v>902</v>
      </c>
    </row>
    <row r="129" spans="2:58" ht="14.25" customHeight="1">
      <c r="E129" s="460">
        <v>15</v>
      </c>
      <c r="F129" s="3" t="str" cm="1">
        <f t="array" aca="1" ref="F129" ca="1">OFFSET(E129,-1,1)</f>
        <v>2</v>
      </c>
      <c r="G129" s="41" t="s">
        <v>468</v>
      </c>
      <c r="T129" s="365" t="b" cm="1">
        <f t="array" ref="T129">T128</f>
        <v>1</v>
      </c>
      <c r="X129" s="1094"/>
      <c r="Z129" s="1095"/>
      <c r="AB129" s="26" t="s">
        <v>903</v>
      </c>
      <c r="AC129" s="146" t="s">
        <v>904</v>
      </c>
      <c r="AD129" s="27" t="s">
        <v>804</v>
      </c>
      <c r="AE129" s="147"/>
      <c r="AF129" s="147"/>
      <c r="AG129" s="147"/>
      <c r="AH129" s="147"/>
      <c r="AI129" s="147"/>
      <c r="AJ129" s="787"/>
      <c r="AK129" s="787"/>
      <c r="AL129" s="787"/>
      <c r="AM129" s="787"/>
      <c r="AN129" s="787"/>
      <c r="AO129" s="787"/>
      <c r="AP129" s="787"/>
      <c r="AQ129" s="787"/>
      <c r="AR129" s="787"/>
      <c r="AS129" s="147"/>
      <c r="AT129" s="787"/>
      <c r="AU129" s="787"/>
      <c r="AV129" s="787"/>
      <c r="AW129" s="787"/>
      <c r="AX129" s="787"/>
      <c r="AY129" s="787"/>
      <c r="AZ129" s="787"/>
      <c r="BA129" s="787"/>
      <c r="BB129" s="787"/>
      <c r="BC129" s="132"/>
      <c r="BF129" s="689" t="s">
        <v>905</v>
      </c>
    </row>
    <row r="130" spans="2:58" ht="14.25" customHeight="1">
      <c r="E130" s="460">
        <v>15</v>
      </c>
      <c r="F130" s="3" t="str" cm="1">
        <f t="array" aca="1" ref="F130" ca="1">OFFSET(E130,-1,1)</f>
        <v>2</v>
      </c>
      <c r="G130" s="41" t="s">
        <v>472</v>
      </c>
      <c r="T130" s="365" t="b" cm="1">
        <f t="array" ref="T130">T129</f>
        <v>1</v>
      </c>
      <c r="X130" s="1094"/>
      <c r="Z130" s="1095"/>
      <c r="AB130" s="26" t="s">
        <v>906</v>
      </c>
      <c r="AC130" s="146" t="s">
        <v>907</v>
      </c>
      <c r="AD130" s="27" t="s">
        <v>804</v>
      </c>
      <c r="AE130" s="147"/>
      <c r="AF130" s="147"/>
      <c r="AG130" s="147"/>
      <c r="AH130" s="147"/>
      <c r="AI130" s="147"/>
      <c r="AJ130" s="787"/>
      <c r="AK130" s="787"/>
      <c r="AL130" s="787"/>
      <c r="AM130" s="787"/>
      <c r="AN130" s="787"/>
      <c r="AO130" s="787"/>
      <c r="AP130" s="787"/>
      <c r="AQ130" s="787"/>
      <c r="AR130" s="787"/>
      <c r="AS130" s="147"/>
      <c r="AT130" s="787"/>
      <c r="AU130" s="787"/>
      <c r="AV130" s="787"/>
      <c r="AW130" s="787"/>
      <c r="AX130" s="787"/>
      <c r="AY130" s="787"/>
      <c r="AZ130" s="787"/>
      <c r="BA130" s="787"/>
      <c r="BB130" s="787"/>
      <c r="BC130" s="132"/>
      <c r="BF130" s="689" t="s">
        <v>908</v>
      </c>
    </row>
    <row r="131" spans="2:58" ht="14.25" customHeight="1">
      <c r="E131" s="460">
        <v>15</v>
      </c>
      <c r="F131" s="3" t="str" cm="1">
        <f t="array" aca="1" ref="F131" ca="1">OFFSET(E131,-1,1)</f>
        <v>2</v>
      </c>
      <c r="G131" s="41" t="s">
        <v>909</v>
      </c>
      <c r="T131" s="365" t="b" cm="1">
        <f t="array" ref="T131">T130</f>
        <v>1</v>
      </c>
      <c r="X131" s="1094"/>
      <c r="Z131" s="1095"/>
      <c r="AB131" s="26" t="s">
        <v>910</v>
      </c>
      <c r="AC131" s="146" t="s">
        <v>911</v>
      </c>
      <c r="AD131" s="27" t="s">
        <v>804</v>
      </c>
      <c r="AE131" s="147"/>
      <c r="AF131" s="147"/>
      <c r="AG131" s="147"/>
      <c r="AH131" s="147"/>
      <c r="AI131" s="147"/>
      <c r="AJ131" s="787"/>
      <c r="AK131" s="787"/>
      <c r="AL131" s="787"/>
      <c r="AM131" s="787"/>
      <c r="AN131" s="787"/>
      <c r="AO131" s="787"/>
      <c r="AP131" s="787"/>
      <c r="AQ131" s="787"/>
      <c r="AR131" s="787"/>
      <c r="AS131" s="147"/>
      <c r="AT131" s="787"/>
      <c r="AU131" s="787"/>
      <c r="AV131" s="787"/>
      <c r="AW131" s="787"/>
      <c r="AX131" s="787"/>
      <c r="AY131" s="787"/>
      <c r="AZ131" s="787"/>
      <c r="BA131" s="787"/>
      <c r="BB131" s="787"/>
      <c r="BC131" s="132"/>
      <c r="BF131" s="689" t="s">
        <v>912</v>
      </c>
    </row>
    <row r="132" spans="2:58" s="82" customFormat="1" ht="14.25" customHeight="1">
      <c r="B132" s="340"/>
      <c r="E132" s="460">
        <v>15</v>
      </c>
      <c r="F132" s="3" t="str" cm="1">
        <f t="array" aca="1" ref="F132" ca="1">OFFSET(E132,-1,1)</f>
        <v>2</v>
      </c>
      <c r="G132" s="41" t="s">
        <v>328</v>
      </c>
      <c r="T132" s="365" t="b" cm="1">
        <f t="array" ref="T132">T131</f>
        <v>1</v>
      </c>
      <c r="X132" s="1094"/>
      <c r="Z132" s="1095"/>
      <c r="AB132" s="143">
        <v>2</v>
      </c>
      <c r="AC132" s="144" t="s">
        <v>913</v>
      </c>
      <c r="AD132" s="27" t="s">
        <v>804</v>
      </c>
      <c r="AE132" s="157">
        <f t="shared" ref="AE132:BB132" si="47">SUM(AE133:AE137)</f>
        <v>0</v>
      </c>
      <c r="AF132" s="157">
        <f t="shared" si="47"/>
        <v>0</v>
      </c>
      <c r="AG132" s="157">
        <f t="shared" si="47"/>
        <v>0</v>
      </c>
      <c r="AH132" s="157">
        <f t="shared" si="47"/>
        <v>0</v>
      </c>
      <c r="AI132" s="157">
        <f t="shared" si="47"/>
        <v>0</v>
      </c>
      <c r="AJ132" s="783">
        <f t="shared" si="47"/>
        <v>0</v>
      </c>
      <c r="AK132" s="783">
        <f t="shared" si="47"/>
        <v>0</v>
      </c>
      <c r="AL132" s="783">
        <f t="shared" si="47"/>
        <v>0</v>
      </c>
      <c r="AM132" s="783">
        <f t="shared" si="47"/>
        <v>0</v>
      </c>
      <c r="AN132" s="783">
        <f t="shared" si="47"/>
        <v>0</v>
      </c>
      <c r="AO132" s="783">
        <f t="shared" si="47"/>
        <v>0</v>
      </c>
      <c r="AP132" s="783">
        <f t="shared" si="47"/>
        <v>0</v>
      </c>
      <c r="AQ132" s="783">
        <f t="shared" si="47"/>
        <v>0</v>
      </c>
      <c r="AR132" s="783">
        <f t="shared" si="47"/>
        <v>0</v>
      </c>
      <c r="AS132" s="157">
        <f t="shared" si="47"/>
        <v>0</v>
      </c>
      <c r="AT132" s="783">
        <f t="shared" si="47"/>
        <v>0</v>
      </c>
      <c r="AU132" s="783">
        <f t="shared" si="47"/>
        <v>0</v>
      </c>
      <c r="AV132" s="783">
        <f t="shared" si="47"/>
        <v>0</v>
      </c>
      <c r="AW132" s="783">
        <f t="shared" si="47"/>
        <v>0</v>
      </c>
      <c r="AX132" s="783">
        <f t="shared" si="47"/>
        <v>0</v>
      </c>
      <c r="AY132" s="783">
        <f t="shared" si="47"/>
        <v>0</v>
      </c>
      <c r="AZ132" s="783">
        <f t="shared" si="47"/>
        <v>0</v>
      </c>
      <c r="BA132" s="783">
        <f t="shared" si="47"/>
        <v>0</v>
      </c>
      <c r="BB132" s="783">
        <f t="shared" si="47"/>
        <v>0</v>
      </c>
      <c r="BC132" s="132"/>
      <c r="BF132" s="689" t="s">
        <v>914</v>
      </c>
    </row>
    <row r="133" spans="2:58" ht="14.25" customHeight="1">
      <c r="E133" s="460">
        <v>15</v>
      </c>
      <c r="F133" s="3" t="str" cm="1">
        <f t="array" aca="1" ref="F133" ca="1">OFFSET(E133,-1,1)</f>
        <v>2</v>
      </c>
      <c r="G133" s="41" t="s">
        <v>479</v>
      </c>
      <c r="T133" s="365" t="b" cm="1">
        <f t="array" ref="T133">T132</f>
        <v>1</v>
      </c>
      <c r="X133" s="1094"/>
      <c r="Z133" s="1095"/>
      <c r="AB133" s="26" t="s">
        <v>537</v>
      </c>
      <c r="AC133" s="146" t="s">
        <v>898</v>
      </c>
      <c r="AD133" s="27" t="s">
        <v>804</v>
      </c>
      <c r="AE133" s="147"/>
      <c r="AF133" s="147"/>
      <c r="AG133" s="147"/>
      <c r="AH133" s="147"/>
      <c r="AI133" s="147"/>
      <c r="AJ133" s="787"/>
      <c r="AK133" s="787"/>
      <c r="AL133" s="787"/>
      <c r="AM133" s="787"/>
      <c r="AN133" s="787"/>
      <c r="AO133" s="787"/>
      <c r="AP133" s="787"/>
      <c r="AQ133" s="787"/>
      <c r="AR133" s="787"/>
      <c r="AS133" s="147"/>
      <c r="AT133" s="787"/>
      <c r="AU133" s="787"/>
      <c r="AV133" s="787"/>
      <c r="AW133" s="787"/>
      <c r="AX133" s="787"/>
      <c r="AY133" s="787"/>
      <c r="AZ133" s="787"/>
      <c r="BA133" s="787"/>
      <c r="BB133" s="787"/>
      <c r="BC133" s="132"/>
      <c r="BF133" s="689" t="s">
        <v>915</v>
      </c>
    </row>
    <row r="134" spans="2:58" ht="14.25" customHeight="1">
      <c r="E134" s="460">
        <v>15</v>
      </c>
      <c r="F134" s="3" t="str" cm="1">
        <f t="array" aca="1" ref="F134" ca="1">OFFSET(E134,-1,1)</f>
        <v>2</v>
      </c>
      <c r="G134" s="41" t="s">
        <v>482</v>
      </c>
      <c r="T134" s="365" t="b" cm="1">
        <f t="array" ref="T134">T133</f>
        <v>1</v>
      </c>
      <c r="X134" s="1094"/>
      <c r="Z134" s="1095"/>
      <c r="AB134" s="26" t="s">
        <v>541</v>
      </c>
      <c r="AC134" s="146" t="s">
        <v>901</v>
      </c>
      <c r="AD134" s="27" t="s">
        <v>804</v>
      </c>
      <c r="AE134" s="147"/>
      <c r="AF134" s="147"/>
      <c r="AG134" s="147"/>
      <c r="AH134" s="147"/>
      <c r="AI134" s="147"/>
      <c r="AJ134" s="787"/>
      <c r="AK134" s="787"/>
      <c r="AL134" s="787"/>
      <c r="AM134" s="787"/>
      <c r="AN134" s="787"/>
      <c r="AO134" s="787"/>
      <c r="AP134" s="787"/>
      <c r="AQ134" s="787"/>
      <c r="AR134" s="787"/>
      <c r="AS134" s="147"/>
      <c r="AT134" s="787"/>
      <c r="AU134" s="787"/>
      <c r="AV134" s="787"/>
      <c r="AW134" s="787"/>
      <c r="AX134" s="787"/>
      <c r="AY134" s="787"/>
      <c r="AZ134" s="787"/>
      <c r="BA134" s="787"/>
      <c r="BB134" s="787"/>
      <c r="BC134" s="132"/>
      <c r="BF134" s="689" t="s">
        <v>916</v>
      </c>
    </row>
    <row r="135" spans="2:58" ht="14.25" customHeight="1">
      <c r="E135" s="460">
        <v>15</v>
      </c>
      <c r="F135" s="3" t="str" cm="1">
        <f t="array" aca="1" ref="F135" ca="1">OFFSET(E135,-1,1)</f>
        <v>2</v>
      </c>
      <c r="G135" s="41" t="s">
        <v>917</v>
      </c>
      <c r="T135" s="365" t="b" cm="1">
        <f t="array" ref="T135">T134</f>
        <v>1</v>
      </c>
      <c r="X135" s="1094"/>
      <c r="Z135" s="1095"/>
      <c r="AB135" s="26" t="s">
        <v>545</v>
      </c>
      <c r="AC135" s="146" t="s">
        <v>904</v>
      </c>
      <c r="AD135" s="27" t="s">
        <v>804</v>
      </c>
      <c r="AE135" s="147"/>
      <c r="AF135" s="147"/>
      <c r="AG135" s="147"/>
      <c r="AH135" s="147"/>
      <c r="AI135" s="147"/>
      <c r="AJ135" s="787"/>
      <c r="AK135" s="787"/>
      <c r="AL135" s="787"/>
      <c r="AM135" s="787"/>
      <c r="AN135" s="787"/>
      <c r="AO135" s="787"/>
      <c r="AP135" s="787"/>
      <c r="AQ135" s="787"/>
      <c r="AR135" s="787"/>
      <c r="AS135" s="147"/>
      <c r="AT135" s="787"/>
      <c r="AU135" s="787"/>
      <c r="AV135" s="787"/>
      <c r="AW135" s="787"/>
      <c r="AX135" s="787"/>
      <c r="AY135" s="787"/>
      <c r="AZ135" s="787"/>
      <c r="BA135" s="787"/>
      <c r="BB135" s="787"/>
      <c r="BC135" s="132"/>
      <c r="BF135" s="689" t="s">
        <v>918</v>
      </c>
    </row>
    <row r="136" spans="2:58" ht="14.25" customHeight="1">
      <c r="E136" s="460">
        <v>15</v>
      </c>
      <c r="F136" s="3" t="str" cm="1">
        <f t="array" aca="1" ref="F136" ca="1">OFFSET(E136,-1,1)</f>
        <v>2</v>
      </c>
      <c r="G136" s="41" t="s">
        <v>919</v>
      </c>
      <c r="T136" s="365" t="b" cm="1">
        <f t="array" ref="T136">T135</f>
        <v>1</v>
      </c>
      <c r="X136" s="1094"/>
      <c r="Z136" s="1095"/>
      <c r="AB136" s="26" t="s">
        <v>920</v>
      </c>
      <c r="AC136" s="146" t="s">
        <v>907</v>
      </c>
      <c r="AD136" s="27" t="s">
        <v>804</v>
      </c>
      <c r="AE136" s="147"/>
      <c r="AF136" s="147"/>
      <c r="AG136" s="147"/>
      <c r="AH136" s="147"/>
      <c r="AI136" s="147"/>
      <c r="AJ136" s="787"/>
      <c r="AK136" s="787"/>
      <c r="AL136" s="787"/>
      <c r="AM136" s="787"/>
      <c r="AN136" s="787"/>
      <c r="AO136" s="787"/>
      <c r="AP136" s="787"/>
      <c r="AQ136" s="787"/>
      <c r="AR136" s="787"/>
      <c r="AS136" s="147"/>
      <c r="AT136" s="787"/>
      <c r="AU136" s="787"/>
      <c r="AV136" s="787"/>
      <c r="AW136" s="787"/>
      <c r="AX136" s="787"/>
      <c r="AY136" s="787"/>
      <c r="AZ136" s="787"/>
      <c r="BA136" s="787"/>
      <c r="BB136" s="787"/>
      <c r="BC136" s="132"/>
      <c r="BF136" s="689" t="s">
        <v>921</v>
      </c>
    </row>
    <row r="137" spans="2:58" ht="14.25" customHeight="1">
      <c r="E137" s="460">
        <v>15</v>
      </c>
      <c r="F137" s="3" t="str" cm="1">
        <f t="array" aca="1" ref="F137" ca="1">OFFSET(E137,-1,1)</f>
        <v>2</v>
      </c>
      <c r="G137" s="41" t="s">
        <v>922</v>
      </c>
      <c r="T137" s="365" t="b" cm="1">
        <f t="array" ref="T137">T136</f>
        <v>1</v>
      </c>
      <c r="X137" s="1094"/>
      <c r="Z137" s="1095"/>
      <c r="AB137" s="26" t="s">
        <v>923</v>
      </c>
      <c r="AC137" s="146" t="s">
        <v>911</v>
      </c>
      <c r="AD137" s="27" t="s">
        <v>804</v>
      </c>
      <c r="AE137" s="147"/>
      <c r="AF137" s="147"/>
      <c r="AG137" s="147"/>
      <c r="AH137" s="147"/>
      <c r="AI137" s="147"/>
      <c r="AJ137" s="787"/>
      <c r="AK137" s="787"/>
      <c r="AL137" s="787"/>
      <c r="AM137" s="787"/>
      <c r="AN137" s="787"/>
      <c r="AO137" s="787"/>
      <c r="AP137" s="787"/>
      <c r="AQ137" s="787"/>
      <c r="AR137" s="787"/>
      <c r="AS137" s="147"/>
      <c r="AT137" s="787"/>
      <c r="AU137" s="787"/>
      <c r="AV137" s="787"/>
      <c r="AW137" s="787"/>
      <c r="AX137" s="787"/>
      <c r="AY137" s="787"/>
      <c r="AZ137" s="787"/>
      <c r="BA137" s="787"/>
      <c r="BB137" s="787"/>
      <c r="BC137" s="132"/>
      <c r="BF137" s="689" t="s">
        <v>924</v>
      </c>
    </row>
    <row r="138" spans="2:58" s="82" customFormat="1" ht="14.25" customHeight="1">
      <c r="B138" s="340"/>
      <c r="E138" s="460">
        <v>15</v>
      </c>
      <c r="F138" s="3" t="str" cm="1">
        <f t="array" aca="1" ref="F138" ca="1">OFFSET(E138,-1,1)</f>
        <v>2</v>
      </c>
      <c r="G138" s="41" t="s">
        <v>329</v>
      </c>
      <c r="T138" s="365" t="b" cm="1">
        <f t="array" ref="T138">T137</f>
        <v>1</v>
      </c>
      <c r="X138" s="1094"/>
      <c r="Z138" s="1095"/>
      <c r="AB138" s="143">
        <v>3</v>
      </c>
      <c r="AC138" s="144" t="s">
        <v>925</v>
      </c>
      <c r="AD138" s="27" t="s">
        <v>804</v>
      </c>
      <c r="AE138" s="157">
        <f t="shared" ref="AE138:BB138" si="48">SUM(AE139:AE143)</f>
        <v>0</v>
      </c>
      <c r="AF138" s="157">
        <f t="shared" si="48"/>
        <v>0</v>
      </c>
      <c r="AG138" s="157">
        <f t="shared" si="48"/>
        <v>0</v>
      </c>
      <c r="AH138" s="157">
        <f t="shared" si="48"/>
        <v>0</v>
      </c>
      <c r="AI138" s="157">
        <f t="shared" si="48"/>
        <v>0</v>
      </c>
      <c r="AJ138" s="783">
        <f t="shared" si="48"/>
        <v>0</v>
      </c>
      <c r="AK138" s="783">
        <f t="shared" si="48"/>
        <v>0</v>
      </c>
      <c r="AL138" s="783">
        <f t="shared" si="48"/>
        <v>0</v>
      </c>
      <c r="AM138" s="783">
        <f t="shared" si="48"/>
        <v>0</v>
      </c>
      <c r="AN138" s="783">
        <f t="shared" si="48"/>
        <v>0</v>
      </c>
      <c r="AO138" s="783">
        <f t="shared" si="48"/>
        <v>0</v>
      </c>
      <c r="AP138" s="783">
        <f t="shared" si="48"/>
        <v>0</v>
      </c>
      <c r="AQ138" s="783">
        <f t="shared" si="48"/>
        <v>0</v>
      </c>
      <c r="AR138" s="783">
        <f t="shared" si="48"/>
        <v>0</v>
      </c>
      <c r="AS138" s="157">
        <f t="shared" si="48"/>
        <v>0</v>
      </c>
      <c r="AT138" s="783">
        <f t="shared" si="48"/>
        <v>0</v>
      </c>
      <c r="AU138" s="783">
        <f t="shared" si="48"/>
        <v>0</v>
      </c>
      <c r="AV138" s="783">
        <f t="shared" si="48"/>
        <v>0</v>
      </c>
      <c r="AW138" s="783">
        <f t="shared" si="48"/>
        <v>0</v>
      </c>
      <c r="AX138" s="783">
        <f t="shared" si="48"/>
        <v>0</v>
      </c>
      <c r="AY138" s="783">
        <f t="shared" si="48"/>
        <v>0</v>
      </c>
      <c r="AZ138" s="783">
        <f t="shared" si="48"/>
        <v>0</v>
      </c>
      <c r="BA138" s="783">
        <f t="shared" si="48"/>
        <v>0</v>
      </c>
      <c r="BB138" s="783">
        <f t="shared" si="48"/>
        <v>0</v>
      </c>
      <c r="BC138" s="132"/>
      <c r="BF138" s="689" t="s">
        <v>926</v>
      </c>
    </row>
    <row r="139" spans="2:58" ht="14.25" customHeight="1">
      <c r="E139" s="460">
        <v>15</v>
      </c>
      <c r="F139" s="3" t="str" cm="1">
        <f t="array" aca="1" ref="F139" ca="1">OFFSET(E139,-1,1)</f>
        <v>2</v>
      </c>
      <c r="G139" s="41" t="s">
        <v>927</v>
      </c>
      <c r="T139" s="365" t="b" cm="1">
        <f t="array" ref="T139">T138</f>
        <v>1</v>
      </c>
      <c r="X139" s="1094"/>
      <c r="Z139" s="1095"/>
      <c r="AB139" s="26" t="s">
        <v>551</v>
      </c>
      <c r="AC139" s="146" t="s">
        <v>898</v>
      </c>
      <c r="AD139" s="27" t="s">
        <v>804</v>
      </c>
      <c r="AE139" s="147"/>
      <c r="AF139" s="147"/>
      <c r="AG139" s="147"/>
      <c r="AH139" s="147"/>
      <c r="AI139" s="147"/>
      <c r="AJ139" s="787"/>
      <c r="AK139" s="787"/>
      <c r="AL139" s="787"/>
      <c r="AM139" s="787"/>
      <c r="AN139" s="787"/>
      <c r="AO139" s="787"/>
      <c r="AP139" s="787"/>
      <c r="AQ139" s="787"/>
      <c r="AR139" s="787"/>
      <c r="AS139" s="147"/>
      <c r="AT139" s="787"/>
      <c r="AU139" s="787"/>
      <c r="AV139" s="787"/>
      <c r="AW139" s="787"/>
      <c r="AX139" s="787"/>
      <c r="AY139" s="787"/>
      <c r="AZ139" s="787"/>
      <c r="BA139" s="787"/>
      <c r="BB139" s="787"/>
      <c r="BC139" s="132"/>
      <c r="BF139" s="689" t="s">
        <v>928</v>
      </c>
    </row>
    <row r="140" spans="2:58" ht="14.25" customHeight="1">
      <c r="E140" s="460">
        <v>15</v>
      </c>
      <c r="F140" s="3" t="str" cm="1">
        <f t="array" aca="1" ref="F140" ca="1">OFFSET(E140,-1,1)</f>
        <v>2</v>
      </c>
      <c r="G140" s="41" t="s">
        <v>929</v>
      </c>
      <c r="T140" s="365" t="b" cm="1">
        <f t="array" ref="T140">T139</f>
        <v>1</v>
      </c>
      <c r="X140" s="1094"/>
      <c r="Z140" s="1095"/>
      <c r="AB140" s="26" t="s">
        <v>555</v>
      </c>
      <c r="AC140" s="146" t="s">
        <v>901</v>
      </c>
      <c r="AD140" s="27" t="s">
        <v>804</v>
      </c>
      <c r="AE140" s="147"/>
      <c r="AF140" s="147"/>
      <c r="AG140" s="147"/>
      <c r="AH140" s="147"/>
      <c r="AI140" s="147"/>
      <c r="AJ140" s="787"/>
      <c r="AK140" s="787"/>
      <c r="AL140" s="787"/>
      <c r="AM140" s="787"/>
      <c r="AN140" s="787"/>
      <c r="AO140" s="787"/>
      <c r="AP140" s="787"/>
      <c r="AQ140" s="787"/>
      <c r="AR140" s="787"/>
      <c r="AS140" s="147"/>
      <c r="AT140" s="787"/>
      <c r="AU140" s="787"/>
      <c r="AV140" s="787"/>
      <c r="AW140" s="787"/>
      <c r="AX140" s="787"/>
      <c r="AY140" s="787"/>
      <c r="AZ140" s="787"/>
      <c r="BA140" s="787"/>
      <c r="BB140" s="787"/>
      <c r="BC140" s="132"/>
      <c r="BF140" s="689" t="s">
        <v>930</v>
      </c>
    </row>
    <row r="141" spans="2:58" ht="14.25" customHeight="1">
      <c r="E141" s="460">
        <v>15</v>
      </c>
      <c r="F141" s="3" t="str" cm="1">
        <f t="array" aca="1" ref="F141" ca="1">OFFSET(E141,-1,1)</f>
        <v>2</v>
      </c>
      <c r="G141" s="41" t="s">
        <v>931</v>
      </c>
      <c r="T141" s="365" t="b" cm="1">
        <f t="array" ref="T141">T140</f>
        <v>1</v>
      </c>
      <c r="X141" s="1094"/>
      <c r="Z141" s="1095"/>
      <c r="AB141" s="26" t="s">
        <v>771</v>
      </c>
      <c r="AC141" s="146" t="s">
        <v>904</v>
      </c>
      <c r="AD141" s="27" t="s">
        <v>804</v>
      </c>
      <c r="AE141" s="147"/>
      <c r="AF141" s="147"/>
      <c r="AG141" s="147"/>
      <c r="AH141" s="147"/>
      <c r="AI141" s="147"/>
      <c r="AJ141" s="787"/>
      <c r="AK141" s="787"/>
      <c r="AL141" s="787"/>
      <c r="AM141" s="787"/>
      <c r="AN141" s="787"/>
      <c r="AO141" s="787"/>
      <c r="AP141" s="787"/>
      <c r="AQ141" s="787"/>
      <c r="AR141" s="787"/>
      <c r="AS141" s="147"/>
      <c r="AT141" s="787"/>
      <c r="AU141" s="787"/>
      <c r="AV141" s="787"/>
      <c r="AW141" s="787"/>
      <c r="AX141" s="787"/>
      <c r="AY141" s="787"/>
      <c r="AZ141" s="787"/>
      <c r="BA141" s="787"/>
      <c r="BB141" s="787"/>
      <c r="BC141" s="132"/>
      <c r="BF141" s="689" t="s">
        <v>932</v>
      </c>
    </row>
    <row r="142" spans="2:58" ht="14.25" customHeight="1">
      <c r="E142" s="460">
        <v>15</v>
      </c>
      <c r="F142" s="3" t="str" cm="1">
        <f t="array" aca="1" ref="F142" ca="1">OFFSET(E142,-1,1)</f>
        <v>2</v>
      </c>
      <c r="G142" s="41" t="s">
        <v>933</v>
      </c>
      <c r="T142" s="365" t="b" cm="1">
        <f t="array" ref="T142">T141</f>
        <v>1</v>
      </c>
      <c r="X142" s="1094"/>
      <c r="Z142" s="1095"/>
      <c r="AB142" s="26" t="s">
        <v>934</v>
      </c>
      <c r="AC142" s="146" t="s">
        <v>907</v>
      </c>
      <c r="AD142" s="27" t="s">
        <v>804</v>
      </c>
      <c r="AE142" s="147"/>
      <c r="AF142" s="147"/>
      <c r="AG142" s="147"/>
      <c r="AH142" s="147"/>
      <c r="AI142" s="147"/>
      <c r="AJ142" s="787"/>
      <c r="AK142" s="787"/>
      <c r="AL142" s="787"/>
      <c r="AM142" s="787"/>
      <c r="AN142" s="787"/>
      <c r="AO142" s="787"/>
      <c r="AP142" s="787"/>
      <c r="AQ142" s="787"/>
      <c r="AR142" s="787"/>
      <c r="AS142" s="147"/>
      <c r="AT142" s="787"/>
      <c r="AU142" s="787"/>
      <c r="AV142" s="787"/>
      <c r="AW142" s="787"/>
      <c r="AX142" s="787"/>
      <c r="AY142" s="787"/>
      <c r="AZ142" s="787"/>
      <c r="BA142" s="787"/>
      <c r="BB142" s="787"/>
      <c r="BC142" s="132"/>
      <c r="BF142" s="689" t="s">
        <v>935</v>
      </c>
    </row>
    <row r="143" spans="2:58" ht="14.25" customHeight="1">
      <c r="E143" s="460">
        <v>15</v>
      </c>
      <c r="F143" s="3" t="str" cm="1">
        <f t="array" aca="1" ref="F143" ca="1">OFFSET(E143,-1,1)</f>
        <v>2</v>
      </c>
      <c r="G143" s="41" t="s">
        <v>936</v>
      </c>
      <c r="T143" s="365" t="b" cm="1">
        <f t="array" ref="T143">T142</f>
        <v>1</v>
      </c>
      <c r="X143" s="1094"/>
      <c r="Z143" s="1095"/>
      <c r="AB143" s="26" t="s">
        <v>937</v>
      </c>
      <c r="AC143" s="146" t="s">
        <v>911</v>
      </c>
      <c r="AD143" s="27" t="s">
        <v>804</v>
      </c>
      <c r="AE143" s="147"/>
      <c r="AF143" s="147"/>
      <c r="AG143" s="147"/>
      <c r="AH143" s="147"/>
      <c r="AI143" s="147"/>
      <c r="AJ143" s="787"/>
      <c r="AK143" s="787"/>
      <c r="AL143" s="787"/>
      <c r="AM143" s="787"/>
      <c r="AN143" s="787"/>
      <c r="AO143" s="787"/>
      <c r="AP143" s="787"/>
      <c r="AQ143" s="787"/>
      <c r="AR143" s="787"/>
      <c r="AS143" s="147"/>
      <c r="AT143" s="787"/>
      <c r="AU143" s="787"/>
      <c r="AV143" s="787"/>
      <c r="AW143" s="787"/>
      <c r="AX143" s="787"/>
      <c r="AY143" s="787"/>
      <c r="AZ143" s="787"/>
      <c r="BA143" s="787"/>
      <c r="BB143" s="787"/>
      <c r="BC143" s="132"/>
      <c r="BF143" s="689" t="s">
        <v>938</v>
      </c>
    </row>
    <row r="144" spans="2:58" s="82" customFormat="1" ht="21.75" customHeight="1">
      <c r="B144" s="340"/>
      <c r="E144" s="499">
        <v>22.5</v>
      </c>
      <c r="F144" s="3" t="str" cm="1">
        <f t="array" aca="1" ref="F144" ca="1">OFFSET(E144,-1,1)</f>
        <v>2</v>
      </c>
      <c r="G144" s="41" t="s">
        <v>331</v>
      </c>
      <c r="T144" s="365" t="b" cm="1">
        <f t="array" ref="T144">T143</f>
        <v>1</v>
      </c>
      <c r="X144" s="1094"/>
      <c r="Z144" s="1095"/>
      <c r="AB144" s="143">
        <v>4</v>
      </c>
      <c r="AC144" s="144" t="s">
        <v>939</v>
      </c>
      <c r="AD144" s="27" t="s">
        <v>804</v>
      </c>
      <c r="AE144" s="157">
        <f t="shared" ref="AE144:BB144" si="49">SUM(AE145:AE149)</f>
        <v>0</v>
      </c>
      <c r="AF144" s="157">
        <f t="shared" si="49"/>
        <v>0</v>
      </c>
      <c r="AG144" s="157">
        <f t="shared" si="49"/>
        <v>0</v>
      </c>
      <c r="AH144" s="157">
        <f t="shared" si="49"/>
        <v>0</v>
      </c>
      <c r="AI144" s="157">
        <f t="shared" si="49"/>
        <v>0</v>
      </c>
      <c r="AJ144" s="783">
        <f t="shared" si="49"/>
        <v>0</v>
      </c>
      <c r="AK144" s="783">
        <f t="shared" si="49"/>
        <v>0</v>
      </c>
      <c r="AL144" s="783">
        <f t="shared" si="49"/>
        <v>0</v>
      </c>
      <c r="AM144" s="783">
        <f t="shared" si="49"/>
        <v>0</v>
      </c>
      <c r="AN144" s="783">
        <f t="shared" si="49"/>
        <v>0</v>
      </c>
      <c r="AO144" s="783">
        <f t="shared" si="49"/>
        <v>0</v>
      </c>
      <c r="AP144" s="783">
        <f t="shared" si="49"/>
        <v>0</v>
      </c>
      <c r="AQ144" s="783">
        <f t="shared" si="49"/>
        <v>0</v>
      </c>
      <c r="AR144" s="783">
        <f t="shared" si="49"/>
        <v>0</v>
      </c>
      <c r="AS144" s="157">
        <f t="shared" si="49"/>
        <v>0</v>
      </c>
      <c r="AT144" s="783">
        <f t="shared" si="49"/>
        <v>0</v>
      </c>
      <c r="AU144" s="783">
        <f t="shared" si="49"/>
        <v>0</v>
      </c>
      <c r="AV144" s="783">
        <f t="shared" si="49"/>
        <v>0</v>
      </c>
      <c r="AW144" s="783">
        <f t="shared" si="49"/>
        <v>0</v>
      </c>
      <c r="AX144" s="783">
        <f t="shared" si="49"/>
        <v>0</v>
      </c>
      <c r="AY144" s="783">
        <f t="shared" si="49"/>
        <v>0</v>
      </c>
      <c r="AZ144" s="783">
        <f t="shared" si="49"/>
        <v>0</v>
      </c>
      <c r="BA144" s="783">
        <f t="shared" si="49"/>
        <v>0</v>
      </c>
      <c r="BB144" s="783">
        <f t="shared" si="49"/>
        <v>0</v>
      </c>
      <c r="BC144" s="132"/>
      <c r="BF144" s="689" t="s">
        <v>940</v>
      </c>
    </row>
    <row r="145" spans="2:58" ht="14.25" customHeight="1">
      <c r="E145" s="460">
        <v>15</v>
      </c>
      <c r="F145" s="3" t="str" cm="1">
        <f t="array" aca="1" ref="F145" ca="1">OFFSET(E145,-1,1)</f>
        <v>2</v>
      </c>
      <c r="G145" s="41" t="s">
        <v>536</v>
      </c>
      <c r="T145" s="365" t="b" cm="1">
        <f t="array" ref="T145">T144</f>
        <v>1</v>
      </c>
      <c r="X145" s="1094"/>
      <c r="Z145" s="1095"/>
      <c r="AB145" s="26" t="s">
        <v>673</v>
      </c>
      <c r="AC145" s="146" t="s">
        <v>898</v>
      </c>
      <c r="AD145" s="27" t="s">
        <v>804</v>
      </c>
      <c r="AE145" s="147">
        <f t="shared" ref="AE145:BB145" si="50">AE127+AE133-AE139</f>
        <v>0</v>
      </c>
      <c r="AF145" s="147">
        <f t="shared" si="50"/>
        <v>0</v>
      </c>
      <c r="AG145" s="147">
        <f t="shared" si="50"/>
        <v>0</v>
      </c>
      <c r="AH145" s="147">
        <f t="shared" si="50"/>
        <v>0</v>
      </c>
      <c r="AI145" s="147">
        <f t="shared" si="50"/>
        <v>0</v>
      </c>
      <c r="AJ145" s="787">
        <f t="shared" si="50"/>
        <v>0</v>
      </c>
      <c r="AK145" s="787">
        <f t="shared" si="50"/>
        <v>0</v>
      </c>
      <c r="AL145" s="787">
        <f t="shared" si="50"/>
        <v>0</v>
      </c>
      <c r="AM145" s="787">
        <f t="shared" si="50"/>
        <v>0</v>
      </c>
      <c r="AN145" s="787">
        <f t="shared" si="50"/>
        <v>0</v>
      </c>
      <c r="AO145" s="787">
        <f t="shared" si="50"/>
        <v>0</v>
      </c>
      <c r="AP145" s="787">
        <f t="shared" si="50"/>
        <v>0</v>
      </c>
      <c r="AQ145" s="787">
        <f t="shared" si="50"/>
        <v>0</v>
      </c>
      <c r="AR145" s="787">
        <f t="shared" si="50"/>
        <v>0</v>
      </c>
      <c r="AS145" s="147">
        <f t="shared" si="50"/>
        <v>0</v>
      </c>
      <c r="AT145" s="787">
        <f t="shared" si="50"/>
        <v>0</v>
      </c>
      <c r="AU145" s="787">
        <f t="shared" si="50"/>
        <v>0</v>
      </c>
      <c r="AV145" s="787">
        <f t="shared" si="50"/>
        <v>0</v>
      </c>
      <c r="AW145" s="787">
        <f t="shared" si="50"/>
        <v>0</v>
      </c>
      <c r="AX145" s="787">
        <f t="shared" si="50"/>
        <v>0</v>
      </c>
      <c r="AY145" s="787">
        <f t="shared" si="50"/>
        <v>0</v>
      </c>
      <c r="AZ145" s="787">
        <f t="shared" si="50"/>
        <v>0</v>
      </c>
      <c r="BA145" s="787">
        <f t="shared" si="50"/>
        <v>0</v>
      </c>
      <c r="BB145" s="787">
        <f t="shared" si="50"/>
        <v>0</v>
      </c>
      <c r="BC145" s="132"/>
      <c r="BF145" s="689" t="s">
        <v>941</v>
      </c>
    </row>
    <row r="146" spans="2:58" ht="14.25" customHeight="1">
      <c r="E146" s="460">
        <v>15</v>
      </c>
      <c r="F146" s="3" t="str" cm="1">
        <f t="array" aca="1" ref="F146" ca="1">OFFSET(E146,-1,1)</f>
        <v>2</v>
      </c>
      <c r="G146" s="41" t="s">
        <v>540</v>
      </c>
      <c r="T146" s="365" t="b" cm="1">
        <f t="array" ref="T146">T145</f>
        <v>1</v>
      </c>
      <c r="X146" s="1094"/>
      <c r="Z146" s="1095"/>
      <c r="AB146" s="26" t="s">
        <v>676</v>
      </c>
      <c r="AC146" s="146" t="s">
        <v>901</v>
      </c>
      <c r="AD146" s="27" t="s">
        <v>804</v>
      </c>
      <c r="AE146" s="147">
        <f t="shared" ref="AE146:BB146" si="51">AE128+AE134-AE140</f>
        <v>0</v>
      </c>
      <c r="AF146" s="147">
        <f t="shared" si="51"/>
        <v>0</v>
      </c>
      <c r="AG146" s="147">
        <f t="shared" si="51"/>
        <v>0</v>
      </c>
      <c r="AH146" s="147">
        <f t="shared" si="51"/>
        <v>0</v>
      </c>
      <c r="AI146" s="147">
        <f t="shared" si="51"/>
        <v>0</v>
      </c>
      <c r="AJ146" s="787">
        <f t="shared" si="51"/>
        <v>0</v>
      </c>
      <c r="AK146" s="787">
        <f t="shared" si="51"/>
        <v>0</v>
      </c>
      <c r="AL146" s="787">
        <f t="shared" si="51"/>
        <v>0</v>
      </c>
      <c r="AM146" s="787">
        <f t="shared" si="51"/>
        <v>0</v>
      </c>
      <c r="AN146" s="787">
        <f t="shared" si="51"/>
        <v>0</v>
      </c>
      <c r="AO146" s="787">
        <f t="shared" si="51"/>
        <v>0</v>
      </c>
      <c r="AP146" s="787">
        <f t="shared" si="51"/>
        <v>0</v>
      </c>
      <c r="AQ146" s="787">
        <f t="shared" si="51"/>
        <v>0</v>
      </c>
      <c r="AR146" s="787">
        <f t="shared" si="51"/>
        <v>0</v>
      </c>
      <c r="AS146" s="147">
        <f t="shared" si="51"/>
        <v>0</v>
      </c>
      <c r="AT146" s="787">
        <f t="shared" si="51"/>
        <v>0</v>
      </c>
      <c r="AU146" s="787">
        <f t="shared" si="51"/>
        <v>0</v>
      </c>
      <c r="AV146" s="787">
        <f t="shared" si="51"/>
        <v>0</v>
      </c>
      <c r="AW146" s="787">
        <f t="shared" si="51"/>
        <v>0</v>
      </c>
      <c r="AX146" s="787">
        <f t="shared" si="51"/>
        <v>0</v>
      </c>
      <c r="AY146" s="787">
        <f t="shared" si="51"/>
        <v>0</v>
      </c>
      <c r="AZ146" s="787">
        <f t="shared" si="51"/>
        <v>0</v>
      </c>
      <c r="BA146" s="787">
        <f t="shared" si="51"/>
        <v>0</v>
      </c>
      <c r="BB146" s="787">
        <f t="shared" si="51"/>
        <v>0</v>
      </c>
      <c r="BC146" s="132"/>
      <c r="BF146" s="689" t="s">
        <v>942</v>
      </c>
    </row>
    <row r="147" spans="2:58" ht="14.25" customHeight="1">
      <c r="E147" s="460">
        <v>15</v>
      </c>
      <c r="F147" s="3" t="str" cm="1">
        <f t="array" aca="1" ref="F147" ca="1">OFFSET(E147,-1,1)</f>
        <v>2</v>
      </c>
      <c r="G147" s="41" t="s">
        <v>544</v>
      </c>
      <c r="T147" s="365" t="b" cm="1">
        <f t="array" ref="T147">T146</f>
        <v>1</v>
      </c>
      <c r="X147" s="1094"/>
      <c r="Z147" s="1095"/>
      <c r="AB147" s="26" t="s">
        <v>710</v>
      </c>
      <c r="AC147" s="146" t="s">
        <v>904</v>
      </c>
      <c r="AD147" s="27" t="s">
        <v>804</v>
      </c>
      <c r="AE147" s="147">
        <f t="shared" ref="AE147:BB147" si="52">AE129+AE135-AE141</f>
        <v>0</v>
      </c>
      <c r="AF147" s="147">
        <f t="shared" si="52"/>
        <v>0</v>
      </c>
      <c r="AG147" s="147">
        <f t="shared" si="52"/>
        <v>0</v>
      </c>
      <c r="AH147" s="147">
        <f t="shared" si="52"/>
        <v>0</v>
      </c>
      <c r="AI147" s="147">
        <f t="shared" si="52"/>
        <v>0</v>
      </c>
      <c r="AJ147" s="787">
        <f t="shared" si="52"/>
        <v>0</v>
      </c>
      <c r="AK147" s="787">
        <f t="shared" si="52"/>
        <v>0</v>
      </c>
      <c r="AL147" s="787">
        <f t="shared" si="52"/>
        <v>0</v>
      </c>
      <c r="AM147" s="787">
        <f t="shared" si="52"/>
        <v>0</v>
      </c>
      <c r="AN147" s="787">
        <f t="shared" si="52"/>
        <v>0</v>
      </c>
      <c r="AO147" s="787">
        <f t="shared" si="52"/>
        <v>0</v>
      </c>
      <c r="AP147" s="787">
        <f t="shared" si="52"/>
        <v>0</v>
      </c>
      <c r="AQ147" s="787">
        <f t="shared" si="52"/>
        <v>0</v>
      </c>
      <c r="AR147" s="787">
        <f t="shared" si="52"/>
        <v>0</v>
      </c>
      <c r="AS147" s="147">
        <f t="shared" si="52"/>
        <v>0</v>
      </c>
      <c r="AT147" s="787">
        <f t="shared" si="52"/>
        <v>0</v>
      </c>
      <c r="AU147" s="787">
        <f t="shared" si="52"/>
        <v>0</v>
      </c>
      <c r="AV147" s="787">
        <f t="shared" si="52"/>
        <v>0</v>
      </c>
      <c r="AW147" s="787">
        <f t="shared" si="52"/>
        <v>0</v>
      </c>
      <c r="AX147" s="787">
        <f t="shared" si="52"/>
        <v>0</v>
      </c>
      <c r="AY147" s="787">
        <f t="shared" si="52"/>
        <v>0</v>
      </c>
      <c r="AZ147" s="787">
        <f t="shared" si="52"/>
        <v>0</v>
      </c>
      <c r="BA147" s="787">
        <f t="shared" si="52"/>
        <v>0</v>
      </c>
      <c r="BB147" s="787">
        <f t="shared" si="52"/>
        <v>0</v>
      </c>
      <c r="BC147" s="132"/>
      <c r="BF147" s="689" t="s">
        <v>943</v>
      </c>
    </row>
    <row r="148" spans="2:58" ht="14.25" customHeight="1">
      <c r="E148" s="460">
        <v>15</v>
      </c>
      <c r="F148" s="3" t="str" cm="1">
        <f t="array" aca="1" ref="F148" ca="1">OFFSET(E148,-1,1)</f>
        <v>2</v>
      </c>
      <c r="G148" s="41" t="s">
        <v>944</v>
      </c>
      <c r="T148" s="365" t="b" cm="1">
        <f t="array" ref="T148">T147</f>
        <v>1</v>
      </c>
      <c r="X148" s="1094"/>
      <c r="Z148" s="1095"/>
      <c r="AB148" s="26" t="s">
        <v>719</v>
      </c>
      <c r="AC148" s="146" t="s">
        <v>907</v>
      </c>
      <c r="AD148" s="27" t="s">
        <v>804</v>
      </c>
      <c r="AE148" s="147">
        <f t="shared" ref="AE148:BB148" si="53">AE130+AE136-AE142</f>
        <v>0</v>
      </c>
      <c r="AF148" s="147">
        <f t="shared" si="53"/>
        <v>0</v>
      </c>
      <c r="AG148" s="147">
        <f t="shared" si="53"/>
        <v>0</v>
      </c>
      <c r="AH148" s="147">
        <f t="shared" si="53"/>
        <v>0</v>
      </c>
      <c r="AI148" s="147">
        <f t="shared" si="53"/>
        <v>0</v>
      </c>
      <c r="AJ148" s="787">
        <f t="shared" si="53"/>
        <v>0</v>
      </c>
      <c r="AK148" s="787">
        <f t="shared" si="53"/>
        <v>0</v>
      </c>
      <c r="AL148" s="787">
        <f t="shared" si="53"/>
        <v>0</v>
      </c>
      <c r="AM148" s="787">
        <f t="shared" si="53"/>
        <v>0</v>
      </c>
      <c r="AN148" s="787">
        <f t="shared" si="53"/>
        <v>0</v>
      </c>
      <c r="AO148" s="787">
        <f t="shared" si="53"/>
        <v>0</v>
      </c>
      <c r="AP148" s="787">
        <f t="shared" si="53"/>
        <v>0</v>
      </c>
      <c r="AQ148" s="787">
        <f t="shared" si="53"/>
        <v>0</v>
      </c>
      <c r="AR148" s="787">
        <f t="shared" si="53"/>
        <v>0</v>
      </c>
      <c r="AS148" s="147">
        <f t="shared" si="53"/>
        <v>0</v>
      </c>
      <c r="AT148" s="787">
        <f t="shared" si="53"/>
        <v>0</v>
      </c>
      <c r="AU148" s="787">
        <f t="shared" si="53"/>
        <v>0</v>
      </c>
      <c r="AV148" s="787">
        <f t="shared" si="53"/>
        <v>0</v>
      </c>
      <c r="AW148" s="787">
        <f t="shared" si="53"/>
        <v>0</v>
      </c>
      <c r="AX148" s="787">
        <f t="shared" si="53"/>
        <v>0</v>
      </c>
      <c r="AY148" s="787">
        <f t="shared" si="53"/>
        <v>0</v>
      </c>
      <c r="AZ148" s="787">
        <f t="shared" si="53"/>
        <v>0</v>
      </c>
      <c r="BA148" s="787">
        <f t="shared" si="53"/>
        <v>0</v>
      </c>
      <c r="BB148" s="787">
        <f t="shared" si="53"/>
        <v>0</v>
      </c>
      <c r="BC148" s="132"/>
      <c r="BF148" s="689" t="s">
        <v>945</v>
      </c>
    </row>
    <row r="149" spans="2:58" ht="14.25" customHeight="1">
      <c r="E149" s="460">
        <v>15</v>
      </c>
      <c r="F149" s="3" t="str" cm="1">
        <f t="array" aca="1" ref="F149" ca="1">OFFSET(E149,-1,1)</f>
        <v>2</v>
      </c>
      <c r="G149" s="41" t="s">
        <v>946</v>
      </c>
      <c r="T149" s="365" t="b" cm="1">
        <f t="array" ref="T149">T148</f>
        <v>1</v>
      </c>
      <c r="X149" s="1094"/>
      <c r="Z149" s="1095"/>
      <c r="AB149" s="26" t="s">
        <v>729</v>
      </c>
      <c r="AC149" s="146" t="s">
        <v>911</v>
      </c>
      <c r="AD149" s="27" t="s">
        <v>804</v>
      </c>
      <c r="AE149" s="147">
        <f t="shared" ref="AE149:BB149" si="54">AE131+AE137-AE143</f>
        <v>0</v>
      </c>
      <c r="AF149" s="147">
        <f t="shared" si="54"/>
        <v>0</v>
      </c>
      <c r="AG149" s="147">
        <f t="shared" si="54"/>
        <v>0</v>
      </c>
      <c r="AH149" s="147">
        <f t="shared" si="54"/>
        <v>0</v>
      </c>
      <c r="AI149" s="147">
        <f t="shared" si="54"/>
        <v>0</v>
      </c>
      <c r="AJ149" s="787">
        <f t="shared" si="54"/>
        <v>0</v>
      </c>
      <c r="AK149" s="787">
        <f t="shared" si="54"/>
        <v>0</v>
      </c>
      <c r="AL149" s="787">
        <f t="shared" si="54"/>
        <v>0</v>
      </c>
      <c r="AM149" s="787">
        <f t="shared" si="54"/>
        <v>0</v>
      </c>
      <c r="AN149" s="787">
        <f t="shared" si="54"/>
        <v>0</v>
      </c>
      <c r="AO149" s="787">
        <f t="shared" si="54"/>
        <v>0</v>
      </c>
      <c r="AP149" s="787">
        <f t="shared" si="54"/>
        <v>0</v>
      </c>
      <c r="AQ149" s="787">
        <f t="shared" si="54"/>
        <v>0</v>
      </c>
      <c r="AR149" s="787">
        <f t="shared" si="54"/>
        <v>0</v>
      </c>
      <c r="AS149" s="147">
        <f t="shared" si="54"/>
        <v>0</v>
      </c>
      <c r="AT149" s="787">
        <f t="shared" si="54"/>
        <v>0</v>
      </c>
      <c r="AU149" s="787">
        <f t="shared" si="54"/>
        <v>0</v>
      </c>
      <c r="AV149" s="787">
        <f t="shared" si="54"/>
        <v>0</v>
      </c>
      <c r="AW149" s="787">
        <f t="shared" si="54"/>
        <v>0</v>
      </c>
      <c r="AX149" s="787">
        <f t="shared" si="54"/>
        <v>0</v>
      </c>
      <c r="AY149" s="787">
        <f t="shared" si="54"/>
        <v>0</v>
      </c>
      <c r="AZ149" s="787">
        <f t="shared" si="54"/>
        <v>0</v>
      </c>
      <c r="BA149" s="787">
        <f t="shared" si="54"/>
        <v>0</v>
      </c>
      <c r="BB149" s="787">
        <f t="shared" si="54"/>
        <v>0</v>
      </c>
      <c r="BC149" s="132"/>
      <c r="BF149" s="689" t="s">
        <v>947</v>
      </c>
    </row>
    <row r="150" spans="2:58" s="82" customFormat="1" ht="14.25" customHeight="1">
      <c r="B150" s="340"/>
      <c r="E150" s="460">
        <v>15</v>
      </c>
      <c r="F150" s="3" t="str" cm="1">
        <f t="array" aca="1" ref="F150" ca="1">OFFSET(E150,-1,1)</f>
        <v>2</v>
      </c>
      <c r="G150" s="41" t="s">
        <v>330</v>
      </c>
      <c r="T150" s="365" t="b" cm="1">
        <f t="array" ref="T150">T149</f>
        <v>1</v>
      </c>
      <c r="X150" s="1094"/>
      <c r="Z150" s="1095"/>
      <c r="AB150" s="143">
        <v>5</v>
      </c>
      <c r="AC150" s="144" t="s">
        <v>948</v>
      </c>
      <c r="AD150" s="27" t="s">
        <v>804</v>
      </c>
      <c r="AE150" s="157">
        <f t="shared" ref="AE150:BB150" si="55">SUM(AE151:AE155)</f>
        <v>0</v>
      </c>
      <c r="AF150" s="157">
        <f t="shared" si="55"/>
        <v>0</v>
      </c>
      <c r="AG150" s="157">
        <f t="shared" si="55"/>
        <v>0</v>
      </c>
      <c r="AH150" s="157">
        <f t="shared" si="55"/>
        <v>0</v>
      </c>
      <c r="AI150" s="157">
        <f t="shared" si="55"/>
        <v>0</v>
      </c>
      <c r="AJ150" s="783">
        <f t="shared" si="55"/>
        <v>0</v>
      </c>
      <c r="AK150" s="783">
        <f t="shared" si="55"/>
        <v>0</v>
      </c>
      <c r="AL150" s="783">
        <f t="shared" si="55"/>
        <v>0</v>
      </c>
      <c r="AM150" s="783">
        <f t="shared" si="55"/>
        <v>0</v>
      </c>
      <c r="AN150" s="783">
        <f t="shared" si="55"/>
        <v>0</v>
      </c>
      <c r="AO150" s="783">
        <f t="shared" si="55"/>
        <v>0</v>
      </c>
      <c r="AP150" s="783">
        <f t="shared" si="55"/>
        <v>0</v>
      </c>
      <c r="AQ150" s="783">
        <f t="shared" si="55"/>
        <v>0</v>
      </c>
      <c r="AR150" s="783">
        <f t="shared" si="55"/>
        <v>0</v>
      </c>
      <c r="AS150" s="157">
        <f t="shared" si="55"/>
        <v>0</v>
      </c>
      <c r="AT150" s="783">
        <f t="shared" si="55"/>
        <v>0</v>
      </c>
      <c r="AU150" s="783">
        <f t="shared" si="55"/>
        <v>0</v>
      </c>
      <c r="AV150" s="783">
        <f t="shared" si="55"/>
        <v>0</v>
      </c>
      <c r="AW150" s="783">
        <f t="shared" si="55"/>
        <v>0</v>
      </c>
      <c r="AX150" s="783">
        <f t="shared" si="55"/>
        <v>0</v>
      </c>
      <c r="AY150" s="783">
        <f t="shared" si="55"/>
        <v>0</v>
      </c>
      <c r="AZ150" s="783">
        <f t="shared" si="55"/>
        <v>0</v>
      </c>
      <c r="BA150" s="783">
        <f t="shared" si="55"/>
        <v>0</v>
      </c>
      <c r="BB150" s="783">
        <f t="shared" si="55"/>
        <v>0</v>
      </c>
      <c r="BC150" s="132"/>
      <c r="BF150" s="689" t="s">
        <v>949</v>
      </c>
    </row>
    <row r="151" spans="2:58" ht="14.25" customHeight="1">
      <c r="E151" s="460">
        <v>15</v>
      </c>
      <c r="F151" s="3" t="str" cm="1">
        <f t="array" aca="1" ref="F151" ca="1">OFFSET(E151,-1,1)</f>
        <v>2</v>
      </c>
      <c r="G151" s="41" t="s">
        <v>550</v>
      </c>
      <c r="T151" s="365" t="b" cm="1">
        <f t="array" ref="T151">T150</f>
        <v>1</v>
      </c>
      <c r="X151" s="1094"/>
      <c r="Z151" s="1095"/>
      <c r="AB151" s="26" t="s">
        <v>680</v>
      </c>
      <c r="AC151" s="146" t="s">
        <v>898</v>
      </c>
      <c r="AD151" s="27" t="s">
        <v>804</v>
      </c>
      <c r="AE151" s="147">
        <f t="shared" ref="AE151:BB151" si="56">(AE145+AE127)/2</f>
        <v>0</v>
      </c>
      <c r="AF151" s="147">
        <f t="shared" si="56"/>
        <v>0</v>
      </c>
      <c r="AG151" s="147">
        <f t="shared" si="56"/>
        <v>0</v>
      </c>
      <c r="AH151" s="147">
        <f t="shared" si="56"/>
        <v>0</v>
      </c>
      <c r="AI151" s="147">
        <f t="shared" si="56"/>
        <v>0</v>
      </c>
      <c r="AJ151" s="787">
        <f t="shared" si="56"/>
        <v>0</v>
      </c>
      <c r="AK151" s="787">
        <f t="shared" si="56"/>
        <v>0</v>
      </c>
      <c r="AL151" s="787">
        <f t="shared" si="56"/>
        <v>0</v>
      </c>
      <c r="AM151" s="787">
        <f t="shared" si="56"/>
        <v>0</v>
      </c>
      <c r="AN151" s="787">
        <f t="shared" si="56"/>
        <v>0</v>
      </c>
      <c r="AO151" s="787">
        <f t="shared" si="56"/>
        <v>0</v>
      </c>
      <c r="AP151" s="787">
        <f t="shared" si="56"/>
        <v>0</v>
      </c>
      <c r="AQ151" s="787">
        <f t="shared" si="56"/>
        <v>0</v>
      </c>
      <c r="AR151" s="787">
        <f t="shared" si="56"/>
        <v>0</v>
      </c>
      <c r="AS151" s="147">
        <f t="shared" si="56"/>
        <v>0</v>
      </c>
      <c r="AT151" s="787">
        <f t="shared" si="56"/>
        <v>0</v>
      </c>
      <c r="AU151" s="787">
        <f t="shared" si="56"/>
        <v>0</v>
      </c>
      <c r="AV151" s="787">
        <f t="shared" si="56"/>
        <v>0</v>
      </c>
      <c r="AW151" s="787">
        <f t="shared" si="56"/>
        <v>0</v>
      </c>
      <c r="AX151" s="787">
        <f t="shared" si="56"/>
        <v>0</v>
      </c>
      <c r="AY151" s="787">
        <f t="shared" si="56"/>
        <v>0</v>
      </c>
      <c r="AZ151" s="787">
        <f t="shared" si="56"/>
        <v>0</v>
      </c>
      <c r="BA151" s="787">
        <f t="shared" si="56"/>
        <v>0</v>
      </c>
      <c r="BB151" s="787">
        <f t="shared" si="56"/>
        <v>0</v>
      </c>
      <c r="BC151" s="132"/>
      <c r="BF151" s="689" t="s">
        <v>950</v>
      </c>
    </row>
    <row r="152" spans="2:58" ht="14.25" customHeight="1">
      <c r="E152" s="460">
        <v>15</v>
      </c>
      <c r="F152" s="3" t="str" cm="1">
        <f t="array" aca="1" ref="F152" ca="1">OFFSET(E152,-1,1)</f>
        <v>2</v>
      </c>
      <c r="G152" s="41" t="s">
        <v>554</v>
      </c>
      <c r="T152" s="365" t="b" cm="1">
        <f t="array" ref="T152">T151</f>
        <v>1</v>
      </c>
      <c r="X152" s="1094"/>
      <c r="Z152" s="1095"/>
      <c r="AB152" s="26" t="s">
        <v>683</v>
      </c>
      <c r="AC152" s="146" t="s">
        <v>901</v>
      </c>
      <c r="AD152" s="27" t="s">
        <v>804</v>
      </c>
      <c r="AE152" s="147">
        <f t="shared" ref="AE152:BB152" si="57">(AE146+AE128)/2</f>
        <v>0</v>
      </c>
      <c r="AF152" s="147">
        <f t="shared" si="57"/>
        <v>0</v>
      </c>
      <c r="AG152" s="147">
        <f t="shared" si="57"/>
        <v>0</v>
      </c>
      <c r="AH152" s="147">
        <f t="shared" si="57"/>
        <v>0</v>
      </c>
      <c r="AI152" s="147">
        <f t="shared" si="57"/>
        <v>0</v>
      </c>
      <c r="AJ152" s="787">
        <f t="shared" si="57"/>
        <v>0</v>
      </c>
      <c r="AK152" s="787">
        <f t="shared" si="57"/>
        <v>0</v>
      </c>
      <c r="AL152" s="787">
        <f t="shared" si="57"/>
        <v>0</v>
      </c>
      <c r="AM152" s="787">
        <f t="shared" si="57"/>
        <v>0</v>
      </c>
      <c r="AN152" s="787">
        <f t="shared" si="57"/>
        <v>0</v>
      </c>
      <c r="AO152" s="787">
        <f t="shared" si="57"/>
        <v>0</v>
      </c>
      <c r="AP152" s="787">
        <f t="shared" si="57"/>
        <v>0</v>
      </c>
      <c r="AQ152" s="787">
        <f t="shared" si="57"/>
        <v>0</v>
      </c>
      <c r="AR152" s="787">
        <f t="shared" si="57"/>
        <v>0</v>
      </c>
      <c r="AS152" s="147">
        <f t="shared" si="57"/>
        <v>0</v>
      </c>
      <c r="AT152" s="787">
        <f t="shared" si="57"/>
        <v>0</v>
      </c>
      <c r="AU152" s="787">
        <f t="shared" si="57"/>
        <v>0</v>
      </c>
      <c r="AV152" s="787">
        <f t="shared" si="57"/>
        <v>0</v>
      </c>
      <c r="AW152" s="787">
        <f t="shared" si="57"/>
        <v>0</v>
      </c>
      <c r="AX152" s="787">
        <f t="shared" si="57"/>
        <v>0</v>
      </c>
      <c r="AY152" s="787">
        <f t="shared" si="57"/>
        <v>0</v>
      </c>
      <c r="AZ152" s="787">
        <f t="shared" si="57"/>
        <v>0</v>
      </c>
      <c r="BA152" s="787">
        <f t="shared" si="57"/>
        <v>0</v>
      </c>
      <c r="BB152" s="787">
        <f t="shared" si="57"/>
        <v>0</v>
      </c>
      <c r="BC152" s="132"/>
      <c r="BF152" s="689" t="s">
        <v>951</v>
      </c>
    </row>
    <row r="153" spans="2:58" ht="14.25" customHeight="1">
      <c r="E153" s="460">
        <v>15</v>
      </c>
      <c r="F153" s="3" t="str" cm="1">
        <f t="array" aca="1" ref="F153" ca="1">OFFSET(E153,-1,1)</f>
        <v>2</v>
      </c>
      <c r="G153" s="41" t="s">
        <v>770</v>
      </c>
      <c r="T153" s="365" t="b" cm="1">
        <f t="array" ref="T153">T152</f>
        <v>1</v>
      </c>
      <c r="X153" s="1094"/>
      <c r="Z153" s="1095"/>
      <c r="AB153" s="26" t="s">
        <v>952</v>
      </c>
      <c r="AC153" s="146" t="s">
        <v>904</v>
      </c>
      <c r="AD153" s="27" t="s">
        <v>804</v>
      </c>
      <c r="AE153" s="147">
        <f t="shared" ref="AE153:BB153" si="58">(AE147+AE129)/2</f>
        <v>0</v>
      </c>
      <c r="AF153" s="147">
        <f t="shared" si="58"/>
        <v>0</v>
      </c>
      <c r="AG153" s="147">
        <f t="shared" si="58"/>
        <v>0</v>
      </c>
      <c r="AH153" s="147">
        <f t="shared" si="58"/>
        <v>0</v>
      </c>
      <c r="AI153" s="147">
        <f t="shared" si="58"/>
        <v>0</v>
      </c>
      <c r="AJ153" s="787">
        <f t="shared" si="58"/>
        <v>0</v>
      </c>
      <c r="AK153" s="787">
        <f t="shared" si="58"/>
        <v>0</v>
      </c>
      <c r="AL153" s="787">
        <f t="shared" si="58"/>
        <v>0</v>
      </c>
      <c r="AM153" s="787">
        <f t="shared" si="58"/>
        <v>0</v>
      </c>
      <c r="AN153" s="787">
        <f t="shared" si="58"/>
        <v>0</v>
      </c>
      <c r="AO153" s="787">
        <f t="shared" si="58"/>
        <v>0</v>
      </c>
      <c r="AP153" s="787">
        <f t="shared" si="58"/>
        <v>0</v>
      </c>
      <c r="AQ153" s="787">
        <f t="shared" si="58"/>
        <v>0</v>
      </c>
      <c r="AR153" s="787">
        <f t="shared" si="58"/>
        <v>0</v>
      </c>
      <c r="AS153" s="147">
        <f t="shared" si="58"/>
        <v>0</v>
      </c>
      <c r="AT153" s="787">
        <f t="shared" si="58"/>
        <v>0</v>
      </c>
      <c r="AU153" s="787">
        <f t="shared" si="58"/>
        <v>0</v>
      </c>
      <c r="AV153" s="787">
        <f t="shared" si="58"/>
        <v>0</v>
      </c>
      <c r="AW153" s="787">
        <f t="shared" si="58"/>
        <v>0</v>
      </c>
      <c r="AX153" s="787">
        <f t="shared" si="58"/>
        <v>0</v>
      </c>
      <c r="AY153" s="787">
        <f t="shared" si="58"/>
        <v>0</v>
      </c>
      <c r="AZ153" s="787">
        <f t="shared" si="58"/>
        <v>0</v>
      </c>
      <c r="BA153" s="787">
        <f t="shared" si="58"/>
        <v>0</v>
      </c>
      <c r="BB153" s="787">
        <f t="shared" si="58"/>
        <v>0</v>
      </c>
      <c r="BC153" s="132"/>
      <c r="BF153" s="689" t="s">
        <v>953</v>
      </c>
    </row>
    <row r="154" spans="2:58" ht="14.25" customHeight="1">
      <c r="E154" s="460">
        <v>15</v>
      </c>
      <c r="F154" s="3" t="str" cm="1">
        <f t="array" aca="1" ref="F154" ca="1">OFFSET(E154,-1,1)</f>
        <v>2</v>
      </c>
      <c r="G154" s="41" t="s">
        <v>954</v>
      </c>
      <c r="T154" s="365" t="b" cm="1">
        <f t="array" ref="T154">T153</f>
        <v>1</v>
      </c>
      <c r="X154" s="1094"/>
      <c r="Z154" s="1095"/>
      <c r="AB154" s="26" t="s">
        <v>955</v>
      </c>
      <c r="AC154" s="146" t="s">
        <v>907</v>
      </c>
      <c r="AD154" s="27" t="s">
        <v>804</v>
      </c>
      <c r="AE154" s="147">
        <f t="shared" ref="AE154:BB154" si="59">(AE148+AE130)/2</f>
        <v>0</v>
      </c>
      <c r="AF154" s="147">
        <f t="shared" si="59"/>
        <v>0</v>
      </c>
      <c r="AG154" s="147">
        <f t="shared" si="59"/>
        <v>0</v>
      </c>
      <c r="AH154" s="147">
        <f t="shared" si="59"/>
        <v>0</v>
      </c>
      <c r="AI154" s="147">
        <f t="shared" si="59"/>
        <v>0</v>
      </c>
      <c r="AJ154" s="787">
        <f t="shared" si="59"/>
        <v>0</v>
      </c>
      <c r="AK154" s="787">
        <f t="shared" si="59"/>
        <v>0</v>
      </c>
      <c r="AL154" s="787">
        <f t="shared" si="59"/>
        <v>0</v>
      </c>
      <c r="AM154" s="787">
        <f t="shared" si="59"/>
        <v>0</v>
      </c>
      <c r="AN154" s="787">
        <f t="shared" si="59"/>
        <v>0</v>
      </c>
      <c r="AO154" s="787">
        <f t="shared" si="59"/>
        <v>0</v>
      </c>
      <c r="AP154" s="787">
        <f t="shared" si="59"/>
        <v>0</v>
      </c>
      <c r="AQ154" s="787">
        <f t="shared" si="59"/>
        <v>0</v>
      </c>
      <c r="AR154" s="787">
        <f t="shared" si="59"/>
        <v>0</v>
      </c>
      <c r="AS154" s="147">
        <f t="shared" si="59"/>
        <v>0</v>
      </c>
      <c r="AT154" s="787">
        <f t="shared" si="59"/>
        <v>0</v>
      </c>
      <c r="AU154" s="787">
        <f t="shared" si="59"/>
        <v>0</v>
      </c>
      <c r="AV154" s="787">
        <f t="shared" si="59"/>
        <v>0</v>
      </c>
      <c r="AW154" s="787">
        <f t="shared" si="59"/>
        <v>0</v>
      </c>
      <c r="AX154" s="787">
        <f t="shared" si="59"/>
        <v>0</v>
      </c>
      <c r="AY154" s="787">
        <f t="shared" si="59"/>
        <v>0</v>
      </c>
      <c r="AZ154" s="787">
        <f t="shared" si="59"/>
        <v>0</v>
      </c>
      <c r="BA154" s="787">
        <f t="shared" si="59"/>
        <v>0</v>
      </c>
      <c r="BB154" s="787">
        <f t="shared" si="59"/>
        <v>0</v>
      </c>
      <c r="BC154" s="132"/>
      <c r="BF154" s="689" t="s">
        <v>956</v>
      </c>
    </row>
    <row r="155" spans="2:58" ht="14.25" customHeight="1">
      <c r="E155" s="460">
        <v>15</v>
      </c>
      <c r="F155" s="3" t="str" cm="1">
        <f t="array" aca="1" ref="F155" ca="1">OFFSET(E155,-1,1)</f>
        <v>2</v>
      </c>
      <c r="G155" s="41" t="s">
        <v>957</v>
      </c>
      <c r="T155" s="365" t="b" cm="1">
        <f t="array" ref="T155">T154</f>
        <v>1</v>
      </c>
      <c r="X155" s="1094"/>
      <c r="Z155" s="1095"/>
      <c r="AB155" s="26" t="s">
        <v>958</v>
      </c>
      <c r="AC155" s="146" t="s">
        <v>911</v>
      </c>
      <c r="AD155" s="27" t="s">
        <v>804</v>
      </c>
      <c r="AE155" s="147">
        <f t="shared" ref="AE155:BB155" si="60">(AE149+AE131)/2</f>
        <v>0</v>
      </c>
      <c r="AF155" s="147">
        <f t="shared" si="60"/>
        <v>0</v>
      </c>
      <c r="AG155" s="147">
        <f t="shared" si="60"/>
        <v>0</v>
      </c>
      <c r="AH155" s="147">
        <f t="shared" si="60"/>
        <v>0</v>
      </c>
      <c r="AI155" s="147">
        <f t="shared" si="60"/>
        <v>0</v>
      </c>
      <c r="AJ155" s="787">
        <f t="shared" si="60"/>
        <v>0</v>
      </c>
      <c r="AK155" s="787">
        <f t="shared" si="60"/>
        <v>0</v>
      </c>
      <c r="AL155" s="787">
        <f t="shared" si="60"/>
        <v>0</v>
      </c>
      <c r="AM155" s="787">
        <f t="shared" si="60"/>
        <v>0</v>
      </c>
      <c r="AN155" s="787">
        <f t="shared" si="60"/>
        <v>0</v>
      </c>
      <c r="AO155" s="787">
        <f t="shared" si="60"/>
        <v>0</v>
      </c>
      <c r="AP155" s="787">
        <f t="shared" si="60"/>
        <v>0</v>
      </c>
      <c r="AQ155" s="787">
        <f t="shared" si="60"/>
        <v>0</v>
      </c>
      <c r="AR155" s="787">
        <f t="shared" si="60"/>
        <v>0</v>
      </c>
      <c r="AS155" s="147">
        <f t="shared" si="60"/>
        <v>0</v>
      </c>
      <c r="AT155" s="787">
        <f t="shared" si="60"/>
        <v>0</v>
      </c>
      <c r="AU155" s="787">
        <f t="shared" si="60"/>
        <v>0</v>
      </c>
      <c r="AV155" s="787">
        <f t="shared" si="60"/>
        <v>0</v>
      </c>
      <c r="AW155" s="787">
        <f t="shared" si="60"/>
        <v>0</v>
      </c>
      <c r="AX155" s="787">
        <f t="shared" si="60"/>
        <v>0</v>
      </c>
      <c r="AY155" s="787">
        <f t="shared" si="60"/>
        <v>0</v>
      </c>
      <c r="AZ155" s="787">
        <f t="shared" si="60"/>
        <v>0</v>
      </c>
      <c r="BA155" s="787">
        <f t="shared" si="60"/>
        <v>0</v>
      </c>
      <c r="BB155" s="787">
        <f t="shared" si="60"/>
        <v>0</v>
      </c>
      <c r="BC155" s="132"/>
      <c r="BF155" s="689" t="s">
        <v>959</v>
      </c>
    </row>
    <row r="156" spans="2:58" s="82" customFormat="1" ht="21.75" customHeight="1">
      <c r="B156" s="340"/>
      <c r="E156" s="499">
        <v>22.5</v>
      </c>
      <c r="F156" s="3" t="str" cm="1">
        <f t="array" aca="1" ref="F156" ca="1">OFFSET(E156,-1,1)</f>
        <v>2</v>
      </c>
      <c r="G156" s="41" t="s">
        <v>511</v>
      </c>
      <c r="T156" s="365" t="b" cm="1">
        <f t="array" ref="T156">T155</f>
        <v>1</v>
      </c>
      <c r="X156" s="1094"/>
      <c r="Z156" s="1095"/>
      <c r="AB156" s="143">
        <v>6</v>
      </c>
      <c r="AC156" s="144" t="s">
        <v>960</v>
      </c>
      <c r="AD156" s="143"/>
      <c r="AE156" s="148"/>
      <c r="AF156" s="148"/>
      <c r="AG156" s="148"/>
      <c r="AH156" s="148"/>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32"/>
      <c r="BF156" s="689" t="s">
        <v>961</v>
      </c>
    </row>
    <row r="157" spans="2:58" ht="14.25" customHeight="1">
      <c r="E157" s="460">
        <v>15</v>
      </c>
      <c r="F157" s="3" t="str" cm="1">
        <f t="array" aca="1" ref="F157" ca="1">OFFSET(E157,-1,1)</f>
        <v>2</v>
      </c>
      <c r="G157" s="41" t="s">
        <v>672</v>
      </c>
      <c r="T157" s="365" t="b" cm="1">
        <f t="array" ref="T157">T156</f>
        <v>1</v>
      </c>
      <c r="X157" s="1094"/>
      <c r="Z157" s="1095"/>
      <c r="AB157" s="26" t="s">
        <v>566</v>
      </c>
      <c r="AC157" s="146" t="s">
        <v>898</v>
      </c>
      <c r="AD157" s="26" t="s">
        <v>456</v>
      </c>
      <c r="AE157" s="147">
        <f t="shared" ref="AE157:BB157" si="61">IF(AE151=0,0,AE163/AE151*100)</f>
        <v>0</v>
      </c>
      <c r="AF157" s="147">
        <f t="shared" si="61"/>
        <v>0</v>
      </c>
      <c r="AG157" s="147">
        <f t="shared" si="61"/>
        <v>0</v>
      </c>
      <c r="AH157" s="147">
        <f t="shared" si="61"/>
        <v>0</v>
      </c>
      <c r="AI157" s="147">
        <f t="shared" si="61"/>
        <v>0</v>
      </c>
      <c r="AJ157" s="787">
        <f t="shared" si="61"/>
        <v>0</v>
      </c>
      <c r="AK157" s="787">
        <f t="shared" si="61"/>
        <v>0</v>
      </c>
      <c r="AL157" s="787">
        <f t="shared" si="61"/>
        <v>0</v>
      </c>
      <c r="AM157" s="787">
        <f t="shared" si="61"/>
        <v>0</v>
      </c>
      <c r="AN157" s="787">
        <f t="shared" si="61"/>
        <v>0</v>
      </c>
      <c r="AO157" s="787">
        <f t="shared" si="61"/>
        <v>0</v>
      </c>
      <c r="AP157" s="787">
        <f t="shared" si="61"/>
        <v>0</v>
      </c>
      <c r="AQ157" s="787">
        <f t="shared" si="61"/>
        <v>0</v>
      </c>
      <c r="AR157" s="787">
        <f t="shared" si="61"/>
        <v>0</v>
      </c>
      <c r="AS157" s="147">
        <f t="shared" si="61"/>
        <v>0</v>
      </c>
      <c r="AT157" s="787">
        <f t="shared" si="61"/>
        <v>0</v>
      </c>
      <c r="AU157" s="787">
        <f t="shared" si="61"/>
        <v>0</v>
      </c>
      <c r="AV157" s="787">
        <f t="shared" si="61"/>
        <v>0</v>
      </c>
      <c r="AW157" s="787">
        <f t="shared" si="61"/>
        <v>0</v>
      </c>
      <c r="AX157" s="787">
        <f t="shared" si="61"/>
        <v>0</v>
      </c>
      <c r="AY157" s="787">
        <f t="shared" si="61"/>
        <v>0</v>
      </c>
      <c r="AZ157" s="787">
        <f t="shared" si="61"/>
        <v>0</v>
      </c>
      <c r="BA157" s="787">
        <f t="shared" si="61"/>
        <v>0</v>
      </c>
      <c r="BB157" s="787">
        <f t="shared" si="61"/>
        <v>0</v>
      </c>
      <c r="BC157" s="132"/>
      <c r="BF157" s="689" t="s">
        <v>962</v>
      </c>
    </row>
    <row r="158" spans="2:58" ht="14.25" customHeight="1">
      <c r="E158" s="460">
        <v>15</v>
      </c>
      <c r="F158" s="3" t="str" cm="1">
        <f t="array" aca="1" ref="F158" ca="1">OFFSET(E158,-1,1)</f>
        <v>2</v>
      </c>
      <c r="G158" s="41" t="s">
        <v>675</v>
      </c>
      <c r="T158" s="365" t="b" cm="1">
        <f t="array" ref="T158">T157</f>
        <v>1</v>
      </c>
      <c r="X158" s="1094"/>
      <c r="Z158" s="1095"/>
      <c r="AB158" s="26" t="s">
        <v>570</v>
      </c>
      <c r="AC158" s="146" t="s">
        <v>901</v>
      </c>
      <c r="AD158" s="26" t="s">
        <v>456</v>
      </c>
      <c r="AE158" s="147">
        <f t="shared" ref="AE158:BB158" si="62">IF(AE152=0,0,AE164/AE152*100)</f>
        <v>0</v>
      </c>
      <c r="AF158" s="147">
        <f t="shared" si="62"/>
        <v>0</v>
      </c>
      <c r="AG158" s="147">
        <f t="shared" si="62"/>
        <v>0</v>
      </c>
      <c r="AH158" s="147">
        <f t="shared" si="62"/>
        <v>0</v>
      </c>
      <c r="AI158" s="147">
        <f t="shared" si="62"/>
        <v>0</v>
      </c>
      <c r="AJ158" s="787">
        <f t="shared" si="62"/>
        <v>0</v>
      </c>
      <c r="AK158" s="787">
        <f t="shared" si="62"/>
        <v>0</v>
      </c>
      <c r="AL158" s="787">
        <f t="shared" si="62"/>
        <v>0</v>
      </c>
      <c r="AM158" s="787">
        <f t="shared" si="62"/>
        <v>0</v>
      </c>
      <c r="AN158" s="787">
        <f t="shared" si="62"/>
        <v>0</v>
      </c>
      <c r="AO158" s="787">
        <f t="shared" si="62"/>
        <v>0</v>
      </c>
      <c r="AP158" s="787">
        <f t="shared" si="62"/>
        <v>0</v>
      </c>
      <c r="AQ158" s="787">
        <f t="shared" si="62"/>
        <v>0</v>
      </c>
      <c r="AR158" s="787">
        <f t="shared" si="62"/>
        <v>0</v>
      </c>
      <c r="AS158" s="147">
        <f t="shared" si="62"/>
        <v>0</v>
      </c>
      <c r="AT158" s="787">
        <f t="shared" si="62"/>
        <v>0</v>
      </c>
      <c r="AU158" s="787">
        <f t="shared" si="62"/>
        <v>0</v>
      </c>
      <c r="AV158" s="787">
        <f t="shared" si="62"/>
        <v>0</v>
      </c>
      <c r="AW158" s="787">
        <f t="shared" si="62"/>
        <v>0</v>
      </c>
      <c r="AX158" s="787">
        <f t="shared" si="62"/>
        <v>0</v>
      </c>
      <c r="AY158" s="787">
        <f t="shared" si="62"/>
        <v>0</v>
      </c>
      <c r="AZ158" s="787">
        <f t="shared" si="62"/>
        <v>0</v>
      </c>
      <c r="BA158" s="787">
        <f t="shared" si="62"/>
        <v>0</v>
      </c>
      <c r="BB158" s="787">
        <f t="shared" si="62"/>
        <v>0</v>
      </c>
      <c r="BC158" s="132"/>
      <c r="BF158" s="689" t="s">
        <v>963</v>
      </c>
    </row>
    <row r="159" spans="2:58" ht="14.25" customHeight="1">
      <c r="E159" s="460">
        <v>15</v>
      </c>
      <c r="F159" s="3" t="str" cm="1">
        <f t="array" aca="1" ref="F159" ca="1">OFFSET(E159,-1,1)</f>
        <v>2</v>
      </c>
      <c r="G159" s="41" t="s">
        <v>709</v>
      </c>
      <c r="T159" s="365" t="b" cm="1">
        <f t="array" ref="T159">T158</f>
        <v>1</v>
      </c>
      <c r="X159" s="1094"/>
      <c r="Z159" s="1095"/>
      <c r="AB159" s="26" t="s">
        <v>574</v>
      </c>
      <c r="AC159" s="146" t="s">
        <v>904</v>
      </c>
      <c r="AD159" s="26" t="s">
        <v>456</v>
      </c>
      <c r="AE159" s="147">
        <f t="shared" ref="AE159:BB159" si="63">IF(AE153=0,0,AE165/AE153*100)</f>
        <v>0</v>
      </c>
      <c r="AF159" s="147">
        <f t="shared" si="63"/>
        <v>0</v>
      </c>
      <c r="AG159" s="147">
        <f t="shared" si="63"/>
        <v>0</v>
      </c>
      <c r="AH159" s="147">
        <f t="shared" si="63"/>
        <v>0</v>
      </c>
      <c r="AI159" s="147">
        <f t="shared" si="63"/>
        <v>0</v>
      </c>
      <c r="AJ159" s="787">
        <f t="shared" si="63"/>
        <v>0</v>
      </c>
      <c r="AK159" s="787">
        <f t="shared" si="63"/>
        <v>0</v>
      </c>
      <c r="AL159" s="787">
        <f t="shared" si="63"/>
        <v>0</v>
      </c>
      <c r="AM159" s="787">
        <f t="shared" si="63"/>
        <v>0</v>
      </c>
      <c r="AN159" s="787">
        <f t="shared" si="63"/>
        <v>0</v>
      </c>
      <c r="AO159" s="787">
        <f t="shared" si="63"/>
        <v>0</v>
      </c>
      <c r="AP159" s="787">
        <f t="shared" si="63"/>
        <v>0</v>
      </c>
      <c r="AQ159" s="787">
        <f t="shared" si="63"/>
        <v>0</v>
      </c>
      <c r="AR159" s="787">
        <f t="shared" si="63"/>
        <v>0</v>
      </c>
      <c r="AS159" s="147">
        <f t="shared" si="63"/>
        <v>0</v>
      </c>
      <c r="AT159" s="787">
        <f t="shared" si="63"/>
        <v>0</v>
      </c>
      <c r="AU159" s="787">
        <f t="shared" si="63"/>
        <v>0</v>
      </c>
      <c r="AV159" s="787">
        <f t="shared" si="63"/>
        <v>0</v>
      </c>
      <c r="AW159" s="787">
        <f t="shared" si="63"/>
        <v>0</v>
      </c>
      <c r="AX159" s="787">
        <f t="shared" si="63"/>
        <v>0</v>
      </c>
      <c r="AY159" s="787">
        <f t="shared" si="63"/>
        <v>0</v>
      </c>
      <c r="AZ159" s="787">
        <f t="shared" si="63"/>
        <v>0</v>
      </c>
      <c r="BA159" s="787">
        <f t="shared" si="63"/>
        <v>0</v>
      </c>
      <c r="BB159" s="787">
        <f t="shared" si="63"/>
        <v>0</v>
      </c>
      <c r="BC159" s="132"/>
      <c r="BF159" s="689" t="s">
        <v>964</v>
      </c>
    </row>
    <row r="160" spans="2:58" ht="14.25" customHeight="1">
      <c r="E160" s="460">
        <v>15</v>
      </c>
      <c r="F160" s="3" t="str" cm="1">
        <f t="array" aca="1" ref="F160" ca="1">OFFSET(E160,-1,1)</f>
        <v>2</v>
      </c>
      <c r="G160" s="41" t="s">
        <v>718</v>
      </c>
      <c r="T160" s="365" t="b" cm="1">
        <f t="array" ref="T160">T159</f>
        <v>1</v>
      </c>
      <c r="X160" s="1094"/>
      <c r="Z160" s="1095"/>
      <c r="AB160" s="26" t="s">
        <v>965</v>
      </c>
      <c r="AC160" s="146" t="s">
        <v>907</v>
      </c>
      <c r="AD160" s="26" t="s">
        <v>456</v>
      </c>
      <c r="AE160" s="147">
        <f t="shared" ref="AE160:BB160" si="64">IF(AE154=0,0,AE166/AE154*100)</f>
        <v>0</v>
      </c>
      <c r="AF160" s="147">
        <f t="shared" si="64"/>
        <v>0</v>
      </c>
      <c r="AG160" s="147">
        <f t="shared" si="64"/>
        <v>0</v>
      </c>
      <c r="AH160" s="147">
        <f t="shared" si="64"/>
        <v>0</v>
      </c>
      <c r="AI160" s="147">
        <f t="shared" si="64"/>
        <v>0</v>
      </c>
      <c r="AJ160" s="787">
        <f t="shared" si="64"/>
        <v>0</v>
      </c>
      <c r="AK160" s="787">
        <f t="shared" si="64"/>
        <v>0</v>
      </c>
      <c r="AL160" s="787">
        <f t="shared" si="64"/>
        <v>0</v>
      </c>
      <c r="AM160" s="787">
        <f t="shared" si="64"/>
        <v>0</v>
      </c>
      <c r="AN160" s="787">
        <f t="shared" si="64"/>
        <v>0</v>
      </c>
      <c r="AO160" s="787">
        <f t="shared" si="64"/>
        <v>0</v>
      </c>
      <c r="AP160" s="787">
        <f t="shared" si="64"/>
        <v>0</v>
      </c>
      <c r="AQ160" s="787">
        <f t="shared" si="64"/>
        <v>0</v>
      </c>
      <c r="AR160" s="787">
        <f t="shared" si="64"/>
        <v>0</v>
      </c>
      <c r="AS160" s="147">
        <f t="shared" si="64"/>
        <v>0</v>
      </c>
      <c r="AT160" s="787">
        <f t="shared" si="64"/>
        <v>0</v>
      </c>
      <c r="AU160" s="787">
        <f t="shared" si="64"/>
        <v>0</v>
      </c>
      <c r="AV160" s="787">
        <f t="shared" si="64"/>
        <v>0</v>
      </c>
      <c r="AW160" s="787">
        <f t="shared" si="64"/>
        <v>0</v>
      </c>
      <c r="AX160" s="787">
        <f t="shared" si="64"/>
        <v>0</v>
      </c>
      <c r="AY160" s="787">
        <f t="shared" si="64"/>
        <v>0</v>
      </c>
      <c r="AZ160" s="787">
        <f t="shared" si="64"/>
        <v>0</v>
      </c>
      <c r="BA160" s="787">
        <f t="shared" si="64"/>
        <v>0</v>
      </c>
      <c r="BB160" s="787">
        <f t="shared" si="64"/>
        <v>0</v>
      </c>
      <c r="BC160" s="132"/>
      <c r="BF160" s="689" t="s">
        <v>966</v>
      </c>
    </row>
    <row r="161" spans="2:58" ht="14.25" customHeight="1">
      <c r="E161" s="460">
        <v>15</v>
      </c>
      <c r="F161" s="3" t="str" cm="1">
        <f t="array" aca="1" ref="F161" ca="1">OFFSET(E161,-1,1)</f>
        <v>2</v>
      </c>
      <c r="G161" s="41" t="s">
        <v>728</v>
      </c>
      <c r="T161" s="365" t="b" cm="1">
        <f t="array" ref="T161">T160</f>
        <v>1</v>
      </c>
      <c r="X161" s="1094"/>
      <c r="Z161" s="1095"/>
      <c r="AB161" s="26" t="s">
        <v>967</v>
      </c>
      <c r="AC161" s="146" t="s">
        <v>911</v>
      </c>
      <c r="AD161" s="26" t="s">
        <v>456</v>
      </c>
      <c r="AE161" s="147">
        <f t="shared" ref="AE161:BB161" si="65">IF(AE155=0,0,AE167/AE155*100)</f>
        <v>0</v>
      </c>
      <c r="AF161" s="147">
        <f t="shared" si="65"/>
        <v>0</v>
      </c>
      <c r="AG161" s="147">
        <f t="shared" si="65"/>
        <v>0</v>
      </c>
      <c r="AH161" s="147">
        <f t="shared" si="65"/>
        <v>0</v>
      </c>
      <c r="AI161" s="147">
        <f t="shared" si="65"/>
        <v>0</v>
      </c>
      <c r="AJ161" s="787">
        <f t="shared" si="65"/>
        <v>0</v>
      </c>
      <c r="AK161" s="787">
        <f t="shared" si="65"/>
        <v>0</v>
      </c>
      <c r="AL161" s="787">
        <f t="shared" si="65"/>
        <v>0</v>
      </c>
      <c r="AM161" s="787">
        <f t="shared" si="65"/>
        <v>0</v>
      </c>
      <c r="AN161" s="787">
        <f t="shared" si="65"/>
        <v>0</v>
      </c>
      <c r="AO161" s="787">
        <f t="shared" si="65"/>
        <v>0</v>
      </c>
      <c r="AP161" s="787">
        <f t="shared" si="65"/>
        <v>0</v>
      </c>
      <c r="AQ161" s="787">
        <f t="shared" si="65"/>
        <v>0</v>
      </c>
      <c r="AR161" s="787">
        <f t="shared" si="65"/>
        <v>0</v>
      </c>
      <c r="AS161" s="147">
        <f t="shared" si="65"/>
        <v>0</v>
      </c>
      <c r="AT161" s="787">
        <f t="shared" si="65"/>
        <v>0</v>
      </c>
      <c r="AU161" s="787">
        <f t="shared" si="65"/>
        <v>0</v>
      </c>
      <c r="AV161" s="787">
        <f t="shared" si="65"/>
        <v>0</v>
      </c>
      <c r="AW161" s="787">
        <f t="shared" si="65"/>
        <v>0</v>
      </c>
      <c r="AX161" s="787">
        <f t="shared" si="65"/>
        <v>0</v>
      </c>
      <c r="AY161" s="787">
        <f t="shared" si="65"/>
        <v>0</v>
      </c>
      <c r="AZ161" s="787">
        <f t="shared" si="65"/>
        <v>0</v>
      </c>
      <c r="BA161" s="787">
        <f t="shared" si="65"/>
        <v>0</v>
      </c>
      <c r="BB161" s="787">
        <f t="shared" si="65"/>
        <v>0</v>
      </c>
      <c r="BC161" s="132"/>
      <c r="BF161" s="689" t="s">
        <v>968</v>
      </c>
    </row>
    <row r="162" spans="2:58" s="82" customFormat="1" ht="14.65" customHeight="1">
      <c r="B162" s="340"/>
      <c r="E162" s="460">
        <v>15</v>
      </c>
      <c r="F162" s="3" t="str" cm="1">
        <f t="array" aca="1" ref="F162" ca="1">OFFSET(E162,-1,1)</f>
        <v>2</v>
      </c>
      <c r="G162" s="41" t="s">
        <v>514</v>
      </c>
      <c r="K162" s="59" t="str">
        <f ca="1">F162&amp;"komm"</f>
        <v>2komm</v>
      </c>
      <c r="L162" s="618" cm="1">
        <f t="array" ref="L162">BC162</f>
        <v>0</v>
      </c>
      <c r="T162" s="365" t="b" cm="1">
        <f t="array" ref="T162">T161</f>
        <v>1</v>
      </c>
      <c r="X162" s="1094"/>
      <c r="Z162" s="1095"/>
      <c r="AB162" s="143">
        <v>7</v>
      </c>
      <c r="AC162" s="144" t="s">
        <v>969</v>
      </c>
      <c r="AD162" s="27" t="s">
        <v>804</v>
      </c>
      <c r="AE162" s="157">
        <v>173.9360804762</v>
      </c>
      <c r="AF162" s="157">
        <f>SUM(AF163:AF167)</f>
        <v>406.04</v>
      </c>
      <c r="AG162" s="157">
        <f>SUM(AG163:AG167)</f>
        <v>398.82</v>
      </c>
      <c r="AH162" s="157">
        <v>257.45</v>
      </c>
      <c r="AI162" s="157">
        <f t="shared" ref="AI162:BB162" si="66">SUM(AI163:AI167)</f>
        <v>260.14</v>
      </c>
      <c r="AJ162" s="783">
        <f t="shared" si="66"/>
        <v>0</v>
      </c>
      <c r="AK162" s="783">
        <f t="shared" si="66"/>
        <v>0</v>
      </c>
      <c r="AL162" s="783">
        <f t="shared" si="66"/>
        <v>0</v>
      </c>
      <c r="AM162" s="783">
        <f t="shared" si="66"/>
        <v>0</v>
      </c>
      <c r="AN162" s="783">
        <f t="shared" si="66"/>
        <v>0</v>
      </c>
      <c r="AO162" s="783">
        <f t="shared" si="66"/>
        <v>0</v>
      </c>
      <c r="AP162" s="783">
        <f t="shared" si="66"/>
        <v>0</v>
      </c>
      <c r="AQ162" s="783">
        <f t="shared" si="66"/>
        <v>0</v>
      </c>
      <c r="AR162" s="783">
        <f t="shared" si="66"/>
        <v>0</v>
      </c>
      <c r="AS162" s="157">
        <f t="shared" si="66"/>
        <v>260.14</v>
      </c>
      <c r="AT162" s="783">
        <f t="shared" si="66"/>
        <v>0</v>
      </c>
      <c r="AU162" s="783">
        <f t="shared" si="66"/>
        <v>0</v>
      </c>
      <c r="AV162" s="783">
        <f t="shared" si="66"/>
        <v>0</v>
      </c>
      <c r="AW162" s="783">
        <f t="shared" si="66"/>
        <v>0</v>
      </c>
      <c r="AX162" s="783">
        <f t="shared" si="66"/>
        <v>0</v>
      </c>
      <c r="AY162" s="783">
        <f t="shared" si="66"/>
        <v>0</v>
      </c>
      <c r="AZ162" s="783">
        <f t="shared" si="66"/>
        <v>0</v>
      </c>
      <c r="BA162" s="783">
        <f t="shared" si="66"/>
        <v>0</v>
      </c>
      <c r="BB162" s="783">
        <f t="shared" si="66"/>
        <v>0</v>
      </c>
      <c r="BC162" s="132"/>
      <c r="BF162" s="689" t="s">
        <v>970</v>
      </c>
    </row>
    <row r="163" spans="2:58" ht="14.25" customHeight="1">
      <c r="E163" s="460">
        <v>15</v>
      </c>
      <c r="F163" s="3" t="str" cm="1">
        <f t="array" aca="1" ref="F163" ca="1">OFFSET(E163,-1,1)</f>
        <v>2</v>
      </c>
      <c r="G163" s="41" t="s">
        <v>679</v>
      </c>
      <c r="T163" s="365" t="b" cm="1">
        <f t="array" ref="T163">T162</f>
        <v>1</v>
      </c>
      <c r="X163" s="1094"/>
      <c r="Z163" s="1095"/>
      <c r="AB163" s="26" t="s">
        <v>582</v>
      </c>
      <c r="AC163" s="146" t="s">
        <v>898</v>
      </c>
      <c r="AD163" s="27" t="s">
        <v>804</v>
      </c>
      <c r="AE163" s="147"/>
      <c r="AF163" s="147"/>
      <c r="AG163" s="147"/>
      <c r="AH163" s="147"/>
      <c r="AI163" s="147"/>
      <c r="AJ163" s="787"/>
      <c r="AK163" s="787"/>
      <c r="AL163" s="787"/>
      <c r="AM163" s="787"/>
      <c r="AN163" s="787"/>
      <c r="AO163" s="787"/>
      <c r="AP163" s="787"/>
      <c r="AQ163" s="787"/>
      <c r="AR163" s="787"/>
      <c r="AS163" s="147"/>
      <c r="AT163" s="787"/>
      <c r="AU163" s="787"/>
      <c r="AV163" s="787"/>
      <c r="AW163" s="787"/>
      <c r="AX163" s="787"/>
      <c r="AY163" s="787"/>
      <c r="AZ163" s="787"/>
      <c r="BA163" s="787"/>
      <c r="BB163" s="787"/>
      <c r="BC163" s="132"/>
      <c r="BF163" s="689" t="s">
        <v>971</v>
      </c>
    </row>
    <row r="164" spans="2:58" ht="14.25" customHeight="1">
      <c r="E164" s="460">
        <v>15</v>
      </c>
      <c r="F164" s="3" t="str" cm="1">
        <f t="array" aca="1" ref="F164" ca="1">OFFSET(E164,-1,1)</f>
        <v>2</v>
      </c>
      <c r="G164" s="41" t="s">
        <v>682</v>
      </c>
      <c r="T164" s="365" t="b" cm="1">
        <f t="array" ref="T164">T163</f>
        <v>1</v>
      </c>
      <c r="X164" s="1094"/>
      <c r="Z164" s="1095"/>
      <c r="AB164" s="26" t="s">
        <v>972</v>
      </c>
      <c r="AC164" s="146" t="s">
        <v>901</v>
      </c>
      <c r="AD164" s="27" t="s">
        <v>804</v>
      </c>
      <c r="AE164" s="147"/>
      <c r="AF164" s="147"/>
      <c r="AG164" s="147"/>
      <c r="AH164" s="147"/>
      <c r="AI164" s="147"/>
      <c r="AJ164" s="787"/>
      <c r="AK164" s="787"/>
      <c r="AL164" s="787"/>
      <c r="AM164" s="787"/>
      <c r="AN164" s="787"/>
      <c r="AO164" s="787"/>
      <c r="AP164" s="787"/>
      <c r="AQ164" s="787"/>
      <c r="AR164" s="787"/>
      <c r="AS164" s="147"/>
      <c r="AT164" s="787"/>
      <c r="AU164" s="787"/>
      <c r="AV164" s="787"/>
      <c r="AW164" s="787"/>
      <c r="AX164" s="787"/>
      <c r="AY164" s="787"/>
      <c r="AZ164" s="787"/>
      <c r="BA164" s="787"/>
      <c r="BB164" s="787"/>
      <c r="BC164" s="132"/>
      <c r="BF164" s="689" t="s">
        <v>973</v>
      </c>
    </row>
    <row r="165" spans="2:58" ht="14.25" customHeight="1">
      <c r="E165" s="460">
        <v>15</v>
      </c>
      <c r="F165" s="3" t="str" cm="1">
        <f t="array" aca="1" ref="F165" ca="1">OFFSET(E165,-1,1)</f>
        <v>2</v>
      </c>
      <c r="G165" s="41" t="s">
        <v>974</v>
      </c>
      <c r="T165" s="365" t="b" cm="1">
        <f t="array" ref="T165">T164</f>
        <v>1</v>
      </c>
      <c r="X165" s="1094"/>
      <c r="Z165" s="1095"/>
      <c r="AB165" s="26" t="s">
        <v>975</v>
      </c>
      <c r="AC165" s="146" t="s">
        <v>904</v>
      </c>
      <c r="AD165" s="27" t="s">
        <v>804</v>
      </c>
      <c r="AE165" s="147"/>
      <c r="AF165" s="147"/>
      <c r="AG165" s="147"/>
      <c r="AH165" s="147"/>
      <c r="AI165" s="147"/>
      <c r="AJ165" s="787"/>
      <c r="AK165" s="787"/>
      <c r="AL165" s="787"/>
      <c r="AM165" s="787"/>
      <c r="AN165" s="787"/>
      <c r="AO165" s="787"/>
      <c r="AP165" s="787"/>
      <c r="AQ165" s="787"/>
      <c r="AR165" s="787"/>
      <c r="AS165" s="147"/>
      <c r="AT165" s="787"/>
      <c r="AU165" s="787"/>
      <c r="AV165" s="787"/>
      <c r="AW165" s="787"/>
      <c r="AX165" s="787"/>
      <c r="AY165" s="787"/>
      <c r="AZ165" s="787"/>
      <c r="BA165" s="787"/>
      <c r="BB165" s="787"/>
      <c r="BC165" s="132"/>
      <c r="BF165" s="689" t="s">
        <v>976</v>
      </c>
    </row>
    <row r="166" spans="2:58" ht="14.25" customHeight="1">
      <c r="E166" s="460">
        <v>15</v>
      </c>
      <c r="F166" s="3" t="str" cm="1">
        <f t="array" aca="1" ref="F166" ca="1">OFFSET(E166,-1,1)</f>
        <v>2</v>
      </c>
      <c r="G166" s="41" t="s">
        <v>977</v>
      </c>
      <c r="T166" s="365" t="b" cm="1">
        <f t="array" ref="T166">T165</f>
        <v>1</v>
      </c>
      <c r="X166" s="1094"/>
      <c r="Z166" s="1095"/>
      <c r="AB166" s="26" t="s">
        <v>978</v>
      </c>
      <c r="AC166" s="146" t="s">
        <v>907</v>
      </c>
      <c r="AD166" s="27" t="s">
        <v>804</v>
      </c>
      <c r="AE166" s="147"/>
      <c r="AF166" s="147"/>
      <c r="AG166" s="147"/>
      <c r="AH166" s="147"/>
      <c r="AI166" s="147"/>
      <c r="AJ166" s="787"/>
      <c r="AK166" s="787"/>
      <c r="AL166" s="787"/>
      <c r="AM166" s="787"/>
      <c r="AN166" s="787"/>
      <c r="AO166" s="787"/>
      <c r="AP166" s="787"/>
      <c r="AQ166" s="787"/>
      <c r="AR166" s="787"/>
      <c r="AS166" s="147"/>
      <c r="AT166" s="787"/>
      <c r="AU166" s="787"/>
      <c r="AV166" s="787"/>
      <c r="AW166" s="787"/>
      <c r="AX166" s="787"/>
      <c r="AY166" s="787"/>
      <c r="AZ166" s="787"/>
      <c r="BA166" s="787"/>
      <c r="BB166" s="787"/>
      <c r="BC166" s="132"/>
      <c r="BF166" s="689" t="s">
        <v>979</v>
      </c>
    </row>
    <row r="167" spans="2:58" ht="54.75" customHeight="1">
      <c r="E167" s="460">
        <v>15</v>
      </c>
      <c r="F167" s="3" t="str" cm="1">
        <f t="array" aca="1" ref="F167" ca="1">OFFSET(E167,-1,1)</f>
        <v>2</v>
      </c>
      <c r="G167" s="41" t="s">
        <v>980</v>
      </c>
      <c r="T167" s="365" t="b" cm="1">
        <f t="array" ref="T167">T166</f>
        <v>1</v>
      </c>
      <c r="X167" s="1094"/>
      <c r="Z167" s="1095"/>
      <c r="AB167" s="26" t="s">
        <v>981</v>
      </c>
      <c r="AC167" s="146" t="s">
        <v>911</v>
      </c>
      <c r="AD167" s="27" t="s">
        <v>804</v>
      </c>
      <c r="AE167" s="147">
        <v>173.9360804762</v>
      </c>
      <c r="AF167" s="147">
        <v>406.04</v>
      </c>
      <c r="AG167" s="147">
        <v>398.82</v>
      </c>
      <c r="AH167" s="147">
        <v>257.45</v>
      </c>
      <c r="AI167" s="147">
        <v>260.14</v>
      </c>
      <c r="AJ167" s="787"/>
      <c r="AK167" s="787"/>
      <c r="AL167" s="787"/>
      <c r="AM167" s="787"/>
      <c r="AN167" s="787"/>
      <c r="AO167" s="787"/>
      <c r="AP167" s="787"/>
      <c r="AQ167" s="787"/>
      <c r="AR167" s="787"/>
      <c r="AS167" s="147">
        <v>260.14</v>
      </c>
      <c r="AT167" s="787"/>
      <c r="AU167" s="787"/>
      <c r="AV167" s="787"/>
      <c r="AW167" s="787"/>
      <c r="AX167" s="787"/>
      <c r="AY167" s="787"/>
      <c r="AZ167" s="787"/>
      <c r="BA167" s="787"/>
      <c r="BB167" s="787"/>
      <c r="BC167" s="132" t="s">
        <v>992</v>
      </c>
      <c r="BF167" s="689" t="s">
        <v>982</v>
      </c>
    </row>
    <row r="168" spans="2:58" s="82" customFormat="1" ht="14.25" customHeight="1">
      <c r="B168" s="340"/>
      <c r="E168" s="460">
        <v>15</v>
      </c>
      <c r="F168" s="3" t="str" cm="1">
        <f t="array" aca="1" ref="F168" ca="1">OFFSET(E168,-1,1)</f>
        <v>2</v>
      </c>
      <c r="G168" s="41" t="s">
        <v>562</v>
      </c>
      <c r="T168" s="365" t="b" cm="1">
        <f t="array" ref="T168">T167</f>
        <v>1</v>
      </c>
      <c r="X168" s="1094"/>
      <c r="Z168" s="1095"/>
      <c r="AB168" s="143">
        <v>8</v>
      </c>
      <c r="AC168" s="144" t="s">
        <v>983</v>
      </c>
      <c r="AD168" s="27" t="s">
        <v>804</v>
      </c>
      <c r="AE168" s="157">
        <f t="shared" ref="AE168:BB168" si="67">SUM(AE169:AE173)</f>
        <v>0</v>
      </c>
      <c r="AF168" s="157">
        <f t="shared" si="67"/>
        <v>0</v>
      </c>
      <c r="AG168" s="157">
        <f t="shared" si="67"/>
        <v>0</v>
      </c>
      <c r="AH168" s="157">
        <f t="shared" si="67"/>
        <v>0</v>
      </c>
      <c r="AI168" s="157">
        <f t="shared" si="67"/>
        <v>0</v>
      </c>
      <c r="AJ168" s="783">
        <f t="shared" si="67"/>
        <v>0</v>
      </c>
      <c r="AK168" s="783">
        <f t="shared" si="67"/>
        <v>0</v>
      </c>
      <c r="AL168" s="783">
        <f t="shared" si="67"/>
        <v>0</v>
      </c>
      <c r="AM168" s="783">
        <f t="shared" si="67"/>
        <v>0</v>
      </c>
      <c r="AN168" s="783">
        <f t="shared" si="67"/>
        <v>0</v>
      </c>
      <c r="AO168" s="783">
        <f t="shared" si="67"/>
        <v>0</v>
      </c>
      <c r="AP168" s="783">
        <f t="shared" si="67"/>
        <v>0</v>
      </c>
      <c r="AQ168" s="783">
        <f t="shared" si="67"/>
        <v>0</v>
      </c>
      <c r="AR168" s="783">
        <f t="shared" si="67"/>
        <v>0</v>
      </c>
      <c r="AS168" s="157">
        <f t="shared" si="67"/>
        <v>0</v>
      </c>
      <c r="AT168" s="783">
        <f t="shared" si="67"/>
        <v>0</v>
      </c>
      <c r="AU168" s="783">
        <f t="shared" si="67"/>
        <v>0</v>
      </c>
      <c r="AV168" s="783">
        <f t="shared" si="67"/>
        <v>0</v>
      </c>
      <c r="AW168" s="783">
        <f t="shared" si="67"/>
        <v>0</v>
      </c>
      <c r="AX168" s="783">
        <f t="shared" si="67"/>
        <v>0</v>
      </c>
      <c r="AY168" s="783">
        <f t="shared" si="67"/>
        <v>0</v>
      </c>
      <c r="AZ168" s="783">
        <f t="shared" si="67"/>
        <v>0</v>
      </c>
      <c r="BA168" s="783">
        <f t="shared" si="67"/>
        <v>0</v>
      </c>
      <c r="BB168" s="783">
        <f t="shared" si="67"/>
        <v>0</v>
      </c>
      <c r="BC168" s="132"/>
      <c r="BF168" s="689" t="s">
        <v>984</v>
      </c>
    </row>
    <row r="169" spans="2:58" ht="14.25" customHeight="1">
      <c r="E169" s="460">
        <v>15</v>
      </c>
      <c r="F169" s="3" t="str" cm="1">
        <f t="array" aca="1" ref="F169" ca="1">OFFSET(E169,-1,1)</f>
        <v>2</v>
      </c>
      <c r="G169" s="41" t="s">
        <v>565</v>
      </c>
      <c r="T169" s="365" t="b" cm="1">
        <f t="array" ref="T169">T168</f>
        <v>1</v>
      </c>
      <c r="X169" s="1094"/>
      <c r="Z169" s="1095"/>
      <c r="AB169" s="26" t="s">
        <v>590</v>
      </c>
      <c r="AC169" s="146" t="s">
        <v>898</v>
      </c>
      <c r="AD169" s="27" t="s">
        <v>804</v>
      </c>
      <c r="AE169" s="147"/>
      <c r="AF169" s="147"/>
      <c r="AG169" s="147"/>
      <c r="AH169" s="147"/>
      <c r="AI169" s="147"/>
      <c r="AJ169" s="787"/>
      <c r="AK169" s="787"/>
      <c r="AL169" s="787"/>
      <c r="AM169" s="787"/>
      <c r="AN169" s="787"/>
      <c r="AO169" s="787"/>
      <c r="AP169" s="787"/>
      <c r="AQ169" s="787"/>
      <c r="AR169" s="787"/>
      <c r="AS169" s="147"/>
      <c r="AT169" s="787"/>
      <c r="AU169" s="787"/>
      <c r="AV169" s="787"/>
      <c r="AW169" s="787"/>
      <c r="AX169" s="787"/>
      <c r="AY169" s="787"/>
      <c r="AZ169" s="787"/>
      <c r="BA169" s="787"/>
      <c r="BB169" s="787"/>
      <c r="BC169" s="132"/>
      <c r="BF169" s="689" t="s">
        <v>985</v>
      </c>
    </row>
    <row r="170" spans="2:58" ht="14.25" customHeight="1">
      <c r="E170" s="460">
        <v>15</v>
      </c>
      <c r="F170" s="3" t="str" cm="1">
        <f t="array" aca="1" ref="F170" ca="1">OFFSET(E170,-1,1)</f>
        <v>2</v>
      </c>
      <c r="G170" s="41" t="s">
        <v>569</v>
      </c>
      <c r="T170" s="365" t="b" cm="1">
        <f t="array" ref="T170">T169</f>
        <v>1</v>
      </c>
      <c r="X170" s="1094"/>
      <c r="Z170" s="1095"/>
      <c r="AB170" s="26" t="s">
        <v>607</v>
      </c>
      <c r="AC170" s="146" t="s">
        <v>901</v>
      </c>
      <c r="AD170" s="27" t="s">
        <v>804</v>
      </c>
      <c r="AE170" s="147"/>
      <c r="AF170" s="147"/>
      <c r="AG170" s="147"/>
      <c r="AH170" s="147"/>
      <c r="AI170" s="147"/>
      <c r="AJ170" s="787"/>
      <c r="AK170" s="787"/>
      <c r="AL170" s="787"/>
      <c r="AM170" s="787"/>
      <c r="AN170" s="787"/>
      <c r="AO170" s="787"/>
      <c r="AP170" s="787"/>
      <c r="AQ170" s="787"/>
      <c r="AR170" s="787"/>
      <c r="AS170" s="147"/>
      <c r="AT170" s="787"/>
      <c r="AU170" s="787"/>
      <c r="AV170" s="787"/>
      <c r="AW170" s="787"/>
      <c r="AX170" s="787"/>
      <c r="AY170" s="787"/>
      <c r="AZ170" s="787"/>
      <c r="BA170" s="787"/>
      <c r="BB170" s="787"/>
      <c r="BC170" s="132"/>
      <c r="BF170" s="689" t="s">
        <v>986</v>
      </c>
    </row>
    <row r="171" spans="2:58" ht="14.25" customHeight="1">
      <c r="E171" s="460">
        <v>15</v>
      </c>
      <c r="F171" s="3" t="str" cm="1">
        <f t="array" aca="1" ref="F171" ca="1">OFFSET(E171,-1,1)</f>
        <v>2</v>
      </c>
      <c r="G171" s="41" t="s">
        <v>573</v>
      </c>
      <c r="T171" s="365" t="b" cm="1">
        <f t="array" ref="T171">T170</f>
        <v>1</v>
      </c>
      <c r="X171" s="1094"/>
      <c r="Z171" s="1095"/>
      <c r="AB171" s="26" t="s">
        <v>619</v>
      </c>
      <c r="AC171" s="146" t="s">
        <v>904</v>
      </c>
      <c r="AD171" s="27" t="s">
        <v>804</v>
      </c>
      <c r="AE171" s="147"/>
      <c r="AF171" s="147"/>
      <c r="AG171" s="147"/>
      <c r="AH171" s="147"/>
      <c r="AI171" s="147"/>
      <c r="AJ171" s="787"/>
      <c r="AK171" s="787"/>
      <c r="AL171" s="787"/>
      <c r="AM171" s="787"/>
      <c r="AN171" s="787"/>
      <c r="AO171" s="787"/>
      <c r="AP171" s="787"/>
      <c r="AQ171" s="787"/>
      <c r="AR171" s="787"/>
      <c r="AS171" s="147"/>
      <c r="AT171" s="787"/>
      <c r="AU171" s="787"/>
      <c r="AV171" s="787"/>
      <c r="AW171" s="787"/>
      <c r="AX171" s="787"/>
      <c r="AY171" s="787"/>
      <c r="AZ171" s="787"/>
      <c r="BA171" s="787"/>
      <c r="BB171" s="787"/>
      <c r="BC171" s="132"/>
      <c r="BF171" s="689" t="s">
        <v>987</v>
      </c>
    </row>
    <row r="172" spans="2:58" ht="14.25" customHeight="1">
      <c r="E172" s="460">
        <v>15</v>
      </c>
      <c r="F172" s="3" t="str" cm="1">
        <f t="array" aca="1" ref="F172" ca="1">OFFSET(E172,-1,1)</f>
        <v>2</v>
      </c>
      <c r="G172" s="41" t="s">
        <v>988</v>
      </c>
      <c r="T172" s="365" t="b" cm="1">
        <f t="array" ref="T172">T171</f>
        <v>1</v>
      </c>
      <c r="X172" s="1094"/>
      <c r="Z172" s="1095"/>
      <c r="AB172" s="26" t="s">
        <v>654</v>
      </c>
      <c r="AC172" s="146" t="s">
        <v>907</v>
      </c>
      <c r="AD172" s="27" t="s">
        <v>804</v>
      </c>
      <c r="AE172" s="147"/>
      <c r="AF172" s="147"/>
      <c r="AG172" s="147"/>
      <c r="AH172" s="147"/>
      <c r="AI172" s="147"/>
      <c r="AJ172" s="787"/>
      <c r="AK172" s="787"/>
      <c r="AL172" s="787"/>
      <c r="AM172" s="787"/>
      <c r="AN172" s="787"/>
      <c r="AO172" s="787"/>
      <c r="AP172" s="787"/>
      <c r="AQ172" s="787"/>
      <c r="AR172" s="787"/>
      <c r="AS172" s="147"/>
      <c r="AT172" s="787"/>
      <c r="AU172" s="787"/>
      <c r="AV172" s="787"/>
      <c r="AW172" s="787"/>
      <c r="AX172" s="787"/>
      <c r="AY172" s="787"/>
      <c r="AZ172" s="787"/>
      <c r="BA172" s="787"/>
      <c r="BB172" s="787"/>
      <c r="BC172" s="132"/>
      <c r="BF172" s="689" t="s">
        <v>989</v>
      </c>
    </row>
    <row r="173" spans="2:58" ht="14.25" customHeight="1">
      <c r="E173" s="460">
        <v>15</v>
      </c>
      <c r="F173" s="3" t="str" cm="1">
        <f t="array" aca="1" ref="F173" ca="1">OFFSET(E173,-1,1)</f>
        <v>2</v>
      </c>
      <c r="G173" s="41" t="s">
        <v>990</v>
      </c>
      <c r="T173" s="365" t="b" cm="1">
        <f t="array" ref="T173">T172</f>
        <v>1</v>
      </c>
      <c r="X173" s="1094"/>
      <c r="Z173" s="1095"/>
      <c r="AB173" s="26" t="s">
        <v>657</v>
      </c>
      <c r="AC173" s="146" t="s">
        <v>911</v>
      </c>
      <c r="AD173" s="27" t="s">
        <v>804</v>
      </c>
      <c r="AE173" s="147"/>
      <c r="AF173" s="147"/>
      <c r="AG173" s="147"/>
      <c r="AH173" s="147"/>
      <c r="AI173" s="147"/>
      <c r="AJ173" s="787"/>
      <c r="AK173" s="787"/>
      <c r="AL173" s="787"/>
      <c r="AM173" s="787"/>
      <c r="AN173" s="787"/>
      <c r="AO173" s="787"/>
      <c r="AP173" s="787"/>
      <c r="AQ173" s="787"/>
      <c r="AR173" s="787"/>
      <c r="AS173" s="147"/>
      <c r="AT173" s="787"/>
      <c r="AU173" s="787"/>
      <c r="AV173" s="787"/>
      <c r="AW173" s="787"/>
      <c r="AX173" s="787"/>
      <c r="AY173" s="787"/>
      <c r="AZ173" s="787"/>
      <c r="BA173" s="787"/>
      <c r="BB173" s="787"/>
      <c r="BC173" s="132"/>
      <c r="BF173" s="689" t="s">
        <v>991</v>
      </c>
    </row>
    <row r="174" spans="2:58" ht="10.7" customHeight="1">
      <c r="E174" s="460">
        <v>11</v>
      </c>
      <c r="F174" s="266"/>
      <c r="U174" s="41" t="s">
        <v>177</v>
      </c>
      <c r="V174" s="75" t="s">
        <v>993</v>
      </c>
      <c r="AB174" s="83"/>
      <c r="AC174" s="83"/>
      <c r="AD174" s="83"/>
      <c r="AE174" s="83"/>
      <c r="AF174" s="83"/>
      <c r="AG174" s="83"/>
      <c r="AH174" s="83"/>
      <c r="AI174" s="640"/>
      <c r="AJ174" s="640"/>
      <c r="AK174" s="640"/>
      <c r="AL174" s="640"/>
      <c r="AM174" s="640"/>
      <c r="AN174" s="640"/>
      <c r="AO174" s="640"/>
      <c r="AP174" s="640"/>
      <c r="AQ174" s="640"/>
      <c r="AR174" s="640"/>
      <c r="AS174" s="640"/>
      <c r="AT174" s="640"/>
      <c r="AU174" s="640"/>
      <c r="AV174" s="640"/>
      <c r="AW174" s="640"/>
      <c r="AX174" s="640"/>
      <c r="AY174" s="640"/>
      <c r="AZ174" s="640"/>
      <c r="BA174" s="640"/>
      <c r="BB174" s="640"/>
      <c r="BC174" s="640"/>
    </row>
    <row r="175" spans="2:58" ht="14.65" customHeight="1">
      <c r="E175" s="460">
        <v>15</v>
      </c>
      <c r="AA175" s="36"/>
      <c r="AB175" s="1088" t="s">
        <v>398</v>
      </c>
      <c r="AC175" s="1088"/>
      <c r="AD175" s="1088"/>
      <c r="AE175" s="1088"/>
      <c r="AF175" s="1088"/>
      <c r="AG175" s="1088"/>
      <c r="AH175" s="1088"/>
      <c r="AI175" s="1096"/>
      <c r="AJ175" s="1096"/>
      <c r="AK175" s="1096"/>
      <c r="AL175" s="1096"/>
      <c r="AM175" s="1096"/>
      <c r="AN175" s="1096"/>
      <c r="AO175" s="1096"/>
      <c r="AP175" s="1096"/>
      <c r="AQ175" s="1096"/>
      <c r="AR175" s="1096"/>
      <c r="AS175" s="1096"/>
      <c r="AT175" s="1096"/>
      <c r="AU175" s="1096"/>
      <c r="AV175" s="1096"/>
      <c r="AW175" s="1096"/>
      <c r="AX175" s="1096"/>
      <c r="AY175" s="1096"/>
      <c r="AZ175" s="1096"/>
      <c r="BA175" s="1096"/>
      <c r="BB175" s="1096"/>
      <c r="BC175" s="1096"/>
      <c r="BD175" s="36"/>
    </row>
    <row r="176" spans="2:58" ht="65.25" customHeight="1">
      <c r="E176" s="460">
        <v>15</v>
      </c>
      <c r="T176" s="36"/>
      <c r="AA176" s="106"/>
      <c r="AB176" s="1097" t="s">
        <v>994</v>
      </c>
      <c r="AC176" s="1097"/>
      <c r="AD176" s="1097"/>
      <c r="AE176" s="1097"/>
      <c r="AF176" s="1097"/>
      <c r="AG176" s="1097"/>
      <c r="AH176" s="1097"/>
      <c r="AI176" s="1098"/>
      <c r="AJ176" s="1132"/>
      <c r="AK176" s="1132"/>
      <c r="AL176" s="1132"/>
      <c r="AM176" s="1132"/>
      <c r="AN176" s="1132"/>
      <c r="AO176" s="1132"/>
      <c r="AP176" s="1132"/>
      <c r="AQ176" s="1132"/>
      <c r="AR176" s="1132"/>
      <c r="AS176" s="1098"/>
      <c r="AT176" s="1132"/>
      <c r="AU176" s="1132"/>
      <c r="AV176" s="1132"/>
      <c r="AW176" s="1132"/>
      <c r="AX176" s="1132"/>
      <c r="AY176" s="1132"/>
      <c r="AZ176" s="1132"/>
      <c r="BA176" s="1132"/>
      <c r="BB176" s="1132"/>
      <c r="BC176" s="1098"/>
      <c r="BD176" s="36"/>
    </row>
    <row r="177" spans="5:56" ht="14.65" hidden="1" customHeight="1">
      <c r="E177" s="460">
        <v>15</v>
      </c>
      <c r="T177" s="365" t="b">
        <f>ROW(W177)&gt;ROW(W$177)</f>
        <v>0</v>
      </c>
      <c r="W177" s="528" t="s">
        <v>173</v>
      </c>
      <c r="AA177" s="500" t="s">
        <v>174</v>
      </c>
      <c r="AB177" s="1131" t="s">
        <v>225</v>
      </c>
      <c r="AC177" s="1131"/>
      <c r="AD177" s="1131"/>
      <c r="AE177" s="1131"/>
      <c r="AF177" s="1131"/>
      <c r="AG177" s="1131"/>
      <c r="AH177" s="1131"/>
      <c r="AI177" s="1098"/>
      <c r="AJ177" s="1132"/>
      <c r="AK177" s="1132"/>
      <c r="AL177" s="1132"/>
      <c r="AM177" s="1132"/>
      <c r="AN177" s="1132"/>
      <c r="AO177" s="1132"/>
      <c r="AP177" s="1132"/>
      <c r="AQ177" s="1132"/>
      <c r="AR177" s="1132"/>
      <c r="AS177" s="1098"/>
      <c r="AT177" s="1132"/>
      <c r="AU177" s="1132"/>
      <c r="AV177" s="1132"/>
      <c r="AW177" s="1132"/>
      <c r="AX177" s="1132"/>
      <c r="AY177" s="1132"/>
      <c r="AZ177" s="1132"/>
      <c r="BA177" s="1132"/>
      <c r="BB177" s="1132"/>
      <c r="BC177" s="1132"/>
      <c r="BD177" s="36"/>
    </row>
    <row r="178" spans="5:56" ht="44.25" customHeight="1">
      <c r="E178" s="460">
        <v>15</v>
      </c>
      <c r="T178" s="365" t="b">
        <f>ROW(W178)&gt;ROW(W$177)</f>
        <v>1</v>
      </c>
      <c r="W178" s="528"/>
      <c r="Y178" s="41" t="s">
        <v>225</v>
      </c>
      <c r="AA178" s="500" t="s">
        <v>174</v>
      </c>
      <c r="AB178" s="1097" t="s">
        <v>995</v>
      </c>
      <c r="AC178" s="1097"/>
      <c r="AD178" s="1097"/>
      <c r="AE178" s="1097"/>
      <c r="AF178" s="1097"/>
      <c r="AG178" s="1097"/>
      <c r="AH178" s="1097"/>
      <c r="AI178" s="1098"/>
      <c r="AJ178" s="1098"/>
      <c r="AK178" s="1098"/>
      <c r="AL178" s="1098"/>
      <c r="AM178" s="1098"/>
      <c r="AN178" s="1098"/>
      <c r="AO178" s="1098"/>
      <c r="AP178" s="1098"/>
      <c r="AQ178" s="1098"/>
      <c r="AR178" s="1098"/>
      <c r="AS178" s="1098"/>
      <c r="AT178" s="1098"/>
      <c r="AU178" s="1098"/>
      <c r="AV178" s="1098"/>
      <c r="AW178" s="1098"/>
      <c r="AX178" s="1098"/>
      <c r="AY178" s="1098"/>
      <c r="AZ178" s="1098"/>
      <c r="BA178" s="1098"/>
      <c r="BB178" s="1098"/>
      <c r="BC178" s="1098"/>
      <c r="BD178" s="36"/>
    </row>
    <row r="179" spans="5:56" ht="42" customHeight="1">
      <c r="E179" s="460">
        <v>15</v>
      </c>
      <c r="T179" s="365" t="b">
        <f>ROW(W179)&gt;ROW(W$177)</f>
        <v>1</v>
      </c>
      <c r="W179" s="528"/>
      <c r="Y179" s="41" t="s">
        <v>225</v>
      </c>
      <c r="AA179" s="500" t="s">
        <v>174</v>
      </c>
      <c r="AB179" s="1097" t="s">
        <v>996</v>
      </c>
      <c r="AC179" s="1097"/>
      <c r="AD179" s="1097"/>
      <c r="AE179" s="1097"/>
      <c r="AF179" s="1097"/>
      <c r="AG179" s="1097"/>
      <c r="AH179" s="1097"/>
      <c r="AI179" s="1098"/>
      <c r="AJ179" s="1098"/>
      <c r="AK179" s="1098"/>
      <c r="AL179" s="1098"/>
      <c r="AM179" s="1098"/>
      <c r="AN179" s="1098"/>
      <c r="AO179" s="1098"/>
      <c r="AP179" s="1098"/>
      <c r="AQ179" s="1098"/>
      <c r="AR179" s="1098"/>
      <c r="AS179" s="1098"/>
      <c r="AT179" s="1098"/>
      <c r="AU179" s="1098"/>
      <c r="AV179" s="1098"/>
      <c r="AW179" s="1098"/>
      <c r="AX179" s="1098"/>
      <c r="AY179" s="1098"/>
      <c r="AZ179" s="1098"/>
      <c r="BA179" s="1098"/>
      <c r="BB179" s="1098"/>
      <c r="BC179" s="1098"/>
      <c r="BD179" s="36"/>
    </row>
    <row r="180" spans="5:56" ht="14.65" customHeight="1">
      <c r="E180" s="460">
        <v>15</v>
      </c>
      <c r="W180" s="528" t="s">
        <v>399</v>
      </c>
      <c r="AA180" s="36"/>
      <c r="AB180" s="485"/>
      <c r="AC180" s="394" t="s">
        <v>400</v>
      </c>
      <c r="AD180" s="231"/>
      <c r="AE180" s="231"/>
      <c r="AF180" s="232"/>
      <c r="AG180" s="232"/>
      <c r="AH180" s="232"/>
      <c r="AI180" s="232"/>
      <c r="AJ180" s="232"/>
      <c r="AK180" s="232"/>
      <c r="AL180" s="232"/>
      <c r="AM180" s="232"/>
      <c r="AN180" s="232"/>
      <c r="AO180" s="232"/>
      <c r="AP180" s="232"/>
      <c r="AQ180" s="232"/>
      <c r="AR180" s="232"/>
      <c r="AS180" s="232"/>
      <c r="AT180" s="232"/>
      <c r="AU180" s="232"/>
      <c r="AV180" s="232"/>
      <c r="AW180" s="232"/>
      <c r="AX180" s="232"/>
      <c r="AY180" s="232"/>
      <c r="AZ180" s="232"/>
      <c r="BA180" s="232"/>
      <c r="BB180" s="232"/>
      <c r="BC180" s="233"/>
      <c r="BD180" s="36"/>
    </row>
    <row r="181" spans="5:56" ht="10.9" customHeight="1">
      <c r="E181" s="460">
        <v>11.25</v>
      </c>
    </row>
  </sheetData>
  <sheetProtection formatColumns="0" formatRows="0" insertRows="0" deleteColumns="0" deleteRows="0" sort="0" autoFilter="0"/>
  <mergeCells count="16">
    <mergeCell ref="X27:X75"/>
    <mergeCell ref="Z27:Z75"/>
    <mergeCell ref="AB176:BC176"/>
    <mergeCell ref="AB175:BC175"/>
    <mergeCell ref="X76:X124"/>
    <mergeCell ref="Z76:Z124"/>
    <mergeCell ref="X125:X173"/>
    <mergeCell ref="Z125:Z173"/>
    <mergeCell ref="AB178:BC178"/>
    <mergeCell ref="AB179:BC179"/>
    <mergeCell ref="AB23:BB23"/>
    <mergeCell ref="AB24:AB25"/>
    <mergeCell ref="AC24:AC25"/>
    <mergeCell ref="AD24:AD25"/>
    <mergeCell ref="BC24:BC25"/>
    <mergeCell ref="AB177:BC177"/>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4 BA71:BA75 BA78:BA82 BA84:BA88 BA90:BA94 BA96:BA100 BA102:BA106 BA108:BA112 BA114:BA118 BA120:BA124 BA127:BA131 BA133:BA137 BA139:BA143 BA145:BA149 BA151:BA155 BA157:BA161 BA163:BA167 BA169:BA174 AZ71:AZ75 AZ78:AZ82 AZ84:AZ88 AZ90:AZ94 AZ96:AZ100 AZ102:AZ106 AZ108:AZ112 AZ114:AZ118 AZ120:AZ124 AZ127:AZ131 AZ133:AZ137 AZ139:AZ143 AZ145:AZ149 AZ151:AZ155 AZ157:AZ161 AZ163:AZ167 AZ169:AZ174 AY71:AY75 AY78:AY82 AY84:AY88 AY90:AY94 AY96:AY100 AY102:AY106 AY108:AY112 AY114:AY118 AY120:AY124 AY127:AY131 AY133:AY137 AY139:AY143 AY145:AY149 AY151:AY155 AY157:AY161 AY163:AY167 AY169:AY174 AX71:AX75 AX78:AX82 AX84:AX88 AX90:AX94 AX96:AX100 AX102:AX106 AX108:AX112 AX114:AX118 AX120:AX124 AX127:AX131 AX133:AX137 AX139:AX143 AX145:AX149 AX151:AX155 AX157:AX161 AX163:AX167 AX169:AX174 AW71:AW75 AW78:AW82 AW84:AW88 AW90:AW94 AW96:AW100 AW102:AW106 AW108:AW112 AW114:AW118 AW120:AW124 AW127:AW131 AW133:AW137 AW139:AW143 AW145:AW149 AW151:AW155 AW157:AW161 AW163:AW167 AW169:AW174 AV71:AV75 AV78:AV82 AV84:AV88 AV90:AV94 AV96:AV100 AV102:AV106 AV108:AV112 AV114:AV118 AV120:AV124 AV127:AV131 AV133:AV137 AV139:AV143 AV145:AV149 AV151:AV155 AV157:AV161 AV163:AV167 AV169:AV174 AU71:AU75 AU78:AU82 AU84:AU88 AU90:AU94 AU96:AU100 AU102:AU106 AU108:AU112 AU114:AU118 AU120:AU124 AU127:AU131 AU133:AU137 AU139:AU143 AU145:AU149 AU151:AU155 AU157:AU161 AU163:AU167 AU169:AU174 AT71:AT75 AT78:AT82 AT84:AT88 AT90:AT94 AT96:AT100 AT102:AT106 AT108:AT112 AT114:AT118 AT120:AT124 AT127:AT131 AT133:AT137 AT139:AT143 AT145:AT149 AT151:AT155 AT157:AT161 AT163:AT167 AT169:AT174 AS71:AS75 AS78:AS82 AS84:AS88 AS90:AS94 AS96:AS100 AS102:AS106 AS108:AS112 AS114:AS118 AS120:AS124 AS127:AS131 AS133:AS137 AS139:AS143 AS145:AS149 AS151:AS155 AS157:AS161 AS163:AS167 AS169:AS174 AR71:AR75 AR78:AR82 AR84:AR88 AR90:AR94 AR96:AR100 AR102:AR106 AR108:AR112 AR114:AR118 AR120:AR124 AR127:AR131 AR133:AR137 AR139:AR143 AR145:AR149 AR151:AR155 AR157:AR161 AR163:AR167 AR169:AR174 AQ71:AQ75 AQ78:AQ82 AQ84:AQ88 AQ90:AQ94 AQ96:AQ100 AQ102:AQ106 AQ108:AQ112 AQ114:AQ118 AQ120:AQ124 AQ127:AQ131 AQ133:AQ137 AQ139:AQ143 AQ145:AQ149 AQ151:AQ155 AQ157:AQ161 AQ163:AQ167 AQ169:AQ174 AP71:AP75 AP78:AP82 AP84:AP88 AP90:AP94 AP96:AP100 AP102:AP106 AP108:AP112 AP114:AP118 AP120:AP124 AP127:AP131 AP133:AP137 AP139:AP143 AP145:AP149 AP151:AP155 AP157:AP161 AP163:AP167 AP169:AP174 AO71:AO75 AO78:AO82 AO84:AO88 AO90:AO94 AO96:AO100 AO102:AO106 AO108:AO112 AO114:AO118 AO120:AO124 AO127:AO131 AO133:AO137 AO139:AO143 AO145:AO149 AO151:AO155 AO157:AO161 AO163:AO167 AO169:AO174 AN71:AN75 AN78:AN82 AN84:AN88 AN90:AN94 AN96:AN100 AN102:AN106 AN108:AN112 AN114:AN118 AN120:AN124 AN127:AN131 AN133:AN137 AN139:AN143 AN145:AN149 AN151:AN155 AN157:AN161 AN163:AN167 AN169:AN174 AM71:AM75 AM78:AM82 AM84:AM88 AM90:AM94 AM96:AM100 AM102:AM106 AM108:AM112 AM114:AM118 AM120:AM124 AM127:AM131 AM133:AM137 AM139:AM143 AM145:AM149 AM151:AM155 AM157:AM161 AM163:AM167 AM169:AM174 AL71:AL75 AL78:AL82 AL84:AL88 AL90:AL94 AL96:AL100 AL102:AL106 AL108:AL112 AL114:AL118 AL120:AL124 AL127:AL131 AL133:AL137 AL139:AL143 AL145:AL149 AL151:AL155 AL157:AL161 AL163:AL167 AL169:AL174 AK71:AK75 AK78:AK82 AK84:AK88 AK90:AK94 AK96:AK100 AK102:AK106 AK108:AK112 AK114:AK118 AK120:AK124 AK127:AK131 AK133:AK137 AK139:AK143 AK145:AK149 AK151:AK155 AK157:AK161 AK163:AK167 AK169:AK174 AJ71:AJ75 AJ78:AJ82 AJ84:AJ88 AJ90:AJ94 AJ96:AJ100 AJ102:AJ106 AJ108:AJ112 AJ114:AJ118 AJ120:AJ124 AJ127:AJ131 AJ133:AJ137 AJ139:AJ143 AJ145:AJ149 AJ151:AJ155 AJ157:AJ161 AJ163:AJ167 AJ169:AJ174 AI71:AI75 AI78:AI82 AI84:AI88 AI90:AI94 AI96:AI100 AI102:AI106 AI108:AI112 AI114:AI118 AI120:AI124 AI127:AI131 AI133:AI137 AI139:AI143 AI145:AI149 AI151:AI155 AI157:AI161 AI163:AI167 AI169:AI174 AH71:AH75 AH78:AH82 AH84:AH88 AH90:AH94 AH96:AH100 AH102:AH106 AH108:AH112 AH114:AH118 AH120:AH124 AH127:AH131 AH133:AH137 AH139:AH143 AH145:AH149 AH151:AH155 AH157:AH161 AH163:AH167 AH169:AH174 AG71:AG75 AG78:AG82 AG84:AG88 AG90:AG94 AG96:AG100 AG102:AG106 AG108:AG112 AG114:AG118 AG120:AG124 AG127:AG131 AG133:AG137 AG139:AG143 AG145:AG149 AG151:AG155 AG157:AG161 AG163:AG167 AG169:AG174 AF71:AF75 AF78:AF82 AF84:AF88 AF90:AF94 AF96:AF100 AF102:AF106 AF108:AF112 AF114:AF118 AF120:AF124 AF127:AF131 AF133:AF137 AF139:AF143 AF145:AF149 AF151:AF155 AF157:AF161 AF163:AF167 AF169:AF174 AE71:AE75 AE78:AE82 AE84:AE88 AE90:AE94 AE96:AE100 AE102:AE106 AE108:AE112 AE114:AE118 AE120:AE124 AE127:AE131 AE133:AE137 AE139:AE143 AE145:AE149 AE151:AE155 AE157:AE161 AE163:AE167 AE169:AE174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BE238-CE6D-9D78-5178-2C9F6631D6FB}">
  <sheetPr>
    <tabColor rgb="FF002060"/>
    <outlinePr summaryBelow="0" summaryRight="0"/>
    <pageSetUpPr fitToPage="1"/>
  </sheetPr>
  <dimension ref="A1:BF78"/>
  <sheetViews>
    <sheetView showGridLines="0" workbookViewId="0">
      <pane xSplit="30" ySplit="25" topLeftCell="AE43" activePane="bottomRight" state="frozen"/>
      <selection pane="topRight" activeCell="AE1" sqref="AE1"/>
      <selection pane="bottomLeft" activeCell="A26" sqref="A26"/>
      <selection pane="bottomRight" activeCell="BC40" sqref="BC40"/>
    </sheetView>
  </sheetViews>
  <sheetFormatPr defaultColWidth="9.140625" defaultRowHeight="11.25" customHeight="1"/>
  <cols>
    <col min="1" max="1" width="3.5703125" style="57" hidden="1" customWidth="1"/>
    <col min="2" max="2" width="4.85546875" style="62" hidden="1" customWidth="1"/>
    <col min="3" max="3" width="3.5703125" style="57" hidden="1" customWidth="1"/>
    <col min="4" max="4" width="7.140625" style="57" hidden="1" customWidth="1"/>
    <col min="5" max="5" width="3.5703125" style="459" hidden="1" customWidth="1"/>
    <col min="6" max="19" width="3.5703125" style="57" hidden="1" customWidth="1"/>
    <col min="20" max="20" width="8.42578125" style="57" hidden="1" customWidth="1"/>
    <col min="21" max="21" width="5.85546875" style="57" hidden="1" customWidth="1"/>
    <col min="22" max="23" width="6.140625" style="57" hidden="1" customWidth="1"/>
    <col min="24" max="25" width="5.5703125" style="57" hidden="1" customWidth="1"/>
    <col min="26" max="26" width="5.28515625" style="57" hidden="1" customWidth="1"/>
    <col min="27" max="27" width="3" style="57" customWidth="1"/>
    <col min="28" max="28" width="11" style="57" customWidth="1"/>
    <col min="29" max="29" width="49" style="57" customWidth="1"/>
    <col min="30" max="30" width="12" style="57" customWidth="1"/>
    <col min="31" max="31" width="13" style="67" customWidth="1"/>
    <col min="32" max="35" width="13" style="57" customWidth="1"/>
    <col min="36" max="44" width="13" style="57" hidden="1" customWidth="1"/>
    <col min="45" max="45" width="13" style="57" customWidth="1"/>
    <col min="46" max="54" width="13" style="57" hidden="1" customWidth="1"/>
    <col min="55" max="55" width="33.85546875" style="57" customWidth="1"/>
    <col min="56" max="56" width="3" style="57" customWidth="1"/>
    <col min="57" max="57" width="9.140625" style="57" hidden="1"/>
    <col min="58" max="58" width="9.140625" style="665" hidden="1"/>
  </cols>
  <sheetData>
    <row r="1" spans="1:58" ht="11.25" hidden="1" customHeight="1">
      <c r="E1" s="57"/>
      <c r="F1" s="57" t="s">
        <v>315</v>
      </c>
      <c r="H1" s="57" t="s">
        <v>326</v>
      </c>
      <c r="T1" s="365" t="s">
        <v>93</v>
      </c>
      <c r="U1" s="365" t="s">
        <v>98</v>
      </c>
      <c r="V1" s="365" t="s">
        <v>94</v>
      </c>
      <c r="W1" s="365" t="s">
        <v>95</v>
      </c>
      <c r="X1" s="365" t="s">
        <v>96</v>
      </c>
      <c r="Y1" s="367" t="s">
        <v>317</v>
      </c>
      <c r="Z1" s="365" t="s">
        <v>100</v>
      </c>
      <c r="AA1" s="366" t="s">
        <v>97</v>
      </c>
      <c r="AB1" s="23"/>
      <c r="AC1" s="366" t="s">
        <v>99</v>
      </c>
      <c r="BF1" s="665" t="s">
        <v>318</v>
      </c>
    </row>
    <row r="2" spans="1:58" s="62" customFormat="1" ht="11.25" hidden="1" customHeight="1">
      <c r="B2" s="354" t="s">
        <v>19</v>
      </c>
      <c r="AF2" s="62" t="b" cm="1">
        <f t="array" ref="AF2">isOrgDeclare</f>
        <v>1</v>
      </c>
      <c r="AI2" s="354" t="b">
        <f t="shared" ref="AI2:AR2" si="0">AND(AI6&lt;=last_year_vis,isOrgDeclare)</f>
        <v>1</v>
      </c>
      <c r="AJ2" s="354" t="b">
        <f t="shared" si="0"/>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ref="AS2:BB2" si="1">AS6&lt;=last_year_vis</f>
        <v>1</v>
      </c>
      <c r="AT2" s="354" t="b">
        <f t="shared" si="1"/>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F2" s="674"/>
    </row>
    <row r="3" spans="1:58" ht="11.25" hidden="1" customHeight="1">
      <c r="E3" s="57"/>
      <c r="AI3" s="385"/>
      <c r="AJ3" s="385"/>
      <c r="AK3" s="385"/>
      <c r="AL3" s="385"/>
      <c r="AM3" s="385"/>
      <c r="AN3" s="385"/>
      <c r="AO3" s="385"/>
      <c r="AP3" s="385"/>
      <c r="AQ3" s="385"/>
      <c r="AR3" s="385"/>
      <c r="AS3" s="385"/>
      <c r="AT3" s="385"/>
      <c r="AU3" s="385"/>
      <c r="AV3" s="385"/>
      <c r="AW3" s="385"/>
      <c r="AX3" s="385"/>
      <c r="AY3" s="385"/>
      <c r="AZ3" s="385"/>
      <c r="BA3" s="385"/>
      <c r="BB3" s="385"/>
    </row>
    <row r="4" spans="1:58" ht="11.25" hidden="1" customHeight="1">
      <c r="E4" s="57"/>
    </row>
    <row r="5" spans="1:58" s="459" customFormat="1" ht="11.25" hidden="1" customHeight="1">
      <c r="A5" s="57"/>
      <c r="B5" s="62"/>
      <c r="C5" s="57"/>
      <c r="D5" s="57"/>
      <c r="E5" s="459" t="s">
        <v>20</v>
      </c>
      <c r="AA5" s="459">
        <v>3</v>
      </c>
      <c r="AB5" s="459">
        <v>11</v>
      </c>
      <c r="AC5" s="459">
        <v>35</v>
      </c>
      <c r="AD5" s="459">
        <v>12</v>
      </c>
      <c r="AE5" s="469">
        <v>13</v>
      </c>
      <c r="AF5" s="459">
        <v>13</v>
      </c>
      <c r="AG5" s="459">
        <v>13</v>
      </c>
      <c r="AH5" s="459">
        <v>13</v>
      </c>
      <c r="AI5" s="459">
        <v>13</v>
      </c>
      <c r="AJ5" s="459">
        <v>13</v>
      </c>
      <c r="AK5" s="459">
        <v>13</v>
      </c>
      <c r="AL5" s="459">
        <v>13</v>
      </c>
      <c r="AM5" s="459">
        <v>13</v>
      </c>
      <c r="AN5" s="459">
        <v>13</v>
      </c>
      <c r="AO5" s="459">
        <v>13</v>
      </c>
      <c r="AP5" s="459">
        <v>13</v>
      </c>
      <c r="AQ5" s="459">
        <v>13</v>
      </c>
      <c r="AR5" s="459">
        <v>13</v>
      </c>
      <c r="AS5" s="459">
        <v>13</v>
      </c>
      <c r="AT5" s="459">
        <v>13</v>
      </c>
      <c r="AU5" s="459">
        <v>13</v>
      </c>
      <c r="AV5" s="459">
        <v>13</v>
      </c>
      <c r="AW5" s="459">
        <v>13</v>
      </c>
      <c r="AX5" s="459">
        <v>13</v>
      </c>
      <c r="AY5" s="459">
        <v>13</v>
      </c>
      <c r="AZ5" s="459">
        <v>13</v>
      </c>
      <c r="BA5" s="459">
        <v>13</v>
      </c>
      <c r="BB5" s="459">
        <v>13</v>
      </c>
      <c r="BC5" s="459">
        <v>20</v>
      </c>
      <c r="BD5" s="459">
        <v>3</v>
      </c>
      <c r="BF5" s="665"/>
    </row>
    <row r="6" spans="1:58" ht="11.25" hidden="1" customHeight="1">
      <c r="A6" s="57" t="s">
        <v>353</v>
      </c>
      <c r="AE6" s="288">
        <f>god-2</f>
        <v>2024</v>
      </c>
      <c r="AF6" s="67">
        <f>god-2</f>
        <v>2024</v>
      </c>
      <c r="AG6" s="67">
        <f>god-2</f>
        <v>2024</v>
      </c>
      <c r="AH6" s="67">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58" ht="11.25" hidden="1" customHeight="1">
      <c r="A7" s="57" t="s">
        <v>354</v>
      </c>
      <c r="AE7" s="288" t="str" cm="1">
        <f t="array" ref="AE7">AE25</f>
        <v>Принято органом регулирования</v>
      </c>
      <c r="AF7" s="288" t="str" cm="1">
        <f t="array" ref="AF7">AF25</f>
        <v>Факт по данным организации</v>
      </c>
      <c r="AG7" s="288" t="str" cm="1">
        <f t="array" ref="AG7">AG25</f>
        <v>Факт, принятый органом регулирования</v>
      </c>
      <c r="AH7" s="288" t="str" cm="1">
        <f t="array" ref="AH7">AH25</f>
        <v>Принято органом регулирования</v>
      </c>
      <c r="AI7" s="288" t="str" cm="1">
        <f t="array" ref="AI7">AI25</f>
        <v>Предложение организации</v>
      </c>
      <c r="AJ7" s="288" t="str" cm="1">
        <f t="array" ref="AJ7">AJ25</f>
        <v>Предложение организации</v>
      </c>
      <c r="AK7" s="288" t="str" cm="1">
        <f t="array" ref="AK7">AK25</f>
        <v>Предложение организации</v>
      </c>
      <c r="AL7" s="288" t="str" cm="1">
        <f t="array" ref="AL7">AL25</f>
        <v>Предложение организации</v>
      </c>
      <c r="AM7" s="288" t="str" cm="1">
        <f t="array" ref="AM7">AM25</f>
        <v>Предложение организации</v>
      </c>
      <c r="AN7" s="288" t="str" cm="1">
        <f t="array" ref="AN7">AN25</f>
        <v>Предложение организации</v>
      </c>
      <c r="AO7" s="288" t="str" cm="1">
        <f t="array" ref="AO7">AO25</f>
        <v>Предложение организации</v>
      </c>
      <c r="AP7" s="288" t="str" cm="1">
        <f t="array" ref="AP7">AP25</f>
        <v>Предложение организации</v>
      </c>
      <c r="AQ7" s="288" t="str" cm="1">
        <f t="array" ref="AQ7">AQ25</f>
        <v>Предложение организации</v>
      </c>
      <c r="AR7" s="288" t="str" cm="1">
        <f t="array" ref="AR7">AR25</f>
        <v>Предложение организации</v>
      </c>
      <c r="AS7" s="288" t="str" cm="1">
        <f t="array" ref="AS7">AS25</f>
        <v>Принято органом регулирования</v>
      </c>
      <c r="AT7" s="288" t="str" cm="1">
        <f t="array" ref="AT7">AT25</f>
        <v>Принято органом регулирования</v>
      </c>
      <c r="AU7" s="288" t="str" cm="1">
        <f t="array" ref="AU7">AU25</f>
        <v>Принято органом регулирования</v>
      </c>
      <c r="AV7" s="288" t="str" cm="1">
        <f t="array" ref="AV7">AV25</f>
        <v>Принято органом регулирования</v>
      </c>
      <c r="AW7" s="288" t="str" cm="1">
        <f t="array" ref="AW7">AW25</f>
        <v>Принято органом регулирования</v>
      </c>
      <c r="AX7" s="288" t="str" cm="1">
        <f t="array" ref="AX7">AX25</f>
        <v>Принято органом регулирования</v>
      </c>
      <c r="AY7" s="288" t="str" cm="1">
        <f t="array" ref="AY7">AY25</f>
        <v>Принято органом регулирования</v>
      </c>
      <c r="AZ7" s="288" t="str" cm="1">
        <f t="array" ref="AZ7">AZ25</f>
        <v>Принято органом регулирования</v>
      </c>
      <c r="BA7" s="288" t="str" cm="1">
        <f t="array" ref="BA7">BA25</f>
        <v>Принято органом регулирования</v>
      </c>
      <c r="BB7" s="288" t="str" cm="1">
        <f t="array" ref="BB7">BB25</f>
        <v>Принято органом регулирования</v>
      </c>
    </row>
    <row r="8" spans="1:58" ht="11.25" hidden="1" customHeight="1"/>
    <row r="9" spans="1:58" s="665" customFormat="1" ht="11.25" hidden="1" customHeight="1">
      <c r="A9" s="680" t="s">
        <v>358</v>
      </c>
      <c r="B9" s="674"/>
      <c r="AE9" s="677" cm="1">
        <f t="array" ref="AE9">AE6</f>
        <v>2024</v>
      </c>
      <c r="AF9" s="677" cm="1">
        <f t="array" ref="AF9">AF6</f>
        <v>2024</v>
      </c>
      <c r="AG9" s="677" cm="1">
        <f t="array" ref="AG9">AG6</f>
        <v>2024</v>
      </c>
      <c r="AH9" s="677" cm="1">
        <f t="array" ref="AH9">AH6</f>
        <v>2025</v>
      </c>
      <c r="AI9" s="677" cm="1">
        <f t="array" ref="AI9">AI6</f>
        <v>2026</v>
      </c>
      <c r="AJ9" s="677" cm="1">
        <f t="array" ref="AJ9">AJ6</f>
        <v>2027</v>
      </c>
      <c r="AK9" s="677" cm="1">
        <f t="array" ref="AK9">AK6</f>
        <v>2028</v>
      </c>
      <c r="AL9" s="677" cm="1">
        <f t="array" ref="AL9">AL6</f>
        <v>2029</v>
      </c>
      <c r="AM9" s="677" cm="1">
        <f t="array" ref="AM9">AM6</f>
        <v>2030</v>
      </c>
      <c r="AN9" s="677" cm="1">
        <f t="array" ref="AN9">AN6</f>
        <v>2031</v>
      </c>
      <c r="AO9" s="677" cm="1">
        <f t="array" ref="AO9">AO6</f>
        <v>2032</v>
      </c>
      <c r="AP9" s="677" cm="1">
        <f t="array" ref="AP9">AP6</f>
        <v>2033</v>
      </c>
      <c r="AQ9" s="677" cm="1">
        <f t="array" ref="AQ9">AQ6</f>
        <v>2034</v>
      </c>
      <c r="AR9" s="677" cm="1">
        <f t="array" ref="AR9">AR6</f>
        <v>2035</v>
      </c>
      <c r="AS9" s="677" cm="1">
        <f t="array" ref="AS9">AS6</f>
        <v>2026</v>
      </c>
      <c r="AT9" s="677" cm="1">
        <f t="array" ref="AT9">AT6</f>
        <v>2027</v>
      </c>
      <c r="AU9" s="677" cm="1">
        <f t="array" ref="AU9">AU6</f>
        <v>2028</v>
      </c>
      <c r="AV9" s="677" cm="1">
        <f t="array" ref="AV9">AV6</f>
        <v>2029</v>
      </c>
      <c r="AW9" s="677" cm="1">
        <f t="array" ref="AW9">AW6</f>
        <v>2030</v>
      </c>
      <c r="AX9" s="677" cm="1">
        <f t="array" ref="AX9">AX6</f>
        <v>2031</v>
      </c>
      <c r="AY9" s="677" cm="1">
        <f t="array" ref="AY9">AY6</f>
        <v>2032</v>
      </c>
      <c r="AZ9" s="677" cm="1">
        <f t="array" ref="AZ9">AZ6</f>
        <v>2033</v>
      </c>
      <c r="BA9" s="677" cm="1">
        <f t="array" ref="BA9">BA6</f>
        <v>2034</v>
      </c>
      <c r="BB9" s="677" cm="1">
        <f t="array" ref="BB9">BB6</f>
        <v>2035</v>
      </c>
    </row>
    <row r="10" spans="1:58" s="665" customFormat="1" ht="11.25" hidden="1" customHeight="1">
      <c r="A10" s="680" t="s">
        <v>359</v>
      </c>
      <c r="B10" s="674"/>
      <c r="AE10" s="677" t="str" cm="1">
        <f t="array" ref="AE10">AE25</f>
        <v>Принято органом регулирования</v>
      </c>
      <c r="AF10" s="677" t="str" cm="1">
        <f t="array" ref="AF10">AF25</f>
        <v>Факт по данным организации</v>
      </c>
      <c r="AG10" s="677" t="str" cm="1">
        <f t="array" ref="AG10">AG25</f>
        <v>Факт, принятый органом регулирования</v>
      </c>
      <c r="AH10" s="677" t="str" cm="1">
        <f t="array" ref="AH10">AH25</f>
        <v>Принято органом регулирования</v>
      </c>
      <c r="AI10" s="677" t="str" cm="1">
        <f t="array" ref="AI10">AI25</f>
        <v>Предложение организации</v>
      </c>
      <c r="AJ10" s="677" t="str" cm="1">
        <f t="array" ref="AJ10">AJ25</f>
        <v>Предложение организации</v>
      </c>
      <c r="AK10" s="677" t="str" cm="1">
        <f t="array" ref="AK10">AK25</f>
        <v>Предложение организации</v>
      </c>
      <c r="AL10" s="677" t="str" cm="1">
        <f t="array" ref="AL10">AL25</f>
        <v>Предложение организации</v>
      </c>
      <c r="AM10" s="677" t="str" cm="1">
        <f t="array" ref="AM10">AM25</f>
        <v>Предложение организации</v>
      </c>
      <c r="AN10" s="677" t="str" cm="1">
        <f t="array" ref="AN10">AN25</f>
        <v>Предложение организации</v>
      </c>
      <c r="AO10" s="677" t="str" cm="1">
        <f t="array" ref="AO10">AO25</f>
        <v>Предложение организации</v>
      </c>
      <c r="AP10" s="677" t="str" cm="1">
        <f t="array" ref="AP10">AP25</f>
        <v>Предложение организации</v>
      </c>
      <c r="AQ10" s="677" t="str" cm="1">
        <f t="array" ref="AQ10">AQ25</f>
        <v>Предложение организации</v>
      </c>
      <c r="AR10" s="677" t="str" cm="1">
        <f t="array" ref="AR10">AR25</f>
        <v>Предложение организации</v>
      </c>
      <c r="AS10" s="677" t="str" cm="1">
        <f t="array" ref="AS10">AS25</f>
        <v>Принято органом регулирования</v>
      </c>
      <c r="AT10" s="677" t="str" cm="1">
        <f t="array" ref="AT10">AT25</f>
        <v>Принято органом регулирования</v>
      </c>
      <c r="AU10" s="677" t="str" cm="1">
        <f t="array" ref="AU10">AU25</f>
        <v>Принято органом регулирования</v>
      </c>
      <c r="AV10" s="677" t="str" cm="1">
        <f t="array" ref="AV10">AV25</f>
        <v>Принято органом регулирования</v>
      </c>
      <c r="AW10" s="677" t="str" cm="1">
        <f t="array" ref="AW10">AW25</f>
        <v>Принято органом регулирования</v>
      </c>
      <c r="AX10" s="677" t="str" cm="1">
        <f t="array" ref="AX10">AX25</f>
        <v>Принято органом регулирования</v>
      </c>
      <c r="AY10" s="677" t="str" cm="1">
        <f t="array" ref="AY10">AY25</f>
        <v>Принято органом регулирования</v>
      </c>
      <c r="AZ10" s="677" t="str" cm="1">
        <f t="array" ref="AZ10">AZ25</f>
        <v>Принято органом регулирования</v>
      </c>
      <c r="BA10" s="677" t="str" cm="1">
        <f t="array" ref="BA10">BA25</f>
        <v>Принято органом регулирования</v>
      </c>
      <c r="BB10" s="677" t="str" cm="1">
        <f t="array" ref="BB10">BB25</f>
        <v>Принято органом регулирования</v>
      </c>
    </row>
    <row r="11" spans="1:58" s="665" customFormat="1" ht="11.25" hidden="1" customHeight="1">
      <c r="A11" s="680" t="s">
        <v>360</v>
      </c>
      <c r="B11" s="674"/>
      <c r="AE11" s="677"/>
      <c r="BC11" s="665" t="str" cm="1">
        <f t="array" ref="BC11">BC24</f>
        <v>Ссылка на правовую норму (основание для принятия показателя в расчет тарифа)</v>
      </c>
    </row>
    <row r="12" spans="1:58" ht="11.25" hidden="1" customHeight="1"/>
    <row r="13" spans="1:58"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58"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58"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58"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1:58" ht="11.25" hidden="1" customHeight="1"/>
    <row r="18" spans="1:58" ht="11.25" hidden="1" customHeight="1"/>
    <row r="19" spans="1:58" ht="11.25" hidden="1" customHeight="1"/>
    <row r="20" spans="1:58" ht="11.25" hidden="1" customHeight="1"/>
    <row r="21" spans="1:58" ht="14.65" customHeight="1">
      <c r="E21" s="459">
        <v>15</v>
      </c>
      <c r="AA21" s="337"/>
      <c r="AC21" s="280" t="str" cm="1">
        <f t="array" ref="AC21">tpl_title</f>
        <v>Кемеровская область / 2026 / ООО "Энергосервис г. Гурьевска" (ИНН:4202049045, КПП:420201001) / ДПР: 2024-2028</v>
      </c>
    </row>
    <row r="22" spans="1:58" s="57" customFormat="1" ht="19.5" customHeight="1">
      <c r="B22" s="62"/>
      <c r="E22" s="459">
        <v>20</v>
      </c>
      <c r="AB22" s="239" t="s">
        <v>58</v>
      </c>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F22" s="665"/>
    </row>
    <row r="23" spans="1:58" s="57" customFormat="1" ht="10.9" customHeight="1">
      <c r="B23" s="62"/>
      <c r="E23" s="459">
        <v>11.25</v>
      </c>
      <c r="AB23" s="84"/>
      <c r="AE23" s="67"/>
      <c r="BF23" s="665"/>
    </row>
    <row r="24" spans="1:58" s="57" customFormat="1" ht="14.65" customHeight="1">
      <c r="B24" s="62"/>
      <c r="E24" s="459">
        <v>15</v>
      </c>
      <c r="AB24" s="1088" t="s">
        <v>22</v>
      </c>
      <c r="AC24" s="1088" t="s">
        <v>362</v>
      </c>
      <c r="AD24" s="1088" t="s">
        <v>997</v>
      </c>
      <c r="AE24" s="274" t="str">
        <f>god-2&amp;" год"</f>
        <v>2024 год</v>
      </c>
      <c r="AF24" s="737" t="str">
        <f>god-2&amp;" год"</f>
        <v>2024 год</v>
      </c>
      <c r="AG24" s="274" t="str">
        <f>god-2&amp;" год"</f>
        <v>2024 год</v>
      </c>
      <c r="AH24" s="32" t="str">
        <f>god-1&amp;" год"</f>
        <v>2025 год</v>
      </c>
      <c r="AI24" s="734" t="str">
        <f>god&amp;" год"</f>
        <v>2026 год</v>
      </c>
      <c r="AJ24" s="734" t="str">
        <f>god+1&amp;" год"</f>
        <v>2027 год</v>
      </c>
      <c r="AK24" s="734" t="str">
        <f>god+2&amp;" год"</f>
        <v>2028 год</v>
      </c>
      <c r="AL24" s="734" t="str">
        <f>god+3&amp;" год"</f>
        <v>2029 год</v>
      </c>
      <c r="AM24" s="734" t="str">
        <f>god+4&amp;" год"</f>
        <v>2030 год</v>
      </c>
      <c r="AN24" s="734" t="str">
        <f>god+5&amp;" год"</f>
        <v>2031 год</v>
      </c>
      <c r="AO24" s="734" t="str">
        <f>god+6&amp;" год"</f>
        <v>2032 год</v>
      </c>
      <c r="AP24" s="734" t="str">
        <f>god+7&amp;" год"</f>
        <v>2033 год</v>
      </c>
      <c r="AQ24" s="734" t="str">
        <f>god+8&amp;" год"</f>
        <v>2034 год</v>
      </c>
      <c r="AR24" s="734"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1099" t="s">
        <v>529</v>
      </c>
      <c r="BF24" s="665"/>
    </row>
    <row r="25" spans="1:58" s="57" customFormat="1" ht="48.75" customHeight="1">
      <c r="B25" s="62"/>
      <c r="E25" s="459">
        <v>50</v>
      </c>
      <c r="AB25" s="1088"/>
      <c r="AC25" s="1088"/>
      <c r="AD25" s="1088"/>
      <c r="AE25" s="30" t="s">
        <v>355</v>
      </c>
      <c r="AF25" s="734" t="s">
        <v>450</v>
      </c>
      <c r="AG25" s="30" t="s">
        <v>451</v>
      </c>
      <c r="AH25" s="30" t="s">
        <v>355</v>
      </c>
      <c r="AI25" s="738" t="s">
        <v>356</v>
      </c>
      <c r="AJ25" s="738" t="s">
        <v>356</v>
      </c>
      <c r="AK25" s="738" t="s">
        <v>356</v>
      </c>
      <c r="AL25" s="738" t="s">
        <v>356</v>
      </c>
      <c r="AM25" s="738" t="s">
        <v>356</v>
      </c>
      <c r="AN25" s="738" t="s">
        <v>356</v>
      </c>
      <c r="AO25" s="738" t="s">
        <v>356</v>
      </c>
      <c r="AP25" s="738" t="s">
        <v>356</v>
      </c>
      <c r="AQ25" s="738" t="s">
        <v>356</v>
      </c>
      <c r="AR25" s="738" t="s">
        <v>356</v>
      </c>
      <c r="AS25" s="275" t="s">
        <v>355</v>
      </c>
      <c r="AT25" s="275" t="s">
        <v>355</v>
      </c>
      <c r="AU25" s="275" t="s">
        <v>355</v>
      </c>
      <c r="AV25" s="275" t="s">
        <v>355</v>
      </c>
      <c r="AW25" s="275" t="s">
        <v>355</v>
      </c>
      <c r="AX25" s="275" t="s">
        <v>355</v>
      </c>
      <c r="AY25" s="275" t="s">
        <v>355</v>
      </c>
      <c r="AZ25" s="275" t="s">
        <v>355</v>
      </c>
      <c r="BA25" s="275" t="s">
        <v>355</v>
      </c>
      <c r="BB25" s="275" t="s">
        <v>355</v>
      </c>
      <c r="BC25" s="1099"/>
      <c r="BF25" s="665"/>
    </row>
    <row r="26" spans="1:58" ht="11.25" hidden="1" customHeight="1">
      <c r="A26" s="327"/>
      <c r="B26" s="490"/>
      <c r="C26" s="327"/>
      <c r="D26" s="327"/>
      <c r="E26" s="491">
        <v>0</v>
      </c>
      <c r="F26" s="489" t="s">
        <v>998</v>
      </c>
      <c r="G26" s="327"/>
      <c r="H26" s="327"/>
      <c r="I26" s="327"/>
      <c r="J26" s="327"/>
      <c r="K26" s="327"/>
      <c r="L26" s="327"/>
      <c r="M26" s="327"/>
      <c r="N26" s="327"/>
      <c r="O26" s="327"/>
      <c r="P26" s="327"/>
      <c r="Q26" s="327"/>
      <c r="R26" s="327"/>
      <c r="S26" s="327"/>
      <c r="T26" s="327"/>
      <c r="U26" s="327"/>
      <c r="V26" s="327"/>
      <c r="W26" s="327"/>
      <c r="X26" s="327"/>
      <c r="Y26" s="327"/>
      <c r="Z26" s="327"/>
      <c r="AA26"/>
      <c r="AB26"/>
      <c r="AC26" s="37"/>
      <c r="AD26" s="37"/>
      <c r="AE26" s="37"/>
      <c r="AF26" s="37"/>
      <c r="AG26"/>
      <c r="AH26"/>
      <c r="AI26"/>
      <c r="AJ26"/>
      <c r="AK26"/>
      <c r="AL26"/>
      <c r="AM26"/>
      <c r="AN26"/>
      <c r="AO26"/>
      <c r="AP26"/>
      <c r="AQ26" s="38"/>
      <c r="AR26"/>
      <c r="AS26"/>
      <c r="AT26"/>
      <c r="AU26"/>
      <c r="AV26"/>
      <c r="AW26"/>
      <c r="AX26"/>
      <c r="AY26"/>
      <c r="AZ26"/>
      <c r="BA26"/>
      <c r="BB26"/>
      <c r="BC26"/>
      <c r="BD26"/>
      <c r="BE26"/>
      <c r="BF26" s="670"/>
    </row>
    <row r="27" spans="1:58" s="57" customFormat="1" ht="14.65" hidden="1" customHeight="1">
      <c r="B27" s="62"/>
      <c r="E27" s="459">
        <v>15</v>
      </c>
      <c r="F27" s="36" cm="1">
        <f t="array" ref="F27">X27</f>
        <v>0</v>
      </c>
      <c r="T27" s="365" t="b">
        <f>X27&gt;0</f>
        <v>0</v>
      </c>
      <c r="V27" s="57" t="s">
        <v>264</v>
      </c>
      <c r="X27" s="1075">
        <v>0</v>
      </c>
      <c r="Z27" s="1094"/>
      <c r="AB27" s="154" t="str" cm="1">
        <f t="array" ref="AB27">INDEX('Общие сведения'!$AG$179:$AG$222,MATCH($X27,'Общие сведения'!$Z$179:$Z$222,0))</f>
        <v xml:space="preserve">Тариф 0 () - </v>
      </c>
      <c r="AC27" s="113"/>
      <c r="AD27" s="107"/>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42"/>
      <c r="BF27" s="665"/>
    </row>
    <row r="28" spans="1:58" s="57" customFormat="1" ht="71.650000000000006" hidden="1" customHeight="1">
      <c r="B28" s="62"/>
      <c r="E28" s="459">
        <v>73.5</v>
      </c>
      <c r="F28" s="3" cm="1">
        <f t="array" aca="1" ref="F28" ca="1">OFFSET(E28,-1,1)</f>
        <v>0</v>
      </c>
      <c r="G28" s="384" t="s">
        <v>999</v>
      </c>
      <c r="H28" s="57" t="s">
        <v>327</v>
      </c>
      <c r="K28" s="59" t="str">
        <f ca="1">F28&amp;"komm"</f>
        <v>0komm</v>
      </c>
      <c r="L28" s="618" cm="1">
        <f t="array" ref="L28">BC28</f>
        <v>0</v>
      </c>
      <c r="T28" s="365" t="b" cm="1">
        <f t="array" ref="T28">T27</f>
        <v>0</v>
      </c>
      <c r="X28" s="1075"/>
      <c r="Z28" s="1094"/>
      <c r="AB28" s="150" t="s">
        <v>275</v>
      </c>
      <c r="AC28" s="151" t="s">
        <v>1000</v>
      </c>
      <c r="AD28" s="137" t="s">
        <v>804</v>
      </c>
      <c r="AE28" s="190">
        <f t="shared" ref="AE28:BB28" si="2">AE29+AE32+AE33+AE34</f>
        <v>0</v>
      </c>
      <c r="AF28" s="190">
        <f t="shared" si="2"/>
        <v>0</v>
      </c>
      <c r="AG28" s="190">
        <f t="shared" si="2"/>
        <v>0</v>
      </c>
      <c r="AH28" s="190">
        <f t="shared" si="2"/>
        <v>0</v>
      </c>
      <c r="AI28" s="190">
        <f t="shared" si="2"/>
        <v>0</v>
      </c>
      <c r="AJ28" s="190">
        <f t="shared" si="2"/>
        <v>0</v>
      </c>
      <c r="AK28" s="190">
        <f t="shared" si="2"/>
        <v>0</v>
      </c>
      <c r="AL28" s="190">
        <f t="shared" si="2"/>
        <v>0</v>
      </c>
      <c r="AM28" s="190">
        <f t="shared" si="2"/>
        <v>0</v>
      </c>
      <c r="AN28" s="190">
        <f t="shared" si="2"/>
        <v>0</v>
      </c>
      <c r="AO28" s="190">
        <f t="shared" si="2"/>
        <v>0</v>
      </c>
      <c r="AP28" s="190">
        <f t="shared" si="2"/>
        <v>0</v>
      </c>
      <c r="AQ28" s="190">
        <f t="shared" si="2"/>
        <v>0</v>
      </c>
      <c r="AR28" s="190">
        <f t="shared" si="2"/>
        <v>0</v>
      </c>
      <c r="AS28" s="190">
        <f t="shared" si="2"/>
        <v>0</v>
      </c>
      <c r="AT28" s="190">
        <f t="shared" si="2"/>
        <v>0</v>
      </c>
      <c r="AU28" s="190">
        <f t="shared" si="2"/>
        <v>0</v>
      </c>
      <c r="AV28" s="190">
        <f t="shared" si="2"/>
        <v>0</v>
      </c>
      <c r="AW28" s="190">
        <f t="shared" si="2"/>
        <v>0</v>
      </c>
      <c r="AX28" s="190">
        <f t="shared" si="2"/>
        <v>0</v>
      </c>
      <c r="AY28" s="190">
        <f t="shared" si="2"/>
        <v>0</v>
      </c>
      <c r="AZ28" s="190">
        <f t="shared" si="2"/>
        <v>0</v>
      </c>
      <c r="BA28" s="190">
        <f t="shared" si="2"/>
        <v>0</v>
      </c>
      <c r="BB28" s="190">
        <f t="shared" si="2"/>
        <v>0</v>
      </c>
      <c r="BC28" s="839"/>
      <c r="BF28" s="689" t="s">
        <v>1001</v>
      </c>
    </row>
    <row r="29" spans="1:58" s="57" customFormat="1" ht="14.65" hidden="1" customHeight="1">
      <c r="B29" s="62"/>
      <c r="D29" s="57" t="s">
        <v>1002</v>
      </c>
      <c r="E29" s="459">
        <v>15</v>
      </c>
      <c r="F29" s="3" cm="1">
        <f t="array" aca="1" ref="F29" ca="1">OFFSET(E29,-1,1)</f>
        <v>0</v>
      </c>
      <c r="H29" s="57" t="s">
        <v>461</v>
      </c>
      <c r="T29" s="365" t="b" cm="1">
        <f t="array" ref="T29">T28</f>
        <v>0</v>
      </c>
      <c r="X29" s="1075"/>
      <c r="Z29" s="1094"/>
      <c r="AB29" s="152" t="s">
        <v>897</v>
      </c>
      <c r="AC29" s="146" t="s">
        <v>1002</v>
      </c>
      <c r="AD29" s="27" t="s">
        <v>804</v>
      </c>
      <c r="AE29" s="787">
        <f t="shared" ref="AE29:BB29" si="3">SUM(AE30:AE31)</f>
        <v>0</v>
      </c>
      <c r="AF29" s="787">
        <f t="shared" si="3"/>
        <v>0</v>
      </c>
      <c r="AG29" s="787">
        <f t="shared" si="3"/>
        <v>0</v>
      </c>
      <c r="AH29" s="787">
        <f t="shared" si="3"/>
        <v>0</v>
      </c>
      <c r="AI29" s="787">
        <f t="shared" si="3"/>
        <v>0</v>
      </c>
      <c r="AJ29" s="787">
        <f t="shared" si="3"/>
        <v>0</v>
      </c>
      <c r="AK29" s="787">
        <f t="shared" si="3"/>
        <v>0</v>
      </c>
      <c r="AL29" s="787">
        <f t="shared" si="3"/>
        <v>0</v>
      </c>
      <c r="AM29" s="787">
        <f t="shared" si="3"/>
        <v>0</v>
      </c>
      <c r="AN29" s="787">
        <f t="shared" si="3"/>
        <v>0</v>
      </c>
      <c r="AO29" s="787">
        <f t="shared" si="3"/>
        <v>0</v>
      </c>
      <c r="AP29" s="787">
        <f t="shared" si="3"/>
        <v>0</v>
      </c>
      <c r="AQ29" s="787">
        <f t="shared" si="3"/>
        <v>0</v>
      </c>
      <c r="AR29" s="787">
        <f t="shared" si="3"/>
        <v>0</v>
      </c>
      <c r="AS29" s="787">
        <f t="shared" si="3"/>
        <v>0</v>
      </c>
      <c r="AT29" s="787">
        <f t="shared" si="3"/>
        <v>0</v>
      </c>
      <c r="AU29" s="787">
        <f t="shared" si="3"/>
        <v>0</v>
      </c>
      <c r="AV29" s="787">
        <f t="shared" si="3"/>
        <v>0</v>
      </c>
      <c r="AW29" s="787">
        <f t="shared" si="3"/>
        <v>0</v>
      </c>
      <c r="AX29" s="787">
        <f t="shared" si="3"/>
        <v>0</v>
      </c>
      <c r="AY29" s="787">
        <f t="shared" si="3"/>
        <v>0</v>
      </c>
      <c r="AZ29" s="787">
        <f t="shared" si="3"/>
        <v>0</v>
      </c>
      <c r="BA29" s="787">
        <f t="shared" si="3"/>
        <v>0</v>
      </c>
      <c r="BB29" s="787">
        <f t="shared" si="3"/>
        <v>0</v>
      </c>
      <c r="BC29" s="839"/>
      <c r="BF29" s="689" t="s">
        <v>1003</v>
      </c>
    </row>
    <row r="30" spans="1:58" s="57" customFormat="1" ht="23.45" hidden="1" customHeight="1">
      <c r="B30" s="62"/>
      <c r="E30" s="459">
        <v>24</v>
      </c>
      <c r="F30" s="3" cm="1">
        <f t="array" aca="1" ref="F30" ca="1">OFFSET(E30,-1,1)</f>
        <v>0</v>
      </c>
      <c r="H30" s="57" t="s">
        <v>1004</v>
      </c>
      <c r="T30" s="365" t="b" cm="1">
        <f t="array" ref="T30">T29</f>
        <v>0</v>
      </c>
      <c r="X30" s="1075"/>
      <c r="Z30" s="1094"/>
      <c r="AB30" s="152" t="s">
        <v>1005</v>
      </c>
      <c r="AC30" s="153" t="s">
        <v>1006</v>
      </c>
      <c r="AD30" s="27" t="s">
        <v>804</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839"/>
      <c r="BF30" s="665" t="s">
        <v>1007</v>
      </c>
    </row>
    <row r="31" spans="1:58" s="57" customFormat="1" ht="14.65" hidden="1" customHeight="1">
      <c r="B31" s="62"/>
      <c r="E31" s="459">
        <v>15</v>
      </c>
      <c r="F31" s="3" cm="1">
        <f t="array" aca="1" ref="F31" ca="1">OFFSET(E31,-1,1)</f>
        <v>0</v>
      </c>
      <c r="H31" s="57" t="s">
        <v>1008</v>
      </c>
      <c r="T31" s="365" t="b" cm="1">
        <f t="array" ref="T31">T30</f>
        <v>0</v>
      </c>
      <c r="X31" s="1075"/>
      <c r="Z31" s="1094"/>
      <c r="AB31" s="152" t="s">
        <v>1009</v>
      </c>
      <c r="AC31" s="153" t="s">
        <v>1010</v>
      </c>
      <c r="AD31" s="27" t="s">
        <v>804</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839"/>
      <c r="BF31" s="665" t="s">
        <v>1011</v>
      </c>
    </row>
    <row r="32" spans="1:58" s="57" customFormat="1" ht="14.65" hidden="1" customHeight="1">
      <c r="B32" s="62"/>
      <c r="D32" s="57" t="s">
        <v>1012</v>
      </c>
      <c r="E32" s="459">
        <v>15</v>
      </c>
      <c r="F32" s="3" cm="1">
        <f t="array" aca="1" ref="F32" ca="1">OFFSET(E32,-1,1)</f>
        <v>0</v>
      </c>
      <c r="H32" s="57" t="s">
        <v>465</v>
      </c>
      <c r="T32" s="365" t="b" cm="1">
        <f t="array" ref="T32">T31</f>
        <v>0</v>
      </c>
      <c r="X32" s="1075"/>
      <c r="Z32" s="1094"/>
      <c r="AB32" s="152" t="s">
        <v>900</v>
      </c>
      <c r="AC32" s="626" t="s">
        <v>1013</v>
      </c>
      <c r="AD32" s="27" t="s">
        <v>804</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839"/>
      <c r="BF32" s="665" t="s">
        <v>1014</v>
      </c>
    </row>
    <row r="33" spans="1:58" s="57" customFormat="1" ht="14.65" hidden="1" customHeight="1">
      <c r="B33" s="62"/>
      <c r="D33" s="57" t="s">
        <v>1015</v>
      </c>
      <c r="E33" s="459">
        <v>15</v>
      </c>
      <c r="F33" s="3" cm="1">
        <f t="array" aca="1" ref="F33" ca="1">OFFSET(E33,-1,1)</f>
        <v>0</v>
      </c>
      <c r="H33" s="57" t="s">
        <v>468</v>
      </c>
      <c r="T33" s="365" t="b" cm="1">
        <f t="array" ref="T33">T32</f>
        <v>0</v>
      </c>
      <c r="X33" s="1075"/>
      <c r="Z33" s="1094"/>
      <c r="AB33" s="152" t="s">
        <v>903</v>
      </c>
      <c r="AC33" s="146" t="s">
        <v>1016</v>
      </c>
      <c r="AD33" s="27" t="s">
        <v>804</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839"/>
      <c r="BF33" s="665" t="s">
        <v>1017</v>
      </c>
    </row>
    <row r="34" spans="1:58" s="57" customFormat="1" ht="14.65" hidden="1" customHeight="1">
      <c r="B34" s="62"/>
      <c r="D34" s="57" t="s">
        <v>1018</v>
      </c>
      <c r="E34" s="459">
        <v>15</v>
      </c>
      <c r="F34" s="3" cm="1">
        <f t="array" aca="1" ref="F34" ca="1">OFFSET(E34,-1,1)</f>
        <v>0</v>
      </c>
      <c r="H34" s="57" t="s">
        <v>472</v>
      </c>
      <c r="T34" s="365" t="b" cm="1">
        <f t="array" ref="T34">T33</f>
        <v>0</v>
      </c>
      <c r="X34" s="1075"/>
      <c r="Z34" s="1094"/>
      <c r="AB34" s="152" t="s">
        <v>906</v>
      </c>
      <c r="AC34" s="146" t="s">
        <v>1019</v>
      </c>
      <c r="AD34" s="27" t="s">
        <v>804</v>
      </c>
      <c r="AE34" s="787">
        <f t="shared" ref="AE34:BB34" si="4">SUM(AE35:AE36)</f>
        <v>0</v>
      </c>
      <c r="AF34" s="787">
        <f t="shared" si="4"/>
        <v>0</v>
      </c>
      <c r="AG34" s="787">
        <f t="shared" si="4"/>
        <v>0</v>
      </c>
      <c r="AH34" s="787">
        <f t="shared" si="4"/>
        <v>0</v>
      </c>
      <c r="AI34" s="787">
        <f t="shared" si="4"/>
        <v>0</v>
      </c>
      <c r="AJ34" s="787">
        <f t="shared" si="4"/>
        <v>0</v>
      </c>
      <c r="AK34" s="787">
        <f t="shared" si="4"/>
        <v>0</v>
      </c>
      <c r="AL34" s="787">
        <f t="shared" si="4"/>
        <v>0</v>
      </c>
      <c r="AM34" s="787">
        <f t="shared" si="4"/>
        <v>0</v>
      </c>
      <c r="AN34" s="787">
        <f t="shared" si="4"/>
        <v>0</v>
      </c>
      <c r="AO34" s="787">
        <f t="shared" si="4"/>
        <v>0</v>
      </c>
      <c r="AP34" s="787">
        <f t="shared" si="4"/>
        <v>0</v>
      </c>
      <c r="AQ34" s="787">
        <f t="shared" si="4"/>
        <v>0</v>
      </c>
      <c r="AR34" s="787">
        <f t="shared" si="4"/>
        <v>0</v>
      </c>
      <c r="AS34" s="787">
        <f t="shared" si="4"/>
        <v>0</v>
      </c>
      <c r="AT34" s="787">
        <f t="shared" si="4"/>
        <v>0</v>
      </c>
      <c r="AU34" s="787">
        <f t="shared" si="4"/>
        <v>0</v>
      </c>
      <c r="AV34" s="787">
        <f t="shared" si="4"/>
        <v>0</v>
      </c>
      <c r="AW34" s="787">
        <f t="shared" si="4"/>
        <v>0</v>
      </c>
      <c r="AX34" s="787">
        <f t="shared" si="4"/>
        <v>0</v>
      </c>
      <c r="AY34" s="787">
        <f t="shared" si="4"/>
        <v>0</v>
      </c>
      <c r="AZ34" s="787">
        <f t="shared" si="4"/>
        <v>0</v>
      </c>
      <c r="BA34" s="787">
        <f t="shared" si="4"/>
        <v>0</v>
      </c>
      <c r="BB34" s="787">
        <f t="shared" si="4"/>
        <v>0</v>
      </c>
      <c r="BC34" s="839"/>
      <c r="BF34" s="665" t="s">
        <v>1020</v>
      </c>
    </row>
    <row r="35" spans="1:58" s="57" customFormat="1" ht="35.1" hidden="1" customHeight="1">
      <c r="B35" s="62"/>
      <c r="E35" s="459">
        <v>36</v>
      </c>
      <c r="F35" s="3" cm="1">
        <f t="array" aca="1" ref="F35" ca="1">OFFSET(E35,-1,1)</f>
        <v>0</v>
      </c>
      <c r="T35" s="365" t="b" cm="1">
        <f t="array" ref="T35">T34</f>
        <v>0</v>
      </c>
      <c r="X35" s="1075"/>
      <c r="Z35" s="1094"/>
      <c r="AB35" s="152" t="s">
        <v>1021</v>
      </c>
      <c r="AC35" s="146" t="s">
        <v>1022</v>
      </c>
      <c r="AD35" s="27" t="s">
        <v>804</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839"/>
      <c r="BF35" s="665" t="s">
        <v>1023</v>
      </c>
    </row>
    <row r="36" spans="1:58" s="57" customFormat="1" ht="35.1" hidden="1" customHeight="1">
      <c r="B36" s="62"/>
      <c r="E36" s="459">
        <v>36</v>
      </c>
      <c r="F36" s="3" cm="1">
        <f t="array" aca="1" ref="F36" ca="1">OFFSET(E36,-1,1)</f>
        <v>0</v>
      </c>
      <c r="T36" s="365" t="b" cm="1">
        <f t="array" ref="T36">T35</f>
        <v>0</v>
      </c>
      <c r="X36" s="1075"/>
      <c r="Z36" s="1094"/>
      <c r="AB36" s="152" t="s">
        <v>1024</v>
      </c>
      <c r="AC36" s="146" t="s">
        <v>1025</v>
      </c>
      <c r="AD36" s="27" t="s">
        <v>804</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839"/>
      <c r="BF36" s="665" t="s">
        <v>1026</v>
      </c>
    </row>
    <row r="37" spans="1:58" s="408" customFormat="1" ht="14.25" customHeight="1">
      <c r="A37" s="57"/>
      <c r="B37" s="62"/>
      <c r="C37" s="57"/>
      <c r="D37" s="57"/>
      <c r="E37" s="459">
        <v>15</v>
      </c>
      <c r="F37" s="36" t="str" cm="1">
        <f t="array" ref="F37">X37</f>
        <v>1</v>
      </c>
      <c r="G37" s="57"/>
      <c r="H37" s="57"/>
      <c r="I37" s="57"/>
      <c r="J37" s="57"/>
      <c r="K37" s="57"/>
      <c r="L37" s="57"/>
      <c r="M37" s="57"/>
      <c r="N37" s="57"/>
      <c r="O37" s="57"/>
      <c r="P37" s="57"/>
      <c r="Q37" s="57"/>
      <c r="R37" s="57"/>
      <c r="S37" s="57"/>
      <c r="T37" s="365" t="b">
        <f>X37&gt;0</f>
        <v>1</v>
      </c>
      <c r="U37" s="57"/>
      <c r="V37" s="57" t="str" cm="1">
        <f t="array" ref="V37">'Амортизация (аналог)'!$AB$34</f>
        <v>Тариф 1 (Водоснабжение) - тариф на питьевую воду (Доп. признак не требуется)</v>
      </c>
      <c r="W37" s="57"/>
      <c r="X37" s="1075" t="s">
        <v>275</v>
      </c>
      <c r="Y37" s="57"/>
      <c r="Z37" s="1094"/>
      <c r="AA37" s="57"/>
      <c r="AB37" s="154" t="str" cm="1">
        <f t="array" ref="AB37">'Амортизация (аналог)'!$AB$34</f>
        <v>Тариф 1 (Водоснабжение) - тариф на питьевую воду (Доп. признак не требуется)</v>
      </c>
      <c r="AC37" s="113"/>
      <c r="AD37" s="107"/>
      <c r="AE37" s="107"/>
      <c r="AF37" s="107"/>
      <c r="AG37" s="10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42"/>
      <c r="BD37" s="57"/>
      <c r="BE37" s="57"/>
      <c r="BF37" s="665"/>
    </row>
    <row r="38" spans="1:58" s="408" customFormat="1" ht="44.25" customHeight="1">
      <c r="A38" s="57"/>
      <c r="B38" s="62"/>
      <c r="C38" s="57"/>
      <c r="D38" s="57"/>
      <c r="E38" s="459">
        <v>73.5</v>
      </c>
      <c r="F38" s="3" t="str" cm="1">
        <f t="array" aca="1" ref="F38" ca="1">OFFSET(E38,-1,1)</f>
        <v>1</v>
      </c>
      <c r="G38" s="384" t="s">
        <v>999</v>
      </c>
      <c r="H38" s="57" t="s">
        <v>327</v>
      </c>
      <c r="I38" s="57"/>
      <c r="J38" s="57"/>
      <c r="K38" s="59" t="str">
        <f ca="1">F38&amp;"komm"</f>
        <v>1komm</v>
      </c>
      <c r="L38" s="618" cm="1">
        <f t="array" ref="L38">BC38</f>
        <v>0</v>
      </c>
      <c r="M38" s="57"/>
      <c r="N38" s="57"/>
      <c r="O38" s="57"/>
      <c r="P38" s="57"/>
      <c r="Q38" s="57"/>
      <c r="R38" s="57"/>
      <c r="S38" s="57"/>
      <c r="T38" s="365" t="b" cm="1">
        <f t="array" ref="T38">T37</f>
        <v>1</v>
      </c>
      <c r="U38" s="57"/>
      <c r="V38" s="57"/>
      <c r="W38" s="57"/>
      <c r="X38" s="1075"/>
      <c r="Y38" s="57"/>
      <c r="Z38" s="1094"/>
      <c r="AA38" s="57"/>
      <c r="AB38" s="150" t="s">
        <v>275</v>
      </c>
      <c r="AC38" s="151" t="s">
        <v>1000</v>
      </c>
      <c r="AD38" s="137" t="s">
        <v>804</v>
      </c>
      <c r="AE38" s="190">
        <f t="shared" ref="AE38:BB38" si="5">AE39+AE42+AE43+AE44</f>
        <v>127.74816432</v>
      </c>
      <c r="AF38" s="190">
        <f t="shared" si="5"/>
        <v>555.94000000000005</v>
      </c>
      <c r="AG38" s="190">
        <f t="shared" si="5"/>
        <v>127.75</v>
      </c>
      <c r="AH38" s="190">
        <f t="shared" si="5"/>
        <v>330.38816431999999</v>
      </c>
      <c r="AI38" s="190">
        <f t="shared" si="5"/>
        <v>555.94000000000005</v>
      </c>
      <c r="AJ38" s="190">
        <f t="shared" si="5"/>
        <v>0</v>
      </c>
      <c r="AK38" s="190">
        <f t="shared" si="5"/>
        <v>0</v>
      </c>
      <c r="AL38" s="190">
        <f t="shared" si="5"/>
        <v>0</v>
      </c>
      <c r="AM38" s="190">
        <f t="shared" si="5"/>
        <v>0</v>
      </c>
      <c r="AN38" s="190">
        <f t="shared" si="5"/>
        <v>0</v>
      </c>
      <c r="AO38" s="190">
        <f t="shared" si="5"/>
        <v>0</v>
      </c>
      <c r="AP38" s="190">
        <f t="shared" si="5"/>
        <v>0</v>
      </c>
      <c r="AQ38" s="190">
        <f t="shared" si="5"/>
        <v>0</v>
      </c>
      <c r="AR38" s="190">
        <f t="shared" si="5"/>
        <v>0</v>
      </c>
      <c r="AS38" s="190">
        <f t="shared" si="5"/>
        <v>127.75</v>
      </c>
      <c r="AT38" s="190">
        <f t="shared" si="5"/>
        <v>0</v>
      </c>
      <c r="AU38" s="190">
        <f t="shared" si="5"/>
        <v>0</v>
      </c>
      <c r="AV38" s="190">
        <f t="shared" si="5"/>
        <v>0</v>
      </c>
      <c r="AW38" s="190">
        <f t="shared" si="5"/>
        <v>0</v>
      </c>
      <c r="AX38" s="190">
        <f t="shared" si="5"/>
        <v>0</v>
      </c>
      <c r="AY38" s="190">
        <f t="shared" si="5"/>
        <v>0</v>
      </c>
      <c r="AZ38" s="190">
        <f t="shared" si="5"/>
        <v>0</v>
      </c>
      <c r="BA38" s="190">
        <f t="shared" si="5"/>
        <v>0</v>
      </c>
      <c r="BB38" s="190">
        <f t="shared" si="5"/>
        <v>0</v>
      </c>
      <c r="BC38" s="132"/>
      <c r="BD38" s="57"/>
      <c r="BE38" s="57"/>
      <c r="BF38" s="689" t="s">
        <v>1001</v>
      </c>
    </row>
    <row r="39" spans="1:58" s="408" customFormat="1" ht="14.65" customHeight="1">
      <c r="A39" s="57"/>
      <c r="B39" s="62"/>
      <c r="C39" s="57"/>
      <c r="D39" s="57" t="s">
        <v>1002</v>
      </c>
      <c r="E39" s="459">
        <v>15</v>
      </c>
      <c r="F39" s="3" t="str" cm="1">
        <f t="array" aca="1" ref="F39" ca="1">OFFSET(E39,-1,1)</f>
        <v>1</v>
      </c>
      <c r="G39" s="57"/>
      <c r="H39" s="57" t="s">
        <v>461</v>
      </c>
      <c r="I39" s="57"/>
      <c r="J39" s="57"/>
      <c r="K39" s="57"/>
      <c r="L39" s="57"/>
      <c r="M39" s="57"/>
      <c r="N39" s="57"/>
      <c r="O39" s="57"/>
      <c r="P39" s="57"/>
      <c r="Q39" s="57"/>
      <c r="R39" s="57"/>
      <c r="S39" s="57"/>
      <c r="T39" s="365" t="b" cm="1">
        <f t="array" ref="T39">T38</f>
        <v>1</v>
      </c>
      <c r="U39" s="57"/>
      <c r="V39" s="57"/>
      <c r="W39" s="57"/>
      <c r="X39" s="1075"/>
      <c r="Y39" s="57"/>
      <c r="Z39" s="1094"/>
      <c r="AA39" s="57"/>
      <c r="AB39" s="152" t="s">
        <v>897</v>
      </c>
      <c r="AC39" s="146" t="s">
        <v>1002</v>
      </c>
      <c r="AD39" s="27" t="s">
        <v>804</v>
      </c>
      <c r="AE39" s="147">
        <f>SUM(AE40:AE41)</f>
        <v>0</v>
      </c>
      <c r="AF39" s="147">
        <f>SUM(AF40:AF41)</f>
        <v>428.19</v>
      </c>
      <c r="AG39" s="147">
        <f>SUM(AG40:AG41)</f>
        <v>0</v>
      </c>
      <c r="AH39" s="147">
        <v>202.64</v>
      </c>
      <c r="AI39" s="147">
        <f t="shared" ref="AI39:BB39" si="6">SUM(AI40:AI41)</f>
        <v>428.19</v>
      </c>
      <c r="AJ39" s="787">
        <f t="shared" si="6"/>
        <v>0</v>
      </c>
      <c r="AK39" s="787">
        <f t="shared" si="6"/>
        <v>0</v>
      </c>
      <c r="AL39" s="787">
        <f t="shared" si="6"/>
        <v>0</v>
      </c>
      <c r="AM39" s="787">
        <f t="shared" si="6"/>
        <v>0</v>
      </c>
      <c r="AN39" s="787">
        <f t="shared" si="6"/>
        <v>0</v>
      </c>
      <c r="AO39" s="787">
        <f t="shared" si="6"/>
        <v>0</v>
      </c>
      <c r="AP39" s="787">
        <f t="shared" si="6"/>
        <v>0</v>
      </c>
      <c r="AQ39" s="787">
        <f t="shared" si="6"/>
        <v>0</v>
      </c>
      <c r="AR39" s="787">
        <f t="shared" si="6"/>
        <v>0</v>
      </c>
      <c r="AS39" s="147">
        <f t="shared" si="6"/>
        <v>0</v>
      </c>
      <c r="AT39" s="787">
        <f t="shared" si="6"/>
        <v>0</v>
      </c>
      <c r="AU39" s="787">
        <f t="shared" si="6"/>
        <v>0</v>
      </c>
      <c r="AV39" s="787">
        <f t="shared" si="6"/>
        <v>0</v>
      </c>
      <c r="AW39" s="787">
        <f t="shared" si="6"/>
        <v>0</v>
      </c>
      <c r="AX39" s="787">
        <f t="shared" si="6"/>
        <v>0</v>
      </c>
      <c r="AY39" s="787">
        <f t="shared" si="6"/>
        <v>0</v>
      </c>
      <c r="AZ39" s="787">
        <f t="shared" si="6"/>
        <v>0</v>
      </c>
      <c r="BA39" s="787">
        <f t="shared" si="6"/>
        <v>0</v>
      </c>
      <c r="BB39" s="787">
        <f t="shared" si="6"/>
        <v>0</v>
      </c>
      <c r="BC39" s="132"/>
      <c r="BD39" s="57"/>
      <c r="BE39" s="57"/>
      <c r="BF39" s="689" t="s">
        <v>1003</v>
      </c>
    </row>
    <row r="40" spans="1:58" s="408" customFormat="1" ht="33.75" customHeight="1">
      <c r="A40" s="57"/>
      <c r="B40" s="62"/>
      <c r="C40" s="57"/>
      <c r="D40" s="57"/>
      <c r="E40" s="459">
        <v>24</v>
      </c>
      <c r="F40" s="3" t="str" cm="1">
        <f t="array" aca="1" ref="F40" ca="1">OFFSET(E40,-1,1)</f>
        <v>1</v>
      </c>
      <c r="G40" s="57"/>
      <c r="H40" s="57" t="s">
        <v>1004</v>
      </c>
      <c r="I40" s="57"/>
      <c r="J40" s="57"/>
      <c r="K40" s="57"/>
      <c r="L40" s="57"/>
      <c r="M40" s="57"/>
      <c r="N40" s="57"/>
      <c r="O40" s="57"/>
      <c r="P40" s="57"/>
      <c r="Q40" s="57"/>
      <c r="R40" s="57"/>
      <c r="S40" s="57"/>
      <c r="T40" s="365" t="b" cm="1">
        <f t="array" ref="T40">T39</f>
        <v>1</v>
      </c>
      <c r="U40" s="57"/>
      <c r="V40" s="57"/>
      <c r="W40" s="57"/>
      <c r="X40" s="1075"/>
      <c r="Y40" s="57"/>
      <c r="Z40" s="1094"/>
      <c r="AA40" s="57"/>
      <c r="AB40" s="152" t="s">
        <v>1005</v>
      </c>
      <c r="AC40" s="153" t="s">
        <v>1006</v>
      </c>
      <c r="AD40" s="27" t="s">
        <v>804</v>
      </c>
      <c r="AE40" s="147">
        <v>0</v>
      </c>
      <c r="AF40" s="147">
        <v>428.19</v>
      </c>
      <c r="AG40" s="147">
        <v>0</v>
      </c>
      <c r="AH40" s="147">
        <v>202.64</v>
      </c>
      <c r="AI40" s="147">
        <v>428.19</v>
      </c>
      <c r="AJ40" s="787"/>
      <c r="AK40" s="787"/>
      <c r="AL40" s="787"/>
      <c r="AM40" s="787"/>
      <c r="AN40" s="787"/>
      <c r="AO40" s="787"/>
      <c r="AP40" s="787"/>
      <c r="AQ40" s="787"/>
      <c r="AR40" s="787"/>
      <c r="AS40" s="147">
        <v>0</v>
      </c>
      <c r="AT40" s="787"/>
      <c r="AU40" s="787"/>
      <c r="AV40" s="787"/>
      <c r="AW40" s="787"/>
      <c r="AX40" s="787"/>
      <c r="AY40" s="787"/>
      <c r="AZ40" s="787"/>
      <c r="BA40" s="787"/>
      <c r="BB40" s="787"/>
      <c r="BC40" s="132" t="s">
        <v>1027</v>
      </c>
      <c r="BD40" s="57"/>
      <c r="BE40" s="57"/>
      <c r="BF40" s="665" t="s">
        <v>1007</v>
      </c>
    </row>
    <row r="41" spans="1:58" s="408" customFormat="1" ht="0" hidden="1" customHeight="1">
      <c r="A41" s="57"/>
      <c r="B41" s="62"/>
      <c r="C41" s="57"/>
      <c r="D41" s="57"/>
      <c r="E41" s="459">
        <v>15</v>
      </c>
      <c r="F41" s="3" t="str" cm="1">
        <f t="array" aca="1" ref="F41" ca="1">OFFSET(E41,-1,1)</f>
        <v>1</v>
      </c>
      <c r="G41" s="57"/>
      <c r="H41" s="57" t="s">
        <v>1008</v>
      </c>
      <c r="I41" s="57"/>
      <c r="J41" s="57"/>
      <c r="K41" s="57"/>
      <c r="L41" s="57"/>
      <c r="M41" s="57"/>
      <c r="N41" s="57"/>
      <c r="O41" s="57"/>
      <c r="P41" s="57"/>
      <c r="Q41" s="57"/>
      <c r="R41" s="57"/>
      <c r="S41" s="57"/>
      <c r="T41" s="365" t="b" cm="1">
        <f t="array" ref="T41">T40</f>
        <v>1</v>
      </c>
      <c r="U41" s="57"/>
      <c r="V41" s="57"/>
      <c r="W41" s="57"/>
      <c r="X41" s="1075"/>
      <c r="Y41" s="57"/>
      <c r="Z41" s="1094"/>
      <c r="AA41" s="57"/>
      <c r="AB41" s="152" t="s">
        <v>1009</v>
      </c>
      <c r="AC41" s="153" t="s">
        <v>1010</v>
      </c>
      <c r="AD41" s="27" t="s">
        <v>804</v>
      </c>
      <c r="AE41" s="147"/>
      <c r="AF41" s="147"/>
      <c r="AG41" s="147"/>
      <c r="AH41" s="147"/>
      <c r="AI41" s="147"/>
      <c r="AJ41" s="787"/>
      <c r="AK41" s="787"/>
      <c r="AL41" s="787"/>
      <c r="AM41" s="787"/>
      <c r="AN41" s="787"/>
      <c r="AO41" s="787"/>
      <c r="AP41" s="787"/>
      <c r="AQ41" s="787"/>
      <c r="AR41" s="787"/>
      <c r="AS41" s="147"/>
      <c r="AT41" s="787"/>
      <c r="AU41" s="787"/>
      <c r="AV41" s="787"/>
      <c r="AW41" s="787"/>
      <c r="AX41" s="787"/>
      <c r="AY41" s="787"/>
      <c r="AZ41" s="787"/>
      <c r="BA41" s="787"/>
      <c r="BB41" s="787"/>
      <c r="BC41" s="132"/>
      <c r="BD41" s="57"/>
      <c r="BE41" s="57"/>
      <c r="BF41" s="665" t="s">
        <v>1011</v>
      </c>
    </row>
    <row r="42" spans="1:58" s="408" customFormat="1" ht="0" hidden="1" customHeight="1">
      <c r="A42" s="57"/>
      <c r="B42" s="62"/>
      <c r="C42" s="57"/>
      <c r="D42" s="57" t="s">
        <v>1012</v>
      </c>
      <c r="E42" s="459">
        <v>15</v>
      </c>
      <c r="F42" s="3" t="str" cm="1">
        <f t="array" aca="1" ref="F42" ca="1">OFFSET(E42,-1,1)</f>
        <v>1</v>
      </c>
      <c r="G42" s="57"/>
      <c r="H42" s="57" t="s">
        <v>465</v>
      </c>
      <c r="I42" s="57"/>
      <c r="J42" s="57"/>
      <c r="K42" s="57"/>
      <c r="L42" s="57"/>
      <c r="M42" s="57"/>
      <c r="N42" s="57"/>
      <c r="O42" s="57"/>
      <c r="P42" s="57"/>
      <c r="Q42" s="57"/>
      <c r="R42" s="57"/>
      <c r="S42" s="57"/>
      <c r="T42" s="365" t="b" cm="1">
        <f t="array" ref="T42">T41</f>
        <v>1</v>
      </c>
      <c r="U42" s="57"/>
      <c r="V42" s="57"/>
      <c r="W42" s="57"/>
      <c r="X42" s="1075"/>
      <c r="Y42" s="57"/>
      <c r="Z42" s="1094"/>
      <c r="AA42" s="57"/>
      <c r="AB42" s="152" t="s">
        <v>900</v>
      </c>
      <c r="AC42" s="626" t="s">
        <v>1013</v>
      </c>
      <c r="AD42" s="27" t="s">
        <v>804</v>
      </c>
      <c r="AE42" s="147"/>
      <c r="AF42" s="147"/>
      <c r="AG42" s="147"/>
      <c r="AH42" s="147"/>
      <c r="AI42" s="147"/>
      <c r="AJ42" s="787"/>
      <c r="AK42" s="787"/>
      <c r="AL42" s="787"/>
      <c r="AM42" s="787"/>
      <c r="AN42" s="787"/>
      <c r="AO42" s="787"/>
      <c r="AP42" s="787"/>
      <c r="AQ42" s="787"/>
      <c r="AR42" s="787"/>
      <c r="AS42" s="147"/>
      <c r="AT42" s="787"/>
      <c r="AU42" s="787"/>
      <c r="AV42" s="787"/>
      <c r="AW42" s="787"/>
      <c r="AX42" s="787"/>
      <c r="AY42" s="787"/>
      <c r="AZ42" s="787"/>
      <c r="BA42" s="787"/>
      <c r="BB42" s="787"/>
      <c r="BC42" s="132"/>
      <c r="BD42" s="57"/>
      <c r="BE42" s="57"/>
      <c r="BF42" s="665" t="s">
        <v>1014</v>
      </c>
    </row>
    <row r="43" spans="1:58" s="408" customFormat="1" ht="12.75" customHeight="1">
      <c r="A43" s="57"/>
      <c r="B43" s="62"/>
      <c r="C43" s="57"/>
      <c r="D43" s="57" t="s">
        <v>1015</v>
      </c>
      <c r="E43" s="459">
        <v>15</v>
      </c>
      <c r="F43" s="3" t="str" cm="1">
        <f t="array" aca="1" ref="F43" ca="1">OFFSET(E43,-1,1)</f>
        <v>1</v>
      </c>
      <c r="G43" s="57"/>
      <c r="H43" s="57" t="s">
        <v>468</v>
      </c>
      <c r="I43" s="57"/>
      <c r="J43" s="57"/>
      <c r="K43" s="57"/>
      <c r="L43" s="57"/>
      <c r="M43" s="57"/>
      <c r="N43" s="57"/>
      <c r="O43" s="57"/>
      <c r="P43" s="57"/>
      <c r="Q43" s="57"/>
      <c r="R43" s="57"/>
      <c r="S43" s="57"/>
      <c r="T43" s="365" t="b" cm="1">
        <f t="array" ref="T43">T42</f>
        <v>1</v>
      </c>
      <c r="U43" s="57"/>
      <c r="V43" s="57"/>
      <c r="W43" s="57"/>
      <c r="X43" s="1075"/>
      <c r="Y43" s="57"/>
      <c r="Z43" s="1094"/>
      <c r="AA43" s="57"/>
      <c r="AB43" s="152" t="s">
        <v>903</v>
      </c>
      <c r="AC43" s="146" t="s">
        <v>1016</v>
      </c>
      <c r="AD43" s="27" t="s">
        <v>804</v>
      </c>
      <c r="AE43" s="147"/>
      <c r="AF43" s="147"/>
      <c r="AG43" s="147"/>
      <c r="AH43" s="147"/>
      <c r="AI43" s="147"/>
      <c r="AJ43" s="787"/>
      <c r="AK43" s="787"/>
      <c r="AL43" s="787"/>
      <c r="AM43" s="787"/>
      <c r="AN43" s="787"/>
      <c r="AO43" s="787"/>
      <c r="AP43" s="787"/>
      <c r="AQ43" s="787"/>
      <c r="AR43" s="787"/>
      <c r="AS43" s="147"/>
      <c r="AT43" s="787"/>
      <c r="AU43" s="787"/>
      <c r="AV43" s="787"/>
      <c r="AW43" s="787"/>
      <c r="AX43" s="787"/>
      <c r="AY43" s="787"/>
      <c r="AZ43" s="787"/>
      <c r="BA43" s="787"/>
      <c r="BB43" s="787"/>
      <c r="BC43" s="132"/>
      <c r="BD43" s="57"/>
      <c r="BE43" s="57"/>
      <c r="BF43" s="665" t="s">
        <v>1017</v>
      </c>
    </row>
    <row r="44" spans="1:58" s="408" customFormat="1" ht="23.25" customHeight="1">
      <c r="A44" s="57"/>
      <c r="B44" s="62"/>
      <c r="C44" s="57"/>
      <c r="D44" s="57" t="s">
        <v>1018</v>
      </c>
      <c r="E44" s="459">
        <v>15</v>
      </c>
      <c r="F44" s="3" t="str" cm="1">
        <f t="array" aca="1" ref="F44" ca="1">OFFSET(E44,-1,1)</f>
        <v>1</v>
      </c>
      <c r="G44" s="57"/>
      <c r="H44" s="57" t="s">
        <v>472</v>
      </c>
      <c r="I44" s="57"/>
      <c r="J44" s="57"/>
      <c r="K44" s="57"/>
      <c r="L44" s="57"/>
      <c r="M44" s="57"/>
      <c r="N44" s="57"/>
      <c r="O44" s="57"/>
      <c r="P44" s="57"/>
      <c r="Q44" s="57"/>
      <c r="R44" s="57"/>
      <c r="S44" s="57"/>
      <c r="T44" s="365" t="b" cm="1">
        <f t="array" ref="T44">T43</f>
        <v>1</v>
      </c>
      <c r="U44" s="57"/>
      <c r="V44" s="57"/>
      <c r="W44" s="57"/>
      <c r="X44" s="1075"/>
      <c r="Y44" s="57"/>
      <c r="Z44" s="1094"/>
      <c r="AA44" s="57"/>
      <c r="AB44" s="152" t="s">
        <v>906</v>
      </c>
      <c r="AC44" s="146" t="s">
        <v>1019</v>
      </c>
      <c r="AD44" s="27" t="s">
        <v>804</v>
      </c>
      <c r="AE44" s="147">
        <v>127.74816432</v>
      </c>
      <c r="AF44" s="147">
        <f>SUM(AF45:AF46)</f>
        <v>127.75</v>
      </c>
      <c r="AG44" s="147">
        <f>SUM(AG45:AG46)</f>
        <v>127.75</v>
      </c>
      <c r="AH44" s="147">
        <v>127.74816432</v>
      </c>
      <c r="AI44" s="147">
        <f t="shared" ref="AI44:BB44" si="7">SUM(AI45:AI46)</f>
        <v>127.75</v>
      </c>
      <c r="AJ44" s="787">
        <f t="shared" si="7"/>
        <v>0</v>
      </c>
      <c r="AK44" s="787">
        <f t="shared" si="7"/>
        <v>0</v>
      </c>
      <c r="AL44" s="787">
        <f t="shared" si="7"/>
        <v>0</v>
      </c>
      <c r="AM44" s="787">
        <f t="shared" si="7"/>
        <v>0</v>
      </c>
      <c r="AN44" s="787">
        <f t="shared" si="7"/>
        <v>0</v>
      </c>
      <c r="AO44" s="787">
        <f t="shared" si="7"/>
        <v>0</v>
      </c>
      <c r="AP44" s="787">
        <f t="shared" si="7"/>
        <v>0</v>
      </c>
      <c r="AQ44" s="787">
        <f t="shared" si="7"/>
        <v>0</v>
      </c>
      <c r="AR44" s="787">
        <f t="shared" si="7"/>
        <v>0</v>
      </c>
      <c r="AS44" s="147">
        <f t="shared" si="7"/>
        <v>127.75</v>
      </c>
      <c r="AT44" s="787">
        <f t="shared" si="7"/>
        <v>0</v>
      </c>
      <c r="AU44" s="787">
        <f t="shared" si="7"/>
        <v>0</v>
      </c>
      <c r="AV44" s="787">
        <f t="shared" si="7"/>
        <v>0</v>
      </c>
      <c r="AW44" s="787">
        <f t="shared" si="7"/>
        <v>0</v>
      </c>
      <c r="AX44" s="787">
        <f t="shared" si="7"/>
        <v>0</v>
      </c>
      <c r="AY44" s="787">
        <f t="shared" si="7"/>
        <v>0</v>
      </c>
      <c r="AZ44" s="787">
        <f t="shared" si="7"/>
        <v>0</v>
      </c>
      <c r="BA44" s="787">
        <f t="shared" si="7"/>
        <v>0</v>
      </c>
      <c r="BB44" s="787">
        <f t="shared" si="7"/>
        <v>0</v>
      </c>
      <c r="BC44" s="132" t="s">
        <v>1028</v>
      </c>
      <c r="BD44" s="57"/>
      <c r="BE44" s="57"/>
      <c r="BF44" s="665" t="s">
        <v>1020</v>
      </c>
    </row>
    <row r="45" spans="1:58" s="408" customFormat="1" ht="33.75" customHeight="1">
      <c r="A45" s="57"/>
      <c r="B45" s="62"/>
      <c r="C45" s="57"/>
      <c r="D45" s="57"/>
      <c r="E45" s="459">
        <v>36</v>
      </c>
      <c r="F45" s="3" t="str" cm="1">
        <f t="array" aca="1" ref="F45" ca="1">OFFSET(E45,-1,1)</f>
        <v>1</v>
      </c>
      <c r="G45" s="57"/>
      <c r="H45" s="57"/>
      <c r="I45" s="57"/>
      <c r="J45" s="57"/>
      <c r="K45" s="57"/>
      <c r="L45" s="57"/>
      <c r="M45" s="57"/>
      <c r="N45" s="57"/>
      <c r="O45" s="57"/>
      <c r="P45" s="57"/>
      <c r="Q45" s="57"/>
      <c r="R45" s="57"/>
      <c r="S45" s="57"/>
      <c r="T45" s="365" t="b" cm="1">
        <f t="array" ref="T45">T44</f>
        <v>1</v>
      </c>
      <c r="U45" s="57"/>
      <c r="V45" s="57"/>
      <c r="W45" s="57"/>
      <c r="X45" s="1075"/>
      <c r="Y45" s="57"/>
      <c r="Z45" s="1094"/>
      <c r="AA45" s="57"/>
      <c r="AB45" s="152" t="s">
        <v>1021</v>
      </c>
      <c r="AC45" s="146" t="s">
        <v>1022</v>
      </c>
      <c r="AD45" s="27" t="s">
        <v>804</v>
      </c>
      <c r="AE45" s="147">
        <v>127.74816432</v>
      </c>
      <c r="AF45" s="147">
        <v>127.75</v>
      </c>
      <c r="AG45" s="147">
        <v>127.75</v>
      </c>
      <c r="AH45" s="147">
        <v>127.74816432</v>
      </c>
      <c r="AI45" s="147">
        <v>127.75</v>
      </c>
      <c r="AJ45" s="787"/>
      <c r="AK45" s="787"/>
      <c r="AL45" s="787"/>
      <c r="AM45" s="787"/>
      <c r="AN45" s="787"/>
      <c r="AO45" s="787"/>
      <c r="AP45" s="787"/>
      <c r="AQ45" s="787"/>
      <c r="AR45" s="787"/>
      <c r="AS45" s="147">
        <v>127.75</v>
      </c>
      <c r="AT45" s="787"/>
      <c r="AU45" s="787"/>
      <c r="AV45" s="787"/>
      <c r="AW45" s="787"/>
      <c r="AX45" s="787"/>
      <c r="AY45" s="787"/>
      <c r="AZ45" s="787"/>
      <c r="BA45" s="787"/>
      <c r="BB45" s="787"/>
      <c r="BC45" s="132"/>
      <c r="BD45" s="57"/>
      <c r="BE45" s="57"/>
      <c r="BF45" s="665" t="s">
        <v>1023</v>
      </c>
    </row>
    <row r="46" spans="1:58" s="408" customFormat="1" ht="0" hidden="1" customHeight="1">
      <c r="A46" s="57"/>
      <c r="B46" s="62"/>
      <c r="C46" s="57"/>
      <c r="D46" s="57"/>
      <c r="E46" s="459">
        <v>36</v>
      </c>
      <c r="F46" s="3" t="str" cm="1">
        <f t="array" aca="1" ref="F46" ca="1">OFFSET(E46,-1,1)</f>
        <v>1</v>
      </c>
      <c r="G46" s="57"/>
      <c r="H46" s="57"/>
      <c r="I46" s="57"/>
      <c r="J46" s="57"/>
      <c r="K46" s="57"/>
      <c r="L46" s="57"/>
      <c r="M46" s="57"/>
      <c r="N46" s="57"/>
      <c r="O46" s="57"/>
      <c r="P46" s="57"/>
      <c r="Q46" s="57"/>
      <c r="R46" s="57"/>
      <c r="S46" s="57"/>
      <c r="T46" s="365" t="b" cm="1">
        <f t="array" ref="T46">T45</f>
        <v>1</v>
      </c>
      <c r="U46" s="57"/>
      <c r="V46" s="57"/>
      <c r="W46" s="57"/>
      <c r="X46" s="1075"/>
      <c r="Y46" s="57"/>
      <c r="Z46" s="1094"/>
      <c r="AA46" s="57"/>
      <c r="AB46" s="152" t="s">
        <v>1024</v>
      </c>
      <c r="AC46" s="146" t="s">
        <v>1025</v>
      </c>
      <c r="AD46" s="27" t="s">
        <v>804</v>
      </c>
      <c r="AE46" s="147"/>
      <c r="AF46" s="147"/>
      <c r="AG46" s="147"/>
      <c r="AH46" s="147"/>
      <c r="AI46" s="147"/>
      <c r="AJ46" s="787"/>
      <c r="AK46" s="787"/>
      <c r="AL46" s="787"/>
      <c r="AM46" s="787"/>
      <c r="AN46" s="787"/>
      <c r="AO46" s="787"/>
      <c r="AP46" s="787"/>
      <c r="AQ46" s="787"/>
      <c r="AR46" s="787"/>
      <c r="AS46" s="147"/>
      <c r="AT46" s="787"/>
      <c r="AU46" s="787"/>
      <c r="AV46" s="787"/>
      <c r="AW46" s="787"/>
      <c r="AX46" s="787"/>
      <c r="AY46" s="787"/>
      <c r="AZ46" s="787"/>
      <c r="BA46" s="787"/>
      <c r="BB46" s="787"/>
      <c r="BC46" s="132"/>
      <c r="BD46" s="57"/>
      <c r="BE46" s="57"/>
      <c r="BF46" s="665" t="s">
        <v>1026</v>
      </c>
    </row>
    <row r="47" spans="1:58" s="408" customFormat="1" ht="14.25" customHeight="1">
      <c r="A47" s="57"/>
      <c r="B47" s="62"/>
      <c r="C47" s="57"/>
      <c r="D47" s="57"/>
      <c r="E47" s="459">
        <v>15</v>
      </c>
      <c r="F47" s="36" t="str" cm="1">
        <f t="array" ref="F47">X47</f>
        <v>2</v>
      </c>
      <c r="G47" s="57"/>
      <c r="H47" s="57"/>
      <c r="I47" s="57"/>
      <c r="J47" s="57"/>
      <c r="K47" s="57"/>
      <c r="L47" s="57"/>
      <c r="M47" s="57"/>
      <c r="N47" s="57"/>
      <c r="O47" s="57"/>
      <c r="P47" s="57"/>
      <c r="Q47" s="57"/>
      <c r="R47" s="57"/>
      <c r="S47" s="57"/>
      <c r="T47" s="365" t="b">
        <f>X47&gt;0</f>
        <v>1</v>
      </c>
      <c r="U47" s="57"/>
      <c r="V47" s="57" t="str" cm="1">
        <f t="array" ref="V47">'Амортизация (аналог)'!$AB$41</f>
        <v>Тариф 2 (Водоотведение) - тариф на водоотведение (Доп. признак не требуется)</v>
      </c>
      <c r="W47" s="57"/>
      <c r="X47" s="1075" t="s">
        <v>285</v>
      </c>
      <c r="Y47" s="57"/>
      <c r="Z47" s="1094"/>
      <c r="AA47" s="57"/>
      <c r="AB47" s="154" t="str" cm="1">
        <f t="array" ref="AB47">'Амортизация (аналог)'!$AB$41</f>
        <v>Тариф 2 (Водоотведение) - тариф на водоотведение (Доп. признак не требуется)</v>
      </c>
      <c r="AC47" s="113"/>
      <c r="AD47" s="107"/>
      <c r="AE47" s="107"/>
      <c r="AF47" s="107"/>
      <c r="AG47" s="107"/>
      <c r="AH47" s="107"/>
      <c r="AI47" s="107"/>
      <c r="AJ47" s="107"/>
      <c r="AK47" s="107"/>
      <c r="AL47" s="107"/>
      <c r="AM47" s="107"/>
      <c r="AN47" s="107"/>
      <c r="AO47" s="107"/>
      <c r="AP47" s="107"/>
      <c r="AQ47" s="107"/>
      <c r="AR47" s="107"/>
      <c r="AS47" s="107"/>
      <c r="AT47" s="107"/>
      <c r="AU47" s="107"/>
      <c r="AV47" s="107"/>
      <c r="AW47" s="107"/>
      <c r="AX47" s="107"/>
      <c r="AY47" s="107"/>
      <c r="AZ47" s="107"/>
      <c r="BA47" s="107"/>
      <c r="BB47" s="107"/>
      <c r="BC47" s="142"/>
      <c r="BD47" s="57"/>
      <c r="BE47" s="57"/>
      <c r="BF47" s="665"/>
    </row>
    <row r="48" spans="1:58" s="408" customFormat="1" ht="44.25" customHeight="1">
      <c r="A48" s="57"/>
      <c r="B48" s="62"/>
      <c r="C48" s="57"/>
      <c r="D48" s="57"/>
      <c r="E48" s="459">
        <v>73.5</v>
      </c>
      <c r="F48" s="3" t="str" cm="1">
        <f t="array" aca="1" ref="F48" ca="1">OFFSET(E48,-1,1)</f>
        <v>2</v>
      </c>
      <c r="G48" s="384" t="s">
        <v>999</v>
      </c>
      <c r="H48" s="57" t="s">
        <v>327</v>
      </c>
      <c r="I48" s="57"/>
      <c r="J48" s="57"/>
      <c r="K48" s="59" t="str">
        <f ca="1">F48&amp;"komm"</f>
        <v>2komm</v>
      </c>
      <c r="L48" s="618" cm="1">
        <f t="array" ref="L48">BC48</f>
        <v>0</v>
      </c>
      <c r="M48" s="57"/>
      <c r="N48" s="57"/>
      <c r="O48" s="57"/>
      <c r="P48" s="57"/>
      <c r="Q48" s="57"/>
      <c r="R48" s="57"/>
      <c r="S48" s="57"/>
      <c r="T48" s="365" t="b" cm="1">
        <f t="array" ref="T48">T47</f>
        <v>1</v>
      </c>
      <c r="U48" s="57"/>
      <c r="V48" s="57"/>
      <c r="W48" s="57"/>
      <c r="X48" s="1075"/>
      <c r="Y48" s="57"/>
      <c r="Z48" s="1094"/>
      <c r="AA48" s="57"/>
      <c r="AB48" s="150" t="s">
        <v>275</v>
      </c>
      <c r="AC48" s="151" t="s">
        <v>1000</v>
      </c>
      <c r="AD48" s="137" t="s">
        <v>804</v>
      </c>
      <c r="AE48" s="190">
        <f t="shared" ref="AE48:BB48" si="8">AE49+AE52+AE53+AE54</f>
        <v>2.4919409899999998</v>
      </c>
      <c r="AF48" s="190">
        <f t="shared" si="8"/>
        <v>486.13</v>
      </c>
      <c r="AG48" s="190">
        <f t="shared" si="8"/>
        <v>2.4900000000000002</v>
      </c>
      <c r="AH48" s="190">
        <f t="shared" si="8"/>
        <v>237.72194098999998</v>
      </c>
      <c r="AI48" s="190">
        <f t="shared" si="8"/>
        <v>486.13</v>
      </c>
      <c r="AJ48" s="190">
        <f t="shared" si="8"/>
        <v>0</v>
      </c>
      <c r="AK48" s="190">
        <f t="shared" si="8"/>
        <v>0</v>
      </c>
      <c r="AL48" s="190">
        <f t="shared" si="8"/>
        <v>0</v>
      </c>
      <c r="AM48" s="190">
        <f t="shared" si="8"/>
        <v>0</v>
      </c>
      <c r="AN48" s="190">
        <f t="shared" si="8"/>
        <v>0</v>
      </c>
      <c r="AO48" s="190">
        <f t="shared" si="8"/>
        <v>0</v>
      </c>
      <c r="AP48" s="190">
        <f t="shared" si="8"/>
        <v>0</v>
      </c>
      <c r="AQ48" s="190">
        <f t="shared" si="8"/>
        <v>0</v>
      </c>
      <c r="AR48" s="190">
        <f t="shared" si="8"/>
        <v>0</v>
      </c>
      <c r="AS48" s="190">
        <f t="shared" si="8"/>
        <v>2.4900000000000002</v>
      </c>
      <c r="AT48" s="190">
        <f t="shared" si="8"/>
        <v>0</v>
      </c>
      <c r="AU48" s="190">
        <f t="shared" si="8"/>
        <v>0</v>
      </c>
      <c r="AV48" s="190">
        <f t="shared" si="8"/>
        <v>0</v>
      </c>
      <c r="AW48" s="190">
        <f t="shared" si="8"/>
        <v>0</v>
      </c>
      <c r="AX48" s="190">
        <f t="shared" si="8"/>
        <v>0</v>
      </c>
      <c r="AY48" s="190">
        <f t="shared" si="8"/>
        <v>0</v>
      </c>
      <c r="AZ48" s="190">
        <f t="shared" si="8"/>
        <v>0</v>
      </c>
      <c r="BA48" s="190">
        <f t="shared" si="8"/>
        <v>0</v>
      </c>
      <c r="BB48" s="190">
        <f t="shared" si="8"/>
        <v>0</v>
      </c>
      <c r="BC48" s="132"/>
      <c r="BD48" s="57"/>
      <c r="BE48" s="57"/>
      <c r="BF48" s="689" t="s">
        <v>1001</v>
      </c>
    </row>
    <row r="49" spans="1:58" s="408" customFormat="1" ht="14.65" customHeight="1">
      <c r="A49" s="57"/>
      <c r="B49" s="62"/>
      <c r="C49" s="57"/>
      <c r="D49" s="57" t="s">
        <v>1002</v>
      </c>
      <c r="E49" s="459">
        <v>15</v>
      </c>
      <c r="F49" s="3" t="str" cm="1">
        <f t="array" aca="1" ref="F49" ca="1">OFFSET(E49,-1,1)</f>
        <v>2</v>
      </c>
      <c r="G49" s="57"/>
      <c r="H49" s="57" t="s">
        <v>461</v>
      </c>
      <c r="I49" s="57"/>
      <c r="J49" s="57"/>
      <c r="K49" s="57"/>
      <c r="L49" s="57"/>
      <c r="M49" s="57"/>
      <c r="N49" s="57"/>
      <c r="O49" s="57"/>
      <c r="P49" s="57"/>
      <c r="Q49" s="57"/>
      <c r="R49" s="57"/>
      <c r="S49" s="57"/>
      <c r="T49" s="365" t="b" cm="1">
        <f t="array" ref="T49">T48</f>
        <v>1</v>
      </c>
      <c r="U49" s="57"/>
      <c r="V49" s="57"/>
      <c r="W49" s="57"/>
      <c r="X49" s="1075"/>
      <c r="Y49" s="57"/>
      <c r="Z49" s="1094"/>
      <c r="AA49" s="57"/>
      <c r="AB49" s="152" t="s">
        <v>897</v>
      </c>
      <c r="AC49" s="146" t="s">
        <v>1002</v>
      </c>
      <c r="AD49" s="27" t="s">
        <v>804</v>
      </c>
      <c r="AE49" s="147">
        <f>SUM(AE50:AE51)</f>
        <v>0</v>
      </c>
      <c r="AF49" s="147">
        <f>SUM(AF50:AF51)</f>
        <v>483.64</v>
      </c>
      <c r="AG49" s="147">
        <f>SUM(AG50:AG51)</f>
        <v>0</v>
      </c>
      <c r="AH49" s="147">
        <v>235.23</v>
      </c>
      <c r="AI49" s="147">
        <f t="shared" ref="AI49:BB49" si="9">SUM(AI50:AI51)</f>
        <v>483.64</v>
      </c>
      <c r="AJ49" s="787">
        <f t="shared" si="9"/>
        <v>0</v>
      </c>
      <c r="AK49" s="787">
        <f t="shared" si="9"/>
        <v>0</v>
      </c>
      <c r="AL49" s="787">
        <f t="shared" si="9"/>
        <v>0</v>
      </c>
      <c r="AM49" s="787">
        <f t="shared" si="9"/>
        <v>0</v>
      </c>
      <c r="AN49" s="787">
        <f t="shared" si="9"/>
        <v>0</v>
      </c>
      <c r="AO49" s="787">
        <f t="shared" si="9"/>
        <v>0</v>
      </c>
      <c r="AP49" s="787">
        <f t="shared" si="9"/>
        <v>0</v>
      </c>
      <c r="AQ49" s="787">
        <f t="shared" si="9"/>
        <v>0</v>
      </c>
      <c r="AR49" s="787">
        <f t="shared" si="9"/>
        <v>0</v>
      </c>
      <c r="AS49" s="147">
        <f t="shared" si="9"/>
        <v>0</v>
      </c>
      <c r="AT49" s="787">
        <f t="shared" si="9"/>
        <v>0</v>
      </c>
      <c r="AU49" s="787">
        <f t="shared" si="9"/>
        <v>0</v>
      </c>
      <c r="AV49" s="787">
        <f t="shared" si="9"/>
        <v>0</v>
      </c>
      <c r="AW49" s="787">
        <f t="shared" si="9"/>
        <v>0</v>
      </c>
      <c r="AX49" s="787">
        <f t="shared" si="9"/>
        <v>0</v>
      </c>
      <c r="AY49" s="787">
        <f t="shared" si="9"/>
        <v>0</v>
      </c>
      <c r="AZ49" s="787">
        <f t="shared" si="9"/>
        <v>0</v>
      </c>
      <c r="BA49" s="787">
        <f t="shared" si="9"/>
        <v>0</v>
      </c>
      <c r="BB49" s="787">
        <f t="shared" si="9"/>
        <v>0</v>
      </c>
      <c r="BC49" s="132"/>
      <c r="BD49" s="57"/>
      <c r="BE49" s="57"/>
      <c r="BF49" s="689" t="s">
        <v>1003</v>
      </c>
    </row>
    <row r="50" spans="1:58" s="408" customFormat="1" ht="33.75" customHeight="1">
      <c r="A50" s="57"/>
      <c r="B50" s="62"/>
      <c r="C50" s="57"/>
      <c r="D50" s="57"/>
      <c r="E50" s="459">
        <v>24</v>
      </c>
      <c r="F50" s="3" t="str" cm="1">
        <f t="array" aca="1" ref="F50" ca="1">OFFSET(E50,-1,1)</f>
        <v>2</v>
      </c>
      <c r="G50" s="57"/>
      <c r="H50" s="57" t="s">
        <v>1004</v>
      </c>
      <c r="I50" s="57"/>
      <c r="J50" s="57"/>
      <c r="K50" s="57"/>
      <c r="L50" s="57"/>
      <c r="M50" s="57"/>
      <c r="N50" s="57"/>
      <c r="O50" s="57"/>
      <c r="P50" s="57"/>
      <c r="Q50" s="57"/>
      <c r="R50" s="57"/>
      <c r="S50" s="57"/>
      <c r="T50" s="365" t="b" cm="1">
        <f t="array" ref="T50">T49</f>
        <v>1</v>
      </c>
      <c r="U50" s="57"/>
      <c r="V50" s="57"/>
      <c r="W50" s="57"/>
      <c r="X50" s="1075"/>
      <c r="Y50" s="57"/>
      <c r="Z50" s="1094"/>
      <c r="AA50" s="57"/>
      <c r="AB50" s="152" t="s">
        <v>1005</v>
      </c>
      <c r="AC50" s="153" t="s">
        <v>1006</v>
      </c>
      <c r="AD50" s="27" t="s">
        <v>804</v>
      </c>
      <c r="AE50" s="147">
        <v>0</v>
      </c>
      <c r="AF50" s="147">
        <v>483.64</v>
      </c>
      <c r="AG50" s="147">
        <v>0</v>
      </c>
      <c r="AH50" s="147">
        <v>235.23</v>
      </c>
      <c r="AI50" s="147">
        <v>483.64</v>
      </c>
      <c r="AJ50" s="787"/>
      <c r="AK50" s="787"/>
      <c r="AL50" s="787"/>
      <c r="AM50" s="787"/>
      <c r="AN50" s="787"/>
      <c r="AO50" s="787"/>
      <c r="AP50" s="787"/>
      <c r="AQ50" s="787"/>
      <c r="AR50" s="787"/>
      <c r="AS50" s="147">
        <v>0</v>
      </c>
      <c r="AT50" s="787"/>
      <c r="AU50" s="787"/>
      <c r="AV50" s="787"/>
      <c r="AW50" s="787"/>
      <c r="AX50" s="787"/>
      <c r="AY50" s="787"/>
      <c r="AZ50" s="787"/>
      <c r="BA50" s="787"/>
      <c r="BB50" s="787"/>
      <c r="BC50" s="132" t="s">
        <v>1029</v>
      </c>
      <c r="BD50" s="57"/>
      <c r="BE50" s="57"/>
      <c r="BF50" s="665" t="s">
        <v>1007</v>
      </c>
    </row>
    <row r="51" spans="1:58" s="408" customFormat="1" ht="0" hidden="1" customHeight="1">
      <c r="A51" s="57"/>
      <c r="B51" s="62"/>
      <c r="C51" s="57"/>
      <c r="D51" s="57"/>
      <c r="E51" s="459">
        <v>15</v>
      </c>
      <c r="F51" s="3" t="str" cm="1">
        <f t="array" aca="1" ref="F51" ca="1">OFFSET(E51,-1,1)</f>
        <v>2</v>
      </c>
      <c r="G51" s="57"/>
      <c r="H51" s="57" t="s">
        <v>1008</v>
      </c>
      <c r="I51" s="57"/>
      <c r="J51" s="57"/>
      <c r="K51" s="57"/>
      <c r="L51" s="57"/>
      <c r="M51" s="57"/>
      <c r="N51" s="57"/>
      <c r="O51" s="57"/>
      <c r="P51" s="57"/>
      <c r="Q51" s="57"/>
      <c r="R51" s="57"/>
      <c r="S51" s="57"/>
      <c r="T51" s="365" t="b" cm="1">
        <f t="array" ref="T51">T50</f>
        <v>1</v>
      </c>
      <c r="U51" s="57"/>
      <c r="V51" s="57"/>
      <c r="W51" s="57"/>
      <c r="X51" s="1075"/>
      <c r="Y51" s="57"/>
      <c r="Z51" s="1094"/>
      <c r="AA51" s="57"/>
      <c r="AB51" s="152" t="s">
        <v>1009</v>
      </c>
      <c r="AC51" s="153" t="s">
        <v>1010</v>
      </c>
      <c r="AD51" s="27" t="s">
        <v>804</v>
      </c>
      <c r="AE51" s="147"/>
      <c r="AF51" s="147"/>
      <c r="AG51" s="147"/>
      <c r="AH51" s="147"/>
      <c r="AI51" s="147"/>
      <c r="AJ51" s="787"/>
      <c r="AK51" s="787"/>
      <c r="AL51" s="787"/>
      <c r="AM51" s="787"/>
      <c r="AN51" s="787"/>
      <c r="AO51" s="787"/>
      <c r="AP51" s="787"/>
      <c r="AQ51" s="787"/>
      <c r="AR51" s="787"/>
      <c r="AS51" s="147"/>
      <c r="AT51" s="787"/>
      <c r="AU51" s="787"/>
      <c r="AV51" s="787"/>
      <c r="AW51" s="787"/>
      <c r="AX51" s="787"/>
      <c r="AY51" s="787"/>
      <c r="AZ51" s="787"/>
      <c r="BA51" s="787"/>
      <c r="BB51" s="787"/>
      <c r="BC51" s="132"/>
      <c r="BD51" s="57"/>
      <c r="BE51" s="57"/>
      <c r="BF51" s="665" t="s">
        <v>1011</v>
      </c>
    </row>
    <row r="52" spans="1:58" s="408" customFormat="1" ht="0" hidden="1" customHeight="1">
      <c r="A52" s="57"/>
      <c r="B52" s="62"/>
      <c r="C52" s="57"/>
      <c r="D52" s="57" t="s">
        <v>1012</v>
      </c>
      <c r="E52" s="459">
        <v>15</v>
      </c>
      <c r="F52" s="3" t="str" cm="1">
        <f t="array" aca="1" ref="F52" ca="1">OFFSET(E52,-1,1)</f>
        <v>2</v>
      </c>
      <c r="G52" s="57"/>
      <c r="H52" s="57" t="s">
        <v>465</v>
      </c>
      <c r="I52" s="57"/>
      <c r="J52" s="57"/>
      <c r="K52" s="57"/>
      <c r="L52" s="57"/>
      <c r="M52" s="57"/>
      <c r="N52" s="57"/>
      <c r="O52" s="57"/>
      <c r="P52" s="57"/>
      <c r="Q52" s="57"/>
      <c r="R52" s="57"/>
      <c r="S52" s="57"/>
      <c r="T52" s="365" t="b" cm="1">
        <f t="array" ref="T52">T51</f>
        <v>1</v>
      </c>
      <c r="U52" s="57"/>
      <c r="V52" s="57"/>
      <c r="W52" s="57"/>
      <c r="X52" s="1075"/>
      <c r="Y52" s="57"/>
      <c r="Z52" s="1094"/>
      <c r="AA52" s="57"/>
      <c r="AB52" s="152" t="s">
        <v>900</v>
      </c>
      <c r="AC52" s="626" t="s">
        <v>1013</v>
      </c>
      <c r="AD52" s="27" t="s">
        <v>804</v>
      </c>
      <c r="AE52" s="147"/>
      <c r="AF52" s="147"/>
      <c r="AG52" s="147"/>
      <c r="AH52" s="147"/>
      <c r="AI52" s="147"/>
      <c r="AJ52" s="787"/>
      <c r="AK52" s="787"/>
      <c r="AL52" s="787"/>
      <c r="AM52" s="787"/>
      <c r="AN52" s="787"/>
      <c r="AO52" s="787"/>
      <c r="AP52" s="787"/>
      <c r="AQ52" s="787"/>
      <c r="AR52" s="787"/>
      <c r="AS52" s="147"/>
      <c r="AT52" s="787"/>
      <c r="AU52" s="787"/>
      <c r="AV52" s="787"/>
      <c r="AW52" s="787"/>
      <c r="AX52" s="787"/>
      <c r="AY52" s="787"/>
      <c r="AZ52" s="787"/>
      <c r="BA52" s="787"/>
      <c r="BB52" s="787"/>
      <c r="BC52" s="132"/>
      <c r="BD52" s="57"/>
      <c r="BE52" s="57"/>
      <c r="BF52" s="665" t="s">
        <v>1014</v>
      </c>
    </row>
    <row r="53" spans="1:58" s="408" customFormat="1" ht="0" hidden="1" customHeight="1">
      <c r="A53" s="57"/>
      <c r="B53" s="62"/>
      <c r="C53" s="57"/>
      <c r="D53" s="57" t="s">
        <v>1015</v>
      </c>
      <c r="E53" s="459">
        <v>15</v>
      </c>
      <c r="F53" s="3" t="str" cm="1">
        <f t="array" aca="1" ref="F53" ca="1">OFFSET(E53,-1,1)</f>
        <v>2</v>
      </c>
      <c r="G53" s="57"/>
      <c r="H53" s="57" t="s">
        <v>468</v>
      </c>
      <c r="I53" s="57"/>
      <c r="J53" s="57"/>
      <c r="K53" s="57"/>
      <c r="L53" s="57"/>
      <c r="M53" s="57"/>
      <c r="N53" s="57"/>
      <c r="O53" s="57"/>
      <c r="P53" s="57"/>
      <c r="Q53" s="57"/>
      <c r="R53" s="57"/>
      <c r="S53" s="57"/>
      <c r="T53" s="365" t="b" cm="1">
        <f t="array" ref="T53">T52</f>
        <v>1</v>
      </c>
      <c r="U53" s="57"/>
      <c r="V53" s="57"/>
      <c r="W53" s="57"/>
      <c r="X53" s="1075"/>
      <c r="Y53" s="57"/>
      <c r="Z53" s="1094"/>
      <c r="AA53" s="57"/>
      <c r="AB53" s="152" t="s">
        <v>903</v>
      </c>
      <c r="AC53" s="146" t="s">
        <v>1016</v>
      </c>
      <c r="AD53" s="27" t="s">
        <v>804</v>
      </c>
      <c r="AE53" s="147"/>
      <c r="AF53" s="147"/>
      <c r="AG53" s="147"/>
      <c r="AH53" s="147"/>
      <c r="AI53" s="147"/>
      <c r="AJ53" s="787"/>
      <c r="AK53" s="787"/>
      <c r="AL53" s="787"/>
      <c r="AM53" s="787"/>
      <c r="AN53" s="787"/>
      <c r="AO53" s="787"/>
      <c r="AP53" s="787"/>
      <c r="AQ53" s="787"/>
      <c r="AR53" s="787"/>
      <c r="AS53" s="147"/>
      <c r="AT53" s="787"/>
      <c r="AU53" s="787"/>
      <c r="AV53" s="787"/>
      <c r="AW53" s="787"/>
      <c r="AX53" s="787"/>
      <c r="AY53" s="787"/>
      <c r="AZ53" s="787"/>
      <c r="BA53" s="787"/>
      <c r="BB53" s="787"/>
      <c r="BC53" s="132"/>
      <c r="BD53" s="57"/>
      <c r="BE53" s="57"/>
      <c r="BF53" s="665" t="s">
        <v>1017</v>
      </c>
    </row>
    <row r="54" spans="1:58" s="408" customFormat="1" ht="23.25" customHeight="1">
      <c r="A54" s="57"/>
      <c r="B54" s="62"/>
      <c r="C54" s="57"/>
      <c r="D54" s="57" t="s">
        <v>1018</v>
      </c>
      <c r="E54" s="459">
        <v>15</v>
      </c>
      <c r="F54" s="3" t="str" cm="1">
        <f t="array" aca="1" ref="F54" ca="1">OFFSET(E54,-1,1)</f>
        <v>2</v>
      </c>
      <c r="G54" s="57"/>
      <c r="H54" s="57" t="s">
        <v>472</v>
      </c>
      <c r="I54" s="57"/>
      <c r="J54" s="57"/>
      <c r="K54" s="57"/>
      <c r="L54" s="57"/>
      <c r="M54" s="57"/>
      <c r="N54" s="57"/>
      <c r="O54" s="57"/>
      <c r="P54" s="57"/>
      <c r="Q54" s="57"/>
      <c r="R54" s="57"/>
      <c r="S54" s="57"/>
      <c r="T54" s="365" t="b" cm="1">
        <f t="array" ref="T54">T53</f>
        <v>1</v>
      </c>
      <c r="U54" s="57"/>
      <c r="V54" s="57"/>
      <c r="W54" s="57"/>
      <c r="X54" s="1075"/>
      <c r="Y54" s="57"/>
      <c r="Z54" s="1094"/>
      <c r="AA54" s="57"/>
      <c r="AB54" s="152" t="s">
        <v>906</v>
      </c>
      <c r="AC54" s="146" t="s">
        <v>1019</v>
      </c>
      <c r="AD54" s="27" t="s">
        <v>804</v>
      </c>
      <c r="AE54" s="147">
        <v>2.4919409899999998</v>
      </c>
      <c r="AF54" s="147">
        <f>SUM(AF55:AF56)</f>
        <v>2.4900000000000002</v>
      </c>
      <c r="AG54" s="147">
        <f>SUM(AG55:AG56)</f>
        <v>2.4900000000000002</v>
      </c>
      <c r="AH54" s="147">
        <v>2.4919409899999998</v>
      </c>
      <c r="AI54" s="147">
        <f t="shared" ref="AI54:BB54" si="10">SUM(AI55:AI56)</f>
        <v>2.4900000000000002</v>
      </c>
      <c r="AJ54" s="787">
        <f t="shared" si="10"/>
        <v>0</v>
      </c>
      <c r="AK54" s="787">
        <f t="shared" si="10"/>
        <v>0</v>
      </c>
      <c r="AL54" s="787">
        <f t="shared" si="10"/>
        <v>0</v>
      </c>
      <c r="AM54" s="787">
        <f t="shared" si="10"/>
        <v>0</v>
      </c>
      <c r="AN54" s="787">
        <f t="shared" si="10"/>
        <v>0</v>
      </c>
      <c r="AO54" s="787">
        <f t="shared" si="10"/>
        <v>0</v>
      </c>
      <c r="AP54" s="787">
        <f t="shared" si="10"/>
        <v>0</v>
      </c>
      <c r="AQ54" s="787">
        <f t="shared" si="10"/>
        <v>0</v>
      </c>
      <c r="AR54" s="787">
        <f t="shared" si="10"/>
        <v>0</v>
      </c>
      <c r="AS54" s="147">
        <f t="shared" si="10"/>
        <v>2.4900000000000002</v>
      </c>
      <c r="AT54" s="787">
        <f t="shared" si="10"/>
        <v>0</v>
      </c>
      <c r="AU54" s="787">
        <f t="shared" si="10"/>
        <v>0</v>
      </c>
      <c r="AV54" s="787">
        <f t="shared" si="10"/>
        <v>0</v>
      </c>
      <c r="AW54" s="787">
        <f t="shared" si="10"/>
        <v>0</v>
      </c>
      <c r="AX54" s="787">
        <f t="shared" si="10"/>
        <v>0</v>
      </c>
      <c r="AY54" s="787">
        <f t="shared" si="10"/>
        <v>0</v>
      </c>
      <c r="AZ54" s="787">
        <f t="shared" si="10"/>
        <v>0</v>
      </c>
      <c r="BA54" s="787">
        <f t="shared" si="10"/>
        <v>0</v>
      </c>
      <c r="BB54" s="787">
        <f t="shared" si="10"/>
        <v>0</v>
      </c>
      <c r="BC54" s="132" t="s">
        <v>1030</v>
      </c>
      <c r="BD54" s="57"/>
      <c r="BE54" s="57"/>
      <c r="BF54" s="665" t="s">
        <v>1020</v>
      </c>
    </row>
    <row r="55" spans="1:58" s="408" customFormat="1" ht="31.35" customHeight="1">
      <c r="A55" s="57"/>
      <c r="B55" s="62"/>
      <c r="C55" s="57"/>
      <c r="D55" s="57"/>
      <c r="E55" s="459">
        <v>36</v>
      </c>
      <c r="F55" s="3" t="str" cm="1">
        <f t="array" aca="1" ref="F55" ca="1">OFFSET(E55,-1,1)</f>
        <v>2</v>
      </c>
      <c r="G55" s="57"/>
      <c r="H55" s="57"/>
      <c r="I55" s="57"/>
      <c r="J55" s="57"/>
      <c r="K55" s="57"/>
      <c r="L55" s="57"/>
      <c r="M55" s="57"/>
      <c r="N55" s="57"/>
      <c r="O55" s="57"/>
      <c r="P55" s="57"/>
      <c r="Q55" s="57"/>
      <c r="R55" s="57"/>
      <c r="S55" s="57"/>
      <c r="T55" s="365" t="b" cm="1">
        <f t="array" ref="T55">T54</f>
        <v>1</v>
      </c>
      <c r="U55" s="57"/>
      <c r="V55" s="57"/>
      <c r="W55" s="57"/>
      <c r="X55" s="1075"/>
      <c r="Y55" s="57"/>
      <c r="Z55" s="1094"/>
      <c r="AA55" s="57"/>
      <c r="AB55" s="152" t="s">
        <v>1021</v>
      </c>
      <c r="AC55" s="146" t="s">
        <v>1022</v>
      </c>
      <c r="AD55" s="27" t="s">
        <v>804</v>
      </c>
      <c r="AE55" s="147">
        <v>2.4919409899999998</v>
      </c>
      <c r="AF55" s="147">
        <v>2.4900000000000002</v>
      </c>
      <c r="AG55" s="147">
        <v>2.4900000000000002</v>
      </c>
      <c r="AH55" s="147">
        <v>2.4919409899999998</v>
      </c>
      <c r="AI55" s="147">
        <v>2.4900000000000002</v>
      </c>
      <c r="AJ55" s="787"/>
      <c r="AK55" s="787"/>
      <c r="AL55" s="787"/>
      <c r="AM55" s="787"/>
      <c r="AN55" s="787"/>
      <c r="AO55" s="787"/>
      <c r="AP55" s="787"/>
      <c r="AQ55" s="787"/>
      <c r="AR55" s="787"/>
      <c r="AS55" s="147">
        <v>2.4900000000000002</v>
      </c>
      <c r="AT55" s="787"/>
      <c r="AU55" s="787"/>
      <c r="AV55" s="787"/>
      <c r="AW55" s="787"/>
      <c r="AX55" s="787"/>
      <c r="AY55" s="787"/>
      <c r="AZ55" s="787"/>
      <c r="BA55" s="787"/>
      <c r="BB55" s="787"/>
      <c r="BC55" s="132"/>
      <c r="BD55" s="57"/>
      <c r="BE55" s="57"/>
      <c r="BF55" s="665" t="s">
        <v>1023</v>
      </c>
    </row>
    <row r="56" spans="1:58" s="408" customFormat="1" ht="23.25" customHeight="1">
      <c r="A56" s="57"/>
      <c r="B56" s="62"/>
      <c r="C56" s="57"/>
      <c r="D56" s="57"/>
      <c r="E56" s="459">
        <v>36</v>
      </c>
      <c r="F56" s="3" t="str" cm="1">
        <f t="array" aca="1" ref="F56" ca="1">OFFSET(E56,-1,1)</f>
        <v>2</v>
      </c>
      <c r="G56" s="57"/>
      <c r="H56" s="57"/>
      <c r="I56" s="57"/>
      <c r="J56" s="57"/>
      <c r="K56" s="57"/>
      <c r="L56" s="57"/>
      <c r="M56" s="57"/>
      <c r="N56" s="57"/>
      <c r="O56" s="57"/>
      <c r="P56" s="57"/>
      <c r="Q56" s="57"/>
      <c r="R56" s="57"/>
      <c r="S56" s="57"/>
      <c r="T56" s="365" t="b" cm="1">
        <f t="array" ref="T56">T55</f>
        <v>1</v>
      </c>
      <c r="U56" s="57"/>
      <c r="V56" s="57"/>
      <c r="W56" s="57"/>
      <c r="X56" s="1075"/>
      <c r="Y56" s="57"/>
      <c r="Z56" s="1094"/>
      <c r="AA56" s="57"/>
      <c r="AB56" s="152" t="s">
        <v>1024</v>
      </c>
      <c r="AC56" s="146" t="s">
        <v>1025</v>
      </c>
      <c r="AD56" s="27" t="s">
        <v>804</v>
      </c>
      <c r="AE56" s="147"/>
      <c r="AF56" s="147"/>
      <c r="AG56" s="147"/>
      <c r="AH56" s="147"/>
      <c r="AI56" s="147"/>
      <c r="AJ56" s="787"/>
      <c r="AK56" s="787"/>
      <c r="AL56" s="787"/>
      <c r="AM56" s="787"/>
      <c r="AN56" s="787"/>
      <c r="AO56" s="787"/>
      <c r="AP56" s="787"/>
      <c r="AQ56" s="787"/>
      <c r="AR56" s="787"/>
      <c r="AS56" s="147"/>
      <c r="AT56" s="787"/>
      <c r="AU56" s="787"/>
      <c r="AV56" s="787"/>
      <c r="AW56" s="787"/>
      <c r="AX56" s="787"/>
      <c r="AY56" s="787"/>
      <c r="AZ56" s="787"/>
      <c r="BA56" s="787"/>
      <c r="BB56" s="787"/>
      <c r="BC56" s="132"/>
      <c r="BD56" s="57"/>
      <c r="BE56" s="57"/>
      <c r="BF56" s="665" t="s">
        <v>1026</v>
      </c>
    </row>
    <row r="57" spans="1:58" ht="10.9" customHeight="1">
      <c r="E57" s="459">
        <v>11.25</v>
      </c>
      <c r="U57" s="57" t="s">
        <v>177</v>
      </c>
      <c r="V57" s="75" t="s">
        <v>1031</v>
      </c>
    </row>
    <row r="58" spans="1:58" ht="14.65" customHeight="1">
      <c r="E58" s="459">
        <v>15</v>
      </c>
      <c r="AA58" s="36"/>
      <c r="AB58" s="1088" t="s">
        <v>398</v>
      </c>
      <c r="AC58" s="1088"/>
      <c r="AD58" s="1088"/>
      <c r="AE58" s="1088"/>
      <c r="AF58" s="1088"/>
      <c r="AG58" s="1088"/>
      <c r="AH58" s="1088"/>
      <c r="AI58" s="1096"/>
      <c r="AJ58" s="1096"/>
      <c r="AK58" s="1096"/>
      <c r="AL58" s="1096"/>
      <c r="AM58" s="1096"/>
      <c r="AN58" s="1096"/>
      <c r="AO58" s="1096"/>
      <c r="AP58" s="1096"/>
      <c r="AQ58" s="1096"/>
      <c r="AR58" s="1096"/>
      <c r="AS58" s="1096"/>
      <c r="AT58" s="1096"/>
      <c r="AU58" s="1096"/>
      <c r="AV58" s="1096"/>
      <c r="AW58" s="1096"/>
      <c r="AX58" s="1096"/>
      <c r="AY58" s="1096"/>
      <c r="AZ58" s="1096"/>
      <c r="BA58" s="1096"/>
      <c r="BB58" s="1096"/>
      <c r="BC58" s="1096"/>
      <c r="BD58" s="36"/>
    </row>
    <row r="59" spans="1:58" ht="33.75" customHeight="1">
      <c r="E59" s="459">
        <v>15</v>
      </c>
      <c r="AA59" s="106"/>
      <c r="AB59" s="1097" t="s">
        <v>1032</v>
      </c>
      <c r="AC59" s="1097"/>
      <c r="AD59" s="1097"/>
      <c r="AE59" s="1097"/>
      <c r="AF59" s="1097"/>
      <c r="AG59" s="1097"/>
      <c r="AH59" s="1097"/>
      <c r="AI59" s="1098"/>
      <c r="AJ59" s="1132"/>
      <c r="AK59" s="1132"/>
      <c r="AL59" s="1132"/>
      <c r="AM59" s="1132"/>
      <c r="AN59" s="1132"/>
      <c r="AO59" s="1132"/>
      <c r="AP59" s="1132"/>
      <c r="AQ59" s="1132"/>
      <c r="AR59" s="1132"/>
      <c r="AS59" s="1098"/>
      <c r="AT59" s="1132"/>
      <c r="AU59" s="1132"/>
      <c r="AV59" s="1132"/>
      <c r="AW59" s="1132"/>
      <c r="AX59" s="1132"/>
      <c r="AY59" s="1132"/>
      <c r="AZ59" s="1132"/>
      <c r="BA59" s="1132"/>
      <c r="BB59" s="1132"/>
      <c r="BC59" s="1098"/>
      <c r="BD59" s="36"/>
    </row>
    <row r="60" spans="1:58" ht="18.75" hidden="1" customHeight="1">
      <c r="E60" s="459">
        <v>15</v>
      </c>
      <c r="T60" s="365" t="b">
        <f t="shared" ref="T60:T76" si="11">ROW(W60)&gt;ROW(W$60)</f>
        <v>0</v>
      </c>
      <c r="W60" s="528" t="s">
        <v>173</v>
      </c>
      <c r="AA60" s="4" t="s">
        <v>174</v>
      </c>
      <c r="AB60" s="1134" t="s">
        <v>225</v>
      </c>
      <c r="AC60" s="1134"/>
      <c r="AD60" s="1134"/>
      <c r="AE60" s="1134"/>
      <c r="AF60" s="1134"/>
      <c r="AG60" s="1134"/>
      <c r="AH60" s="1134"/>
      <c r="AI60" s="1135"/>
      <c r="AJ60" s="1136"/>
      <c r="AK60" s="1136"/>
      <c r="AL60" s="1136"/>
      <c r="AM60" s="1136"/>
      <c r="AN60" s="1136"/>
      <c r="AO60" s="1136"/>
      <c r="AP60" s="1136"/>
      <c r="AQ60" s="1136"/>
      <c r="AR60" s="1136"/>
      <c r="AS60" s="1135"/>
      <c r="AT60" s="1136"/>
      <c r="AU60" s="1136"/>
      <c r="AV60" s="1136"/>
      <c r="AW60" s="1136"/>
      <c r="AX60" s="1136"/>
      <c r="AY60" s="1136"/>
      <c r="AZ60" s="1136"/>
      <c r="BA60" s="1136"/>
      <c r="BB60" s="1136"/>
      <c r="BC60" s="1136"/>
    </row>
    <row r="61" spans="1:58" ht="44.25" customHeight="1">
      <c r="E61" s="459">
        <v>15</v>
      </c>
      <c r="T61" s="365" t="b">
        <f t="shared" si="11"/>
        <v>1</v>
      </c>
      <c r="W61" s="528"/>
      <c r="Y61" s="57" t="s">
        <v>225</v>
      </c>
      <c r="AA61" s="500" t="s">
        <v>174</v>
      </c>
      <c r="AB61" s="1097" t="s">
        <v>1033</v>
      </c>
      <c r="AC61" s="1097"/>
      <c r="AD61" s="1097"/>
      <c r="AE61" s="1097"/>
      <c r="AF61" s="1097"/>
      <c r="AG61" s="1097"/>
      <c r="AH61" s="1097"/>
      <c r="AI61" s="1098"/>
      <c r="AJ61" s="1098"/>
      <c r="AK61" s="1098"/>
      <c r="AL61" s="1098"/>
      <c r="AM61" s="1098"/>
      <c r="AN61" s="1098"/>
      <c r="AO61" s="1098"/>
      <c r="AP61" s="1098"/>
      <c r="AQ61" s="1098"/>
      <c r="AR61" s="1098"/>
      <c r="AS61" s="1098"/>
      <c r="AT61" s="1098"/>
      <c r="AU61" s="1098"/>
      <c r="AV61" s="1098"/>
      <c r="AW61" s="1098"/>
      <c r="AX61" s="1098"/>
      <c r="AY61" s="1098"/>
      <c r="AZ61" s="1098"/>
      <c r="BA61" s="1098"/>
      <c r="BB61" s="1098"/>
      <c r="BC61" s="1098"/>
      <c r="BD61" s="36"/>
    </row>
    <row r="62" spans="1:58" ht="44.25" customHeight="1">
      <c r="E62" s="459">
        <v>15</v>
      </c>
      <c r="T62" s="365" t="b">
        <f t="shared" si="11"/>
        <v>1</v>
      </c>
      <c r="W62" s="528"/>
      <c r="Y62" s="57" t="s">
        <v>225</v>
      </c>
      <c r="AA62" s="500" t="s">
        <v>174</v>
      </c>
      <c r="AB62" s="1097" t="s">
        <v>1034</v>
      </c>
      <c r="AC62" s="1097"/>
      <c r="AD62" s="1097"/>
      <c r="AE62" s="1097"/>
      <c r="AF62" s="1097"/>
      <c r="AG62" s="1097"/>
      <c r="AH62" s="1097"/>
      <c r="AI62" s="1098"/>
      <c r="AJ62" s="1098"/>
      <c r="AK62" s="1098"/>
      <c r="AL62" s="1098"/>
      <c r="AM62" s="1098"/>
      <c r="AN62" s="1098"/>
      <c r="AO62" s="1098"/>
      <c r="AP62" s="1098"/>
      <c r="AQ62" s="1098"/>
      <c r="AR62" s="1098"/>
      <c r="AS62" s="1098"/>
      <c r="AT62" s="1098"/>
      <c r="AU62" s="1098"/>
      <c r="AV62" s="1098"/>
      <c r="AW62" s="1098"/>
      <c r="AX62" s="1098"/>
      <c r="AY62" s="1098"/>
      <c r="AZ62" s="1098"/>
      <c r="BA62" s="1098"/>
      <c r="BB62" s="1098"/>
      <c r="BC62" s="1098"/>
      <c r="BD62" s="36"/>
    </row>
    <row r="63" spans="1:58" ht="37.35" customHeight="1">
      <c r="E63" s="459">
        <v>15</v>
      </c>
      <c r="T63" s="365" t="b">
        <f t="shared" si="11"/>
        <v>1</v>
      </c>
      <c r="W63" s="528"/>
      <c r="Y63" s="57" t="s">
        <v>225</v>
      </c>
      <c r="AA63" s="500" t="s">
        <v>174</v>
      </c>
      <c r="AB63" s="1097" t="s">
        <v>1035</v>
      </c>
      <c r="AC63" s="1097"/>
      <c r="AD63" s="1097"/>
      <c r="AE63" s="1097"/>
      <c r="AF63" s="1097"/>
      <c r="AG63" s="1097"/>
      <c r="AH63" s="1097"/>
      <c r="AI63" s="1098"/>
      <c r="AJ63" s="1098"/>
      <c r="AK63" s="1098"/>
      <c r="AL63" s="1098"/>
      <c r="AM63" s="1098"/>
      <c r="AN63" s="1098"/>
      <c r="AO63" s="1098"/>
      <c r="AP63" s="1098"/>
      <c r="AQ63" s="1098"/>
      <c r="AR63" s="1098"/>
      <c r="AS63" s="1098"/>
      <c r="AT63" s="1098"/>
      <c r="AU63" s="1098"/>
      <c r="AV63" s="1098"/>
      <c r="AW63" s="1098"/>
      <c r="AX63" s="1098"/>
      <c r="AY63" s="1098"/>
      <c r="AZ63" s="1098"/>
      <c r="BA63" s="1098"/>
      <c r="BB63" s="1098"/>
      <c r="BC63" s="1098"/>
      <c r="BD63" s="36"/>
    </row>
    <row r="64" spans="1:58" ht="33.75" customHeight="1">
      <c r="E64" s="459">
        <v>15</v>
      </c>
      <c r="T64" s="365" t="b">
        <f t="shared" si="11"/>
        <v>1</v>
      </c>
      <c r="W64" s="528"/>
      <c r="Y64" s="57" t="s">
        <v>225</v>
      </c>
      <c r="AA64" s="500" t="s">
        <v>174</v>
      </c>
      <c r="AB64" s="1097" t="s">
        <v>1036</v>
      </c>
      <c r="AC64" s="1097"/>
      <c r="AD64" s="1097"/>
      <c r="AE64" s="1097"/>
      <c r="AF64" s="1097"/>
      <c r="AG64" s="1097"/>
      <c r="AH64" s="1097"/>
      <c r="AI64" s="1098"/>
      <c r="AJ64" s="1098"/>
      <c r="AK64" s="1098"/>
      <c r="AL64" s="1098"/>
      <c r="AM64" s="1098"/>
      <c r="AN64" s="1098"/>
      <c r="AO64" s="1098"/>
      <c r="AP64" s="1098"/>
      <c r="AQ64" s="1098"/>
      <c r="AR64" s="1098"/>
      <c r="AS64" s="1098"/>
      <c r="AT64" s="1098"/>
      <c r="AU64" s="1098"/>
      <c r="AV64" s="1098"/>
      <c r="AW64" s="1098"/>
      <c r="AX64" s="1098"/>
      <c r="AY64" s="1098"/>
      <c r="AZ64" s="1098"/>
      <c r="BA64" s="1098"/>
      <c r="BB64" s="1098"/>
      <c r="BC64" s="1098"/>
      <c r="BD64" s="36"/>
    </row>
    <row r="65" spans="5:56" ht="65.25" customHeight="1">
      <c r="E65" s="459">
        <v>15</v>
      </c>
      <c r="T65" s="365" t="b">
        <f t="shared" si="11"/>
        <v>1</v>
      </c>
      <c r="W65" s="528"/>
      <c r="Y65" s="57" t="s">
        <v>225</v>
      </c>
      <c r="AA65" s="500" t="s">
        <v>174</v>
      </c>
      <c r="AB65" s="1097" t="s">
        <v>1037</v>
      </c>
      <c r="AC65" s="1097"/>
      <c r="AD65" s="1097"/>
      <c r="AE65" s="1097"/>
      <c r="AF65" s="1097"/>
      <c r="AG65" s="1097"/>
      <c r="AH65" s="1097"/>
      <c r="AI65" s="1098"/>
      <c r="AJ65" s="1098"/>
      <c r="AK65" s="1098"/>
      <c r="AL65" s="1098"/>
      <c r="AM65" s="1098"/>
      <c r="AN65" s="1098"/>
      <c r="AO65" s="1098"/>
      <c r="AP65" s="1098"/>
      <c r="AQ65" s="1098"/>
      <c r="AR65" s="1098"/>
      <c r="AS65" s="1098"/>
      <c r="AT65" s="1098"/>
      <c r="AU65" s="1098"/>
      <c r="AV65" s="1098"/>
      <c r="AW65" s="1098"/>
      <c r="AX65" s="1098"/>
      <c r="AY65" s="1098"/>
      <c r="AZ65" s="1098"/>
      <c r="BA65" s="1098"/>
      <c r="BB65" s="1098"/>
      <c r="BC65" s="1098"/>
      <c r="BD65" s="36"/>
    </row>
    <row r="66" spans="5:56" ht="14.25" customHeight="1">
      <c r="E66" s="459">
        <v>15</v>
      </c>
      <c r="T66" s="365" t="b">
        <f t="shared" si="11"/>
        <v>1</v>
      </c>
      <c r="W66" s="528"/>
      <c r="Y66" s="57" t="s">
        <v>225</v>
      </c>
      <c r="AA66" s="500" t="s">
        <v>174</v>
      </c>
      <c r="AB66" s="1097" t="s">
        <v>1038</v>
      </c>
      <c r="AC66" s="1097"/>
      <c r="AD66" s="1097"/>
      <c r="AE66" s="1097"/>
      <c r="AF66" s="1097"/>
      <c r="AG66" s="1097"/>
      <c r="AH66" s="1097"/>
      <c r="AI66" s="1098"/>
      <c r="AJ66" s="1098"/>
      <c r="AK66" s="1098"/>
      <c r="AL66" s="1098"/>
      <c r="AM66" s="1098"/>
      <c r="AN66" s="1098"/>
      <c r="AO66" s="1098"/>
      <c r="AP66" s="1098"/>
      <c r="AQ66" s="1098"/>
      <c r="AR66" s="1098"/>
      <c r="AS66" s="1098"/>
      <c r="AT66" s="1098"/>
      <c r="AU66" s="1098"/>
      <c r="AV66" s="1098"/>
      <c r="AW66" s="1098"/>
      <c r="AX66" s="1098"/>
      <c r="AY66" s="1098"/>
      <c r="AZ66" s="1098"/>
      <c r="BA66" s="1098"/>
      <c r="BB66" s="1098"/>
      <c r="BC66" s="1098"/>
      <c r="BD66" s="36"/>
    </row>
    <row r="67" spans="5:56" ht="14.25" customHeight="1">
      <c r="E67" s="459">
        <v>15</v>
      </c>
      <c r="T67" s="365" t="b">
        <f t="shared" si="11"/>
        <v>1</v>
      </c>
      <c r="W67" s="528"/>
      <c r="Y67" s="57" t="s">
        <v>225</v>
      </c>
      <c r="AA67" s="500" t="s">
        <v>174</v>
      </c>
      <c r="AB67" s="1097" t="s">
        <v>1039</v>
      </c>
      <c r="AC67" s="1097"/>
      <c r="AD67" s="1097"/>
      <c r="AE67" s="1097"/>
      <c r="AF67" s="1097"/>
      <c r="AG67" s="1097"/>
      <c r="AH67" s="1097"/>
      <c r="AI67" s="1098"/>
      <c r="AJ67" s="1098"/>
      <c r="AK67" s="1098"/>
      <c r="AL67" s="1098"/>
      <c r="AM67" s="1098"/>
      <c r="AN67" s="1098"/>
      <c r="AO67" s="1098"/>
      <c r="AP67" s="1098"/>
      <c r="AQ67" s="1098"/>
      <c r="AR67" s="1098"/>
      <c r="AS67" s="1098"/>
      <c r="AT67" s="1098"/>
      <c r="AU67" s="1098"/>
      <c r="AV67" s="1098"/>
      <c r="AW67" s="1098"/>
      <c r="AX67" s="1098"/>
      <c r="AY67" s="1098"/>
      <c r="AZ67" s="1098"/>
      <c r="BA67" s="1098"/>
      <c r="BB67" s="1098"/>
      <c r="BC67" s="1098"/>
      <c r="BD67" s="36"/>
    </row>
    <row r="68" spans="5:56" ht="14.25" customHeight="1">
      <c r="E68" s="459">
        <v>15</v>
      </c>
      <c r="T68" s="365" t="b">
        <f t="shared" si="11"/>
        <v>1</v>
      </c>
      <c r="W68" s="528"/>
      <c r="Y68" s="57" t="s">
        <v>225</v>
      </c>
      <c r="AA68" s="500" t="s">
        <v>174</v>
      </c>
      <c r="AB68" s="1097" t="s">
        <v>1040</v>
      </c>
      <c r="AC68" s="1097"/>
      <c r="AD68" s="1097"/>
      <c r="AE68" s="1097"/>
      <c r="AF68" s="1097"/>
      <c r="AG68" s="1097"/>
      <c r="AH68" s="1097"/>
      <c r="AI68" s="1098"/>
      <c r="AJ68" s="1098"/>
      <c r="AK68" s="1098"/>
      <c r="AL68" s="1098"/>
      <c r="AM68" s="1098"/>
      <c r="AN68" s="1098"/>
      <c r="AO68" s="1098"/>
      <c r="AP68" s="1098"/>
      <c r="AQ68" s="1098"/>
      <c r="AR68" s="1098"/>
      <c r="AS68" s="1098"/>
      <c r="AT68" s="1098"/>
      <c r="AU68" s="1098"/>
      <c r="AV68" s="1098"/>
      <c r="AW68" s="1098"/>
      <c r="AX68" s="1098"/>
      <c r="AY68" s="1098"/>
      <c r="AZ68" s="1098"/>
      <c r="BA68" s="1098"/>
      <c r="BB68" s="1098"/>
      <c r="BC68" s="1098"/>
      <c r="BD68" s="36"/>
    </row>
    <row r="69" spans="5:56" ht="33.75" customHeight="1">
      <c r="E69" s="459">
        <v>15</v>
      </c>
      <c r="T69" s="365" t="b">
        <f t="shared" si="11"/>
        <v>1</v>
      </c>
      <c r="W69" s="528"/>
      <c r="Y69" s="57" t="s">
        <v>225</v>
      </c>
      <c r="AA69" s="500" t="s">
        <v>174</v>
      </c>
      <c r="AB69" s="1097" t="s">
        <v>1041</v>
      </c>
      <c r="AC69" s="1097"/>
      <c r="AD69" s="1097"/>
      <c r="AE69" s="1097"/>
      <c r="AF69" s="1097"/>
      <c r="AG69" s="1097"/>
      <c r="AH69" s="1097"/>
      <c r="AI69" s="1098"/>
      <c r="AJ69" s="1098"/>
      <c r="AK69" s="1098"/>
      <c r="AL69" s="1098"/>
      <c r="AM69" s="1098"/>
      <c r="AN69" s="1098"/>
      <c r="AO69" s="1098"/>
      <c r="AP69" s="1098"/>
      <c r="AQ69" s="1098"/>
      <c r="AR69" s="1098"/>
      <c r="AS69" s="1098"/>
      <c r="AT69" s="1098"/>
      <c r="AU69" s="1098"/>
      <c r="AV69" s="1098"/>
      <c r="AW69" s="1098"/>
      <c r="AX69" s="1098"/>
      <c r="AY69" s="1098"/>
      <c r="AZ69" s="1098"/>
      <c r="BA69" s="1098"/>
      <c r="BB69" s="1098"/>
      <c r="BC69" s="1098"/>
      <c r="BD69" s="36"/>
    </row>
    <row r="70" spans="5:56" ht="44.25" customHeight="1">
      <c r="E70" s="459">
        <v>15</v>
      </c>
      <c r="T70" s="365" t="b">
        <f t="shared" si="11"/>
        <v>1</v>
      </c>
      <c r="W70" s="528"/>
      <c r="Y70" s="57" t="s">
        <v>225</v>
      </c>
      <c r="AA70" s="500" t="s">
        <v>174</v>
      </c>
      <c r="AB70" s="1097" t="s">
        <v>1042</v>
      </c>
      <c r="AC70" s="1097"/>
      <c r="AD70" s="1097"/>
      <c r="AE70" s="1097"/>
      <c r="AF70" s="1097"/>
      <c r="AG70" s="1097"/>
      <c r="AH70" s="1097"/>
      <c r="AI70" s="1098"/>
      <c r="AJ70" s="1098"/>
      <c r="AK70" s="1098"/>
      <c r="AL70" s="1098"/>
      <c r="AM70" s="1098"/>
      <c r="AN70" s="1098"/>
      <c r="AO70" s="1098"/>
      <c r="AP70" s="1098"/>
      <c r="AQ70" s="1098"/>
      <c r="AR70" s="1098"/>
      <c r="AS70" s="1098"/>
      <c r="AT70" s="1098"/>
      <c r="AU70" s="1098"/>
      <c r="AV70" s="1098"/>
      <c r="AW70" s="1098"/>
      <c r="AX70" s="1098"/>
      <c r="AY70" s="1098"/>
      <c r="AZ70" s="1098"/>
      <c r="BA70" s="1098"/>
      <c r="BB70" s="1098"/>
      <c r="BC70" s="1098"/>
      <c r="BD70" s="36"/>
    </row>
    <row r="71" spans="5:56" ht="23.25" customHeight="1">
      <c r="E71" s="459">
        <v>15</v>
      </c>
      <c r="T71" s="365" t="b">
        <f t="shared" si="11"/>
        <v>1</v>
      </c>
      <c r="W71" s="528"/>
      <c r="Y71" s="57" t="s">
        <v>225</v>
      </c>
      <c r="AA71" s="500" t="s">
        <v>174</v>
      </c>
      <c r="AB71" s="1097" t="s">
        <v>1043</v>
      </c>
      <c r="AC71" s="1097"/>
      <c r="AD71" s="1097"/>
      <c r="AE71" s="1097"/>
      <c r="AF71" s="1097"/>
      <c r="AG71" s="1097"/>
      <c r="AH71" s="1097"/>
      <c r="AI71" s="1098"/>
      <c r="AJ71" s="1098"/>
      <c r="AK71" s="1098"/>
      <c r="AL71" s="1098"/>
      <c r="AM71" s="1098"/>
      <c r="AN71" s="1098"/>
      <c r="AO71" s="1098"/>
      <c r="AP71" s="1098"/>
      <c r="AQ71" s="1098"/>
      <c r="AR71" s="1098"/>
      <c r="AS71" s="1098"/>
      <c r="AT71" s="1098"/>
      <c r="AU71" s="1098"/>
      <c r="AV71" s="1098"/>
      <c r="AW71" s="1098"/>
      <c r="AX71" s="1098"/>
      <c r="AY71" s="1098"/>
      <c r="AZ71" s="1098"/>
      <c r="BA71" s="1098"/>
      <c r="BB71" s="1098"/>
      <c r="BC71" s="1098"/>
      <c r="BD71" s="36"/>
    </row>
    <row r="72" spans="5:56" ht="44.25" customHeight="1">
      <c r="E72" s="459">
        <v>15</v>
      </c>
      <c r="T72" s="365" t="b">
        <f t="shared" si="11"/>
        <v>1</v>
      </c>
      <c r="W72" s="528"/>
      <c r="Y72" s="57" t="s">
        <v>225</v>
      </c>
      <c r="AA72" s="500" t="s">
        <v>174</v>
      </c>
      <c r="AB72" s="1097" t="s">
        <v>1044</v>
      </c>
      <c r="AC72" s="1097"/>
      <c r="AD72" s="1097"/>
      <c r="AE72" s="1097"/>
      <c r="AF72" s="1097"/>
      <c r="AG72" s="1097"/>
      <c r="AH72" s="1097"/>
      <c r="AI72" s="1098"/>
      <c r="AJ72" s="1098"/>
      <c r="AK72" s="1098"/>
      <c r="AL72" s="1098"/>
      <c r="AM72" s="1098"/>
      <c r="AN72" s="1098"/>
      <c r="AO72" s="1098"/>
      <c r="AP72" s="1098"/>
      <c r="AQ72" s="1098"/>
      <c r="AR72" s="1098"/>
      <c r="AS72" s="1098"/>
      <c r="AT72" s="1098"/>
      <c r="AU72" s="1098"/>
      <c r="AV72" s="1098"/>
      <c r="AW72" s="1098"/>
      <c r="AX72" s="1098"/>
      <c r="AY72" s="1098"/>
      <c r="AZ72" s="1098"/>
      <c r="BA72" s="1098"/>
      <c r="BB72" s="1098"/>
      <c r="BC72" s="1098"/>
      <c r="BD72" s="36"/>
    </row>
    <row r="73" spans="5:56" ht="49.35" customHeight="1">
      <c r="E73" s="459">
        <v>15</v>
      </c>
      <c r="T73" s="365" t="b">
        <f t="shared" si="11"/>
        <v>1</v>
      </c>
      <c r="W73" s="528"/>
      <c r="Y73" s="57" t="s">
        <v>225</v>
      </c>
      <c r="AA73" s="4" t="s">
        <v>174</v>
      </c>
      <c r="AB73" s="1133" t="s">
        <v>1045</v>
      </c>
      <c r="AC73" s="1134"/>
      <c r="AD73" s="1134"/>
      <c r="AE73" s="1134"/>
      <c r="AF73" s="1134"/>
      <c r="AG73" s="1134"/>
      <c r="AH73" s="1134"/>
      <c r="AI73" s="1135"/>
      <c r="AJ73" s="1136"/>
      <c r="AK73" s="1136"/>
      <c r="AL73" s="1136"/>
      <c r="AM73" s="1136"/>
      <c r="AN73" s="1136"/>
      <c r="AO73" s="1136"/>
      <c r="AP73" s="1136"/>
      <c r="AQ73" s="1136"/>
      <c r="AR73" s="1136"/>
      <c r="AS73" s="1135"/>
      <c r="AT73" s="1136"/>
      <c r="AU73" s="1136"/>
      <c r="AV73" s="1136"/>
      <c r="AW73" s="1136"/>
      <c r="AX73" s="1136"/>
      <c r="AY73" s="1136"/>
      <c r="AZ73" s="1136"/>
      <c r="BA73" s="1136"/>
      <c r="BB73" s="1136"/>
      <c r="BC73" s="1136"/>
    </row>
    <row r="74" spans="5:56" ht="22.35" customHeight="1">
      <c r="E74" s="459">
        <v>15</v>
      </c>
      <c r="T74" s="365" t="b">
        <f t="shared" si="11"/>
        <v>1</v>
      </c>
      <c r="W74" s="528"/>
      <c r="Y74" s="57" t="s">
        <v>225</v>
      </c>
      <c r="AA74" s="4" t="s">
        <v>174</v>
      </c>
      <c r="AB74" s="1133" t="s">
        <v>1046</v>
      </c>
      <c r="AC74" s="1134"/>
      <c r="AD74" s="1134"/>
      <c r="AE74" s="1134"/>
      <c r="AF74" s="1134"/>
      <c r="AG74" s="1134"/>
      <c r="AH74" s="1134"/>
      <c r="AI74" s="1135"/>
      <c r="AJ74" s="1136"/>
      <c r="AK74" s="1136"/>
      <c r="AL74" s="1136"/>
      <c r="AM74" s="1136"/>
      <c r="AN74" s="1136"/>
      <c r="AO74" s="1136"/>
      <c r="AP74" s="1136"/>
      <c r="AQ74" s="1136"/>
      <c r="AR74" s="1136"/>
      <c r="AS74" s="1135"/>
      <c r="AT74" s="1136"/>
      <c r="AU74" s="1136"/>
      <c r="AV74" s="1136"/>
      <c r="AW74" s="1136"/>
      <c r="AX74" s="1136"/>
      <c r="AY74" s="1136"/>
      <c r="AZ74" s="1136"/>
      <c r="BA74" s="1136"/>
      <c r="BB74" s="1136"/>
      <c r="BC74" s="1136"/>
    </row>
    <row r="75" spans="5:56" ht="50.1" customHeight="1">
      <c r="E75" s="459">
        <v>15</v>
      </c>
      <c r="T75" s="365" t="b">
        <f t="shared" si="11"/>
        <v>1</v>
      </c>
      <c r="W75" s="528"/>
      <c r="Y75" s="57" t="s">
        <v>225</v>
      </c>
      <c r="AA75" s="4" t="s">
        <v>174</v>
      </c>
      <c r="AB75" s="1133" t="s">
        <v>1047</v>
      </c>
      <c r="AC75" s="1134"/>
      <c r="AD75" s="1134"/>
      <c r="AE75" s="1134"/>
      <c r="AF75" s="1134"/>
      <c r="AG75" s="1134"/>
      <c r="AH75" s="1134"/>
      <c r="AI75" s="1135"/>
      <c r="AJ75" s="1136"/>
      <c r="AK75" s="1136"/>
      <c r="AL75" s="1136"/>
      <c r="AM75" s="1136"/>
      <c r="AN75" s="1136"/>
      <c r="AO75" s="1136"/>
      <c r="AP75" s="1136"/>
      <c r="AQ75" s="1136"/>
      <c r="AR75" s="1136"/>
      <c r="AS75" s="1135"/>
      <c r="AT75" s="1136"/>
      <c r="AU75" s="1136"/>
      <c r="AV75" s="1136"/>
      <c r="AW75" s="1136"/>
      <c r="AX75" s="1136"/>
      <c r="AY75" s="1136"/>
      <c r="AZ75" s="1136"/>
      <c r="BA75" s="1136"/>
      <c r="BB75" s="1136"/>
      <c r="BC75" s="1136"/>
    </row>
    <row r="76" spans="5:56" ht="32.1" customHeight="1">
      <c r="E76" s="459">
        <v>15</v>
      </c>
      <c r="T76" s="365" t="b">
        <f t="shared" si="11"/>
        <v>1</v>
      </c>
      <c r="W76" s="528"/>
      <c r="Y76" s="57" t="s">
        <v>225</v>
      </c>
      <c r="AA76" s="4" t="s">
        <v>174</v>
      </c>
      <c r="AB76" s="1133" t="s">
        <v>1048</v>
      </c>
      <c r="AC76" s="1134"/>
      <c r="AD76" s="1134"/>
      <c r="AE76" s="1134"/>
      <c r="AF76" s="1134"/>
      <c r="AG76" s="1134"/>
      <c r="AH76" s="1134"/>
      <c r="AI76" s="1135"/>
      <c r="AJ76" s="1136"/>
      <c r="AK76" s="1136"/>
      <c r="AL76" s="1136"/>
      <c r="AM76" s="1136"/>
      <c r="AN76" s="1136"/>
      <c r="AO76" s="1136"/>
      <c r="AP76" s="1136"/>
      <c r="AQ76" s="1136"/>
      <c r="AR76" s="1136"/>
      <c r="AS76" s="1135"/>
      <c r="AT76" s="1136"/>
      <c r="AU76" s="1136"/>
      <c r="AV76" s="1136"/>
      <c r="AW76" s="1136"/>
      <c r="AX76" s="1136"/>
      <c r="AY76" s="1136"/>
      <c r="AZ76" s="1136"/>
      <c r="BA76" s="1136"/>
      <c r="BB76" s="1136"/>
      <c r="BC76" s="1136"/>
    </row>
    <row r="77" spans="5:56" ht="14.65" customHeight="1">
      <c r="E77" s="459">
        <v>15</v>
      </c>
      <c r="W77" s="528" t="s">
        <v>399</v>
      </c>
      <c r="AA77" s="36"/>
      <c r="AB77" s="485"/>
      <c r="AC77" s="394" t="s">
        <v>400</v>
      </c>
      <c r="AD77" s="231"/>
      <c r="AE77" s="231"/>
      <c r="AF77" s="232"/>
      <c r="AG77" s="232"/>
      <c r="AH77" s="232"/>
      <c r="AI77" s="232"/>
      <c r="AJ77" s="232"/>
      <c r="AK77" s="232"/>
      <c r="AL77" s="232"/>
      <c r="AM77" s="232"/>
      <c r="AN77" s="232"/>
      <c r="AO77" s="232"/>
      <c r="AP77" s="232"/>
      <c r="AQ77" s="232"/>
      <c r="AR77" s="232"/>
      <c r="AS77" s="232"/>
      <c r="AT77" s="232"/>
      <c r="AU77" s="232"/>
      <c r="AV77" s="232"/>
      <c r="AW77" s="232"/>
      <c r="AX77" s="232"/>
      <c r="AY77" s="232"/>
      <c r="AZ77" s="232"/>
      <c r="BA77" s="232"/>
      <c r="BB77" s="232"/>
      <c r="BC77" s="233"/>
      <c r="BD77" s="36"/>
    </row>
    <row r="78" spans="5:56" ht="10.9" customHeight="1">
      <c r="E78" s="459">
        <v>11.25</v>
      </c>
      <c r="BD78" s="41"/>
    </row>
  </sheetData>
  <sheetProtection formatColumns="0" formatRows="0" insertRows="0" deleteColumns="0" deleteRows="0" sort="0" autoFilter="0"/>
  <mergeCells count="29">
    <mergeCell ref="X27:X36"/>
    <mergeCell ref="Z27:Z36"/>
    <mergeCell ref="BC24:BC25"/>
    <mergeCell ref="AB24:AB25"/>
    <mergeCell ref="AC24:AC25"/>
    <mergeCell ref="AD24:AD25"/>
    <mergeCell ref="AB60:BC60"/>
    <mergeCell ref="AB58:BC58"/>
    <mergeCell ref="AB59:BC59"/>
    <mergeCell ref="X37:X46"/>
    <mergeCell ref="Z37:Z46"/>
    <mergeCell ref="X47:X56"/>
    <mergeCell ref="Z47:Z56"/>
    <mergeCell ref="AB61:BC61"/>
    <mergeCell ref="AB62:BC62"/>
    <mergeCell ref="AB63:BC63"/>
    <mergeCell ref="AB64:BC64"/>
    <mergeCell ref="AB65:BC65"/>
    <mergeCell ref="AB66:BC66"/>
    <mergeCell ref="AB67:BC67"/>
    <mergeCell ref="AB68:BC68"/>
    <mergeCell ref="AB69:BC69"/>
    <mergeCell ref="AB70:BC70"/>
    <mergeCell ref="AB76:BC76"/>
    <mergeCell ref="AB71:BC71"/>
    <mergeCell ref="AB72:BC72"/>
    <mergeCell ref="AB73:BC73"/>
    <mergeCell ref="AB74:BC74"/>
    <mergeCell ref="AB75:BC75"/>
  </mergeCells>
  <dataValidations count="1">
    <dataValidation type="decimal" allowBlank="1" showErrorMessage="1" errorTitle="Ошибка" error="Допускается ввод только неотрицательных чисел!" sqref="BB30:BB36 BB40:BB46 BB50:BB56 BA30:BA36 BA40:BA46 BA50:BA56 AZ30:AZ36 AZ40:AZ46 AZ50:AZ56 AY30:AY36 AY40:AY46 AY50:AY56 AX30:AX36 AX40:AX46 AX50:AX56 AW30:AW36 AW40:AW46 AW50:AW56 AV30:AV36 AV40:AV46 AV50:AV56 AU30:AU36 AU40:AU46 AU50:AU56 AT30:AT36 AT40:AT46 AT50:AT56 AS30:AS36 AS40:AS46 AS50:AS56 AR30:AR36 AR40:AR46 AR50:AR56 AQ30:AQ36 AQ40:AQ46 AQ50:AQ56 AP30:AP36 AP40:AP46 AP50:AP56 AO30:AO36 AO40:AO46 AO50:AO56 AN30:AN36 AN40:AN46 AN50:AN56 AM30:AM36 AM40:AM46 AM50:AM56 AL30:AL36 AL40:AL46 AL50:AL56 AK30:AK36 AK40:AK46 AK50:AK56 AJ30:AJ36 AJ40:AJ46 AJ50:AJ56 AI30:AI36 AI40:AI46 AI50:AI56 AH30:AH36 AH40:AH46 AH50:AH56 AG30:AG36 AG40:AG46 AG50:AG56 AF30:AF36 AF40:AF46 AF50:AF56 AE30:AE36 AE40:AE46 AE50:AE5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BD9C8-4BE5-F198-E519-85B85889EEA9}">
  <sheetPr>
    <tabColor rgb="FF002060"/>
    <outlinePr summaryBelow="0" summaryRight="0"/>
    <pageSetUpPr fitToPage="1"/>
  </sheetPr>
  <dimension ref="A1:AI53"/>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42578125" style="41" hidden="1" customWidth="1"/>
    <col min="2" max="2" width="6.7109375" style="41" hidden="1" customWidth="1"/>
    <col min="3" max="4" width="2.7109375" style="41" hidden="1" customWidth="1"/>
    <col min="5" max="5" width="3.7109375" style="460" hidden="1" customWidth="1"/>
    <col min="6" max="19" width="2.7109375" style="41" hidden="1" customWidth="1"/>
    <col min="20" max="20" width="8.140625" style="41" hidden="1" customWidth="1"/>
    <col min="21" max="21" width="5.85546875" style="41" hidden="1" customWidth="1"/>
    <col min="22" max="23" width="6.140625" style="41" hidden="1" customWidth="1"/>
    <col min="24" max="25" width="5.5703125" style="41" hidden="1" customWidth="1"/>
    <col min="26" max="26" width="5.28515625" style="41" hidden="1" customWidth="1"/>
    <col min="27" max="27" width="3" style="41" customWidth="1"/>
    <col min="28" max="28" width="11.7109375" style="41" customWidth="1"/>
    <col min="29" max="29" width="41.7109375" style="41" customWidth="1"/>
    <col min="30" max="30" width="15.7109375" style="63" customWidth="1"/>
    <col min="31" max="32" width="12.5703125" style="63" customWidth="1"/>
    <col min="33" max="33" width="8.7109375" style="41"/>
    <col min="34" max="34" width="8.7109375" style="41" hidden="1"/>
    <col min="35" max="35" width="8.7109375" style="667" hidden="1"/>
  </cols>
  <sheetData>
    <row r="1" spans="1:35" ht="11.25" hidden="1" customHeight="1">
      <c r="E1" s="41"/>
      <c r="F1" s="41" t="s">
        <v>315</v>
      </c>
      <c r="G1" s="41" t="s">
        <v>326</v>
      </c>
      <c r="T1" s="365" t="s">
        <v>93</v>
      </c>
      <c r="U1" s="365" t="s">
        <v>98</v>
      </c>
      <c r="V1" s="365" t="s">
        <v>94</v>
      </c>
      <c r="W1" s="365" t="s">
        <v>95</v>
      </c>
      <c r="X1" s="365" t="s">
        <v>96</v>
      </c>
      <c r="Y1" s="367" t="s">
        <v>317</v>
      </c>
      <c r="Z1" s="365" t="s">
        <v>100</v>
      </c>
      <c r="AA1" s="367" t="s">
        <v>97</v>
      </c>
      <c r="AB1" s="23"/>
      <c r="AC1" s="366" t="s">
        <v>99</v>
      </c>
      <c r="AI1" s="667" t="s">
        <v>318</v>
      </c>
    </row>
    <row r="2" spans="1:35" ht="11.25" hidden="1" customHeight="1">
      <c r="B2" s="354" t="s">
        <v>19</v>
      </c>
      <c r="E2" s="41"/>
      <c r="T2" s="61"/>
      <c r="U2" s="61"/>
      <c r="V2" s="61"/>
      <c r="W2" s="61"/>
      <c r="X2" s="61"/>
      <c r="Y2" s="396"/>
      <c r="Z2" s="61"/>
      <c r="AA2" s="396"/>
      <c r="AB2" s="393"/>
      <c r="AC2" s="393"/>
      <c r="AE2" s="389" t="b">
        <f>AE13&lt;=last_year_vis</f>
        <v>1</v>
      </c>
      <c r="AF2" s="389" t="b">
        <f>AF13&lt;=last_year_vis</f>
        <v>1</v>
      </c>
    </row>
    <row r="3" spans="1:35" ht="11.25" hidden="1" customHeight="1">
      <c r="A3" s="327"/>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I3" s="670"/>
    </row>
    <row r="4" spans="1:35" ht="11.25" hidden="1" customHeight="1">
      <c r="A4" s="327"/>
      <c r="B4" s="327"/>
      <c r="C4" s="327"/>
      <c r="D4" s="327"/>
      <c r="E4" s="327"/>
      <c r="F4" s="327"/>
      <c r="G4" s="327"/>
      <c r="H4" s="327"/>
      <c r="I4" s="327"/>
      <c r="J4" s="327"/>
      <c r="K4" s="327"/>
      <c r="L4" s="327"/>
      <c r="M4" s="327"/>
      <c r="N4" s="327"/>
      <c r="O4" s="327"/>
      <c r="P4" s="327"/>
      <c r="Q4" s="327"/>
      <c r="R4" s="327"/>
      <c r="S4" s="327"/>
      <c r="T4" s="327"/>
      <c r="U4" s="327"/>
      <c r="V4" s="327"/>
      <c r="W4" s="327"/>
      <c r="X4" s="327"/>
      <c r="Y4" s="327"/>
      <c r="Z4" s="327"/>
      <c r="AA4" s="327"/>
      <c r="AI4" s="670"/>
    </row>
    <row r="5" spans="1:35" s="465" customFormat="1" ht="11.25" hidden="1" customHeight="1">
      <c r="A5" s="327"/>
      <c r="B5" s="327"/>
      <c r="C5" s="327"/>
      <c r="D5" s="327"/>
      <c r="E5" s="491" t="s">
        <v>20</v>
      </c>
      <c r="F5" s="491"/>
      <c r="G5" s="491"/>
      <c r="H5" s="491"/>
      <c r="I5" s="491"/>
      <c r="J5" s="491"/>
      <c r="K5" s="491"/>
      <c r="L5" s="491"/>
      <c r="M5" s="491"/>
      <c r="N5" s="491"/>
      <c r="O5" s="491"/>
      <c r="P5" s="491"/>
      <c r="Q5" s="491"/>
      <c r="R5" s="491"/>
      <c r="S5" s="491"/>
      <c r="T5" s="491"/>
      <c r="U5" s="491"/>
      <c r="V5" s="491"/>
      <c r="W5" s="491"/>
      <c r="X5" s="491"/>
      <c r="Y5" s="491"/>
      <c r="Z5" s="491"/>
      <c r="AA5" s="491">
        <v>3</v>
      </c>
      <c r="AB5" s="465" t="s">
        <v>1049</v>
      </c>
      <c r="AC5" s="465">
        <v>41.71</v>
      </c>
      <c r="AD5" s="465">
        <v>15.71</v>
      </c>
      <c r="AE5" s="465">
        <v>12.57</v>
      </c>
      <c r="AF5" s="465">
        <v>12.57</v>
      </c>
      <c r="AG5" s="465" t="s">
        <v>325</v>
      </c>
      <c r="AI5" s="670"/>
    </row>
    <row r="6" spans="1:35" ht="11.25" hidden="1" customHeight="1">
      <c r="A6" s="327"/>
      <c r="B6" s="327"/>
      <c r="C6" s="327"/>
      <c r="D6" s="327"/>
      <c r="E6" s="491"/>
      <c r="F6" s="327"/>
      <c r="G6" s="327"/>
      <c r="H6" s="327"/>
      <c r="I6" s="327"/>
      <c r="J6" s="327"/>
      <c r="K6" s="327"/>
      <c r="L6" s="327"/>
      <c r="M6" s="327"/>
      <c r="N6" s="327"/>
      <c r="O6" s="327"/>
      <c r="P6" s="327"/>
      <c r="Q6" s="327"/>
      <c r="R6" s="327"/>
      <c r="S6" s="327"/>
      <c r="T6" s="327"/>
      <c r="U6" s="327"/>
      <c r="V6" s="327"/>
      <c r="W6" s="327"/>
      <c r="X6" s="327"/>
      <c r="Y6" s="327"/>
      <c r="Z6" s="327"/>
      <c r="AA6" s="327"/>
      <c r="AI6" s="670"/>
    </row>
    <row r="7" spans="1:35" ht="11.25" hidden="1" customHeight="1">
      <c r="A7" s="327"/>
      <c r="B7" s="327"/>
      <c r="C7" s="327"/>
      <c r="D7" s="327"/>
      <c r="E7" s="491"/>
      <c r="F7" s="327"/>
      <c r="G7" s="327"/>
      <c r="H7" s="327"/>
      <c r="I7" s="327"/>
      <c r="J7" s="327"/>
      <c r="K7" s="327"/>
      <c r="L7" s="327"/>
      <c r="M7" s="327"/>
      <c r="N7" s="327"/>
      <c r="O7" s="327"/>
      <c r="P7" s="327"/>
      <c r="Q7" s="327"/>
      <c r="R7" s="327"/>
      <c r="S7" s="327"/>
      <c r="T7" s="327"/>
      <c r="U7" s="327"/>
      <c r="V7" s="327"/>
      <c r="W7" s="327"/>
      <c r="X7" s="327"/>
      <c r="Y7" s="327"/>
      <c r="Z7" s="327"/>
      <c r="AA7" s="327"/>
      <c r="AI7" s="670"/>
    </row>
    <row r="8" spans="1:35" ht="11.25" hidden="1" customHeight="1">
      <c r="A8" s="327"/>
      <c r="B8" s="327"/>
      <c r="C8" s="327"/>
      <c r="D8" s="327"/>
      <c r="E8" s="491"/>
      <c r="F8" s="327"/>
      <c r="G8" s="327"/>
      <c r="H8" s="327"/>
      <c r="I8" s="327"/>
      <c r="J8" s="327"/>
      <c r="K8" s="327"/>
      <c r="L8" s="327"/>
      <c r="M8" s="327"/>
      <c r="N8" s="327"/>
      <c r="O8" s="327"/>
      <c r="P8" s="327"/>
      <c r="Q8" s="327"/>
      <c r="R8" s="327"/>
      <c r="S8" s="327"/>
      <c r="T8" s="327"/>
      <c r="U8" s="327"/>
      <c r="V8" s="327"/>
      <c r="W8" s="327"/>
      <c r="X8" s="327"/>
      <c r="Y8" s="327"/>
      <c r="Z8" s="327"/>
      <c r="AA8" s="327"/>
      <c r="AI8" s="670"/>
    </row>
    <row r="9" spans="1:35" s="670" customFormat="1" ht="11.25" hidden="1" customHeight="1">
      <c r="A9" s="664" t="s">
        <v>358</v>
      </c>
      <c r="B9" s="664"/>
      <c r="C9" s="664"/>
      <c r="D9" s="664"/>
      <c r="E9" s="664"/>
      <c r="F9" s="664"/>
      <c r="G9" s="664"/>
      <c r="H9" s="664"/>
      <c r="I9" s="664"/>
      <c r="J9" s="664"/>
      <c r="K9" s="664"/>
      <c r="L9" s="664"/>
      <c r="M9" s="664"/>
      <c r="N9" s="664"/>
      <c r="O9" s="664"/>
      <c r="P9" s="664"/>
      <c r="Q9" s="664"/>
      <c r="R9" s="664"/>
      <c r="S9" s="664"/>
      <c r="T9" s="664"/>
      <c r="U9" s="664"/>
      <c r="V9" s="664"/>
      <c r="W9" s="664"/>
      <c r="X9" s="664"/>
      <c r="Y9" s="664"/>
      <c r="Z9" s="664"/>
      <c r="AA9" s="664"/>
    </row>
    <row r="10" spans="1:35" s="670" customFormat="1" ht="11.25" hidden="1" customHeight="1">
      <c r="A10" s="664" t="s">
        <v>359</v>
      </c>
      <c r="B10" s="664"/>
      <c r="C10" s="664"/>
      <c r="D10" s="664"/>
      <c r="E10" s="664"/>
      <c r="F10" s="664"/>
      <c r="G10" s="664"/>
      <c r="H10" s="664"/>
      <c r="I10" s="664"/>
      <c r="J10" s="664"/>
      <c r="K10" s="664"/>
      <c r="L10" s="664"/>
      <c r="M10" s="664"/>
      <c r="N10" s="664"/>
      <c r="O10" s="664"/>
      <c r="P10" s="664"/>
      <c r="Q10" s="664"/>
      <c r="R10" s="664"/>
      <c r="S10" s="664"/>
      <c r="T10" s="664"/>
      <c r="U10" s="664"/>
      <c r="V10" s="664"/>
      <c r="W10" s="664"/>
      <c r="X10" s="664"/>
      <c r="Y10" s="664"/>
      <c r="Z10" s="664"/>
      <c r="AA10" s="664"/>
      <c r="AE10" s="664" cm="1">
        <f t="array" ref="AE10">AE13</f>
        <v>2026</v>
      </c>
      <c r="AF10" s="664" cm="1">
        <f t="array" ref="AF10">AF13</f>
        <v>2026</v>
      </c>
    </row>
    <row r="11" spans="1:35" ht="11.25" hidden="1" customHeight="1">
      <c r="A11" s="327"/>
      <c r="B11" s="327"/>
      <c r="C11" s="327"/>
      <c r="D11" s="327"/>
      <c r="E11" s="491"/>
      <c r="F11" s="327"/>
      <c r="G11" s="327"/>
      <c r="H11" s="327"/>
      <c r="I11" s="327"/>
      <c r="J11" s="327"/>
      <c r="K11" s="327"/>
      <c r="L11" s="327"/>
      <c r="M11" s="327"/>
      <c r="N11" s="327"/>
      <c r="O11" s="327"/>
      <c r="P11" s="327"/>
      <c r="Q11" s="327"/>
      <c r="R11" s="327"/>
      <c r="S11" s="327"/>
      <c r="T11" s="327"/>
      <c r="U11" s="327"/>
      <c r="V11" s="327"/>
      <c r="W11" s="327"/>
      <c r="X11" s="327"/>
      <c r="Y11" s="327"/>
      <c r="Z11" s="327"/>
      <c r="AA11" s="327"/>
      <c r="AE11" s="327" t="str" cm="1">
        <f t="array" ref="AE11">AE25</f>
        <v>Предложение организации</v>
      </c>
      <c r="AF11" s="327" t="str" cm="1">
        <f t="array" ref="AF11">AF25</f>
        <v>Принято органом регулирования</v>
      </c>
      <c r="AI11" s="670"/>
    </row>
    <row r="12" spans="1:35" ht="11.25" hidden="1" customHeight="1">
      <c r="B12" s="62"/>
      <c r="T12" s="61"/>
      <c r="U12" s="61"/>
      <c r="V12" s="61"/>
      <c r="W12" s="61"/>
      <c r="X12" s="61"/>
      <c r="Y12" s="396"/>
      <c r="Z12" s="61"/>
      <c r="AA12" s="396"/>
      <c r="AB12" s="393"/>
      <c r="AC12" s="393"/>
    </row>
    <row r="13" spans="1:35" ht="11.25" hidden="1" customHeight="1">
      <c r="A13" s="41" t="s">
        <v>353</v>
      </c>
      <c r="B13" s="62"/>
      <c r="AE13" s="36" cm="1">
        <f t="array" ref="AE13">god</f>
        <v>2026</v>
      </c>
      <c r="AF13" s="36" cm="1">
        <f t="array" ref="AF13">god</f>
        <v>2026</v>
      </c>
    </row>
    <row r="14" spans="1:35" ht="11.25" hidden="1" customHeight="1">
      <c r="A14" s="41" t="s">
        <v>354</v>
      </c>
      <c r="AE14" s="36" t="str" cm="1">
        <f t="array" ref="AE14">AE25</f>
        <v>Предложение организации</v>
      </c>
      <c r="AF14" s="36" t="str" cm="1">
        <f t="array" ref="AF14">AF25</f>
        <v>Принято органом регулирования</v>
      </c>
    </row>
    <row r="15" spans="1:35" ht="11.25" hidden="1" customHeight="1">
      <c r="AE15" s="36"/>
      <c r="AF15" s="36"/>
    </row>
    <row r="16" spans="1:35" ht="11.25" hidden="1" customHeight="1">
      <c r="AE16" s="36"/>
      <c r="AF16" s="36"/>
    </row>
    <row r="17" spans="1:35" ht="11.25" hidden="1" customHeight="1">
      <c r="AE17" s="36"/>
      <c r="AF17" s="36"/>
    </row>
    <row r="18" spans="1:35" ht="11.25" hidden="1" customHeight="1"/>
    <row r="19" spans="1:35" ht="11.25" hidden="1" customHeight="1"/>
    <row r="20" spans="1:35" ht="11.25" hidden="1" customHeight="1"/>
    <row r="21" spans="1:35" ht="14.65" customHeight="1">
      <c r="E21" s="460">
        <v>15</v>
      </c>
      <c r="AC21" s="280" t="str" cm="1">
        <f t="array" ref="AC21">tpl_title</f>
        <v>Кемеровская область / 2026 / ООО "Энергосервис г. Гурьевска" (ИНН:4202049045, КПП:420201001) / ДПР: 2024-2028</v>
      </c>
    </row>
    <row r="22" spans="1:35" ht="37.35" customHeight="1">
      <c r="E22" s="460">
        <v>38.25</v>
      </c>
      <c r="AB22" s="1137" t="s">
        <v>56</v>
      </c>
      <c r="AC22" s="1138"/>
      <c r="AD22" s="1138"/>
      <c r="AE22" s="1138"/>
      <c r="AF22" s="1138"/>
    </row>
    <row r="23" spans="1:35" ht="10.9" customHeight="1">
      <c r="E23" s="460">
        <v>11.25</v>
      </c>
      <c r="AB23" s="1103"/>
      <c r="AC23" s="1103"/>
      <c r="AD23" s="1103"/>
      <c r="AE23" s="1103"/>
      <c r="AF23" s="1103"/>
    </row>
    <row r="24" spans="1:35" ht="14.65" customHeight="1">
      <c r="E24" s="460">
        <v>15</v>
      </c>
      <c r="AB24" s="1088" t="s">
        <v>786</v>
      </c>
      <c r="AC24" s="1128" t="s">
        <v>194</v>
      </c>
      <c r="AD24" s="1088" t="s">
        <v>363</v>
      </c>
      <c r="AE24" s="1139" t="str">
        <f>god&amp;" год"</f>
        <v>2026 год</v>
      </c>
      <c r="AF24" s="1140"/>
    </row>
    <row r="25" spans="1:35" ht="48.75" customHeight="1">
      <c r="E25" s="460">
        <v>50</v>
      </c>
      <c r="AB25" s="1088"/>
      <c r="AC25" s="1128"/>
      <c r="AD25" s="1088"/>
      <c r="AE25" s="738" t="s">
        <v>356</v>
      </c>
      <c r="AF25" s="29" t="s">
        <v>355</v>
      </c>
    </row>
    <row r="26" spans="1:35" ht="11.25" hidden="1" customHeight="1">
      <c r="E26" s="460">
        <v>0</v>
      </c>
      <c r="AB26" s="534"/>
      <c r="AC26" s="541"/>
      <c r="AD26" s="534"/>
      <c r="AE26" s="81"/>
      <c r="AF26" s="81"/>
    </row>
    <row r="27" spans="1:35" ht="14.65" hidden="1" customHeight="1">
      <c r="C27" s="36"/>
      <c r="E27" s="460">
        <v>15</v>
      </c>
      <c r="F27" s="36" cm="1">
        <f t="array" ref="F27">X27</f>
        <v>0</v>
      </c>
      <c r="T27" s="365" t="b">
        <f>X27&gt;0</f>
        <v>0</v>
      </c>
      <c r="V27" s="41" t="s">
        <v>264</v>
      </c>
      <c r="X27" s="1094">
        <v>0</v>
      </c>
      <c r="Z27" s="1095"/>
      <c r="AB27" s="154" t="str" cm="1">
        <f t="array" ref="AB27">INDEX('Общие сведения'!$AG$179:$AG$222,MATCH($X27,'Общие сведения'!$Z$179:$Z$222,0))</f>
        <v xml:space="preserve">Тариф 0 () - </v>
      </c>
      <c r="AC27" s="113"/>
      <c r="AD27" s="107"/>
      <c r="AE27" s="107"/>
      <c r="AF27" s="142"/>
    </row>
    <row r="28" spans="1:35" s="82" customFormat="1" ht="14.65" hidden="1" customHeight="1">
      <c r="A28" s="41"/>
      <c r="C28" s="266"/>
      <c r="E28" s="499">
        <v>15</v>
      </c>
      <c r="F28" s="3" cm="1">
        <f t="array" aca="1" ref="F28" ca="1">OFFSET(E28,-1,1)</f>
        <v>0</v>
      </c>
      <c r="G28" s="82" t="s">
        <v>327</v>
      </c>
      <c r="T28" s="365" t="b" cm="1">
        <f t="array" ref="T28">T27</f>
        <v>0</v>
      </c>
      <c r="X28" s="1094"/>
      <c r="Z28" s="1095"/>
      <c r="AB28" s="395" t="s">
        <v>275</v>
      </c>
      <c r="AC28" s="398" t="s">
        <v>1050</v>
      </c>
      <c r="AD28" s="395" t="s">
        <v>1051</v>
      </c>
      <c r="AE28" s="399">
        <f ca="1">IF(AE30=0,0,AE29/AE30)</f>
        <v>0</v>
      </c>
      <c r="AF28" s="399">
        <f ca="1">IF(AF30=0,0,AF29/AF30)</f>
        <v>0</v>
      </c>
      <c r="AI28" s="690" t="s">
        <v>1052</v>
      </c>
    </row>
    <row r="29" spans="1:35" ht="14.65" hidden="1" customHeight="1">
      <c r="C29" s="266"/>
      <c r="E29" s="460">
        <v>15</v>
      </c>
      <c r="F29" s="3" cm="1">
        <f t="array" aca="1" ref="F29" ca="1">OFFSET(E29,-1,1)</f>
        <v>0</v>
      </c>
      <c r="G29" s="41" t="s">
        <v>461</v>
      </c>
      <c r="T29" s="365" t="b" cm="1">
        <f t="array" ref="T29">T28</f>
        <v>0</v>
      </c>
      <c r="X29" s="1094"/>
      <c r="Z29" s="1095"/>
      <c r="AB29" s="400" t="s">
        <v>897</v>
      </c>
      <c r="AC29" s="401" t="s">
        <v>1053</v>
      </c>
      <c r="AD29" s="400" t="s">
        <v>804</v>
      </c>
      <c r="AE29" s="882"/>
      <c r="AF29" s="882"/>
      <c r="AI29" s="667" t="s">
        <v>1054</v>
      </c>
    </row>
    <row r="30" spans="1:35" ht="32.85" hidden="1" customHeight="1">
      <c r="C30" s="266"/>
      <c r="E30" s="460">
        <v>33.75</v>
      </c>
      <c r="F30" s="3" cm="1">
        <f t="array" aca="1" ref="F30" ca="1">OFFSET(E30,-1,1)</f>
        <v>0</v>
      </c>
      <c r="G30" s="41" t="s">
        <v>465</v>
      </c>
      <c r="T30" s="365" t="b" cm="1">
        <f t="array" ref="T30">T29</f>
        <v>0</v>
      </c>
      <c r="X30" s="1094"/>
      <c r="Z30" s="1095"/>
      <c r="AB30" s="400" t="s">
        <v>900</v>
      </c>
      <c r="AC30" s="401" t="s">
        <v>1055</v>
      </c>
      <c r="AD30" s="400" t="s">
        <v>796</v>
      </c>
      <c r="AE30" s="402">
        <f ca="1">SUMIFS('Условные метры'!$AL$28:$AL$38,'Условные метры'!$F$28:$F$38,$F30,'Условные метры'!$G$28:$G$38,"Итог")</f>
        <v>0</v>
      </c>
      <c r="AF30" s="402">
        <f ca="1">SUMIFS('Условные метры'!$AN$28:$AN$38,'Условные метры'!$F$28:$F$38,$F30,'Условные метры'!$G$28:$G$38,"Итог")</f>
        <v>0</v>
      </c>
      <c r="AI30" s="667" t="s">
        <v>1056</v>
      </c>
    </row>
    <row r="31" spans="1:35" s="82" customFormat="1" ht="32.85" hidden="1" customHeight="1">
      <c r="A31" s="41"/>
      <c r="C31" s="803"/>
      <c r="E31" s="499">
        <v>33.75</v>
      </c>
      <c r="F31" s="3" cm="1">
        <f t="array" aca="1" ref="F31" ca="1">OFFSET(E31,-1,1)</f>
        <v>0</v>
      </c>
      <c r="G31" s="82" t="s">
        <v>328</v>
      </c>
      <c r="T31" s="365" t="b" cm="1">
        <f t="array" ref="T31">T30</f>
        <v>0</v>
      </c>
      <c r="X31" s="1094"/>
      <c r="Z31" s="1095"/>
      <c r="AB31" s="781">
        <v>2</v>
      </c>
      <c r="AC31" s="403" t="s">
        <v>1057</v>
      </c>
      <c r="AD31" s="782" t="s">
        <v>1051</v>
      </c>
      <c r="AE31" s="404">
        <f ca="1">MIN(AE33,AE28)</f>
        <v>0</v>
      </c>
      <c r="AF31" s="404">
        <f ca="1">MIN(AF33,AF28)</f>
        <v>0</v>
      </c>
      <c r="AI31" s="690" t="s">
        <v>1058</v>
      </c>
    </row>
    <row r="32" spans="1:35" ht="21.95" hidden="1" customHeight="1">
      <c r="C32" s="266"/>
      <c r="E32" s="460">
        <v>22.5</v>
      </c>
      <c r="F32" s="3" cm="1">
        <f t="array" aca="1" ref="F32" ca="1">OFFSET(E32,-1,1)</f>
        <v>0</v>
      </c>
      <c r="G32" s="41" t="s">
        <v>329</v>
      </c>
      <c r="T32" s="365" t="b" cm="1">
        <f t="array" ref="T32">T31</f>
        <v>0</v>
      </c>
      <c r="X32" s="1094"/>
      <c r="Z32" s="1095"/>
      <c r="AB32" s="405">
        <v>3</v>
      </c>
      <c r="AC32" s="398" t="s">
        <v>1059</v>
      </c>
      <c r="AD32" s="395" t="s">
        <v>1051</v>
      </c>
      <c r="AE32" s="399" cm="1">
        <f t="array" aca="1" ref="AE32" ca="1">INDEX('Калькуляция (МСА)'!$L$26:$M$86,MATCH('Амортизация (аналог)'!$F32&amp;"УТР",'Калькуляция (МСА)'!$K$26:$K$86,0),1)</f>
        <v>0</v>
      </c>
      <c r="AF32" s="399" cm="1">
        <f t="array" aca="1" ref="AF32" ca="1">INDEX('Калькуляция (МСА)'!$L$26:$M$86,MATCH('Амортизация (аналог)'!$F32&amp;"УТР",'Калькуляция (МСА)'!$K$26:$K$86,0),2)</f>
        <v>0</v>
      </c>
      <c r="AI32" s="667" t="s">
        <v>1060</v>
      </c>
    </row>
    <row r="33" spans="1:35" ht="14.65" hidden="1" customHeight="1">
      <c r="C33" s="266"/>
      <c r="E33" s="460">
        <v>15</v>
      </c>
      <c r="F33" s="3" cm="1">
        <f t="array" aca="1" ref="F33" ca="1">OFFSET(E33,-1,1)</f>
        <v>0</v>
      </c>
      <c r="G33" s="41" t="s">
        <v>331</v>
      </c>
      <c r="T33" s="365" t="b" cm="1">
        <f t="array" ref="T33">T32</f>
        <v>0</v>
      </c>
      <c r="X33" s="1094"/>
      <c r="Z33" s="1095"/>
      <c r="AB33" s="405">
        <v>4</v>
      </c>
      <c r="AC33" s="398" t="s">
        <v>1061</v>
      </c>
      <c r="AD33" s="395" t="s">
        <v>1051</v>
      </c>
      <c r="AE33" s="883">
        <f ca="1">AE32*0.15</f>
        <v>0</v>
      </c>
      <c r="AF33" s="883">
        <f ca="1">AF32*0.15</f>
        <v>0</v>
      </c>
      <c r="AI33" s="667" t="s">
        <v>1062</v>
      </c>
    </row>
    <row r="34" spans="1:35" ht="14.25" customHeight="1">
      <c r="C34" s="36"/>
      <c r="E34" s="460">
        <v>15</v>
      </c>
      <c r="F34" s="36" t="str" cm="1">
        <f t="array" ref="F34">X34</f>
        <v>1</v>
      </c>
      <c r="T34" s="365" t="b">
        <f>X34&gt;0</f>
        <v>1</v>
      </c>
      <c r="V34" s="41" t="str" cm="1">
        <f t="array" ref="V34">Амортизация!$AB$76</f>
        <v>Тариф 1 (Водоснабжение) - тариф на питьевую воду (Доп. признак не требуется)</v>
      </c>
      <c r="X34" s="1094" t="s">
        <v>275</v>
      </c>
      <c r="Z34" s="1095"/>
      <c r="AB34" s="154" t="str" cm="1">
        <f t="array" ref="AB34">Амортизация!$AB$76</f>
        <v>Тариф 1 (Водоснабжение) - тариф на питьевую воду (Доп. признак не требуется)</v>
      </c>
      <c r="AC34" s="113"/>
      <c r="AD34" s="107"/>
      <c r="AE34" s="107"/>
      <c r="AF34" s="142"/>
    </row>
    <row r="35" spans="1:35" s="82" customFormat="1" ht="14.25" customHeight="1">
      <c r="A35" s="41"/>
      <c r="C35" s="266"/>
      <c r="E35" s="499">
        <v>15</v>
      </c>
      <c r="F35" s="3" t="str" cm="1">
        <f t="array" aca="1" ref="F35" ca="1">OFFSET(E35,-1,1)</f>
        <v>1</v>
      </c>
      <c r="G35" s="82" t="s">
        <v>327</v>
      </c>
      <c r="T35" s="365" t="b" cm="1">
        <f t="array" ref="T35">T34</f>
        <v>1</v>
      </c>
      <c r="X35" s="1094"/>
      <c r="Z35" s="1095"/>
      <c r="AB35" s="395" t="s">
        <v>275</v>
      </c>
      <c r="AC35" s="398" t="s">
        <v>1050</v>
      </c>
      <c r="AD35" s="395" t="s">
        <v>1051</v>
      </c>
      <c r="AE35" s="399">
        <f ca="1">IF(AE37=0,0,AE36/AE37)</f>
        <v>0</v>
      </c>
      <c r="AF35" s="399">
        <f ca="1">IF(AF37=0,0,AF36/AF37)</f>
        <v>0</v>
      </c>
      <c r="AI35" s="690" t="s">
        <v>1052</v>
      </c>
    </row>
    <row r="36" spans="1:35" ht="14.25" customHeight="1">
      <c r="C36" s="266"/>
      <c r="E36" s="460">
        <v>15</v>
      </c>
      <c r="F36" s="3" t="str" cm="1">
        <f t="array" aca="1" ref="F36" ca="1">OFFSET(E36,-1,1)</f>
        <v>1</v>
      </c>
      <c r="G36" s="41" t="s">
        <v>461</v>
      </c>
      <c r="T36" s="365" t="b" cm="1">
        <f t="array" ref="T36">T35</f>
        <v>1</v>
      </c>
      <c r="X36" s="1094"/>
      <c r="Z36" s="1095"/>
      <c r="AB36" s="400" t="s">
        <v>897</v>
      </c>
      <c r="AC36" s="401" t="s">
        <v>1053</v>
      </c>
      <c r="AD36" s="400" t="s">
        <v>804</v>
      </c>
      <c r="AE36" s="780"/>
      <c r="AF36" s="780"/>
      <c r="AI36" s="667" t="s">
        <v>1054</v>
      </c>
    </row>
    <row r="37" spans="1:35" ht="32.25" customHeight="1">
      <c r="C37" s="266"/>
      <c r="E37" s="460">
        <v>33.75</v>
      </c>
      <c r="F37" s="3" t="str" cm="1">
        <f t="array" aca="1" ref="F37" ca="1">OFFSET(E37,-1,1)</f>
        <v>1</v>
      </c>
      <c r="G37" s="41" t="s">
        <v>465</v>
      </c>
      <c r="T37" s="365" t="b" cm="1">
        <f t="array" ref="T37">T36</f>
        <v>1</v>
      </c>
      <c r="X37" s="1094"/>
      <c r="Z37" s="1095"/>
      <c r="AB37" s="400" t="s">
        <v>900</v>
      </c>
      <c r="AC37" s="401" t="s">
        <v>1055</v>
      </c>
      <c r="AD37" s="400" t="s">
        <v>796</v>
      </c>
      <c r="AE37" s="402">
        <f ca="1">SUMIFS('Условные метры'!$AL$28:$AL$38,'Условные метры'!$F$28:$F$38,$F37,'Условные метры'!$G$28:$G$38,"Итог")</f>
        <v>0</v>
      </c>
      <c r="AF37" s="402">
        <f ca="1">SUMIFS('Условные метры'!$AN$28:$AN$38,'Условные метры'!$F$28:$F$38,$F37,'Условные метры'!$G$28:$G$38,"Итог")</f>
        <v>0</v>
      </c>
      <c r="AI37" s="667" t="s">
        <v>1056</v>
      </c>
    </row>
    <row r="38" spans="1:35" s="82" customFormat="1" ht="32.25" customHeight="1">
      <c r="A38" s="41"/>
      <c r="C38" s="803"/>
      <c r="E38" s="499">
        <v>33.75</v>
      </c>
      <c r="F38" s="3" t="str" cm="1">
        <f t="array" aca="1" ref="F38" ca="1">OFFSET(E38,-1,1)</f>
        <v>1</v>
      </c>
      <c r="G38" s="82" t="s">
        <v>328</v>
      </c>
      <c r="T38" s="365" t="b" cm="1">
        <f t="array" ref="T38">T37</f>
        <v>1</v>
      </c>
      <c r="X38" s="1094"/>
      <c r="Z38" s="1095"/>
      <c r="AB38" s="781">
        <v>2</v>
      </c>
      <c r="AC38" s="403" t="s">
        <v>1057</v>
      </c>
      <c r="AD38" s="782" t="s">
        <v>1051</v>
      </c>
      <c r="AE38" s="404">
        <f ca="1">MIN(AE40,AE35)</f>
        <v>0</v>
      </c>
      <c r="AF38" s="404">
        <f ca="1">MIN(AF40,AF35)</f>
        <v>0</v>
      </c>
      <c r="AI38" s="690" t="s">
        <v>1058</v>
      </c>
    </row>
    <row r="39" spans="1:35" ht="21.75" customHeight="1">
      <c r="C39" s="266"/>
      <c r="E39" s="460">
        <v>22.5</v>
      </c>
      <c r="F39" s="3" t="str" cm="1">
        <f t="array" aca="1" ref="F39" ca="1">OFFSET(E39,-1,1)</f>
        <v>1</v>
      </c>
      <c r="G39" s="41" t="s">
        <v>329</v>
      </c>
      <c r="T39" s="365" t="b" cm="1">
        <f t="array" ref="T39">T38</f>
        <v>1</v>
      </c>
      <c r="X39" s="1094"/>
      <c r="Z39" s="1095"/>
      <c r="AB39" s="405">
        <v>3</v>
      </c>
      <c r="AC39" s="398" t="s">
        <v>1059</v>
      </c>
      <c r="AD39" s="395" t="s">
        <v>1051</v>
      </c>
      <c r="AE39" s="399" cm="1">
        <f t="array" aca="1" ref="AE39" ca="1">INDEX('Калькуляция (МСА)'!$L$26:$M$86,MATCH('Амортизация (аналог)'!$F39&amp;"УТР",'Калькуляция (МСА)'!$K$26:$K$86,0),1)</f>
        <v>0</v>
      </c>
      <c r="AF39" s="399" cm="1">
        <f t="array" aca="1" ref="AF39" ca="1">INDEX('Калькуляция (МСА)'!$L$26:$M$86,MATCH('Амортизация (аналог)'!$F39&amp;"УТР",'Калькуляция (МСА)'!$K$26:$K$86,0),2)</f>
        <v>0</v>
      </c>
      <c r="AI39" s="667" t="s">
        <v>1060</v>
      </c>
    </row>
    <row r="40" spans="1:35" ht="14.25" customHeight="1">
      <c r="C40" s="266"/>
      <c r="E40" s="460">
        <v>15</v>
      </c>
      <c r="F40" s="3" t="str" cm="1">
        <f t="array" aca="1" ref="F40" ca="1">OFFSET(E40,-1,1)</f>
        <v>1</v>
      </c>
      <c r="G40" s="41" t="s">
        <v>331</v>
      </c>
      <c r="T40" s="365" t="b" cm="1">
        <f t="array" ref="T40">T39</f>
        <v>1</v>
      </c>
      <c r="X40" s="1094"/>
      <c r="Z40" s="1095"/>
      <c r="AB40" s="405">
        <v>4</v>
      </c>
      <c r="AC40" s="398" t="s">
        <v>1061</v>
      </c>
      <c r="AD40" s="395" t="s">
        <v>1051</v>
      </c>
      <c r="AE40" s="406">
        <f ca="1">AE39*0.15</f>
        <v>0</v>
      </c>
      <c r="AF40" s="406">
        <f ca="1">AF39*0.15</f>
        <v>0</v>
      </c>
      <c r="AI40" s="667" t="s">
        <v>1062</v>
      </c>
    </row>
    <row r="41" spans="1:35" ht="14.25" customHeight="1">
      <c r="C41" s="36"/>
      <c r="E41" s="460">
        <v>15</v>
      </c>
      <c r="F41" s="36" t="str" cm="1">
        <f t="array" ref="F41">X41</f>
        <v>2</v>
      </c>
      <c r="T41" s="365" t="b">
        <f>X41&gt;0</f>
        <v>1</v>
      </c>
      <c r="V41" s="41" t="str" cm="1">
        <f t="array" ref="V41">Амортизация!$AB$125</f>
        <v>Тариф 2 (Водоотведение) - тариф на водоотведение (Доп. признак не требуется)</v>
      </c>
      <c r="X41" s="1094" t="s">
        <v>285</v>
      </c>
      <c r="Z41" s="1095"/>
      <c r="AB41" s="154" t="str" cm="1">
        <f t="array" ref="AB41">Амортизация!$AB$125</f>
        <v>Тариф 2 (Водоотведение) - тариф на водоотведение (Доп. признак не требуется)</v>
      </c>
      <c r="AC41" s="113"/>
      <c r="AD41" s="107"/>
      <c r="AE41" s="107"/>
      <c r="AF41" s="142"/>
    </row>
    <row r="42" spans="1:35" s="82" customFormat="1" ht="14.25" customHeight="1">
      <c r="A42" s="41"/>
      <c r="C42" s="266"/>
      <c r="E42" s="499">
        <v>15</v>
      </c>
      <c r="F42" s="3" t="str" cm="1">
        <f t="array" aca="1" ref="F42" ca="1">OFFSET(E42,-1,1)</f>
        <v>2</v>
      </c>
      <c r="G42" s="82" t="s">
        <v>327</v>
      </c>
      <c r="T42" s="365" t="b" cm="1">
        <f t="array" ref="T42">T41</f>
        <v>1</v>
      </c>
      <c r="X42" s="1094"/>
      <c r="Z42" s="1095"/>
      <c r="AB42" s="395" t="s">
        <v>275</v>
      </c>
      <c r="AC42" s="398" t="s">
        <v>1050</v>
      </c>
      <c r="AD42" s="395" t="s">
        <v>1051</v>
      </c>
      <c r="AE42" s="399">
        <f ca="1">IF(AE44=0,0,AE43/AE44)</f>
        <v>0</v>
      </c>
      <c r="AF42" s="399">
        <f ca="1">IF(AF44=0,0,AF43/AF44)</f>
        <v>0</v>
      </c>
      <c r="AI42" s="690" t="s">
        <v>1052</v>
      </c>
    </row>
    <row r="43" spans="1:35" ht="14.25" customHeight="1">
      <c r="C43" s="266"/>
      <c r="E43" s="460">
        <v>15</v>
      </c>
      <c r="F43" s="3" t="str" cm="1">
        <f t="array" aca="1" ref="F43" ca="1">OFFSET(E43,-1,1)</f>
        <v>2</v>
      </c>
      <c r="G43" s="41" t="s">
        <v>461</v>
      </c>
      <c r="T43" s="365" t="b" cm="1">
        <f t="array" ref="T43">T42</f>
        <v>1</v>
      </c>
      <c r="X43" s="1094"/>
      <c r="Z43" s="1095"/>
      <c r="AB43" s="400" t="s">
        <v>897</v>
      </c>
      <c r="AC43" s="401" t="s">
        <v>1053</v>
      </c>
      <c r="AD43" s="400" t="s">
        <v>804</v>
      </c>
      <c r="AE43" s="780"/>
      <c r="AF43" s="780"/>
      <c r="AI43" s="667" t="s">
        <v>1054</v>
      </c>
    </row>
    <row r="44" spans="1:35" ht="32.25" customHeight="1">
      <c r="C44" s="266"/>
      <c r="E44" s="460">
        <v>33.75</v>
      </c>
      <c r="F44" s="3" t="str" cm="1">
        <f t="array" aca="1" ref="F44" ca="1">OFFSET(E44,-1,1)</f>
        <v>2</v>
      </c>
      <c r="G44" s="41" t="s">
        <v>465</v>
      </c>
      <c r="T44" s="365" t="b" cm="1">
        <f t="array" ref="T44">T43</f>
        <v>1</v>
      </c>
      <c r="X44" s="1094"/>
      <c r="Z44" s="1095"/>
      <c r="AB44" s="400" t="s">
        <v>900</v>
      </c>
      <c r="AC44" s="401" t="s">
        <v>1055</v>
      </c>
      <c r="AD44" s="400" t="s">
        <v>796</v>
      </c>
      <c r="AE44" s="402">
        <f ca="1">SUMIFS('Условные метры'!$AL$28:$AL$38,'Условные метры'!$F$28:$F$38,$F44,'Условные метры'!$G$28:$G$38,"Итог")</f>
        <v>0</v>
      </c>
      <c r="AF44" s="402">
        <f ca="1">SUMIFS('Условные метры'!$AN$28:$AN$38,'Условные метры'!$F$28:$F$38,$F44,'Условные метры'!$G$28:$G$38,"Итог")</f>
        <v>0</v>
      </c>
      <c r="AI44" s="667" t="s">
        <v>1056</v>
      </c>
    </row>
    <row r="45" spans="1:35" s="82" customFormat="1" ht="32.25" customHeight="1">
      <c r="A45" s="41"/>
      <c r="C45" s="803"/>
      <c r="E45" s="499">
        <v>33.75</v>
      </c>
      <c r="F45" s="3" t="str" cm="1">
        <f t="array" aca="1" ref="F45" ca="1">OFFSET(E45,-1,1)</f>
        <v>2</v>
      </c>
      <c r="G45" s="82" t="s">
        <v>328</v>
      </c>
      <c r="T45" s="365" t="b" cm="1">
        <f t="array" ref="T45">T44</f>
        <v>1</v>
      </c>
      <c r="X45" s="1094"/>
      <c r="Z45" s="1095"/>
      <c r="AB45" s="781">
        <v>2</v>
      </c>
      <c r="AC45" s="403" t="s">
        <v>1057</v>
      </c>
      <c r="AD45" s="782" t="s">
        <v>1051</v>
      </c>
      <c r="AE45" s="404">
        <f ca="1">MIN(AE47,AE42)</f>
        <v>0</v>
      </c>
      <c r="AF45" s="404">
        <f ca="1">MIN(AF47,AF42)</f>
        <v>0</v>
      </c>
      <c r="AI45" s="690" t="s">
        <v>1058</v>
      </c>
    </row>
    <row r="46" spans="1:35" ht="21.75" customHeight="1">
      <c r="C46" s="266"/>
      <c r="E46" s="460">
        <v>22.5</v>
      </c>
      <c r="F46" s="3" t="str" cm="1">
        <f t="array" aca="1" ref="F46" ca="1">OFFSET(E46,-1,1)</f>
        <v>2</v>
      </c>
      <c r="G46" s="41" t="s">
        <v>329</v>
      </c>
      <c r="T46" s="365" t="b" cm="1">
        <f t="array" ref="T46">T45</f>
        <v>1</v>
      </c>
      <c r="X46" s="1094"/>
      <c r="Z46" s="1095"/>
      <c r="AB46" s="405">
        <v>3</v>
      </c>
      <c r="AC46" s="398" t="s">
        <v>1059</v>
      </c>
      <c r="AD46" s="395" t="s">
        <v>1051</v>
      </c>
      <c r="AE46" s="399" cm="1">
        <f t="array" aca="1" ref="AE46" ca="1">INDEX('Калькуляция (МСА)'!$L$26:$M$86,MATCH('Амортизация (аналог)'!$F46&amp;"УТР",'Калькуляция (МСА)'!$K$26:$K$86,0),1)</f>
        <v>0</v>
      </c>
      <c r="AF46" s="399" cm="1">
        <f t="array" aca="1" ref="AF46" ca="1">INDEX('Калькуляция (МСА)'!$L$26:$M$86,MATCH('Амортизация (аналог)'!$F46&amp;"УТР",'Калькуляция (МСА)'!$K$26:$K$86,0),2)</f>
        <v>0</v>
      </c>
      <c r="AI46" s="667" t="s">
        <v>1060</v>
      </c>
    </row>
    <row r="47" spans="1:35" ht="14.25" customHeight="1">
      <c r="C47" s="266"/>
      <c r="E47" s="460">
        <v>15</v>
      </c>
      <c r="F47" s="3" t="str" cm="1">
        <f t="array" aca="1" ref="F47" ca="1">OFFSET(E47,-1,1)</f>
        <v>2</v>
      </c>
      <c r="G47" s="41" t="s">
        <v>331</v>
      </c>
      <c r="T47" s="365" t="b" cm="1">
        <f t="array" ref="T47">T46</f>
        <v>1</v>
      </c>
      <c r="X47" s="1094"/>
      <c r="Z47" s="1095"/>
      <c r="AB47" s="405">
        <v>4</v>
      </c>
      <c r="AC47" s="398" t="s">
        <v>1061</v>
      </c>
      <c r="AD47" s="395" t="s">
        <v>1051</v>
      </c>
      <c r="AE47" s="406">
        <f ca="1">AE46*0.15</f>
        <v>0</v>
      </c>
      <c r="AF47" s="406">
        <f ca="1">AF46*0.15</f>
        <v>0</v>
      </c>
      <c r="AI47" s="667" t="s">
        <v>1062</v>
      </c>
    </row>
    <row r="48" spans="1:35" ht="10.9" customHeight="1">
      <c r="E48" s="460">
        <v>11.25</v>
      </c>
      <c r="U48" s="41" t="s">
        <v>177</v>
      </c>
      <c r="V48" s="75" t="s">
        <v>1063</v>
      </c>
      <c r="AB48" s="396"/>
      <c r="AC48" s="83"/>
      <c r="AD48" s="396"/>
      <c r="AE48" s="407"/>
    </row>
    <row r="49" spans="5:35" s="36" customFormat="1" ht="14.65" customHeight="1">
      <c r="E49" s="472">
        <v>15</v>
      </c>
      <c r="AB49" s="1088" t="s">
        <v>398</v>
      </c>
      <c r="AC49" s="1088"/>
      <c r="AD49" s="1088"/>
      <c r="AE49" s="1096"/>
      <c r="AF49" s="1096"/>
      <c r="AI49" s="680"/>
    </row>
    <row r="50" spans="5:35" s="36" customFormat="1" ht="14.65" customHeight="1">
      <c r="E50" s="472">
        <v>15</v>
      </c>
      <c r="AB50" s="1097"/>
      <c r="AC50" s="1097"/>
      <c r="AD50" s="1097"/>
      <c r="AE50" s="1098"/>
      <c r="AF50" s="1098"/>
      <c r="AI50" s="680"/>
    </row>
    <row r="51" spans="5:35" s="36" customFormat="1" ht="14.65" hidden="1" customHeight="1">
      <c r="E51" s="472">
        <v>15</v>
      </c>
      <c r="T51" s="365" t="b">
        <f>ROW(W51)&gt;ROW(W$51)</f>
        <v>0</v>
      </c>
      <c r="U51" s="41"/>
      <c r="V51" s="41"/>
      <c r="W51" s="528" t="s">
        <v>173</v>
      </c>
      <c r="X51" s="41"/>
      <c r="Y51" s="41"/>
      <c r="Z51" s="41"/>
      <c r="AA51" s="500" t="s">
        <v>174</v>
      </c>
      <c r="AB51" s="1113"/>
      <c r="AC51" s="1114"/>
      <c r="AD51" s="1114"/>
      <c r="AE51" s="1115"/>
      <c r="AF51" s="1118"/>
      <c r="AI51" s="680"/>
    </row>
    <row r="52" spans="5:35" s="36" customFormat="1" ht="14.65" customHeight="1">
      <c r="E52" s="472">
        <v>15</v>
      </c>
      <c r="W52" s="528" t="s">
        <v>399</v>
      </c>
      <c r="AB52" s="485"/>
      <c r="AC52" s="394" t="s">
        <v>400</v>
      </c>
      <c r="AD52" s="231"/>
      <c r="AE52" s="232"/>
      <c r="AF52" s="233"/>
      <c r="AI52" s="680"/>
    </row>
    <row r="53" spans="5:35" ht="10.9" customHeight="1">
      <c r="E53" s="460">
        <v>11.25</v>
      </c>
      <c r="AC53" s="408"/>
    </row>
  </sheetData>
  <sheetProtection formatColumns="0" formatRows="0" insertRows="0" deleteColumns="0" deleteRows="0" sort="0" autoFilter="0"/>
  <mergeCells count="15">
    <mergeCell ref="AB22:AF22"/>
    <mergeCell ref="AB23:AF23"/>
    <mergeCell ref="AB24:AB25"/>
    <mergeCell ref="AC24:AC25"/>
    <mergeCell ref="AD24:AD25"/>
    <mergeCell ref="AE24:AF24"/>
    <mergeCell ref="X27:X33"/>
    <mergeCell ref="Z27:Z33"/>
    <mergeCell ref="AB49:AF49"/>
    <mergeCell ref="AB50:AF50"/>
    <mergeCell ref="AB51:AF51"/>
    <mergeCell ref="X34:X40"/>
    <mergeCell ref="Z34:Z40"/>
    <mergeCell ref="X41:X47"/>
    <mergeCell ref="Z41:Z47"/>
  </mergeCells>
  <dataValidations count="1">
    <dataValidation type="decimal" allowBlank="1" showErrorMessage="1" errorTitle="Ошибка" error="Допускается ввод только неотрицательных чисел!" sqref="AE31:AF31 AF33 AF38 AF40 AF45 AF47 AE33 AE38 AE40 AE45 AE47"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8AE08-53AD-9308-CE3F-F01286D3E6F1}">
  <sheetPr>
    <tabColor rgb="FF002060"/>
    <outlinePr summaryBelow="0" summaryRight="0"/>
    <pageSetUpPr fitToPage="1"/>
  </sheetPr>
  <dimension ref="A1:BJ261"/>
  <sheetViews>
    <sheetView showGridLines="0" workbookViewId="0">
      <pane xSplit="30" ySplit="25" topLeftCell="AE176" activePane="bottomRight" state="frozen"/>
      <selection pane="topRight" activeCell="AE1" sqref="AE1"/>
      <selection pane="bottomLeft" activeCell="A26" sqref="A26"/>
      <selection pane="bottomRight" activeCell="AC226" sqref="AC226"/>
    </sheetView>
  </sheetViews>
  <sheetFormatPr defaultColWidth="8.7109375" defaultRowHeight="10.5" customHeight="1"/>
  <cols>
    <col min="1" max="1" width="3.5703125" style="85" hidden="1" customWidth="1"/>
    <col min="2" max="2" width="8.5703125" style="349" hidden="1" customWidth="1"/>
    <col min="3" max="4" width="3.5703125" style="85" hidden="1" customWidth="1"/>
    <col min="5" max="5" width="3.5703125" style="502" hidden="1" customWidth="1"/>
    <col min="6" max="6" width="13.5703125" style="85" hidden="1" customWidth="1"/>
    <col min="7" max="8" width="3.5703125" style="85" hidden="1" customWidth="1"/>
    <col min="9" max="9" width="13.42578125" style="85" hidden="1" customWidth="1"/>
    <col min="10" max="10" width="3.5703125" style="85" hidden="1" customWidth="1"/>
    <col min="11" max="11" width="5.85546875" style="611" hidden="1" customWidth="1"/>
    <col min="12" max="19" width="3.5703125" style="85" hidden="1" customWidth="1"/>
    <col min="20" max="20" width="9.85546875" style="85" hidden="1" customWidth="1"/>
    <col min="21" max="21" width="7" style="85" hidden="1" customWidth="1"/>
    <col min="22" max="23" width="6.140625" style="85" hidden="1" customWidth="1"/>
    <col min="24" max="24" width="5.5703125" style="85" hidden="1" customWidth="1"/>
    <col min="25" max="25" width="5.85546875" style="85" hidden="1" customWidth="1"/>
    <col min="26" max="26" width="5.28515625" style="85" hidden="1" customWidth="1"/>
    <col min="27" max="27" width="3" style="85" customWidth="1"/>
    <col min="28" max="28" width="11" style="85" customWidth="1"/>
    <col min="29" max="29" width="43.42578125" style="85" customWidth="1"/>
    <col min="30" max="34" width="15.7109375" style="85" customWidth="1"/>
    <col min="35" max="35" width="12.5703125" style="85" customWidth="1"/>
    <col min="36" max="44" width="12.5703125" style="85" hidden="1" customWidth="1"/>
    <col min="45" max="45" width="12.5703125" style="85" customWidth="1"/>
    <col min="46" max="54" width="12.5703125" style="85" hidden="1" customWidth="1"/>
    <col min="55" max="55" width="48.7109375" style="85" customWidth="1"/>
    <col min="56" max="56" width="3" style="85" customWidth="1"/>
    <col min="57" max="57" width="8.7109375" style="85" hidden="1"/>
    <col min="58" max="60" width="8.7109375" style="691" hidden="1"/>
    <col min="61" max="62" width="8.7109375" style="502" hidden="1"/>
  </cols>
  <sheetData>
    <row r="1" spans="1:62" ht="11.25" hidden="1" customHeight="1">
      <c r="E1" s="85"/>
      <c r="F1" s="85" t="s">
        <v>315</v>
      </c>
      <c r="G1" s="85" t="s">
        <v>326</v>
      </c>
      <c r="H1" s="85" t="s">
        <v>350</v>
      </c>
      <c r="T1" s="365" t="s">
        <v>93</v>
      </c>
      <c r="U1" s="365" t="s">
        <v>98</v>
      </c>
      <c r="V1" s="365" t="s">
        <v>94</v>
      </c>
      <c r="W1" s="365" t="s">
        <v>95</v>
      </c>
      <c r="X1" s="365" t="s">
        <v>96</v>
      </c>
      <c r="Y1" s="367" t="s">
        <v>317</v>
      </c>
      <c r="Z1" s="365" t="s">
        <v>100</v>
      </c>
      <c r="AA1" s="367" t="s">
        <v>97</v>
      </c>
      <c r="AB1" s="23"/>
      <c r="AC1" s="366" t="s">
        <v>99</v>
      </c>
      <c r="BF1" s="691" t="s">
        <v>318</v>
      </c>
      <c r="BG1" s="691" t="s">
        <v>319</v>
      </c>
      <c r="BH1" s="691" t="s">
        <v>320</v>
      </c>
      <c r="BI1" s="502" t="s">
        <v>323</v>
      </c>
      <c r="BJ1" s="502" t="s">
        <v>324</v>
      </c>
    </row>
    <row r="2" spans="1:62" s="349" customFormat="1" ht="11.25" hidden="1" customHeight="1">
      <c r="B2" s="354" t="s">
        <v>19</v>
      </c>
      <c r="K2" s="612"/>
      <c r="AF2" s="349" t="b" cm="1">
        <f t="array" ref="AF2">isOrgDeclare</f>
        <v>1</v>
      </c>
      <c r="AI2" s="354" t="b">
        <f t="shared" ref="AI2:AR2" si="0">AND(AI6&lt;=last_year_vis,isOrgDeclare)</f>
        <v>1</v>
      </c>
      <c r="AJ2" s="354" t="b">
        <f t="shared" si="0"/>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ref="AS2:BB2" si="1">AS6&lt;=last_year_vis</f>
        <v>1</v>
      </c>
      <c r="AT2" s="354" t="b">
        <f t="shared" si="1"/>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F2" s="692"/>
      <c r="BG2" s="692"/>
      <c r="BH2" s="692"/>
      <c r="BI2" s="695"/>
      <c r="BJ2" s="695"/>
    </row>
    <row r="3" spans="1:62" ht="11.25" hidden="1" customHeight="1">
      <c r="E3" s="85"/>
    </row>
    <row r="4" spans="1:62" ht="11.25" hidden="1" customHeight="1">
      <c r="E4" s="85"/>
    </row>
    <row r="5" spans="1:62" s="502" customFormat="1" ht="11.25" hidden="1" customHeight="1">
      <c r="A5" s="85"/>
      <c r="B5" s="349"/>
      <c r="C5" s="85"/>
      <c r="D5" s="85"/>
      <c r="E5" s="502" t="s">
        <v>20</v>
      </c>
      <c r="K5" s="613"/>
      <c r="AA5" s="502">
        <v>3</v>
      </c>
      <c r="AB5" s="502">
        <v>11</v>
      </c>
      <c r="AC5" s="502">
        <v>43.43</v>
      </c>
      <c r="AD5" s="502">
        <v>15.71</v>
      </c>
      <c r="AE5" s="502">
        <v>15.71</v>
      </c>
      <c r="AF5" s="502">
        <v>15.71</v>
      </c>
      <c r="AG5" s="502">
        <v>15.71</v>
      </c>
      <c r="AH5" s="502">
        <v>15.71</v>
      </c>
      <c r="AI5" s="502">
        <v>12.57</v>
      </c>
      <c r="AJ5" s="502">
        <v>12.57</v>
      </c>
      <c r="AK5" s="502">
        <v>12.57</v>
      </c>
      <c r="AL5" s="502">
        <v>12.57</v>
      </c>
      <c r="AM5" s="502">
        <v>12.57</v>
      </c>
      <c r="AN5" s="502">
        <v>12.57</v>
      </c>
      <c r="AO5" s="502">
        <v>12.57</v>
      </c>
      <c r="AP5" s="502">
        <v>12.57</v>
      </c>
      <c r="AQ5" s="502">
        <v>12.57</v>
      </c>
      <c r="AR5" s="502">
        <v>12.57</v>
      </c>
      <c r="AS5" s="502">
        <v>12.57</v>
      </c>
      <c r="AT5" s="502">
        <v>12.57</v>
      </c>
      <c r="AU5" s="502">
        <v>12.57</v>
      </c>
      <c r="AV5" s="502">
        <v>12.57</v>
      </c>
      <c r="AW5" s="502">
        <v>12.57</v>
      </c>
      <c r="AX5" s="502">
        <v>12.57</v>
      </c>
      <c r="AY5" s="502">
        <v>12.57</v>
      </c>
      <c r="AZ5" s="502">
        <v>12.57</v>
      </c>
      <c r="BA5" s="502">
        <v>12.57</v>
      </c>
      <c r="BB5" s="502">
        <v>12.57</v>
      </c>
      <c r="BC5" s="502">
        <v>20</v>
      </c>
      <c r="BD5" s="502">
        <v>3</v>
      </c>
      <c r="BF5" s="691"/>
      <c r="BG5" s="691"/>
      <c r="BH5" s="691"/>
    </row>
    <row r="6" spans="1:62" ht="11.25" hidden="1" customHeight="1">
      <c r="A6" s="85" t="s">
        <v>353</v>
      </c>
      <c r="AE6" s="85">
        <f>god-2</f>
        <v>2024</v>
      </c>
      <c r="AF6" s="85">
        <f>god-2</f>
        <v>2024</v>
      </c>
      <c r="AG6" s="85">
        <f>god-2</f>
        <v>2024</v>
      </c>
      <c r="AH6" s="85">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2" ht="11.25" hidden="1" customHeight="1">
      <c r="A7" s="85" t="s">
        <v>354</v>
      </c>
      <c r="AE7" s="85" t="str" cm="1">
        <f t="array" ref="AE7">AE25</f>
        <v>Принято органом регулирования</v>
      </c>
      <c r="AF7" s="85" t="str" cm="1">
        <f t="array" ref="AF7">AF25</f>
        <v>Факт по данным организации</v>
      </c>
      <c r="AG7" s="85" t="str" cm="1">
        <f t="array" ref="AG7">AG25</f>
        <v>Факт, принятый органом регулирования</v>
      </c>
      <c r="AH7" s="85" t="str" cm="1">
        <f t="array" ref="AH7">AH25</f>
        <v>Принято органом регулирования</v>
      </c>
      <c r="AI7" s="85" t="str" cm="1">
        <f t="array" ref="AI7">AI25</f>
        <v>Предложение организации</v>
      </c>
      <c r="AJ7" s="85" t="str" cm="1">
        <f t="array" ref="AJ7">AJ25</f>
        <v>Предложение организации</v>
      </c>
      <c r="AK7" s="85" t="str" cm="1">
        <f t="array" ref="AK7">AK25</f>
        <v>Предложение организации</v>
      </c>
      <c r="AL7" s="85" t="str" cm="1">
        <f t="array" ref="AL7">AL25</f>
        <v>Предложение организации</v>
      </c>
      <c r="AM7" s="85" t="str" cm="1">
        <f t="array" ref="AM7">AM25</f>
        <v>Предложение организации</v>
      </c>
      <c r="AN7" s="85" t="str" cm="1">
        <f t="array" ref="AN7">AN25</f>
        <v>Предложение организации</v>
      </c>
      <c r="AO7" s="85" t="str" cm="1">
        <f t="array" ref="AO7">AO25</f>
        <v>Предложение организации</v>
      </c>
      <c r="AP7" s="85" t="str" cm="1">
        <f t="array" ref="AP7">AP25</f>
        <v>Предложение организации</v>
      </c>
      <c r="AQ7" s="85" t="str" cm="1">
        <f t="array" ref="AQ7">AQ25</f>
        <v>Предложение организации</v>
      </c>
      <c r="AR7" s="85" t="str" cm="1">
        <f t="array" ref="AR7">AR25</f>
        <v>Предложение организации</v>
      </c>
      <c r="AS7" s="85" t="str" cm="1">
        <f t="array" ref="AS7">AS25</f>
        <v>Принято органом регулирования</v>
      </c>
      <c r="AT7" s="85" t="str" cm="1">
        <f t="array" ref="AT7">AT25</f>
        <v>Принято органом регулирования</v>
      </c>
      <c r="AU7" s="85" t="str" cm="1">
        <f t="array" ref="AU7">AU25</f>
        <v>Принято органом регулирования</v>
      </c>
      <c r="AV7" s="85" t="str" cm="1">
        <f t="array" ref="AV7">AV25</f>
        <v>Принято органом регулирования</v>
      </c>
      <c r="AW7" s="85" t="str" cm="1">
        <f t="array" ref="AW7">AW25</f>
        <v>Принято органом регулирования</v>
      </c>
      <c r="AX7" s="85" t="str" cm="1">
        <f t="array" ref="AX7">AX25</f>
        <v>Принято органом регулирования</v>
      </c>
      <c r="AY7" s="85" t="str" cm="1">
        <f t="array" ref="AY7">AY25</f>
        <v>Принято органом регулирования</v>
      </c>
      <c r="AZ7" s="85" t="str" cm="1">
        <f t="array" ref="AZ7">AZ25</f>
        <v>Принято органом регулирования</v>
      </c>
      <c r="BA7" s="85" t="str" cm="1">
        <f t="array" ref="BA7">BA25</f>
        <v>Принято органом регулирования</v>
      </c>
      <c r="BB7" s="85" t="str" cm="1">
        <f t="array" ref="BB7">BB25</f>
        <v>Принято органом регулирования</v>
      </c>
    </row>
    <row r="8" spans="1:62" ht="11.25" hidden="1" customHeight="1"/>
    <row r="9" spans="1:62" s="691" customFormat="1" ht="11.25" hidden="1" customHeight="1">
      <c r="A9" s="691" t="s">
        <v>358</v>
      </c>
      <c r="B9" s="692"/>
      <c r="K9" s="693"/>
      <c r="AE9" s="691" cm="1">
        <f t="array" ref="AE9">AE6</f>
        <v>2024</v>
      </c>
      <c r="AF9" s="691" cm="1">
        <f t="array" ref="AF9">AF6</f>
        <v>2024</v>
      </c>
      <c r="AG9" s="691" cm="1">
        <f t="array" ref="AG9">AG6</f>
        <v>2024</v>
      </c>
      <c r="AH9" s="691" cm="1">
        <f t="array" ref="AH9">AH6</f>
        <v>2025</v>
      </c>
      <c r="AI9" s="691" cm="1">
        <f t="array" ref="AI9">AI6</f>
        <v>2026</v>
      </c>
      <c r="AJ9" s="691" cm="1">
        <f t="array" ref="AJ9">AJ6</f>
        <v>2027</v>
      </c>
      <c r="AK9" s="691" cm="1">
        <f t="array" ref="AK9">AK6</f>
        <v>2028</v>
      </c>
      <c r="AL9" s="691" cm="1">
        <f t="array" ref="AL9">AL6</f>
        <v>2029</v>
      </c>
      <c r="AM9" s="691" cm="1">
        <f t="array" ref="AM9">AM6</f>
        <v>2030</v>
      </c>
      <c r="AN9" s="691" cm="1">
        <f t="array" ref="AN9">AN6</f>
        <v>2031</v>
      </c>
      <c r="AO9" s="691" cm="1">
        <f t="array" ref="AO9">AO6</f>
        <v>2032</v>
      </c>
      <c r="AP9" s="691" cm="1">
        <f t="array" ref="AP9">AP6</f>
        <v>2033</v>
      </c>
      <c r="AQ9" s="691" cm="1">
        <f t="array" ref="AQ9">AQ6</f>
        <v>2034</v>
      </c>
      <c r="AR9" s="691" cm="1">
        <f t="array" ref="AR9">AR6</f>
        <v>2035</v>
      </c>
      <c r="AS9" s="691" cm="1">
        <f t="array" ref="AS9">AS6</f>
        <v>2026</v>
      </c>
      <c r="AT9" s="691" cm="1">
        <f t="array" ref="AT9">AT6</f>
        <v>2027</v>
      </c>
      <c r="AU9" s="691" cm="1">
        <f t="array" ref="AU9">AU6</f>
        <v>2028</v>
      </c>
      <c r="AV9" s="691" cm="1">
        <f t="array" ref="AV9">AV6</f>
        <v>2029</v>
      </c>
      <c r="AW9" s="691" cm="1">
        <f t="array" ref="AW9">AW6</f>
        <v>2030</v>
      </c>
      <c r="AX9" s="691" cm="1">
        <f t="array" ref="AX9">AX6</f>
        <v>2031</v>
      </c>
      <c r="AY9" s="691" cm="1">
        <f t="array" ref="AY9">AY6</f>
        <v>2032</v>
      </c>
      <c r="AZ9" s="691" cm="1">
        <f t="array" ref="AZ9">AZ6</f>
        <v>2033</v>
      </c>
      <c r="BA9" s="691" cm="1">
        <f t="array" ref="BA9">BA6</f>
        <v>2034</v>
      </c>
      <c r="BB9" s="691" cm="1">
        <f t="array" ref="BB9">BB6</f>
        <v>2035</v>
      </c>
      <c r="BI9" s="502"/>
      <c r="BJ9" s="502"/>
    </row>
    <row r="10" spans="1:62" s="691" customFormat="1" ht="11.25" hidden="1" customHeight="1">
      <c r="A10" s="691" t="s">
        <v>359</v>
      </c>
      <c r="B10" s="692"/>
      <c r="K10" s="693"/>
      <c r="AE10" s="691" t="str" cm="1">
        <f t="array" ref="AE10">AE25</f>
        <v>Принято органом регулирования</v>
      </c>
      <c r="AF10" s="691" t="str" cm="1">
        <f t="array" ref="AF10">AF25</f>
        <v>Факт по данным организации</v>
      </c>
      <c r="AG10" s="691" t="str" cm="1">
        <f t="array" ref="AG10">AG25</f>
        <v>Факт, принятый органом регулирования</v>
      </c>
      <c r="AH10" s="691" t="str" cm="1">
        <f t="array" ref="AH10">AH25</f>
        <v>Принято органом регулирования</v>
      </c>
      <c r="AI10" s="691" t="str" cm="1">
        <f t="array" ref="AI10">AI25</f>
        <v>Предложение организации</v>
      </c>
      <c r="AJ10" s="691" t="str" cm="1">
        <f t="array" ref="AJ10">AJ25</f>
        <v>Предложение организации</v>
      </c>
      <c r="AK10" s="691" t="str" cm="1">
        <f t="array" ref="AK10">AK25</f>
        <v>Предложение организации</v>
      </c>
      <c r="AL10" s="691" t="str" cm="1">
        <f t="array" ref="AL10">AL25</f>
        <v>Предложение организации</v>
      </c>
      <c r="AM10" s="691" t="str" cm="1">
        <f t="array" ref="AM10">AM25</f>
        <v>Предложение организации</v>
      </c>
      <c r="AN10" s="691" t="str" cm="1">
        <f t="array" ref="AN10">AN25</f>
        <v>Предложение организации</v>
      </c>
      <c r="AO10" s="691" t="str" cm="1">
        <f t="array" ref="AO10">AO25</f>
        <v>Предложение организации</v>
      </c>
      <c r="AP10" s="691" t="str" cm="1">
        <f t="array" ref="AP10">AP25</f>
        <v>Предложение организации</v>
      </c>
      <c r="AQ10" s="691" t="str" cm="1">
        <f t="array" ref="AQ10">AQ25</f>
        <v>Предложение организации</v>
      </c>
      <c r="AR10" s="691" t="str" cm="1">
        <f t="array" ref="AR10">AR25</f>
        <v>Предложение организации</v>
      </c>
      <c r="AS10" s="691" t="str" cm="1">
        <f t="array" ref="AS10">AS25</f>
        <v>Принято органом регулирования</v>
      </c>
      <c r="AT10" s="691" t="str" cm="1">
        <f t="array" ref="AT10">AT25</f>
        <v>Принято органом регулирования</v>
      </c>
      <c r="AU10" s="691" t="str" cm="1">
        <f t="array" ref="AU10">AU25</f>
        <v>Принято органом регулирования</v>
      </c>
      <c r="AV10" s="691" t="str" cm="1">
        <f t="array" ref="AV10">AV25</f>
        <v>Принято органом регулирования</v>
      </c>
      <c r="AW10" s="691" t="str" cm="1">
        <f t="array" ref="AW10">AW25</f>
        <v>Принято органом регулирования</v>
      </c>
      <c r="AX10" s="691" t="str" cm="1">
        <f t="array" ref="AX10">AX25</f>
        <v>Принято органом регулирования</v>
      </c>
      <c r="AY10" s="691" t="str" cm="1">
        <f t="array" ref="AY10">AY25</f>
        <v>Принято органом регулирования</v>
      </c>
      <c r="AZ10" s="691" t="str" cm="1">
        <f t="array" ref="AZ10">AZ25</f>
        <v>Принято органом регулирования</v>
      </c>
      <c r="BA10" s="691" t="str" cm="1">
        <f t="array" ref="BA10">BA25</f>
        <v>Принято органом регулирования</v>
      </c>
      <c r="BB10" s="691" t="str" cm="1">
        <f t="array" ref="BB10">BB25</f>
        <v>Принято органом регулирования</v>
      </c>
      <c r="BI10" s="502"/>
      <c r="BJ10" s="502"/>
    </row>
    <row r="11" spans="1:62" s="691" customFormat="1" ht="11.25" hidden="1" customHeight="1">
      <c r="A11" s="691" t="s">
        <v>360</v>
      </c>
      <c r="B11" s="692"/>
      <c r="K11" s="693"/>
      <c r="BC11" s="691" t="str" cm="1">
        <f t="array" ref="BC11">BC24</f>
        <v>Ссылка на правовую норму (основание для принятия показателя в расчет тарифа)</v>
      </c>
      <c r="BI11" s="502"/>
      <c r="BJ11" s="502"/>
    </row>
    <row r="12" spans="1:62" s="691" customFormat="1" ht="11.25" hidden="1" customHeight="1">
      <c r="A12" s="691" t="s">
        <v>333</v>
      </c>
      <c r="B12" s="692"/>
      <c r="K12" s="693"/>
      <c r="AC12" s="691" t="s">
        <v>320</v>
      </c>
      <c r="BI12" s="502"/>
      <c r="BJ12" s="502"/>
    </row>
    <row r="13" spans="1:62"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62"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62"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62"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1:62" ht="11.25" hidden="1" customHeight="1"/>
    <row r="18" spans="1:62" ht="11.25" hidden="1" customHeight="1">
      <c r="A18" s="85" t="s">
        <v>361</v>
      </c>
      <c r="AC18" s="85" t="s">
        <v>1064</v>
      </c>
    </row>
    <row r="19" spans="1:62" ht="11.25" hidden="1" customHeight="1"/>
    <row r="20" spans="1:62" ht="11.25" hidden="1" customHeight="1"/>
    <row r="21" spans="1:62" ht="14.65" customHeight="1">
      <c r="E21" s="502">
        <v>15</v>
      </c>
      <c r="AA21" s="78"/>
      <c r="AC21" s="3" t="str" cm="1">
        <f t="array" ref="AC21">tpl_title</f>
        <v>Кемеровская область / 2026 / ООО "Энергосервис г. Гурьевска" (ИНН:4202049045, КПП:420201001) / ДПР: 2024-2028</v>
      </c>
    </row>
    <row r="22" spans="1:62" ht="19.5" customHeight="1">
      <c r="E22" s="502">
        <v>20</v>
      </c>
      <c r="AB22" s="238" t="s">
        <v>60</v>
      </c>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40"/>
    </row>
    <row r="23" spans="1:62" ht="10.9" customHeight="1">
      <c r="E23" s="502">
        <v>11.25</v>
      </c>
      <c r="AB23" s="86"/>
      <c r="AC23" s="87"/>
      <c r="AD23" s="87"/>
      <c r="AE23" s="87"/>
      <c r="AF23" s="87"/>
      <c r="AG23" s="87"/>
      <c r="AH23" s="87"/>
      <c r="AI23" s="87"/>
      <c r="AJ23" s="87"/>
      <c r="AK23" s="87"/>
      <c r="AL23" s="87"/>
      <c r="AM23" s="87"/>
      <c r="AN23" s="87"/>
      <c r="AO23" s="87"/>
      <c r="AP23" s="87"/>
      <c r="AQ23" s="87"/>
      <c r="AR23" s="87"/>
      <c r="AS23" s="87"/>
      <c r="AT23" s="88"/>
      <c r="AU23" s="88"/>
      <c r="AV23" s="88"/>
      <c r="AW23" s="88"/>
      <c r="AX23" s="88"/>
      <c r="AY23" s="88"/>
      <c r="AZ23" s="88"/>
      <c r="BA23" s="88"/>
      <c r="BB23" s="88"/>
    </row>
    <row r="24" spans="1:62" ht="14.65" customHeight="1">
      <c r="E24" s="502">
        <v>15</v>
      </c>
      <c r="AB24" s="1088" t="s">
        <v>786</v>
      </c>
      <c r="AC24" s="1128" t="s">
        <v>194</v>
      </c>
      <c r="AD24" s="1088" t="s">
        <v>363</v>
      </c>
      <c r="AE24" s="274" t="str">
        <f>god-2&amp;" год"</f>
        <v>2024 год</v>
      </c>
      <c r="AF24" s="737" t="str">
        <f>god-2&amp;" год"</f>
        <v>2024 год</v>
      </c>
      <c r="AG24" s="274" t="str">
        <f>god-2&amp;" год"</f>
        <v>2024 год</v>
      </c>
      <c r="AH24" s="32" t="str">
        <f>god-1&amp;" год"</f>
        <v>2025 год</v>
      </c>
      <c r="AI24" s="734" t="str">
        <f>god&amp;" год"</f>
        <v>2026 год</v>
      </c>
      <c r="AJ24" s="734" t="str">
        <f>god+1&amp;" год"</f>
        <v>2027 год</v>
      </c>
      <c r="AK24" s="734" t="str">
        <f>god+2&amp;" год"</f>
        <v>2028 год</v>
      </c>
      <c r="AL24" s="734" t="str">
        <f>god+3&amp;" год"</f>
        <v>2029 год</v>
      </c>
      <c r="AM24" s="734" t="str">
        <f>god+4&amp;" год"</f>
        <v>2030 год</v>
      </c>
      <c r="AN24" s="734" t="str">
        <f>god+5&amp;" год"</f>
        <v>2031 год</v>
      </c>
      <c r="AO24" s="734" t="str">
        <f>god+6&amp;" год"</f>
        <v>2032 год</v>
      </c>
      <c r="AP24" s="734" t="str">
        <f>god+7&amp;" год"</f>
        <v>2033 год</v>
      </c>
      <c r="AQ24" s="734" t="str">
        <f>god+8&amp;" год"</f>
        <v>2034 год</v>
      </c>
      <c r="AR24" s="734"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1099" t="s">
        <v>529</v>
      </c>
    </row>
    <row r="25" spans="1:62" ht="48.75" customHeight="1">
      <c r="E25" s="502">
        <v>50</v>
      </c>
      <c r="AB25" s="1149"/>
      <c r="AC25" s="1149"/>
      <c r="AD25" s="1149"/>
      <c r="AE25" s="30" t="s">
        <v>355</v>
      </c>
      <c r="AF25" s="734" t="s">
        <v>450</v>
      </c>
      <c r="AG25" s="30" t="s">
        <v>451</v>
      </c>
      <c r="AH25" s="30" t="s">
        <v>355</v>
      </c>
      <c r="AI25" s="738" t="s">
        <v>356</v>
      </c>
      <c r="AJ25" s="738" t="s">
        <v>356</v>
      </c>
      <c r="AK25" s="738" t="s">
        <v>356</v>
      </c>
      <c r="AL25" s="738" t="s">
        <v>356</v>
      </c>
      <c r="AM25" s="738" t="s">
        <v>356</v>
      </c>
      <c r="AN25" s="738" t="s">
        <v>356</v>
      </c>
      <c r="AO25" s="738" t="s">
        <v>356</v>
      </c>
      <c r="AP25" s="738" t="s">
        <v>356</v>
      </c>
      <c r="AQ25" s="738" t="s">
        <v>356</v>
      </c>
      <c r="AR25" s="738" t="s">
        <v>356</v>
      </c>
      <c r="AS25" s="275" t="s">
        <v>355</v>
      </c>
      <c r="AT25" s="275" t="s">
        <v>355</v>
      </c>
      <c r="AU25" s="275" t="s">
        <v>355</v>
      </c>
      <c r="AV25" s="275" t="s">
        <v>355</v>
      </c>
      <c r="AW25" s="275" t="s">
        <v>355</v>
      </c>
      <c r="AX25" s="275" t="s">
        <v>355</v>
      </c>
      <c r="AY25" s="275" t="s">
        <v>355</v>
      </c>
      <c r="AZ25" s="275" t="s">
        <v>355</v>
      </c>
      <c r="BA25" s="275" t="s">
        <v>355</v>
      </c>
      <c r="BB25" s="275" t="s">
        <v>355</v>
      </c>
      <c r="BC25" s="1149"/>
    </row>
    <row r="26" spans="1:62" ht="11.25" hidden="1" customHeight="1">
      <c r="A26" s="327"/>
      <c r="B26" s="490"/>
      <c r="C26" s="327"/>
      <c r="D26" s="327"/>
      <c r="E26" s="491">
        <v>0</v>
      </c>
      <c r="F26" s="489" t="s">
        <v>1065</v>
      </c>
      <c r="G26" s="327"/>
      <c r="H26" s="327"/>
      <c r="I26" s="327"/>
      <c r="J26" s="327"/>
      <c r="K26" s="614"/>
      <c r="L26" s="327"/>
      <c r="M26" s="327"/>
      <c r="N26" s="327"/>
      <c r="O26" s="327"/>
      <c r="P26" s="327"/>
      <c r="Q26" s="327"/>
      <c r="R26" s="327"/>
      <c r="S26" s="327"/>
      <c r="T26" s="327"/>
      <c r="U26" s="327"/>
      <c r="V26" s="327"/>
      <c r="W26" s="327"/>
      <c r="X26" s="327"/>
      <c r="Y26" s="327"/>
      <c r="Z26" s="327"/>
      <c r="AA26" s="327"/>
      <c r="AB26" s="327"/>
      <c r="AC26" s="37"/>
      <c r="AD26" s="37"/>
      <c r="AE26" s="37"/>
      <c r="AF26" s="37"/>
      <c r="AG26"/>
      <c r="AH26"/>
      <c r="AI26"/>
      <c r="AJ26"/>
      <c r="AK26"/>
      <c r="AL26"/>
      <c r="AM26"/>
      <c r="AN26"/>
      <c r="AO26"/>
      <c r="AP26"/>
      <c r="AQ26" s="38"/>
      <c r="AR26"/>
      <c r="AS26"/>
      <c r="AT26"/>
      <c r="AU26"/>
      <c r="AV26"/>
      <c r="AW26"/>
      <c r="AX26"/>
      <c r="AY26"/>
      <c r="AZ26"/>
      <c r="BA26"/>
      <c r="BB26"/>
      <c r="BC26"/>
      <c r="BD26"/>
      <c r="BE26"/>
      <c r="BF26" s="670"/>
      <c r="BG26" s="670"/>
      <c r="BH26" s="670"/>
      <c r="BI26" s="465"/>
      <c r="BJ26" s="465"/>
    </row>
    <row r="27" spans="1:62" ht="14.65" hidden="1" customHeight="1">
      <c r="E27" s="502">
        <v>15</v>
      </c>
      <c r="F27" s="36" cm="1">
        <f t="array" ref="F27">X27</f>
        <v>0</v>
      </c>
      <c r="I27" s="85" t="s">
        <v>1066</v>
      </c>
      <c r="T27" s="365" t="b">
        <f>X27&gt;0</f>
        <v>0</v>
      </c>
      <c r="V27" s="85" t="s">
        <v>264</v>
      </c>
      <c r="X27" s="999">
        <v>0</v>
      </c>
      <c r="Y27" s="504"/>
      <c r="Z27" s="1144"/>
      <c r="AB27" s="154" t="str" cm="1">
        <f t="array" ref="AB27">INDEX('Общие сведения'!$AG$179:$AG$222,MATCH($X27,'Общие сведения'!$Z$179:$Z$222,0))</f>
        <v xml:space="preserve">Тариф 0 () - </v>
      </c>
      <c r="AC27" s="113"/>
      <c r="AD27" s="113"/>
      <c r="AE27" s="227">
        <f t="shared" ref="AE27:BB27" si="2">AE35+AE42+AE49+AE56+AE28+AE63+AE74+AE81+AE88</f>
        <v>0</v>
      </c>
      <c r="AF27" s="227">
        <f t="shared" si="2"/>
        <v>0</v>
      </c>
      <c r="AG27" s="227">
        <f t="shared" si="2"/>
        <v>0</v>
      </c>
      <c r="AH27" s="227">
        <f t="shared" si="2"/>
        <v>0</v>
      </c>
      <c r="AI27" s="227">
        <f t="shared" si="2"/>
        <v>0</v>
      </c>
      <c r="AJ27" s="227">
        <f t="shared" si="2"/>
        <v>0</v>
      </c>
      <c r="AK27" s="227">
        <f t="shared" si="2"/>
        <v>0</v>
      </c>
      <c r="AL27" s="227">
        <f t="shared" si="2"/>
        <v>0</v>
      </c>
      <c r="AM27" s="227">
        <f t="shared" si="2"/>
        <v>0</v>
      </c>
      <c r="AN27" s="227">
        <f t="shared" si="2"/>
        <v>0</v>
      </c>
      <c r="AO27" s="227">
        <f t="shared" si="2"/>
        <v>0</v>
      </c>
      <c r="AP27" s="227">
        <f t="shared" si="2"/>
        <v>0</v>
      </c>
      <c r="AQ27" s="227">
        <f t="shared" si="2"/>
        <v>0</v>
      </c>
      <c r="AR27" s="227">
        <f t="shared" si="2"/>
        <v>0</v>
      </c>
      <c r="AS27" s="227">
        <f t="shared" si="2"/>
        <v>0</v>
      </c>
      <c r="AT27" s="227">
        <f t="shared" si="2"/>
        <v>0</v>
      </c>
      <c r="AU27" s="227">
        <f t="shared" si="2"/>
        <v>0</v>
      </c>
      <c r="AV27" s="227">
        <f t="shared" si="2"/>
        <v>0</v>
      </c>
      <c r="AW27" s="227">
        <f t="shared" si="2"/>
        <v>0</v>
      </c>
      <c r="AX27" s="227">
        <f t="shared" si="2"/>
        <v>0</v>
      </c>
      <c r="AY27" s="227">
        <f t="shared" si="2"/>
        <v>0</v>
      </c>
      <c r="AZ27" s="227">
        <f t="shared" si="2"/>
        <v>0</v>
      </c>
      <c r="BA27" s="227">
        <f t="shared" si="2"/>
        <v>0</v>
      </c>
      <c r="BB27" s="227">
        <f t="shared" si="2"/>
        <v>0</v>
      </c>
      <c r="BC27" s="156"/>
    </row>
    <row r="28" spans="1:62" ht="14.65" hidden="1" customHeight="1">
      <c r="E28" s="502">
        <v>15</v>
      </c>
      <c r="F28" s="3" cm="1">
        <f t="array" aca="1" ref="F28" ca="1">OFFSET(E28,-1,1)</f>
        <v>0</v>
      </c>
      <c r="G28" s="85" t="s">
        <v>327</v>
      </c>
      <c r="K28" s="611" t="str">
        <f ca="1">F28&amp;"1komm"</f>
        <v>01komm</v>
      </c>
      <c r="L28" s="615" cm="1">
        <f t="array" ref="L28">BC28</f>
        <v>0</v>
      </c>
      <c r="T28" s="365" t="b" cm="1">
        <f t="array" ref="T28">T27</f>
        <v>0</v>
      </c>
      <c r="X28" s="999"/>
      <c r="Z28" s="1144"/>
      <c r="AB28" s="143">
        <v>1</v>
      </c>
      <c r="AC28" s="144" t="s">
        <v>1067</v>
      </c>
      <c r="AD28" s="143" t="s">
        <v>804</v>
      </c>
      <c r="AE28" s="145">
        <f>SUMIF(AD31:AD34,AD28,AE31:AE34)</f>
        <v>0</v>
      </c>
      <c r="AF28" s="145">
        <f>SUMIF(AD31:AD34,AD28,AF31:AF34)</f>
        <v>0</v>
      </c>
      <c r="AG28" s="145">
        <f>SUMIF(AD31:AD34,AD28,AG31:AG34)</f>
        <v>0</v>
      </c>
      <c r="AH28" s="145">
        <f>SUMIF(AD31:AD34,AD28,AH31:AH34)</f>
        <v>0</v>
      </c>
      <c r="AI28" s="145">
        <f>SUMIF(AD31:AD34,AD28,AI31:AI34)</f>
        <v>0</v>
      </c>
      <c r="AJ28" s="783">
        <f>SUMIF(AD31:AD34,AD28,AJ31:AJ34)</f>
        <v>0</v>
      </c>
      <c r="AK28" s="783">
        <f>SUMIF(AD31:AD34,AD28,AK31:AK34)</f>
        <v>0</v>
      </c>
      <c r="AL28" s="783">
        <f>SUMIF(AD31:AD34,AD28,AL31:AL34)</f>
        <v>0</v>
      </c>
      <c r="AM28" s="783">
        <f>SUMIF(AD31:AD34,AD28,AM31:AM34)</f>
        <v>0</v>
      </c>
      <c r="AN28" s="783">
        <f>SUMIF(AD31:AD34,AD28,AN31:AN34)</f>
        <v>0</v>
      </c>
      <c r="AO28" s="783">
        <f>SUMIF(AD31:AD34,AD28,AO31:AO34)</f>
        <v>0</v>
      </c>
      <c r="AP28" s="783">
        <f>SUMIF(AD31:AD34,AD28,AP31:AP34)</f>
        <v>0</v>
      </c>
      <c r="AQ28" s="783">
        <f>SUMIF(AD31:AD34,AD28,AQ31:AQ34)</f>
        <v>0</v>
      </c>
      <c r="AR28" s="783">
        <f>SUMIF(AD31:AD34,AD28,AR31:AR34)</f>
        <v>0</v>
      </c>
      <c r="AS28" s="145">
        <f>SUMIF(AD31:AD34,AD28,AS31:AS34)</f>
        <v>0</v>
      </c>
      <c r="AT28" s="783">
        <f>SUMIF(AD31:AD34,AD28,AT31:AT34)</f>
        <v>0</v>
      </c>
      <c r="AU28" s="783">
        <f>SUMIF(AD31:AD34,AD28,AU31:AU34)</f>
        <v>0</v>
      </c>
      <c r="AV28" s="783">
        <f>SUMIF(AD31:AD34,AD28,AV31:AV34)</f>
        <v>0</v>
      </c>
      <c r="AW28" s="783">
        <f>SUMIF(AD31:AD34,AD28,AW31:AW34)</f>
        <v>0</v>
      </c>
      <c r="AX28" s="783">
        <f>SUMIF(AD31:AD34,AD28,AX31:AX34)</f>
        <v>0</v>
      </c>
      <c r="AY28" s="783">
        <f>SUMIF(AD31:AD34,AD28,AY31:AY34)</f>
        <v>0</v>
      </c>
      <c r="AZ28" s="783">
        <f>SUMIF(AD31:AD34,AD28,AZ31:AZ34)</f>
        <v>0</v>
      </c>
      <c r="BA28" s="783">
        <f>SUMIF(AD31:AD34,AD28,BA31:BA34)</f>
        <v>0</v>
      </c>
      <c r="BB28" s="783">
        <f>SUMIF(AD31:AD34,AD28,BB31:BB34)</f>
        <v>0</v>
      </c>
      <c r="BC28" s="839"/>
      <c r="BF28" s="691" t="s">
        <v>1068</v>
      </c>
    </row>
    <row r="29" spans="1:62" ht="15" hidden="1" customHeight="1">
      <c r="E29" s="502">
        <v>0</v>
      </c>
      <c r="F29" s="3" cm="1">
        <f t="array" aca="1" ref="F29" ca="1">OFFSET(E29,-1,1)</f>
        <v>0</v>
      </c>
      <c r="L29" s="615"/>
      <c r="T29" s="365" t="b">
        <v>0</v>
      </c>
      <c r="W29" s="85" t="s">
        <v>173</v>
      </c>
      <c r="X29" s="999"/>
      <c r="Y29" s="999">
        <v>0</v>
      </c>
      <c r="Z29" s="1144"/>
      <c r="AA29" s="1148" t="s">
        <v>174</v>
      </c>
      <c r="AB29" s="143"/>
      <c r="AC29" s="144"/>
      <c r="AD29" s="143"/>
      <c r="AE29" s="148" t="b">
        <f t="shared" ref="AE29:BB29" si="3">OR(AND(AE31&lt;&gt;"",AE32=""),AND(AE31="",AE32&lt;&gt;""))</f>
        <v>0</v>
      </c>
      <c r="AF29" s="148" t="b">
        <f t="shared" si="3"/>
        <v>0</v>
      </c>
      <c r="AG29" s="148" t="b">
        <f t="shared" si="3"/>
        <v>0</v>
      </c>
      <c r="AH29" s="148" t="b">
        <f t="shared" si="3"/>
        <v>0</v>
      </c>
      <c r="AI29" s="148" t="b">
        <f t="shared" si="3"/>
        <v>0</v>
      </c>
      <c r="AJ29" s="148" t="b">
        <f t="shared" si="3"/>
        <v>0</v>
      </c>
      <c r="AK29" s="148" t="b">
        <f t="shared" si="3"/>
        <v>0</v>
      </c>
      <c r="AL29" s="148" t="b">
        <f t="shared" si="3"/>
        <v>0</v>
      </c>
      <c r="AM29" s="148" t="b">
        <f t="shared" si="3"/>
        <v>0</v>
      </c>
      <c r="AN29" s="148" t="b">
        <f t="shared" si="3"/>
        <v>0</v>
      </c>
      <c r="AO29" s="148" t="b">
        <f t="shared" si="3"/>
        <v>0</v>
      </c>
      <c r="AP29" s="148" t="b">
        <f t="shared" si="3"/>
        <v>0</v>
      </c>
      <c r="AQ29" s="148" t="b">
        <f t="shared" si="3"/>
        <v>0</v>
      </c>
      <c r="AR29" s="148" t="b">
        <f t="shared" si="3"/>
        <v>0</v>
      </c>
      <c r="AS29" s="148" t="b">
        <f t="shared" si="3"/>
        <v>0</v>
      </c>
      <c r="AT29" s="148" t="b">
        <f t="shared" si="3"/>
        <v>0</v>
      </c>
      <c r="AU29" s="148" t="b">
        <f t="shared" si="3"/>
        <v>0</v>
      </c>
      <c r="AV29" s="148" t="b">
        <f t="shared" si="3"/>
        <v>0</v>
      </c>
      <c r="AW29" s="148" t="b">
        <f t="shared" si="3"/>
        <v>0</v>
      </c>
      <c r="AX29" s="148" t="b">
        <f t="shared" si="3"/>
        <v>0</v>
      </c>
      <c r="AY29" s="148" t="b">
        <f t="shared" si="3"/>
        <v>0</v>
      </c>
      <c r="AZ29" s="148" t="b">
        <f t="shared" si="3"/>
        <v>0</v>
      </c>
      <c r="BA29" s="148" t="b">
        <f t="shared" si="3"/>
        <v>0</v>
      </c>
      <c r="BB29" s="148" t="b">
        <f t="shared" si="3"/>
        <v>0</v>
      </c>
      <c r="BC29" s="652"/>
    </row>
    <row r="30" spans="1:62" ht="14.65" hidden="1" customHeight="1">
      <c r="E30" s="502">
        <v>15</v>
      </c>
      <c r="F30" s="280" cm="1">
        <f t="array" aca="1" ref="F30" ca="1">OFFSET(E30,-1,1)</f>
        <v>0</v>
      </c>
      <c r="L30" s="615"/>
      <c r="T30" s="365" t="b">
        <f ca="1">AND(Y29&gt;0,F30&gt;0)</f>
        <v>0</v>
      </c>
      <c r="X30" s="1142"/>
      <c r="Y30" s="999"/>
      <c r="Z30" s="1143"/>
      <c r="AA30" s="1147"/>
      <c r="AB30" s="884" t="str">
        <f>"1."&amp;Y29</f>
        <v>1.0</v>
      </c>
      <c r="AC30" s="885" t="s">
        <v>225</v>
      </c>
      <c r="AD30" s="886"/>
      <c r="AE30" s="887"/>
      <c r="AF30" s="888"/>
      <c r="AG30" s="887"/>
      <c r="AH30" s="887"/>
      <c r="AI30" s="887"/>
      <c r="AJ30" s="887"/>
      <c r="AK30" s="887"/>
      <c r="AL30" s="887"/>
      <c r="AM30" s="887"/>
      <c r="AN30" s="887"/>
      <c r="AO30" s="887"/>
      <c r="AP30" s="887"/>
      <c r="AQ30" s="887"/>
      <c r="AR30" s="887"/>
      <c r="AS30" s="888"/>
      <c r="AT30" s="888"/>
      <c r="AU30" s="888"/>
      <c r="AV30" s="888"/>
      <c r="AW30" s="888"/>
      <c r="AX30" s="888"/>
      <c r="AY30" s="888"/>
      <c r="AZ30" s="888"/>
      <c r="BA30" s="888"/>
      <c r="BB30" s="889"/>
      <c r="BC30" s="890"/>
    </row>
    <row r="31" spans="1:62" ht="12.75" hidden="1" customHeight="1">
      <c r="E31" s="502">
        <v>15</v>
      </c>
      <c r="F31" s="3" cm="1">
        <f t="array" aca="1" ref="F31" ca="1">OFFSET(E31,-1,1)</f>
        <v>0</v>
      </c>
      <c r="G31" s="85" t="s">
        <v>327</v>
      </c>
      <c r="H31" s="88" t="str" cm="1">
        <f t="array" ref="H31">AC31</f>
        <v>Затраты</v>
      </c>
      <c r="I31" s="85" t="s">
        <v>1069</v>
      </c>
      <c r="T31" s="365" t="b" cm="1">
        <f t="array" aca="1" ref="T31" ca="1">T30</f>
        <v>0</v>
      </c>
      <c r="X31" s="999"/>
      <c r="Y31" s="999"/>
      <c r="Z31" s="1144"/>
      <c r="AA31" s="1148"/>
      <c r="AB31" s="26" t="str">
        <f>AB30&amp;".1"</f>
        <v>1.0.1</v>
      </c>
      <c r="AC31" s="891" t="s">
        <v>1070</v>
      </c>
      <c r="AD31" s="143" t="s">
        <v>804</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839"/>
      <c r="BF31" s="691" t="s">
        <v>1071</v>
      </c>
      <c r="BG31" s="691" t="s">
        <v>1072</v>
      </c>
      <c r="BH31" s="691" t="str" cm="1">
        <f t="array" ref="BH31">AC30</f>
        <v/>
      </c>
      <c r="BJ31" s="502" t="b">
        <v>1</v>
      </c>
    </row>
    <row r="32" spans="1:62" ht="14.65" hidden="1" customHeight="1">
      <c r="E32" s="502">
        <v>15</v>
      </c>
      <c r="F32" s="3" cm="1">
        <f t="array" aca="1" ref="F32" ca="1">OFFSET(E32,-1,1)</f>
        <v>0</v>
      </c>
      <c r="G32" s="85" t="s">
        <v>461</v>
      </c>
      <c r="H32" s="88" t="str" cm="1">
        <f t="array" ref="H32">H31</f>
        <v>Затраты</v>
      </c>
      <c r="I32" s="85" t="s">
        <v>1069</v>
      </c>
      <c r="T32" s="365" t="b" cm="1">
        <f t="array" aca="1" ref="T32" ca="1">T31</f>
        <v>0</v>
      </c>
      <c r="X32" s="999"/>
      <c r="Y32" s="999"/>
      <c r="Z32" s="1144"/>
      <c r="AA32" s="1148"/>
      <c r="AB32" s="26" t="str">
        <f>AB31&amp;".1"</f>
        <v>1.0.1.1</v>
      </c>
      <c r="AC32" s="153" t="s">
        <v>1073</v>
      </c>
      <c r="AD32" s="26" t="s">
        <v>534</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839"/>
      <c r="BF32" s="691" t="s">
        <v>1074</v>
      </c>
      <c r="BG32" s="691" t="s">
        <v>1072</v>
      </c>
      <c r="BH32" s="691" t="str" cm="1">
        <f t="array" ref="BH32">BH31</f>
        <v/>
      </c>
    </row>
    <row r="33" spans="5:62" ht="14.65" hidden="1" customHeight="1">
      <c r="E33" s="502">
        <v>15</v>
      </c>
      <c r="F33" s="280" cm="1">
        <f t="array" aca="1" ref="F33" ca="1">OFFSET(E33,-1,1)</f>
        <v>0</v>
      </c>
      <c r="H33" s="88"/>
      <c r="T33" s="365" t="b" cm="1">
        <f t="array" aca="1" ref="T33" ca="1">T32</f>
        <v>0</v>
      </c>
      <c r="X33" s="1142"/>
      <c r="Y33" s="999"/>
      <c r="Z33" s="1143"/>
      <c r="AA33" s="1147"/>
      <c r="AB33" s="892" t="str">
        <f>AB31&amp;".2"</f>
        <v>1.0.1.2</v>
      </c>
      <c r="AC33" s="893" t="s">
        <v>1075</v>
      </c>
      <c r="AD33" s="892" t="s">
        <v>1076</v>
      </c>
      <c r="AE33" s="894"/>
      <c r="AF33" s="894"/>
      <c r="AG33" s="894"/>
      <c r="AH33" s="894"/>
      <c r="AI33" s="894"/>
      <c r="AJ33" s="894"/>
      <c r="AK33" s="894"/>
      <c r="AL33" s="894"/>
      <c r="AM33" s="894"/>
      <c r="AN33" s="894"/>
      <c r="AO33" s="894"/>
      <c r="AP33" s="894"/>
      <c r="AQ33" s="894"/>
      <c r="AR33" s="894"/>
      <c r="AS33" s="894"/>
      <c r="AT33" s="894"/>
      <c r="AU33" s="894"/>
      <c r="AV33" s="894"/>
      <c r="AW33" s="894"/>
      <c r="AX33" s="894"/>
      <c r="AY33" s="894"/>
      <c r="AZ33" s="894"/>
      <c r="BA33" s="894"/>
      <c r="BB33" s="894"/>
      <c r="BC33" s="895"/>
      <c r="BF33" s="691" t="s">
        <v>1077</v>
      </c>
      <c r="BG33" s="691" t="s">
        <v>1072</v>
      </c>
      <c r="BH33" s="896" t="str" cm="1">
        <f t="array" ref="BH33">BH32</f>
        <v/>
      </c>
    </row>
    <row r="34" spans="5:62" ht="14.65" hidden="1" customHeight="1">
      <c r="E34" s="502">
        <v>15</v>
      </c>
      <c r="F34" s="3" cm="1">
        <f t="array" aca="1" ref="F34" ca="1">OFFSET(E34,-1,1)</f>
        <v>0</v>
      </c>
      <c r="H34" s="85" t="str">
        <f>"!=='не определено' &amp;&amp; row.l1 !== null"</f>
        <v>!=='не определено' &amp;&amp; row.l1 !== null</v>
      </c>
      <c r="T34" s="365" t="b">
        <f ca="1">F34&gt;0</f>
        <v>0</v>
      </c>
      <c r="W34" s="508" t="s">
        <v>1078</v>
      </c>
      <c r="X34" s="999"/>
      <c r="Z34" s="1144"/>
      <c r="AB34" s="505"/>
      <c r="AC34" s="164" t="s">
        <v>1079</v>
      </c>
      <c r="AD34" s="164"/>
      <c r="AE34" s="164"/>
      <c r="AF34" s="164"/>
      <c r="AG34" s="164"/>
      <c r="AH34" s="164"/>
      <c r="AI34" s="164"/>
      <c r="AJ34" s="164"/>
      <c r="AK34" s="164"/>
      <c r="AL34" s="164"/>
      <c r="AM34" s="164"/>
      <c r="AN34" s="164"/>
      <c r="AO34" s="164"/>
      <c r="AP34" s="164"/>
      <c r="AQ34" s="164"/>
      <c r="AR34" s="164"/>
      <c r="AS34" s="164"/>
      <c r="AT34" s="164"/>
      <c r="AU34" s="164"/>
      <c r="AV34" s="164"/>
      <c r="AW34" s="164"/>
      <c r="AX34" s="164"/>
      <c r="AY34" s="164"/>
      <c r="AZ34" s="164"/>
      <c r="BA34" s="164"/>
      <c r="BB34" s="164"/>
      <c r="BC34" s="165"/>
      <c r="BI34" s="502" t="s">
        <v>1072</v>
      </c>
    </row>
    <row r="35" spans="5:62" ht="21.95" hidden="1" customHeight="1">
      <c r="E35" s="502">
        <v>22.5</v>
      </c>
      <c r="F35" s="3" cm="1">
        <f t="array" aca="1" ref="F35" ca="1">OFFSET(E35,-1,1)</f>
        <v>0</v>
      </c>
      <c r="K35" s="611" t="str">
        <f ca="1">F28&amp;"2komm"</f>
        <v>02komm</v>
      </c>
      <c r="L35" s="615" cm="1">
        <f t="array" ref="L35">BC35</f>
        <v>0</v>
      </c>
      <c r="T35" s="365" t="b" cm="1">
        <f t="array" aca="1" ref="T35" ca="1">T34</f>
        <v>0</v>
      </c>
      <c r="X35" s="999"/>
      <c r="Y35" s="507"/>
      <c r="Z35" s="1144"/>
      <c r="AB35" s="143">
        <v>2</v>
      </c>
      <c r="AC35" s="144" t="s">
        <v>1080</v>
      </c>
      <c r="AD35" s="143" t="s">
        <v>804</v>
      </c>
      <c r="AE35" s="145">
        <f>SUMIF(AD38:AD41,AD35,AE38:AE41)</f>
        <v>0</v>
      </c>
      <c r="AF35" s="145">
        <f>SUMIF(AD38:AD41,AD35,AF38:AF41)</f>
        <v>0</v>
      </c>
      <c r="AG35" s="145">
        <f>SUMIF(AD38:AD41,AD35,AG38:AG41)</f>
        <v>0</v>
      </c>
      <c r="AH35" s="145">
        <f>SUMIF(AD38:AD41,AD35,AH38:AH41)</f>
        <v>0</v>
      </c>
      <c r="AI35" s="145">
        <f>SUMIF(AD38:AD41,AD35,AI38:AI41)</f>
        <v>0</v>
      </c>
      <c r="AJ35" s="783">
        <f>SUMIF(AD38:AD41,AD35,AJ38:AJ41)</f>
        <v>0</v>
      </c>
      <c r="AK35" s="783">
        <f>SUMIF(AD38:AD41,AD35,AK38:AK41)</f>
        <v>0</v>
      </c>
      <c r="AL35" s="783">
        <f>SUMIF(AD38:AD41,AD35,AL38:AL41)</f>
        <v>0</v>
      </c>
      <c r="AM35" s="783">
        <f>SUMIF(AD38:AD41,AD35,AM38:AM41)</f>
        <v>0</v>
      </c>
      <c r="AN35" s="783">
        <f>SUMIF(AD38:AD41,AD35,AN38:AN41)</f>
        <v>0</v>
      </c>
      <c r="AO35" s="783">
        <f>SUMIF(AD38:AD41,AD35,AO38:AO41)</f>
        <v>0</v>
      </c>
      <c r="AP35" s="783">
        <f>SUMIF(AD38:AD41,AD35,AP38:AP41)</f>
        <v>0</v>
      </c>
      <c r="AQ35" s="783">
        <f>SUMIF(AD38:AD41,AD35,AQ38:AQ41)</f>
        <v>0</v>
      </c>
      <c r="AR35" s="783">
        <f>SUMIF(AD38:AD41,AD35,AR38:AR41)</f>
        <v>0</v>
      </c>
      <c r="AS35" s="145">
        <f>SUMIF(AD38:AD41,AD35,AS38:AS41)</f>
        <v>0</v>
      </c>
      <c r="AT35" s="783">
        <f>SUMIF(AD38:AD41,AD35,AT38:AT41)</f>
        <v>0</v>
      </c>
      <c r="AU35" s="783">
        <f>SUMIF(AD38:AD41,AD35,AU38:AU41)</f>
        <v>0</v>
      </c>
      <c r="AV35" s="783">
        <f>SUMIF(AD38:AD41,AD35,AV38:AV41)</f>
        <v>0</v>
      </c>
      <c r="AW35" s="783">
        <f>SUMIF(AD38:AD41,AD35,AW38:AW41)</f>
        <v>0</v>
      </c>
      <c r="AX35" s="783">
        <f>SUMIF(AD38:AD41,AD35,AX38:AX41)</f>
        <v>0</v>
      </c>
      <c r="AY35" s="783">
        <f>SUMIF(AD38:AD41,AD35,AY38:AY41)</f>
        <v>0</v>
      </c>
      <c r="AZ35" s="783">
        <f>SUMIF(AD38:AD41,AD35,AZ38:AZ41)</f>
        <v>0</v>
      </c>
      <c r="BA35" s="783">
        <f>SUMIF(AD38:AD41,AD35,BA38:BA41)</f>
        <v>0</v>
      </c>
      <c r="BB35" s="783">
        <f>SUMIF(AD38:AD41,AD35,BB38:BB41)</f>
        <v>0</v>
      </c>
      <c r="BC35" s="839"/>
      <c r="BF35" s="691" t="s">
        <v>1081</v>
      </c>
    </row>
    <row r="36" spans="5:62" ht="15" hidden="1" customHeight="1">
      <c r="E36" s="502">
        <v>0</v>
      </c>
      <c r="F36" s="3" cm="1">
        <f t="array" aca="1" ref="F36" ca="1">OFFSET(E36,-1,1)</f>
        <v>0</v>
      </c>
      <c r="G36" s="85" t="s">
        <v>328</v>
      </c>
      <c r="L36" s="615"/>
      <c r="T36" s="365" t="b">
        <v>0</v>
      </c>
      <c r="W36" s="85" t="s">
        <v>173</v>
      </c>
      <c r="X36" s="999"/>
      <c r="Y36" s="999">
        <v>0</v>
      </c>
      <c r="Z36" s="1144"/>
      <c r="AA36" s="1146" t="s">
        <v>174</v>
      </c>
      <c r="AB36" s="143"/>
      <c r="AC36" s="144"/>
      <c r="AD36" s="143"/>
      <c r="AE36" s="148" t="b">
        <f t="shared" ref="AE36:BB36" si="4">OR(AND(AE38&lt;&gt;"",AE39=""),AND(AE38="",AE39&lt;&gt;""))</f>
        <v>0</v>
      </c>
      <c r="AF36" s="148" t="b">
        <f t="shared" si="4"/>
        <v>0</v>
      </c>
      <c r="AG36" s="148" t="b">
        <f t="shared" si="4"/>
        <v>0</v>
      </c>
      <c r="AH36" s="148" t="b">
        <f t="shared" si="4"/>
        <v>0</v>
      </c>
      <c r="AI36" s="148" t="b">
        <f t="shared" si="4"/>
        <v>0</v>
      </c>
      <c r="AJ36" s="148" t="b">
        <f t="shared" si="4"/>
        <v>0</v>
      </c>
      <c r="AK36" s="148" t="b">
        <f t="shared" si="4"/>
        <v>0</v>
      </c>
      <c r="AL36" s="148" t="b">
        <f t="shared" si="4"/>
        <v>0</v>
      </c>
      <c r="AM36" s="148" t="b">
        <f t="shared" si="4"/>
        <v>0</v>
      </c>
      <c r="AN36" s="148" t="b">
        <f t="shared" si="4"/>
        <v>0</v>
      </c>
      <c r="AO36" s="148" t="b">
        <f t="shared" si="4"/>
        <v>0</v>
      </c>
      <c r="AP36" s="148" t="b">
        <f t="shared" si="4"/>
        <v>0</v>
      </c>
      <c r="AQ36" s="148" t="b">
        <f t="shared" si="4"/>
        <v>0</v>
      </c>
      <c r="AR36" s="148" t="b">
        <f t="shared" si="4"/>
        <v>0</v>
      </c>
      <c r="AS36" s="148" t="b">
        <f t="shared" si="4"/>
        <v>0</v>
      </c>
      <c r="AT36" s="148" t="b">
        <f t="shared" si="4"/>
        <v>0</v>
      </c>
      <c r="AU36" s="148" t="b">
        <f t="shared" si="4"/>
        <v>0</v>
      </c>
      <c r="AV36" s="148" t="b">
        <f t="shared" si="4"/>
        <v>0</v>
      </c>
      <c r="AW36" s="148" t="b">
        <f t="shared" si="4"/>
        <v>0</v>
      </c>
      <c r="AX36" s="148" t="b">
        <f t="shared" si="4"/>
        <v>0</v>
      </c>
      <c r="AY36" s="148" t="b">
        <f t="shared" si="4"/>
        <v>0</v>
      </c>
      <c r="AZ36" s="148" t="b">
        <f t="shared" si="4"/>
        <v>0</v>
      </c>
      <c r="BA36" s="148" t="b">
        <f t="shared" si="4"/>
        <v>0</v>
      </c>
      <c r="BB36" s="148" t="b">
        <f t="shared" si="4"/>
        <v>0</v>
      </c>
      <c r="BC36" s="652"/>
    </row>
    <row r="37" spans="5:62" ht="14.65" hidden="1" customHeight="1">
      <c r="E37" s="502">
        <v>15</v>
      </c>
      <c r="F37" s="280" cm="1">
        <f t="array" aca="1" ref="F37" ca="1">OFFSET(E37,-1,1)</f>
        <v>0</v>
      </c>
      <c r="L37" s="615"/>
      <c r="T37" s="365" t="b">
        <f ca="1">AND(Y36&gt;0,F37&gt;0)</f>
        <v>0</v>
      </c>
      <c r="X37" s="1142"/>
      <c r="Y37" s="999"/>
      <c r="Z37" s="1143"/>
      <c r="AA37" s="1147"/>
      <c r="AB37" s="884" t="str">
        <f>"2."&amp;Y36</f>
        <v>2.0</v>
      </c>
      <c r="AC37" s="885" t="s">
        <v>225</v>
      </c>
      <c r="AD37" s="886"/>
      <c r="AE37" s="887"/>
      <c r="AF37" s="888"/>
      <c r="AG37" s="887"/>
      <c r="AH37" s="887"/>
      <c r="AI37" s="887"/>
      <c r="AJ37" s="887"/>
      <c r="AK37" s="887"/>
      <c r="AL37" s="887"/>
      <c r="AM37" s="887"/>
      <c r="AN37" s="887"/>
      <c r="AO37" s="887"/>
      <c r="AP37" s="887"/>
      <c r="AQ37" s="887"/>
      <c r="AR37" s="887"/>
      <c r="AS37" s="888"/>
      <c r="AT37" s="888"/>
      <c r="AU37" s="888"/>
      <c r="AV37" s="888"/>
      <c r="AW37" s="888"/>
      <c r="AX37" s="888"/>
      <c r="AY37" s="888"/>
      <c r="AZ37" s="888"/>
      <c r="BA37" s="888"/>
      <c r="BB37" s="889"/>
      <c r="BC37" s="890"/>
    </row>
    <row r="38" spans="5:62" ht="12.75" hidden="1" customHeight="1">
      <c r="E38" s="502">
        <v>15</v>
      </c>
      <c r="F38" s="3" cm="1">
        <f t="array" aca="1" ref="F38" ca="1">OFFSET(E38,-1,1)</f>
        <v>0</v>
      </c>
      <c r="G38" s="85" t="s">
        <v>328</v>
      </c>
      <c r="H38" s="88" t="str" cm="1">
        <f t="array" ref="H38">AC38</f>
        <v>Затраты</v>
      </c>
      <c r="I38" s="85" t="s">
        <v>1082</v>
      </c>
      <c r="T38" s="365" t="b" cm="1">
        <f t="array" aca="1" ref="T38" ca="1">T37</f>
        <v>0</v>
      </c>
      <c r="X38" s="999"/>
      <c r="Y38" s="999"/>
      <c r="Z38" s="1144"/>
      <c r="AA38" s="1146"/>
      <c r="AB38" s="26" t="str">
        <f>AB37&amp;".1"</f>
        <v>2.0.1</v>
      </c>
      <c r="AC38" s="891" t="s">
        <v>1070</v>
      </c>
      <c r="AD38" s="143" t="s">
        <v>804</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839"/>
      <c r="BF38" s="691" t="s">
        <v>1071</v>
      </c>
      <c r="BG38" s="691" t="s">
        <v>1083</v>
      </c>
      <c r="BH38" s="691" t="str" cm="1">
        <f t="array" ref="BH38">AC37</f>
        <v/>
      </c>
      <c r="BJ38" s="502" t="b">
        <v>1</v>
      </c>
    </row>
    <row r="39" spans="5:62" ht="14.65" hidden="1" customHeight="1">
      <c r="E39" s="502">
        <v>15</v>
      </c>
      <c r="F39" s="3" cm="1">
        <f t="array" aca="1" ref="F39" ca="1">OFFSET(E39,-1,1)</f>
        <v>0</v>
      </c>
      <c r="G39" s="85" t="s">
        <v>479</v>
      </c>
      <c r="H39" s="88" t="str" cm="1">
        <f t="array" ref="H39">H38</f>
        <v>Затраты</v>
      </c>
      <c r="I39" s="85" t="s">
        <v>1082</v>
      </c>
      <c r="T39" s="365" t="b" cm="1">
        <f t="array" aca="1" ref="T39" ca="1">T38</f>
        <v>0</v>
      </c>
      <c r="X39" s="999"/>
      <c r="Y39" s="999"/>
      <c r="Z39" s="1144"/>
      <c r="AA39" s="1146"/>
      <c r="AB39" s="26" t="str">
        <f>AB38&amp;".1"</f>
        <v>2.0.1.1</v>
      </c>
      <c r="AC39" s="153" t="s">
        <v>1084</v>
      </c>
      <c r="AD39" s="26" t="s">
        <v>534</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839"/>
      <c r="BF39" s="691" t="s">
        <v>1074</v>
      </c>
      <c r="BG39" s="691" t="s">
        <v>1083</v>
      </c>
      <c r="BH39" s="691" t="str" cm="1">
        <f t="array" ref="BH39">BH38</f>
        <v/>
      </c>
    </row>
    <row r="40" spans="5:62" ht="14.65" hidden="1" customHeight="1">
      <c r="E40" s="502">
        <v>15</v>
      </c>
      <c r="F40" s="280" cm="1">
        <f t="array" aca="1" ref="F40" ca="1">OFFSET(E40,-1,1)</f>
        <v>0</v>
      </c>
      <c r="H40" s="88"/>
      <c r="T40" s="365" t="b" cm="1">
        <f t="array" aca="1" ref="T40" ca="1">T39</f>
        <v>0</v>
      </c>
      <c r="X40" s="1142"/>
      <c r="Y40" s="999"/>
      <c r="Z40" s="1143"/>
      <c r="AA40" s="1147"/>
      <c r="AB40" s="892" t="str">
        <f>AB38&amp;".2"</f>
        <v>2.0.1.2</v>
      </c>
      <c r="AC40" s="893" t="s">
        <v>1085</v>
      </c>
      <c r="AD40" s="892" t="s">
        <v>1076</v>
      </c>
      <c r="AE40" s="894"/>
      <c r="AF40" s="894"/>
      <c r="AG40" s="894"/>
      <c r="AH40" s="894"/>
      <c r="AI40" s="894"/>
      <c r="AJ40" s="894"/>
      <c r="AK40" s="894"/>
      <c r="AL40" s="894"/>
      <c r="AM40" s="894"/>
      <c r="AN40" s="894"/>
      <c r="AO40" s="894"/>
      <c r="AP40" s="894"/>
      <c r="AQ40" s="894"/>
      <c r="AR40" s="894"/>
      <c r="AS40" s="894"/>
      <c r="AT40" s="894"/>
      <c r="AU40" s="894"/>
      <c r="AV40" s="894"/>
      <c r="AW40" s="894"/>
      <c r="AX40" s="894"/>
      <c r="AY40" s="894"/>
      <c r="AZ40" s="894"/>
      <c r="BA40" s="894"/>
      <c r="BB40" s="894"/>
      <c r="BC40" s="895"/>
      <c r="BF40" s="691" t="s">
        <v>1077</v>
      </c>
      <c r="BG40" s="691" t="s">
        <v>1083</v>
      </c>
      <c r="BH40" s="896" t="str" cm="1">
        <f t="array" ref="BH40">BH39</f>
        <v/>
      </c>
    </row>
    <row r="41" spans="5:62" ht="14.65" hidden="1" customHeight="1">
      <c r="E41" s="502">
        <v>15</v>
      </c>
      <c r="F41" s="3" cm="1">
        <f t="array" aca="1" ref="F41" ca="1">OFFSET(E41,-1,1)</f>
        <v>0</v>
      </c>
      <c r="H41" s="85" t="str">
        <f>"!=='не определено' &amp;&amp; row.l2 !== null"</f>
        <v>!=='не определено' &amp;&amp; row.l2 !== null</v>
      </c>
      <c r="T41" s="365" t="b">
        <f ca="1">F41&gt;0</f>
        <v>0</v>
      </c>
      <c r="W41" s="508" t="s">
        <v>1078</v>
      </c>
      <c r="X41" s="999"/>
      <c r="Y41" s="506"/>
      <c r="Z41" s="1144"/>
      <c r="AB41" s="505"/>
      <c r="AC41" s="164" t="s">
        <v>1079</v>
      </c>
      <c r="AD41" s="164"/>
      <c r="AE41" s="164"/>
      <c r="AF41" s="164"/>
      <c r="AG41" s="164"/>
      <c r="AH41" s="164"/>
      <c r="AI41" s="164"/>
      <c r="AJ41" s="164"/>
      <c r="AK41" s="164"/>
      <c r="AL41" s="164"/>
      <c r="AM41" s="164"/>
      <c r="AN41" s="164"/>
      <c r="AO41" s="164"/>
      <c r="AP41" s="164"/>
      <c r="AQ41" s="164"/>
      <c r="AR41" s="164"/>
      <c r="AS41" s="164"/>
      <c r="AT41" s="164"/>
      <c r="AU41" s="164"/>
      <c r="AV41" s="164"/>
      <c r="AW41" s="164"/>
      <c r="AX41" s="164"/>
      <c r="AY41" s="164"/>
      <c r="AZ41" s="164"/>
      <c r="BA41" s="164"/>
      <c r="BB41" s="164"/>
      <c r="BC41" s="165"/>
      <c r="BI41" s="502" t="s">
        <v>1083</v>
      </c>
    </row>
    <row r="42" spans="5:62" ht="22.35" hidden="1" customHeight="1">
      <c r="E42" s="502">
        <v>23</v>
      </c>
      <c r="F42" s="3" cm="1">
        <f t="array" aca="1" ref="F42" ca="1">OFFSET(E42,-1,1)</f>
        <v>0</v>
      </c>
      <c r="K42" s="611" t="str">
        <f ca="1">F28&amp;"3komm"</f>
        <v>03komm</v>
      </c>
      <c r="L42" s="615" cm="1">
        <f t="array" ref="L42">BC42</f>
        <v>0</v>
      </c>
      <c r="T42" s="365" t="b" cm="1">
        <f t="array" aca="1" ref="T42" ca="1">T41</f>
        <v>0</v>
      </c>
      <c r="X42" s="999"/>
      <c r="Y42" s="507"/>
      <c r="Z42" s="1144"/>
      <c r="AB42" s="143">
        <v>3</v>
      </c>
      <c r="AC42" s="144" t="s">
        <v>1086</v>
      </c>
      <c r="AD42" s="143" t="s">
        <v>804</v>
      </c>
      <c r="AE42" s="145">
        <f>SUMIF(AD45:AD48,AD42,AE45:AE48)</f>
        <v>0</v>
      </c>
      <c r="AF42" s="145">
        <f>SUMIF(AD45:AD48,AD42,AF45:AF48)</f>
        <v>0</v>
      </c>
      <c r="AG42" s="145">
        <f>SUMIF(AD45:AD48,AD42,AG45:AG48)</f>
        <v>0</v>
      </c>
      <c r="AH42" s="145">
        <f>SUMIF(AD45:AD48,AD42,AH45:AH48)</f>
        <v>0</v>
      </c>
      <c r="AI42" s="145">
        <f>SUMIF(AD45:AD48,AD42,AI45:AI48)</f>
        <v>0</v>
      </c>
      <c r="AJ42" s="783">
        <f>SUMIF(AD45:AD48,AD42,AJ45:AJ48)</f>
        <v>0</v>
      </c>
      <c r="AK42" s="783">
        <f>SUMIF(AD45:AD48,AD42,AK45:AK48)</f>
        <v>0</v>
      </c>
      <c r="AL42" s="783">
        <f>SUMIF(AD45:AD48,AD42,AL45:AL48)</f>
        <v>0</v>
      </c>
      <c r="AM42" s="783">
        <f>SUMIF(AD45:AD48,AD42,AM45:AM48)</f>
        <v>0</v>
      </c>
      <c r="AN42" s="783">
        <f>SUMIF(AD45:AD48,AD42,AN45:AN48)</f>
        <v>0</v>
      </c>
      <c r="AO42" s="783">
        <f>SUMIF(AD45:AD48,AD42,AO45:AO48)</f>
        <v>0</v>
      </c>
      <c r="AP42" s="783">
        <f>SUMIF(AD45:AD48,AD42,AP45:AP48)</f>
        <v>0</v>
      </c>
      <c r="AQ42" s="783">
        <f>SUMIF(AD45:AD48,AD42,AQ45:AQ48)</f>
        <v>0</v>
      </c>
      <c r="AR42" s="783">
        <f>SUMIF(AD45:AD48,AD42,AR45:AR48)</f>
        <v>0</v>
      </c>
      <c r="AS42" s="145">
        <f>SUMIF(AD45:AD48,AD42,AS45:AS48)</f>
        <v>0</v>
      </c>
      <c r="AT42" s="783">
        <f>SUMIF(AD45:AD48,AD42,AT45:AT48)</f>
        <v>0</v>
      </c>
      <c r="AU42" s="783">
        <f>SUMIF(AD45:AD48,AD42,AU45:AU48)</f>
        <v>0</v>
      </c>
      <c r="AV42" s="783">
        <f>SUMIF(AD45:AD48,AD42,AV45:AV48)</f>
        <v>0</v>
      </c>
      <c r="AW42" s="783">
        <f>SUMIF(AD45:AD48,AD42,AW45:AW48)</f>
        <v>0</v>
      </c>
      <c r="AX42" s="783">
        <f>SUMIF(AD45:AD48,AD42,AX45:AX48)</f>
        <v>0</v>
      </c>
      <c r="AY42" s="783">
        <f>SUMIF(AD45:AD48,AD42,AY45:AY48)</f>
        <v>0</v>
      </c>
      <c r="AZ42" s="783">
        <f>SUMIF(AD45:AD48,AD42,AZ45:AZ48)</f>
        <v>0</v>
      </c>
      <c r="BA42" s="783">
        <f>SUMIF(AD45:AD48,AD42,BA45:BA48)</f>
        <v>0</v>
      </c>
      <c r="BB42" s="783">
        <f>SUMIF(AD45:AD48,AD42,BB45:BB48)</f>
        <v>0</v>
      </c>
      <c r="BC42" s="839"/>
      <c r="BF42" s="691" t="s">
        <v>1087</v>
      </c>
    </row>
    <row r="43" spans="5:62" ht="15" hidden="1" customHeight="1">
      <c r="E43" s="502">
        <v>0</v>
      </c>
      <c r="F43" s="3" cm="1">
        <f t="array" aca="1" ref="F43" ca="1">OFFSET(E43,-1,1)</f>
        <v>0</v>
      </c>
      <c r="G43" s="85" t="s">
        <v>329</v>
      </c>
      <c r="L43" s="615"/>
      <c r="T43" s="365" t="b">
        <v>0</v>
      </c>
      <c r="W43" s="85" t="s">
        <v>173</v>
      </c>
      <c r="X43" s="999"/>
      <c r="Y43" s="999">
        <v>0</v>
      </c>
      <c r="Z43" s="1144"/>
      <c r="AA43" s="1146" t="s">
        <v>174</v>
      </c>
      <c r="AB43" s="143"/>
      <c r="AC43" s="144"/>
      <c r="AD43" s="143"/>
      <c r="AE43" s="148" t="b">
        <f t="shared" ref="AE43:BB43" si="5">OR(AND(AE45&lt;&gt;"",AE46=""),AND(AE45="",AE46&lt;&gt;""))</f>
        <v>0</v>
      </c>
      <c r="AF43" s="148" t="b">
        <f t="shared" si="5"/>
        <v>0</v>
      </c>
      <c r="AG43" s="148" t="b">
        <f t="shared" si="5"/>
        <v>0</v>
      </c>
      <c r="AH43" s="148" t="b">
        <f t="shared" si="5"/>
        <v>0</v>
      </c>
      <c r="AI43" s="148" t="b">
        <f t="shared" si="5"/>
        <v>0</v>
      </c>
      <c r="AJ43" s="148" t="b">
        <f t="shared" si="5"/>
        <v>0</v>
      </c>
      <c r="AK43" s="148" t="b">
        <f t="shared" si="5"/>
        <v>0</v>
      </c>
      <c r="AL43" s="148" t="b">
        <f t="shared" si="5"/>
        <v>0</v>
      </c>
      <c r="AM43" s="148" t="b">
        <f t="shared" si="5"/>
        <v>0</v>
      </c>
      <c r="AN43" s="148" t="b">
        <f t="shared" si="5"/>
        <v>0</v>
      </c>
      <c r="AO43" s="148" t="b">
        <f t="shared" si="5"/>
        <v>0</v>
      </c>
      <c r="AP43" s="148" t="b">
        <f t="shared" si="5"/>
        <v>0</v>
      </c>
      <c r="AQ43" s="148" t="b">
        <f t="shared" si="5"/>
        <v>0</v>
      </c>
      <c r="AR43" s="148" t="b">
        <f t="shared" si="5"/>
        <v>0</v>
      </c>
      <c r="AS43" s="148" t="b">
        <f t="shared" si="5"/>
        <v>0</v>
      </c>
      <c r="AT43" s="148" t="b">
        <f t="shared" si="5"/>
        <v>0</v>
      </c>
      <c r="AU43" s="148" t="b">
        <f t="shared" si="5"/>
        <v>0</v>
      </c>
      <c r="AV43" s="148" t="b">
        <f t="shared" si="5"/>
        <v>0</v>
      </c>
      <c r="AW43" s="148" t="b">
        <f t="shared" si="5"/>
        <v>0</v>
      </c>
      <c r="AX43" s="148" t="b">
        <f t="shared" si="5"/>
        <v>0</v>
      </c>
      <c r="AY43" s="148" t="b">
        <f t="shared" si="5"/>
        <v>0</v>
      </c>
      <c r="AZ43" s="148" t="b">
        <f t="shared" si="5"/>
        <v>0</v>
      </c>
      <c r="BA43" s="148" t="b">
        <f t="shared" si="5"/>
        <v>0</v>
      </c>
      <c r="BB43" s="148" t="b">
        <f t="shared" si="5"/>
        <v>0</v>
      </c>
      <c r="BC43" s="652"/>
    </row>
    <row r="44" spans="5:62" ht="14.65" hidden="1" customHeight="1">
      <c r="E44" s="502">
        <v>15</v>
      </c>
      <c r="F44" s="280" cm="1">
        <f t="array" aca="1" ref="F44" ca="1">OFFSET(E44,-1,1)</f>
        <v>0</v>
      </c>
      <c r="L44" s="615"/>
      <c r="T44" s="365" t="b">
        <f ca="1">AND(Y43&gt;0,F44&gt;0)</f>
        <v>0</v>
      </c>
      <c r="X44" s="1142"/>
      <c r="Y44" s="999"/>
      <c r="Z44" s="1143"/>
      <c r="AA44" s="1147"/>
      <c r="AB44" s="884" t="str">
        <f>"3."&amp;Y43</f>
        <v>3.0</v>
      </c>
      <c r="AC44" s="885" t="s">
        <v>225</v>
      </c>
      <c r="AD44" s="886"/>
      <c r="AE44" s="887"/>
      <c r="AF44" s="888"/>
      <c r="AG44" s="887"/>
      <c r="AH44" s="887"/>
      <c r="AI44" s="887"/>
      <c r="AJ44" s="887"/>
      <c r="AK44" s="887"/>
      <c r="AL44" s="887"/>
      <c r="AM44" s="887"/>
      <c r="AN44" s="887"/>
      <c r="AO44" s="887"/>
      <c r="AP44" s="887"/>
      <c r="AQ44" s="887"/>
      <c r="AR44" s="887"/>
      <c r="AS44" s="888"/>
      <c r="AT44" s="888"/>
      <c r="AU44" s="888"/>
      <c r="AV44" s="888"/>
      <c r="AW44" s="888"/>
      <c r="AX44" s="888"/>
      <c r="AY44" s="888"/>
      <c r="AZ44" s="888"/>
      <c r="BA44" s="888"/>
      <c r="BB44" s="889"/>
      <c r="BC44" s="890"/>
    </row>
    <row r="45" spans="5:62" ht="12.75" hidden="1" customHeight="1">
      <c r="E45" s="502">
        <v>15</v>
      </c>
      <c r="F45" s="3" cm="1">
        <f t="array" aca="1" ref="F45" ca="1">OFFSET(E45,-1,1)</f>
        <v>0</v>
      </c>
      <c r="G45" s="85" t="s">
        <v>329</v>
      </c>
      <c r="H45" s="88" t="str" cm="1">
        <f t="array" ref="H45">AC45</f>
        <v>Затраты</v>
      </c>
      <c r="I45" s="85" t="s">
        <v>1088</v>
      </c>
      <c r="T45" s="365" t="b" cm="1">
        <f t="array" aca="1" ref="T45" ca="1">T44</f>
        <v>0</v>
      </c>
      <c r="X45" s="999"/>
      <c r="Y45" s="999"/>
      <c r="Z45" s="1144"/>
      <c r="AA45" s="1146"/>
      <c r="AB45" s="26" t="str">
        <f>AB44&amp;".1"</f>
        <v>3.0.1</v>
      </c>
      <c r="AC45" s="891" t="s">
        <v>1070</v>
      </c>
      <c r="AD45" s="143" t="s">
        <v>804</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839"/>
      <c r="BF45" s="691" t="s">
        <v>1071</v>
      </c>
      <c r="BG45" s="691" t="s">
        <v>1089</v>
      </c>
      <c r="BH45" s="691" t="str" cm="1">
        <f t="array" ref="BH45">AC44</f>
        <v/>
      </c>
      <c r="BJ45" s="502" t="b">
        <v>1</v>
      </c>
    </row>
    <row r="46" spans="5:62" ht="14.65" hidden="1" customHeight="1">
      <c r="E46" s="502">
        <v>15</v>
      </c>
      <c r="F46" s="3" cm="1">
        <f t="array" aca="1" ref="F46" ca="1">OFFSET(E46,-1,1)</f>
        <v>0</v>
      </c>
      <c r="G46" s="85" t="s">
        <v>927</v>
      </c>
      <c r="H46" s="88" t="str" cm="1">
        <f t="array" ref="H46">H45</f>
        <v>Затраты</v>
      </c>
      <c r="I46" s="85" t="s">
        <v>1088</v>
      </c>
      <c r="T46" s="365" t="b" cm="1">
        <f t="array" aca="1" ref="T46" ca="1">T45</f>
        <v>0</v>
      </c>
      <c r="X46" s="999"/>
      <c r="Y46" s="999"/>
      <c r="Z46" s="1144"/>
      <c r="AA46" s="1146"/>
      <c r="AB46" s="26" t="str">
        <f>AB45&amp;".1"</f>
        <v>3.0.1.1</v>
      </c>
      <c r="AC46" s="153" t="s">
        <v>1090</v>
      </c>
      <c r="AD46" s="26" t="s">
        <v>534</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839"/>
      <c r="BF46" s="691" t="s">
        <v>1074</v>
      </c>
      <c r="BG46" s="691" t="s">
        <v>1089</v>
      </c>
      <c r="BH46" s="691" t="str" cm="1">
        <f t="array" ref="BH46">BH45</f>
        <v/>
      </c>
    </row>
    <row r="47" spans="5:62" ht="14.65" hidden="1" customHeight="1">
      <c r="E47" s="502">
        <v>15</v>
      </c>
      <c r="F47" s="280" cm="1">
        <f t="array" aca="1" ref="F47" ca="1">OFFSET(E47,-1,1)</f>
        <v>0</v>
      </c>
      <c r="H47" s="88"/>
      <c r="T47" s="365" t="b" cm="1">
        <f t="array" aca="1" ref="T47" ca="1">T46</f>
        <v>0</v>
      </c>
      <c r="X47" s="1142"/>
      <c r="Y47" s="999"/>
      <c r="Z47" s="1143"/>
      <c r="AA47" s="1147"/>
      <c r="AB47" s="892" t="str">
        <f>AB45&amp;".2"</f>
        <v>3.0.1.2</v>
      </c>
      <c r="AC47" s="893" t="s">
        <v>1085</v>
      </c>
      <c r="AD47" s="892" t="s">
        <v>1076</v>
      </c>
      <c r="AE47" s="894"/>
      <c r="AF47" s="894"/>
      <c r="AG47" s="894"/>
      <c r="AH47" s="894"/>
      <c r="AI47" s="894"/>
      <c r="AJ47" s="894"/>
      <c r="AK47" s="894"/>
      <c r="AL47" s="894"/>
      <c r="AM47" s="894"/>
      <c r="AN47" s="894"/>
      <c r="AO47" s="894"/>
      <c r="AP47" s="894"/>
      <c r="AQ47" s="894"/>
      <c r="AR47" s="894"/>
      <c r="AS47" s="894"/>
      <c r="AT47" s="894"/>
      <c r="AU47" s="894"/>
      <c r="AV47" s="894"/>
      <c r="AW47" s="894"/>
      <c r="AX47" s="894"/>
      <c r="AY47" s="894"/>
      <c r="AZ47" s="894"/>
      <c r="BA47" s="894"/>
      <c r="BB47" s="894"/>
      <c r="BC47" s="895"/>
      <c r="BF47" s="691" t="s">
        <v>1077</v>
      </c>
      <c r="BG47" s="691" t="s">
        <v>1089</v>
      </c>
      <c r="BH47" s="896" t="str" cm="1">
        <f t="array" ref="BH47">BH46</f>
        <v/>
      </c>
    </row>
    <row r="48" spans="5:62" ht="14.65" hidden="1" customHeight="1">
      <c r="E48" s="502">
        <v>15</v>
      </c>
      <c r="F48" s="3" cm="1">
        <f t="array" aca="1" ref="F48" ca="1">OFFSET(E48,-1,1)</f>
        <v>0</v>
      </c>
      <c r="H48" s="85" t="str">
        <f>"!=='не определено' &amp;&amp; row.l3 !== null"</f>
        <v>!=='не определено' &amp;&amp; row.l3 !== null</v>
      </c>
      <c r="T48" s="365" t="b">
        <f ca="1">F48&gt;0</f>
        <v>0</v>
      </c>
      <c r="W48" s="508" t="s">
        <v>1091</v>
      </c>
      <c r="X48" s="999"/>
      <c r="Y48" s="506"/>
      <c r="Z48" s="1144"/>
      <c r="AB48" s="505"/>
      <c r="AC48" s="164" t="s">
        <v>1079</v>
      </c>
      <c r="AD48" s="164"/>
      <c r="AE48" s="164"/>
      <c r="AF48" s="164"/>
      <c r="AG48" s="164"/>
      <c r="AH48" s="164"/>
      <c r="AI48" s="164"/>
      <c r="AJ48" s="164"/>
      <c r="AK48" s="164"/>
      <c r="AL48" s="164"/>
      <c r="AM48" s="164"/>
      <c r="AN48" s="164"/>
      <c r="AO48" s="164"/>
      <c r="AP48" s="164"/>
      <c r="AQ48" s="164"/>
      <c r="AR48" s="164"/>
      <c r="AS48" s="164"/>
      <c r="AT48" s="164"/>
      <c r="AU48" s="164"/>
      <c r="AV48" s="164"/>
      <c r="AW48" s="164"/>
      <c r="AX48" s="164"/>
      <c r="AY48" s="164"/>
      <c r="AZ48" s="164"/>
      <c r="BA48" s="164"/>
      <c r="BB48" s="164"/>
      <c r="BC48" s="165"/>
      <c r="BI48" s="502" t="s">
        <v>1089</v>
      </c>
    </row>
    <row r="49" spans="2:62" ht="22.35" hidden="1" customHeight="1">
      <c r="E49" s="502">
        <v>23</v>
      </c>
      <c r="F49" s="3" cm="1">
        <f t="array" aca="1" ref="F49" ca="1">OFFSET(E49,-1,1)</f>
        <v>0</v>
      </c>
      <c r="K49" s="611" t="str">
        <f ca="1">F28&amp;"4komm"</f>
        <v>04komm</v>
      </c>
      <c r="L49" s="615" cm="1">
        <f t="array" ref="L49">BC49</f>
        <v>0</v>
      </c>
      <c r="T49" s="365" t="b" cm="1">
        <f t="array" aca="1" ref="T49" ca="1">T48</f>
        <v>0</v>
      </c>
      <c r="X49" s="999"/>
      <c r="Y49" s="507"/>
      <c r="Z49" s="1144"/>
      <c r="AB49" s="143">
        <v>4</v>
      </c>
      <c r="AC49" s="144" t="s">
        <v>1092</v>
      </c>
      <c r="AD49" s="143" t="s">
        <v>804</v>
      </c>
      <c r="AE49" s="145">
        <f>SUMIF(AD52:AD55,AD49,AE52:AE55)</f>
        <v>0</v>
      </c>
      <c r="AF49" s="145">
        <f>SUMIF(AD52:AD55,AD49,AF52:AF55)</f>
        <v>0</v>
      </c>
      <c r="AG49" s="145">
        <f>SUMIF(AD52:AD55,AD49,AG52:AG55)</f>
        <v>0</v>
      </c>
      <c r="AH49" s="145">
        <f>SUMIF(AD52:AD55,AD49,AH52:AH55)</f>
        <v>0</v>
      </c>
      <c r="AI49" s="145">
        <f>SUMIF(AD52:AD55,AD49,AI52:AI55)</f>
        <v>0</v>
      </c>
      <c r="AJ49" s="783">
        <f>SUMIF(AD52:AD55,AD49,AJ52:AJ55)</f>
        <v>0</v>
      </c>
      <c r="AK49" s="783">
        <f>SUMIF(AD52:AD55,AD49,AK52:AK55)</f>
        <v>0</v>
      </c>
      <c r="AL49" s="783">
        <f>SUMIF(AD52:AD55,AD49,AL52:AL55)</f>
        <v>0</v>
      </c>
      <c r="AM49" s="783">
        <f>SUMIF(AD52:AD55,AD49,AM52:AM55)</f>
        <v>0</v>
      </c>
      <c r="AN49" s="783">
        <f>SUMIF(AD52:AD55,AD49,AN52:AN55)</f>
        <v>0</v>
      </c>
      <c r="AO49" s="783">
        <f>SUMIF(AD52:AD55,AD49,AO52:AO55)</f>
        <v>0</v>
      </c>
      <c r="AP49" s="783">
        <f>SUMIF(AD52:AD55,AD49,AP52:AP55)</f>
        <v>0</v>
      </c>
      <c r="AQ49" s="783">
        <f>SUMIF(AD52:AD55,AD49,AQ52:AQ55)</f>
        <v>0</v>
      </c>
      <c r="AR49" s="783">
        <f>SUMIF(AD52:AD55,AD49,AR52:AR55)</f>
        <v>0</v>
      </c>
      <c r="AS49" s="145">
        <f>SUMIF(AD52:AD55,AD49,AS52:AS55)</f>
        <v>0</v>
      </c>
      <c r="AT49" s="783">
        <f>SUMIF(AD52:AD55,AD49,AT52:AT55)</f>
        <v>0</v>
      </c>
      <c r="AU49" s="783">
        <f>SUMIF(AD52:AD55,AD49,AU52:AU55)</f>
        <v>0</v>
      </c>
      <c r="AV49" s="783">
        <f>SUMIF(AD52:AD55,AD49,AV52:AV55)</f>
        <v>0</v>
      </c>
      <c r="AW49" s="783">
        <f>SUMIF(AD52:AD55,AD49,AW52:AW55)</f>
        <v>0</v>
      </c>
      <c r="AX49" s="783">
        <f>SUMIF(AD52:AD55,AD49,AX52:AX55)</f>
        <v>0</v>
      </c>
      <c r="AY49" s="783">
        <f>SUMIF(AD52:AD55,AD49,AY52:AY55)</f>
        <v>0</v>
      </c>
      <c r="AZ49" s="783">
        <f>SUMIF(AD52:AD55,AD49,AZ52:AZ55)</f>
        <v>0</v>
      </c>
      <c r="BA49" s="783">
        <f>SUMIF(AD52:AD55,AD49,BA52:BA55)</f>
        <v>0</v>
      </c>
      <c r="BB49" s="783">
        <f>SUMIF(AD52:AD55,AD49,BB52:BB55)</f>
        <v>0</v>
      </c>
      <c r="BC49" s="839"/>
      <c r="BF49" s="691" t="s">
        <v>1093</v>
      </c>
    </row>
    <row r="50" spans="2:62" ht="15" hidden="1" customHeight="1">
      <c r="E50" s="502">
        <v>0</v>
      </c>
      <c r="F50" s="3" cm="1">
        <f t="array" aca="1" ref="F50" ca="1">OFFSET(E50,-1,1)</f>
        <v>0</v>
      </c>
      <c r="G50" s="85" t="s">
        <v>331</v>
      </c>
      <c r="L50" s="615"/>
      <c r="T50" s="365" t="b">
        <v>0</v>
      </c>
      <c r="W50" s="85" t="s">
        <v>173</v>
      </c>
      <c r="X50" s="999"/>
      <c r="Y50" s="999">
        <v>0</v>
      </c>
      <c r="Z50" s="1144"/>
      <c r="AA50" s="1146" t="s">
        <v>174</v>
      </c>
      <c r="AB50" s="143"/>
      <c r="AC50" s="144"/>
      <c r="AD50" s="143"/>
      <c r="AE50" s="148" t="b">
        <f t="shared" ref="AE50:BB50" si="6">OR(AND(AE52&lt;&gt;"",AE53=""),AND(AE52="",AE53&lt;&gt;""))</f>
        <v>0</v>
      </c>
      <c r="AF50" s="148" t="b">
        <f t="shared" si="6"/>
        <v>0</v>
      </c>
      <c r="AG50" s="148" t="b">
        <f t="shared" si="6"/>
        <v>0</v>
      </c>
      <c r="AH50" s="148" t="b">
        <f t="shared" si="6"/>
        <v>0</v>
      </c>
      <c r="AI50" s="148" t="b">
        <f t="shared" si="6"/>
        <v>0</v>
      </c>
      <c r="AJ50" s="148" t="b">
        <f t="shared" si="6"/>
        <v>0</v>
      </c>
      <c r="AK50" s="148" t="b">
        <f t="shared" si="6"/>
        <v>0</v>
      </c>
      <c r="AL50" s="148" t="b">
        <f t="shared" si="6"/>
        <v>0</v>
      </c>
      <c r="AM50" s="148" t="b">
        <f t="shared" si="6"/>
        <v>0</v>
      </c>
      <c r="AN50" s="148" t="b">
        <f t="shared" si="6"/>
        <v>0</v>
      </c>
      <c r="AO50" s="148" t="b">
        <f t="shared" si="6"/>
        <v>0</v>
      </c>
      <c r="AP50" s="148" t="b">
        <f t="shared" si="6"/>
        <v>0</v>
      </c>
      <c r="AQ50" s="148" t="b">
        <f t="shared" si="6"/>
        <v>0</v>
      </c>
      <c r="AR50" s="148" t="b">
        <f t="shared" si="6"/>
        <v>0</v>
      </c>
      <c r="AS50" s="148" t="b">
        <f t="shared" si="6"/>
        <v>0</v>
      </c>
      <c r="AT50" s="148" t="b">
        <f t="shared" si="6"/>
        <v>0</v>
      </c>
      <c r="AU50" s="148" t="b">
        <f t="shared" si="6"/>
        <v>0</v>
      </c>
      <c r="AV50" s="148" t="b">
        <f t="shared" si="6"/>
        <v>0</v>
      </c>
      <c r="AW50" s="148" t="b">
        <f t="shared" si="6"/>
        <v>0</v>
      </c>
      <c r="AX50" s="148" t="b">
        <f t="shared" si="6"/>
        <v>0</v>
      </c>
      <c r="AY50" s="148" t="b">
        <f t="shared" si="6"/>
        <v>0</v>
      </c>
      <c r="AZ50" s="148" t="b">
        <f t="shared" si="6"/>
        <v>0</v>
      </c>
      <c r="BA50" s="148" t="b">
        <f t="shared" si="6"/>
        <v>0</v>
      </c>
      <c r="BB50" s="148" t="b">
        <f t="shared" si="6"/>
        <v>0</v>
      </c>
      <c r="BC50" s="652"/>
    </row>
    <row r="51" spans="2:62" ht="14.65" hidden="1" customHeight="1">
      <c r="E51" s="502">
        <v>15</v>
      </c>
      <c r="F51" s="280" cm="1">
        <f t="array" aca="1" ref="F51" ca="1">OFFSET(E51,-1,1)</f>
        <v>0</v>
      </c>
      <c r="L51" s="615"/>
      <c r="T51" s="365" t="b">
        <f ca="1">AND(Y50&gt;0,F51&gt;0)</f>
        <v>0</v>
      </c>
      <c r="X51" s="1142"/>
      <c r="Y51" s="999"/>
      <c r="Z51" s="1143"/>
      <c r="AA51" s="1147"/>
      <c r="AB51" s="884" t="str">
        <f>"4."&amp;Y50</f>
        <v>4.0</v>
      </c>
      <c r="AC51" s="885" t="s">
        <v>225</v>
      </c>
      <c r="AD51" s="886"/>
      <c r="AE51" s="887"/>
      <c r="AF51" s="888"/>
      <c r="AG51" s="887"/>
      <c r="AH51" s="887"/>
      <c r="AI51" s="887"/>
      <c r="AJ51" s="887"/>
      <c r="AK51" s="887"/>
      <c r="AL51" s="887"/>
      <c r="AM51" s="887"/>
      <c r="AN51" s="887"/>
      <c r="AO51" s="887"/>
      <c r="AP51" s="887"/>
      <c r="AQ51" s="887"/>
      <c r="AR51" s="887"/>
      <c r="AS51" s="888"/>
      <c r="AT51" s="888"/>
      <c r="AU51" s="888"/>
      <c r="AV51" s="888"/>
      <c r="AW51" s="888"/>
      <c r="AX51" s="888"/>
      <c r="AY51" s="888"/>
      <c r="AZ51" s="888"/>
      <c r="BA51" s="888"/>
      <c r="BB51" s="889"/>
      <c r="BC51" s="890"/>
    </row>
    <row r="52" spans="2:62" ht="12.75" hidden="1" customHeight="1">
      <c r="E52" s="502">
        <v>15</v>
      </c>
      <c r="F52" s="3" cm="1">
        <f t="array" aca="1" ref="F52" ca="1">OFFSET(E52,-1,1)</f>
        <v>0</v>
      </c>
      <c r="G52" s="85" t="s">
        <v>331</v>
      </c>
      <c r="H52" s="88" t="str" cm="1">
        <f t="array" ref="H52">AC52</f>
        <v>Затраты</v>
      </c>
      <c r="I52" s="85" t="s">
        <v>1094</v>
      </c>
      <c r="T52" s="365" t="b" cm="1">
        <f t="array" aca="1" ref="T52" ca="1">T51</f>
        <v>0</v>
      </c>
      <c r="X52" s="999"/>
      <c r="Y52" s="999"/>
      <c r="Z52" s="1144"/>
      <c r="AA52" s="1146"/>
      <c r="AB52" s="26" t="str">
        <f>AB51&amp;".1"</f>
        <v>4.0.1</v>
      </c>
      <c r="AC52" s="891" t="s">
        <v>1070</v>
      </c>
      <c r="AD52" s="143" t="s">
        <v>804</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839"/>
      <c r="BF52" s="691" t="s">
        <v>1071</v>
      </c>
      <c r="BG52" s="691" t="s">
        <v>1095</v>
      </c>
      <c r="BH52" s="691" t="str" cm="1">
        <f t="array" ref="BH52">AC51</f>
        <v/>
      </c>
      <c r="BJ52" s="502" t="b">
        <v>1</v>
      </c>
    </row>
    <row r="53" spans="2:62" ht="14.65" hidden="1" customHeight="1">
      <c r="E53" s="502">
        <v>15</v>
      </c>
      <c r="F53" s="3" cm="1">
        <f t="array" aca="1" ref="F53" ca="1">OFFSET(E53,-1,1)</f>
        <v>0</v>
      </c>
      <c r="G53" s="85" t="s">
        <v>536</v>
      </c>
      <c r="H53" s="88" t="str" cm="1">
        <f t="array" ref="H53">H52</f>
        <v>Затраты</v>
      </c>
      <c r="I53" s="85" t="s">
        <v>1094</v>
      </c>
      <c r="T53" s="365" t="b" cm="1">
        <f t="array" aca="1" ref="T53" ca="1">T52</f>
        <v>0</v>
      </c>
      <c r="X53" s="999"/>
      <c r="Y53" s="999"/>
      <c r="Z53" s="1144"/>
      <c r="AA53" s="1146"/>
      <c r="AB53" s="26" t="str">
        <f>AB52&amp;".1"</f>
        <v>4.0.1.1</v>
      </c>
      <c r="AC53" s="153" t="s">
        <v>1096</v>
      </c>
      <c r="AD53" s="26" t="s">
        <v>534</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839"/>
      <c r="BF53" s="691" t="s">
        <v>1074</v>
      </c>
      <c r="BG53" s="691" t="s">
        <v>1095</v>
      </c>
      <c r="BH53" s="691" t="str" cm="1">
        <f t="array" ref="BH53">BH52</f>
        <v/>
      </c>
    </row>
    <row r="54" spans="2:62" ht="14.65" hidden="1" customHeight="1">
      <c r="E54" s="502">
        <v>15</v>
      </c>
      <c r="F54" s="280" cm="1">
        <f t="array" aca="1" ref="F54" ca="1">OFFSET(E54,-1,1)</f>
        <v>0</v>
      </c>
      <c r="H54" s="88"/>
      <c r="T54" s="365" t="b" cm="1">
        <f t="array" aca="1" ref="T54" ca="1">T53</f>
        <v>0</v>
      </c>
      <c r="X54" s="1142"/>
      <c r="Y54" s="999"/>
      <c r="Z54" s="1143"/>
      <c r="AA54" s="1147"/>
      <c r="AB54" s="892" t="str">
        <f>AB52&amp;".2"</f>
        <v>4.0.1.2</v>
      </c>
      <c r="AC54" s="893" t="s">
        <v>1097</v>
      </c>
      <c r="AD54" s="892" t="s">
        <v>1076</v>
      </c>
      <c r="AE54" s="894"/>
      <c r="AF54" s="894"/>
      <c r="AG54" s="894"/>
      <c r="AH54" s="894"/>
      <c r="AI54" s="894"/>
      <c r="AJ54" s="894"/>
      <c r="AK54" s="894"/>
      <c r="AL54" s="894"/>
      <c r="AM54" s="894"/>
      <c r="AN54" s="894"/>
      <c r="AO54" s="894"/>
      <c r="AP54" s="894"/>
      <c r="AQ54" s="894"/>
      <c r="AR54" s="894"/>
      <c r="AS54" s="894"/>
      <c r="AT54" s="894"/>
      <c r="AU54" s="894"/>
      <c r="AV54" s="894"/>
      <c r="AW54" s="894"/>
      <c r="AX54" s="894"/>
      <c r="AY54" s="894"/>
      <c r="AZ54" s="894"/>
      <c r="BA54" s="894"/>
      <c r="BB54" s="894"/>
      <c r="BC54" s="895"/>
      <c r="BF54" s="691" t="s">
        <v>1077</v>
      </c>
      <c r="BG54" s="691" t="s">
        <v>1095</v>
      </c>
      <c r="BH54" s="896" t="str" cm="1">
        <f t="array" ref="BH54">BH53</f>
        <v/>
      </c>
    </row>
    <row r="55" spans="2:62" ht="14.65" hidden="1" customHeight="1">
      <c r="E55" s="502">
        <v>15</v>
      </c>
      <c r="F55" s="3" cm="1">
        <f t="array" aca="1" ref="F55" ca="1">OFFSET(E55,-1,1)</f>
        <v>0</v>
      </c>
      <c r="H55" s="85" t="str">
        <f>"!=='не определено' &amp;&amp; row.l4 !== null"</f>
        <v>!=='не определено' &amp;&amp; row.l4 !== null</v>
      </c>
      <c r="T55" s="365" t="b">
        <f ca="1">F55&gt;0</f>
        <v>0</v>
      </c>
      <c r="W55" s="508" t="s">
        <v>1098</v>
      </c>
      <c r="X55" s="999"/>
      <c r="Y55" s="506"/>
      <c r="Z55" s="1144"/>
      <c r="AB55" s="505"/>
      <c r="AC55" s="164" t="s">
        <v>1079</v>
      </c>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5"/>
      <c r="BI55" s="502" t="s">
        <v>1095</v>
      </c>
    </row>
    <row r="56" spans="2:62" ht="22.35" hidden="1" customHeight="1">
      <c r="E56" s="502">
        <v>23</v>
      </c>
      <c r="F56" s="3" cm="1">
        <f t="array" aca="1" ref="F56" ca="1">OFFSET(E56,-1,1)</f>
        <v>0</v>
      </c>
      <c r="K56" s="611" t="str">
        <f ca="1">F28&amp;"5komm"</f>
        <v>05komm</v>
      </c>
      <c r="L56" s="615" cm="1">
        <f t="array" ref="L56">BC56</f>
        <v>0</v>
      </c>
      <c r="T56" s="365" t="b" cm="1">
        <f t="array" aca="1" ref="T56" ca="1">T55</f>
        <v>0</v>
      </c>
      <c r="X56" s="999"/>
      <c r="Y56" s="507"/>
      <c r="Z56" s="1144"/>
      <c r="AB56" s="143">
        <v>5</v>
      </c>
      <c r="AC56" s="144" t="s">
        <v>1099</v>
      </c>
      <c r="AD56" s="143" t="s">
        <v>804</v>
      </c>
      <c r="AE56" s="145">
        <f>SUMIF(AD59:AD62,AD56,AE59:AE62)</f>
        <v>0</v>
      </c>
      <c r="AF56" s="145">
        <f>SUMIF(AD59:AD62,AD56,AF59:AF62)</f>
        <v>0</v>
      </c>
      <c r="AG56" s="145">
        <f>SUMIF(AD59:AD62,AD56,AG59:AG62)</f>
        <v>0</v>
      </c>
      <c r="AH56" s="145">
        <f>SUMIF(AD59:AD62,AD56,AH59:AH62)</f>
        <v>0</v>
      </c>
      <c r="AI56" s="145">
        <f>SUMIF(AD59:AD62,AD56,AI59:AI62)</f>
        <v>0</v>
      </c>
      <c r="AJ56" s="783">
        <f>SUMIF(AD59:AD62,AD56,AJ59:AJ62)</f>
        <v>0</v>
      </c>
      <c r="AK56" s="783">
        <f>SUMIF(AD59:AD62,AD56,AK59:AK62)</f>
        <v>0</v>
      </c>
      <c r="AL56" s="783">
        <f>SUMIF(AD59:AD62,AD56,AL59:AL62)</f>
        <v>0</v>
      </c>
      <c r="AM56" s="783">
        <f>SUMIF(AD59:AD62,AD56,AM59:AM62)</f>
        <v>0</v>
      </c>
      <c r="AN56" s="783">
        <f>SUMIF(AD59:AD62,AD56,AN59:AN62)</f>
        <v>0</v>
      </c>
      <c r="AO56" s="783">
        <f>SUMIF(AD59:AD62,AD56,AO59:AO62)</f>
        <v>0</v>
      </c>
      <c r="AP56" s="783">
        <f>SUMIF(AD59:AD62,AD56,AP59:AP62)</f>
        <v>0</v>
      </c>
      <c r="AQ56" s="783">
        <f>SUMIF(AD59:AD62,AD56,AQ59:AQ62)</f>
        <v>0</v>
      </c>
      <c r="AR56" s="783">
        <f>SUMIF(AD59:AD62,AD56,AR59:AR62)</f>
        <v>0</v>
      </c>
      <c r="AS56" s="145">
        <f>SUMIF(AD59:AD62,AD56,AS59:AS62)</f>
        <v>0</v>
      </c>
      <c r="AT56" s="783">
        <f>SUMIF(AD59:AD62,AD56,AT59:AT62)</f>
        <v>0</v>
      </c>
      <c r="AU56" s="783">
        <f>SUMIF(AD59:AD62,AD56,AU59:AU62)</f>
        <v>0</v>
      </c>
      <c r="AV56" s="783">
        <f>SUMIF(AD59:AD62,AD56,AV59:AV62)</f>
        <v>0</v>
      </c>
      <c r="AW56" s="783">
        <f>SUMIF(AD59:AD62,AD56,AW59:AW62)</f>
        <v>0</v>
      </c>
      <c r="AX56" s="783">
        <f>SUMIF(AD59:AD62,AD56,AX59:AX62)</f>
        <v>0</v>
      </c>
      <c r="AY56" s="783">
        <f>SUMIF(AD59:AD62,AD56,AY59:AY62)</f>
        <v>0</v>
      </c>
      <c r="AZ56" s="783">
        <f>SUMIF(AD59:AD62,AD56,AZ59:AZ62)</f>
        <v>0</v>
      </c>
      <c r="BA56" s="783">
        <f>SUMIF(AD59:AD62,AD56,BA59:BA62)</f>
        <v>0</v>
      </c>
      <c r="BB56" s="783">
        <f>SUMIF(AD59:AD62,AD56,BB59:BB62)</f>
        <v>0</v>
      </c>
      <c r="BC56" s="839"/>
      <c r="BF56" s="691" t="s">
        <v>1100</v>
      </c>
    </row>
    <row r="57" spans="2:62" ht="15" hidden="1" customHeight="1">
      <c r="E57" s="502">
        <v>0</v>
      </c>
      <c r="F57" s="3" cm="1">
        <f t="array" aca="1" ref="F57" ca="1">OFFSET(E57,-1,1)</f>
        <v>0</v>
      </c>
      <c r="G57" s="85" t="s">
        <v>330</v>
      </c>
      <c r="L57" s="615"/>
      <c r="T57" s="365" t="b">
        <v>0</v>
      </c>
      <c r="W57" s="85" t="s">
        <v>173</v>
      </c>
      <c r="X57" s="999"/>
      <c r="Y57" s="999">
        <v>0</v>
      </c>
      <c r="Z57" s="1144"/>
      <c r="AA57" s="1146" t="s">
        <v>174</v>
      </c>
      <c r="AB57" s="143"/>
      <c r="AC57" s="144"/>
      <c r="AD57" s="143"/>
      <c r="AE57" s="148" t="b">
        <f t="shared" ref="AE57:BB57" si="7">OR(AND(AE59&lt;&gt;"",AE60=""),AND(AE59="",AE60&lt;&gt;""))</f>
        <v>0</v>
      </c>
      <c r="AF57" s="148" t="b">
        <f t="shared" si="7"/>
        <v>0</v>
      </c>
      <c r="AG57" s="148" t="b">
        <f t="shared" si="7"/>
        <v>0</v>
      </c>
      <c r="AH57" s="148" t="b">
        <f t="shared" si="7"/>
        <v>0</v>
      </c>
      <c r="AI57" s="148" t="b">
        <f t="shared" si="7"/>
        <v>0</v>
      </c>
      <c r="AJ57" s="148" t="b">
        <f t="shared" si="7"/>
        <v>0</v>
      </c>
      <c r="AK57" s="148" t="b">
        <f t="shared" si="7"/>
        <v>0</v>
      </c>
      <c r="AL57" s="148" t="b">
        <f t="shared" si="7"/>
        <v>0</v>
      </c>
      <c r="AM57" s="148" t="b">
        <f t="shared" si="7"/>
        <v>0</v>
      </c>
      <c r="AN57" s="148" t="b">
        <f t="shared" si="7"/>
        <v>0</v>
      </c>
      <c r="AO57" s="148" t="b">
        <f t="shared" si="7"/>
        <v>0</v>
      </c>
      <c r="AP57" s="148" t="b">
        <f t="shared" si="7"/>
        <v>0</v>
      </c>
      <c r="AQ57" s="148" t="b">
        <f t="shared" si="7"/>
        <v>0</v>
      </c>
      <c r="AR57" s="148" t="b">
        <f t="shared" si="7"/>
        <v>0</v>
      </c>
      <c r="AS57" s="148" t="b">
        <f t="shared" si="7"/>
        <v>0</v>
      </c>
      <c r="AT57" s="148" t="b">
        <f t="shared" si="7"/>
        <v>0</v>
      </c>
      <c r="AU57" s="148" t="b">
        <f t="shared" si="7"/>
        <v>0</v>
      </c>
      <c r="AV57" s="148" t="b">
        <f t="shared" si="7"/>
        <v>0</v>
      </c>
      <c r="AW57" s="148" t="b">
        <f t="shared" si="7"/>
        <v>0</v>
      </c>
      <c r="AX57" s="148" t="b">
        <f t="shared" si="7"/>
        <v>0</v>
      </c>
      <c r="AY57" s="148" t="b">
        <f t="shared" si="7"/>
        <v>0</v>
      </c>
      <c r="AZ57" s="148" t="b">
        <f t="shared" si="7"/>
        <v>0</v>
      </c>
      <c r="BA57" s="148" t="b">
        <f t="shared" si="7"/>
        <v>0</v>
      </c>
      <c r="BB57" s="148" t="b">
        <f t="shared" si="7"/>
        <v>0</v>
      </c>
      <c r="BC57" s="652"/>
    </row>
    <row r="58" spans="2:62" ht="14.65" hidden="1" customHeight="1">
      <c r="E58" s="502">
        <v>15</v>
      </c>
      <c r="F58" s="280" cm="1">
        <f t="array" aca="1" ref="F58" ca="1">OFFSET(E58,-1,1)</f>
        <v>0</v>
      </c>
      <c r="L58" s="615"/>
      <c r="T58" s="365" t="b">
        <f ca="1">AND(Y57&gt;0,F58&gt;0)</f>
        <v>0</v>
      </c>
      <c r="X58" s="1142"/>
      <c r="Y58" s="999"/>
      <c r="Z58" s="1143"/>
      <c r="AA58" s="1147"/>
      <c r="AB58" s="884" t="str">
        <f>"5."&amp;Y57</f>
        <v>5.0</v>
      </c>
      <c r="AC58" s="885" t="s">
        <v>225</v>
      </c>
      <c r="AD58" s="886"/>
      <c r="AE58" s="887"/>
      <c r="AF58" s="888"/>
      <c r="AG58" s="887"/>
      <c r="AH58" s="887"/>
      <c r="AI58" s="887"/>
      <c r="AJ58" s="887"/>
      <c r="AK58" s="887"/>
      <c r="AL58" s="887"/>
      <c r="AM58" s="887"/>
      <c r="AN58" s="887"/>
      <c r="AO58" s="887"/>
      <c r="AP58" s="887"/>
      <c r="AQ58" s="887"/>
      <c r="AR58" s="887"/>
      <c r="AS58" s="888"/>
      <c r="AT58" s="888"/>
      <c r="AU58" s="888"/>
      <c r="AV58" s="888"/>
      <c r="AW58" s="888"/>
      <c r="AX58" s="888"/>
      <c r="AY58" s="888"/>
      <c r="AZ58" s="888"/>
      <c r="BA58" s="888"/>
      <c r="BB58" s="889"/>
      <c r="BC58" s="890"/>
    </row>
    <row r="59" spans="2:62" ht="12.75" hidden="1" customHeight="1">
      <c r="E59" s="502">
        <v>15</v>
      </c>
      <c r="F59" s="3" cm="1">
        <f t="array" aca="1" ref="F59" ca="1">OFFSET(E59,-1,1)</f>
        <v>0</v>
      </c>
      <c r="G59" s="85" t="s">
        <v>330</v>
      </c>
      <c r="H59" s="88" t="str" cm="1">
        <f t="array" ref="H59">AC59</f>
        <v>Затраты</v>
      </c>
      <c r="I59" s="85" t="s">
        <v>1101</v>
      </c>
      <c r="T59" s="365" t="b" cm="1">
        <f t="array" aca="1" ref="T59" ca="1">T58</f>
        <v>0</v>
      </c>
      <c r="X59" s="999"/>
      <c r="Y59" s="999"/>
      <c r="Z59" s="1144"/>
      <c r="AA59" s="1146"/>
      <c r="AB59" s="26" t="str">
        <f>AB58&amp;".1"</f>
        <v>5.0.1</v>
      </c>
      <c r="AC59" s="891" t="s">
        <v>1070</v>
      </c>
      <c r="AD59" s="143" t="s">
        <v>804</v>
      </c>
      <c r="AE59" s="787"/>
      <c r="AF59" s="787"/>
      <c r="AG59" s="787"/>
      <c r="AH59" s="787"/>
      <c r="AI59" s="787"/>
      <c r="AJ59" s="787"/>
      <c r="AK59" s="787"/>
      <c r="AL59" s="787"/>
      <c r="AM59" s="787"/>
      <c r="AN59" s="787"/>
      <c r="AO59" s="787"/>
      <c r="AP59" s="787"/>
      <c r="AQ59" s="787"/>
      <c r="AR59" s="787"/>
      <c r="AS59" s="787"/>
      <c r="AT59" s="787"/>
      <c r="AU59" s="787"/>
      <c r="AV59" s="787"/>
      <c r="AW59" s="787"/>
      <c r="AX59" s="787"/>
      <c r="AY59" s="787"/>
      <c r="AZ59" s="787"/>
      <c r="BA59" s="787"/>
      <c r="BB59" s="787"/>
      <c r="BC59" s="839"/>
      <c r="BF59" s="691" t="s">
        <v>1071</v>
      </c>
      <c r="BG59" s="691" t="s">
        <v>1102</v>
      </c>
      <c r="BH59" s="691" t="str" cm="1">
        <f t="array" ref="BH59">AC58</f>
        <v/>
      </c>
      <c r="BJ59" s="502" t="b">
        <v>1</v>
      </c>
    </row>
    <row r="60" spans="2:62" ht="14.65" hidden="1" customHeight="1">
      <c r="E60" s="502">
        <v>15</v>
      </c>
      <c r="F60" s="3" cm="1">
        <f t="array" aca="1" ref="F60" ca="1">OFFSET(E60,-1,1)</f>
        <v>0</v>
      </c>
      <c r="G60" s="85" t="s">
        <v>550</v>
      </c>
      <c r="H60" s="88" t="str" cm="1">
        <f t="array" ref="H60">H59</f>
        <v>Затраты</v>
      </c>
      <c r="I60" s="85" t="s">
        <v>1101</v>
      </c>
      <c r="T60" s="365" t="b" cm="1">
        <f t="array" aca="1" ref="T60" ca="1">T59</f>
        <v>0</v>
      </c>
      <c r="X60" s="999"/>
      <c r="Y60" s="999"/>
      <c r="Z60" s="1144"/>
      <c r="AA60" s="1146"/>
      <c r="AB60" s="26" t="str">
        <f>AB59&amp;".1"</f>
        <v>5.0.1.1</v>
      </c>
      <c r="AC60" s="153" t="s">
        <v>1103</v>
      </c>
      <c r="AD60" s="26" t="s">
        <v>534</v>
      </c>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7"/>
      <c r="BC60" s="839"/>
      <c r="BF60" s="691" t="s">
        <v>1074</v>
      </c>
      <c r="BG60" s="691" t="s">
        <v>1102</v>
      </c>
      <c r="BH60" s="691" t="str" cm="1">
        <f t="array" ref="BH60">BH59</f>
        <v/>
      </c>
    </row>
    <row r="61" spans="2:62" ht="14.65" hidden="1" customHeight="1">
      <c r="E61" s="502">
        <v>15</v>
      </c>
      <c r="F61" s="280" cm="1">
        <f t="array" aca="1" ref="F61" ca="1">OFFSET(E61,-1,1)</f>
        <v>0</v>
      </c>
      <c r="H61" s="88"/>
      <c r="T61" s="365" t="b" cm="1">
        <f t="array" aca="1" ref="T61" ca="1">T60</f>
        <v>0</v>
      </c>
      <c r="X61" s="1142"/>
      <c r="Y61" s="999"/>
      <c r="Z61" s="1143"/>
      <c r="AA61" s="1147"/>
      <c r="AB61" s="892" t="str">
        <f>AB59&amp;".2"</f>
        <v>5.0.1.2</v>
      </c>
      <c r="AC61" s="893" t="s">
        <v>1104</v>
      </c>
      <c r="AD61" s="892" t="s">
        <v>1076</v>
      </c>
      <c r="AE61" s="894"/>
      <c r="AF61" s="894"/>
      <c r="AG61" s="894"/>
      <c r="AH61" s="894"/>
      <c r="AI61" s="894"/>
      <c r="AJ61" s="894"/>
      <c r="AK61" s="894"/>
      <c r="AL61" s="894"/>
      <c r="AM61" s="894"/>
      <c r="AN61" s="894"/>
      <c r="AO61" s="894"/>
      <c r="AP61" s="894"/>
      <c r="AQ61" s="894"/>
      <c r="AR61" s="894"/>
      <c r="AS61" s="894"/>
      <c r="AT61" s="894"/>
      <c r="AU61" s="894"/>
      <c r="AV61" s="894"/>
      <c r="AW61" s="894"/>
      <c r="AX61" s="894"/>
      <c r="AY61" s="894"/>
      <c r="AZ61" s="894"/>
      <c r="BA61" s="894"/>
      <c r="BB61" s="894"/>
      <c r="BC61" s="895"/>
      <c r="BF61" s="691" t="s">
        <v>1077</v>
      </c>
      <c r="BG61" s="691" t="s">
        <v>1102</v>
      </c>
      <c r="BH61" s="896" t="str" cm="1">
        <f t="array" ref="BH61">BH60</f>
        <v/>
      </c>
    </row>
    <row r="62" spans="2:62" ht="14.65" hidden="1" customHeight="1">
      <c r="E62" s="502">
        <v>15</v>
      </c>
      <c r="F62" s="3" cm="1">
        <f t="array" aca="1" ref="F62" ca="1">OFFSET(E62,-1,1)</f>
        <v>0</v>
      </c>
      <c r="H62" s="85" t="str">
        <f>"!=='не определено' &amp;&amp; row.l5 !== null"</f>
        <v>!=='не определено' &amp;&amp; row.l5 !== null</v>
      </c>
      <c r="T62" s="365" t="b">
        <f ca="1">F62&gt;0</f>
        <v>0</v>
      </c>
      <c r="W62" s="508" t="s">
        <v>1105</v>
      </c>
      <c r="X62" s="999"/>
      <c r="Y62" s="102"/>
      <c r="Z62" s="1144"/>
      <c r="AB62" s="505"/>
      <c r="AC62" s="164" t="s">
        <v>1079</v>
      </c>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5"/>
      <c r="BI62" s="502" t="s">
        <v>1102</v>
      </c>
    </row>
    <row r="63" spans="2:62" s="86" customFormat="1" ht="14.65" hidden="1" customHeight="1">
      <c r="B63" s="350"/>
      <c r="E63" s="503">
        <v>15</v>
      </c>
      <c r="F63" s="3" cm="1">
        <f t="array" aca="1" ref="F63" ca="1">OFFSET(E63,-1,1)</f>
        <v>0</v>
      </c>
      <c r="G63" s="85" t="s">
        <v>511</v>
      </c>
      <c r="K63" s="611" t="str">
        <f ca="1">F28&amp;"6komm"</f>
        <v>06komm</v>
      </c>
      <c r="L63" s="615" cm="1">
        <f t="array" ref="L63">BC63</f>
        <v>0</v>
      </c>
      <c r="T63" s="365" t="b" cm="1">
        <f t="array" aca="1" ref="T63" ca="1">T62</f>
        <v>0</v>
      </c>
      <c r="X63" s="999"/>
      <c r="Z63" s="1144"/>
      <c r="AB63" s="143">
        <v>6</v>
      </c>
      <c r="AC63" s="144" t="s">
        <v>1106</v>
      </c>
      <c r="AD63" s="143" t="s">
        <v>804</v>
      </c>
      <c r="AE63" s="145">
        <f t="shared" ref="AE63:BB63" si="8">SUMIF($AC66:$AC73,"Затраты на тепловую энергию, всего",AE66:AE73)</f>
        <v>0</v>
      </c>
      <c r="AF63" s="145">
        <f t="shared" si="8"/>
        <v>0</v>
      </c>
      <c r="AG63" s="145">
        <f t="shared" si="8"/>
        <v>0</v>
      </c>
      <c r="AH63" s="145">
        <f t="shared" si="8"/>
        <v>0</v>
      </c>
      <c r="AI63" s="897">
        <f t="shared" si="8"/>
        <v>0</v>
      </c>
      <c r="AJ63" s="783">
        <f t="shared" si="8"/>
        <v>0</v>
      </c>
      <c r="AK63" s="783">
        <f t="shared" si="8"/>
        <v>0</v>
      </c>
      <c r="AL63" s="783">
        <f t="shared" si="8"/>
        <v>0</v>
      </c>
      <c r="AM63" s="783">
        <f t="shared" si="8"/>
        <v>0</v>
      </c>
      <c r="AN63" s="783">
        <f t="shared" si="8"/>
        <v>0</v>
      </c>
      <c r="AO63" s="783">
        <f t="shared" si="8"/>
        <v>0</v>
      </c>
      <c r="AP63" s="783">
        <f t="shared" si="8"/>
        <v>0</v>
      </c>
      <c r="AQ63" s="783">
        <f t="shared" si="8"/>
        <v>0</v>
      </c>
      <c r="AR63" s="783">
        <f t="shared" si="8"/>
        <v>0</v>
      </c>
      <c r="AS63" s="897">
        <f t="shared" si="8"/>
        <v>0</v>
      </c>
      <c r="AT63" s="783">
        <f t="shared" si="8"/>
        <v>0</v>
      </c>
      <c r="AU63" s="783">
        <f t="shared" si="8"/>
        <v>0</v>
      </c>
      <c r="AV63" s="783">
        <f t="shared" si="8"/>
        <v>0</v>
      </c>
      <c r="AW63" s="783">
        <f t="shared" si="8"/>
        <v>0</v>
      </c>
      <c r="AX63" s="783">
        <f t="shared" si="8"/>
        <v>0</v>
      </c>
      <c r="AY63" s="783">
        <f t="shared" si="8"/>
        <v>0</v>
      </c>
      <c r="AZ63" s="783">
        <f t="shared" si="8"/>
        <v>0</v>
      </c>
      <c r="BA63" s="783">
        <f t="shared" si="8"/>
        <v>0</v>
      </c>
      <c r="BB63" s="783">
        <f t="shared" si="8"/>
        <v>0</v>
      </c>
      <c r="BC63" s="839"/>
      <c r="BF63" s="694" t="s">
        <v>1107</v>
      </c>
      <c r="BG63" s="694"/>
      <c r="BH63" s="694"/>
      <c r="BI63" s="503"/>
      <c r="BJ63" s="503"/>
    </row>
    <row r="64" spans="2:62" ht="14.65" hidden="1" customHeight="1">
      <c r="B64" s="350"/>
      <c r="E64" s="502">
        <v>15</v>
      </c>
      <c r="F64" s="280" cm="1">
        <f t="array" aca="1" ref="F64" ca="1">OFFSET(E64,-1,1)</f>
        <v>0</v>
      </c>
      <c r="L64" s="615"/>
      <c r="T64" s="365" t="b">
        <v>0</v>
      </c>
      <c r="W64" s="85" t="s">
        <v>173</v>
      </c>
      <c r="X64" s="1142"/>
      <c r="Y64" s="999">
        <v>0</v>
      </c>
      <c r="Z64" s="1143"/>
      <c r="AA64" s="1141" t="s">
        <v>174</v>
      </c>
      <c r="AB64" s="886"/>
      <c r="AC64" s="648"/>
      <c r="AD64" s="898"/>
      <c r="AE64" s="899" t="b">
        <f t="shared" ref="AE64:BB64" si="9">OR(AND(AE67&lt;&gt;"",AE68=""),AND(AE67="",AE68&lt;&gt;""))</f>
        <v>0</v>
      </c>
      <c r="AF64" s="899" t="b">
        <f t="shared" si="9"/>
        <v>0</v>
      </c>
      <c r="AG64" s="899" t="b">
        <f t="shared" si="9"/>
        <v>0</v>
      </c>
      <c r="AH64" s="899" t="b">
        <f t="shared" si="9"/>
        <v>0</v>
      </c>
      <c r="AI64" s="899" t="b">
        <f t="shared" si="9"/>
        <v>0</v>
      </c>
      <c r="AJ64" s="899" t="b">
        <f t="shared" si="9"/>
        <v>0</v>
      </c>
      <c r="AK64" s="899" t="b">
        <f t="shared" si="9"/>
        <v>0</v>
      </c>
      <c r="AL64" s="899" t="b">
        <f t="shared" si="9"/>
        <v>0</v>
      </c>
      <c r="AM64" s="899" t="b">
        <f t="shared" si="9"/>
        <v>0</v>
      </c>
      <c r="AN64" s="899" t="b">
        <f t="shared" si="9"/>
        <v>0</v>
      </c>
      <c r="AO64" s="899" t="b">
        <f t="shared" si="9"/>
        <v>0</v>
      </c>
      <c r="AP64" s="899" t="b">
        <f t="shared" si="9"/>
        <v>0</v>
      </c>
      <c r="AQ64" s="899" t="b">
        <f t="shared" si="9"/>
        <v>0</v>
      </c>
      <c r="AR64" s="899" t="b">
        <f t="shared" si="9"/>
        <v>0</v>
      </c>
      <c r="AS64" s="899" t="b">
        <f t="shared" si="9"/>
        <v>0</v>
      </c>
      <c r="AT64" s="899" t="b">
        <f t="shared" si="9"/>
        <v>0</v>
      </c>
      <c r="AU64" s="899" t="b">
        <f t="shared" si="9"/>
        <v>0</v>
      </c>
      <c r="AV64" s="899" t="b">
        <f t="shared" si="9"/>
        <v>0</v>
      </c>
      <c r="AW64" s="899" t="b">
        <f t="shared" si="9"/>
        <v>0</v>
      </c>
      <c r="AX64" s="899" t="b">
        <f t="shared" si="9"/>
        <v>0</v>
      </c>
      <c r="AY64" s="899" t="b">
        <f t="shared" si="9"/>
        <v>0</v>
      </c>
      <c r="AZ64" s="899" t="b">
        <f t="shared" si="9"/>
        <v>0</v>
      </c>
      <c r="BA64" s="899" t="b">
        <f t="shared" si="9"/>
        <v>0</v>
      </c>
      <c r="BB64" s="899" t="b">
        <f t="shared" si="9"/>
        <v>0</v>
      </c>
      <c r="BC64" s="899"/>
      <c r="BF64" s="694"/>
      <c r="BG64" s="694"/>
      <c r="BH64" s="694"/>
      <c r="BI64" s="503"/>
      <c r="BJ64" s="503"/>
    </row>
    <row r="65" spans="2:62" ht="14.65" hidden="1" customHeight="1">
      <c r="B65" s="350"/>
      <c r="E65" s="502">
        <v>15</v>
      </c>
      <c r="F65" s="280" cm="1">
        <f t="array" aca="1" ref="F65" ca="1">OFFSET(E65,-1,1)</f>
        <v>0</v>
      </c>
      <c r="L65" s="615"/>
      <c r="T65" s="365" t="b">
        <f ca="1">AND(F65&gt;0,Y64&gt;0)</f>
        <v>0</v>
      </c>
      <c r="X65" s="1142"/>
      <c r="Y65" s="999"/>
      <c r="Z65" s="1143"/>
      <c r="AA65" s="1141"/>
      <c r="AB65" s="884" t="str">
        <f>"6."&amp;Y64</f>
        <v>6.0</v>
      </c>
      <c r="AC65" s="900"/>
      <c r="AD65" s="898"/>
      <c r="AE65" s="888"/>
      <c r="AF65" s="888"/>
      <c r="AG65" s="888"/>
      <c r="AH65" s="888"/>
      <c r="AI65" s="888"/>
      <c r="AJ65" s="888"/>
      <c r="AK65" s="888"/>
      <c r="AL65" s="888"/>
      <c r="AM65" s="888"/>
      <c r="AN65" s="888"/>
      <c r="AO65" s="888"/>
      <c r="AP65" s="888"/>
      <c r="AQ65" s="888"/>
      <c r="AR65" s="888"/>
      <c r="AS65" s="888"/>
      <c r="AT65" s="888"/>
      <c r="AU65" s="888"/>
      <c r="AV65" s="888"/>
      <c r="AW65" s="888"/>
      <c r="AX65" s="888"/>
      <c r="AY65" s="888"/>
      <c r="AZ65" s="888"/>
      <c r="BA65" s="888"/>
      <c r="BB65" s="888"/>
      <c r="BC65" s="888"/>
      <c r="BF65" s="694"/>
      <c r="BG65" s="694"/>
      <c r="BH65" s="694"/>
      <c r="BI65" s="503"/>
      <c r="BJ65" s="503"/>
    </row>
    <row r="66" spans="2:62" ht="14.65" hidden="1" customHeight="1">
      <c r="B66" s="350"/>
      <c r="E66" s="502">
        <v>15</v>
      </c>
      <c r="F66" s="280" cm="1">
        <f t="array" aca="1" ref="F66" ca="1">OFFSET(E66,-1,1)</f>
        <v>0</v>
      </c>
      <c r="L66" s="615"/>
      <c r="T66" s="365" t="b" cm="1">
        <f t="array" aca="1" ref="T66" ca="1">T65</f>
        <v>0</v>
      </c>
      <c r="X66" s="1142"/>
      <c r="Y66" s="999"/>
      <c r="Z66" s="1143"/>
      <c r="AA66" s="1141"/>
      <c r="AB66" s="884" t="str">
        <f>AB65&amp;".1"</f>
        <v>6.0.1</v>
      </c>
      <c r="AC66" s="901" t="s">
        <v>1108</v>
      </c>
      <c r="AD66" s="892" t="s">
        <v>804</v>
      </c>
      <c r="AE66" s="902">
        <f t="shared" ref="AE66:BB66" si="10">AE67+AE70</f>
        <v>0</v>
      </c>
      <c r="AF66" s="902">
        <f t="shared" si="10"/>
        <v>0</v>
      </c>
      <c r="AG66" s="902">
        <f t="shared" si="10"/>
        <v>0</v>
      </c>
      <c r="AH66" s="902">
        <f t="shared" si="10"/>
        <v>0</v>
      </c>
      <c r="AI66" s="902">
        <f t="shared" si="10"/>
        <v>0</v>
      </c>
      <c r="AJ66" s="903">
        <f t="shared" si="10"/>
        <v>0</v>
      </c>
      <c r="AK66" s="903">
        <f t="shared" si="10"/>
        <v>0</v>
      </c>
      <c r="AL66" s="903">
        <f t="shared" si="10"/>
        <v>0</v>
      </c>
      <c r="AM66" s="903">
        <f t="shared" si="10"/>
        <v>0</v>
      </c>
      <c r="AN66" s="903">
        <f t="shared" si="10"/>
        <v>0</v>
      </c>
      <c r="AO66" s="903">
        <f t="shared" si="10"/>
        <v>0</v>
      </c>
      <c r="AP66" s="903">
        <f t="shared" si="10"/>
        <v>0</v>
      </c>
      <c r="AQ66" s="903">
        <f t="shared" si="10"/>
        <v>0</v>
      </c>
      <c r="AR66" s="903">
        <f t="shared" si="10"/>
        <v>0</v>
      </c>
      <c r="AS66" s="902">
        <f t="shared" si="10"/>
        <v>0</v>
      </c>
      <c r="AT66" s="903">
        <f t="shared" si="10"/>
        <v>0</v>
      </c>
      <c r="AU66" s="903">
        <f t="shared" si="10"/>
        <v>0</v>
      </c>
      <c r="AV66" s="903">
        <f t="shared" si="10"/>
        <v>0</v>
      </c>
      <c r="AW66" s="903">
        <f t="shared" si="10"/>
        <v>0</v>
      </c>
      <c r="AX66" s="903">
        <f t="shared" si="10"/>
        <v>0</v>
      </c>
      <c r="AY66" s="903">
        <f t="shared" si="10"/>
        <v>0</v>
      </c>
      <c r="AZ66" s="903">
        <f t="shared" si="10"/>
        <v>0</v>
      </c>
      <c r="BA66" s="903">
        <f t="shared" si="10"/>
        <v>0</v>
      </c>
      <c r="BB66" s="903">
        <f t="shared" si="10"/>
        <v>0</v>
      </c>
      <c r="BC66" s="895"/>
      <c r="BF66" s="694" t="s">
        <v>1109</v>
      </c>
      <c r="BG66" s="694" t="s">
        <v>1110</v>
      </c>
      <c r="BH66" s="904" cm="1">
        <f t="array" ref="BH66">AC65</f>
        <v>0</v>
      </c>
      <c r="BI66" s="503"/>
      <c r="BJ66" s="503" t="b">
        <v>1</v>
      </c>
    </row>
    <row r="67" spans="2:62" ht="14.65" hidden="1" customHeight="1">
      <c r="B67" s="350"/>
      <c r="E67" s="502">
        <v>15</v>
      </c>
      <c r="F67" s="280" cm="1">
        <f t="array" aca="1" ref="F67" ca="1">OFFSET(E67,-1,1)</f>
        <v>0</v>
      </c>
      <c r="L67" s="615"/>
      <c r="T67" s="365" t="b" cm="1">
        <f t="array" aca="1" ref="T67" ca="1">T66</f>
        <v>0</v>
      </c>
      <c r="X67" s="1142"/>
      <c r="Y67" s="999"/>
      <c r="Z67" s="1143"/>
      <c r="AA67" s="1141"/>
      <c r="AB67" s="884" t="str">
        <f>AB66&amp;".1"</f>
        <v>6.0.1.1</v>
      </c>
      <c r="AC67" s="905" t="s">
        <v>1111</v>
      </c>
      <c r="AD67" s="906" t="s">
        <v>804</v>
      </c>
      <c r="AE67" s="894"/>
      <c r="AF67" s="894"/>
      <c r="AG67" s="894"/>
      <c r="AH67" s="894"/>
      <c r="AI67" s="894"/>
      <c r="AJ67" s="894"/>
      <c r="AK67" s="894"/>
      <c r="AL67" s="894"/>
      <c r="AM67" s="894"/>
      <c r="AN67" s="894"/>
      <c r="AO67" s="894"/>
      <c r="AP67" s="894"/>
      <c r="AQ67" s="894"/>
      <c r="AR67" s="894"/>
      <c r="AS67" s="894"/>
      <c r="AT67" s="894"/>
      <c r="AU67" s="894"/>
      <c r="AV67" s="894"/>
      <c r="AW67" s="894"/>
      <c r="AX67" s="894"/>
      <c r="AY67" s="894"/>
      <c r="AZ67" s="894"/>
      <c r="BA67" s="894"/>
      <c r="BB67" s="894"/>
      <c r="BC67" s="895"/>
      <c r="BF67" s="694" t="s">
        <v>1112</v>
      </c>
      <c r="BG67" s="694" t="s">
        <v>1110</v>
      </c>
      <c r="BH67" s="904" cm="1">
        <f t="array" ref="BH67">BH66</f>
        <v>0</v>
      </c>
      <c r="BI67" s="503"/>
      <c r="BJ67" s="503"/>
    </row>
    <row r="68" spans="2:62" ht="14.65" hidden="1" customHeight="1">
      <c r="B68" s="350"/>
      <c r="E68" s="502">
        <v>15</v>
      </c>
      <c r="F68" s="280" cm="1">
        <f t="array" aca="1" ref="F68" ca="1">OFFSET(E68,-1,1)</f>
        <v>0</v>
      </c>
      <c r="L68" s="615"/>
      <c r="T68" s="365" t="b" cm="1">
        <f t="array" aca="1" ref="T68" ca="1">T67</f>
        <v>0</v>
      </c>
      <c r="X68" s="1142"/>
      <c r="Y68" s="999"/>
      <c r="Z68" s="1143"/>
      <c r="AA68" s="1141"/>
      <c r="AB68" s="884" t="str">
        <f>AB67&amp;".1"</f>
        <v>6.0.1.1.1</v>
      </c>
      <c r="AC68" s="907" t="s">
        <v>1113</v>
      </c>
      <c r="AD68" s="892" t="s">
        <v>1114</v>
      </c>
      <c r="AE68" s="894"/>
      <c r="AF68" s="894"/>
      <c r="AG68" s="894"/>
      <c r="AH68" s="894"/>
      <c r="AI68" s="894"/>
      <c r="AJ68" s="894"/>
      <c r="AK68" s="894"/>
      <c r="AL68" s="894"/>
      <c r="AM68" s="894"/>
      <c r="AN68" s="894"/>
      <c r="AO68" s="894"/>
      <c r="AP68" s="894"/>
      <c r="AQ68" s="894"/>
      <c r="AR68" s="894"/>
      <c r="AS68" s="894"/>
      <c r="AT68" s="894"/>
      <c r="AU68" s="894"/>
      <c r="AV68" s="894"/>
      <c r="AW68" s="894"/>
      <c r="AX68" s="894"/>
      <c r="AY68" s="894"/>
      <c r="AZ68" s="894"/>
      <c r="BA68" s="894"/>
      <c r="BB68" s="894"/>
      <c r="BC68" s="895"/>
      <c r="BF68" s="694" t="s">
        <v>1115</v>
      </c>
      <c r="BG68" s="694" t="s">
        <v>1110</v>
      </c>
      <c r="BH68" s="904" cm="1">
        <f t="array" ref="BH68">BH67</f>
        <v>0</v>
      </c>
      <c r="BI68" s="503"/>
      <c r="BJ68" s="503"/>
    </row>
    <row r="69" spans="2:62" ht="14.65" hidden="1" customHeight="1">
      <c r="B69" s="350"/>
      <c r="E69" s="502">
        <v>15</v>
      </c>
      <c r="F69" s="280" cm="1">
        <f t="array" aca="1" ref="F69" ca="1">OFFSET(E69,-1,1)</f>
        <v>0</v>
      </c>
      <c r="L69" s="615"/>
      <c r="T69" s="365" t="b" cm="1">
        <f t="array" aca="1" ref="T69" ca="1">T68</f>
        <v>0</v>
      </c>
      <c r="X69" s="1142"/>
      <c r="Y69" s="999"/>
      <c r="Z69" s="1143"/>
      <c r="AA69" s="1141"/>
      <c r="AB69" s="884" t="str">
        <f>AB67&amp;".2"</f>
        <v>6.0.1.1.2</v>
      </c>
      <c r="AC69" s="907" t="s">
        <v>1116</v>
      </c>
      <c r="AD69" s="892" t="s">
        <v>1117</v>
      </c>
      <c r="AE69" s="894"/>
      <c r="AF69" s="894"/>
      <c r="AG69" s="894"/>
      <c r="AH69" s="894"/>
      <c r="AI69" s="894"/>
      <c r="AJ69" s="894"/>
      <c r="AK69" s="894"/>
      <c r="AL69" s="894"/>
      <c r="AM69" s="894"/>
      <c r="AN69" s="894"/>
      <c r="AO69" s="894"/>
      <c r="AP69" s="894"/>
      <c r="AQ69" s="894"/>
      <c r="AR69" s="894"/>
      <c r="AS69" s="894"/>
      <c r="AT69" s="894"/>
      <c r="AU69" s="894"/>
      <c r="AV69" s="894"/>
      <c r="AW69" s="894"/>
      <c r="AX69" s="894"/>
      <c r="AY69" s="894"/>
      <c r="AZ69" s="894"/>
      <c r="BA69" s="894"/>
      <c r="BB69" s="894"/>
      <c r="BC69" s="895"/>
      <c r="BF69" s="694" t="s">
        <v>1118</v>
      </c>
      <c r="BG69" s="694" t="s">
        <v>1110</v>
      </c>
      <c r="BH69" s="904" cm="1">
        <f t="array" ref="BH69">BH68</f>
        <v>0</v>
      </c>
      <c r="BI69" s="503"/>
      <c r="BJ69" s="503"/>
    </row>
    <row r="70" spans="2:62" ht="14.65" hidden="1" customHeight="1">
      <c r="B70" s="350"/>
      <c r="E70" s="502">
        <v>15</v>
      </c>
      <c r="F70" s="280" cm="1">
        <f t="array" aca="1" ref="F70" ca="1">OFFSET(E70,-1,1)</f>
        <v>0</v>
      </c>
      <c r="L70" s="615"/>
      <c r="T70" s="365" t="b" cm="1">
        <f t="array" aca="1" ref="T70" ca="1">T69</f>
        <v>0</v>
      </c>
      <c r="X70" s="1142"/>
      <c r="Y70" s="999"/>
      <c r="Z70" s="1143"/>
      <c r="AA70" s="1141"/>
      <c r="AB70" s="884" t="str">
        <f>AB66&amp;".2"</f>
        <v>6.0.1.2</v>
      </c>
      <c r="AC70" s="893" t="s">
        <v>1119</v>
      </c>
      <c r="AD70" s="892" t="s">
        <v>804</v>
      </c>
      <c r="AE70" s="894"/>
      <c r="AF70" s="894"/>
      <c r="AG70" s="894"/>
      <c r="AH70" s="894"/>
      <c r="AI70" s="894"/>
      <c r="AJ70" s="894"/>
      <c r="AK70" s="894"/>
      <c r="AL70" s="894"/>
      <c r="AM70" s="894"/>
      <c r="AN70" s="894"/>
      <c r="AO70" s="894"/>
      <c r="AP70" s="894"/>
      <c r="AQ70" s="894"/>
      <c r="AR70" s="894"/>
      <c r="AS70" s="894"/>
      <c r="AT70" s="894"/>
      <c r="AU70" s="894"/>
      <c r="AV70" s="894"/>
      <c r="AW70" s="894"/>
      <c r="AX70" s="894"/>
      <c r="AY70" s="894"/>
      <c r="AZ70" s="894"/>
      <c r="BA70" s="894"/>
      <c r="BB70" s="894"/>
      <c r="BC70" s="895"/>
      <c r="BF70" s="694" t="s">
        <v>1120</v>
      </c>
      <c r="BG70" s="694" t="s">
        <v>1110</v>
      </c>
      <c r="BH70" s="904" cm="1">
        <f t="array" ref="BH70">BH69</f>
        <v>0</v>
      </c>
      <c r="BI70" s="503"/>
      <c r="BJ70" s="503"/>
    </row>
    <row r="71" spans="2:62" ht="14.65" hidden="1" customHeight="1">
      <c r="B71" s="350"/>
      <c r="E71" s="502">
        <v>15</v>
      </c>
      <c r="F71" s="280" cm="1">
        <f t="array" aca="1" ref="F71" ca="1">OFFSET(E71,-1,1)</f>
        <v>0</v>
      </c>
      <c r="L71" s="615"/>
      <c r="T71" s="365" t="b" cm="1">
        <f t="array" aca="1" ref="T71" ca="1">T70</f>
        <v>0</v>
      </c>
      <c r="X71" s="1142"/>
      <c r="Y71" s="999"/>
      <c r="Z71" s="1143"/>
      <c r="AA71" s="1141"/>
      <c r="AB71" s="884" t="str">
        <f>AB70&amp;".1"</f>
        <v>6.0.1.2.1</v>
      </c>
      <c r="AC71" s="907" t="s">
        <v>1121</v>
      </c>
      <c r="AD71" s="892" t="s">
        <v>1122</v>
      </c>
      <c r="AE71" s="894"/>
      <c r="AF71" s="894"/>
      <c r="AG71" s="894"/>
      <c r="AH71" s="894"/>
      <c r="AI71" s="894"/>
      <c r="AJ71" s="894"/>
      <c r="AK71" s="894"/>
      <c r="AL71" s="894"/>
      <c r="AM71" s="894"/>
      <c r="AN71" s="894"/>
      <c r="AO71" s="894"/>
      <c r="AP71" s="894"/>
      <c r="AQ71" s="894"/>
      <c r="AR71" s="894"/>
      <c r="AS71" s="894"/>
      <c r="AT71" s="894"/>
      <c r="AU71" s="894"/>
      <c r="AV71" s="894"/>
      <c r="AW71" s="894"/>
      <c r="AX71" s="894"/>
      <c r="AY71" s="894"/>
      <c r="AZ71" s="894"/>
      <c r="BA71" s="894"/>
      <c r="BB71" s="894"/>
      <c r="BC71" s="895"/>
      <c r="BF71" s="694" t="s">
        <v>1123</v>
      </c>
      <c r="BG71" s="694" t="s">
        <v>1110</v>
      </c>
      <c r="BH71" s="904" cm="1">
        <f t="array" ref="BH71">BH70</f>
        <v>0</v>
      </c>
      <c r="BI71" s="503"/>
      <c r="BJ71" s="503"/>
    </row>
    <row r="72" spans="2:62" ht="14.65" hidden="1" customHeight="1">
      <c r="B72" s="350"/>
      <c r="E72" s="502">
        <v>15</v>
      </c>
      <c r="F72" s="280" cm="1">
        <f t="array" aca="1" ref="F72" ca="1">OFFSET(E72,-1,1)</f>
        <v>0</v>
      </c>
      <c r="L72" s="615"/>
      <c r="T72" s="365" t="b" cm="1">
        <f t="array" aca="1" ref="T72" ca="1">T71</f>
        <v>0</v>
      </c>
      <c r="X72" s="1142"/>
      <c r="Y72" s="999"/>
      <c r="Z72" s="1143"/>
      <c r="AA72" s="1141"/>
      <c r="AB72" s="884" t="str">
        <f>AB70&amp;".2"</f>
        <v>6.0.1.2.2</v>
      </c>
      <c r="AC72" s="907" t="s">
        <v>1124</v>
      </c>
      <c r="AD72" s="892" t="s">
        <v>1125</v>
      </c>
      <c r="AE72" s="894"/>
      <c r="AF72" s="894"/>
      <c r="AG72" s="894"/>
      <c r="AH72" s="894"/>
      <c r="AI72" s="894"/>
      <c r="AJ72" s="894"/>
      <c r="AK72" s="894"/>
      <c r="AL72" s="894"/>
      <c r="AM72" s="894"/>
      <c r="AN72" s="894"/>
      <c r="AO72" s="894"/>
      <c r="AP72" s="894"/>
      <c r="AQ72" s="894"/>
      <c r="AR72" s="894"/>
      <c r="AS72" s="894"/>
      <c r="AT72" s="894"/>
      <c r="AU72" s="894"/>
      <c r="AV72" s="894"/>
      <c r="AW72" s="894"/>
      <c r="AX72" s="894"/>
      <c r="AY72" s="894"/>
      <c r="AZ72" s="894"/>
      <c r="BA72" s="894"/>
      <c r="BB72" s="894"/>
      <c r="BC72" s="895"/>
      <c r="BF72" s="694" t="s">
        <v>1126</v>
      </c>
      <c r="BG72" s="694" t="s">
        <v>1110</v>
      </c>
      <c r="BH72" s="904" cm="1">
        <f t="array" ref="BH72">BH71</f>
        <v>0</v>
      </c>
      <c r="BI72" s="503"/>
      <c r="BJ72" s="503"/>
    </row>
    <row r="73" spans="2:62" ht="14.65" hidden="1" customHeight="1">
      <c r="B73" s="350"/>
      <c r="E73" s="502">
        <v>15</v>
      </c>
      <c r="F73" s="280" cm="1">
        <f t="array" aca="1" ref="F73" ca="1">OFFSET(E73,-1,1)</f>
        <v>0</v>
      </c>
      <c r="L73" s="615"/>
      <c r="T73" s="365" t="b">
        <f ca="1">F73&gt;0</f>
        <v>0</v>
      </c>
      <c r="W73" s="508" t="s">
        <v>1127</v>
      </c>
      <c r="X73" s="1142"/>
      <c r="Y73" s="34"/>
      <c r="Z73" s="1143"/>
      <c r="AA73" s="868"/>
      <c r="AB73" s="908"/>
      <c r="AC73" s="909" t="s">
        <v>1079</v>
      </c>
      <c r="AD73" s="909"/>
      <c r="AE73" s="910"/>
      <c r="AF73" s="910"/>
      <c r="AG73" s="910"/>
      <c r="AH73" s="910"/>
      <c r="AI73" s="910"/>
      <c r="AJ73" s="910"/>
      <c r="AK73" s="910"/>
      <c r="AL73" s="910"/>
      <c r="AM73" s="910"/>
      <c r="AN73" s="910"/>
      <c r="AO73" s="910"/>
      <c r="AP73" s="910"/>
      <c r="AQ73" s="910"/>
      <c r="AR73" s="910"/>
      <c r="AS73" s="910"/>
      <c r="AT73" s="910"/>
      <c r="AU73" s="910"/>
      <c r="AV73" s="910"/>
      <c r="AW73" s="910"/>
      <c r="AX73" s="910"/>
      <c r="AY73" s="910"/>
      <c r="AZ73" s="910"/>
      <c r="BA73" s="910"/>
      <c r="BB73" s="910"/>
      <c r="BC73" s="910"/>
      <c r="BF73" s="694"/>
      <c r="BG73" s="694"/>
      <c r="BH73" s="694"/>
      <c r="BI73" s="503" t="s">
        <v>1110</v>
      </c>
      <c r="BJ73" s="503"/>
    </row>
    <row r="74" spans="2:62" s="86" customFormat="1" ht="14.65" hidden="1" customHeight="1">
      <c r="B74" s="350"/>
      <c r="E74" s="503">
        <v>15</v>
      </c>
      <c r="F74" s="3" cm="1">
        <f t="array" aca="1" ref="F74" ca="1">OFFSET(E74,-1,1)</f>
        <v>0</v>
      </c>
      <c r="G74" s="85" t="s">
        <v>514</v>
      </c>
      <c r="K74" s="611" t="str">
        <f ca="1">F28&amp;"7komm"</f>
        <v>07komm</v>
      </c>
      <c r="L74" s="615" cm="1">
        <f t="array" ref="L74">BC74</f>
        <v>0</v>
      </c>
      <c r="T74" s="365" t="b" cm="1">
        <f t="array" aca="1" ref="T74" ca="1">T63</f>
        <v>0</v>
      </c>
      <c r="X74" s="999"/>
      <c r="Z74" s="1144"/>
      <c r="AB74" s="143">
        <v>7</v>
      </c>
      <c r="AC74" s="144" t="s">
        <v>1128</v>
      </c>
      <c r="AD74" s="143" t="s">
        <v>804</v>
      </c>
      <c r="AE74" s="145">
        <f t="shared" ref="AE74:BB74" si="11">SUMIF($AD77:$AD80,$AD74,AE77:AE80)</f>
        <v>0</v>
      </c>
      <c r="AF74" s="145">
        <f t="shared" si="11"/>
        <v>0</v>
      </c>
      <c r="AG74" s="145">
        <f t="shared" si="11"/>
        <v>0</v>
      </c>
      <c r="AH74" s="145">
        <f t="shared" si="11"/>
        <v>0</v>
      </c>
      <c r="AI74" s="897">
        <f t="shared" si="11"/>
        <v>0</v>
      </c>
      <c r="AJ74" s="783">
        <f t="shared" si="11"/>
        <v>0</v>
      </c>
      <c r="AK74" s="783">
        <f t="shared" si="11"/>
        <v>0</v>
      </c>
      <c r="AL74" s="783">
        <f t="shared" si="11"/>
        <v>0</v>
      </c>
      <c r="AM74" s="783">
        <f t="shared" si="11"/>
        <v>0</v>
      </c>
      <c r="AN74" s="783">
        <f t="shared" si="11"/>
        <v>0</v>
      </c>
      <c r="AO74" s="783">
        <f t="shared" si="11"/>
        <v>0</v>
      </c>
      <c r="AP74" s="783">
        <f t="shared" si="11"/>
        <v>0</v>
      </c>
      <c r="AQ74" s="783">
        <f t="shared" si="11"/>
        <v>0</v>
      </c>
      <c r="AR74" s="783">
        <f t="shared" si="11"/>
        <v>0</v>
      </c>
      <c r="AS74" s="897">
        <f t="shared" si="11"/>
        <v>0</v>
      </c>
      <c r="AT74" s="783">
        <f t="shared" si="11"/>
        <v>0</v>
      </c>
      <c r="AU74" s="783">
        <f t="shared" si="11"/>
        <v>0</v>
      </c>
      <c r="AV74" s="783">
        <f t="shared" si="11"/>
        <v>0</v>
      </c>
      <c r="AW74" s="783">
        <f t="shared" si="11"/>
        <v>0</v>
      </c>
      <c r="AX74" s="783">
        <f t="shared" si="11"/>
        <v>0</v>
      </c>
      <c r="AY74" s="783">
        <f t="shared" si="11"/>
        <v>0</v>
      </c>
      <c r="AZ74" s="783">
        <f t="shared" si="11"/>
        <v>0</v>
      </c>
      <c r="BA74" s="783">
        <f t="shared" si="11"/>
        <v>0</v>
      </c>
      <c r="BB74" s="783">
        <f t="shared" si="11"/>
        <v>0</v>
      </c>
      <c r="BC74" s="839"/>
      <c r="BF74" s="694" t="s">
        <v>1129</v>
      </c>
      <c r="BG74" s="694"/>
      <c r="BH74" s="694"/>
      <c r="BI74" s="503"/>
      <c r="BJ74" s="503"/>
    </row>
    <row r="75" spans="2:62" ht="14.65" hidden="1" customHeight="1">
      <c r="B75" s="350"/>
      <c r="E75" s="502">
        <v>15</v>
      </c>
      <c r="F75" s="280" cm="1">
        <f t="array" aca="1" ref="F75" ca="1">OFFSET(E75,-1,1)</f>
        <v>0</v>
      </c>
      <c r="L75" s="615"/>
      <c r="T75" s="365" t="b">
        <v>0</v>
      </c>
      <c r="W75" s="85" t="s">
        <v>173</v>
      </c>
      <c r="X75" s="1142"/>
      <c r="Y75" s="999">
        <v>0</v>
      </c>
      <c r="Z75" s="1143"/>
      <c r="AA75" s="1141" t="s">
        <v>174</v>
      </c>
      <c r="AB75" s="886"/>
      <c r="AC75" s="648"/>
      <c r="AD75" s="898"/>
      <c r="AE75" s="899" t="b">
        <f t="shared" ref="AE75:BB75" si="12">OR(AND(AE77&lt;&gt;"",AE78=""),AND(AE77="",AE78&lt;&gt;""))</f>
        <v>0</v>
      </c>
      <c r="AF75" s="899" t="b">
        <f t="shared" si="12"/>
        <v>0</v>
      </c>
      <c r="AG75" s="899" t="b">
        <f t="shared" si="12"/>
        <v>0</v>
      </c>
      <c r="AH75" s="899" t="b">
        <f t="shared" si="12"/>
        <v>0</v>
      </c>
      <c r="AI75" s="899" t="b">
        <f t="shared" si="12"/>
        <v>0</v>
      </c>
      <c r="AJ75" s="899" t="b">
        <f t="shared" si="12"/>
        <v>0</v>
      </c>
      <c r="AK75" s="899" t="b">
        <f t="shared" si="12"/>
        <v>0</v>
      </c>
      <c r="AL75" s="899" t="b">
        <f t="shared" si="12"/>
        <v>0</v>
      </c>
      <c r="AM75" s="899" t="b">
        <f t="shared" si="12"/>
        <v>0</v>
      </c>
      <c r="AN75" s="899" t="b">
        <f t="shared" si="12"/>
        <v>0</v>
      </c>
      <c r="AO75" s="899" t="b">
        <f t="shared" si="12"/>
        <v>0</v>
      </c>
      <c r="AP75" s="899" t="b">
        <f t="shared" si="12"/>
        <v>0</v>
      </c>
      <c r="AQ75" s="899" t="b">
        <f t="shared" si="12"/>
        <v>0</v>
      </c>
      <c r="AR75" s="899" t="b">
        <f t="shared" si="12"/>
        <v>0</v>
      </c>
      <c r="AS75" s="899" t="b">
        <f t="shared" si="12"/>
        <v>0</v>
      </c>
      <c r="AT75" s="899" t="b">
        <f t="shared" si="12"/>
        <v>0</v>
      </c>
      <c r="AU75" s="899" t="b">
        <f t="shared" si="12"/>
        <v>0</v>
      </c>
      <c r="AV75" s="899" t="b">
        <f t="shared" si="12"/>
        <v>0</v>
      </c>
      <c r="AW75" s="899" t="b">
        <f t="shared" si="12"/>
        <v>0</v>
      </c>
      <c r="AX75" s="899" t="b">
        <f t="shared" si="12"/>
        <v>0</v>
      </c>
      <c r="AY75" s="899" t="b">
        <f t="shared" si="12"/>
        <v>0</v>
      </c>
      <c r="AZ75" s="899" t="b">
        <f t="shared" si="12"/>
        <v>0</v>
      </c>
      <c r="BA75" s="899" t="b">
        <f t="shared" si="12"/>
        <v>0</v>
      </c>
      <c r="BB75" s="899" t="b">
        <f t="shared" si="12"/>
        <v>0</v>
      </c>
      <c r="BC75" s="652"/>
      <c r="BF75" s="694"/>
      <c r="BG75" s="694"/>
      <c r="BH75" s="694"/>
      <c r="BI75" s="503"/>
      <c r="BJ75" s="503"/>
    </row>
    <row r="76" spans="2:62" ht="14.65" hidden="1" customHeight="1">
      <c r="B76" s="350"/>
      <c r="E76" s="502">
        <v>15</v>
      </c>
      <c r="F76" s="280" cm="1">
        <f t="array" aca="1" ref="F76" ca="1">OFFSET(E76,-1,1)</f>
        <v>0</v>
      </c>
      <c r="L76" s="615"/>
      <c r="T76" s="365" t="b">
        <f ca="1">AND(F76&gt;0,Y75&gt;0)</f>
        <v>0</v>
      </c>
      <c r="X76" s="1142"/>
      <c r="Y76" s="999"/>
      <c r="Z76" s="1143"/>
      <c r="AA76" s="1141"/>
      <c r="AB76" s="884" t="str">
        <f>"7."&amp;Y75</f>
        <v>7.0</v>
      </c>
      <c r="AC76" s="900"/>
      <c r="AD76" s="898"/>
      <c r="BF76" s="694"/>
      <c r="BG76" s="694"/>
      <c r="BH76" s="694"/>
      <c r="BI76" s="503"/>
      <c r="BJ76" s="503"/>
    </row>
    <row r="77" spans="2:62" ht="14.65" hidden="1" customHeight="1">
      <c r="B77" s="350"/>
      <c r="E77" s="502">
        <v>15</v>
      </c>
      <c r="F77" s="280" cm="1">
        <f t="array" aca="1" ref="F77" ca="1">OFFSET(E77,-1,1)</f>
        <v>0</v>
      </c>
      <c r="L77" s="615"/>
      <c r="T77" s="365" t="b" cm="1">
        <f t="array" aca="1" ref="T77" ca="1">T76</f>
        <v>0</v>
      </c>
      <c r="X77" s="1142"/>
      <c r="Y77" s="999"/>
      <c r="Z77" s="1143"/>
      <c r="AA77" s="1141"/>
      <c r="AB77" s="884" t="str">
        <f>AB76&amp;".1"</f>
        <v>7.0.1</v>
      </c>
      <c r="AC77" s="911" t="s">
        <v>1070</v>
      </c>
      <c r="AD77" s="886" t="s">
        <v>804</v>
      </c>
      <c r="AE77" s="912"/>
      <c r="AF77" s="913"/>
      <c r="AG77" s="912"/>
      <c r="AH77" s="912"/>
      <c r="AI77" s="913"/>
      <c r="AJ77" s="913"/>
      <c r="AK77" s="913"/>
      <c r="AL77" s="913"/>
      <c r="AM77" s="913"/>
      <c r="AN77" s="913"/>
      <c r="AO77" s="913"/>
      <c r="AP77" s="913"/>
      <c r="AQ77" s="913"/>
      <c r="AR77" s="913"/>
      <c r="AS77" s="912"/>
      <c r="AT77" s="912"/>
      <c r="AU77" s="912"/>
      <c r="AV77" s="912"/>
      <c r="AW77" s="912"/>
      <c r="AX77" s="912"/>
      <c r="AY77" s="912"/>
      <c r="AZ77" s="912"/>
      <c r="BA77" s="912"/>
      <c r="BB77" s="912"/>
      <c r="BC77" s="839"/>
      <c r="BF77" s="691" t="s">
        <v>1071</v>
      </c>
      <c r="BG77" s="694" t="s">
        <v>1130</v>
      </c>
      <c r="BH77" s="904" cm="1">
        <f t="array" ref="BH77">AC76</f>
        <v>0</v>
      </c>
      <c r="BI77" s="503"/>
      <c r="BJ77" s="503" t="b">
        <v>1</v>
      </c>
    </row>
    <row r="78" spans="2:62" ht="14.65" hidden="1" customHeight="1">
      <c r="B78" s="350"/>
      <c r="E78" s="502">
        <v>15</v>
      </c>
      <c r="F78" s="280" cm="1">
        <f t="array" aca="1" ref="F78" ca="1">OFFSET(E78,-1,1)</f>
        <v>0</v>
      </c>
      <c r="L78" s="615"/>
      <c r="T78" s="365" t="b" cm="1">
        <f t="array" aca="1" ref="T78" ca="1">T77</f>
        <v>0</v>
      </c>
      <c r="X78" s="1142"/>
      <c r="Y78" s="999"/>
      <c r="Z78" s="1143"/>
      <c r="AA78" s="1141"/>
      <c r="AB78" s="884" t="str">
        <f>AB77&amp;".1"</f>
        <v>7.0.1.1</v>
      </c>
      <c r="AC78" s="893" t="s">
        <v>1131</v>
      </c>
      <c r="AD78" s="884" t="s">
        <v>534</v>
      </c>
      <c r="AE78" s="912"/>
      <c r="AF78" s="913"/>
      <c r="AG78" s="912"/>
      <c r="AH78" s="912"/>
      <c r="AI78" s="913"/>
      <c r="AJ78" s="913"/>
      <c r="AK78" s="913"/>
      <c r="AL78" s="913"/>
      <c r="AM78" s="913"/>
      <c r="AN78" s="913"/>
      <c r="AO78" s="913"/>
      <c r="AP78" s="913"/>
      <c r="AQ78" s="913"/>
      <c r="AR78" s="913"/>
      <c r="AS78" s="912"/>
      <c r="AT78" s="912"/>
      <c r="AU78" s="912"/>
      <c r="AV78" s="912"/>
      <c r="AW78" s="912"/>
      <c r="AX78" s="912"/>
      <c r="AY78" s="912"/>
      <c r="AZ78" s="912"/>
      <c r="BA78" s="912"/>
      <c r="BB78" s="912"/>
      <c r="BC78" s="839"/>
      <c r="BF78" s="691" t="s">
        <v>1074</v>
      </c>
      <c r="BG78" s="694" t="s">
        <v>1130</v>
      </c>
      <c r="BH78" s="904" cm="1">
        <f t="array" ref="BH78">BH77</f>
        <v>0</v>
      </c>
      <c r="BI78" s="503"/>
      <c r="BJ78" s="503"/>
    </row>
    <row r="79" spans="2:62" ht="14.65" hidden="1" customHeight="1">
      <c r="B79" s="350"/>
      <c r="E79" s="502">
        <v>15</v>
      </c>
      <c r="F79" s="280" cm="1">
        <f t="array" aca="1" ref="F79" ca="1">OFFSET(E79,-1,1)</f>
        <v>0</v>
      </c>
      <c r="L79" s="615"/>
      <c r="T79" s="365" t="b" cm="1">
        <f t="array" aca="1" ref="T79" ca="1">T78</f>
        <v>0</v>
      </c>
      <c r="X79" s="1142"/>
      <c r="Y79" s="999"/>
      <c r="Z79" s="1143"/>
      <c r="AA79" s="1141"/>
      <c r="AB79" s="884" t="str">
        <f>AB77&amp;".2"</f>
        <v>7.0.1.2</v>
      </c>
      <c r="AC79" s="893" t="s">
        <v>1132</v>
      </c>
      <c r="AD79" s="884" t="s">
        <v>1076</v>
      </c>
      <c r="AE79" s="912"/>
      <c r="AF79" s="913"/>
      <c r="AG79" s="913"/>
      <c r="AH79" s="912"/>
      <c r="AI79" s="913"/>
      <c r="AJ79" s="913"/>
      <c r="AK79" s="913"/>
      <c r="AL79" s="913"/>
      <c r="AM79" s="913"/>
      <c r="AN79" s="913"/>
      <c r="AO79" s="913"/>
      <c r="AP79" s="913"/>
      <c r="AQ79" s="913"/>
      <c r="AR79" s="913"/>
      <c r="AS79" s="913"/>
      <c r="AT79" s="913"/>
      <c r="AU79" s="913"/>
      <c r="AV79" s="913"/>
      <c r="AW79" s="913"/>
      <c r="AX79" s="913"/>
      <c r="AY79" s="913"/>
      <c r="AZ79" s="913"/>
      <c r="BA79" s="913"/>
      <c r="BB79" s="913"/>
      <c r="BC79" s="839"/>
      <c r="BF79" s="691" t="s">
        <v>1077</v>
      </c>
      <c r="BG79" s="694" t="s">
        <v>1130</v>
      </c>
      <c r="BH79" s="904" cm="1">
        <f t="array" ref="BH79">BH78</f>
        <v>0</v>
      </c>
      <c r="BI79" s="503"/>
      <c r="BJ79" s="503"/>
    </row>
    <row r="80" spans="2:62" ht="14.65" hidden="1" customHeight="1">
      <c r="B80" s="350"/>
      <c r="E80" s="502">
        <v>15</v>
      </c>
      <c r="F80" s="280" cm="1">
        <f t="array" aca="1" ref="F80" ca="1">OFFSET(E80,-1,1)</f>
        <v>0</v>
      </c>
      <c r="L80" s="615"/>
      <c r="T80" s="365" t="b">
        <f ca="1">F80&gt;0</f>
        <v>0</v>
      </c>
      <c r="W80" s="508" t="s">
        <v>1133</v>
      </c>
      <c r="X80" s="1142"/>
      <c r="Z80" s="1143"/>
      <c r="AA80" s="868"/>
      <c r="AB80" s="908"/>
      <c r="AC80" s="909" t="s">
        <v>1079</v>
      </c>
      <c r="AD80" s="909"/>
      <c r="AE80" s="909"/>
      <c r="AF80" s="909"/>
      <c r="AG80" s="909"/>
      <c r="AH80" s="909"/>
      <c r="AI80" s="909"/>
      <c r="AJ80" s="909"/>
      <c r="AK80" s="909"/>
      <c r="AL80" s="909"/>
      <c r="AM80" s="909"/>
      <c r="AN80" s="909"/>
      <c r="AO80" s="909"/>
      <c r="AP80" s="909"/>
      <c r="AQ80" s="909"/>
      <c r="AR80" s="909"/>
      <c r="AS80" s="909"/>
      <c r="AT80" s="909"/>
      <c r="AU80" s="909"/>
      <c r="AV80" s="909"/>
      <c r="AW80" s="909"/>
      <c r="AX80" s="909"/>
      <c r="AY80" s="909"/>
      <c r="AZ80" s="909"/>
      <c r="BA80" s="909"/>
      <c r="BB80" s="909"/>
      <c r="BC80" s="914"/>
      <c r="BF80" s="694"/>
      <c r="BG80" s="694"/>
      <c r="BH80" s="694"/>
      <c r="BI80" s="503" t="s">
        <v>1130</v>
      </c>
      <c r="BJ80" s="503"/>
    </row>
    <row r="81" spans="2:62" s="86" customFormat="1" ht="14.65" hidden="1" customHeight="1">
      <c r="B81" s="350"/>
      <c r="E81" s="503">
        <v>15</v>
      </c>
      <c r="F81" s="3" cm="1">
        <f t="array" aca="1" ref="F81" ca="1">OFFSET(E81,-1,1)</f>
        <v>0</v>
      </c>
      <c r="G81" s="85" t="s">
        <v>562</v>
      </c>
      <c r="K81" s="611" t="str">
        <f ca="1">F28&amp;"8komm"</f>
        <v>08komm</v>
      </c>
      <c r="L81" s="615" cm="1">
        <f t="array" ref="L81">BC81</f>
        <v>0</v>
      </c>
      <c r="T81" s="365" t="b" cm="1">
        <f t="array" aca="1" ref="T81" ca="1">T74</f>
        <v>0</v>
      </c>
      <c r="X81" s="999"/>
      <c r="Z81" s="1144"/>
      <c r="AB81" s="143">
        <v>8</v>
      </c>
      <c r="AC81" s="144" t="s">
        <v>1134</v>
      </c>
      <c r="AD81" s="143" t="s">
        <v>804</v>
      </c>
      <c r="AE81" s="145">
        <f t="shared" ref="AE81:BB81" si="13">SUMIF($AD84:$AD87,$AD81,AE84:AE87)</f>
        <v>0</v>
      </c>
      <c r="AF81" s="145">
        <f t="shared" si="13"/>
        <v>0</v>
      </c>
      <c r="AG81" s="145">
        <f t="shared" si="13"/>
        <v>0</v>
      </c>
      <c r="AH81" s="145">
        <f t="shared" si="13"/>
        <v>0</v>
      </c>
      <c r="AI81" s="897">
        <f t="shared" si="13"/>
        <v>0</v>
      </c>
      <c r="AJ81" s="783">
        <f t="shared" si="13"/>
        <v>0</v>
      </c>
      <c r="AK81" s="783">
        <f t="shared" si="13"/>
        <v>0</v>
      </c>
      <c r="AL81" s="783">
        <f t="shared" si="13"/>
        <v>0</v>
      </c>
      <c r="AM81" s="783">
        <f t="shared" si="13"/>
        <v>0</v>
      </c>
      <c r="AN81" s="783">
        <f t="shared" si="13"/>
        <v>0</v>
      </c>
      <c r="AO81" s="783">
        <f t="shared" si="13"/>
        <v>0</v>
      </c>
      <c r="AP81" s="783">
        <f t="shared" si="13"/>
        <v>0</v>
      </c>
      <c r="AQ81" s="783">
        <f t="shared" si="13"/>
        <v>0</v>
      </c>
      <c r="AR81" s="783">
        <f t="shared" si="13"/>
        <v>0</v>
      </c>
      <c r="AS81" s="897">
        <f t="shared" si="13"/>
        <v>0</v>
      </c>
      <c r="AT81" s="783">
        <f t="shared" si="13"/>
        <v>0</v>
      </c>
      <c r="AU81" s="783">
        <f t="shared" si="13"/>
        <v>0</v>
      </c>
      <c r="AV81" s="783">
        <f t="shared" si="13"/>
        <v>0</v>
      </c>
      <c r="AW81" s="783">
        <f t="shared" si="13"/>
        <v>0</v>
      </c>
      <c r="AX81" s="783">
        <f t="shared" si="13"/>
        <v>0</v>
      </c>
      <c r="AY81" s="783">
        <f t="shared" si="13"/>
        <v>0</v>
      </c>
      <c r="AZ81" s="783">
        <f t="shared" si="13"/>
        <v>0</v>
      </c>
      <c r="BA81" s="783">
        <f t="shared" si="13"/>
        <v>0</v>
      </c>
      <c r="BB81" s="783">
        <f t="shared" si="13"/>
        <v>0</v>
      </c>
      <c r="BC81" s="839"/>
      <c r="BF81" s="694" t="s">
        <v>1135</v>
      </c>
      <c r="BG81" s="694"/>
      <c r="BH81" s="694"/>
      <c r="BI81" s="503"/>
      <c r="BJ81" s="503"/>
    </row>
    <row r="82" spans="2:62" ht="14.65" hidden="1" customHeight="1">
      <c r="B82" s="350"/>
      <c r="E82" s="502">
        <v>15</v>
      </c>
      <c r="F82" s="280" cm="1">
        <f t="array" aca="1" ref="F82" ca="1">OFFSET(E82,-1,1)</f>
        <v>0</v>
      </c>
      <c r="L82" s="615"/>
      <c r="T82" s="365" t="b">
        <v>0</v>
      </c>
      <c r="W82" s="85" t="s">
        <v>173</v>
      </c>
      <c r="X82" s="1142"/>
      <c r="Y82" s="999">
        <v>0</v>
      </c>
      <c r="Z82" s="1143"/>
      <c r="AA82" s="1141" t="s">
        <v>174</v>
      </c>
      <c r="AB82" s="886"/>
      <c r="AC82" s="648"/>
      <c r="AD82" s="898"/>
      <c r="AE82" s="899" t="b">
        <f t="shared" ref="AE82:BB82" si="14">OR(AND(AE84&lt;&gt;"",AE85=""),AND(AE84="",AE85&lt;&gt;""))</f>
        <v>0</v>
      </c>
      <c r="AF82" s="899" t="b">
        <f t="shared" si="14"/>
        <v>0</v>
      </c>
      <c r="AG82" s="899" t="b">
        <f t="shared" si="14"/>
        <v>0</v>
      </c>
      <c r="AH82" s="899" t="b">
        <f t="shared" si="14"/>
        <v>0</v>
      </c>
      <c r="AI82" s="899" t="b">
        <f t="shared" si="14"/>
        <v>0</v>
      </c>
      <c r="AJ82" s="899" t="b">
        <f t="shared" si="14"/>
        <v>0</v>
      </c>
      <c r="AK82" s="899" t="b">
        <f t="shared" si="14"/>
        <v>0</v>
      </c>
      <c r="AL82" s="899" t="b">
        <f t="shared" si="14"/>
        <v>0</v>
      </c>
      <c r="AM82" s="899" t="b">
        <f t="shared" si="14"/>
        <v>0</v>
      </c>
      <c r="AN82" s="899" t="b">
        <f t="shared" si="14"/>
        <v>0</v>
      </c>
      <c r="AO82" s="899" t="b">
        <f t="shared" si="14"/>
        <v>0</v>
      </c>
      <c r="AP82" s="899" t="b">
        <f t="shared" si="14"/>
        <v>0</v>
      </c>
      <c r="AQ82" s="899" t="b">
        <f t="shared" si="14"/>
        <v>0</v>
      </c>
      <c r="AR82" s="899" t="b">
        <f t="shared" si="14"/>
        <v>0</v>
      </c>
      <c r="AS82" s="899" t="b">
        <f t="shared" si="14"/>
        <v>0</v>
      </c>
      <c r="AT82" s="899" t="b">
        <f t="shared" si="14"/>
        <v>0</v>
      </c>
      <c r="AU82" s="899" t="b">
        <f t="shared" si="14"/>
        <v>0</v>
      </c>
      <c r="AV82" s="899" t="b">
        <f t="shared" si="14"/>
        <v>0</v>
      </c>
      <c r="AW82" s="899" t="b">
        <f t="shared" si="14"/>
        <v>0</v>
      </c>
      <c r="AX82" s="899" t="b">
        <f t="shared" si="14"/>
        <v>0</v>
      </c>
      <c r="AY82" s="899" t="b">
        <f t="shared" si="14"/>
        <v>0</v>
      </c>
      <c r="AZ82" s="899" t="b">
        <f t="shared" si="14"/>
        <v>0</v>
      </c>
      <c r="BA82" s="899" t="b">
        <f t="shared" si="14"/>
        <v>0</v>
      </c>
      <c r="BB82" s="915" t="b">
        <f t="shared" si="14"/>
        <v>0</v>
      </c>
      <c r="BC82" s="916"/>
      <c r="BF82" s="694"/>
      <c r="BG82" s="694"/>
      <c r="BH82" s="694"/>
      <c r="BI82" s="503"/>
      <c r="BJ82" s="503"/>
    </row>
    <row r="83" spans="2:62" ht="14.65" hidden="1" customHeight="1">
      <c r="B83" s="350"/>
      <c r="E83" s="502">
        <v>15</v>
      </c>
      <c r="F83" s="280" cm="1">
        <f t="array" aca="1" ref="F83" ca="1">OFFSET(E83,-1,1)</f>
        <v>0</v>
      </c>
      <c r="L83" s="615"/>
      <c r="T83" s="365" t="b">
        <f ca="1">AND(F83&gt;0,Y82&gt;0)</f>
        <v>0</v>
      </c>
      <c r="X83" s="1142"/>
      <c r="Y83" s="999"/>
      <c r="Z83" s="1143"/>
      <c r="AA83" s="1141"/>
      <c r="AB83" s="884" t="str">
        <f>"8."&amp;Y82</f>
        <v>8.0</v>
      </c>
      <c r="AC83" s="900"/>
      <c r="AD83" s="898"/>
      <c r="BF83" s="694"/>
      <c r="BG83" s="694"/>
      <c r="BH83" s="694"/>
      <c r="BI83" s="503"/>
      <c r="BJ83" s="503"/>
    </row>
    <row r="84" spans="2:62" ht="14.65" hidden="1" customHeight="1">
      <c r="B84" s="350"/>
      <c r="E84" s="502">
        <v>15</v>
      </c>
      <c r="F84" s="280" cm="1">
        <f t="array" aca="1" ref="F84" ca="1">OFFSET(E84,-1,1)</f>
        <v>0</v>
      </c>
      <c r="L84" s="615"/>
      <c r="T84" s="365" t="b" cm="1">
        <f t="array" aca="1" ref="T84" ca="1">T83</f>
        <v>0</v>
      </c>
      <c r="X84" s="1142"/>
      <c r="Y84" s="999"/>
      <c r="Z84" s="1143"/>
      <c r="AA84" s="1141"/>
      <c r="AB84" s="884" t="str">
        <f>AB83&amp;".1"</f>
        <v>8.0.1</v>
      </c>
      <c r="AC84" s="911" t="s">
        <v>1070</v>
      </c>
      <c r="AD84" s="886" t="s">
        <v>804</v>
      </c>
      <c r="AE84" s="912"/>
      <c r="AF84" s="913"/>
      <c r="AG84" s="912"/>
      <c r="AH84" s="912"/>
      <c r="AI84" s="913"/>
      <c r="AJ84" s="913"/>
      <c r="AK84" s="913"/>
      <c r="AL84" s="913"/>
      <c r="AM84" s="913"/>
      <c r="AN84" s="913"/>
      <c r="AO84" s="913"/>
      <c r="AP84" s="913"/>
      <c r="AQ84" s="913"/>
      <c r="AR84" s="913"/>
      <c r="AS84" s="912"/>
      <c r="AT84" s="912"/>
      <c r="AU84" s="912"/>
      <c r="AV84" s="912"/>
      <c r="AW84" s="912"/>
      <c r="AX84" s="912"/>
      <c r="AY84" s="912"/>
      <c r="AZ84" s="912"/>
      <c r="BA84" s="912"/>
      <c r="BB84" s="912"/>
      <c r="BC84" s="917"/>
      <c r="BF84" s="691" t="s">
        <v>1071</v>
      </c>
      <c r="BG84" s="694" t="s">
        <v>1136</v>
      </c>
      <c r="BH84" s="904" cm="1">
        <f t="array" ref="BH84">AC83</f>
        <v>0</v>
      </c>
      <c r="BI84" s="503"/>
      <c r="BJ84" s="503" t="b">
        <v>1</v>
      </c>
    </row>
    <row r="85" spans="2:62" ht="14.65" hidden="1" customHeight="1">
      <c r="B85" s="350"/>
      <c r="E85" s="502">
        <v>15</v>
      </c>
      <c r="F85" s="280" cm="1">
        <f t="array" aca="1" ref="F85" ca="1">OFFSET(E85,-1,1)</f>
        <v>0</v>
      </c>
      <c r="L85" s="615"/>
      <c r="T85" s="365" t="b" cm="1">
        <f t="array" aca="1" ref="T85" ca="1">T84</f>
        <v>0</v>
      </c>
      <c r="X85" s="1142"/>
      <c r="Y85" s="999"/>
      <c r="Z85" s="1143"/>
      <c r="AA85" s="1141"/>
      <c r="AB85" s="884" t="str">
        <f>AB84&amp;".1"</f>
        <v>8.0.1.1</v>
      </c>
      <c r="AC85" s="893" t="s">
        <v>1137</v>
      </c>
      <c r="AD85" s="884" t="s">
        <v>534</v>
      </c>
      <c r="AE85" s="912"/>
      <c r="AF85" s="913"/>
      <c r="AG85" s="912"/>
      <c r="AH85" s="912"/>
      <c r="AI85" s="913"/>
      <c r="AJ85" s="913"/>
      <c r="AK85" s="913"/>
      <c r="AL85" s="913"/>
      <c r="AM85" s="913"/>
      <c r="AN85" s="913"/>
      <c r="AO85" s="913"/>
      <c r="AP85" s="913"/>
      <c r="AQ85" s="913"/>
      <c r="AR85" s="913"/>
      <c r="AS85" s="912"/>
      <c r="AT85" s="912"/>
      <c r="AU85" s="912"/>
      <c r="AV85" s="912"/>
      <c r="AW85" s="912"/>
      <c r="AX85" s="912"/>
      <c r="AY85" s="912"/>
      <c r="AZ85" s="912"/>
      <c r="BA85" s="912"/>
      <c r="BB85" s="912"/>
      <c r="BC85" s="917"/>
      <c r="BF85" s="691" t="s">
        <v>1074</v>
      </c>
      <c r="BG85" s="694" t="s">
        <v>1136</v>
      </c>
      <c r="BH85" s="904" cm="1">
        <f t="array" ref="BH85">BH84</f>
        <v>0</v>
      </c>
      <c r="BI85" s="503"/>
      <c r="BJ85" s="503"/>
    </row>
    <row r="86" spans="2:62" ht="14.65" hidden="1" customHeight="1">
      <c r="B86" s="350"/>
      <c r="E86" s="502">
        <v>15</v>
      </c>
      <c r="F86" s="280" cm="1">
        <f t="array" aca="1" ref="F86" ca="1">OFFSET(E86,-1,1)</f>
        <v>0</v>
      </c>
      <c r="L86" s="615"/>
      <c r="T86" s="365" t="b" cm="1">
        <f t="array" aca="1" ref="T86" ca="1">T85</f>
        <v>0</v>
      </c>
      <c r="X86" s="1142"/>
      <c r="Y86" s="999"/>
      <c r="Z86" s="1143"/>
      <c r="AA86" s="1141"/>
      <c r="AB86" s="884" t="str">
        <f>AB84&amp;".2"</f>
        <v>8.0.1.2</v>
      </c>
      <c r="AC86" s="893" t="s">
        <v>1138</v>
      </c>
      <c r="AD86" s="884" t="s">
        <v>1076</v>
      </c>
      <c r="AE86" s="912"/>
      <c r="AF86" s="913"/>
      <c r="AG86" s="913"/>
      <c r="AH86" s="912"/>
      <c r="AI86" s="913"/>
      <c r="AJ86" s="913"/>
      <c r="AK86" s="913"/>
      <c r="AL86" s="913"/>
      <c r="AM86" s="913"/>
      <c r="AN86" s="913"/>
      <c r="AO86" s="913"/>
      <c r="AP86" s="913"/>
      <c r="AQ86" s="913"/>
      <c r="AR86" s="913"/>
      <c r="AS86" s="913"/>
      <c r="AT86" s="913"/>
      <c r="AU86" s="913"/>
      <c r="AV86" s="913"/>
      <c r="AW86" s="913"/>
      <c r="AX86" s="913"/>
      <c r="AY86" s="913"/>
      <c r="AZ86" s="913"/>
      <c r="BA86" s="913"/>
      <c r="BB86" s="918"/>
      <c r="BC86" s="917"/>
      <c r="BF86" s="691" t="s">
        <v>1077</v>
      </c>
      <c r="BG86" s="694" t="s">
        <v>1136</v>
      </c>
      <c r="BH86" s="904" cm="1">
        <f t="array" ref="BH86">BH85</f>
        <v>0</v>
      </c>
      <c r="BI86" s="503"/>
      <c r="BJ86" s="503"/>
    </row>
    <row r="87" spans="2:62" ht="14.65" hidden="1" customHeight="1">
      <c r="B87" s="350"/>
      <c r="E87" s="502">
        <v>15</v>
      </c>
      <c r="F87" s="280" cm="1">
        <f t="array" aca="1" ref="F87" ca="1">OFFSET(E87,-1,1)</f>
        <v>0</v>
      </c>
      <c r="L87" s="615"/>
      <c r="T87" s="365" t="b">
        <f ca="1">F87&gt;0</f>
        <v>0</v>
      </c>
      <c r="W87" s="508" t="s">
        <v>1139</v>
      </c>
      <c r="X87" s="1142"/>
      <c r="Z87" s="1143"/>
      <c r="AB87" s="908"/>
      <c r="AC87" s="909" t="s">
        <v>1079</v>
      </c>
      <c r="AD87" s="909"/>
      <c r="AE87" s="909"/>
      <c r="AF87" s="909"/>
      <c r="AG87" s="909"/>
      <c r="AH87" s="909"/>
      <c r="AI87" s="909"/>
      <c r="AJ87" s="909"/>
      <c r="AK87" s="909"/>
      <c r="AL87" s="909"/>
      <c r="AM87" s="909"/>
      <c r="AN87" s="909"/>
      <c r="AO87" s="909"/>
      <c r="AP87" s="909"/>
      <c r="AQ87" s="909"/>
      <c r="AR87" s="909"/>
      <c r="AS87" s="909"/>
      <c r="AT87" s="909"/>
      <c r="AU87" s="909"/>
      <c r="AV87" s="909"/>
      <c r="AW87" s="909"/>
      <c r="AX87" s="909"/>
      <c r="AY87" s="909"/>
      <c r="AZ87" s="909"/>
      <c r="BA87" s="909"/>
      <c r="BB87" s="909"/>
      <c r="BC87" s="914"/>
      <c r="BF87" s="694"/>
      <c r="BG87" s="694"/>
      <c r="BH87" s="694"/>
      <c r="BI87" s="503" t="s">
        <v>1136</v>
      </c>
      <c r="BJ87" s="503"/>
    </row>
    <row r="88" spans="2:62" s="86" customFormat="1" ht="14.65" hidden="1" customHeight="1">
      <c r="B88" s="350"/>
      <c r="E88" s="503">
        <v>15</v>
      </c>
      <c r="F88" s="3" cm="1">
        <f t="array" aca="1" ref="F88" ca="1">OFFSET(E88,-1,1)</f>
        <v>0</v>
      </c>
      <c r="G88" s="85"/>
      <c r="K88" s="611" t="str">
        <f ca="1">F28&amp;"9komm"</f>
        <v>09komm</v>
      </c>
      <c r="L88" s="615" cm="1">
        <f t="array" ref="L88">BC88</f>
        <v>0</v>
      </c>
      <c r="T88" s="365" t="b" cm="1">
        <f t="array" aca="1" ref="T88" ca="1">T81</f>
        <v>0</v>
      </c>
      <c r="X88" s="999"/>
      <c r="Z88" s="1144"/>
      <c r="AB88" s="143">
        <v>9</v>
      </c>
      <c r="AC88" s="144" t="s">
        <v>1140</v>
      </c>
      <c r="AD88" s="143" t="s">
        <v>804</v>
      </c>
      <c r="AE88" s="145">
        <f t="shared" ref="AE88:BB88" si="15">SUMIF($AD91:$AD94,$AD88,AE91:AE94)</f>
        <v>0</v>
      </c>
      <c r="AF88" s="145">
        <f t="shared" si="15"/>
        <v>0</v>
      </c>
      <c r="AG88" s="145">
        <f t="shared" si="15"/>
        <v>0</v>
      </c>
      <c r="AH88" s="145">
        <f t="shared" si="15"/>
        <v>0</v>
      </c>
      <c r="AI88" s="897">
        <f t="shared" si="15"/>
        <v>0</v>
      </c>
      <c r="AJ88" s="783">
        <f t="shared" si="15"/>
        <v>0</v>
      </c>
      <c r="AK88" s="783">
        <f t="shared" si="15"/>
        <v>0</v>
      </c>
      <c r="AL88" s="783">
        <f t="shared" si="15"/>
        <v>0</v>
      </c>
      <c r="AM88" s="783">
        <f t="shared" si="15"/>
        <v>0</v>
      </c>
      <c r="AN88" s="783">
        <f t="shared" si="15"/>
        <v>0</v>
      </c>
      <c r="AO88" s="783">
        <f t="shared" si="15"/>
        <v>0</v>
      </c>
      <c r="AP88" s="783">
        <f t="shared" si="15"/>
        <v>0</v>
      </c>
      <c r="AQ88" s="783">
        <f t="shared" si="15"/>
        <v>0</v>
      </c>
      <c r="AR88" s="783">
        <f t="shared" si="15"/>
        <v>0</v>
      </c>
      <c r="AS88" s="897">
        <f t="shared" si="15"/>
        <v>0</v>
      </c>
      <c r="AT88" s="783">
        <f t="shared" si="15"/>
        <v>0</v>
      </c>
      <c r="AU88" s="783">
        <f t="shared" si="15"/>
        <v>0</v>
      </c>
      <c r="AV88" s="783">
        <f t="shared" si="15"/>
        <v>0</v>
      </c>
      <c r="AW88" s="783">
        <f t="shared" si="15"/>
        <v>0</v>
      </c>
      <c r="AX88" s="783">
        <f t="shared" si="15"/>
        <v>0</v>
      </c>
      <c r="AY88" s="783">
        <f t="shared" si="15"/>
        <v>0</v>
      </c>
      <c r="AZ88" s="783">
        <f t="shared" si="15"/>
        <v>0</v>
      </c>
      <c r="BA88" s="783">
        <f t="shared" si="15"/>
        <v>0</v>
      </c>
      <c r="BB88" s="783">
        <f t="shared" si="15"/>
        <v>0</v>
      </c>
      <c r="BC88" s="839"/>
      <c r="BF88" s="694" t="s">
        <v>1141</v>
      </c>
      <c r="BG88" s="694"/>
      <c r="BH88" s="694"/>
      <c r="BI88" s="503"/>
      <c r="BJ88" s="503"/>
    </row>
    <row r="89" spans="2:62" ht="14.65" hidden="1" customHeight="1">
      <c r="B89" s="350"/>
      <c r="E89" s="502">
        <v>15</v>
      </c>
      <c r="F89" s="280" cm="1">
        <f t="array" aca="1" ref="F89" ca="1">OFFSET(E89,-1,1)</f>
        <v>0</v>
      </c>
      <c r="L89" s="615"/>
      <c r="T89" s="365" t="b">
        <v>0</v>
      </c>
      <c r="W89" s="85" t="s">
        <v>173</v>
      </c>
      <c r="X89" s="1142"/>
      <c r="Y89" s="999">
        <v>0</v>
      </c>
      <c r="Z89" s="1143"/>
      <c r="AA89" s="1141" t="s">
        <v>174</v>
      </c>
      <c r="AB89" s="886"/>
      <c r="AC89" s="919"/>
      <c r="AD89" s="898"/>
      <c r="AE89" s="899" t="b">
        <f t="shared" ref="AE89:BB89" si="16">OR(AND(AE91&lt;&gt;"",AE92=""),AND(AE91="",AE92&lt;&gt;""))</f>
        <v>0</v>
      </c>
      <c r="AF89" s="899" t="b">
        <f t="shared" si="16"/>
        <v>0</v>
      </c>
      <c r="AG89" s="899" t="b">
        <f t="shared" si="16"/>
        <v>0</v>
      </c>
      <c r="AH89" s="899" t="b">
        <f t="shared" si="16"/>
        <v>0</v>
      </c>
      <c r="AI89" s="899" t="b">
        <f t="shared" si="16"/>
        <v>0</v>
      </c>
      <c r="AJ89" s="899" t="b">
        <f t="shared" si="16"/>
        <v>0</v>
      </c>
      <c r="AK89" s="899" t="b">
        <f t="shared" si="16"/>
        <v>0</v>
      </c>
      <c r="AL89" s="899" t="b">
        <f t="shared" si="16"/>
        <v>0</v>
      </c>
      <c r="AM89" s="899" t="b">
        <f t="shared" si="16"/>
        <v>0</v>
      </c>
      <c r="AN89" s="899" t="b">
        <f t="shared" si="16"/>
        <v>0</v>
      </c>
      <c r="AO89" s="899" t="b">
        <f t="shared" si="16"/>
        <v>0</v>
      </c>
      <c r="AP89" s="899" t="b">
        <f t="shared" si="16"/>
        <v>0</v>
      </c>
      <c r="AQ89" s="899" t="b">
        <f t="shared" si="16"/>
        <v>0</v>
      </c>
      <c r="AR89" s="899" t="b">
        <f t="shared" si="16"/>
        <v>0</v>
      </c>
      <c r="AS89" s="899" t="b">
        <f t="shared" si="16"/>
        <v>0</v>
      </c>
      <c r="AT89" s="899" t="b">
        <f t="shared" si="16"/>
        <v>0</v>
      </c>
      <c r="AU89" s="899" t="b">
        <f t="shared" si="16"/>
        <v>0</v>
      </c>
      <c r="AV89" s="899" t="b">
        <f t="shared" si="16"/>
        <v>0</v>
      </c>
      <c r="AW89" s="899" t="b">
        <f t="shared" si="16"/>
        <v>0</v>
      </c>
      <c r="AX89" s="899" t="b">
        <f t="shared" si="16"/>
        <v>0</v>
      </c>
      <c r="AY89" s="899" t="b">
        <f t="shared" si="16"/>
        <v>0</v>
      </c>
      <c r="AZ89" s="899" t="b">
        <f t="shared" si="16"/>
        <v>0</v>
      </c>
      <c r="BA89" s="899" t="b">
        <f t="shared" si="16"/>
        <v>0</v>
      </c>
      <c r="BB89" s="915" t="b">
        <f t="shared" si="16"/>
        <v>0</v>
      </c>
      <c r="BC89" s="916"/>
      <c r="BF89" s="694"/>
      <c r="BG89" s="694"/>
      <c r="BH89" s="694"/>
      <c r="BI89" s="503"/>
      <c r="BJ89" s="503"/>
    </row>
    <row r="90" spans="2:62" ht="14.65" hidden="1" customHeight="1">
      <c r="B90" s="350"/>
      <c r="E90" s="502">
        <v>15</v>
      </c>
      <c r="F90" s="280" cm="1">
        <f t="array" aca="1" ref="F90" ca="1">OFFSET(E90,-1,1)</f>
        <v>0</v>
      </c>
      <c r="L90" s="615"/>
      <c r="T90" s="365" t="b">
        <f ca="1">AND(F90&gt;0,Y89&gt;0)</f>
        <v>0</v>
      </c>
      <c r="X90" s="1142"/>
      <c r="Y90" s="999"/>
      <c r="Z90" s="1143"/>
      <c r="AA90" s="1141"/>
      <c r="AB90" s="884" t="str">
        <f>"9."&amp;Y89</f>
        <v>9.0</v>
      </c>
      <c r="AC90" s="920"/>
      <c r="AD90" s="898"/>
      <c r="BF90" s="694"/>
      <c r="BG90" s="694"/>
      <c r="BH90" s="694"/>
      <c r="BI90" s="503"/>
      <c r="BJ90" s="503"/>
    </row>
    <row r="91" spans="2:62" ht="14.65" hidden="1" customHeight="1">
      <c r="B91" s="350"/>
      <c r="E91" s="502">
        <v>15</v>
      </c>
      <c r="F91" s="280" cm="1">
        <f t="array" aca="1" ref="F91" ca="1">OFFSET(E91,-1,1)</f>
        <v>0</v>
      </c>
      <c r="L91" s="615"/>
      <c r="T91" s="365" t="b" cm="1">
        <f t="array" aca="1" ref="T91" ca="1">T90</f>
        <v>0</v>
      </c>
      <c r="X91" s="1142"/>
      <c r="Y91" s="999"/>
      <c r="Z91" s="1143"/>
      <c r="AA91" s="1141"/>
      <c r="AB91" s="884" t="str">
        <f>AB90&amp;".1"</f>
        <v>9.0.1</v>
      </c>
      <c r="AC91" s="911" t="s">
        <v>1070</v>
      </c>
      <c r="AD91" s="886" t="s">
        <v>804</v>
      </c>
      <c r="AE91" s="912"/>
      <c r="AF91" s="913"/>
      <c r="AG91" s="912"/>
      <c r="AH91" s="912"/>
      <c r="AI91" s="913"/>
      <c r="AJ91" s="913"/>
      <c r="AK91" s="913"/>
      <c r="AL91" s="913"/>
      <c r="AM91" s="913"/>
      <c r="AN91" s="913"/>
      <c r="AO91" s="913"/>
      <c r="AP91" s="913"/>
      <c r="AQ91" s="913"/>
      <c r="AR91" s="913"/>
      <c r="AS91" s="912"/>
      <c r="AT91" s="912"/>
      <c r="AU91" s="912"/>
      <c r="AV91" s="912"/>
      <c r="AW91" s="912"/>
      <c r="AX91" s="912"/>
      <c r="AY91" s="912"/>
      <c r="AZ91" s="912"/>
      <c r="BA91" s="912"/>
      <c r="BB91" s="912"/>
      <c r="BC91" s="917"/>
      <c r="BF91" s="691" t="s">
        <v>1071</v>
      </c>
      <c r="BG91" s="694" t="s">
        <v>1142</v>
      </c>
      <c r="BH91" s="904" cm="1">
        <f t="array" ref="BH91">AC90</f>
        <v>0</v>
      </c>
      <c r="BI91" s="503"/>
      <c r="BJ91" s="503" t="b">
        <v>1</v>
      </c>
    </row>
    <row r="92" spans="2:62" ht="14.65" hidden="1" customHeight="1">
      <c r="B92" s="350"/>
      <c r="E92" s="502">
        <v>15</v>
      </c>
      <c r="F92" s="280" cm="1">
        <f t="array" aca="1" ref="F92" ca="1">OFFSET(E92,-1,1)</f>
        <v>0</v>
      </c>
      <c r="L92" s="615"/>
      <c r="T92" s="365" t="b" cm="1">
        <f t="array" aca="1" ref="T92" ca="1">T91</f>
        <v>0</v>
      </c>
      <c r="X92" s="1142"/>
      <c r="Y92" s="999"/>
      <c r="Z92" s="1143"/>
      <c r="AA92" s="1141"/>
      <c r="AB92" s="884" t="str">
        <f>AB91&amp;".1"</f>
        <v>9.0.1.1</v>
      </c>
      <c r="AC92" s="893" t="s">
        <v>1143</v>
      </c>
      <c r="AD92" s="884"/>
      <c r="AE92" s="912"/>
      <c r="AF92" s="913"/>
      <c r="AG92" s="912"/>
      <c r="AH92" s="912"/>
      <c r="AI92" s="913"/>
      <c r="AJ92" s="913"/>
      <c r="AK92" s="913"/>
      <c r="AL92" s="913"/>
      <c r="AM92" s="913"/>
      <c r="AN92" s="913"/>
      <c r="AO92" s="913"/>
      <c r="AP92" s="913"/>
      <c r="AQ92" s="913"/>
      <c r="AR92" s="913"/>
      <c r="AS92" s="912"/>
      <c r="AT92" s="912"/>
      <c r="AU92" s="912"/>
      <c r="AV92" s="912"/>
      <c r="AW92" s="912"/>
      <c r="AX92" s="912"/>
      <c r="AY92" s="912"/>
      <c r="AZ92" s="912"/>
      <c r="BA92" s="912"/>
      <c r="BB92" s="912"/>
      <c r="BC92" s="917"/>
      <c r="BF92" s="691" t="s">
        <v>1074</v>
      </c>
      <c r="BG92" s="694" t="s">
        <v>1142</v>
      </c>
      <c r="BH92" s="904" cm="1">
        <f t="array" ref="BH92">BH91</f>
        <v>0</v>
      </c>
      <c r="BI92" s="503"/>
      <c r="BJ92" s="503"/>
    </row>
    <row r="93" spans="2:62" ht="14.65" hidden="1" customHeight="1">
      <c r="B93" s="350"/>
      <c r="E93" s="502">
        <v>15</v>
      </c>
      <c r="F93" s="280" cm="1">
        <f t="array" aca="1" ref="F93" ca="1">OFFSET(E93,-1,1)</f>
        <v>0</v>
      </c>
      <c r="L93" s="615"/>
      <c r="T93" s="365" t="b" cm="1">
        <f t="array" aca="1" ref="T93" ca="1">T92</f>
        <v>0</v>
      </c>
      <c r="X93" s="1142"/>
      <c r="Y93" s="999"/>
      <c r="Z93" s="1143"/>
      <c r="AA93" s="1141"/>
      <c r="AB93" s="884" t="str">
        <f>AB91&amp;".2"</f>
        <v>9.0.1.2</v>
      </c>
      <c r="AC93" s="893" t="s">
        <v>1144</v>
      </c>
      <c r="AD93" s="884"/>
      <c r="AE93" s="912"/>
      <c r="AF93" s="913"/>
      <c r="AG93" s="913"/>
      <c r="AH93" s="912"/>
      <c r="AI93" s="913"/>
      <c r="AJ93" s="913"/>
      <c r="AK93" s="913"/>
      <c r="AL93" s="913"/>
      <c r="AM93" s="913"/>
      <c r="AN93" s="913"/>
      <c r="AO93" s="913"/>
      <c r="AP93" s="913"/>
      <c r="AQ93" s="913"/>
      <c r="AR93" s="913"/>
      <c r="AS93" s="913"/>
      <c r="AT93" s="913"/>
      <c r="AU93" s="913"/>
      <c r="AV93" s="913"/>
      <c r="AW93" s="913"/>
      <c r="AX93" s="913"/>
      <c r="AY93" s="913"/>
      <c r="AZ93" s="913"/>
      <c r="BA93" s="913"/>
      <c r="BB93" s="918"/>
      <c r="BC93" s="917"/>
      <c r="BF93" s="691" t="s">
        <v>1077</v>
      </c>
      <c r="BG93" s="694" t="s">
        <v>1142</v>
      </c>
      <c r="BH93" s="904" cm="1">
        <f t="array" ref="BH93">BH92</f>
        <v>0</v>
      </c>
      <c r="BI93" s="503"/>
      <c r="BJ93" s="503"/>
    </row>
    <row r="94" spans="2:62" ht="14.65" hidden="1" customHeight="1">
      <c r="B94" s="350"/>
      <c r="E94" s="502">
        <v>15</v>
      </c>
      <c r="F94" s="280" cm="1">
        <f t="array" aca="1" ref="F94" ca="1">OFFSET(E94,-1,1)</f>
        <v>0</v>
      </c>
      <c r="L94" s="615"/>
      <c r="T94" s="365" t="b">
        <f ca="1">F94&gt;0</f>
        <v>0</v>
      </c>
      <c r="W94" s="508" t="s">
        <v>1145</v>
      </c>
      <c r="X94" s="1142"/>
      <c r="Z94" s="1143"/>
      <c r="AB94" s="908"/>
      <c r="AC94" s="909" t="s">
        <v>1079</v>
      </c>
      <c r="AD94" s="909"/>
      <c r="AE94" s="909"/>
      <c r="AF94" s="909"/>
      <c r="AG94" s="909"/>
      <c r="AH94" s="909"/>
      <c r="AI94" s="909"/>
      <c r="AJ94" s="909"/>
      <c r="AK94" s="909"/>
      <c r="AL94" s="909"/>
      <c r="AM94" s="909"/>
      <c r="AN94" s="909"/>
      <c r="AO94" s="909"/>
      <c r="AP94" s="909"/>
      <c r="AQ94" s="909"/>
      <c r="AR94" s="909"/>
      <c r="AS94" s="909"/>
      <c r="AT94" s="909"/>
      <c r="AU94" s="909"/>
      <c r="AV94" s="909"/>
      <c r="AW94" s="909"/>
      <c r="AX94" s="909"/>
      <c r="AY94" s="909"/>
      <c r="AZ94" s="909"/>
      <c r="BA94" s="909"/>
      <c r="BB94" s="909"/>
      <c r="BC94" s="914"/>
      <c r="BF94" s="694"/>
      <c r="BG94" s="694"/>
      <c r="BH94" s="694"/>
      <c r="BI94" s="503" t="s">
        <v>1142</v>
      </c>
      <c r="BJ94" s="503"/>
    </row>
    <row r="95" spans="2:62" ht="14.25" customHeight="1">
      <c r="E95" s="502">
        <v>15</v>
      </c>
      <c r="F95" s="36" t="str" cm="1">
        <f t="array" ref="F95">X95</f>
        <v>1</v>
      </c>
      <c r="I95" s="85" t="s">
        <v>1066</v>
      </c>
      <c r="T95" s="365" t="b">
        <f>X95&gt;0</f>
        <v>1</v>
      </c>
      <c r="V95" s="85" t="str" cm="1">
        <f t="array" ref="V95">Аренда!$AB$37</f>
        <v>Тариф 1 (Водоснабжение) - тариф на питьевую воду (Доп. признак не требуется)</v>
      </c>
      <c r="X95" s="999" t="s">
        <v>275</v>
      </c>
      <c r="Y95" s="504"/>
      <c r="Z95" s="1144"/>
      <c r="AB95" s="154" t="str" cm="1">
        <f t="array" ref="AB95">Аренда!$AB$37</f>
        <v>Тариф 1 (Водоснабжение) - тариф на питьевую воду (Доп. признак не требуется)</v>
      </c>
      <c r="AC95" s="113"/>
      <c r="AD95" s="113"/>
      <c r="AE95" s="227">
        <f t="shared" ref="AE95:BB95" si="17">AE108+AE115+AE122+AE129+AE96+AE136+AE156+AE163+AE170</f>
        <v>3110.8092914131203</v>
      </c>
      <c r="AF95" s="227">
        <f t="shared" si="17"/>
        <v>3750.7807599999996</v>
      </c>
      <c r="AG95" s="227">
        <f t="shared" si="17"/>
        <v>3750.7807599999996</v>
      </c>
      <c r="AH95" s="227">
        <f t="shared" si="17"/>
        <v>3612.8588191999997</v>
      </c>
      <c r="AI95" s="227">
        <f t="shared" si="17"/>
        <v>4564.2457999999997</v>
      </c>
      <c r="AJ95" s="227">
        <f t="shared" si="17"/>
        <v>0</v>
      </c>
      <c r="AK95" s="227">
        <f t="shared" si="17"/>
        <v>0</v>
      </c>
      <c r="AL95" s="227">
        <f t="shared" si="17"/>
        <v>0</v>
      </c>
      <c r="AM95" s="227">
        <f t="shared" si="17"/>
        <v>0</v>
      </c>
      <c r="AN95" s="227">
        <f t="shared" si="17"/>
        <v>0</v>
      </c>
      <c r="AO95" s="227">
        <f t="shared" si="17"/>
        <v>0</v>
      </c>
      <c r="AP95" s="227">
        <f t="shared" si="17"/>
        <v>0</v>
      </c>
      <c r="AQ95" s="227">
        <f t="shared" si="17"/>
        <v>0</v>
      </c>
      <c r="AR95" s="227">
        <f t="shared" si="17"/>
        <v>0</v>
      </c>
      <c r="AS95" s="227">
        <f t="shared" si="17"/>
        <v>4306.12</v>
      </c>
      <c r="AT95" s="227">
        <f t="shared" si="17"/>
        <v>0</v>
      </c>
      <c r="AU95" s="227">
        <f t="shared" si="17"/>
        <v>0</v>
      </c>
      <c r="AV95" s="227">
        <f t="shared" si="17"/>
        <v>0</v>
      </c>
      <c r="AW95" s="227">
        <f t="shared" si="17"/>
        <v>0</v>
      </c>
      <c r="AX95" s="227">
        <f t="shared" si="17"/>
        <v>0</v>
      </c>
      <c r="AY95" s="227">
        <f t="shared" si="17"/>
        <v>0</v>
      </c>
      <c r="AZ95" s="227">
        <f t="shared" si="17"/>
        <v>0</v>
      </c>
      <c r="BA95" s="227">
        <f t="shared" si="17"/>
        <v>0</v>
      </c>
      <c r="BB95" s="227">
        <f t="shared" si="17"/>
        <v>0</v>
      </c>
      <c r="BC95" s="156"/>
    </row>
    <row r="96" spans="2:62" ht="14.25" customHeight="1">
      <c r="E96" s="502">
        <v>15</v>
      </c>
      <c r="F96" s="3" t="str" cm="1">
        <f t="array" aca="1" ref="F96" ca="1">OFFSET(E96,-1,1)</f>
        <v>1</v>
      </c>
      <c r="G96" s="85" t="s">
        <v>327</v>
      </c>
      <c r="K96" s="611" t="str">
        <f ca="1">F96&amp;"1komm"</f>
        <v>11komm</v>
      </c>
      <c r="L96" s="615" cm="1">
        <f t="array" ref="L96">BC96</f>
        <v>0</v>
      </c>
      <c r="T96" s="365" t="b" cm="1">
        <f t="array" ref="T96">T95</f>
        <v>1</v>
      </c>
      <c r="X96" s="999"/>
      <c r="Z96" s="1144"/>
      <c r="AB96" s="143">
        <v>1</v>
      </c>
      <c r="AC96" s="144" t="s">
        <v>1067</v>
      </c>
      <c r="AD96" s="143" t="s">
        <v>804</v>
      </c>
      <c r="AE96" s="145">
        <f>SUMIF(AD99:AD107,AD96,AE99:AE107)</f>
        <v>2816.6610780000001</v>
      </c>
      <c r="AF96" s="145">
        <f>SUMIF(AD99:AD107,AD96,AF99:AF107)</f>
        <v>3187.22</v>
      </c>
      <c r="AG96" s="145">
        <f>SUMIF(AD99:AD107,AD96,AG99:AG107)</f>
        <v>3187.22</v>
      </c>
      <c r="AH96" s="145">
        <f>SUMIF(AD99:AD107,AD96,AH99:AH107)</f>
        <v>3353.0088191999998</v>
      </c>
      <c r="AI96" s="145">
        <f>SUMIF(AD99:AD107,AD96,AI99:AI107)</f>
        <v>3666.46</v>
      </c>
      <c r="AJ96" s="783">
        <f>SUMIF(AD99:AD107,AD96,AJ99:AJ107)</f>
        <v>0</v>
      </c>
      <c r="AK96" s="783">
        <f>SUMIF(AD99:AD107,AD96,AK99:AK107)</f>
        <v>0</v>
      </c>
      <c r="AL96" s="783">
        <f>SUMIF(AD99:AD107,AD96,AL99:AL107)</f>
        <v>0</v>
      </c>
      <c r="AM96" s="783">
        <f>SUMIF(AD99:AD107,AD96,AM99:AM107)</f>
        <v>0</v>
      </c>
      <c r="AN96" s="783">
        <f>SUMIF(AD99:AD107,AD96,AN99:AN107)</f>
        <v>0</v>
      </c>
      <c r="AO96" s="783">
        <f>SUMIF(AD99:AD107,AD96,AO99:AO107)</f>
        <v>0</v>
      </c>
      <c r="AP96" s="783">
        <f>SUMIF(AD99:AD107,AD96,AP99:AP107)</f>
        <v>0</v>
      </c>
      <c r="AQ96" s="783">
        <f>SUMIF(AD99:AD107,AD96,AQ99:AQ107)</f>
        <v>0</v>
      </c>
      <c r="AR96" s="783">
        <f>SUMIF(AD99:AD107,AD96,AR99:AR107)</f>
        <v>0</v>
      </c>
      <c r="AS96" s="145">
        <f>SUMIF(AD99:AD107,AD96,AS99:AS107)</f>
        <v>3552.56</v>
      </c>
      <c r="AT96" s="783">
        <f>SUMIF(AD99:AD107,AD96,AT99:AT107)</f>
        <v>0</v>
      </c>
      <c r="AU96" s="783">
        <f>SUMIF(AD99:AD107,AD96,AU99:AU107)</f>
        <v>0</v>
      </c>
      <c r="AV96" s="783">
        <f>SUMIF(AD99:AD107,AD96,AV99:AV107)</f>
        <v>0</v>
      </c>
      <c r="AW96" s="783">
        <f>SUMIF(AD99:AD107,AD96,AW99:AW107)</f>
        <v>0</v>
      </c>
      <c r="AX96" s="783">
        <f>SUMIF(AD99:AD107,AD96,AX99:AX107)</f>
        <v>0</v>
      </c>
      <c r="AY96" s="783">
        <f>SUMIF(AD99:AD107,AD96,AY99:AY107)</f>
        <v>0</v>
      </c>
      <c r="AZ96" s="783">
        <f>SUMIF(AD99:AD107,AD96,AZ99:AZ107)</f>
        <v>0</v>
      </c>
      <c r="BA96" s="783">
        <f>SUMIF(AD99:AD107,AD96,BA99:BA107)</f>
        <v>0</v>
      </c>
      <c r="BB96" s="783">
        <f>SUMIF(AD99:AD107,AD96,BB99:BB107)</f>
        <v>0</v>
      </c>
      <c r="BC96" s="132"/>
      <c r="BF96" s="691" t="s">
        <v>1068</v>
      </c>
    </row>
    <row r="97" spans="5:62" ht="15" hidden="1" customHeight="1">
      <c r="E97" s="502">
        <v>0</v>
      </c>
      <c r="F97" s="3" t="str" cm="1">
        <f t="array" aca="1" ref="F97" ca="1">OFFSET(E97,-1,1)</f>
        <v>1</v>
      </c>
      <c r="L97" s="615"/>
      <c r="T97" s="365" t="b">
        <v>0</v>
      </c>
      <c r="W97" s="85" t="s">
        <v>173</v>
      </c>
      <c r="X97" s="999"/>
      <c r="Y97" s="999">
        <v>0</v>
      </c>
      <c r="Z97" s="1144"/>
      <c r="AA97" s="1148" t="s">
        <v>174</v>
      </c>
      <c r="AB97" s="143"/>
      <c r="AC97" s="144"/>
      <c r="AD97" s="143"/>
      <c r="AE97" s="148" t="b">
        <f t="shared" ref="AE97:BB97" si="18">OR(AND(AE99&lt;&gt;"",AE100=""),AND(AE99="",AE100&lt;&gt;""))</f>
        <v>0</v>
      </c>
      <c r="AF97" s="148" t="b">
        <f t="shared" si="18"/>
        <v>0</v>
      </c>
      <c r="AG97" s="148" t="b">
        <f t="shared" si="18"/>
        <v>0</v>
      </c>
      <c r="AH97" s="148" t="b">
        <f t="shared" si="18"/>
        <v>0</v>
      </c>
      <c r="AI97" s="148" t="b">
        <f t="shared" si="18"/>
        <v>0</v>
      </c>
      <c r="AJ97" s="148" t="b">
        <f t="shared" si="18"/>
        <v>0</v>
      </c>
      <c r="AK97" s="148" t="b">
        <f t="shared" si="18"/>
        <v>0</v>
      </c>
      <c r="AL97" s="148" t="b">
        <f t="shared" si="18"/>
        <v>0</v>
      </c>
      <c r="AM97" s="148" t="b">
        <f t="shared" si="18"/>
        <v>0</v>
      </c>
      <c r="AN97" s="148" t="b">
        <f t="shared" si="18"/>
        <v>0</v>
      </c>
      <c r="AO97" s="148" t="b">
        <f t="shared" si="18"/>
        <v>0</v>
      </c>
      <c r="AP97" s="148" t="b">
        <f t="shared" si="18"/>
        <v>0</v>
      </c>
      <c r="AQ97" s="148" t="b">
        <f t="shared" si="18"/>
        <v>0</v>
      </c>
      <c r="AR97" s="148" t="b">
        <f t="shared" si="18"/>
        <v>0</v>
      </c>
      <c r="AS97" s="148" t="b">
        <f t="shared" si="18"/>
        <v>0</v>
      </c>
      <c r="AT97" s="148" t="b">
        <f t="shared" si="18"/>
        <v>0</v>
      </c>
      <c r="AU97" s="148" t="b">
        <f t="shared" si="18"/>
        <v>0</v>
      </c>
      <c r="AV97" s="148" t="b">
        <f t="shared" si="18"/>
        <v>0</v>
      </c>
      <c r="AW97" s="148" t="b">
        <f t="shared" si="18"/>
        <v>0</v>
      </c>
      <c r="AX97" s="148" t="b">
        <f t="shared" si="18"/>
        <v>0</v>
      </c>
      <c r="AY97" s="148" t="b">
        <f t="shared" si="18"/>
        <v>0</v>
      </c>
      <c r="AZ97" s="148" t="b">
        <f t="shared" si="18"/>
        <v>0</v>
      </c>
      <c r="BA97" s="148" t="b">
        <f t="shared" si="18"/>
        <v>0</v>
      </c>
      <c r="BB97" s="148" t="b">
        <f t="shared" si="18"/>
        <v>0</v>
      </c>
      <c r="BC97" s="652"/>
    </row>
    <row r="98" spans="5:62" ht="14.65" hidden="1" customHeight="1">
      <c r="E98" s="502">
        <v>15</v>
      </c>
      <c r="F98" s="280" t="str" cm="1">
        <f t="array" aca="1" ref="F98" ca="1">OFFSET(E98,-1,1)</f>
        <v>1</v>
      </c>
      <c r="L98" s="615"/>
      <c r="T98" s="365" t="b">
        <f ca="1">AND(Y97&gt;0,F98&gt;0)</f>
        <v>0</v>
      </c>
      <c r="X98" s="1142"/>
      <c r="Y98" s="999"/>
      <c r="Z98" s="1143"/>
      <c r="AA98" s="1147"/>
      <c r="AB98" s="884" t="str">
        <f>"1."&amp;Y97</f>
        <v>1.0</v>
      </c>
      <c r="AC98" s="885" t="s">
        <v>225</v>
      </c>
      <c r="AD98" s="886"/>
      <c r="AE98" s="887"/>
      <c r="AF98" s="888"/>
      <c r="AG98" s="887"/>
      <c r="AH98" s="887"/>
      <c r="AI98" s="887"/>
      <c r="AJ98" s="887"/>
      <c r="AK98" s="887"/>
      <c r="AL98" s="887"/>
      <c r="AM98" s="887"/>
      <c r="AN98" s="887"/>
      <c r="AO98" s="887"/>
      <c r="AP98" s="887"/>
      <c r="AQ98" s="887"/>
      <c r="AR98" s="887"/>
      <c r="AS98" s="888"/>
      <c r="AT98" s="888"/>
      <c r="AU98" s="888"/>
      <c r="AV98" s="888"/>
      <c r="AW98" s="888"/>
      <c r="AX98" s="888"/>
      <c r="AY98" s="888"/>
      <c r="AZ98" s="888"/>
      <c r="BA98" s="888"/>
      <c r="BB98" s="889"/>
      <c r="BC98" s="890"/>
    </row>
    <row r="99" spans="5:62" ht="12.75" hidden="1" customHeight="1">
      <c r="E99" s="502">
        <v>15</v>
      </c>
      <c r="F99" s="3" t="str" cm="1">
        <f t="array" aca="1" ref="F99" ca="1">OFFSET(E99,-1,1)</f>
        <v>1</v>
      </c>
      <c r="G99" s="85" t="s">
        <v>327</v>
      </c>
      <c r="H99" s="88" t="str" cm="1">
        <f t="array" ref="H99">AC99</f>
        <v>Затраты</v>
      </c>
      <c r="I99" s="85" t="s">
        <v>1069</v>
      </c>
      <c r="T99" s="365" t="b" cm="1">
        <f t="array" aca="1" ref="T99" ca="1">T98</f>
        <v>0</v>
      </c>
      <c r="X99" s="999"/>
      <c r="Y99" s="999"/>
      <c r="Z99" s="1144"/>
      <c r="AA99" s="1148"/>
      <c r="AB99" s="26" t="str">
        <f>AB98&amp;".1"</f>
        <v>1.0.1</v>
      </c>
      <c r="AC99" s="891" t="s">
        <v>1070</v>
      </c>
      <c r="AD99" s="143" t="s">
        <v>804</v>
      </c>
      <c r="AE99" s="787"/>
      <c r="AF99" s="787"/>
      <c r="AG99" s="787"/>
      <c r="AH99" s="787"/>
      <c r="AI99" s="787"/>
      <c r="AJ99" s="787"/>
      <c r="AK99" s="787"/>
      <c r="AL99" s="787"/>
      <c r="AM99" s="787"/>
      <c r="AN99" s="787"/>
      <c r="AO99" s="787"/>
      <c r="AP99" s="787"/>
      <c r="AQ99" s="787"/>
      <c r="AR99" s="787"/>
      <c r="AS99" s="787"/>
      <c r="AT99" s="787"/>
      <c r="AU99" s="787"/>
      <c r="AV99" s="787"/>
      <c r="AW99" s="787"/>
      <c r="AX99" s="787"/>
      <c r="AY99" s="787"/>
      <c r="AZ99" s="787"/>
      <c r="BA99" s="787"/>
      <c r="BB99" s="787"/>
      <c r="BC99" s="839"/>
      <c r="BF99" s="691" t="s">
        <v>1071</v>
      </c>
      <c r="BG99" s="691" t="s">
        <v>1072</v>
      </c>
      <c r="BH99" s="691" t="str" cm="1">
        <f t="array" ref="BH99">AC98</f>
        <v/>
      </c>
      <c r="BJ99" s="502" t="b">
        <v>1</v>
      </c>
    </row>
    <row r="100" spans="5:62" ht="14.25" hidden="1" customHeight="1">
      <c r="E100" s="502">
        <v>15</v>
      </c>
      <c r="F100" s="3" t="str" cm="1">
        <f t="array" aca="1" ref="F100" ca="1">OFFSET(E100,-1,1)</f>
        <v>1</v>
      </c>
      <c r="G100" s="85" t="s">
        <v>461</v>
      </c>
      <c r="H100" s="88" t="str" cm="1">
        <f t="array" ref="H100">H99</f>
        <v>Затраты</v>
      </c>
      <c r="I100" s="85" t="s">
        <v>1069</v>
      </c>
      <c r="T100" s="365" t="b" cm="1">
        <f t="array" aca="1" ref="T100" ca="1">T99</f>
        <v>0</v>
      </c>
      <c r="X100" s="999"/>
      <c r="Y100" s="999"/>
      <c r="Z100" s="1144"/>
      <c r="AA100" s="1148"/>
      <c r="AB100" s="26" t="str">
        <f>AB99&amp;".1"</f>
        <v>1.0.1.1</v>
      </c>
      <c r="AC100" s="153" t="s">
        <v>1073</v>
      </c>
      <c r="AD100" s="26" t="s">
        <v>534</v>
      </c>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839"/>
      <c r="BF100" s="691" t="s">
        <v>1074</v>
      </c>
      <c r="BG100" s="691" t="s">
        <v>1072</v>
      </c>
      <c r="BH100" s="691" t="str" cm="1">
        <f t="array" ref="BH100">BH99</f>
        <v/>
      </c>
    </row>
    <row r="101" spans="5:62" ht="14.65" hidden="1" customHeight="1">
      <c r="E101" s="502">
        <v>15</v>
      </c>
      <c r="F101" s="280" t="str" cm="1">
        <f t="array" aca="1" ref="F101" ca="1">OFFSET(E101,-1,1)</f>
        <v>1</v>
      </c>
      <c r="H101" s="88"/>
      <c r="T101" s="365" t="b" cm="1">
        <f t="array" aca="1" ref="T101" ca="1">T100</f>
        <v>0</v>
      </c>
      <c r="X101" s="1142"/>
      <c r="Y101" s="999"/>
      <c r="Z101" s="1143"/>
      <c r="AA101" s="1147"/>
      <c r="AB101" s="892" t="str">
        <f>AB99&amp;".2"</f>
        <v>1.0.1.2</v>
      </c>
      <c r="AC101" s="893" t="s">
        <v>1075</v>
      </c>
      <c r="AD101" s="892" t="s">
        <v>1076</v>
      </c>
      <c r="AE101" s="894"/>
      <c r="AF101" s="894"/>
      <c r="AG101" s="894"/>
      <c r="AH101" s="894"/>
      <c r="AI101" s="894"/>
      <c r="AJ101" s="894"/>
      <c r="AK101" s="894"/>
      <c r="AL101" s="894"/>
      <c r="AM101" s="894"/>
      <c r="AN101" s="894"/>
      <c r="AO101" s="894"/>
      <c r="AP101" s="894"/>
      <c r="AQ101" s="894"/>
      <c r="AR101" s="894"/>
      <c r="AS101" s="894"/>
      <c r="AT101" s="894"/>
      <c r="AU101" s="894"/>
      <c r="AV101" s="894"/>
      <c r="AW101" s="894"/>
      <c r="AX101" s="894"/>
      <c r="AY101" s="894"/>
      <c r="AZ101" s="894"/>
      <c r="BA101" s="894"/>
      <c r="BB101" s="894"/>
      <c r="BC101" s="895"/>
      <c r="BF101" s="691" t="s">
        <v>1077</v>
      </c>
      <c r="BG101" s="691" t="s">
        <v>1072</v>
      </c>
      <c r="BH101" s="896" t="str" cm="1">
        <f t="array" ref="BH101">BH100</f>
        <v/>
      </c>
    </row>
    <row r="102" spans="5:62" ht="15" hidden="1" customHeight="1">
      <c r="E102" s="502">
        <v>0</v>
      </c>
      <c r="F102" s="3" t="str" cm="1">
        <f t="array" aca="1" ref="F102" ca="1">OFFSET(E102,-1,1)</f>
        <v>1</v>
      </c>
      <c r="L102" s="615"/>
      <c r="T102" s="365" t="b">
        <v>0</v>
      </c>
      <c r="X102" s="999"/>
      <c r="Y102" s="999" t="s">
        <v>275</v>
      </c>
      <c r="Z102" s="1144"/>
      <c r="AA102" s="1148" t="s">
        <v>174</v>
      </c>
      <c r="AB102" s="143"/>
      <c r="AC102" s="144"/>
      <c r="AD102" s="143"/>
      <c r="AE102" s="148" t="b">
        <f t="shared" ref="AE102:BB102" si="19">OR(AND(AE104&lt;&gt;"",AE105=""),AND(AE104="",AE105&lt;&gt;""))</f>
        <v>0</v>
      </c>
      <c r="AF102" s="148" t="b">
        <f t="shared" si="19"/>
        <v>0</v>
      </c>
      <c r="AG102" s="148" t="b">
        <f t="shared" si="19"/>
        <v>0</v>
      </c>
      <c r="AH102" s="148" t="b">
        <f t="shared" si="19"/>
        <v>0</v>
      </c>
      <c r="AI102" s="148" t="b">
        <f t="shared" si="19"/>
        <v>0</v>
      </c>
      <c r="AJ102" s="148" t="b">
        <f t="shared" si="19"/>
        <v>0</v>
      </c>
      <c r="AK102" s="148" t="b">
        <f t="shared" si="19"/>
        <v>0</v>
      </c>
      <c r="AL102" s="148" t="b">
        <f t="shared" si="19"/>
        <v>0</v>
      </c>
      <c r="AM102" s="148" t="b">
        <f t="shared" si="19"/>
        <v>0</v>
      </c>
      <c r="AN102" s="148" t="b">
        <f t="shared" si="19"/>
        <v>0</v>
      </c>
      <c r="AO102" s="148" t="b">
        <f t="shared" si="19"/>
        <v>0</v>
      </c>
      <c r="AP102" s="148" t="b">
        <f t="shared" si="19"/>
        <v>0</v>
      </c>
      <c r="AQ102" s="148" t="b">
        <f t="shared" si="19"/>
        <v>0</v>
      </c>
      <c r="AR102" s="148" t="b">
        <f t="shared" si="19"/>
        <v>0</v>
      </c>
      <c r="AS102" s="148" t="b">
        <f t="shared" si="19"/>
        <v>0</v>
      </c>
      <c r="AT102" s="148" t="b">
        <f t="shared" si="19"/>
        <v>0</v>
      </c>
      <c r="AU102" s="148" t="b">
        <f t="shared" si="19"/>
        <v>0</v>
      </c>
      <c r="AV102" s="148" t="b">
        <f t="shared" si="19"/>
        <v>0</v>
      </c>
      <c r="AW102" s="148" t="b">
        <f t="shared" si="19"/>
        <v>0</v>
      </c>
      <c r="AX102" s="148" t="b">
        <f t="shared" si="19"/>
        <v>0</v>
      </c>
      <c r="AY102" s="148" t="b">
        <f t="shared" si="19"/>
        <v>0</v>
      </c>
      <c r="AZ102" s="148" t="b">
        <f t="shared" si="19"/>
        <v>0</v>
      </c>
      <c r="BA102" s="148" t="b">
        <f t="shared" si="19"/>
        <v>0</v>
      </c>
      <c r="BB102" s="148" t="b">
        <f t="shared" si="19"/>
        <v>0</v>
      </c>
      <c r="BC102" s="652"/>
    </row>
    <row r="103" spans="5:62" ht="23.25" customHeight="1">
      <c r="E103" s="502">
        <v>15</v>
      </c>
      <c r="F103" s="280" t="str" cm="1">
        <f t="array" aca="1" ref="F103" ca="1">OFFSET(E103,-1,1)</f>
        <v>1</v>
      </c>
      <c r="L103" s="615"/>
      <c r="T103" s="365" t="b">
        <f ca="1">AND(Y102&gt;0,F103&gt;0)</f>
        <v>1</v>
      </c>
      <c r="X103" s="1142"/>
      <c r="Y103" s="999"/>
      <c r="Z103" s="1143"/>
      <c r="AA103" s="1147"/>
      <c r="AB103" s="884" t="str">
        <f>"1."&amp;Y102</f>
        <v>1.1</v>
      </c>
      <c r="AC103" s="885" t="s">
        <v>1146</v>
      </c>
      <c r="AD103" s="886"/>
      <c r="AE103" s="921"/>
      <c r="AF103" s="888"/>
      <c r="AG103" s="921"/>
      <c r="AH103" s="921"/>
      <c r="AI103" s="921"/>
      <c r="AJ103" s="921"/>
      <c r="AK103" s="921"/>
      <c r="AL103" s="921"/>
      <c r="AM103" s="921"/>
      <c r="AN103" s="921"/>
      <c r="AO103" s="921"/>
      <c r="AP103" s="921"/>
      <c r="AQ103" s="921"/>
      <c r="AR103" s="921"/>
      <c r="AS103" s="888"/>
      <c r="AT103" s="888"/>
      <c r="AU103" s="888"/>
      <c r="AV103" s="888"/>
      <c r="AW103" s="888"/>
      <c r="AX103" s="888"/>
      <c r="AY103" s="888"/>
      <c r="AZ103" s="888"/>
      <c r="BA103" s="888"/>
      <c r="BB103" s="889"/>
      <c r="BC103" s="890"/>
    </row>
    <row r="104" spans="5:62" ht="33.75" customHeight="1">
      <c r="E104" s="502">
        <v>15</v>
      </c>
      <c r="F104" s="3" t="str" cm="1">
        <f t="array" aca="1" ref="F104" ca="1">OFFSET(E104,-1,1)</f>
        <v>1</v>
      </c>
      <c r="G104" s="85" t="s">
        <v>327</v>
      </c>
      <c r="H104" s="88" t="str" cm="1">
        <f t="array" ref="H104">AC104</f>
        <v>Затраты</v>
      </c>
      <c r="I104" s="85" t="s">
        <v>1069</v>
      </c>
      <c r="T104" s="365" t="b" cm="1">
        <f t="array" aca="1" ref="T104" ca="1">T103</f>
        <v>1</v>
      </c>
      <c r="X104" s="999"/>
      <c r="Y104" s="999"/>
      <c r="Z104" s="1144"/>
      <c r="AA104" s="1148"/>
      <c r="AB104" s="26" t="str">
        <f>AB103&amp;".1"</f>
        <v>1.1.1</v>
      </c>
      <c r="AC104" s="891" t="s">
        <v>1070</v>
      </c>
      <c r="AD104" s="143" t="s">
        <v>804</v>
      </c>
      <c r="AE104" s="147">
        <v>2816.6610780000001</v>
      </c>
      <c r="AF104" s="147">
        <v>3187.22</v>
      </c>
      <c r="AG104" s="147" cm="1">
        <f t="array" ref="AG104">AF104</f>
        <v>3187.22</v>
      </c>
      <c r="AH104" s="147">
        <v>3353.0088191999998</v>
      </c>
      <c r="AI104" s="147">
        <v>3666.46</v>
      </c>
      <c r="AJ104" s="787"/>
      <c r="AK104" s="787"/>
      <c r="AL104" s="787"/>
      <c r="AM104" s="787"/>
      <c r="AN104" s="787"/>
      <c r="AO104" s="787"/>
      <c r="AP104" s="787"/>
      <c r="AQ104" s="787"/>
      <c r="AR104" s="787"/>
      <c r="AS104" s="147">
        <v>3552.56</v>
      </c>
      <c r="AT104" s="787"/>
      <c r="AU104" s="787"/>
      <c r="AV104" s="787"/>
      <c r="AW104" s="787"/>
      <c r="AX104" s="787"/>
      <c r="AY104" s="787"/>
      <c r="AZ104" s="787"/>
      <c r="BA104" s="787"/>
      <c r="BB104" s="787"/>
      <c r="BC104" s="132" t="s">
        <v>1147</v>
      </c>
      <c r="BF104" s="691" t="s">
        <v>1071</v>
      </c>
      <c r="BG104" s="691" t="s">
        <v>1072</v>
      </c>
      <c r="BH104" s="691" t="str" cm="1">
        <f t="array" ref="BH104">AC103</f>
        <v>ООО "Гурьевск-Сталь" (ИНН: 4202050643, КПП: 420201001)</v>
      </c>
      <c r="BJ104" s="502" t="b">
        <v>1</v>
      </c>
    </row>
    <row r="105" spans="5:62" ht="14.65" customHeight="1">
      <c r="E105" s="502">
        <v>15</v>
      </c>
      <c r="F105" s="3" t="str" cm="1">
        <f t="array" aca="1" ref="F105" ca="1">OFFSET(E105,-1,1)</f>
        <v>1</v>
      </c>
      <c r="G105" s="85" t="s">
        <v>461</v>
      </c>
      <c r="H105" s="88" t="str" cm="1">
        <f t="array" ref="H105">H104</f>
        <v>Затраты</v>
      </c>
      <c r="I105" s="85" t="s">
        <v>1069</v>
      </c>
      <c r="T105" s="365" t="b" cm="1">
        <f t="array" aca="1" ref="T105" ca="1">T104</f>
        <v>1</v>
      </c>
      <c r="X105" s="999"/>
      <c r="Y105" s="999"/>
      <c r="Z105" s="1144"/>
      <c r="AA105" s="1148"/>
      <c r="AB105" s="26" t="str">
        <f>AB104&amp;".1"</f>
        <v>1.1.1.1</v>
      </c>
      <c r="AC105" s="153" t="s">
        <v>1073</v>
      </c>
      <c r="AD105" s="26" t="s">
        <v>534</v>
      </c>
      <c r="AE105" s="147">
        <v>141.78299999999999</v>
      </c>
      <c r="AF105" s="147">
        <v>160.63640000000001</v>
      </c>
      <c r="AG105" s="147" cm="1">
        <f t="array" ref="AG105">AF105</f>
        <v>160.63640000000001</v>
      </c>
      <c r="AH105" s="147">
        <v>160.21639999999999</v>
      </c>
      <c r="AI105" s="147">
        <v>162.12299999999999</v>
      </c>
      <c r="AJ105" s="787"/>
      <c r="AK105" s="787"/>
      <c r="AL105" s="787"/>
      <c r="AM105" s="787"/>
      <c r="AN105" s="787"/>
      <c r="AO105" s="787"/>
      <c r="AP105" s="787"/>
      <c r="AQ105" s="787"/>
      <c r="AR105" s="787"/>
      <c r="AS105" s="147">
        <v>160.63640000000001</v>
      </c>
      <c r="AT105" s="787"/>
      <c r="AU105" s="787"/>
      <c r="AV105" s="787"/>
      <c r="AW105" s="787"/>
      <c r="AX105" s="787"/>
      <c r="AY105" s="787"/>
      <c r="AZ105" s="787"/>
      <c r="BA105" s="787"/>
      <c r="BB105" s="787"/>
      <c r="BC105" s="132" t="s">
        <v>1148</v>
      </c>
      <c r="BF105" s="691" t="s">
        <v>1074</v>
      </c>
      <c r="BG105" s="691" t="s">
        <v>1072</v>
      </c>
      <c r="BH105" s="691" t="str" cm="1">
        <f t="array" ref="BH105">BH104</f>
        <v>ООО "Гурьевск-Сталь" (ИНН: 4202050643, КПП: 420201001)</v>
      </c>
    </row>
    <row r="106" spans="5:62" ht="14.65" customHeight="1">
      <c r="E106" s="502">
        <v>15</v>
      </c>
      <c r="F106" s="280" t="str" cm="1">
        <f t="array" aca="1" ref="F106" ca="1">OFFSET(E106,-1,1)</f>
        <v>1</v>
      </c>
      <c r="H106" s="88"/>
      <c r="T106" s="365" t="b" cm="1">
        <f t="array" aca="1" ref="T106" ca="1">T105</f>
        <v>1</v>
      </c>
      <c r="X106" s="1142"/>
      <c r="Y106" s="999"/>
      <c r="Z106" s="1143"/>
      <c r="AA106" s="1147"/>
      <c r="AB106" s="892" t="str">
        <f>AB104&amp;".2"</f>
        <v>1.1.1.2</v>
      </c>
      <c r="AC106" s="893" t="s">
        <v>1075</v>
      </c>
      <c r="AD106" s="892" t="s">
        <v>1076</v>
      </c>
      <c r="AE106" s="922"/>
      <c r="AF106" s="922"/>
      <c r="AG106" s="922"/>
      <c r="AH106" s="922"/>
      <c r="AI106" s="922"/>
      <c r="AJ106" s="894"/>
      <c r="AK106" s="894"/>
      <c r="AL106" s="894"/>
      <c r="AM106" s="894"/>
      <c r="AN106" s="894"/>
      <c r="AO106" s="894"/>
      <c r="AP106" s="894"/>
      <c r="AQ106" s="894"/>
      <c r="AR106" s="894"/>
      <c r="AS106" s="922"/>
      <c r="AT106" s="894"/>
      <c r="AU106" s="894"/>
      <c r="AV106" s="894"/>
      <c r="AW106" s="894"/>
      <c r="AX106" s="894"/>
      <c r="AY106" s="894"/>
      <c r="AZ106" s="894"/>
      <c r="BA106" s="894"/>
      <c r="BB106" s="894"/>
      <c r="BC106" s="923"/>
      <c r="BF106" s="691" t="s">
        <v>1077</v>
      </c>
      <c r="BG106" s="691" t="s">
        <v>1072</v>
      </c>
      <c r="BH106" s="896" t="str" cm="1">
        <f t="array" ref="BH106">BH105</f>
        <v>ООО "Гурьевск-Сталь" (ИНН: 4202050643, КПП: 420201001)</v>
      </c>
    </row>
    <row r="107" spans="5:62" ht="0" hidden="1" customHeight="1">
      <c r="E107" s="502">
        <v>15</v>
      </c>
      <c r="F107" s="3" t="str" cm="1">
        <f t="array" aca="1" ref="F107" ca="1">OFFSET(E107,-1,1)</f>
        <v>1</v>
      </c>
      <c r="H107" s="85" t="str">
        <f>"!=='не определено' &amp;&amp; row.l1 !== null"</f>
        <v>!=='не определено' &amp;&amp; row.l1 !== null</v>
      </c>
      <c r="T107" s="365" t="b">
        <f ca="1">F107&gt;0</f>
        <v>1</v>
      </c>
      <c r="W107" s="508" t="s">
        <v>1078</v>
      </c>
      <c r="X107" s="999"/>
      <c r="Z107" s="1144"/>
      <c r="AB107" s="505"/>
      <c r="AC107" s="164" t="s">
        <v>1079</v>
      </c>
      <c r="AD107" s="164"/>
      <c r="AE107" s="164"/>
      <c r="AF107" s="164"/>
      <c r="AG107" s="164"/>
      <c r="AH107" s="164"/>
      <c r="AI107" s="164"/>
      <c r="AJ107" s="164"/>
      <c r="AK107" s="164"/>
      <c r="AL107" s="164"/>
      <c r="AM107" s="164"/>
      <c r="AN107" s="164"/>
      <c r="AO107" s="164"/>
      <c r="AP107" s="164"/>
      <c r="AQ107" s="164"/>
      <c r="AR107" s="164"/>
      <c r="AS107" s="164"/>
      <c r="AT107" s="164"/>
      <c r="AU107" s="164"/>
      <c r="AV107" s="164"/>
      <c r="AW107" s="164"/>
      <c r="AX107" s="164"/>
      <c r="AY107" s="164"/>
      <c r="AZ107" s="164"/>
      <c r="BA107" s="164"/>
      <c r="BB107" s="164"/>
      <c r="BC107" s="165"/>
      <c r="BI107" s="502" t="s">
        <v>1072</v>
      </c>
    </row>
    <row r="108" spans="5:62" ht="0" hidden="1" customHeight="1">
      <c r="E108" s="502">
        <v>22.5</v>
      </c>
      <c r="F108" s="3" t="str" cm="1">
        <f t="array" aca="1" ref="F108" ca="1">OFFSET(E108,-1,1)</f>
        <v>1</v>
      </c>
      <c r="K108" s="611" t="str">
        <f ca="1">F96&amp;"2komm"</f>
        <v>12komm</v>
      </c>
      <c r="L108" s="615" cm="1">
        <f t="array" ref="L108">BC108</f>
        <v>0</v>
      </c>
      <c r="T108" s="365" t="b" cm="1">
        <f t="array" aca="1" ref="T108" ca="1">T107</f>
        <v>1</v>
      </c>
      <c r="X108" s="999"/>
      <c r="Y108" s="507"/>
      <c r="Z108" s="1144"/>
      <c r="AB108" s="143">
        <v>2</v>
      </c>
      <c r="AC108" s="144" t="s">
        <v>1080</v>
      </c>
      <c r="AD108" s="143" t="s">
        <v>804</v>
      </c>
      <c r="AE108" s="145">
        <f>SUMIF(AD111:AD114,AD108,AE111:AE114)</f>
        <v>0</v>
      </c>
      <c r="AF108" s="145">
        <f>SUMIF(AD111:AD114,AD108,AF111:AF114)</f>
        <v>0</v>
      </c>
      <c r="AG108" s="145">
        <f>SUMIF(AD111:AD114,AD108,AG111:AG114)</f>
        <v>0</v>
      </c>
      <c r="AH108" s="145">
        <f>SUMIF(AD111:AD114,AD108,AH111:AH114)</f>
        <v>0</v>
      </c>
      <c r="AI108" s="145">
        <f>SUMIF(AD111:AD114,AD108,AI111:AI114)</f>
        <v>0</v>
      </c>
      <c r="AJ108" s="783">
        <f>SUMIF(AD111:AD114,AD108,AJ111:AJ114)</f>
        <v>0</v>
      </c>
      <c r="AK108" s="783">
        <f>SUMIF(AD111:AD114,AD108,AK111:AK114)</f>
        <v>0</v>
      </c>
      <c r="AL108" s="783">
        <f>SUMIF(AD111:AD114,AD108,AL111:AL114)</f>
        <v>0</v>
      </c>
      <c r="AM108" s="783">
        <f>SUMIF(AD111:AD114,AD108,AM111:AM114)</f>
        <v>0</v>
      </c>
      <c r="AN108" s="783">
        <f>SUMIF(AD111:AD114,AD108,AN111:AN114)</f>
        <v>0</v>
      </c>
      <c r="AO108" s="783">
        <f>SUMIF(AD111:AD114,AD108,AO111:AO114)</f>
        <v>0</v>
      </c>
      <c r="AP108" s="783">
        <f>SUMIF(AD111:AD114,AD108,AP111:AP114)</f>
        <v>0</v>
      </c>
      <c r="AQ108" s="783">
        <f>SUMIF(AD111:AD114,AD108,AQ111:AQ114)</f>
        <v>0</v>
      </c>
      <c r="AR108" s="783">
        <f>SUMIF(AD111:AD114,AD108,AR111:AR114)</f>
        <v>0</v>
      </c>
      <c r="AS108" s="145">
        <f>SUMIF(AD111:AD114,AD108,AS111:AS114)</f>
        <v>0</v>
      </c>
      <c r="AT108" s="783">
        <f>SUMIF(AD111:AD114,AD108,AT111:AT114)</f>
        <v>0</v>
      </c>
      <c r="AU108" s="783">
        <f>SUMIF(AD111:AD114,AD108,AU111:AU114)</f>
        <v>0</v>
      </c>
      <c r="AV108" s="783">
        <f>SUMIF(AD111:AD114,AD108,AV111:AV114)</f>
        <v>0</v>
      </c>
      <c r="AW108" s="783">
        <f>SUMIF(AD111:AD114,AD108,AW111:AW114)</f>
        <v>0</v>
      </c>
      <c r="AX108" s="783">
        <f>SUMIF(AD111:AD114,AD108,AX111:AX114)</f>
        <v>0</v>
      </c>
      <c r="AY108" s="783">
        <f>SUMIF(AD111:AD114,AD108,AY111:AY114)</f>
        <v>0</v>
      </c>
      <c r="AZ108" s="783">
        <f>SUMIF(AD111:AD114,AD108,AZ111:AZ114)</f>
        <v>0</v>
      </c>
      <c r="BA108" s="783">
        <f>SUMIF(AD111:AD114,AD108,BA111:BA114)</f>
        <v>0</v>
      </c>
      <c r="BB108" s="783">
        <f>SUMIF(AD111:AD114,AD108,BB111:BB114)</f>
        <v>0</v>
      </c>
      <c r="BC108" s="132"/>
      <c r="BF108" s="691" t="s">
        <v>1081</v>
      </c>
    </row>
    <row r="109" spans="5:62" ht="0" hidden="1" customHeight="1">
      <c r="E109" s="502">
        <v>0</v>
      </c>
      <c r="F109" s="3" t="str" cm="1">
        <f t="array" aca="1" ref="F109" ca="1">OFFSET(E109,-1,1)</f>
        <v>1</v>
      </c>
      <c r="G109" s="85" t="s">
        <v>328</v>
      </c>
      <c r="L109" s="615"/>
      <c r="T109" s="365" t="b">
        <v>0</v>
      </c>
      <c r="W109" s="85" t="s">
        <v>173</v>
      </c>
      <c r="X109" s="999"/>
      <c r="Y109" s="999">
        <v>0</v>
      </c>
      <c r="Z109" s="1144"/>
      <c r="AA109" s="1146" t="s">
        <v>174</v>
      </c>
      <c r="AB109" s="143"/>
      <c r="AC109" s="144"/>
      <c r="AD109" s="143"/>
      <c r="AE109" s="148" t="b">
        <f t="shared" ref="AE109:BB109" si="20">OR(AND(AE111&lt;&gt;"",AE112=""),AND(AE111="",AE112&lt;&gt;""))</f>
        <v>0</v>
      </c>
      <c r="AF109" s="148" t="b">
        <f t="shared" si="20"/>
        <v>0</v>
      </c>
      <c r="AG109" s="148" t="b">
        <f t="shared" si="20"/>
        <v>0</v>
      </c>
      <c r="AH109" s="148" t="b">
        <f t="shared" si="20"/>
        <v>0</v>
      </c>
      <c r="AI109" s="148" t="b">
        <f t="shared" si="20"/>
        <v>0</v>
      </c>
      <c r="AJ109" s="148" t="b">
        <f t="shared" si="20"/>
        <v>0</v>
      </c>
      <c r="AK109" s="148" t="b">
        <f t="shared" si="20"/>
        <v>0</v>
      </c>
      <c r="AL109" s="148" t="b">
        <f t="shared" si="20"/>
        <v>0</v>
      </c>
      <c r="AM109" s="148" t="b">
        <f t="shared" si="20"/>
        <v>0</v>
      </c>
      <c r="AN109" s="148" t="b">
        <f t="shared" si="20"/>
        <v>0</v>
      </c>
      <c r="AO109" s="148" t="b">
        <f t="shared" si="20"/>
        <v>0</v>
      </c>
      <c r="AP109" s="148" t="b">
        <f t="shared" si="20"/>
        <v>0</v>
      </c>
      <c r="AQ109" s="148" t="b">
        <f t="shared" si="20"/>
        <v>0</v>
      </c>
      <c r="AR109" s="148" t="b">
        <f t="shared" si="20"/>
        <v>0</v>
      </c>
      <c r="AS109" s="148" t="b">
        <f t="shared" si="20"/>
        <v>0</v>
      </c>
      <c r="AT109" s="148" t="b">
        <f t="shared" si="20"/>
        <v>0</v>
      </c>
      <c r="AU109" s="148" t="b">
        <f t="shared" si="20"/>
        <v>0</v>
      </c>
      <c r="AV109" s="148" t="b">
        <f t="shared" si="20"/>
        <v>0</v>
      </c>
      <c r="AW109" s="148" t="b">
        <f t="shared" si="20"/>
        <v>0</v>
      </c>
      <c r="AX109" s="148" t="b">
        <f t="shared" si="20"/>
        <v>0</v>
      </c>
      <c r="AY109" s="148" t="b">
        <f t="shared" si="20"/>
        <v>0</v>
      </c>
      <c r="AZ109" s="148" t="b">
        <f t="shared" si="20"/>
        <v>0</v>
      </c>
      <c r="BA109" s="148" t="b">
        <f t="shared" si="20"/>
        <v>0</v>
      </c>
      <c r="BB109" s="148" t="b">
        <f t="shared" si="20"/>
        <v>0</v>
      </c>
      <c r="BC109" s="652"/>
    </row>
    <row r="110" spans="5:62" ht="14.65" hidden="1" customHeight="1">
      <c r="E110" s="502">
        <v>15</v>
      </c>
      <c r="F110" s="280" t="str" cm="1">
        <f t="array" aca="1" ref="F110" ca="1">OFFSET(E110,-1,1)</f>
        <v>1</v>
      </c>
      <c r="L110" s="615"/>
      <c r="T110" s="365" t="b">
        <f ca="1">AND(Y109&gt;0,F110&gt;0)</f>
        <v>0</v>
      </c>
      <c r="X110" s="1142"/>
      <c r="Y110" s="999"/>
      <c r="Z110" s="1143"/>
      <c r="AA110" s="1147"/>
      <c r="AB110" s="884" t="str">
        <f>"2."&amp;Y109</f>
        <v>2.0</v>
      </c>
      <c r="AC110" s="885" t="s">
        <v>225</v>
      </c>
      <c r="AD110" s="886"/>
      <c r="AE110" s="887"/>
      <c r="AF110" s="888"/>
      <c r="AG110" s="887"/>
      <c r="AH110" s="887"/>
      <c r="AI110" s="887"/>
      <c r="AJ110" s="887"/>
      <c r="AK110" s="887"/>
      <c r="AL110" s="887"/>
      <c r="AM110" s="887"/>
      <c r="AN110" s="887"/>
      <c r="AO110" s="887"/>
      <c r="AP110" s="887"/>
      <c r="AQ110" s="887"/>
      <c r="AR110" s="887"/>
      <c r="AS110" s="888"/>
      <c r="AT110" s="888"/>
      <c r="AU110" s="888"/>
      <c r="AV110" s="888"/>
      <c r="AW110" s="888"/>
      <c r="AX110" s="888"/>
      <c r="AY110" s="888"/>
      <c r="AZ110" s="888"/>
      <c r="BA110" s="888"/>
      <c r="BB110" s="889"/>
      <c r="BC110" s="890"/>
    </row>
    <row r="111" spans="5:62" ht="12.75" hidden="1" customHeight="1">
      <c r="E111" s="502">
        <v>15</v>
      </c>
      <c r="F111" s="3" t="str" cm="1">
        <f t="array" aca="1" ref="F111" ca="1">OFFSET(E111,-1,1)</f>
        <v>1</v>
      </c>
      <c r="G111" s="85" t="s">
        <v>328</v>
      </c>
      <c r="H111" s="88" t="str" cm="1">
        <f t="array" ref="H111">AC111</f>
        <v>Затраты</v>
      </c>
      <c r="I111" s="85" t="s">
        <v>1082</v>
      </c>
      <c r="T111" s="365" t="b" cm="1">
        <f t="array" aca="1" ref="T111" ca="1">T110</f>
        <v>0</v>
      </c>
      <c r="X111" s="999"/>
      <c r="Y111" s="999"/>
      <c r="Z111" s="1144"/>
      <c r="AA111" s="1146"/>
      <c r="AB111" s="26" t="str">
        <f>AB110&amp;".1"</f>
        <v>2.0.1</v>
      </c>
      <c r="AC111" s="891" t="s">
        <v>1070</v>
      </c>
      <c r="AD111" s="143" t="s">
        <v>804</v>
      </c>
      <c r="AE111" s="787"/>
      <c r="AF111" s="787"/>
      <c r="AG111" s="787"/>
      <c r="AH111" s="787"/>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839"/>
      <c r="BF111" s="691" t="s">
        <v>1071</v>
      </c>
      <c r="BG111" s="691" t="s">
        <v>1083</v>
      </c>
      <c r="BH111" s="691" t="str" cm="1">
        <f t="array" ref="BH111">AC110</f>
        <v/>
      </c>
      <c r="BJ111" s="502" t="b">
        <v>1</v>
      </c>
    </row>
    <row r="112" spans="5:62" ht="0" hidden="1" customHeight="1">
      <c r="E112" s="502">
        <v>15</v>
      </c>
      <c r="F112" s="3" t="str" cm="1">
        <f t="array" aca="1" ref="F112" ca="1">OFFSET(E112,-1,1)</f>
        <v>1</v>
      </c>
      <c r="G112" s="85" t="s">
        <v>479</v>
      </c>
      <c r="H112" s="88" t="str" cm="1">
        <f t="array" ref="H112">H111</f>
        <v>Затраты</v>
      </c>
      <c r="I112" s="85" t="s">
        <v>1082</v>
      </c>
      <c r="T112" s="365" t="b" cm="1">
        <f t="array" aca="1" ref="T112" ca="1">T111</f>
        <v>0</v>
      </c>
      <c r="X112" s="999"/>
      <c r="Y112" s="999"/>
      <c r="Z112" s="1144"/>
      <c r="AA112" s="1146"/>
      <c r="AB112" s="26" t="str">
        <f>AB111&amp;".1"</f>
        <v>2.0.1.1</v>
      </c>
      <c r="AC112" s="153" t="s">
        <v>1084</v>
      </c>
      <c r="AD112" s="26" t="s">
        <v>534</v>
      </c>
      <c r="AE112" s="787"/>
      <c r="AF112" s="787"/>
      <c r="AG112" s="787"/>
      <c r="AH112" s="787"/>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839"/>
      <c r="BF112" s="691" t="s">
        <v>1074</v>
      </c>
      <c r="BG112" s="691" t="s">
        <v>1083</v>
      </c>
      <c r="BH112" s="691" t="str" cm="1">
        <f t="array" ref="BH112">BH111</f>
        <v/>
      </c>
    </row>
    <row r="113" spans="5:62" ht="14.65" hidden="1" customHeight="1">
      <c r="E113" s="502">
        <v>15</v>
      </c>
      <c r="F113" s="280" t="str" cm="1">
        <f t="array" aca="1" ref="F113" ca="1">OFFSET(E113,-1,1)</f>
        <v>1</v>
      </c>
      <c r="H113" s="88"/>
      <c r="T113" s="365" t="b" cm="1">
        <f t="array" aca="1" ref="T113" ca="1">T112</f>
        <v>0</v>
      </c>
      <c r="X113" s="1142"/>
      <c r="Y113" s="999"/>
      <c r="Z113" s="1143"/>
      <c r="AA113" s="1147"/>
      <c r="AB113" s="892" t="str">
        <f>AB111&amp;".2"</f>
        <v>2.0.1.2</v>
      </c>
      <c r="AC113" s="893" t="s">
        <v>1085</v>
      </c>
      <c r="AD113" s="892" t="s">
        <v>1076</v>
      </c>
      <c r="AE113" s="894"/>
      <c r="AF113" s="894"/>
      <c r="AG113" s="894"/>
      <c r="AH113" s="894"/>
      <c r="AI113" s="894"/>
      <c r="AJ113" s="894"/>
      <c r="AK113" s="894"/>
      <c r="AL113" s="894"/>
      <c r="AM113" s="894"/>
      <c r="AN113" s="894"/>
      <c r="AO113" s="894"/>
      <c r="AP113" s="894"/>
      <c r="AQ113" s="894"/>
      <c r="AR113" s="894"/>
      <c r="AS113" s="894"/>
      <c r="AT113" s="894"/>
      <c r="AU113" s="894"/>
      <c r="AV113" s="894"/>
      <c r="AW113" s="894"/>
      <c r="AX113" s="894"/>
      <c r="AY113" s="894"/>
      <c r="AZ113" s="894"/>
      <c r="BA113" s="894"/>
      <c r="BB113" s="894"/>
      <c r="BC113" s="895"/>
      <c r="BF113" s="691" t="s">
        <v>1077</v>
      </c>
      <c r="BG113" s="691" t="s">
        <v>1083</v>
      </c>
      <c r="BH113" s="896" t="str" cm="1">
        <f t="array" ref="BH113">BH112</f>
        <v/>
      </c>
    </row>
    <row r="114" spans="5:62" ht="0" hidden="1" customHeight="1">
      <c r="E114" s="502">
        <v>15</v>
      </c>
      <c r="F114" s="3" t="str" cm="1">
        <f t="array" aca="1" ref="F114" ca="1">OFFSET(E114,-1,1)</f>
        <v>1</v>
      </c>
      <c r="H114" s="85" t="str">
        <f>"!=='не определено' &amp;&amp; row.l2 !== null"</f>
        <v>!=='не определено' &amp;&amp; row.l2 !== null</v>
      </c>
      <c r="T114" s="365" t="b">
        <f ca="1">F114&gt;0</f>
        <v>1</v>
      </c>
      <c r="W114" s="508" t="s">
        <v>1078</v>
      </c>
      <c r="X114" s="999"/>
      <c r="Y114" s="506"/>
      <c r="Z114" s="1144"/>
      <c r="AB114" s="505"/>
      <c r="AC114" s="164" t="s">
        <v>1079</v>
      </c>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5"/>
      <c r="BI114" s="502" t="s">
        <v>1083</v>
      </c>
    </row>
    <row r="115" spans="5:62" ht="0" hidden="1" customHeight="1">
      <c r="E115" s="502">
        <v>23</v>
      </c>
      <c r="F115" s="3" t="str" cm="1">
        <f t="array" aca="1" ref="F115" ca="1">OFFSET(E115,-1,1)</f>
        <v>1</v>
      </c>
      <c r="K115" s="611" t="str">
        <f ca="1">F96&amp;"3komm"</f>
        <v>13komm</v>
      </c>
      <c r="L115" s="615" cm="1">
        <f t="array" ref="L115">BC115</f>
        <v>0</v>
      </c>
      <c r="T115" s="365" t="b" cm="1">
        <f t="array" aca="1" ref="T115" ca="1">T114</f>
        <v>1</v>
      </c>
      <c r="X115" s="999"/>
      <c r="Y115" s="507"/>
      <c r="Z115" s="1144"/>
      <c r="AB115" s="143">
        <v>3</v>
      </c>
      <c r="AC115" s="144" t="s">
        <v>1086</v>
      </c>
      <c r="AD115" s="143" t="s">
        <v>804</v>
      </c>
      <c r="AE115" s="145">
        <f>SUMIF(AD118:AD121,AD115,AE118:AE121)</f>
        <v>0</v>
      </c>
      <c r="AF115" s="145">
        <f>SUMIF(AD118:AD121,AD115,AF118:AF121)</f>
        <v>0</v>
      </c>
      <c r="AG115" s="145">
        <f>SUMIF(AD118:AD121,AD115,AG118:AG121)</f>
        <v>0</v>
      </c>
      <c r="AH115" s="145">
        <f>SUMIF(AD118:AD121,AD115,AH118:AH121)</f>
        <v>0</v>
      </c>
      <c r="AI115" s="145">
        <f>SUMIF(AD118:AD121,AD115,AI118:AI121)</f>
        <v>0</v>
      </c>
      <c r="AJ115" s="783">
        <f>SUMIF(AD118:AD121,AD115,AJ118:AJ121)</f>
        <v>0</v>
      </c>
      <c r="AK115" s="783">
        <f>SUMIF(AD118:AD121,AD115,AK118:AK121)</f>
        <v>0</v>
      </c>
      <c r="AL115" s="783">
        <f>SUMIF(AD118:AD121,AD115,AL118:AL121)</f>
        <v>0</v>
      </c>
      <c r="AM115" s="783">
        <f>SUMIF(AD118:AD121,AD115,AM118:AM121)</f>
        <v>0</v>
      </c>
      <c r="AN115" s="783">
        <f>SUMIF(AD118:AD121,AD115,AN118:AN121)</f>
        <v>0</v>
      </c>
      <c r="AO115" s="783">
        <f>SUMIF(AD118:AD121,AD115,AO118:AO121)</f>
        <v>0</v>
      </c>
      <c r="AP115" s="783">
        <f>SUMIF(AD118:AD121,AD115,AP118:AP121)</f>
        <v>0</v>
      </c>
      <c r="AQ115" s="783">
        <f>SUMIF(AD118:AD121,AD115,AQ118:AQ121)</f>
        <v>0</v>
      </c>
      <c r="AR115" s="783">
        <f>SUMIF(AD118:AD121,AD115,AR118:AR121)</f>
        <v>0</v>
      </c>
      <c r="AS115" s="145">
        <f>SUMIF(AD118:AD121,AD115,AS118:AS121)</f>
        <v>0</v>
      </c>
      <c r="AT115" s="783">
        <f>SUMIF(AD118:AD121,AD115,AT118:AT121)</f>
        <v>0</v>
      </c>
      <c r="AU115" s="783">
        <f>SUMIF(AD118:AD121,AD115,AU118:AU121)</f>
        <v>0</v>
      </c>
      <c r="AV115" s="783">
        <f>SUMIF(AD118:AD121,AD115,AV118:AV121)</f>
        <v>0</v>
      </c>
      <c r="AW115" s="783">
        <f>SUMIF(AD118:AD121,AD115,AW118:AW121)</f>
        <v>0</v>
      </c>
      <c r="AX115" s="783">
        <f>SUMIF(AD118:AD121,AD115,AX118:AX121)</f>
        <v>0</v>
      </c>
      <c r="AY115" s="783">
        <f>SUMIF(AD118:AD121,AD115,AY118:AY121)</f>
        <v>0</v>
      </c>
      <c r="AZ115" s="783">
        <f>SUMIF(AD118:AD121,AD115,AZ118:AZ121)</f>
        <v>0</v>
      </c>
      <c r="BA115" s="783">
        <f>SUMIF(AD118:AD121,AD115,BA118:BA121)</f>
        <v>0</v>
      </c>
      <c r="BB115" s="783">
        <f>SUMIF(AD118:AD121,AD115,BB118:BB121)</f>
        <v>0</v>
      </c>
      <c r="BC115" s="132"/>
      <c r="BF115" s="691" t="s">
        <v>1087</v>
      </c>
    </row>
    <row r="116" spans="5:62" ht="0" hidden="1" customHeight="1">
      <c r="E116" s="502">
        <v>0</v>
      </c>
      <c r="F116" s="3" t="str" cm="1">
        <f t="array" aca="1" ref="F116" ca="1">OFFSET(E116,-1,1)</f>
        <v>1</v>
      </c>
      <c r="G116" s="85" t="s">
        <v>329</v>
      </c>
      <c r="L116" s="615"/>
      <c r="T116" s="365" t="b">
        <v>0</v>
      </c>
      <c r="W116" s="85" t="s">
        <v>173</v>
      </c>
      <c r="X116" s="999"/>
      <c r="Y116" s="999">
        <v>0</v>
      </c>
      <c r="Z116" s="1144"/>
      <c r="AA116" s="1146" t="s">
        <v>174</v>
      </c>
      <c r="AB116" s="143"/>
      <c r="AC116" s="144"/>
      <c r="AD116" s="143"/>
      <c r="AE116" s="148" t="b">
        <f t="shared" ref="AE116:BB116" si="21">OR(AND(AE118&lt;&gt;"",AE119=""),AND(AE118="",AE119&lt;&gt;""))</f>
        <v>0</v>
      </c>
      <c r="AF116" s="148" t="b">
        <f t="shared" si="21"/>
        <v>0</v>
      </c>
      <c r="AG116" s="148" t="b">
        <f t="shared" si="21"/>
        <v>0</v>
      </c>
      <c r="AH116" s="148" t="b">
        <f t="shared" si="21"/>
        <v>0</v>
      </c>
      <c r="AI116" s="148" t="b">
        <f t="shared" si="21"/>
        <v>0</v>
      </c>
      <c r="AJ116" s="148" t="b">
        <f t="shared" si="21"/>
        <v>0</v>
      </c>
      <c r="AK116" s="148" t="b">
        <f t="shared" si="21"/>
        <v>0</v>
      </c>
      <c r="AL116" s="148" t="b">
        <f t="shared" si="21"/>
        <v>0</v>
      </c>
      <c r="AM116" s="148" t="b">
        <f t="shared" si="21"/>
        <v>0</v>
      </c>
      <c r="AN116" s="148" t="b">
        <f t="shared" si="21"/>
        <v>0</v>
      </c>
      <c r="AO116" s="148" t="b">
        <f t="shared" si="21"/>
        <v>0</v>
      </c>
      <c r="AP116" s="148" t="b">
        <f t="shared" si="21"/>
        <v>0</v>
      </c>
      <c r="AQ116" s="148" t="b">
        <f t="shared" si="21"/>
        <v>0</v>
      </c>
      <c r="AR116" s="148" t="b">
        <f t="shared" si="21"/>
        <v>0</v>
      </c>
      <c r="AS116" s="148" t="b">
        <f t="shared" si="21"/>
        <v>0</v>
      </c>
      <c r="AT116" s="148" t="b">
        <f t="shared" si="21"/>
        <v>0</v>
      </c>
      <c r="AU116" s="148" t="b">
        <f t="shared" si="21"/>
        <v>0</v>
      </c>
      <c r="AV116" s="148" t="b">
        <f t="shared" si="21"/>
        <v>0</v>
      </c>
      <c r="AW116" s="148" t="b">
        <f t="shared" si="21"/>
        <v>0</v>
      </c>
      <c r="AX116" s="148" t="b">
        <f t="shared" si="21"/>
        <v>0</v>
      </c>
      <c r="AY116" s="148" t="b">
        <f t="shared" si="21"/>
        <v>0</v>
      </c>
      <c r="AZ116" s="148" t="b">
        <f t="shared" si="21"/>
        <v>0</v>
      </c>
      <c r="BA116" s="148" t="b">
        <f t="shared" si="21"/>
        <v>0</v>
      </c>
      <c r="BB116" s="148" t="b">
        <f t="shared" si="21"/>
        <v>0</v>
      </c>
      <c r="BC116" s="652"/>
    </row>
    <row r="117" spans="5:62" ht="14.65" hidden="1" customHeight="1">
      <c r="E117" s="502">
        <v>15</v>
      </c>
      <c r="F117" s="280" t="str" cm="1">
        <f t="array" aca="1" ref="F117" ca="1">OFFSET(E117,-1,1)</f>
        <v>1</v>
      </c>
      <c r="L117" s="615"/>
      <c r="T117" s="365" t="b">
        <f ca="1">AND(Y116&gt;0,F117&gt;0)</f>
        <v>0</v>
      </c>
      <c r="X117" s="1142"/>
      <c r="Y117" s="999"/>
      <c r="Z117" s="1143"/>
      <c r="AA117" s="1147"/>
      <c r="AB117" s="884" t="str">
        <f>"3."&amp;Y116</f>
        <v>3.0</v>
      </c>
      <c r="AC117" s="885" t="s">
        <v>225</v>
      </c>
      <c r="AD117" s="886"/>
      <c r="AE117" s="887"/>
      <c r="AF117" s="888"/>
      <c r="AG117" s="887"/>
      <c r="AH117" s="887"/>
      <c r="AI117" s="887"/>
      <c r="AJ117" s="887"/>
      <c r="AK117" s="887"/>
      <c r="AL117" s="887"/>
      <c r="AM117" s="887"/>
      <c r="AN117" s="887"/>
      <c r="AO117" s="887"/>
      <c r="AP117" s="887"/>
      <c r="AQ117" s="887"/>
      <c r="AR117" s="887"/>
      <c r="AS117" s="888"/>
      <c r="AT117" s="888"/>
      <c r="AU117" s="888"/>
      <c r="AV117" s="888"/>
      <c r="AW117" s="888"/>
      <c r="AX117" s="888"/>
      <c r="AY117" s="888"/>
      <c r="AZ117" s="888"/>
      <c r="BA117" s="888"/>
      <c r="BB117" s="889"/>
      <c r="BC117" s="890"/>
    </row>
    <row r="118" spans="5:62" ht="12.75" hidden="1" customHeight="1">
      <c r="E118" s="502">
        <v>15</v>
      </c>
      <c r="F118" s="3" t="str" cm="1">
        <f t="array" aca="1" ref="F118" ca="1">OFFSET(E118,-1,1)</f>
        <v>1</v>
      </c>
      <c r="G118" s="85" t="s">
        <v>329</v>
      </c>
      <c r="H118" s="88" t="str" cm="1">
        <f t="array" ref="H118">AC118</f>
        <v>Затраты</v>
      </c>
      <c r="I118" s="85" t="s">
        <v>1088</v>
      </c>
      <c r="T118" s="365" t="b" cm="1">
        <f t="array" aca="1" ref="T118" ca="1">T117</f>
        <v>0</v>
      </c>
      <c r="X118" s="999"/>
      <c r="Y118" s="999"/>
      <c r="Z118" s="1144"/>
      <c r="AA118" s="1146"/>
      <c r="AB118" s="26" t="str">
        <f>AB117&amp;".1"</f>
        <v>3.0.1</v>
      </c>
      <c r="AC118" s="891" t="s">
        <v>1070</v>
      </c>
      <c r="AD118" s="143" t="s">
        <v>804</v>
      </c>
      <c r="AE118" s="787"/>
      <c r="AF118" s="787"/>
      <c r="AG118" s="787"/>
      <c r="AH118" s="787"/>
      <c r="AI118" s="787"/>
      <c r="AJ118" s="787"/>
      <c r="AK118" s="787"/>
      <c r="AL118" s="787"/>
      <c r="AM118" s="787"/>
      <c r="AN118" s="787"/>
      <c r="AO118" s="787"/>
      <c r="AP118" s="787"/>
      <c r="AQ118" s="787"/>
      <c r="AR118" s="787"/>
      <c r="AS118" s="787"/>
      <c r="AT118" s="787"/>
      <c r="AU118" s="787"/>
      <c r="AV118" s="787"/>
      <c r="AW118" s="787"/>
      <c r="AX118" s="787"/>
      <c r="AY118" s="787"/>
      <c r="AZ118" s="787"/>
      <c r="BA118" s="787"/>
      <c r="BB118" s="787"/>
      <c r="BC118" s="839"/>
      <c r="BF118" s="691" t="s">
        <v>1071</v>
      </c>
      <c r="BG118" s="691" t="s">
        <v>1089</v>
      </c>
      <c r="BH118" s="691" t="str" cm="1">
        <f t="array" ref="BH118">AC117</f>
        <v/>
      </c>
      <c r="BJ118" s="502" t="b">
        <v>1</v>
      </c>
    </row>
    <row r="119" spans="5:62" ht="0" hidden="1" customHeight="1">
      <c r="E119" s="502">
        <v>15</v>
      </c>
      <c r="F119" s="3" t="str" cm="1">
        <f t="array" aca="1" ref="F119" ca="1">OFFSET(E119,-1,1)</f>
        <v>1</v>
      </c>
      <c r="G119" s="85" t="s">
        <v>927</v>
      </c>
      <c r="H119" s="88" t="str" cm="1">
        <f t="array" ref="H119">H118</f>
        <v>Затраты</v>
      </c>
      <c r="I119" s="85" t="s">
        <v>1088</v>
      </c>
      <c r="T119" s="365" t="b" cm="1">
        <f t="array" aca="1" ref="T119" ca="1">T118</f>
        <v>0</v>
      </c>
      <c r="X119" s="999"/>
      <c r="Y119" s="999"/>
      <c r="Z119" s="1144"/>
      <c r="AA119" s="1146"/>
      <c r="AB119" s="26" t="str">
        <f>AB118&amp;".1"</f>
        <v>3.0.1.1</v>
      </c>
      <c r="AC119" s="153" t="s">
        <v>1090</v>
      </c>
      <c r="AD119" s="26" t="s">
        <v>534</v>
      </c>
      <c r="AE119" s="787"/>
      <c r="AF119" s="787"/>
      <c r="AG119" s="787"/>
      <c r="AH119" s="787"/>
      <c r="AI119" s="787"/>
      <c r="AJ119" s="787"/>
      <c r="AK119" s="787"/>
      <c r="AL119" s="787"/>
      <c r="AM119" s="787"/>
      <c r="AN119" s="787"/>
      <c r="AO119" s="787"/>
      <c r="AP119" s="787"/>
      <c r="AQ119" s="787"/>
      <c r="AR119" s="787"/>
      <c r="AS119" s="787"/>
      <c r="AT119" s="787"/>
      <c r="AU119" s="787"/>
      <c r="AV119" s="787"/>
      <c r="AW119" s="787"/>
      <c r="AX119" s="787"/>
      <c r="AY119" s="787"/>
      <c r="AZ119" s="787"/>
      <c r="BA119" s="787"/>
      <c r="BB119" s="787"/>
      <c r="BC119" s="839"/>
      <c r="BF119" s="691" t="s">
        <v>1074</v>
      </c>
      <c r="BG119" s="691" t="s">
        <v>1089</v>
      </c>
      <c r="BH119" s="691" t="str" cm="1">
        <f t="array" ref="BH119">BH118</f>
        <v/>
      </c>
    </row>
    <row r="120" spans="5:62" ht="14.65" hidden="1" customHeight="1">
      <c r="E120" s="502">
        <v>15</v>
      </c>
      <c r="F120" s="280" t="str" cm="1">
        <f t="array" aca="1" ref="F120" ca="1">OFFSET(E120,-1,1)</f>
        <v>1</v>
      </c>
      <c r="H120" s="88"/>
      <c r="T120" s="365" t="b" cm="1">
        <f t="array" aca="1" ref="T120" ca="1">T119</f>
        <v>0</v>
      </c>
      <c r="X120" s="1142"/>
      <c r="Y120" s="999"/>
      <c r="Z120" s="1143"/>
      <c r="AA120" s="1147"/>
      <c r="AB120" s="892" t="str">
        <f>AB118&amp;".2"</f>
        <v>3.0.1.2</v>
      </c>
      <c r="AC120" s="893" t="s">
        <v>1085</v>
      </c>
      <c r="AD120" s="892" t="s">
        <v>1076</v>
      </c>
      <c r="AE120" s="894"/>
      <c r="AF120" s="894"/>
      <c r="AG120" s="894"/>
      <c r="AH120" s="894"/>
      <c r="AI120" s="894"/>
      <c r="AJ120" s="894"/>
      <c r="AK120" s="894"/>
      <c r="AL120" s="894"/>
      <c r="AM120" s="894"/>
      <c r="AN120" s="894"/>
      <c r="AO120" s="894"/>
      <c r="AP120" s="894"/>
      <c r="AQ120" s="894"/>
      <c r="AR120" s="894"/>
      <c r="AS120" s="894"/>
      <c r="AT120" s="894"/>
      <c r="AU120" s="894"/>
      <c r="AV120" s="894"/>
      <c r="AW120" s="894"/>
      <c r="AX120" s="894"/>
      <c r="AY120" s="894"/>
      <c r="AZ120" s="894"/>
      <c r="BA120" s="894"/>
      <c r="BB120" s="894"/>
      <c r="BC120" s="895"/>
      <c r="BF120" s="691" t="s">
        <v>1077</v>
      </c>
      <c r="BG120" s="691" t="s">
        <v>1089</v>
      </c>
      <c r="BH120" s="896" t="str" cm="1">
        <f t="array" ref="BH120">BH119</f>
        <v/>
      </c>
    </row>
    <row r="121" spans="5:62" ht="0" hidden="1" customHeight="1">
      <c r="E121" s="502">
        <v>15</v>
      </c>
      <c r="F121" s="3" t="str" cm="1">
        <f t="array" aca="1" ref="F121" ca="1">OFFSET(E121,-1,1)</f>
        <v>1</v>
      </c>
      <c r="H121" s="85" t="str">
        <f>"!=='не определено' &amp;&amp; row.l3 !== null"</f>
        <v>!=='не определено' &amp;&amp; row.l3 !== null</v>
      </c>
      <c r="T121" s="365" t="b">
        <f ca="1">F121&gt;0</f>
        <v>1</v>
      </c>
      <c r="W121" s="508" t="s">
        <v>1091</v>
      </c>
      <c r="X121" s="999"/>
      <c r="Y121" s="506"/>
      <c r="Z121" s="1144"/>
      <c r="AB121" s="505"/>
      <c r="AC121" s="164" t="s">
        <v>1079</v>
      </c>
      <c r="AD121" s="164"/>
      <c r="AE121" s="164"/>
      <c r="AF121" s="164"/>
      <c r="AG121" s="164"/>
      <c r="AH121" s="164"/>
      <c r="AI121" s="164"/>
      <c r="AJ121" s="164"/>
      <c r="AK121" s="164"/>
      <c r="AL121" s="164"/>
      <c r="AM121" s="164"/>
      <c r="AN121" s="164"/>
      <c r="AO121" s="164"/>
      <c r="AP121" s="164"/>
      <c r="AQ121" s="164"/>
      <c r="AR121" s="164"/>
      <c r="AS121" s="164"/>
      <c r="AT121" s="164"/>
      <c r="AU121" s="164"/>
      <c r="AV121" s="164"/>
      <c r="AW121" s="164"/>
      <c r="AX121" s="164"/>
      <c r="AY121" s="164"/>
      <c r="AZ121" s="164"/>
      <c r="BA121" s="164"/>
      <c r="BB121" s="164"/>
      <c r="BC121" s="165"/>
      <c r="BI121" s="502" t="s">
        <v>1089</v>
      </c>
    </row>
    <row r="122" spans="5:62" ht="0" hidden="1" customHeight="1">
      <c r="E122" s="502">
        <v>23</v>
      </c>
      <c r="F122" s="3" t="str" cm="1">
        <f t="array" aca="1" ref="F122" ca="1">OFFSET(E122,-1,1)</f>
        <v>1</v>
      </c>
      <c r="K122" s="611" t="str">
        <f ca="1">F96&amp;"4komm"</f>
        <v>14komm</v>
      </c>
      <c r="L122" s="615" cm="1">
        <f t="array" ref="L122">BC122</f>
        <v>0</v>
      </c>
      <c r="T122" s="365" t="b" cm="1">
        <f t="array" aca="1" ref="T122" ca="1">T121</f>
        <v>1</v>
      </c>
      <c r="X122" s="999"/>
      <c r="Y122" s="507"/>
      <c r="Z122" s="1144"/>
      <c r="AB122" s="143">
        <v>4</v>
      </c>
      <c r="AC122" s="144" t="s">
        <v>1092</v>
      </c>
      <c r="AD122" s="143" t="s">
        <v>804</v>
      </c>
      <c r="AE122" s="145">
        <f>SUMIF(AD125:AD128,AD122,AE125:AE128)</f>
        <v>0</v>
      </c>
      <c r="AF122" s="145">
        <f>SUMIF(AD125:AD128,AD122,AF125:AF128)</f>
        <v>0</v>
      </c>
      <c r="AG122" s="145">
        <f>SUMIF(AD125:AD128,AD122,AG125:AG128)</f>
        <v>0</v>
      </c>
      <c r="AH122" s="145">
        <f>SUMIF(AD125:AD128,AD122,AH125:AH128)</f>
        <v>0</v>
      </c>
      <c r="AI122" s="145">
        <f>SUMIF(AD125:AD128,AD122,AI125:AI128)</f>
        <v>0</v>
      </c>
      <c r="AJ122" s="783">
        <f>SUMIF(AD125:AD128,AD122,AJ125:AJ128)</f>
        <v>0</v>
      </c>
      <c r="AK122" s="783">
        <f>SUMIF(AD125:AD128,AD122,AK125:AK128)</f>
        <v>0</v>
      </c>
      <c r="AL122" s="783">
        <f>SUMIF(AD125:AD128,AD122,AL125:AL128)</f>
        <v>0</v>
      </c>
      <c r="AM122" s="783">
        <f>SUMIF(AD125:AD128,AD122,AM125:AM128)</f>
        <v>0</v>
      </c>
      <c r="AN122" s="783">
        <f>SUMIF(AD125:AD128,AD122,AN125:AN128)</f>
        <v>0</v>
      </c>
      <c r="AO122" s="783">
        <f>SUMIF(AD125:AD128,AD122,AO125:AO128)</f>
        <v>0</v>
      </c>
      <c r="AP122" s="783">
        <f>SUMIF(AD125:AD128,AD122,AP125:AP128)</f>
        <v>0</v>
      </c>
      <c r="AQ122" s="783">
        <f>SUMIF(AD125:AD128,AD122,AQ125:AQ128)</f>
        <v>0</v>
      </c>
      <c r="AR122" s="783">
        <f>SUMIF(AD125:AD128,AD122,AR125:AR128)</f>
        <v>0</v>
      </c>
      <c r="AS122" s="145">
        <f>SUMIF(AD125:AD128,AD122,AS125:AS128)</f>
        <v>0</v>
      </c>
      <c r="AT122" s="783">
        <f>SUMIF(AD125:AD128,AD122,AT125:AT128)</f>
        <v>0</v>
      </c>
      <c r="AU122" s="783">
        <f>SUMIF(AD125:AD128,AD122,AU125:AU128)</f>
        <v>0</v>
      </c>
      <c r="AV122" s="783">
        <f>SUMIF(AD125:AD128,AD122,AV125:AV128)</f>
        <v>0</v>
      </c>
      <c r="AW122" s="783">
        <f>SUMIF(AD125:AD128,AD122,AW125:AW128)</f>
        <v>0</v>
      </c>
      <c r="AX122" s="783">
        <f>SUMIF(AD125:AD128,AD122,AX125:AX128)</f>
        <v>0</v>
      </c>
      <c r="AY122" s="783">
        <f>SUMIF(AD125:AD128,AD122,AY125:AY128)</f>
        <v>0</v>
      </c>
      <c r="AZ122" s="783">
        <f>SUMIF(AD125:AD128,AD122,AZ125:AZ128)</f>
        <v>0</v>
      </c>
      <c r="BA122" s="783">
        <f>SUMIF(AD125:AD128,AD122,BA125:BA128)</f>
        <v>0</v>
      </c>
      <c r="BB122" s="783">
        <f>SUMIF(AD125:AD128,AD122,BB125:BB128)</f>
        <v>0</v>
      </c>
      <c r="BC122" s="132"/>
      <c r="BF122" s="691" t="s">
        <v>1093</v>
      </c>
    </row>
    <row r="123" spans="5:62" ht="0" hidden="1" customHeight="1">
      <c r="E123" s="502">
        <v>0</v>
      </c>
      <c r="F123" s="3" t="str" cm="1">
        <f t="array" aca="1" ref="F123" ca="1">OFFSET(E123,-1,1)</f>
        <v>1</v>
      </c>
      <c r="G123" s="85" t="s">
        <v>331</v>
      </c>
      <c r="L123" s="615"/>
      <c r="T123" s="365" t="b">
        <v>0</v>
      </c>
      <c r="W123" s="85" t="s">
        <v>173</v>
      </c>
      <c r="X123" s="999"/>
      <c r="Y123" s="999">
        <v>0</v>
      </c>
      <c r="Z123" s="1144"/>
      <c r="AA123" s="1146" t="s">
        <v>174</v>
      </c>
      <c r="AB123" s="143"/>
      <c r="AC123" s="144"/>
      <c r="AD123" s="143"/>
      <c r="AE123" s="148" t="b">
        <f t="shared" ref="AE123:BB123" si="22">OR(AND(AE125&lt;&gt;"",AE126=""),AND(AE125="",AE126&lt;&gt;""))</f>
        <v>0</v>
      </c>
      <c r="AF123" s="148" t="b">
        <f t="shared" si="22"/>
        <v>0</v>
      </c>
      <c r="AG123" s="148" t="b">
        <f t="shared" si="22"/>
        <v>0</v>
      </c>
      <c r="AH123" s="148" t="b">
        <f t="shared" si="22"/>
        <v>0</v>
      </c>
      <c r="AI123" s="148" t="b">
        <f t="shared" si="22"/>
        <v>0</v>
      </c>
      <c r="AJ123" s="148" t="b">
        <f t="shared" si="22"/>
        <v>0</v>
      </c>
      <c r="AK123" s="148" t="b">
        <f t="shared" si="22"/>
        <v>0</v>
      </c>
      <c r="AL123" s="148" t="b">
        <f t="shared" si="22"/>
        <v>0</v>
      </c>
      <c r="AM123" s="148" t="b">
        <f t="shared" si="22"/>
        <v>0</v>
      </c>
      <c r="AN123" s="148" t="b">
        <f t="shared" si="22"/>
        <v>0</v>
      </c>
      <c r="AO123" s="148" t="b">
        <f t="shared" si="22"/>
        <v>0</v>
      </c>
      <c r="AP123" s="148" t="b">
        <f t="shared" si="22"/>
        <v>0</v>
      </c>
      <c r="AQ123" s="148" t="b">
        <f t="shared" si="22"/>
        <v>0</v>
      </c>
      <c r="AR123" s="148" t="b">
        <f t="shared" si="22"/>
        <v>0</v>
      </c>
      <c r="AS123" s="148" t="b">
        <f t="shared" si="22"/>
        <v>0</v>
      </c>
      <c r="AT123" s="148" t="b">
        <f t="shared" si="22"/>
        <v>0</v>
      </c>
      <c r="AU123" s="148" t="b">
        <f t="shared" si="22"/>
        <v>0</v>
      </c>
      <c r="AV123" s="148" t="b">
        <f t="shared" si="22"/>
        <v>0</v>
      </c>
      <c r="AW123" s="148" t="b">
        <f t="shared" si="22"/>
        <v>0</v>
      </c>
      <c r="AX123" s="148" t="b">
        <f t="shared" si="22"/>
        <v>0</v>
      </c>
      <c r="AY123" s="148" t="b">
        <f t="shared" si="22"/>
        <v>0</v>
      </c>
      <c r="AZ123" s="148" t="b">
        <f t="shared" si="22"/>
        <v>0</v>
      </c>
      <c r="BA123" s="148" t="b">
        <f t="shared" si="22"/>
        <v>0</v>
      </c>
      <c r="BB123" s="148" t="b">
        <f t="shared" si="22"/>
        <v>0</v>
      </c>
      <c r="BC123" s="652"/>
    </row>
    <row r="124" spans="5:62" ht="14.65" hidden="1" customHeight="1">
      <c r="E124" s="502">
        <v>15</v>
      </c>
      <c r="F124" s="280" t="str" cm="1">
        <f t="array" aca="1" ref="F124" ca="1">OFFSET(E124,-1,1)</f>
        <v>1</v>
      </c>
      <c r="L124" s="615"/>
      <c r="T124" s="365" t="b">
        <f ca="1">AND(Y123&gt;0,F124&gt;0)</f>
        <v>0</v>
      </c>
      <c r="X124" s="1142"/>
      <c r="Y124" s="999"/>
      <c r="Z124" s="1143"/>
      <c r="AA124" s="1147"/>
      <c r="AB124" s="884" t="str">
        <f>"4."&amp;Y123</f>
        <v>4.0</v>
      </c>
      <c r="AC124" s="885" t="s">
        <v>225</v>
      </c>
      <c r="AD124" s="886"/>
      <c r="AE124" s="887"/>
      <c r="AF124" s="888"/>
      <c r="AG124" s="887"/>
      <c r="AH124" s="887"/>
      <c r="AI124" s="887"/>
      <c r="AJ124" s="887"/>
      <c r="AK124" s="887"/>
      <c r="AL124" s="887"/>
      <c r="AM124" s="887"/>
      <c r="AN124" s="887"/>
      <c r="AO124" s="887"/>
      <c r="AP124" s="887"/>
      <c r="AQ124" s="887"/>
      <c r="AR124" s="887"/>
      <c r="AS124" s="888"/>
      <c r="AT124" s="888"/>
      <c r="AU124" s="888"/>
      <c r="AV124" s="888"/>
      <c r="AW124" s="888"/>
      <c r="AX124" s="888"/>
      <c r="AY124" s="888"/>
      <c r="AZ124" s="888"/>
      <c r="BA124" s="888"/>
      <c r="BB124" s="889"/>
      <c r="BC124" s="890"/>
    </row>
    <row r="125" spans="5:62" ht="12.75" hidden="1" customHeight="1">
      <c r="E125" s="502">
        <v>15</v>
      </c>
      <c r="F125" s="3" t="str" cm="1">
        <f t="array" aca="1" ref="F125" ca="1">OFFSET(E125,-1,1)</f>
        <v>1</v>
      </c>
      <c r="G125" s="85" t="s">
        <v>331</v>
      </c>
      <c r="H125" s="88" t="str" cm="1">
        <f t="array" ref="H125">AC125</f>
        <v>Затраты</v>
      </c>
      <c r="I125" s="85" t="s">
        <v>1094</v>
      </c>
      <c r="T125" s="365" t="b" cm="1">
        <f t="array" aca="1" ref="T125" ca="1">T124</f>
        <v>0</v>
      </c>
      <c r="X125" s="999"/>
      <c r="Y125" s="999"/>
      <c r="Z125" s="1144"/>
      <c r="AA125" s="1146"/>
      <c r="AB125" s="26" t="str">
        <f>AB124&amp;".1"</f>
        <v>4.0.1</v>
      </c>
      <c r="AC125" s="891" t="s">
        <v>1070</v>
      </c>
      <c r="AD125" s="143" t="s">
        <v>804</v>
      </c>
      <c r="AE125" s="787"/>
      <c r="AF125" s="787"/>
      <c r="AG125" s="787"/>
      <c r="AH125" s="787"/>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839"/>
      <c r="BF125" s="691" t="s">
        <v>1071</v>
      </c>
      <c r="BG125" s="691" t="s">
        <v>1095</v>
      </c>
      <c r="BH125" s="691" t="str" cm="1">
        <f t="array" ref="BH125">AC124</f>
        <v/>
      </c>
      <c r="BJ125" s="502" t="b">
        <v>1</v>
      </c>
    </row>
    <row r="126" spans="5:62" ht="0" hidden="1" customHeight="1">
      <c r="E126" s="502">
        <v>15</v>
      </c>
      <c r="F126" s="3" t="str" cm="1">
        <f t="array" aca="1" ref="F126" ca="1">OFFSET(E126,-1,1)</f>
        <v>1</v>
      </c>
      <c r="G126" s="85" t="s">
        <v>536</v>
      </c>
      <c r="H126" s="88" t="str" cm="1">
        <f t="array" ref="H126">H125</f>
        <v>Затраты</v>
      </c>
      <c r="I126" s="85" t="s">
        <v>1094</v>
      </c>
      <c r="T126" s="365" t="b" cm="1">
        <f t="array" aca="1" ref="T126" ca="1">T125</f>
        <v>0</v>
      </c>
      <c r="X126" s="999"/>
      <c r="Y126" s="999"/>
      <c r="Z126" s="1144"/>
      <c r="AA126" s="1146"/>
      <c r="AB126" s="26" t="str">
        <f>AB125&amp;".1"</f>
        <v>4.0.1.1</v>
      </c>
      <c r="AC126" s="153" t="s">
        <v>1096</v>
      </c>
      <c r="AD126" s="26" t="s">
        <v>534</v>
      </c>
      <c r="AE126" s="787"/>
      <c r="AF126" s="787"/>
      <c r="AG126" s="787"/>
      <c r="AH126" s="787"/>
      <c r="AI126" s="787"/>
      <c r="AJ126" s="787"/>
      <c r="AK126" s="787"/>
      <c r="AL126" s="787"/>
      <c r="AM126" s="787"/>
      <c r="AN126" s="787"/>
      <c r="AO126" s="787"/>
      <c r="AP126" s="787"/>
      <c r="AQ126" s="787"/>
      <c r="AR126" s="787"/>
      <c r="AS126" s="787"/>
      <c r="AT126" s="787"/>
      <c r="AU126" s="787"/>
      <c r="AV126" s="787"/>
      <c r="AW126" s="787"/>
      <c r="AX126" s="787"/>
      <c r="AY126" s="787"/>
      <c r="AZ126" s="787"/>
      <c r="BA126" s="787"/>
      <c r="BB126" s="787"/>
      <c r="BC126" s="839"/>
      <c r="BF126" s="691" t="s">
        <v>1074</v>
      </c>
      <c r="BG126" s="691" t="s">
        <v>1095</v>
      </c>
      <c r="BH126" s="691" t="str" cm="1">
        <f t="array" ref="BH126">BH125</f>
        <v/>
      </c>
    </row>
    <row r="127" spans="5:62" ht="14.65" hidden="1" customHeight="1">
      <c r="E127" s="502">
        <v>15</v>
      </c>
      <c r="F127" s="280" t="str" cm="1">
        <f t="array" aca="1" ref="F127" ca="1">OFFSET(E127,-1,1)</f>
        <v>1</v>
      </c>
      <c r="H127" s="88"/>
      <c r="T127" s="365" t="b" cm="1">
        <f t="array" aca="1" ref="T127" ca="1">T126</f>
        <v>0</v>
      </c>
      <c r="X127" s="1142"/>
      <c r="Y127" s="999"/>
      <c r="Z127" s="1143"/>
      <c r="AA127" s="1147"/>
      <c r="AB127" s="892" t="str">
        <f>AB125&amp;".2"</f>
        <v>4.0.1.2</v>
      </c>
      <c r="AC127" s="893" t="s">
        <v>1097</v>
      </c>
      <c r="AD127" s="892" t="s">
        <v>1076</v>
      </c>
      <c r="AE127" s="894"/>
      <c r="AF127" s="894"/>
      <c r="AG127" s="894"/>
      <c r="AH127" s="894"/>
      <c r="AI127" s="894"/>
      <c r="AJ127" s="894"/>
      <c r="AK127" s="894"/>
      <c r="AL127" s="894"/>
      <c r="AM127" s="894"/>
      <c r="AN127" s="894"/>
      <c r="AO127" s="894"/>
      <c r="AP127" s="894"/>
      <c r="AQ127" s="894"/>
      <c r="AR127" s="894"/>
      <c r="AS127" s="894"/>
      <c r="AT127" s="894"/>
      <c r="AU127" s="894"/>
      <c r="AV127" s="894"/>
      <c r="AW127" s="894"/>
      <c r="AX127" s="894"/>
      <c r="AY127" s="894"/>
      <c r="AZ127" s="894"/>
      <c r="BA127" s="894"/>
      <c r="BB127" s="894"/>
      <c r="BC127" s="895"/>
      <c r="BF127" s="691" t="s">
        <v>1077</v>
      </c>
      <c r="BG127" s="691" t="s">
        <v>1095</v>
      </c>
      <c r="BH127" s="896" t="str" cm="1">
        <f t="array" ref="BH127">BH126</f>
        <v/>
      </c>
    </row>
    <row r="128" spans="5:62" ht="0" hidden="1" customHeight="1">
      <c r="E128" s="502">
        <v>15</v>
      </c>
      <c r="F128" s="3" t="str" cm="1">
        <f t="array" aca="1" ref="F128" ca="1">OFFSET(E128,-1,1)</f>
        <v>1</v>
      </c>
      <c r="H128" s="85" t="str">
        <f>"!=='не определено' &amp;&amp; row.l4 !== null"</f>
        <v>!=='не определено' &amp;&amp; row.l4 !== null</v>
      </c>
      <c r="T128" s="365" t="b">
        <f ca="1">F128&gt;0</f>
        <v>1</v>
      </c>
      <c r="W128" s="508" t="s">
        <v>1098</v>
      </c>
      <c r="X128" s="999"/>
      <c r="Y128" s="506"/>
      <c r="Z128" s="1144"/>
      <c r="AB128" s="505"/>
      <c r="AC128" s="164" t="s">
        <v>1079</v>
      </c>
      <c r="AD128" s="164"/>
      <c r="AE128" s="164"/>
      <c r="AF128" s="164"/>
      <c r="AG128" s="164"/>
      <c r="AH128" s="164"/>
      <c r="AI128" s="164"/>
      <c r="AJ128" s="164"/>
      <c r="AK128" s="164"/>
      <c r="AL128" s="164"/>
      <c r="AM128" s="164"/>
      <c r="AN128" s="164"/>
      <c r="AO128" s="164"/>
      <c r="AP128" s="164"/>
      <c r="AQ128" s="164"/>
      <c r="AR128" s="164"/>
      <c r="AS128" s="164"/>
      <c r="AT128" s="164"/>
      <c r="AU128" s="164"/>
      <c r="AV128" s="164"/>
      <c r="AW128" s="164"/>
      <c r="AX128" s="164"/>
      <c r="AY128" s="164"/>
      <c r="AZ128" s="164"/>
      <c r="BA128" s="164"/>
      <c r="BB128" s="164"/>
      <c r="BC128" s="165"/>
      <c r="BI128" s="502" t="s">
        <v>1095</v>
      </c>
    </row>
    <row r="129" spans="2:62" ht="0" hidden="1" customHeight="1">
      <c r="E129" s="502">
        <v>23</v>
      </c>
      <c r="F129" s="3" t="str" cm="1">
        <f t="array" aca="1" ref="F129" ca="1">OFFSET(E129,-1,1)</f>
        <v>1</v>
      </c>
      <c r="K129" s="611" t="str">
        <f ca="1">F96&amp;"5komm"</f>
        <v>15komm</v>
      </c>
      <c r="L129" s="615" cm="1">
        <f t="array" ref="L129">BC129</f>
        <v>0</v>
      </c>
      <c r="T129" s="365" t="b" cm="1">
        <f t="array" aca="1" ref="T129" ca="1">T128</f>
        <v>1</v>
      </c>
      <c r="X129" s="999"/>
      <c r="Y129" s="507"/>
      <c r="Z129" s="1144"/>
      <c r="AB129" s="143">
        <v>5</v>
      </c>
      <c r="AC129" s="144" t="s">
        <v>1099</v>
      </c>
      <c r="AD129" s="143" t="s">
        <v>804</v>
      </c>
      <c r="AE129" s="145">
        <f>SUMIF(AD132:AD135,AD129,AE132:AE135)</f>
        <v>0</v>
      </c>
      <c r="AF129" s="145">
        <f>SUMIF(AD132:AD135,AD129,AF132:AF135)</f>
        <v>0</v>
      </c>
      <c r="AG129" s="145">
        <f>SUMIF(AD132:AD135,AD129,AG132:AG135)</f>
        <v>0</v>
      </c>
      <c r="AH129" s="145">
        <f>SUMIF(AD132:AD135,AD129,AH132:AH135)</f>
        <v>0</v>
      </c>
      <c r="AI129" s="145">
        <f>SUMIF(AD132:AD135,AD129,AI132:AI135)</f>
        <v>0</v>
      </c>
      <c r="AJ129" s="783">
        <f>SUMIF(AD132:AD135,AD129,AJ132:AJ135)</f>
        <v>0</v>
      </c>
      <c r="AK129" s="783">
        <f>SUMIF(AD132:AD135,AD129,AK132:AK135)</f>
        <v>0</v>
      </c>
      <c r="AL129" s="783">
        <f>SUMIF(AD132:AD135,AD129,AL132:AL135)</f>
        <v>0</v>
      </c>
      <c r="AM129" s="783">
        <f>SUMIF(AD132:AD135,AD129,AM132:AM135)</f>
        <v>0</v>
      </c>
      <c r="AN129" s="783">
        <f>SUMIF(AD132:AD135,AD129,AN132:AN135)</f>
        <v>0</v>
      </c>
      <c r="AO129" s="783">
        <f>SUMIF(AD132:AD135,AD129,AO132:AO135)</f>
        <v>0</v>
      </c>
      <c r="AP129" s="783">
        <f>SUMIF(AD132:AD135,AD129,AP132:AP135)</f>
        <v>0</v>
      </c>
      <c r="AQ129" s="783">
        <f>SUMIF(AD132:AD135,AD129,AQ132:AQ135)</f>
        <v>0</v>
      </c>
      <c r="AR129" s="783">
        <f>SUMIF(AD132:AD135,AD129,AR132:AR135)</f>
        <v>0</v>
      </c>
      <c r="AS129" s="145">
        <f>SUMIF(AD132:AD135,AD129,AS132:AS135)</f>
        <v>0</v>
      </c>
      <c r="AT129" s="783">
        <f>SUMIF(AD132:AD135,AD129,AT132:AT135)</f>
        <v>0</v>
      </c>
      <c r="AU129" s="783">
        <f>SUMIF(AD132:AD135,AD129,AU132:AU135)</f>
        <v>0</v>
      </c>
      <c r="AV129" s="783">
        <f>SUMIF(AD132:AD135,AD129,AV132:AV135)</f>
        <v>0</v>
      </c>
      <c r="AW129" s="783">
        <f>SUMIF(AD132:AD135,AD129,AW132:AW135)</f>
        <v>0</v>
      </c>
      <c r="AX129" s="783">
        <f>SUMIF(AD132:AD135,AD129,AX132:AX135)</f>
        <v>0</v>
      </c>
      <c r="AY129" s="783">
        <f>SUMIF(AD132:AD135,AD129,AY132:AY135)</f>
        <v>0</v>
      </c>
      <c r="AZ129" s="783">
        <f>SUMIF(AD132:AD135,AD129,AZ132:AZ135)</f>
        <v>0</v>
      </c>
      <c r="BA129" s="783">
        <f>SUMIF(AD132:AD135,AD129,BA132:BA135)</f>
        <v>0</v>
      </c>
      <c r="BB129" s="783">
        <f>SUMIF(AD132:AD135,AD129,BB132:BB135)</f>
        <v>0</v>
      </c>
      <c r="BC129" s="132"/>
      <c r="BF129" s="691" t="s">
        <v>1100</v>
      </c>
    </row>
    <row r="130" spans="2:62" ht="0" hidden="1" customHeight="1">
      <c r="E130" s="502">
        <v>0</v>
      </c>
      <c r="F130" s="3" t="str" cm="1">
        <f t="array" aca="1" ref="F130" ca="1">OFFSET(E130,-1,1)</f>
        <v>1</v>
      </c>
      <c r="G130" s="85" t="s">
        <v>330</v>
      </c>
      <c r="L130" s="615"/>
      <c r="T130" s="365" t="b">
        <v>0</v>
      </c>
      <c r="W130" s="85" t="s">
        <v>173</v>
      </c>
      <c r="X130" s="999"/>
      <c r="Y130" s="999">
        <v>0</v>
      </c>
      <c r="Z130" s="1144"/>
      <c r="AA130" s="1146" t="s">
        <v>174</v>
      </c>
      <c r="AB130" s="143"/>
      <c r="AC130" s="144"/>
      <c r="AD130" s="143"/>
      <c r="AE130" s="148" t="b">
        <f t="shared" ref="AE130:BB130" si="23">OR(AND(AE132&lt;&gt;"",AE133=""),AND(AE132="",AE133&lt;&gt;""))</f>
        <v>0</v>
      </c>
      <c r="AF130" s="148" t="b">
        <f t="shared" si="23"/>
        <v>0</v>
      </c>
      <c r="AG130" s="148" t="b">
        <f t="shared" si="23"/>
        <v>0</v>
      </c>
      <c r="AH130" s="148" t="b">
        <f t="shared" si="23"/>
        <v>0</v>
      </c>
      <c r="AI130" s="148" t="b">
        <f t="shared" si="23"/>
        <v>0</v>
      </c>
      <c r="AJ130" s="148" t="b">
        <f t="shared" si="23"/>
        <v>0</v>
      </c>
      <c r="AK130" s="148" t="b">
        <f t="shared" si="23"/>
        <v>0</v>
      </c>
      <c r="AL130" s="148" t="b">
        <f t="shared" si="23"/>
        <v>0</v>
      </c>
      <c r="AM130" s="148" t="b">
        <f t="shared" si="23"/>
        <v>0</v>
      </c>
      <c r="AN130" s="148" t="b">
        <f t="shared" si="23"/>
        <v>0</v>
      </c>
      <c r="AO130" s="148" t="b">
        <f t="shared" si="23"/>
        <v>0</v>
      </c>
      <c r="AP130" s="148" t="b">
        <f t="shared" si="23"/>
        <v>0</v>
      </c>
      <c r="AQ130" s="148" t="b">
        <f t="shared" si="23"/>
        <v>0</v>
      </c>
      <c r="AR130" s="148" t="b">
        <f t="shared" si="23"/>
        <v>0</v>
      </c>
      <c r="AS130" s="148" t="b">
        <f t="shared" si="23"/>
        <v>0</v>
      </c>
      <c r="AT130" s="148" t="b">
        <f t="shared" si="23"/>
        <v>0</v>
      </c>
      <c r="AU130" s="148" t="b">
        <f t="shared" si="23"/>
        <v>0</v>
      </c>
      <c r="AV130" s="148" t="b">
        <f t="shared" si="23"/>
        <v>0</v>
      </c>
      <c r="AW130" s="148" t="b">
        <f t="shared" si="23"/>
        <v>0</v>
      </c>
      <c r="AX130" s="148" t="b">
        <f t="shared" si="23"/>
        <v>0</v>
      </c>
      <c r="AY130" s="148" t="b">
        <f t="shared" si="23"/>
        <v>0</v>
      </c>
      <c r="AZ130" s="148" t="b">
        <f t="shared" si="23"/>
        <v>0</v>
      </c>
      <c r="BA130" s="148" t="b">
        <f t="shared" si="23"/>
        <v>0</v>
      </c>
      <c r="BB130" s="148" t="b">
        <f t="shared" si="23"/>
        <v>0</v>
      </c>
      <c r="BC130" s="652"/>
    </row>
    <row r="131" spans="2:62" ht="14.65" hidden="1" customHeight="1">
      <c r="E131" s="502">
        <v>15</v>
      </c>
      <c r="F131" s="280" t="str" cm="1">
        <f t="array" aca="1" ref="F131" ca="1">OFFSET(E131,-1,1)</f>
        <v>1</v>
      </c>
      <c r="L131" s="615"/>
      <c r="T131" s="365" t="b">
        <f ca="1">AND(Y130&gt;0,F131&gt;0)</f>
        <v>0</v>
      </c>
      <c r="X131" s="1142"/>
      <c r="Y131" s="999"/>
      <c r="Z131" s="1143"/>
      <c r="AA131" s="1147"/>
      <c r="AB131" s="884" t="str">
        <f>"5."&amp;Y130</f>
        <v>5.0</v>
      </c>
      <c r="AC131" s="885" t="s">
        <v>225</v>
      </c>
      <c r="AD131" s="886"/>
      <c r="AE131" s="887"/>
      <c r="AF131" s="888"/>
      <c r="AG131" s="887"/>
      <c r="AH131" s="887"/>
      <c r="AI131" s="887"/>
      <c r="AJ131" s="887"/>
      <c r="AK131" s="887"/>
      <c r="AL131" s="887"/>
      <c r="AM131" s="887"/>
      <c r="AN131" s="887"/>
      <c r="AO131" s="887"/>
      <c r="AP131" s="887"/>
      <c r="AQ131" s="887"/>
      <c r="AR131" s="887"/>
      <c r="AS131" s="888"/>
      <c r="AT131" s="888"/>
      <c r="AU131" s="888"/>
      <c r="AV131" s="888"/>
      <c r="AW131" s="888"/>
      <c r="AX131" s="888"/>
      <c r="AY131" s="888"/>
      <c r="AZ131" s="888"/>
      <c r="BA131" s="888"/>
      <c r="BB131" s="889"/>
      <c r="BC131" s="890"/>
    </row>
    <row r="132" spans="2:62" ht="12.75" hidden="1" customHeight="1">
      <c r="E132" s="502">
        <v>15</v>
      </c>
      <c r="F132" s="3" t="str" cm="1">
        <f t="array" aca="1" ref="F132" ca="1">OFFSET(E132,-1,1)</f>
        <v>1</v>
      </c>
      <c r="G132" s="85" t="s">
        <v>330</v>
      </c>
      <c r="H132" s="88" t="str" cm="1">
        <f t="array" ref="H132">AC132</f>
        <v>Затраты</v>
      </c>
      <c r="I132" s="85" t="s">
        <v>1101</v>
      </c>
      <c r="T132" s="365" t="b" cm="1">
        <f t="array" aca="1" ref="T132" ca="1">T131</f>
        <v>0</v>
      </c>
      <c r="X132" s="999"/>
      <c r="Y132" s="999"/>
      <c r="Z132" s="1144"/>
      <c r="AA132" s="1146"/>
      <c r="AB132" s="26" t="str">
        <f>AB131&amp;".1"</f>
        <v>5.0.1</v>
      </c>
      <c r="AC132" s="891" t="s">
        <v>1070</v>
      </c>
      <c r="AD132" s="143" t="s">
        <v>804</v>
      </c>
      <c r="AE132" s="787"/>
      <c r="AF132" s="787"/>
      <c r="AG132" s="787"/>
      <c r="AH132" s="787"/>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839"/>
      <c r="BF132" s="691" t="s">
        <v>1071</v>
      </c>
      <c r="BG132" s="691" t="s">
        <v>1102</v>
      </c>
      <c r="BH132" s="691" t="str" cm="1">
        <f t="array" ref="BH132">AC131</f>
        <v/>
      </c>
      <c r="BJ132" s="502" t="b">
        <v>1</v>
      </c>
    </row>
    <row r="133" spans="2:62" ht="0" hidden="1" customHeight="1">
      <c r="E133" s="502">
        <v>15</v>
      </c>
      <c r="F133" s="3" t="str" cm="1">
        <f t="array" aca="1" ref="F133" ca="1">OFFSET(E133,-1,1)</f>
        <v>1</v>
      </c>
      <c r="G133" s="85" t="s">
        <v>550</v>
      </c>
      <c r="H133" s="88" t="str" cm="1">
        <f t="array" ref="H133">H132</f>
        <v>Затраты</v>
      </c>
      <c r="I133" s="85" t="s">
        <v>1101</v>
      </c>
      <c r="T133" s="365" t="b" cm="1">
        <f t="array" aca="1" ref="T133" ca="1">T132</f>
        <v>0</v>
      </c>
      <c r="X133" s="999"/>
      <c r="Y133" s="999"/>
      <c r="Z133" s="1144"/>
      <c r="AA133" s="1146"/>
      <c r="AB133" s="26" t="str">
        <f>AB132&amp;".1"</f>
        <v>5.0.1.1</v>
      </c>
      <c r="AC133" s="153" t="s">
        <v>1103</v>
      </c>
      <c r="AD133" s="26" t="s">
        <v>534</v>
      </c>
      <c r="AE133" s="787"/>
      <c r="AF133" s="787"/>
      <c r="AG133" s="787"/>
      <c r="AH133" s="787"/>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839"/>
      <c r="BF133" s="691" t="s">
        <v>1074</v>
      </c>
      <c r="BG133" s="691" t="s">
        <v>1102</v>
      </c>
      <c r="BH133" s="691" t="str" cm="1">
        <f t="array" ref="BH133">BH132</f>
        <v/>
      </c>
    </row>
    <row r="134" spans="2:62" ht="14.65" hidden="1" customHeight="1">
      <c r="E134" s="502">
        <v>15</v>
      </c>
      <c r="F134" s="280" t="str" cm="1">
        <f t="array" aca="1" ref="F134" ca="1">OFFSET(E134,-1,1)</f>
        <v>1</v>
      </c>
      <c r="H134" s="88"/>
      <c r="T134" s="365" t="b" cm="1">
        <f t="array" aca="1" ref="T134" ca="1">T133</f>
        <v>0</v>
      </c>
      <c r="X134" s="1142"/>
      <c r="Y134" s="999"/>
      <c r="Z134" s="1143"/>
      <c r="AA134" s="1147"/>
      <c r="AB134" s="892" t="str">
        <f>AB132&amp;".2"</f>
        <v>5.0.1.2</v>
      </c>
      <c r="AC134" s="893" t="s">
        <v>1104</v>
      </c>
      <c r="AD134" s="892" t="s">
        <v>1076</v>
      </c>
      <c r="AE134" s="894"/>
      <c r="AF134" s="894"/>
      <c r="AG134" s="894"/>
      <c r="AH134" s="894"/>
      <c r="AI134" s="894"/>
      <c r="AJ134" s="894"/>
      <c r="AK134" s="894"/>
      <c r="AL134" s="894"/>
      <c r="AM134" s="894"/>
      <c r="AN134" s="894"/>
      <c r="AO134" s="894"/>
      <c r="AP134" s="894"/>
      <c r="AQ134" s="894"/>
      <c r="AR134" s="894"/>
      <c r="AS134" s="894"/>
      <c r="AT134" s="894"/>
      <c r="AU134" s="894"/>
      <c r="AV134" s="894"/>
      <c r="AW134" s="894"/>
      <c r="AX134" s="894"/>
      <c r="AY134" s="894"/>
      <c r="AZ134" s="894"/>
      <c r="BA134" s="894"/>
      <c r="BB134" s="894"/>
      <c r="BC134" s="895"/>
      <c r="BF134" s="691" t="s">
        <v>1077</v>
      </c>
      <c r="BG134" s="691" t="s">
        <v>1102</v>
      </c>
      <c r="BH134" s="896" t="str" cm="1">
        <f t="array" ref="BH134">BH133</f>
        <v/>
      </c>
    </row>
    <row r="135" spans="2:62" ht="0" hidden="1" customHeight="1">
      <c r="E135" s="502">
        <v>15</v>
      </c>
      <c r="F135" s="3" t="str" cm="1">
        <f t="array" aca="1" ref="F135" ca="1">OFFSET(E135,-1,1)</f>
        <v>1</v>
      </c>
      <c r="H135" s="85" t="str">
        <f>"!=='не определено' &amp;&amp; row.l5 !== null"</f>
        <v>!=='не определено' &amp;&amp; row.l5 !== null</v>
      </c>
      <c r="T135" s="365" t="b">
        <f ca="1">F135&gt;0</f>
        <v>1</v>
      </c>
      <c r="W135" s="508" t="s">
        <v>1105</v>
      </c>
      <c r="X135" s="999"/>
      <c r="Y135" s="102"/>
      <c r="Z135" s="1144"/>
      <c r="AB135" s="505"/>
      <c r="AC135" s="164" t="s">
        <v>1079</v>
      </c>
      <c r="AD135" s="164"/>
      <c r="AE135" s="164"/>
      <c r="AF135" s="164"/>
      <c r="AG135" s="164"/>
      <c r="AH135" s="164"/>
      <c r="AI135" s="164"/>
      <c r="AJ135" s="164"/>
      <c r="AK135" s="164"/>
      <c r="AL135" s="164"/>
      <c r="AM135" s="164"/>
      <c r="AN135" s="164"/>
      <c r="AO135" s="164"/>
      <c r="AP135" s="164"/>
      <c r="AQ135" s="164"/>
      <c r="AR135" s="164"/>
      <c r="AS135" s="164"/>
      <c r="AT135" s="164"/>
      <c r="AU135" s="164"/>
      <c r="AV135" s="164"/>
      <c r="AW135" s="164"/>
      <c r="AX135" s="164"/>
      <c r="AY135" s="164"/>
      <c r="AZ135" s="164"/>
      <c r="BA135" s="164"/>
      <c r="BB135" s="164"/>
      <c r="BC135" s="165"/>
      <c r="BI135" s="502" t="s">
        <v>1102</v>
      </c>
    </row>
    <row r="136" spans="2:62" s="86" customFormat="1" ht="65.25" customHeight="1">
      <c r="B136" s="350"/>
      <c r="E136" s="503">
        <v>15</v>
      </c>
      <c r="F136" s="3" t="str" cm="1">
        <f t="array" aca="1" ref="F136" ca="1">OFFSET(E136,-1,1)</f>
        <v>1</v>
      </c>
      <c r="G136" s="85" t="s">
        <v>511</v>
      </c>
      <c r="K136" s="611" t="str">
        <f ca="1">F96&amp;"6komm"</f>
        <v>16komm</v>
      </c>
      <c r="L136" s="615" t="str" cm="1">
        <f t="array" ref="L136">BC136</f>
        <v>рассчитаны по фактическому расходу Гкалл 2024 года, тарифы с 01.01 по 30.09 на уровне декабря 2025 года (пост. от 09.12.2025 № 403), тарифы с 01.10. по 31.12. с применением ИПЦ Минэкономразвития России на 2026 год 105,1%.</v>
      </c>
      <c r="T136" s="365" t="b" cm="1">
        <f t="array" aca="1" ref="T136" ca="1">T135</f>
        <v>1</v>
      </c>
      <c r="X136" s="999"/>
      <c r="Z136" s="1144"/>
      <c r="AB136" s="143">
        <v>6</v>
      </c>
      <c r="AC136" s="144" t="s">
        <v>1106</v>
      </c>
      <c r="AD136" s="143" t="s">
        <v>804</v>
      </c>
      <c r="AE136" s="897">
        <f t="shared" ref="AE136:BB136" si="24">SUMIF($AC139:$AC155,"Затраты на тепловую энергию, всего",AE139:AE155)</f>
        <v>294.14821341312</v>
      </c>
      <c r="AF136" s="897">
        <f t="shared" si="24"/>
        <v>563.56075999999996</v>
      </c>
      <c r="AG136" s="897">
        <f t="shared" si="24"/>
        <v>563.56075999999996</v>
      </c>
      <c r="AH136" s="897">
        <f t="shared" si="24"/>
        <v>259.85000000000002</v>
      </c>
      <c r="AI136" s="897">
        <f t="shared" si="24"/>
        <v>897.78579999999999</v>
      </c>
      <c r="AJ136" s="783">
        <f t="shared" si="24"/>
        <v>0</v>
      </c>
      <c r="AK136" s="783">
        <f t="shared" si="24"/>
        <v>0</v>
      </c>
      <c r="AL136" s="783">
        <f t="shared" si="24"/>
        <v>0</v>
      </c>
      <c r="AM136" s="783">
        <f t="shared" si="24"/>
        <v>0</v>
      </c>
      <c r="AN136" s="783">
        <f t="shared" si="24"/>
        <v>0</v>
      </c>
      <c r="AO136" s="783">
        <f t="shared" si="24"/>
        <v>0</v>
      </c>
      <c r="AP136" s="783">
        <f t="shared" si="24"/>
        <v>0</v>
      </c>
      <c r="AQ136" s="783">
        <f t="shared" si="24"/>
        <v>0</v>
      </c>
      <c r="AR136" s="783">
        <f t="shared" si="24"/>
        <v>0</v>
      </c>
      <c r="AS136" s="897">
        <f t="shared" si="24"/>
        <v>753.56</v>
      </c>
      <c r="AT136" s="783">
        <f t="shared" si="24"/>
        <v>0</v>
      </c>
      <c r="AU136" s="783">
        <f t="shared" si="24"/>
        <v>0</v>
      </c>
      <c r="AV136" s="783">
        <f t="shared" si="24"/>
        <v>0</v>
      </c>
      <c r="AW136" s="783">
        <f t="shared" si="24"/>
        <v>0</v>
      </c>
      <c r="AX136" s="783">
        <f t="shared" si="24"/>
        <v>0</v>
      </c>
      <c r="AY136" s="783">
        <f t="shared" si="24"/>
        <v>0</v>
      </c>
      <c r="AZ136" s="783">
        <f t="shared" si="24"/>
        <v>0</v>
      </c>
      <c r="BA136" s="783">
        <f t="shared" si="24"/>
        <v>0</v>
      </c>
      <c r="BB136" s="783">
        <f t="shared" si="24"/>
        <v>0</v>
      </c>
      <c r="BC136" s="132" t="s">
        <v>1149</v>
      </c>
      <c r="BF136" s="694" t="s">
        <v>1107</v>
      </c>
      <c r="BG136" s="694"/>
      <c r="BH136" s="694"/>
      <c r="BI136" s="503"/>
      <c r="BJ136" s="503"/>
    </row>
    <row r="137" spans="2:62" ht="14.65" hidden="1" customHeight="1">
      <c r="E137" s="502">
        <v>15</v>
      </c>
      <c r="F137" s="3" t="str" cm="1">
        <f t="array" aca="1" ref="F137" ca="1">OFFSET(E137,-1,1)</f>
        <v>1</v>
      </c>
      <c r="T137" s="365" t="b">
        <v>0</v>
      </c>
      <c r="W137" s="85" t="s">
        <v>173</v>
      </c>
      <c r="X137" s="1143"/>
      <c r="Y137" s="999">
        <v>0</v>
      </c>
      <c r="Z137" s="1143"/>
      <c r="AA137" s="1145" t="s">
        <v>174</v>
      </c>
      <c r="AB137" s="5"/>
      <c r="AD137" s="6"/>
      <c r="AE137" s="7" t="b">
        <f t="shared" ref="AE137:BB137" si="25">OR(AND(AE140&lt;&gt;"",AE141=""),AND(AE140="",AE141&lt;&gt;""))</f>
        <v>0</v>
      </c>
      <c r="AF137" s="7" t="b">
        <f t="shared" si="25"/>
        <v>0</v>
      </c>
      <c r="AG137" s="7" t="b">
        <f t="shared" si="25"/>
        <v>0</v>
      </c>
      <c r="AH137" s="7" t="b">
        <f t="shared" si="25"/>
        <v>0</v>
      </c>
      <c r="AI137" s="7" t="b">
        <f t="shared" si="25"/>
        <v>0</v>
      </c>
      <c r="AJ137" s="7" t="b">
        <f t="shared" si="25"/>
        <v>0</v>
      </c>
      <c r="AK137" s="7" t="b">
        <f t="shared" si="25"/>
        <v>0</v>
      </c>
      <c r="AL137" s="7" t="b">
        <f t="shared" si="25"/>
        <v>0</v>
      </c>
      <c r="AM137" s="7" t="b">
        <f t="shared" si="25"/>
        <v>0</v>
      </c>
      <c r="AN137" s="7" t="b">
        <f t="shared" si="25"/>
        <v>0</v>
      </c>
      <c r="AO137" s="7" t="b">
        <f t="shared" si="25"/>
        <v>0</v>
      </c>
      <c r="AP137" s="7" t="b">
        <f t="shared" si="25"/>
        <v>0</v>
      </c>
      <c r="AQ137" s="7" t="b">
        <f t="shared" si="25"/>
        <v>0</v>
      </c>
      <c r="AR137" s="7" t="b">
        <f t="shared" si="25"/>
        <v>0</v>
      </c>
      <c r="AS137" s="7" t="b">
        <f t="shared" si="25"/>
        <v>0</v>
      </c>
      <c r="AT137" s="7" t="b">
        <f t="shared" si="25"/>
        <v>0</v>
      </c>
      <c r="AU137" s="7" t="b">
        <f t="shared" si="25"/>
        <v>0</v>
      </c>
      <c r="AV137" s="7" t="b">
        <f t="shared" si="25"/>
        <v>0</v>
      </c>
      <c r="AW137" s="7" t="b">
        <f t="shared" si="25"/>
        <v>0</v>
      </c>
      <c r="AX137" s="7" t="b">
        <f t="shared" si="25"/>
        <v>0</v>
      </c>
      <c r="AY137" s="7" t="b">
        <f t="shared" si="25"/>
        <v>0</v>
      </c>
      <c r="AZ137" s="7" t="b">
        <f t="shared" si="25"/>
        <v>0</v>
      </c>
      <c r="BA137" s="7" t="b">
        <f t="shared" si="25"/>
        <v>0</v>
      </c>
      <c r="BB137" s="7" t="b">
        <f t="shared" si="25"/>
        <v>0</v>
      </c>
      <c r="BC137" s="7"/>
      <c r="BF137" s="694"/>
      <c r="BG137" s="694"/>
      <c r="BH137" s="694"/>
      <c r="BI137" s="503"/>
      <c r="BJ137" s="503"/>
    </row>
    <row r="138" spans="2:62" ht="14.65" hidden="1" customHeight="1">
      <c r="E138" s="502">
        <v>15</v>
      </c>
      <c r="F138" s="3" t="str" cm="1">
        <f t="array" aca="1" ref="F138" ca="1">OFFSET(E138,-1,1)</f>
        <v>1</v>
      </c>
      <c r="T138" s="365" t="b">
        <f ca="1">AND(F138&gt;0,Y137&gt;0)</f>
        <v>0</v>
      </c>
      <c r="X138" s="1143"/>
      <c r="Y138" s="1143"/>
      <c r="Z138" s="1143"/>
      <c r="AA138" s="1145"/>
      <c r="AB138" s="8" t="str">
        <f>"6."&amp;Y137</f>
        <v>6.0</v>
      </c>
      <c r="AC138" s="9"/>
      <c r="AD138" s="6"/>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F138" s="694"/>
      <c r="BG138" s="694"/>
      <c r="BH138" s="694"/>
      <c r="BI138" s="503"/>
      <c r="BJ138" s="503"/>
    </row>
    <row r="139" spans="2:62" ht="14.65" hidden="1" customHeight="1">
      <c r="E139" s="502">
        <v>15</v>
      </c>
      <c r="F139" s="3" t="str" cm="1">
        <f t="array" aca="1" ref="F139" ca="1">OFFSET(E139,-1,1)</f>
        <v>1</v>
      </c>
      <c r="T139" s="365" t="b" cm="1">
        <f t="array" aca="1" ref="T139" ca="1">T138</f>
        <v>0</v>
      </c>
      <c r="X139" s="1143"/>
      <c r="Y139" s="1143"/>
      <c r="Z139" s="1143"/>
      <c r="AA139" s="1145"/>
      <c r="AB139" s="8" t="str">
        <f>AB138&amp;".1"</f>
        <v>6.0.1</v>
      </c>
      <c r="AC139" s="11" t="s">
        <v>1108</v>
      </c>
      <c r="AD139" s="12" t="s">
        <v>804</v>
      </c>
      <c r="AE139" s="13">
        <f t="shared" ref="AE139:BB139" si="26">AE140+AE143</f>
        <v>0</v>
      </c>
      <c r="AF139" s="13">
        <f t="shared" si="26"/>
        <v>0</v>
      </c>
      <c r="AG139" s="13">
        <f t="shared" si="26"/>
        <v>0</v>
      </c>
      <c r="AH139" s="13">
        <f t="shared" si="26"/>
        <v>0</v>
      </c>
      <c r="AI139" s="13">
        <f t="shared" si="26"/>
        <v>0</v>
      </c>
      <c r="AJ139" s="14">
        <f t="shared" si="26"/>
        <v>0</v>
      </c>
      <c r="AK139" s="14">
        <f t="shared" si="26"/>
        <v>0</v>
      </c>
      <c r="AL139" s="14">
        <f t="shared" si="26"/>
        <v>0</v>
      </c>
      <c r="AM139" s="14">
        <f t="shared" si="26"/>
        <v>0</v>
      </c>
      <c r="AN139" s="14">
        <f t="shared" si="26"/>
        <v>0</v>
      </c>
      <c r="AO139" s="14">
        <f t="shared" si="26"/>
        <v>0</v>
      </c>
      <c r="AP139" s="14">
        <f t="shared" si="26"/>
        <v>0</v>
      </c>
      <c r="AQ139" s="14">
        <f t="shared" si="26"/>
        <v>0</v>
      </c>
      <c r="AR139" s="14">
        <f t="shared" si="26"/>
        <v>0</v>
      </c>
      <c r="AS139" s="13">
        <f t="shared" si="26"/>
        <v>0</v>
      </c>
      <c r="AT139" s="14">
        <f t="shared" si="26"/>
        <v>0</v>
      </c>
      <c r="AU139" s="14">
        <f t="shared" si="26"/>
        <v>0</v>
      </c>
      <c r="AV139" s="14">
        <f t="shared" si="26"/>
        <v>0</v>
      </c>
      <c r="AW139" s="14">
        <f t="shared" si="26"/>
        <v>0</v>
      </c>
      <c r="AX139" s="14">
        <f t="shared" si="26"/>
        <v>0</v>
      </c>
      <c r="AY139" s="14">
        <f t="shared" si="26"/>
        <v>0</v>
      </c>
      <c r="AZ139" s="14">
        <f t="shared" si="26"/>
        <v>0</v>
      </c>
      <c r="BA139" s="14">
        <f t="shared" si="26"/>
        <v>0</v>
      </c>
      <c r="BB139" s="14">
        <f t="shared" si="26"/>
        <v>0</v>
      </c>
      <c r="BC139" s="15"/>
      <c r="BF139" s="694" t="s">
        <v>1109</v>
      </c>
      <c r="BG139" s="694" t="s">
        <v>1110</v>
      </c>
      <c r="BH139" s="16" cm="1">
        <f t="array" ref="BH139">AC138</f>
        <v>0</v>
      </c>
      <c r="BI139" s="503"/>
      <c r="BJ139" s="503" t="b">
        <v>1</v>
      </c>
    </row>
    <row r="140" spans="2:62" ht="14.65" hidden="1" customHeight="1">
      <c r="E140" s="502">
        <v>15</v>
      </c>
      <c r="F140" s="3" t="str" cm="1">
        <f t="array" aca="1" ref="F140" ca="1">OFFSET(E140,-1,1)</f>
        <v>1</v>
      </c>
      <c r="T140" s="365" t="b" cm="1">
        <f t="array" aca="1" ref="T140" ca="1">T139</f>
        <v>0</v>
      </c>
      <c r="X140" s="1143"/>
      <c r="Y140" s="1143"/>
      <c r="Z140" s="1143"/>
      <c r="AA140" s="1145"/>
      <c r="AB140" s="8" t="str">
        <f>AB139&amp;".1"</f>
        <v>6.0.1.1</v>
      </c>
      <c r="AC140" s="17" t="s">
        <v>1111</v>
      </c>
      <c r="AD140" s="18" t="s">
        <v>804</v>
      </c>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5"/>
      <c r="BF140" s="694" t="s">
        <v>1112</v>
      </c>
      <c r="BG140" s="694" t="s">
        <v>1110</v>
      </c>
      <c r="BH140" s="16" cm="1">
        <f t="array" ref="BH140">BH139</f>
        <v>0</v>
      </c>
      <c r="BI140" s="503"/>
      <c r="BJ140" s="503"/>
    </row>
    <row r="141" spans="2:62" ht="14.65" hidden="1" customHeight="1">
      <c r="E141" s="502">
        <v>15</v>
      </c>
      <c r="F141" s="3" t="str" cm="1">
        <f t="array" aca="1" ref="F141" ca="1">OFFSET(E141,-1,1)</f>
        <v>1</v>
      </c>
      <c r="T141" s="365" t="b" cm="1">
        <f t="array" aca="1" ref="T141" ca="1">T140</f>
        <v>0</v>
      </c>
      <c r="X141" s="1143"/>
      <c r="Y141" s="1143"/>
      <c r="Z141" s="1143"/>
      <c r="AA141" s="1145"/>
      <c r="AB141" s="8" t="str">
        <f>AB140&amp;".1"</f>
        <v>6.0.1.1.1</v>
      </c>
      <c r="AC141" s="20" t="s">
        <v>1113</v>
      </c>
      <c r="AD141" s="12" t="s">
        <v>1114</v>
      </c>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5"/>
      <c r="BF141" s="694" t="s">
        <v>1115</v>
      </c>
      <c r="BG141" s="694" t="s">
        <v>1110</v>
      </c>
      <c r="BH141" s="16" cm="1">
        <f t="array" ref="BH141">BH140</f>
        <v>0</v>
      </c>
      <c r="BI141" s="503"/>
      <c r="BJ141" s="503"/>
    </row>
    <row r="142" spans="2:62" ht="14.65" hidden="1" customHeight="1">
      <c r="E142" s="502">
        <v>15</v>
      </c>
      <c r="F142" s="3" t="str" cm="1">
        <f t="array" aca="1" ref="F142" ca="1">OFFSET(E142,-1,1)</f>
        <v>1</v>
      </c>
      <c r="T142" s="365" t="b" cm="1">
        <f t="array" aca="1" ref="T142" ca="1">T141</f>
        <v>0</v>
      </c>
      <c r="X142" s="1143"/>
      <c r="Y142" s="1143"/>
      <c r="Z142" s="1143"/>
      <c r="AA142" s="1145"/>
      <c r="AB142" s="8" t="str">
        <f>AB140&amp;".2"</f>
        <v>6.0.1.1.2</v>
      </c>
      <c r="AC142" s="20" t="s">
        <v>1116</v>
      </c>
      <c r="AD142" s="12" t="s">
        <v>1117</v>
      </c>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5"/>
      <c r="BF142" s="694" t="s">
        <v>1118</v>
      </c>
      <c r="BG142" s="694" t="s">
        <v>1110</v>
      </c>
      <c r="BH142" s="16" cm="1">
        <f t="array" ref="BH142">BH141</f>
        <v>0</v>
      </c>
      <c r="BI142" s="503"/>
      <c r="BJ142" s="503"/>
    </row>
    <row r="143" spans="2:62" ht="14.65" hidden="1" customHeight="1">
      <c r="E143" s="502">
        <v>15</v>
      </c>
      <c r="F143" s="3" t="str" cm="1">
        <f t="array" aca="1" ref="F143" ca="1">OFFSET(E143,-1,1)</f>
        <v>1</v>
      </c>
      <c r="T143" s="365" t="b" cm="1">
        <f t="array" aca="1" ref="T143" ca="1">T142</f>
        <v>0</v>
      </c>
      <c r="X143" s="1143"/>
      <c r="Y143" s="1143"/>
      <c r="Z143" s="1143"/>
      <c r="AA143" s="1145"/>
      <c r="AB143" s="8" t="str">
        <f>AB139&amp;".2"</f>
        <v>6.0.1.2</v>
      </c>
      <c r="AC143" s="21" t="s">
        <v>1119</v>
      </c>
      <c r="AD143" s="12" t="s">
        <v>804</v>
      </c>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5"/>
      <c r="BF143" s="694" t="s">
        <v>1120</v>
      </c>
      <c r="BG143" s="694" t="s">
        <v>1110</v>
      </c>
      <c r="BH143" s="16" cm="1">
        <f t="array" ref="BH143">BH142</f>
        <v>0</v>
      </c>
      <c r="BI143" s="503"/>
      <c r="BJ143" s="503"/>
    </row>
    <row r="144" spans="2:62" ht="14.65" hidden="1" customHeight="1">
      <c r="E144" s="502">
        <v>15</v>
      </c>
      <c r="F144" s="3" t="str" cm="1">
        <f t="array" aca="1" ref="F144" ca="1">OFFSET(E144,-1,1)</f>
        <v>1</v>
      </c>
      <c r="T144" s="365" t="b" cm="1">
        <f t="array" aca="1" ref="T144" ca="1">T143</f>
        <v>0</v>
      </c>
      <c r="X144" s="1143"/>
      <c r="Y144" s="1143"/>
      <c r="Z144" s="1143"/>
      <c r="AA144" s="1145"/>
      <c r="AB144" s="8" t="str">
        <f>AB143&amp;".1"</f>
        <v>6.0.1.2.1</v>
      </c>
      <c r="AC144" s="20" t="s">
        <v>1121</v>
      </c>
      <c r="AD144" s="12" t="s">
        <v>1122</v>
      </c>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5"/>
      <c r="BF144" s="694" t="s">
        <v>1123</v>
      </c>
      <c r="BG144" s="694" t="s">
        <v>1110</v>
      </c>
      <c r="BH144" s="16" cm="1">
        <f t="array" ref="BH144">BH143</f>
        <v>0</v>
      </c>
      <c r="BI144" s="503"/>
      <c r="BJ144" s="503"/>
    </row>
    <row r="145" spans="2:62" ht="14.65" hidden="1" customHeight="1">
      <c r="E145" s="502">
        <v>15</v>
      </c>
      <c r="F145" s="3" t="str" cm="1">
        <f t="array" aca="1" ref="F145" ca="1">OFFSET(E145,-1,1)</f>
        <v>1</v>
      </c>
      <c r="T145" s="365" t="b" cm="1">
        <f t="array" aca="1" ref="T145" ca="1">T144</f>
        <v>0</v>
      </c>
      <c r="X145" s="1143"/>
      <c r="Y145" s="1143"/>
      <c r="Z145" s="1143"/>
      <c r="AA145" s="1145"/>
      <c r="AB145" s="8" t="str">
        <f>AB143&amp;".2"</f>
        <v>6.0.1.2.2</v>
      </c>
      <c r="AC145" s="20" t="s">
        <v>1124</v>
      </c>
      <c r="AD145" s="12" t="s">
        <v>1125</v>
      </c>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5"/>
      <c r="BF145" s="694" t="s">
        <v>1126</v>
      </c>
      <c r="BG145" s="694" t="s">
        <v>1110</v>
      </c>
      <c r="BH145" s="16" cm="1">
        <f t="array" ref="BH145">BH144</f>
        <v>0</v>
      </c>
      <c r="BI145" s="503"/>
      <c r="BJ145" s="503"/>
    </row>
    <row r="146" spans="2:62" ht="14.25" hidden="1" customHeight="1">
      <c r="E146" s="502">
        <v>15</v>
      </c>
      <c r="F146" s="774" t="str" cm="1">
        <f t="array" aca="1" ref="F146" ca="1">OFFSET(E146,-1,1)</f>
        <v>1</v>
      </c>
      <c r="T146" s="365" t="b">
        <v>0</v>
      </c>
      <c r="X146" s="1143"/>
      <c r="Y146" s="999" t="s">
        <v>275</v>
      </c>
      <c r="Z146" s="1143"/>
      <c r="AA146" s="1145" t="s">
        <v>174</v>
      </c>
      <c r="AB146" s="5"/>
      <c r="AD146" s="6"/>
      <c r="AE146" s="7" t="b">
        <f t="shared" ref="AE146:BB146" si="27">OR(AND(AE149&lt;&gt;"",AE150=""),AND(AE149="",AE150&lt;&gt;""))</f>
        <v>0</v>
      </c>
      <c r="AF146" s="7" t="b">
        <f t="shared" si="27"/>
        <v>0</v>
      </c>
      <c r="AG146" s="7" t="b">
        <f t="shared" si="27"/>
        <v>0</v>
      </c>
      <c r="AH146" s="7" t="b">
        <f t="shared" si="27"/>
        <v>0</v>
      </c>
      <c r="AI146" s="7" t="b">
        <f t="shared" si="27"/>
        <v>0</v>
      </c>
      <c r="AJ146" s="7" t="b">
        <f t="shared" si="27"/>
        <v>0</v>
      </c>
      <c r="AK146" s="7" t="b">
        <f t="shared" si="27"/>
        <v>0</v>
      </c>
      <c r="AL146" s="7" t="b">
        <f t="shared" si="27"/>
        <v>0</v>
      </c>
      <c r="AM146" s="7" t="b">
        <f t="shared" si="27"/>
        <v>0</v>
      </c>
      <c r="AN146" s="7" t="b">
        <f t="shared" si="27"/>
        <v>0</v>
      </c>
      <c r="AO146" s="7" t="b">
        <f t="shared" si="27"/>
        <v>0</v>
      </c>
      <c r="AP146" s="7" t="b">
        <f t="shared" si="27"/>
        <v>0</v>
      </c>
      <c r="AQ146" s="7" t="b">
        <f t="shared" si="27"/>
        <v>0</v>
      </c>
      <c r="AR146" s="7" t="b">
        <f t="shared" si="27"/>
        <v>0</v>
      </c>
      <c r="AS146" s="7" t="b">
        <f t="shared" si="27"/>
        <v>0</v>
      </c>
      <c r="AT146" s="7" t="b">
        <f t="shared" si="27"/>
        <v>0</v>
      </c>
      <c r="AU146" s="7" t="b">
        <f t="shared" si="27"/>
        <v>0</v>
      </c>
      <c r="AV146" s="7" t="b">
        <f t="shared" si="27"/>
        <v>0</v>
      </c>
      <c r="AW146" s="7" t="b">
        <f t="shared" si="27"/>
        <v>0</v>
      </c>
      <c r="AX146" s="7" t="b">
        <f t="shared" si="27"/>
        <v>0</v>
      </c>
      <c r="AY146" s="7" t="b">
        <f t="shared" si="27"/>
        <v>0</v>
      </c>
      <c r="AZ146" s="7" t="b">
        <f t="shared" si="27"/>
        <v>0</v>
      </c>
      <c r="BA146" s="7" t="b">
        <f t="shared" si="27"/>
        <v>0</v>
      </c>
      <c r="BB146" s="7" t="b">
        <f t="shared" si="27"/>
        <v>0</v>
      </c>
      <c r="BC146" s="7"/>
      <c r="BF146" s="694"/>
      <c r="BG146" s="694"/>
      <c r="BH146" s="694"/>
      <c r="BI146" s="503"/>
      <c r="BJ146" s="503"/>
    </row>
    <row r="147" spans="2:62" ht="12.75" customHeight="1">
      <c r="E147" s="502">
        <v>15</v>
      </c>
      <c r="F147" s="774" t="str" cm="1">
        <f t="array" aca="1" ref="F147" ca="1">OFFSET(E147,-1,1)</f>
        <v>1</v>
      </c>
      <c r="T147" s="365" t="b">
        <f ca="1">AND(F147&gt;0,Y146&gt;0)</f>
        <v>1</v>
      </c>
      <c r="X147" s="1143"/>
      <c r="Y147" s="1143"/>
      <c r="Z147" s="1143"/>
      <c r="AA147" s="1145"/>
      <c r="AB147" s="8" t="str">
        <f>"6."&amp;Y146</f>
        <v>6.1</v>
      </c>
      <c r="AC147" s="9" t="s">
        <v>1150</v>
      </c>
      <c r="AD147" s="6"/>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F147" s="694"/>
      <c r="BG147" s="694"/>
      <c r="BH147" s="694"/>
      <c r="BI147" s="503"/>
      <c r="BJ147" s="503"/>
    </row>
    <row r="148" spans="2:62" ht="14.25" customHeight="1">
      <c r="E148" s="502">
        <v>15</v>
      </c>
      <c r="F148" s="774" t="str" cm="1">
        <f t="array" aca="1" ref="F148" ca="1">OFFSET(E148,-1,1)</f>
        <v>1</v>
      </c>
      <c r="T148" s="365" t="b" cm="1">
        <f t="array" aca="1" ref="T148" ca="1">T147</f>
        <v>1</v>
      </c>
      <c r="X148" s="1143"/>
      <c r="Y148" s="1143"/>
      <c r="Z148" s="1143"/>
      <c r="AA148" s="1145"/>
      <c r="AB148" s="8" t="str">
        <f>AB147&amp;".1"</f>
        <v>6.1.1</v>
      </c>
      <c r="AC148" s="11" t="s">
        <v>1108</v>
      </c>
      <c r="AD148" s="12" t="s">
        <v>804</v>
      </c>
      <c r="AE148" s="13">
        <f t="shared" ref="AE148:BB148" si="28">AE149+AE152</f>
        <v>294.14821341312</v>
      </c>
      <c r="AF148" s="13">
        <f t="shared" si="28"/>
        <v>563.56075999999996</v>
      </c>
      <c r="AG148" s="13">
        <f t="shared" si="28"/>
        <v>563.56075999999996</v>
      </c>
      <c r="AH148" s="13">
        <f t="shared" si="28"/>
        <v>259.85000000000002</v>
      </c>
      <c r="AI148" s="13">
        <f t="shared" si="28"/>
        <v>897.78579999999999</v>
      </c>
      <c r="AJ148" s="14">
        <f t="shared" si="28"/>
        <v>0</v>
      </c>
      <c r="AK148" s="14">
        <f t="shared" si="28"/>
        <v>0</v>
      </c>
      <c r="AL148" s="14">
        <f t="shared" si="28"/>
        <v>0</v>
      </c>
      <c r="AM148" s="14">
        <f t="shared" si="28"/>
        <v>0</v>
      </c>
      <c r="AN148" s="14">
        <f t="shared" si="28"/>
        <v>0</v>
      </c>
      <c r="AO148" s="14">
        <f t="shared" si="28"/>
        <v>0</v>
      </c>
      <c r="AP148" s="14">
        <f t="shared" si="28"/>
        <v>0</v>
      </c>
      <c r="AQ148" s="14">
        <f t="shared" si="28"/>
        <v>0</v>
      </c>
      <c r="AR148" s="14">
        <f t="shared" si="28"/>
        <v>0</v>
      </c>
      <c r="AS148" s="13">
        <f t="shared" si="28"/>
        <v>753.56</v>
      </c>
      <c r="AT148" s="14">
        <f t="shared" si="28"/>
        <v>0</v>
      </c>
      <c r="AU148" s="14">
        <f t="shared" si="28"/>
        <v>0</v>
      </c>
      <c r="AV148" s="14">
        <f t="shared" si="28"/>
        <v>0</v>
      </c>
      <c r="AW148" s="14">
        <f t="shared" si="28"/>
        <v>0</v>
      </c>
      <c r="AX148" s="14">
        <f t="shared" si="28"/>
        <v>0</v>
      </c>
      <c r="AY148" s="14">
        <f t="shared" si="28"/>
        <v>0</v>
      </c>
      <c r="AZ148" s="14">
        <f t="shared" si="28"/>
        <v>0</v>
      </c>
      <c r="BA148" s="14">
        <f t="shared" si="28"/>
        <v>0</v>
      </c>
      <c r="BB148" s="14">
        <f t="shared" si="28"/>
        <v>0</v>
      </c>
      <c r="BC148" s="924"/>
      <c r="BF148" s="694" t="s">
        <v>1109</v>
      </c>
      <c r="BG148" s="694" t="s">
        <v>1110</v>
      </c>
      <c r="BH148" s="16" t="str" cm="1">
        <f t="array" ref="BH148">AC147</f>
        <v>ООО "УКиТС" (ИНН: 4204007393, КПП: 420401001)</v>
      </c>
      <c r="BI148" s="503"/>
      <c r="BJ148" s="503" t="b">
        <v>1</v>
      </c>
    </row>
    <row r="149" spans="2:62" ht="14.25" customHeight="1">
      <c r="E149" s="502">
        <v>15</v>
      </c>
      <c r="F149" s="774" t="str" cm="1">
        <f t="array" aca="1" ref="F149" ca="1">OFFSET(E149,-1,1)</f>
        <v>1</v>
      </c>
      <c r="T149" s="365" t="b" cm="1">
        <f t="array" aca="1" ref="T149" ca="1">T148</f>
        <v>1</v>
      </c>
      <c r="X149" s="1143"/>
      <c r="Y149" s="1143"/>
      <c r="Z149" s="1143"/>
      <c r="AA149" s="1145"/>
      <c r="AB149" s="8" t="str">
        <f>AB148&amp;".1"</f>
        <v>6.1.1.1</v>
      </c>
      <c r="AC149" s="17" t="s">
        <v>1111</v>
      </c>
      <c r="AD149" s="18" t="s">
        <v>804</v>
      </c>
      <c r="AE149" s="925">
        <v>294.14821341312</v>
      </c>
      <c r="AF149" s="925">
        <v>563.56075999999996</v>
      </c>
      <c r="AG149" s="925" cm="1">
        <f t="array" ref="AG149">AF149</f>
        <v>563.56075999999996</v>
      </c>
      <c r="AH149" s="925">
        <v>259.85000000000002</v>
      </c>
      <c r="AI149" s="925">
        <v>897.78579999999999</v>
      </c>
      <c r="AJ149" s="19"/>
      <c r="AK149" s="19"/>
      <c r="AL149" s="19"/>
      <c r="AM149" s="19"/>
      <c r="AN149" s="19"/>
      <c r="AO149" s="19"/>
      <c r="AP149" s="19"/>
      <c r="AQ149" s="19"/>
      <c r="AR149" s="19"/>
      <c r="AS149" s="925">
        <v>753.56</v>
      </c>
      <c r="AT149" s="19"/>
      <c r="AU149" s="19"/>
      <c r="AV149" s="19"/>
      <c r="AW149" s="19"/>
      <c r="AX149" s="19"/>
      <c r="AY149" s="19"/>
      <c r="AZ149" s="19"/>
      <c r="BA149" s="19"/>
      <c r="BB149" s="19"/>
      <c r="BC149" s="924"/>
      <c r="BF149" s="694" t="s">
        <v>1112</v>
      </c>
      <c r="BG149" s="694" t="s">
        <v>1110</v>
      </c>
      <c r="BH149" s="16" t="str" cm="1">
        <f t="array" ref="BH149">BH148</f>
        <v>ООО "УКиТС" (ИНН: 4204007393, КПП: 420401001)</v>
      </c>
      <c r="BI149" s="503"/>
      <c r="BJ149" s="503"/>
    </row>
    <row r="150" spans="2:62" ht="14.25" customHeight="1">
      <c r="E150" s="502">
        <v>15</v>
      </c>
      <c r="F150" s="774" t="str" cm="1">
        <f t="array" aca="1" ref="F150" ca="1">OFFSET(E150,-1,1)</f>
        <v>1</v>
      </c>
      <c r="T150" s="365" t="b" cm="1">
        <f t="array" aca="1" ref="T150" ca="1">T149</f>
        <v>1</v>
      </c>
      <c r="X150" s="1143"/>
      <c r="Y150" s="1143"/>
      <c r="Z150" s="1143"/>
      <c r="AA150" s="1145"/>
      <c r="AB150" s="8" t="str">
        <f>AB149&amp;".1"</f>
        <v>6.1.1.1.1</v>
      </c>
      <c r="AC150" s="20" t="s">
        <v>1113</v>
      </c>
      <c r="AD150" s="12" t="s">
        <v>1114</v>
      </c>
      <c r="AE150" s="926">
        <f>103.093/1000</f>
        <v>0.103093</v>
      </c>
      <c r="AF150" s="926">
        <f>199.39/1000</f>
        <v>0.19938999999999998</v>
      </c>
      <c r="AG150" s="926">
        <f>199.39/1000</f>
        <v>0.19938999999999998</v>
      </c>
      <c r="AH150" s="926">
        <f>100.06/1000</f>
        <v>0.10006</v>
      </c>
      <c r="AI150" s="926">
        <f>264.28/1000</f>
        <v>0.26427999999999996</v>
      </c>
      <c r="AJ150" s="927"/>
      <c r="AK150" s="927"/>
      <c r="AL150" s="927"/>
      <c r="AM150" s="927"/>
      <c r="AN150" s="927"/>
      <c r="AO150" s="927"/>
      <c r="AP150" s="927"/>
      <c r="AQ150" s="927"/>
      <c r="AR150" s="927"/>
      <c r="AS150" s="926">
        <f>199.39/1000</f>
        <v>0.19938999999999998</v>
      </c>
      <c r="AT150" s="19"/>
      <c r="AU150" s="19"/>
      <c r="AV150" s="19"/>
      <c r="AW150" s="19"/>
      <c r="AX150" s="19"/>
      <c r="AY150" s="19"/>
      <c r="AZ150" s="19"/>
      <c r="BA150" s="19"/>
      <c r="BB150" s="19"/>
      <c r="BC150" s="924"/>
      <c r="BF150" s="694" t="s">
        <v>1115</v>
      </c>
      <c r="BG150" s="694" t="s">
        <v>1110</v>
      </c>
      <c r="BH150" s="16" t="str" cm="1">
        <f t="array" ref="BH150">BH149</f>
        <v>ООО "УКиТС" (ИНН: 4204007393, КПП: 420401001)</v>
      </c>
      <c r="BI150" s="503"/>
      <c r="BJ150" s="503"/>
    </row>
    <row r="151" spans="2:62" ht="14.25" customHeight="1">
      <c r="E151" s="502">
        <v>15</v>
      </c>
      <c r="F151" s="774" t="str" cm="1">
        <f t="array" aca="1" ref="F151" ca="1">OFFSET(E151,-1,1)</f>
        <v>1</v>
      </c>
      <c r="T151" s="365" t="b" cm="1">
        <f t="array" aca="1" ref="T151" ca="1">T150</f>
        <v>1</v>
      </c>
      <c r="X151" s="1143"/>
      <c r="Y151" s="1143"/>
      <c r="Z151" s="1143"/>
      <c r="AA151" s="1145"/>
      <c r="AB151" s="8" t="str">
        <f>AB149&amp;".2"</f>
        <v>6.1.1.1.2</v>
      </c>
      <c r="AC151" s="20" t="s">
        <v>1116</v>
      </c>
      <c r="AD151" s="12" t="s">
        <v>1117</v>
      </c>
      <c r="AE151" s="925">
        <f>AE149/AE150</f>
        <v>2853.2316783207393</v>
      </c>
      <c r="AF151" s="925">
        <f>AF149/AF150</f>
        <v>2826.424394402929</v>
      </c>
      <c r="AG151" s="925">
        <f>AG149/AG150</f>
        <v>2826.424394402929</v>
      </c>
      <c r="AH151" s="925">
        <f>AH149/AH150</f>
        <v>2596.9418348990607</v>
      </c>
      <c r="AI151" s="925">
        <f>AI149/AI150</f>
        <v>3397.1008021795069</v>
      </c>
      <c r="AJ151" s="19"/>
      <c r="AK151" s="19"/>
      <c r="AL151" s="19"/>
      <c r="AM151" s="19"/>
      <c r="AN151" s="19"/>
      <c r="AO151" s="19"/>
      <c r="AP151" s="19"/>
      <c r="AQ151" s="19"/>
      <c r="AR151" s="19"/>
      <c r="AS151" s="925">
        <f>AS149/AS150</f>
        <v>3779.3269471889262</v>
      </c>
      <c r="AT151" s="19"/>
      <c r="AU151" s="19"/>
      <c r="AV151" s="19"/>
      <c r="AW151" s="19"/>
      <c r="AX151" s="19"/>
      <c r="AY151" s="19"/>
      <c r="AZ151" s="19"/>
      <c r="BA151" s="19"/>
      <c r="BB151" s="19"/>
      <c r="BC151" s="924"/>
      <c r="BF151" s="694" t="s">
        <v>1118</v>
      </c>
      <c r="BG151" s="694" t="s">
        <v>1110</v>
      </c>
      <c r="BH151" s="16" t="str" cm="1">
        <f t="array" ref="BH151">BH150</f>
        <v>ООО "УКиТС" (ИНН: 4204007393, КПП: 420401001)</v>
      </c>
      <c r="BI151" s="503"/>
      <c r="BJ151" s="503"/>
    </row>
    <row r="152" spans="2:62" ht="14.25" customHeight="1">
      <c r="E152" s="502">
        <v>15</v>
      </c>
      <c r="F152" s="774" t="str" cm="1">
        <f t="array" aca="1" ref="F152" ca="1">OFFSET(E152,-1,1)</f>
        <v>1</v>
      </c>
      <c r="T152" s="365" t="b" cm="1">
        <f t="array" aca="1" ref="T152" ca="1">T151</f>
        <v>1</v>
      </c>
      <c r="X152" s="1143"/>
      <c r="Y152" s="1143"/>
      <c r="Z152" s="1143"/>
      <c r="AA152" s="1145"/>
      <c r="AB152" s="8" t="str">
        <f>AB148&amp;".2"</f>
        <v>6.1.1.2</v>
      </c>
      <c r="AC152" s="21" t="s">
        <v>1119</v>
      </c>
      <c r="AD152" s="12" t="s">
        <v>804</v>
      </c>
      <c r="AE152" s="925"/>
      <c r="AF152" s="925"/>
      <c r="AG152" s="925"/>
      <c r="AH152" s="925"/>
      <c r="AI152" s="925"/>
      <c r="AJ152" s="19"/>
      <c r="AK152" s="19"/>
      <c r="AL152" s="19"/>
      <c r="AM152" s="19"/>
      <c r="AN152" s="19"/>
      <c r="AO152" s="19"/>
      <c r="AP152" s="19"/>
      <c r="AQ152" s="19"/>
      <c r="AR152" s="19"/>
      <c r="AS152" s="925"/>
      <c r="AT152" s="19"/>
      <c r="AU152" s="19"/>
      <c r="AV152" s="19"/>
      <c r="AW152" s="19"/>
      <c r="AX152" s="19"/>
      <c r="AY152" s="19"/>
      <c r="AZ152" s="19"/>
      <c r="BA152" s="19"/>
      <c r="BB152" s="19"/>
      <c r="BC152" s="924"/>
      <c r="BF152" s="694" t="s">
        <v>1120</v>
      </c>
      <c r="BG152" s="694" t="s">
        <v>1110</v>
      </c>
      <c r="BH152" s="16" t="str" cm="1">
        <f t="array" ref="BH152">BH151</f>
        <v>ООО "УКиТС" (ИНН: 4204007393, КПП: 420401001)</v>
      </c>
      <c r="BI152" s="503"/>
      <c r="BJ152" s="503"/>
    </row>
    <row r="153" spans="2:62" ht="14.25" customHeight="1">
      <c r="E153" s="502">
        <v>15</v>
      </c>
      <c r="F153" s="774" t="str" cm="1">
        <f t="array" aca="1" ref="F153" ca="1">OFFSET(E153,-1,1)</f>
        <v>1</v>
      </c>
      <c r="T153" s="365" t="b" cm="1">
        <f t="array" aca="1" ref="T153" ca="1">T152</f>
        <v>1</v>
      </c>
      <c r="X153" s="1143"/>
      <c r="Y153" s="1143"/>
      <c r="Z153" s="1143"/>
      <c r="AA153" s="1145"/>
      <c r="AB153" s="8" t="str">
        <f>AB152&amp;".1"</f>
        <v>6.1.1.2.1</v>
      </c>
      <c r="AC153" s="20" t="s">
        <v>1121</v>
      </c>
      <c r="AD153" s="12" t="s">
        <v>1122</v>
      </c>
      <c r="AE153" s="925"/>
      <c r="AF153" s="925"/>
      <c r="AG153" s="925"/>
      <c r="AH153" s="925"/>
      <c r="AI153" s="925"/>
      <c r="AJ153" s="19"/>
      <c r="AK153" s="19"/>
      <c r="AL153" s="19"/>
      <c r="AM153" s="19"/>
      <c r="AN153" s="19"/>
      <c r="AO153" s="19"/>
      <c r="AP153" s="19"/>
      <c r="AQ153" s="19"/>
      <c r="AR153" s="19"/>
      <c r="AS153" s="925"/>
      <c r="AT153" s="19"/>
      <c r="AU153" s="19"/>
      <c r="AV153" s="19"/>
      <c r="AW153" s="19"/>
      <c r="AX153" s="19"/>
      <c r="AY153" s="19"/>
      <c r="AZ153" s="19"/>
      <c r="BA153" s="19"/>
      <c r="BB153" s="19"/>
      <c r="BC153" s="924"/>
      <c r="BF153" s="694" t="s">
        <v>1123</v>
      </c>
      <c r="BG153" s="694" t="s">
        <v>1110</v>
      </c>
      <c r="BH153" s="16" t="str" cm="1">
        <f t="array" ref="BH153">BH152</f>
        <v>ООО "УКиТС" (ИНН: 4204007393, КПП: 420401001)</v>
      </c>
      <c r="BI153" s="503"/>
      <c r="BJ153" s="503"/>
    </row>
    <row r="154" spans="2:62" ht="14.25" customHeight="1">
      <c r="E154" s="502">
        <v>15</v>
      </c>
      <c r="F154" s="774" t="str" cm="1">
        <f t="array" aca="1" ref="F154" ca="1">OFFSET(E154,-1,1)</f>
        <v>1</v>
      </c>
      <c r="T154" s="365" t="b" cm="1">
        <f t="array" aca="1" ref="T154" ca="1">T153</f>
        <v>1</v>
      </c>
      <c r="X154" s="1143"/>
      <c r="Y154" s="1143"/>
      <c r="Z154" s="1143"/>
      <c r="AA154" s="1145"/>
      <c r="AB154" s="8" t="str">
        <f>AB152&amp;".2"</f>
        <v>6.1.1.2.2</v>
      </c>
      <c r="AC154" s="20" t="s">
        <v>1124</v>
      </c>
      <c r="AD154" s="12" t="s">
        <v>1125</v>
      </c>
      <c r="AE154" s="925"/>
      <c r="AF154" s="925"/>
      <c r="AG154" s="925"/>
      <c r="AH154" s="925"/>
      <c r="AI154" s="925"/>
      <c r="AJ154" s="19"/>
      <c r="AK154" s="19"/>
      <c r="AL154" s="19"/>
      <c r="AM154" s="19"/>
      <c r="AN154" s="19"/>
      <c r="AO154" s="19"/>
      <c r="AP154" s="19"/>
      <c r="AQ154" s="19"/>
      <c r="AR154" s="19"/>
      <c r="AS154" s="925"/>
      <c r="AT154" s="19"/>
      <c r="AU154" s="19"/>
      <c r="AV154" s="19"/>
      <c r="AW154" s="19"/>
      <c r="AX154" s="19"/>
      <c r="AY154" s="19"/>
      <c r="AZ154" s="19"/>
      <c r="BA154" s="19"/>
      <c r="BB154" s="19"/>
      <c r="BC154" s="924"/>
      <c r="BF154" s="694" t="s">
        <v>1126</v>
      </c>
      <c r="BG154" s="694" t="s">
        <v>1110</v>
      </c>
      <c r="BH154" s="16" t="str" cm="1">
        <f t="array" ref="BH154">BH153</f>
        <v>ООО "УКиТС" (ИНН: 4204007393, КПП: 420401001)</v>
      </c>
      <c r="BI154" s="503"/>
      <c r="BJ154" s="503"/>
    </row>
    <row r="155" spans="2:62" ht="14.65" customHeight="1">
      <c r="B155" s="350"/>
      <c r="E155" s="502">
        <v>15</v>
      </c>
      <c r="F155" s="280" t="str" cm="1">
        <f t="array" aca="1" ref="F155" ca="1">OFFSET(E155,-1,1)</f>
        <v>1</v>
      </c>
      <c r="L155" s="615"/>
      <c r="T155" s="365" t="b">
        <f ca="1">F155&gt;0</f>
        <v>1</v>
      </c>
      <c r="W155" s="508" t="s">
        <v>1127</v>
      </c>
      <c r="X155" s="1142"/>
      <c r="Y155" s="34"/>
      <c r="Z155" s="1143"/>
      <c r="AA155" s="868"/>
      <c r="AB155" s="908"/>
      <c r="AC155" s="909" t="s">
        <v>1079</v>
      </c>
      <c r="AD155" s="909"/>
      <c r="AE155" s="910"/>
      <c r="AF155" s="910"/>
      <c r="AG155" s="910"/>
      <c r="AH155" s="910"/>
      <c r="AI155" s="910"/>
      <c r="AJ155" s="910"/>
      <c r="AK155" s="910"/>
      <c r="AL155" s="910"/>
      <c r="AM155" s="910"/>
      <c r="AN155" s="910"/>
      <c r="AO155" s="910"/>
      <c r="AP155" s="910"/>
      <c r="AQ155" s="910"/>
      <c r="AR155" s="910"/>
      <c r="AS155" s="910"/>
      <c r="AT155" s="910"/>
      <c r="AU155" s="910"/>
      <c r="AV155" s="910"/>
      <c r="AW155" s="910"/>
      <c r="AX155" s="910"/>
      <c r="AY155" s="910"/>
      <c r="AZ155" s="910"/>
      <c r="BA155" s="910"/>
      <c r="BB155" s="910"/>
      <c r="BC155" s="910"/>
      <c r="BF155" s="694"/>
      <c r="BG155" s="694"/>
      <c r="BH155" s="694"/>
      <c r="BI155" s="503" t="s">
        <v>1110</v>
      </c>
      <c r="BJ155" s="503"/>
    </row>
    <row r="156" spans="2:62" s="86" customFormat="1" ht="0" hidden="1" customHeight="1">
      <c r="B156" s="350"/>
      <c r="E156" s="503">
        <v>15</v>
      </c>
      <c r="F156" s="3" t="str" cm="1">
        <f t="array" aca="1" ref="F156" ca="1">OFFSET(E156,-1,1)</f>
        <v>1</v>
      </c>
      <c r="G156" s="85" t="s">
        <v>514</v>
      </c>
      <c r="K156" s="611" t="str">
        <f ca="1">F96&amp;"7komm"</f>
        <v>17komm</v>
      </c>
      <c r="L156" s="615" cm="1">
        <f t="array" ref="L156">BC156</f>
        <v>0</v>
      </c>
      <c r="T156" s="365" t="b" cm="1">
        <f t="array" aca="1" ref="T156" ca="1">T136</f>
        <v>1</v>
      </c>
      <c r="X156" s="999"/>
      <c r="Z156" s="1144"/>
      <c r="AB156" s="143">
        <v>7</v>
      </c>
      <c r="AC156" s="144" t="s">
        <v>1128</v>
      </c>
      <c r="AD156" s="143" t="s">
        <v>804</v>
      </c>
      <c r="AE156" s="897">
        <f t="shared" ref="AE156:BB156" si="29">SUMIF($AD159:$AD162,$AD156,AE159:AE162)</f>
        <v>0</v>
      </c>
      <c r="AF156" s="897">
        <f t="shared" si="29"/>
        <v>0</v>
      </c>
      <c r="AG156" s="897">
        <f t="shared" si="29"/>
        <v>0</v>
      </c>
      <c r="AH156" s="897">
        <f t="shared" si="29"/>
        <v>0</v>
      </c>
      <c r="AI156" s="897">
        <f t="shared" si="29"/>
        <v>0</v>
      </c>
      <c r="AJ156" s="783">
        <f t="shared" si="29"/>
        <v>0</v>
      </c>
      <c r="AK156" s="783">
        <f t="shared" si="29"/>
        <v>0</v>
      </c>
      <c r="AL156" s="783">
        <f t="shared" si="29"/>
        <v>0</v>
      </c>
      <c r="AM156" s="783">
        <f t="shared" si="29"/>
        <v>0</v>
      </c>
      <c r="AN156" s="783">
        <f t="shared" si="29"/>
        <v>0</v>
      </c>
      <c r="AO156" s="783">
        <f t="shared" si="29"/>
        <v>0</v>
      </c>
      <c r="AP156" s="783">
        <f t="shared" si="29"/>
        <v>0</v>
      </c>
      <c r="AQ156" s="783">
        <f t="shared" si="29"/>
        <v>0</v>
      </c>
      <c r="AR156" s="783">
        <f t="shared" si="29"/>
        <v>0</v>
      </c>
      <c r="AS156" s="897">
        <f t="shared" si="29"/>
        <v>0</v>
      </c>
      <c r="AT156" s="783">
        <f t="shared" si="29"/>
        <v>0</v>
      </c>
      <c r="AU156" s="783">
        <f t="shared" si="29"/>
        <v>0</v>
      </c>
      <c r="AV156" s="783">
        <f t="shared" si="29"/>
        <v>0</v>
      </c>
      <c r="AW156" s="783">
        <f t="shared" si="29"/>
        <v>0</v>
      </c>
      <c r="AX156" s="783">
        <f t="shared" si="29"/>
        <v>0</v>
      </c>
      <c r="AY156" s="783">
        <f t="shared" si="29"/>
        <v>0</v>
      </c>
      <c r="AZ156" s="783">
        <f t="shared" si="29"/>
        <v>0</v>
      </c>
      <c r="BA156" s="783">
        <f t="shared" si="29"/>
        <v>0</v>
      </c>
      <c r="BB156" s="783">
        <f t="shared" si="29"/>
        <v>0</v>
      </c>
      <c r="BC156" s="132"/>
      <c r="BF156" s="694" t="s">
        <v>1129</v>
      </c>
      <c r="BG156" s="694"/>
      <c r="BH156" s="694"/>
      <c r="BI156" s="503"/>
      <c r="BJ156" s="503"/>
    </row>
    <row r="157" spans="2:62" ht="14.65" hidden="1" customHeight="1">
      <c r="B157" s="350"/>
      <c r="E157" s="502">
        <v>15</v>
      </c>
      <c r="F157" s="280" t="str" cm="1">
        <f t="array" aca="1" ref="F157" ca="1">OFFSET(E157,-1,1)</f>
        <v>1</v>
      </c>
      <c r="L157" s="615"/>
      <c r="T157" s="365" t="b">
        <v>0</v>
      </c>
      <c r="W157" s="85" t="s">
        <v>173</v>
      </c>
      <c r="X157" s="1142"/>
      <c r="Y157" s="999">
        <v>0</v>
      </c>
      <c r="Z157" s="1143"/>
      <c r="AA157" s="1141" t="s">
        <v>174</v>
      </c>
      <c r="AB157" s="886"/>
      <c r="AC157" s="648"/>
      <c r="AD157" s="898"/>
      <c r="AE157" s="899" t="b">
        <f t="shared" ref="AE157:BB157" si="30">OR(AND(AE159&lt;&gt;"",AE160=""),AND(AE159="",AE160&lt;&gt;""))</f>
        <v>0</v>
      </c>
      <c r="AF157" s="899" t="b">
        <f t="shared" si="30"/>
        <v>0</v>
      </c>
      <c r="AG157" s="899" t="b">
        <f t="shared" si="30"/>
        <v>0</v>
      </c>
      <c r="AH157" s="899" t="b">
        <f t="shared" si="30"/>
        <v>0</v>
      </c>
      <c r="AI157" s="899" t="b">
        <f t="shared" si="30"/>
        <v>0</v>
      </c>
      <c r="AJ157" s="899" t="b">
        <f t="shared" si="30"/>
        <v>0</v>
      </c>
      <c r="AK157" s="899" t="b">
        <f t="shared" si="30"/>
        <v>0</v>
      </c>
      <c r="AL157" s="899" t="b">
        <f t="shared" si="30"/>
        <v>0</v>
      </c>
      <c r="AM157" s="899" t="b">
        <f t="shared" si="30"/>
        <v>0</v>
      </c>
      <c r="AN157" s="899" t="b">
        <f t="shared" si="30"/>
        <v>0</v>
      </c>
      <c r="AO157" s="899" t="b">
        <f t="shared" si="30"/>
        <v>0</v>
      </c>
      <c r="AP157" s="899" t="b">
        <f t="shared" si="30"/>
        <v>0</v>
      </c>
      <c r="AQ157" s="899" t="b">
        <f t="shared" si="30"/>
        <v>0</v>
      </c>
      <c r="AR157" s="899" t="b">
        <f t="shared" si="30"/>
        <v>0</v>
      </c>
      <c r="AS157" s="899" t="b">
        <f t="shared" si="30"/>
        <v>0</v>
      </c>
      <c r="AT157" s="899" t="b">
        <f t="shared" si="30"/>
        <v>0</v>
      </c>
      <c r="AU157" s="899" t="b">
        <f t="shared" si="30"/>
        <v>0</v>
      </c>
      <c r="AV157" s="899" t="b">
        <f t="shared" si="30"/>
        <v>0</v>
      </c>
      <c r="AW157" s="899" t="b">
        <f t="shared" si="30"/>
        <v>0</v>
      </c>
      <c r="AX157" s="899" t="b">
        <f t="shared" si="30"/>
        <v>0</v>
      </c>
      <c r="AY157" s="899" t="b">
        <f t="shared" si="30"/>
        <v>0</v>
      </c>
      <c r="AZ157" s="899" t="b">
        <f t="shared" si="30"/>
        <v>0</v>
      </c>
      <c r="BA157" s="899" t="b">
        <f t="shared" si="30"/>
        <v>0</v>
      </c>
      <c r="BB157" s="899" t="b">
        <f t="shared" si="30"/>
        <v>0</v>
      </c>
      <c r="BC157" s="652"/>
      <c r="BF157" s="694"/>
      <c r="BG157" s="694"/>
      <c r="BH157" s="694"/>
      <c r="BI157" s="503"/>
      <c r="BJ157" s="503"/>
    </row>
    <row r="158" spans="2:62" ht="14.65" hidden="1" customHeight="1">
      <c r="B158" s="350"/>
      <c r="E158" s="502">
        <v>15</v>
      </c>
      <c r="F158" s="280" t="str" cm="1">
        <f t="array" aca="1" ref="F158" ca="1">OFFSET(E158,-1,1)</f>
        <v>1</v>
      </c>
      <c r="L158" s="615"/>
      <c r="T158" s="365" t="b">
        <f ca="1">AND(F158&gt;0,Y157&gt;0)</f>
        <v>0</v>
      </c>
      <c r="X158" s="1142"/>
      <c r="Y158" s="999"/>
      <c r="Z158" s="1143"/>
      <c r="AA158" s="1141"/>
      <c r="AB158" s="884" t="str">
        <f>"7."&amp;Y157</f>
        <v>7.0</v>
      </c>
      <c r="AC158" s="900"/>
      <c r="AD158" s="898"/>
      <c r="BF158" s="694"/>
      <c r="BG158" s="694"/>
      <c r="BH158" s="694"/>
      <c r="BI158" s="503"/>
      <c r="BJ158" s="503"/>
    </row>
    <row r="159" spans="2:62" ht="14.65" hidden="1" customHeight="1">
      <c r="B159" s="350"/>
      <c r="E159" s="502">
        <v>15</v>
      </c>
      <c r="F159" s="280" t="str" cm="1">
        <f t="array" aca="1" ref="F159" ca="1">OFFSET(E159,-1,1)</f>
        <v>1</v>
      </c>
      <c r="L159" s="615"/>
      <c r="T159" s="365" t="b" cm="1">
        <f t="array" aca="1" ref="T159" ca="1">T158</f>
        <v>0</v>
      </c>
      <c r="X159" s="1142"/>
      <c r="Y159" s="999"/>
      <c r="Z159" s="1143"/>
      <c r="AA159" s="1141"/>
      <c r="AB159" s="884" t="str">
        <f>AB158&amp;".1"</f>
        <v>7.0.1</v>
      </c>
      <c r="AC159" s="911" t="s">
        <v>1070</v>
      </c>
      <c r="AD159" s="886" t="s">
        <v>804</v>
      </c>
      <c r="AE159" s="912"/>
      <c r="AF159" s="913"/>
      <c r="AG159" s="912"/>
      <c r="AH159" s="912"/>
      <c r="AI159" s="913"/>
      <c r="AJ159" s="913"/>
      <c r="AK159" s="913"/>
      <c r="AL159" s="913"/>
      <c r="AM159" s="913"/>
      <c r="AN159" s="913"/>
      <c r="AO159" s="913"/>
      <c r="AP159" s="913"/>
      <c r="AQ159" s="913"/>
      <c r="AR159" s="913"/>
      <c r="AS159" s="912"/>
      <c r="AT159" s="912"/>
      <c r="AU159" s="912"/>
      <c r="AV159" s="912"/>
      <c r="AW159" s="912"/>
      <c r="AX159" s="912"/>
      <c r="AY159" s="912"/>
      <c r="AZ159" s="912"/>
      <c r="BA159" s="912"/>
      <c r="BB159" s="912"/>
      <c r="BC159" s="839"/>
      <c r="BF159" s="691" t="s">
        <v>1071</v>
      </c>
      <c r="BG159" s="694" t="s">
        <v>1130</v>
      </c>
      <c r="BH159" s="904" cm="1">
        <f t="array" ref="BH159">AC158</f>
        <v>0</v>
      </c>
      <c r="BI159" s="503"/>
      <c r="BJ159" s="503" t="b">
        <v>1</v>
      </c>
    </row>
    <row r="160" spans="2:62" ht="14.65" hidden="1" customHeight="1">
      <c r="B160" s="350"/>
      <c r="E160" s="502">
        <v>15</v>
      </c>
      <c r="F160" s="280" t="str" cm="1">
        <f t="array" aca="1" ref="F160" ca="1">OFFSET(E160,-1,1)</f>
        <v>1</v>
      </c>
      <c r="L160" s="615"/>
      <c r="T160" s="365" t="b" cm="1">
        <f t="array" aca="1" ref="T160" ca="1">T159</f>
        <v>0</v>
      </c>
      <c r="X160" s="1142"/>
      <c r="Y160" s="999"/>
      <c r="Z160" s="1143"/>
      <c r="AA160" s="1141"/>
      <c r="AB160" s="884" t="str">
        <f>AB159&amp;".1"</f>
        <v>7.0.1.1</v>
      </c>
      <c r="AC160" s="893" t="s">
        <v>1131</v>
      </c>
      <c r="AD160" s="884" t="s">
        <v>534</v>
      </c>
      <c r="AE160" s="912"/>
      <c r="AF160" s="913"/>
      <c r="AG160" s="912"/>
      <c r="AH160" s="912"/>
      <c r="AI160" s="913"/>
      <c r="AJ160" s="913"/>
      <c r="AK160" s="913"/>
      <c r="AL160" s="913"/>
      <c r="AM160" s="913"/>
      <c r="AN160" s="913"/>
      <c r="AO160" s="913"/>
      <c r="AP160" s="913"/>
      <c r="AQ160" s="913"/>
      <c r="AR160" s="913"/>
      <c r="AS160" s="912"/>
      <c r="AT160" s="912"/>
      <c r="AU160" s="912"/>
      <c r="AV160" s="912"/>
      <c r="AW160" s="912"/>
      <c r="AX160" s="912"/>
      <c r="AY160" s="912"/>
      <c r="AZ160" s="912"/>
      <c r="BA160" s="912"/>
      <c r="BB160" s="912"/>
      <c r="BC160" s="839"/>
      <c r="BF160" s="691" t="s">
        <v>1074</v>
      </c>
      <c r="BG160" s="694" t="s">
        <v>1130</v>
      </c>
      <c r="BH160" s="904" cm="1">
        <f t="array" ref="BH160">BH159</f>
        <v>0</v>
      </c>
      <c r="BI160" s="503"/>
      <c r="BJ160" s="503"/>
    </row>
    <row r="161" spans="2:62" ht="14.65" hidden="1" customHeight="1">
      <c r="B161" s="350"/>
      <c r="E161" s="502">
        <v>15</v>
      </c>
      <c r="F161" s="280" t="str" cm="1">
        <f t="array" aca="1" ref="F161" ca="1">OFFSET(E161,-1,1)</f>
        <v>1</v>
      </c>
      <c r="L161" s="615"/>
      <c r="T161" s="365" t="b" cm="1">
        <f t="array" aca="1" ref="T161" ca="1">T160</f>
        <v>0</v>
      </c>
      <c r="X161" s="1142"/>
      <c r="Y161" s="999"/>
      <c r="Z161" s="1143"/>
      <c r="AA161" s="1141"/>
      <c r="AB161" s="884" t="str">
        <f>AB159&amp;".2"</f>
        <v>7.0.1.2</v>
      </c>
      <c r="AC161" s="893" t="s">
        <v>1132</v>
      </c>
      <c r="AD161" s="884" t="s">
        <v>1076</v>
      </c>
      <c r="AE161" s="912"/>
      <c r="AF161" s="913"/>
      <c r="AG161" s="913"/>
      <c r="AH161" s="912"/>
      <c r="AI161" s="913"/>
      <c r="AJ161" s="913"/>
      <c r="AK161" s="913"/>
      <c r="AL161" s="913"/>
      <c r="AM161" s="913"/>
      <c r="AN161" s="913"/>
      <c r="AO161" s="913"/>
      <c r="AP161" s="913"/>
      <c r="AQ161" s="913"/>
      <c r="AR161" s="913"/>
      <c r="AS161" s="913"/>
      <c r="AT161" s="913"/>
      <c r="AU161" s="913"/>
      <c r="AV161" s="913"/>
      <c r="AW161" s="913"/>
      <c r="AX161" s="913"/>
      <c r="AY161" s="913"/>
      <c r="AZ161" s="913"/>
      <c r="BA161" s="913"/>
      <c r="BB161" s="913"/>
      <c r="BC161" s="839"/>
      <c r="BF161" s="691" t="s">
        <v>1077</v>
      </c>
      <c r="BG161" s="694" t="s">
        <v>1130</v>
      </c>
      <c r="BH161" s="904" cm="1">
        <f t="array" ref="BH161">BH160</f>
        <v>0</v>
      </c>
      <c r="BI161" s="503"/>
      <c r="BJ161" s="503"/>
    </row>
    <row r="162" spans="2:62" ht="14.65" customHeight="1">
      <c r="B162" s="350"/>
      <c r="E162" s="502">
        <v>15</v>
      </c>
      <c r="F162" s="280" t="str" cm="1">
        <f t="array" aca="1" ref="F162" ca="1">OFFSET(E162,-1,1)</f>
        <v>1</v>
      </c>
      <c r="L162" s="615"/>
      <c r="T162" s="365" t="b">
        <f ca="1">F162&gt;0</f>
        <v>1</v>
      </c>
      <c r="W162" s="508" t="s">
        <v>1133</v>
      </c>
      <c r="X162" s="1142"/>
      <c r="Z162" s="1143"/>
      <c r="AA162" s="868"/>
      <c r="AB162" s="908"/>
      <c r="AC162" s="909" t="s">
        <v>1079</v>
      </c>
      <c r="AD162" s="909"/>
      <c r="AE162" s="909"/>
      <c r="AF162" s="909"/>
      <c r="AG162" s="909"/>
      <c r="AH162" s="909"/>
      <c r="AI162" s="909"/>
      <c r="AJ162" s="909"/>
      <c r="AK162" s="909"/>
      <c r="AL162" s="909"/>
      <c r="AM162" s="909"/>
      <c r="AN162" s="909"/>
      <c r="AO162" s="909"/>
      <c r="AP162" s="909"/>
      <c r="AQ162" s="909"/>
      <c r="AR162" s="909"/>
      <c r="AS162" s="909"/>
      <c r="AT162" s="909"/>
      <c r="AU162" s="909"/>
      <c r="AV162" s="909"/>
      <c r="AW162" s="909"/>
      <c r="AX162" s="909"/>
      <c r="AY162" s="909"/>
      <c r="AZ162" s="909"/>
      <c r="BA162" s="909"/>
      <c r="BB162" s="909"/>
      <c r="BC162" s="914"/>
      <c r="BF162" s="694"/>
      <c r="BG162" s="694"/>
      <c r="BH162" s="694"/>
      <c r="BI162" s="503" t="s">
        <v>1130</v>
      </c>
      <c r="BJ162" s="503"/>
    </row>
    <row r="163" spans="2:62" s="86" customFormat="1" ht="0" hidden="1" customHeight="1">
      <c r="B163" s="350"/>
      <c r="E163" s="503">
        <v>15</v>
      </c>
      <c r="F163" s="3" t="str" cm="1">
        <f t="array" aca="1" ref="F163" ca="1">OFFSET(E163,-1,1)</f>
        <v>1</v>
      </c>
      <c r="G163" s="85" t="s">
        <v>562</v>
      </c>
      <c r="K163" s="611" t="str">
        <f ca="1">F96&amp;"8komm"</f>
        <v>18komm</v>
      </c>
      <c r="L163" s="615" cm="1">
        <f t="array" ref="L163">BC163</f>
        <v>0</v>
      </c>
      <c r="T163" s="365" t="b" cm="1">
        <f t="array" aca="1" ref="T163" ca="1">T156</f>
        <v>1</v>
      </c>
      <c r="X163" s="999"/>
      <c r="Z163" s="1144"/>
      <c r="AB163" s="143">
        <v>8</v>
      </c>
      <c r="AC163" s="144" t="s">
        <v>1134</v>
      </c>
      <c r="AD163" s="143" t="s">
        <v>804</v>
      </c>
      <c r="AE163" s="897">
        <f t="shared" ref="AE163:BB163" si="31">SUMIF($AD166:$AD169,$AD163,AE166:AE169)</f>
        <v>0</v>
      </c>
      <c r="AF163" s="897">
        <f t="shared" si="31"/>
        <v>0</v>
      </c>
      <c r="AG163" s="897">
        <f t="shared" si="31"/>
        <v>0</v>
      </c>
      <c r="AH163" s="897">
        <f t="shared" si="31"/>
        <v>0</v>
      </c>
      <c r="AI163" s="897">
        <f t="shared" si="31"/>
        <v>0</v>
      </c>
      <c r="AJ163" s="783">
        <f t="shared" si="31"/>
        <v>0</v>
      </c>
      <c r="AK163" s="783">
        <f t="shared" si="31"/>
        <v>0</v>
      </c>
      <c r="AL163" s="783">
        <f t="shared" si="31"/>
        <v>0</v>
      </c>
      <c r="AM163" s="783">
        <f t="shared" si="31"/>
        <v>0</v>
      </c>
      <c r="AN163" s="783">
        <f t="shared" si="31"/>
        <v>0</v>
      </c>
      <c r="AO163" s="783">
        <f t="shared" si="31"/>
        <v>0</v>
      </c>
      <c r="AP163" s="783">
        <f t="shared" si="31"/>
        <v>0</v>
      </c>
      <c r="AQ163" s="783">
        <f t="shared" si="31"/>
        <v>0</v>
      </c>
      <c r="AR163" s="783">
        <f t="shared" si="31"/>
        <v>0</v>
      </c>
      <c r="AS163" s="897">
        <f t="shared" si="31"/>
        <v>0</v>
      </c>
      <c r="AT163" s="783">
        <f t="shared" si="31"/>
        <v>0</v>
      </c>
      <c r="AU163" s="783">
        <f t="shared" si="31"/>
        <v>0</v>
      </c>
      <c r="AV163" s="783">
        <f t="shared" si="31"/>
        <v>0</v>
      </c>
      <c r="AW163" s="783">
        <f t="shared" si="31"/>
        <v>0</v>
      </c>
      <c r="AX163" s="783">
        <f t="shared" si="31"/>
        <v>0</v>
      </c>
      <c r="AY163" s="783">
        <f t="shared" si="31"/>
        <v>0</v>
      </c>
      <c r="AZ163" s="783">
        <f t="shared" si="31"/>
        <v>0</v>
      </c>
      <c r="BA163" s="783">
        <f t="shared" si="31"/>
        <v>0</v>
      </c>
      <c r="BB163" s="783">
        <f t="shared" si="31"/>
        <v>0</v>
      </c>
      <c r="BC163" s="132"/>
      <c r="BF163" s="694" t="s">
        <v>1135</v>
      </c>
      <c r="BG163" s="694"/>
      <c r="BH163" s="694"/>
      <c r="BI163" s="503"/>
      <c r="BJ163" s="503"/>
    </row>
    <row r="164" spans="2:62" ht="14.65" hidden="1" customHeight="1">
      <c r="B164" s="350"/>
      <c r="E164" s="502">
        <v>15</v>
      </c>
      <c r="F164" s="280" t="str" cm="1">
        <f t="array" aca="1" ref="F164" ca="1">OFFSET(E164,-1,1)</f>
        <v>1</v>
      </c>
      <c r="L164" s="615"/>
      <c r="T164" s="365" t="b">
        <v>0</v>
      </c>
      <c r="W164" s="85" t="s">
        <v>173</v>
      </c>
      <c r="X164" s="1142"/>
      <c r="Y164" s="999">
        <v>0</v>
      </c>
      <c r="Z164" s="1143"/>
      <c r="AA164" s="1141" t="s">
        <v>174</v>
      </c>
      <c r="AB164" s="886"/>
      <c r="AC164" s="648"/>
      <c r="AD164" s="898"/>
      <c r="AE164" s="899" t="b">
        <f t="shared" ref="AE164:BB164" si="32">OR(AND(AE166&lt;&gt;"",AE167=""),AND(AE166="",AE167&lt;&gt;""))</f>
        <v>0</v>
      </c>
      <c r="AF164" s="899" t="b">
        <f t="shared" si="32"/>
        <v>0</v>
      </c>
      <c r="AG164" s="899" t="b">
        <f t="shared" si="32"/>
        <v>0</v>
      </c>
      <c r="AH164" s="899" t="b">
        <f t="shared" si="32"/>
        <v>0</v>
      </c>
      <c r="AI164" s="899" t="b">
        <f t="shared" si="32"/>
        <v>0</v>
      </c>
      <c r="AJ164" s="899" t="b">
        <f t="shared" si="32"/>
        <v>0</v>
      </c>
      <c r="AK164" s="899" t="b">
        <f t="shared" si="32"/>
        <v>0</v>
      </c>
      <c r="AL164" s="899" t="b">
        <f t="shared" si="32"/>
        <v>0</v>
      </c>
      <c r="AM164" s="899" t="b">
        <f t="shared" si="32"/>
        <v>0</v>
      </c>
      <c r="AN164" s="899" t="b">
        <f t="shared" si="32"/>
        <v>0</v>
      </c>
      <c r="AO164" s="899" t="b">
        <f t="shared" si="32"/>
        <v>0</v>
      </c>
      <c r="AP164" s="899" t="b">
        <f t="shared" si="32"/>
        <v>0</v>
      </c>
      <c r="AQ164" s="899" t="b">
        <f t="shared" si="32"/>
        <v>0</v>
      </c>
      <c r="AR164" s="899" t="b">
        <f t="shared" si="32"/>
        <v>0</v>
      </c>
      <c r="AS164" s="899" t="b">
        <f t="shared" si="32"/>
        <v>0</v>
      </c>
      <c r="AT164" s="899" t="b">
        <f t="shared" si="32"/>
        <v>0</v>
      </c>
      <c r="AU164" s="899" t="b">
        <f t="shared" si="32"/>
        <v>0</v>
      </c>
      <c r="AV164" s="899" t="b">
        <f t="shared" si="32"/>
        <v>0</v>
      </c>
      <c r="AW164" s="899" t="b">
        <f t="shared" si="32"/>
        <v>0</v>
      </c>
      <c r="AX164" s="899" t="b">
        <f t="shared" si="32"/>
        <v>0</v>
      </c>
      <c r="AY164" s="899" t="b">
        <f t="shared" si="32"/>
        <v>0</v>
      </c>
      <c r="AZ164" s="899" t="b">
        <f t="shared" si="32"/>
        <v>0</v>
      </c>
      <c r="BA164" s="899" t="b">
        <f t="shared" si="32"/>
        <v>0</v>
      </c>
      <c r="BB164" s="915" t="b">
        <f t="shared" si="32"/>
        <v>0</v>
      </c>
      <c r="BC164" s="916"/>
      <c r="BF164" s="694"/>
      <c r="BG164" s="694"/>
      <c r="BH164" s="694"/>
      <c r="BI164" s="503"/>
      <c r="BJ164" s="503"/>
    </row>
    <row r="165" spans="2:62" ht="14.65" hidden="1" customHeight="1">
      <c r="B165" s="350"/>
      <c r="E165" s="502">
        <v>15</v>
      </c>
      <c r="F165" s="280" t="str" cm="1">
        <f t="array" aca="1" ref="F165" ca="1">OFFSET(E165,-1,1)</f>
        <v>1</v>
      </c>
      <c r="L165" s="615"/>
      <c r="T165" s="365" t="b">
        <f ca="1">AND(F165&gt;0,Y164&gt;0)</f>
        <v>0</v>
      </c>
      <c r="X165" s="1142"/>
      <c r="Y165" s="999"/>
      <c r="Z165" s="1143"/>
      <c r="AA165" s="1141"/>
      <c r="AB165" s="884" t="str">
        <f>"8."&amp;Y164</f>
        <v>8.0</v>
      </c>
      <c r="AC165" s="900"/>
      <c r="AD165" s="898"/>
      <c r="BF165" s="694"/>
      <c r="BG165" s="694"/>
      <c r="BH165" s="694"/>
      <c r="BI165" s="503"/>
      <c r="BJ165" s="503"/>
    </row>
    <row r="166" spans="2:62" ht="14.65" hidden="1" customHeight="1">
      <c r="B166" s="350"/>
      <c r="E166" s="502">
        <v>15</v>
      </c>
      <c r="F166" s="280" t="str" cm="1">
        <f t="array" aca="1" ref="F166" ca="1">OFFSET(E166,-1,1)</f>
        <v>1</v>
      </c>
      <c r="L166" s="615"/>
      <c r="T166" s="365" t="b" cm="1">
        <f t="array" aca="1" ref="T166" ca="1">T165</f>
        <v>0</v>
      </c>
      <c r="X166" s="1142"/>
      <c r="Y166" s="999"/>
      <c r="Z166" s="1143"/>
      <c r="AA166" s="1141"/>
      <c r="AB166" s="884" t="str">
        <f>AB165&amp;".1"</f>
        <v>8.0.1</v>
      </c>
      <c r="AC166" s="911" t="s">
        <v>1070</v>
      </c>
      <c r="AD166" s="886" t="s">
        <v>804</v>
      </c>
      <c r="AE166" s="912"/>
      <c r="AF166" s="913"/>
      <c r="AG166" s="912"/>
      <c r="AH166" s="912"/>
      <c r="AI166" s="913"/>
      <c r="AJ166" s="913"/>
      <c r="AK166" s="913"/>
      <c r="AL166" s="913"/>
      <c r="AM166" s="913"/>
      <c r="AN166" s="913"/>
      <c r="AO166" s="913"/>
      <c r="AP166" s="913"/>
      <c r="AQ166" s="913"/>
      <c r="AR166" s="913"/>
      <c r="AS166" s="912"/>
      <c r="AT166" s="912"/>
      <c r="AU166" s="912"/>
      <c r="AV166" s="912"/>
      <c r="AW166" s="912"/>
      <c r="AX166" s="912"/>
      <c r="AY166" s="912"/>
      <c r="AZ166" s="912"/>
      <c r="BA166" s="912"/>
      <c r="BB166" s="912"/>
      <c r="BC166" s="917"/>
      <c r="BF166" s="691" t="s">
        <v>1071</v>
      </c>
      <c r="BG166" s="694" t="s">
        <v>1136</v>
      </c>
      <c r="BH166" s="904" cm="1">
        <f t="array" ref="BH166">AC165</f>
        <v>0</v>
      </c>
      <c r="BI166" s="503"/>
      <c r="BJ166" s="503" t="b">
        <v>1</v>
      </c>
    </row>
    <row r="167" spans="2:62" ht="14.65" hidden="1" customHeight="1">
      <c r="B167" s="350"/>
      <c r="E167" s="502">
        <v>15</v>
      </c>
      <c r="F167" s="280" t="str" cm="1">
        <f t="array" aca="1" ref="F167" ca="1">OFFSET(E167,-1,1)</f>
        <v>1</v>
      </c>
      <c r="L167" s="615"/>
      <c r="T167" s="365" t="b" cm="1">
        <f t="array" aca="1" ref="T167" ca="1">T166</f>
        <v>0</v>
      </c>
      <c r="X167" s="1142"/>
      <c r="Y167" s="999"/>
      <c r="Z167" s="1143"/>
      <c r="AA167" s="1141"/>
      <c r="AB167" s="884" t="str">
        <f>AB166&amp;".1"</f>
        <v>8.0.1.1</v>
      </c>
      <c r="AC167" s="893" t="s">
        <v>1137</v>
      </c>
      <c r="AD167" s="884" t="s">
        <v>534</v>
      </c>
      <c r="AE167" s="912"/>
      <c r="AF167" s="913"/>
      <c r="AG167" s="912"/>
      <c r="AH167" s="912"/>
      <c r="AI167" s="913"/>
      <c r="AJ167" s="913"/>
      <c r="AK167" s="913"/>
      <c r="AL167" s="913"/>
      <c r="AM167" s="913"/>
      <c r="AN167" s="913"/>
      <c r="AO167" s="913"/>
      <c r="AP167" s="913"/>
      <c r="AQ167" s="913"/>
      <c r="AR167" s="913"/>
      <c r="AS167" s="912"/>
      <c r="AT167" s="912"/>
      <c r="AU167" s="912"/>
      <c r="AV167" s="912"/>
      <c r="AW167" s="912"/>
      <c r="AX167" s="912"/>
      <c r="AY167" s="912"/>
      <c r="AZ167" s="912"/>
      <c r="BA167" s="912"/>
      <c r="BB167" s="912"/>
      <c r="BC167" s="917"/>
      <c r="BF167" s="691" t="s">
        <v>1074</v>
      </c>
      <c r="BG167" s="694" t="s">
        <v>1136</v>
      </c>
      <c r="BH167" s="904" cm="1">
        <f t="array" ref="BH167">BH166</f>
        <v>0</v>
      </c>
      <c r="BI167" s="503"/>
      <c r="BJ167" s="503"/>
    </row>
    <row r="168" spans="2:62" ht="14.65" hidden="1" customHeight="1">
      <c r="B168" s="350"/>
      <c r="E168" s="502">
        <v>15</v>
      </c>
      <c r="F168" s="280" t="str" cm="1">
        <f t="array" aca="1" ref="F168" ca="1">OFFSET(E168,-1,1)</f>
        <v>1</v>
      </c>
      <c r="L168" s="615"/>
      <c r="T168" s="365" t="b" cm="1">
        <f t="array" aca="1" ref="T168" ca="1">T167</f>
        <v>0</v>
      </c>
      <c r="X168" s="1142"/>
      <c r="Y168" s="999"/>
      <c r="Z168" s="1143"/>
      <c r="AA168" s="1141"/>
      <c r="AB168" s="884" t="str">
        <f>AB166&amp;".2"</f>
        <v>8.0.1.2</v>
      </c>
      <c r="AC168" s="893" t="s">
        <v>1138</v>
      </c>
      <c r="AD168" s="884" t="s">
        <v>1076</v>
      </c>
      <c r="AE168" s="912"/>
      <c r="AF168" s="913"/>
      <c r="AG168" s="913"/>
      <c r="AH168" s="912"/>
      <c r="AI168" s="913"/>
      <c r="AJ168" s="913"/>
      <c r="AK168" s="913"/>
      <c r="AL168" s="913"/>
      <c r="AM168" s="913"/>
      <c r="AN168" s="913"/>
      <c r="AO168" s="913"/>
      <c r="AP168" s="913"/>
      <c r="AQ168" s="913"/>
      <c r="AR168" s="913"/>
      <c r="AS168" s="913"/>
      <c r="AT168" s="913"/>
      <c r="AU168" s="913"/>
      <c r="AV168" s="913"/>
      <c r="AW168" s="913"/>
      <c r="AX168" s="913"/>
      <c r="AY168" s="913"/>
      <c r="AZ168" s="913"/>
      <c r="BA168" s="913"/>
      <c r="BB168" s="918"/>
      <c r="BC168" s="917"/>
      <c r="BF168" s="691" t="s">
        <v>1077</v>
      </c>
      <c r="BG168" s="694" t="s">
        <v>1136</v>
      </c>
      <c r="BH168" s="904" cm="1">
        <f t="array" ref="BH168">BH167</f>
        <v>0</v>
      </c>
      <c r="BI168" s="503"/>
      <c r="BJ168" s="503"/>
    </row>
    <row r="169" spans="2:62" ht="14.65" customHeight="1">
      <c r="B169" s="350"/>
      <c r="E169" s="502">
        <v>15</v>
      </c>
      <c r="F169" s="280" t="str" cm="1">
        <f t="array" aca="1" ref="F169" ca="1">OFFSET(E169,-1,1)</f>
        <v>1</v>
      </c>
      <c r="L169" s="615"/>
      <c r="T169" s="365" t="b">
        <f ca="1">F169&gt;0</f>
        <v>1</v>
      </c>
      <c r="W169" s="508" t="s">
        <v>1139</v>
      </c>
      <c r="X169" s="1142"/>
      <c r="Z169" s="1143"/>
      <c r="AB169" s="908"/>
      <c r="AC169" s="909" t="s">
        <v>1079</v>
      </c>
      <c r="AD169" s="909"/>
      <c r="AE169" s="909"/>
      <c r="AF169" s="909"/>
      <c r="AG169" s="909"/>
      <c r="AH169" s="909"/>
      <c r="AI169" s="909"/>
      <c r="AJ169" s="909"/>
      <c r="AK169" s="909"/>
      <c r="AL169" s="909"/>
      <c r="AM169" s="909"/>
      <c r="AN169" s="909"/>
      <c r="AO169" s="909"/>
      <c r="AP169" s="909"/>
      <c r="AQ169" s="909"/>
      <c r="AR169" s="909"/>
      <c r="AS169" s="909"/>
      <c r="AT169" s="909"/>
      <c r="AU169" s="909"/>
      <c r="AV169" s="909"/>
      <c r="AW169" s="909"/>
      <c r="AX169" s="909"/>
      <c r="AY169" s="909"/>
      <c r="AZ169" s="909"/>
      <c r="BA169" s="909"/>
      <c r="BB169" s="909"/>
      <c r="BC169" s="914"/>
      <c r="BF169" s="694"/>
      <c r="BG169" s="694"/>
      <c r="BH169" s="694"/>
      <c r="BI169" s="503" t="s">
        <v>1136</v>
      </c>
      <c r="BJ169" s="503"/>
    </row>
    <row r="170" spans="2:62" s="86" customFormat="1" ht="0" hidden="1" customHeight="1">
      <c r="B170" s="350"/>
      <c r="E170" s="503">
        <v>15</v>
      </c>
      <c r="F170" s="3" t="str" cm="1">
        <f t="array" aca="1" ref="F170" ca="1">OFFSET(E170,-1,1)</f>
        <v>1</v>
      </c>
      <c r="G170" s="85"/>
      <c r="K170" s="611" t="str">
        <f ca="1">F96&amp;"9komm"</f>
        <v>19komm</v>
      </c>
      <c r="L170" s="615" cm="1">
        <f t="array" ref="L170">BC170</f>
        <v>0</v>
      </c>
      <c r="T170" s="365" t="b" cm="1">
        <f t="array" aca="1" ref="T170" ca="1">T163</f>
        <v>1</v>
      </c>
      <c r="X170" s="999"/>
      <c r="Z170" s="1144"/>
      <c r="AB170" s="143">
        <v>9</v>
      </c>
      <c r="AC170" s="144" t="s">
        <v>1140</v>
      </c>
      <c r="AD170" s="143" t="s">
        <v>804</v>
      </c>
      <c r="AE170" s="897">
        <f t="shared" ref="AE170:BB170" si="33">SUMIF($AD173:$AD176,$AD170,AE173:AE176)</f>
        <v>0</v>
      </c>
      <c r="AF170" s="897">
        <f t="shared" si="33"/>
        <v>0</v>
      </c>
      <c r="AG170" s="897">
        <f t="shared" si="33"/>
        <v>0</v>
      </c>
      <c r="AH170" s="897">
        <f t="shared" si="33"/>
        <v>0</v>
      </c>
      <c r="AI170" s="897">
        <f t="shared" si="33"/>
        <v>0</v>
      </c>
      <c r="AJ170" s="783">
        <f t="shared" si="33"/>
        <v>0</v>
      </c>
      <c r="AK170" s="783">
        <f t="shared" si="33"/>
        <v>0</v>
      </c>
      <c r="AL170" s="783">
        <f t="shared" si="33"/>
        <v>0</v>
      </c>
      <c r="AM170" s="783">
        <f t="shared" si="33"/>
        <v>0</v>
      </c>
      <c r="AN170" s="783">
        <f t="shared" si="33"/>
        <v>0</v>
      </c>
      <c r="AO170" s="783">
        <f t="shared" si="33"/>
        <v>0</v>
      </c>
      <c r="AP170" s="783">
        <f t="shared" si="33"/>
        <v>0</v>
      </c>
      <c r="AQ170" s="783">
        <f t="shared" si="33"/>
        <v>0</v>
      </c>
      <c r="AR170" s="783">
        <f t="shared" si="33"/>
        <v>0</v>
      </c>
      <c r="AS170" s="897">
        <f t="shared" si="33"/>
        <v>0</v>
      </c>
      <c r="AT170" s="783">
        <f t="shared" si="33"/>
        <v>0</v>
      </c>
      <c r="AU170" s="783">
        <f t="shared" si="33"/>
        <v>0</v>
      </c>
      <c r="AV170" s="783">
        <f t="shared" si="33"/>
        <v>0</v>
      </c>
      <c r="AW170" s="783">
        <f t="shared" si="33"/>
        <v>0</v>
      </c>
      <c r="AX170" s="783">
        <f t="shared" si="33"/>
        <v>0</v>
      </c>
      <c r="AY170" s="783">
        <f t="shared" si="33"/>
        <v>0</v>
      </c>
      <c r="AZ170" s="783">
        <f t="shared" si="33"/>
        <v>0</v>
      </c>
      <c r="BA170" s="783">
        <f t="shared" si="33"/>
        <v>0</v>
      </c>
      <c r="BB170" s="783">
        <f t="shared" si="33"/>
        <v>0</v>
      </c>
      <c r="BC170" s="132"/>
      <c r="BF170" s="694" t="s">
        <v>1141</v>
      </c>
      <c r="BG170" s="694"/>
      <c r="BH170" s="694"/>
      <c r="BI170" s="503"/>
      <c r="BJ170" s="503"/>
    </row>
    <row r="171" spans="2:62" ht="14.65" hidden="1" customHeight="1">
      <c r="B171" s="350"/>
      <c r="E171" s="502">
        <v>15</v>
      </c>
      <c r="F171" s="280" t="str" cm="1">
        <f t="array" aca="1" ref="F171" ca="1">OFFSET(E171,-1,1)</f>
        <v>1</v>
      </c>
      <c r="L171" s="615"/>
      <c r="T171" s="365" t="b">
        <v>0</v>
      </c>
      <c r="W171" s="85" t="s">
        <v>173</v>
      </c>
      <c r="X171" s="1142"/>
      <c r="Y171" s="999">
        <v>0</v>
      </c>
      <c r="Z171" s="1143"/>
      <c r="AA171" s="1141" t="s">
        <v>174</v>
      </c>
      <c r="AB171" s="886"/>
      <c r="AC171" s="919"/>
      <c r="AD171" s="898"/>
      <c r="AE171" s="899" t="b">
        <f t="shared" ref="AE171:BB171" si="34">OR(AND(AE173&lt;&gt;"",AE174=""),AND(AE173="",AE174&lt;&gt;""))</f>
        <v>0</v>
      </c>
      <c r="AF171" s="899" t="b">
        <f t="shared" si="34"/>
        <v>0</v>
      </c>
      <c r="AG171" s="899" t="b">
        <f t="shared" si="34"/>
        <v>0</v>
      </c>
      <c r="AH171" s="899" t="b">
        <f t="shared" si="34"/>
        <v>0</v>
      </c>
      <c r="AI171" s="899" t="b">
        <f t="shared" si="34"/>
        <v>0</v>
      </c>
      <c r="AJ171" s="899" t="b">
        <f t="shared" si="34"/>
        <v>0</v>
      </c>
      <c r="AK171" s="899" t="b">
        <f t="shared" si="34"/>
        <v>0</v>
      </c>
      <c r="AL171" s="899" t="b">
        <f t="shared" si="34"/>
        <v>0</v>
      </c>
      <c r="AM171" s="899" t="b">
        <f t="shared" si="34"/>
        <v>0</v>
      </c>
      <c r="AN171" s="899" t="b">
        <f t="shared" si="34"/>
        <v>0</v>
      </c>
      <c r="AO171" s="899" t="b">
        <f t="shared" si="34"/>
        <v>0</v>
      </c>
      <c r="AP171" s="899" t="b">
        <f t="shared" si="34"/>
        <v>0</v>
      </c>
      <c r="AQ171" s="899" t="b">
        <f t="shared" si="34"/>
        <v>0</v>
      </c>
      <c r="AR171" s="899" t="b">
        <f t="shared" si="34"/>
        <v>0</v>
      </c>
      <c r="AS171" s="899" t="b">
        <f t="shared" si="34"/>
        <v>0</v>
      </c>
      <c r="AT171" s="899" t="b">
        <f t="shared" si="34"/>
        <v>0</v>
      </c>
      <c r="AU171" s="899" t="b">
        <f t="shared" si="34"/>
        <v>0</v>
      </c>
      <c r="AV171" s="899" t="b">
        <f t="shared" si="34"/>
        <v>0</v>
      </c>
      <c r="AW171" s="899" t="b">
        <f t="shared" si="34"/>
        <v>0</v>
      </c>
      <c r="AX171" s="899" t="b">
        <f t="shared" si="34"/>
        <v>0</v>
      </c>
      <c r="AY171" s="899" t="b">
        <f t="shared" si="34"/>
        <v>0</v>
      </c>
      <c r="AZ171" s="899" t="b">
        <f t="shared" si="34"/>
        <v>0</v>
      </c>
      <c r="BA171" s="899" t="b">
        <f t="shared" si="34"/>
        <v>0</v>
      </c>
      <c r="BB171" s="915" t="b">
        <f t="shared" si="34"/>
        <v>0</v>
      </c>
      <c r="BC171" s="916"/>
      <c r="BF171" s="694"/>
      <c r="BG171" s="694"/>
      <c r="BH171" s="694"/>
      <c r="BI171" s="503"/>
      <c r="BJ171" s="503"/>
    </row>
    <row r="172" spans="2:62" ht="14.65" hidden="1" customHeight="1">
      <c r="B172" s="350"/>
      <c r="E172" s="502">
        <v>15</v>
      </c>
      <c r="F172" s="280" t="str" cm="1">
        <f t="array" aca="1" ref="F172" ca="1">OFFSET(E172,-1,1)</f>
        <v>1</v>
      </c>
      <c r="L172" s="615"/>
      <c r="T172" s="365" t="b">
        <f ca="1">AND(F172&gt;0,Y171&gt;0)</f>
        <v>0</v>
      </c>
      <c r="X172" s="1142"/>
      <c r="Y172" s="999"/>
      <c r="Z172" s="1143"/>
      <c r="AA172" s="1141"/>
      <c r="AB172" s="884" t="str">
        <f>"9."&amp;Y171</f>
        <v>9.0</v>
      </c>
      <c r="AC172" s="920"/>
      <c r="AD172" s="898"/>
      <c r="BF172" s="694"/>
      <c r="BG172" s="694"/>
      <c r="BH172" s="694"/>
      <c r="BI172" s="503"/>
      <c r="BJ172" s="503"/>
    </row>
    <row r="173" spans="2:62" ht="14.65" hidden="1" customHeight="1">
      <c r="B173" s="350"/>
      <c r="E173" s="502">
        <v>15</v>
      </c>
      <c r="F173" s="280" t="str" cm="1">
        <f t="array" aca="1" ref="F173" ca="1">OFFSET(E173,-1,1)</f>
        <v>1</v>
      </c>
      <c r="L173" s="615"/>
      <c r="T173" s="365" t="b" cm="1">
        <f t="array" aca="1" ref="T173" ca="1">T172</f>
        <v>0</v>
      </c>
      <c r="X173" s="1142"/>
      <c r="Y173" s="999"/>
      <c r="Z173" s="1143"/>
      <c r="AA173" s="1141"/>
      <c r="AB173" s="884" t="str">
        <f>AB172&amp;".1"</f>
        <v>9.0.1</v>
      </c>
      <c r="AC173" s="911" t="s">
        <v>1070</v>
      </c>
      <c r="AD173" s="886" t="s">
        <v>804</v>
      </c>
      <c r="AE173" s="912"/>
      <c r="AF173" s="913"/>
      <c r="AG173" s="912"/>
      <c r="AH173" s="912"/>
      <c r="AI173" s="913"/>
      <c r="AJ173" s="913"/>
      <c r="AK173" s="913"/>
      <c r="AL173" s="913"/>
      <c r="AM173" s="913"/>
      <c r="AN173" s="913"/>
      <c r="AO173" s="913"/>
      <c r="AP173" s="913"/>
      <c r="AQ173" s="913"/>
      <c r="AR173" s="913"/>
      <c r="AS173" s="912"/>
      <c r="AT173" s="912"/>
      <c r="AU173" s="912"/>
      <c r="AV173" s="912"/>
      <c r="AW173" s="912"/>
      <c r="AX173" s="912"/>
      <c r="AY173" s="912"/>
      <c r="AZ173" s="912"/>
      <c r="BA173" s="912"/>
      <c r="BB173" s="912"/>
      <c r="BC173" s="917"/>
      <c r="BF173" s="691" t="s">
        <v>1071</v>
      </c>
      <c r="BG173" s="694" t="s">
        <v>1142</v>
      </c>
      <c r="BH173" s="904" cm="1">
        <f t="array" ref="BH173">AC172</f>
        <v>0</v>
      </c>
      <c r="BI173" s="503"/>
      <c r="BJ173" s="503" t="b">
        <v>1</v>
      </c>
    </row>
    <row r="174" spans="2:62" ht="14.65" hidden="1" customHeight="1">
      <c r="B174" s="350"/>
      <c r="E174" s="502">
        <v>15</v>
      </c>
      <c r="F174" s="280" t="str" cm="1">
        <f t="array" aca="1" ref="F174" ca="1">OFFSET(E174,-1,1)</f>
        <v>1</v>
      </c>
      <c r="L174" s="615"/>
      <c r="T174" s="365" t="b" cm="1">
        <f t="array" aca="1" ref="T174" ca="1">T173</f>
        <v>0</v>
      </c>
      <c r="X174" s="1142"/>
      <c r="Y174" s="999"/>
      <c r="Z174" s="1143"/>
      <c r="AA174" s="1141"/>
      <c r="AB174" s="884" t="str">
        <f>AB173&amp;".1"</f>
        <v>9.0.1.1</v>
      </c>
      <c r="AC174" s="893" t="s">
        <v>1143</v>
      </c>
      <c r="AD174" s="884"/>
      <c r="AE174" s="912"/>
      <c r="AF174" s="913"/>
      <c r="AG174" s="912"/>
      <c r="AH174" s="912"/>
      <c r="AI174" s="913"/>
      <c r="AJ174" s="913"/>
      <c r="AK174" s="913"/>
      <c r="AL174" s="913"/>
      <c r="AM174" s="913"/>
      <c r="AN174" s="913"/>
      <c r="AO174" s="913"/>
      <c r="AP174" s="913"/>
      <c r="AQ174" s="913"/>
      <c r="AR174" s="913"/>
      <c r="AS174" s="912"/>
      <c r="AT174" s="912"/>
      <c r="AU174" s="912"/>
      <c r="AV174" s="912"/>
      <c r="AW174" s="912"/>
      <c r="AX174" s="912"/>
      <c r="AY174" s="912"/>
      <c r="AZ174" s="912"/>
      <c r="BA174" s="912"/>
      <c r="BB174" s="912"/>
      <c r="BC174" s="917"/>
      <c r="BF174" s="691" t="s">
        <v>1074</v>
      </c>
      <c r="BG174" s="694" t="s">
        <v>1142</v>
      </c>
      <c r="BH174" s="904" cm="1">
        <f t="array" ref="BH174">BH173</f>
        <v>0</v>
      </c>
      <c r="BI174" s="503"/>
      <c r="BJ174" s="503"/>
    </row>
    <row r="175" spans="2:62" ht="14.65" hidden="1" customHeight="1">
      <c r="B175" s="350"/>
      <c r="E175" s="502">
        <v>15</v>
      </c>
      <c r="F175" s="280" t="str" cm="1">
        <f t="array" aca="1" ref="F175" ca="1">OFFSET(E175,-1,1)</f>
        <v>1</v>
      </c>
      <c r="L175" s="615"/>
      <c r="T175" s="365" t="b" cm="1">
        <f t="array" aca="1" ref="T175" ca="1">T174</f>
        <v>0</v>
      </c>
      <c r="X175" s="1142"/>
      <c r="Y175" s="999"/>
      <c r="Z175" s="1143"/>
      <c r="AA175" s="1141"/>
      <c r="AB175" s="884" t="str">
        <f>AB173&amp;".2"</f>
        <v>9.0.1.2</v>
      </c>
      <c r="AC175" s="893" t="s">
        <v>1144</v>
      </c>
      <c r="AD175" s="884"/>
      <c r="AE175" s="912"/>
      <c r="AF175" s="913"/>
      <c r="AG175" s="913"/>
      <c r="AH175" s="912"/>
      <c r="AI175" s="913"/>
      <c r="AJ175" s="913"/>
      <c r="AK175" s="913"/>
      <c r="AL175" s="913"/>
      <c r="AM175" s="913"/>
      <c r="AN175" s="913"/>
      <c r="AO175" s="913"/>
      <c r="AP175" s="913"/>
      <c r="AQ175" s="913"/>
      <c r="AR175" s="913"/>
      <c r="AS175" s="913"/>
      <c r="AT175" s="913"/>
      <c r="AU175" s="913"/>
      <c r="AV175" s="913"/>
      <c r="AW175" s="913"/>
      <c r="AX175" s="913"/>
      <c r="AY175" s="913"/>
      <c r="AZ175" s="913"/>
      <c r="BA175" s="913"/>
      <c r="BB175" s="918"/>
      <c r="BC175" s="917"/>
      <c r="BF175" s="691" t="s">
        <v>1077</v>
      </c>
      <c r="BG175" s="694" t="s">
        <v>1142</v>
      </c>
      <c r="BH175" s="904" cm="1">
        <f t="array" ref="BH175">BH174</f>
        <v>0</v>
      </c>
      <c r="BI175" s="503"/>
      <c r="BJ175" s="503"/>
    </row>
    <row r="176" spans="2:62" ht="14.65" customHeight="1">
      <c r="B176" s="350"/>
      <c r="E176" s="502">
        <v>15</v>
      </c>
      <c r="F176" s="280" t="str" cm="1">
        <f t="array" aca="1" ref="F176" ca="1">OFFSET(E176,-1,1)</f>
        <v>1</v>
      </c>
      <c r="L176" s="615"/>
      <c r="T176" s="365" t="b">
        <f ca="1">F176&gt;0</f>
        <v>1</v>
      </c>
      <c r="W176" s="508" t="s">
        <v>1145</v>
      </c>
      <c r="X176" s="1142"/>
      <c r="Z176" s="1143"/>
      <c r="AB176" s="908"/>
      <c r="AC176" s="909" t="s">
        <v>1079</v>
      </c>
      <c r="AD176" s="909"/>
      <c r="AE176" s="909"/>
      <c r="AF176" s="909"/>
      <c r="AG176" s="909"/>
      <c r="AH176" s="909"/>
      <c r="AI176" s="909"/>
      <c r="AJ176" s="909"/>
      <c r="AK176" s="909"/>
      <c r="AL176" s="909"/>
      <c r="AM176" s="909"/>
      <c r="AN176" s="909"/>
      <c r="AO176" s="909"/>
      <c r="AP176" s="909"/>
      <c r="AQ176" s="909"/>
      <c r="AR176" s="909"/>
      <c r="AS176" s="909"/>
      <c r="AT176" s="909"/>
      <c r="AU176" s="909"/>
      <c r="AV176" s="909"/>
      <c r="AW176" s="909"/>
      <c r="AX176" s="909"/>
      <c r="AY176" s="909"/>
      <c r="AZ176" s="909"/>
      <c r="BA176" s="909"/>
      <c r="BB176" s="909"/>
      <c r="BC176" s="914"/>
      <c r="BF176" s="694"/>
      <c r="BG176" s="694"/>
      <c r="BH176" s="694"/>
      <c r="BI176" s="503" t="s">
        <v>1142</v>
      </c>
      <c r="BJ176" s="503"/>
    </row>
    <row r="177" spans="5:62" ht="14.25" customHeight="1">
      <c r="E177" s="502">
        <v>15</v>
      </c>
      <c r="F177" s="36" t="str" cm="1">
        <f t="array" ref="F177">X177</f>
        <v>2</v>
      </c>
      <c r="I177" s="85" t="s">
        <v>1066</v>
      </c>
      <c r="T177" s="365" t="b">
        <f>X177&gt;0</f>
        <v>1</v>
      </c>
      <c r="V177" s="85" t="str" cm="1">
        <f t="array" ref="V177">Аренда!$AB$47</f>
        <v>Тариф 2 (Водоотведение) - тариф на водоотведение (Доп. признак не требуется)</v>
      </c>
      <c r="X177" s="999" t="s">
        <v>285</v>
      </c>
      <c r="Y177" s="504"/>
      <c r="Z177" s="1144"/>
      <c r="AB177" s="154" t="str" cm="1">
        <f t="array" ref="AB177">Аренда!$AB$47</f>
        <v>Тариф 2 (Водоотведение) - тариф на водоотведение (Доп. признак не требуется)</v>
      </c>
      <c r="AC177" s="113"/>
      <c r="AD177" s="113"/>
      <c r="AE177" s="227">
        <f t="shared" ref="AE177:BB177" si="35">AE185+AE192+AE199+AE206+AE178+AE213+AE233+AE240+AE247</f>
        <v>1000.4095929484801</v>
      </c>
      <c r="AF177" s="227">
        <f t="shared" si="35"/>
        <v>929.87545999999998</v>
      </c>
      <c r="AG177" s="227">
        <f t="shared" si="35"/>
        <v>929.87545999999998</v>
      </c>
      <c r="AH177" s="227">
        <f t="shared" si="35"/>
        <v>913.3</v>
      </c>
      <c r="AI177" s="227">
        <f t="shared" si="35"/>
        <v>1090.6802</v>
      </c>
      <c r="AJ177" s="227">
        <f t="shared" si="35"/>
        <v>0</v>
      </c>
      <c r="AK177" s="227">
        <f t="shared" si="35"/>
        <v>0</v>
      </c>
      <c r="AL177" s="227">
        <f t="shared" si="35"/>
        <v>0</v>
      </c>
      <c r="AM177" s="227">
        <f t="shared" si="35"/>
        <v>0</v>
      </c>
      <c r="AN177" s="227">
        <f t="shared" si="35"/>
        <v>0</v>
      </c>
      <c r="AO177" s="227">
        <f t="shared" si="35"/>
        <v>0</v>
      </c>
      <c r="AP177" s="227">
        <f t="shared" si="35"/>
        <v>0</v>
      </c>
      <c r="AQ177" s="227">
        <f t="shared" si="35"/>
        <v>0</v>
      </c>
      <c r="AR177" s="227">
        <f t="shared" si="35"/>
        <v>0</v>
      </c>
      <c r="AS177" s="227">
        <f t="shared" si="35"/>
        <v>1253.34825</v>
      </c>
      <c r="AT177" s="227">
        <f t="shared" si="35"/>
        <v>0</v>
      </c>
      <c r="AU177" s="227">
        <f t="shared" si="35"/>
        <v>0</v>
      </c>
      <c r="AV177" s="227">
        <f t="shared" si="35"/>
        <v>0</v>
      </c>
      <c r="AW177" s="227">
        <f t="shared" si="35"/>
        <v>0</v>
      </c>
      <c r="AX177" s="227">
        <f t="shared" si="35"/>
        <v>0</v>
      </c>
      <c r="AY177" s="227">
        <f t="shared" si="35"/>
        <v>0</v>
      </c>
      <c r="AZ177" s="227">
        <f t="shared" si="35"/>
        <v>0</v>
      </c>
      <c r="BA177" s="227">
        <f t="shared" si="35"/>
        <v>0</v>
      </c>
      <c r="BB177" s="227">
        <f t="shared" si="35"/>
        <v>0</v>
      </c>
      <c r="BC177" s="156"/>
    </row>
    <row r="178" spans="5:62" ht="0" hidden="1" customHeight="1">
      <c r="E178" s="502">
        <v>15</v>
      </c>
      <c r="F178" s="3" t="str" cm="1">
        <f t="array" aca="1" ref="F178" ca="1">OFFSET(E178,-1,1)</f>
        <v>2</v>
      </c>
      <c r="G178" s="85" t="s">
        <v>327</v>
      </c>
      <c r="K178" s="611" t="str">
        <f ca="1">F178&amp;"1komm"</f>
        <v>21komm</v>
      </c>
      <c r="L178" s="615" cm="1">
        <f t="array" ref="L178">BC178</f>
        <v>0</v>
      </c>
      <c r="T178" s="365" t="b" cm="1">
        <f t="array" ref="T178">T177</f>
        <v>1</v>
      </c>
      <c r="X178" s="999"/>
      <c r="Z178" s="1144"/>
      <c r="AB178" s="143">
        <v>1</v>
      </c>
      <c r="AC178" s="144" t="s">
        <v>1067</v>
      </c>
      <c r="AD178" s="143" t="s">
        <v>804</v>
      </c>
      <c r="AE178" s="145">
        <f>SUMIF(AD181:AD184,AD178,AE181:AE184)</f>
        <v>0</v>
      </c>
      <c r="AF178" s="145">
        <f>SUMIF(AD181:AD184,AD178,AF181:AF184)</f>
        <v>0</v>
      </c>
      <c r="AG178" s="145">
        <f>SUMIF(AD181:AD184,AD178,AG181:AG184)</f>
        <v>0</v>
      </c>
      <c r="AH178" s="145">
        <f>SUMIF(AD181:AD184,AD178,AH181:AH184)</f>
        <v>0</v>
      </c>
      <c r="AI178" s="145">
        <f>SUMIF(AD181:AD184,AD178,AI181:AI184)</f>
        <v>0</v>
      </c>
      <c r="AJ178" s="783">
        <f>SUMIF(AD181:AD184,AD178,AJ181:AJ184)</f>
        <v>0</v>
      </c>
      <c r="AK178" s="783">
        <f>SUMIF(AD181:AD184,AD178,AK181:AK184)</f>
        <v>0</v>
      </c>
      <c r="AL178" s="783">
        <f>SUMIF(AD181:AD184,AD178,AL181:AL184)</f>
        <v>0</v>
      </c>
      <c r="AM178" s="783">
        <f>SUMIF(AD181:AD184,AD178,AM181:AM184)</f>
        <v>0</v>
      </c>
      <c r="AN178" s="783">
        <f>SUMIF(AD181:AD184,AD178,AN181:AN184)</f>
        <v>0</v>
      </c>
      <c r="AO178" s="783">
        <f>SUMIF(AD181:AD184,AD178,AO181:AO184)</f>
        <v>0</v>
      </c>
      <c r="AP178" s="783">
        <f>SUMIF(AD181:AD184,AD178,AP181:AP184)</f>
        <v>0</v>
      </c>
      <c r="AQ178" s="783">
        <f>SUMIF(AD181:AD184,AD178,AQ181:AQ184)</f>
        <v>0</v>
      </c>
      <c r="AR178" s="783">
        <f>SUMIF(AD181:AD184,AD178,AR181:AR184)</f>
        <v>0</v>
      </c>
      <c r="AS178" s="145">
        <f>SUMIF(AD181:AD184,AD178,AS181:AS184)</f>
        <v>0</v>
      </c>
      <c r="AT178" s="783">
        <f>SUMIF(AD181:AD184,AD178,AT181:AT184)</f>
        <v>0</v>
      </c>
      <c r="AU178" s="783">
        <f>SUMIF(AD181:AD184,AD178,AU181:AU184)</f>
        <v>0</v>
      </c>
      <c r="AV178" s="783">
        <f>SUMIF(AD181:AD184,AD178,AV181:AV184)</f>
        <v>0</v>
      </c>
      <c r="AW178" s="783">
        <f>SUMIF(AD181:AD184,AD178,AW181:AW184)</f>
        <v>0</v>
      </c>
      <c r="AX178" s="783">
        <f>SUMIF(AD181:AD184,AD178,AX181:AX184)</f>
        <v>0</v>
      </c>
      <c r="AY178" s="783">
        <f>SUMIF(AD181:AD184,AD178,AY181:AY184)</f>
        <v>0</v>
      </c>
      <c r="AZ178" s="783">
        <f>SUMIF(AD181:AD184,AD178,AZ181:AZ184)</f>
        <v>0</v>
      </c>
      <c r="BA178" s="783">
        <f>SUMIF(AD181:AD184,AD178,BA181:BA184)</f>
        <v>0</v>
      </c>
      <c r="BB178" s="783">
        <f>SUMIF(AD181:AD184,AD178,BB181:BB184)</f>
        <v>0</v>
      </c>
      <c r="BC178" s="132"/>
      <c r="BF178" s="691" t="s">
        <v>1068</v>
      </c>
    </row>
    <row r="179" spans="5:62" ht="0" hidden="1" customHeight="1">
      <c r="E179" s="502">
        <v>0</v>
      </c>
      <c r="F179" s="3" t="str" cm="1">
        <f t="array" aca="1" ref="F179" ca="1">OFFSET(E179,-1,1)</f>
        <v>2</v>
      </c>
      <c r="L179" s="615"/>
      <c r="T179" s="365" t="b">
        <v>0</v>
      </c>
      <c r="W179" s="85" t="s">
        <v>173</v>
      </c>
      <c r="X179" s="999"/>
      <c r="Y179" s="999">
        <v>0</v>
      </c>
      <c r="Z179" s="1144"/>
      <c r="AA179" s="1148" t="s">
        <v>174</v>
      </c>
      <c r="AB179" s="143"/>
      <c r="AC179" s="144"/>
      <c r="AD179" s="143"/>
      <c r="AE179" s="148" t="b">
        <f t="shared" ref="AE179:BB179" si="36">OR(AND(AE181&lt;&gt;"",AE182=""),AND(AE181="",AE182&lt;&gt;""))</f>
        <v>0</v>
      </c>
      <c r="AF179" s="148" t="b">
        <f t="shared" si="36"/>
        <v>0</v>
      </c>
      <c r="AG179" s="148" t="b">
        <f t="shared" si="36"/>
        <v>0</v>
      </c>
      <c r="AH179" s="148" t="b">
        <f t="shared" si="36"/>
        <v>0</v>
      </c>
      <c r="AI179" s="148" t="b">
        <f t="shared" si="36"/>
        <v>0</v>
      </c>
      <c r="AJ179" s="148" t="b">
        <f t="shared" si="36"/>
        <v>0</v>
      </c>
      <c r="AK179" s="148" t="b">
        <f t="shared" si="36"/>
        <v>0</v>
      </c>
      <c r="AL179" s="148" t="b">
        <f t="shared" si="36"/>
        <v>0</v>
      </c>
      <c r="AM179" s="148" t="b">
        <f t="shared" si="36"/>
        <v>0</v>
      </c>
      <c r="AN179" s="148" t="b">
        <f t="shared" si="36"/>
        <v>0</v>
      </c>
      <c r="AO179" s="148" t="b">
        <f t="shared" si="36"/>
        <v>0</v>
      </c>
      <c r="AP179" s="148" t="b">
        <f t="shared" si="36"/>
        <v>0</v>
      </c>
      <c r="AQ179" s="148" t="b">
        <f t="shared" si="36"/>
        <v>0</v>
      </c>
      <c r="AR179" s="148" t="b">
        <f t="shared" si="36"/>
        <v>0</v>
      </c>
      <c r="AS179" s="148" t="b">
        <f t="shared" si="36"/>
        <v>0</v>
      </c>
      <c r="AT179" s="148" t="b">
        <f t="shared" si="36"/>
        <v>0</v>
      </c>
      <c r="AU179" s="148" t="b">
        <f t="shared" si="36"/>
        <v>0</v>
      </c>
      <c r="AV179" s="148" t="b">
        <f t="shared" si="36"/>
        <v>0</v>
      </c>
      <c r="AW179" s="148" t="b">
        <f t="shared" si="36"/>
        <v>0</v>
      </c>
      <c r="AX179" s="148" t="b">
        <f t="shared" si="36"/>
        <v>0</v>
      </c>
      <c r="AY179" s="148" t="b">
        <f t="shared" si="36"/>
        <v>0</v>
      </c>
      <c r="AZ179" s="148" t="b">
        <f t="shared" si="36"/>
        <v>0</v>
      </c>
      <c r="BA179" s="148" t="b">
        <f t="shared" si="36"/>
        <v>0</v>
      </c>
      <c r="BB179" s="148" t="b">
        <f t="shared" si="36"/>
        <v>0</v>
      </c>
      <c r="BC179" s="652"/>
    </row>
    <row r="180" spans="5:62" ht="14.65" hidden="1" customHeight="1">
      <c r="E180" s="502">
        <v>15</v>
      </c>
      <c r="F180" s="280" t="str" cm="1">
        <f t="array" aca="1" ref="F180" ca="1">OFFSET(E180,-1,1)</f>
        <v>2</v>
      </c>
      <c r="L180" s="615"/>
      <c r="T180" s="365" t="b">
        <f ca="1">AND(Y179&gt;0,F180&gt;0)</f>
        <v>0</v>
      </c>
      <c r="X180" s="1142"/>
      <c r="Y180" s="999"/>
      <c r="Z180" s="1143"/>
      <c r="AA180" s="1147"/>
      <c r="AB180" s="884" t="str">
        <f>"1."&amp;Y179</f>
        <v>1.0</v>
      </c>
      <c r="AC180" s="885" t="s">
        <v>225</v>
      </c>
      <c r="AD180" s="886"/>
      <c r="AE180" s="887"/>
      <c r="AF180" s="888"/>
      <c r="AG180" s="887"/>
      <c r="AH180" s="887"/>
      <c r="AI180" s="887"/>
      <c r="AJ180" s="887"/>
      <c r="AK180" s="887"/>
      <c r="AL180" s="887"/>
      <c r="AM180" s="887"/>
      <c r="AN180" s="887"/>
      <c r="AO180" s="887"/>
      <c r="AP180" s="887"/>
      <c r="AQ180" s="887"/>
      <c r="AR180" s="887"/>
      <c r="AS180" s="888"/>
      <c r="AT180" s="888"/>
      <c r="AU180" s="888"/>
      <c r="AV180" s="888"/>
      <c r="AW180" s="888"/>
      <c r="AX180" s="888"/>
      <c r="AY180" s="888"/>
      <c r="AZ180" s="888"/>
      <c r="BA180" s="888"/>
      <c r="BB180" s="889"/>
      <c r="BC180" s="890"/>
    </row>
    <row r="181" spans="5:62" ht="12.75" hidden="1" customHeight="1">
      <c r="E181" s="502">
        <v>15</v>
      </c>
      <c r="F181" s="3" t="str" cm="1">
        <f t="array" aca="1" ref="F181" ca="1">OFFSET(E181,-1,1)</f>
        <v>2</v>
      </c>
      <c r="G181" s="85" t="s">
        <v>327</v>
      </c>
      <c r="H181" s="88" t="str" cm="1">
        <f t="array" ref="H181">AC181</f>
        <v>Затраты</v>
      </c>
      <c r="I181" s="85" t="s">
        <v>1069</v>
      </c>
      <c r="T181" s="365" t="b" cm="1">
        <f t="array" aca="1" ref="T181" ca="1">T180</f>
        <v>0</v>
      </c>
      <c r="X181" s="999"/>
      <c r="Y181" s="999"/>
      <c r="Z181" s="1144"/>
      <c r="AA181" s="1148"/>
      <c r="AB181" s="26" t="str">
        <f>AB180&amp;".1"</f>
        <v>1.0.1</v>
      </c>
      <c r="AC181" s="891" t="s">
        <v>1070</v>
      </c>
      <c r="AD181" s="143" t="s">
        <v>804</v>
      </c>
      <c r="AE181" s="787"/>
      <c r="AF181" s="787"/>
      <c r="AG181" s="787"/>
      <c r="AH181" s="787"/>
      <c r="AI181" s="787"/>
      <c r="AJ181" s="787"/>
      <c r="AK181" s="787"/>
      <c r="AL181" s="787"/>
      <c r="AM181" s="787"/>
      <c r="AN181" s="787"/>
      <c r="AO181" s="787"/>
      <c r="AP181" s="787"/>
      <c r="AQ181" s="787"/>
      <c r="AR181" s="787"/>
      <c r="AS181" s="787"/>
      <c r="AT181" s="787"/>
      <c r="AU181" s="787"/>
      <c r="AV181" s="787"/>
      <c r="AW181" s="787"/>
      <c r="AX181" s="787"/>
      <c r="AY181" s="787"/>
      <c r="AZ181" s="787"/>
      <c r="BA181" s="787"/>
      <c r="BB181" s="787"/>
      <c r="BC181" s="839"/>
      <c r="BF181" s="691" t="s">
        <v>1071</v>
      </c>
      <c r="BG181" s="691" t="s">
        <v>1072</v>
      </c>
      <c r="BH181" s="691" t="str" cm="1">
        <f t="array" ref="BH181">AC180</f>
        <v/>
      </c>
      <c r="BJ181" s="502" t="b">
        <v>1</v>
      </c>
    </row>
    <row r="182" spans="5:62" ht="0" hidden="1" customHeight="1">
      <c r="E182" s="502">
        <v>15</v>
      </c>
      <c r="F182" s="3" t="str" cm="1">
        <f t="array" aca="1" ref="F182" ca="1">OFFSET(E182,-1,1)</f>
        <v>2</v>
      </c>
      <c r="G182" s="85" t="s">
        <v>461</v>
      </c>
      <c r="H182" s="88" t="str" cm="1">
        <f t="array" ref="H182">H181</f>
        <v>Затраты</v>
      </c>
      <c r="I182" s="85" t="s">
        <v>1069</v>
      </c>
      <c r="T182" s="365" t="b" cm="1">
        <f t="array" aca="1" ref="T182" ca="1">T181</f>
        <v>0</v>
      </c>
      <c r="X182" s="999"/>
      <c r="Y182" s="999"/>
      <c r="Z182" s="1144"/>
      <c r="AA182" s="1148"/>
      <c r="AB182" s="26" t="str">
        <f>AB181&amp;".1"</f>
        <v>1.0.1.1</v>
      </c>
      <c r="AC182" s="153" t="s">
        <v>1073</v>
      </c>
      <c r="AD182" s="26" t="s">
        <v>534</v>
      </c>
      <c r="AE182" s="787"/>
      <c r="AF182" s="787"/>
      <c r="AG182" s="787"/>
      <c r="AH182" s="787"/>
      <c r="AI182" s="787"/>
      <c r="AJ182" s="787"/>
      <c r="AK182" s="787"/>
      <c r="AL182" s="787"/>
      <c r="AM182" s="787"/>
      <c r="AN182" s="787"/>
      <c r="AO182" s="787"/>
      <c r="AP182" s="787"/>
      <c r="AQ182" s="787"/>
      <c r="AR182" s="787"/>
      <c r="AS182" s="787"/>
      <c r="AT182" s="787"/>
      <c r="AU182" s="787"/>
      <c r="AV182" s="787"/>
      <c r="AW182" s="787"/>
      <c r="AX182" s="787"/>
      <c r="AY182" s="787"/>
      <c r="AZ182" s="787"/>
      <c r="BA182" s="787"/>
      <c r="BB182" s="787"/>
      <c r="BC182" s="839"/>
      <c r="BF182" s="691" t="s">
        <v>1074</v>
      </c>
      <c r="BG182" s="691" t="s">
        <v>1072</v>
      </c>
      <c r="BH182" s="691" t="str" cm="1">
        <f t="array" ref="BH182">BH181</f>
        <v/>
      </c>
    </row>
    <row r="183" spans="5:62" ht="14.65" hidden="1" customHeight="1">
      <c r="E183" s="502">
        <v>15</v>
      </c>
      <c r="F183" s="280" t="str" cm="1">
        <f t="array" aca="1" ref="F183" ca="1">OFFSET(E183,-1,1)</f>
        <v>2</v>
      </c>
      <c r="H183" s="88"/>
      <c r="T183" s="365" t="b" cm="1">
        <f t="array" aca="1" ref="T183" ca="1">T182</f>
        <v>0</v>
      </c>
      <c r="X183" s="1142"/>
      <c r="Y183" s="999"/>
      <c r="Z183" s="1143"/>
      <c r="AA183" s="1147"/>
      <c r="AB183" s="892" t="str">
        <f>AB181&amp;".2"</f>
        <v>1.0.1.2</v>
      </c>
      <c r="AC183" s="893" t="s">
        <v>1075</v>
      </c>
      <c r="AD183" s="892" t="s">
        <v>1076</v>
      </c>
      <c r="AE183" s="894"/>
      <c r="AF183" s="894"/>
      <c r="AG183" s="894"/>
      <c r="AH183" s="894"/>
      <c r="AI183" s="894"/>
      <c r="AJ183" s="894"/>
      <c r="AK183" s="894"/>
      <c r="AL183" s="894"/>
      <c r="AM183" s="894"/>
      <c r="AN183" s="894"/>
      <c r="AO183" s="894"/>
      <c r="AP183" s="894"/>
      <c r="AQ183" s="894"/>
      <c r="AR183" s="894"/>
      <c r="AS183" s="894"/>
      <c r="AT183" s="894"/>
      <c r="AU183" s="894"/>
      <c r="AV183" s="894"/>
      <c r="AW183" s="894"/>
      <c r="AX183" s="894"/>
      <c r="AY183" s="894"/>
      <c r="AZ183" s="894"/>
      <c r="BA183" s="894"/>
      <c r="BB183" s="894"/>
      <c r="BC183" s="895"/>
      <c r="BF183" s="691" t="s">
        <v>1077</v>
      </c>
      <c r="BG183" s="691" t="s">
        <v>1072</v>
      </c>
      <c r="BH183" s="896" t="str" cm="1">
        <f t="array" ref="BH183">BH182</f>
        <v/>
      </c>
    </row>
    <row r="184" spans="5:62" ht="0" hidden="1" customHeight="1">
      <c r="E184" s="502">
        <v>15</v>
      </c>
      <c r="F184" s="3" t="str" cm="1">
        <f t="array" aca="1" ref="F184" ca="1">OFFSET(E184,-1,1)</f>
        <v>2</v>
      </c>
      <c r="H184" s="85" t="str">
        <f>"!=='не определено' &amp;&amp; row.l1 !== null"</f>
        <v>!=='не определено' &amp;&amp; row.l1 !== null</v>
      </c>
      <c r="T184" s="365" t="b">
        <f ca="1">F184&gt;0</f>
        <v>1</v>
      </c>
      <c r="W184" s="508" t="s">
        <v>1078</v>
      </c>
      <c r="X184" s="999"/>
      <c r="Z184" s="1144"/>
      <c r="AB184" s="505"/>
      <c r="AC184" s="164" t="s">
        <v>1079</v>
      </c>
      <c r="AD184" s="164"/>
      <c r="AE184" s="164"/>
      <c r="AF184" s="164"/>
      <c r="AG184" s="164"/>
      <c r="AH184" s="164"/>
      <c r="AI184" s="164"/>
      <c r="AJ184" s="164"/>
      <c r="AK184" s="164"/>
      <c r="AL184" s="164"/>
      <c r="AM184" s="164"/>
      <c r="AN184" s="164"/>
      <c r="AO184" s="164"/>
      <c r="AP184" s="164"/>
      <c r="AQ184" s="164"/>
      <c r="AR184" s="164"/>
      <c r="AS184" s="164"/>
      <c r="AT184" s="164"/>
      <c r="AU184" s="164"/>
      <c r="AV184" s="164"/>
      <c r="AW184" s="164"/>
      <c r="AX184" s="164"/>
      <c r="AY184" s="164"/>
      <c r="AZ184" s="164"/>
      <c r="BA184" s="164"/>
      <c r="BB184" s="164"/>
      <c r="BC184" s="165"/>
      <c r="BI184" s="502" t="s">
        <v>1072</v>
      </c>
    </row>
    <row r="185" spans="5:62" ht="0" hidden="1" customHeight="1">
      <c r="E185" s="502">
        <v>22.5</v>
      </c>
      <c r="F185" s="3" t="str" cm="1">
        <f t="array" aca="1" ref="F185" ca="1">OFFSET(E185,-1,1)</f>
        <v>2</v>
      </c>
      <c r="K185" s="611" t="str">
        <f ca="1">F178&amp;"2komm"</f>
        <v>22komm</v>
      </c>
      <c r="L185" s="615" cm="1">
        <f t="array" ref="L185">BC185</f>
        <v>0</v>
      </c>
      <c r="T185" s="365" t="b" cm="1">
        <f t="array" aca="1" ref="T185" ca="1">T184</f>
        <v>1</v>
      </c>
      <c r="X185" s="999"/>
      <c r="Y185" s="507"/>
      <c r="Z185" s="1144"/>
      <c r="AB185" s="143">
        <v>2</v>
      </c>
      <c r="AC185" s="144" t="s">
        <v>1080</v>
      </c>
      <c r="AD185" s="143" t="s">
        <v>804</v>
      </c>
      <c r="AE185" s="145">
        <f>SUMIF(AD188:AD191,AD185,AE188:AE191)</f>
        <v>0</v>
      </c>
      <c r="AF185" s="145">
        <f>SUMIF(AD188:AD191,AD185,AF188:AF191)</f>
        <v>0</v>
      </c>
      <c r="AG185" s="145">
        <f>SUMIF(AD188:AD191,AD185,AG188:AG191)</f>
        <v>0</v>
      </c>
      <c r="AH185" s="145">
        <f>SUMIF(AD188:AD191,AD185,AH188:AH191)</f>
        <v>0</v>
      </c>
      <c r="AI185" s="145">
        <f>SUMIF(AD188:AD191,AD185,AI188:AI191)</f>
        <v>0</v>
      </c>
      <c r="AJ185" s="783">
        <f>SUMIF(AD188:AD191,AD185,AJ188:AJ191)</f>
        <v>0</v>
      </c>
      <c r="AK185" s="783">
        <f>SUMIF(AD188:AD191,AD185,AK188:AK191)</f>
        <v>0</v>
      </c>
      <c r="AL185" s="783">
        <f>SUMIF(AD188:AD191,AD185,AL188:AL191)</f>
        <v>0</v>
      </c>
      <c r="AM185" s="783">
        <f>SUMIF(AD188:AD191,AD185,AM188:AM191)</f>
        <v>0</v>
      </c>
      <c r="AN185" s="783">
        <f>SUMIF(AD188:AD191,AD185,AN188:AN191)</f>
        <v>0</v>
      </c>
      <c r="AO185" s="783">
        <f>SUMIF(AD188:AD191,AD185,AO188:AO191)</f>
        <v>0</v>
      </c>
      <c r="AP185" s="783">
        <f>SUMIF(AD188:AD191,AD185,AP188:AP191)</f>
        <v>0</v>
      </c>
      <c r="AQ185" s="783">
        <f>SUMIF(AD188:AD191,AD185,AQ188:AQ191)</f>
        <v>0</v>
      </c>
      <c r="AR185" s="783">
        <f>SUMIF(AD188:AD191,AD185,AR188:AR191)</f>
        <v>0</v>
      </c>
      <c r="AS185" s="145">
        <f>SUMIF(AD188:AD191,AD185,AS188:AS191)</f>
        <v>0</v>
      </c>
      <c r="AT185" s="783">
        <f>SUMIF(AD188:AD191,AD185,AT188:AT191)</f>
        <v>0</v>
      </c>
      <c r="AU185" s="783">
        <f>SUMIF(AD188:AD191,AD185,AU188:AU191)</f>
        <v>0</v>
      </c>
      <c r="AV185" s="783">
        <f>SUMIF(AD188:AD191,AD185,AV188:AV191)</f>
        <v>0</v>
      </c>
      <c r="AW185" s="783">
        <f>SUMIF(AD188:AD191,AD185,AW188:AW191)</f>
        <v>0</v>
      </c>
      <c r="AX185" s="783">
        <f>SUMIF(AD188:AD191,AD185,AX188:AX191)</f>
        <v>0</v>
      </c>
      <c r="AY185" s="783">
        <f>SUMIF(AD188:AD191,AD185,AY188:AY191)</f>
        <v>0</v>
      </c>
      <c r="AZ185" s="783">
        <f>SUMIF(AD188:AD191,AD185,AZ188:AZ191)</f>
        <v>0</v>
      </c>
      <c r="BA185" s="783">
        <f>SUMIF(AD188:AD191,AD185,BA188:BA191)</f>
        <v>0</v>
      </c>
      <c r="BB185" s="783">
        <f>SUMIF(AD188:AD191,AD185,BB188:BB191)</f>
        <v>0</v>
      </c>
      <c r="BC185" s="132"/>
      <c r="BF185" s="691" t="s">
        <v>1081</v>
      </c>
    </row>
    <row r="186" spans="5:62" ht="0" hidden="1" customHeight="1">
      <c r="E186" s="502">
        <v>0</v>
      </c>
      <c r="F186" s="3" t="str" cm="1">
        <f t="array" aca="1" ref="F186" ca="1">OFFSET(E186,-1,1)</f>
        <v>2</v>
      </c>
      <c r="G186" s="85" t="s">
        <v>328</v>
      </c>
      <c r="L186" s="615"/>
      <c r="T186" s="365" t="b">
        <v>0</v>
      </c>
      <c r="W186" s="85" t="s">
        <v>173</v>
      </c>
      <c r="X186" s="999"/>
      <c r="Y186" s="999">
        <v>0</v>
      </c>
      <c r="Z186" s="1144"/>
      <c r="AA186" s="1146" t="s">
        <v>174</v>
      </c>
      <c r="AB186" s="143"/>
      <c r="AC186" s="144"/>
      <c r="AD186" s="143"/>
      <c r="AE186" s="148" t="b">
        <f t="shared" ref="AE186:BB186" si="37">OR(AND(AE188&lt;&gt;"",AE189=""),AND(AE188="",AE189&lt;&gt;""))</f>
        <v>0</v>
      </c>
      <c r="AF186" s="148" t="b">
        <f t="shared" si="37"/>
        <v>0</v>
      </c>
      <c r="AG186" s="148" t="b">
        <f t="shared" si="37"/>
        <v>0</v>
      </c>
      <c r="AH186" s="148" t="b">
        <f t="shared" si="37"/>
        <v>0</v>
      </c>
      <c r="AI186" s="148" t="b">
        <f t="shared" si="37"/>
        <v>0</v>
      </c>
      <c r="AJ186" s="148" t="b">
        <f t="shared" si="37"/>
        <v>0</v>
      </c>
      <c r="AK186" s="148" t="b">
        <f t="shared" si="37"/>
        <v>0</v>
      </c>
      <c r="AL186" s="148" t="b">
        <f t="shared" si="37"/>
        <v>0</v>
      </c>
      <c r="AM186" s="148" t="b">
        <f t="shared" si="37"/>
        <v>0</v>
      </c>
      <c r="AN186" s="148" t="b">
        <f t="shared" si="37"/>
        <v>0</v>
      </c>
      <c r="AO186" s="148" t="b">
        <f t="shared" si="37"/>
        <v>0</v>
      </c>
      <c r="AP186" s="148" t="b">
        <f t="shared" si="37"/>
        <v>0</v>
      </c>
      <c r="AQ186" s="148" t="b">
        <f t="shared" si="37"/>
        <v>0</v>
      </c>
      <c r="AR186" s="148" t="b">
        <f t="shared" si="37"/>
        <v>0</v>
      </c>
      <c r="AS186" s="148" t="b">
        <f t="shared" si="37"/>
        <v>0</v>
      </c>
      <c r="AT186" s="148" t="b">
        <f t="shared" si="37"/>
        <v>0</v>
      </c>
      <c r="AU186" s="148" t="b">
        <f t="shared" si="37"/>
        <v>0</v>
      </c>
      <c r="AV186" s="148" t="b">
        <f t="shared" si="37"/>
        <v>0</v>
      </c>
      <c r="AW186" s="148" t="b">
        <f t="shared" si="37"/>
        <v>0</v>
      </c>
      <c r="AX186" s="148" t="b">
        <f t="shared" si="37"/>
        <v>0</v>
      </c>
      <c r="AY186" s="148" t="b">
        <f t="shared" si="37"/>
        <v>0</v>
      </c>
      <c r="AZ186" s="148" t="b">
        <f t="shared" si="37"/>
        <v>0</v>
      </c>
      <c r="BA186" s="148" t="b">
        <f t="shared" si="37"/>
        <v>0</v>
      </c>
      <c r="BB186" s="148" t="b">
        <f t="shared" si="37"/>
        <v>0</v>
      </c>
      <c r="BC186" s="652"/>
    </row>
    <row r="187" spans="5:62" ht="14.65" hidden="1" customHeight="1">
      <c r="E187" s="502">
        <v>15</v>
      </c>
      <c r="F187" s="280" t="str" cm="1">
        <f t="array" aca="1" ref="F187" ca="1">OFFSET(E187,-1,1)</f>
        <v>2</v>
      </c>
      <c r="L187" s="615"/>
      <c r="T187" s="365" t="b">
        <f ca="1">AND(Y186&gt;0,F187&gt;0)</f>
        <v>0</v>
      </c>
      <c r="X187" s="1142"/>
      <c r="Y187" s="999"/>
      <c r="Z187" s="1143"/>
      <c r="AA187" s="1147"/>
      <c r="AB187" s="884" t="str">
        <f>"2."&amp;Y186</f>
        <v>2.0</v>
      </c>
      <c r="AC187" s="885" t="s">
        <v>225</v>
      </c>
      <c r="AD187" s="886"/>
      <c r="AE187" s="887"/>
      <c r="AF187" s="888"/>
      <c r="AG187" s="887"/>
      <c r="AH187" s="887"/>
      <c r="AI187" s="887"/>
      <c r="AJ187" s="887"/>
      <c r="AK187" s="887"/>
      <c r="AL187" s="887"/>
      <c r="AM187" s="887"/>
      <c r="AN187" s="887"/>
      <c r="AO187" s="887"/>
      <c r="AP187" s="887"/>
      <c r="AQ187" s="887"/>
      <c r="AR187" s="887"/>
      <c r="AS187" s="888"/>
      <c r="AT187" s="888"/>
      <c r="AU187" s="888"/>
      <c r="AV187" s="888"/>
      <c r="AW187" s="888"/>
      <c r="AX187" s="888"/>
      <c r="AY187" s="888"/>
      <c r="AZ187" s="888"/>
      <c r="BA187" s="888"/>
      <c r="BB187" s="889"/>
      <c r="BC187" s="890"/>
    </row>
    <row r="188" spans="5:62" ht="12.75" hidden="1" customHeight="1">
      <c r="E188" s="502">
        <v>15</v>
      </c>
      <c r="F188" s="3" t="str" cm="1">
        <f t="array" aca="1" ref="F188" ca="1">OFFSET(E188,-1,1)</f>
        <v>2</v>
      </c>
      <c r="G188" s="85" t="s">
        <v>328</v>
      </c>
      <c r="H188" s="88" t="str" cm="1">
        <f t="array" ref="H188">AC188</f>
        <v>Затраты</v>
      </c>
      <c r="I188" s="85" t="s">
        <v>1082</v>
      </c>
      <c r="T188" s="365" t="b" cm="1">
        <f t="array" aca="1" ref="T188" ca="1">T187</f>
        <v>0</v>
      </c>
      <c r="X188" s="999"/>
      <c r="Y188" s="999"/>
      <c r="Z188" s="1144"/>
      <c r="AA188" s="1146"/>
      <c r="AB188" s="26" t="str">
        <f>AB187&amp;".1"</f>
        <v>2.0.1</v>
      </c>
      <c r="AC188" s="891" t="s">
        <v>1070</v>
      </c>
      <c r="AD188" s="143" t="s">
        <v>804</v>
      </c>
      <c r="AE188" s="787"/>
      <c r="AF188" s="787"/>
      <c r="AG188" s="787"/>
      <c r="AH188" s="787"/>
      <c r="AI188" s="787"/>
      <c r="AJ188" s="787"/>
      <c r="AK188" s="787"/>
      <c r="AL188" s="787"/>
      <c r="AM188" s="787"/>
      <c r="AN188" s="787"/>
      <c r="AO188" s="787"/>
      <c r="AP188" s="787"/>
      <c r="AQ188" s="787"/>
      <c r="AR188" s="787"/>
      <c r="AS188" s="787"/>
      <c r="AT188" s="787"/>
      <c r="AU188" s="787"/>
      <c r="AV188" s="787"/>
      <c r="AW188" s="787"/>
      <c r="AX188" s="787"/>
      <c r="AY188" s="787"/>
      <c r="AZ188" s="787"/>
      <c r="BA188" s="787"/>
      <c r="BB188" s="787"/>
      <c r="BC188" s="839"/>
      <c r="BF188" s="691" t="s">
        <v>1071</v>
      </c>
      <c r="BG188" s="691" t="s">
        <v>1083</v>
      </c>
      <c r="BH188" s="691" t="str" cm="1">
        <f t="array" ref="BH188">AC187</f>
        <v/>
      </c>
      <c r="BJ188" s="502" t="b">
        <v>1</v>
      </c>
    </row>
    <row r="189" spans="5:62" ht="0" hidden="1" customHeight="1">
      <c r="E189" s="502">
        <v>15</v>
      </c>
      <c r="F189" s="3" t="str" cm="1">
        <f t="array" aca="1" ref="F189" ca="1">OFFSET(E189,-1,1)</f>
        <v>2</v>
      </c>
      <c r="G189" s="85" t="s">
        <v>479</v>
      </c>
      <c r="H189" s="88" t="str" cm="1">
        <f t="array" ref="H189">H188</f>
        <v>Затраты</v>
      </c>
      <c r="I189" s="85" t="s">
        <v>1082</v>
      </c>
      <c r="T189" s="365" t="b" cm="1">
        <f t="array" aca="1" ref="T189" ca="1">T188</f>
        <v>0</v>
      </c>
      <c r="X189" s="999"/>
      <c r="Y189" s="999"/>
      <c r="Z189" s="1144"/>
      <c r="AA189" s="1146"/>
      <c r="AB189" s="26" t="str">
        <f>AB188&amp;".1"</f>
        <v>2.0.1.1</v>
      </c>
      <c r="AC189" s="153" t="s">
        <v>1084</v>
      </c>
      <c r="AD189" s="26" t="s">
        <v>534</v>
      </c>
      <c r="AE189" s="787"/>
      <c r="AF189" s="787"/>
      <c r="AG189" s="787"/>
      <c r="AH189" s="787"/>
      <c r="AI189" s="787"/>
      <c r="AJ189" s="787"/>
      <c r="AK189" s="787"/>
      <c r="AL189" s="787"/>
      <c r="AM189" s="787"/>
      <c r="AN189" s="787"/>
      <c r="AO189" s="787"/>
      <c r="AP189" s="787"/>
      <c r="AQ189" s="787"/>
      <c r="AR189" s="787"/>
      <c r="AS189" s="787"/>
      <c r="AT189" s="787"/>
      <c r="AU189" s="787"/>
      <c r="AV189" s="787"/>
      <c r="AW189" s="787"/>
      <c r="AX189" s="787"/>
      <c r="AY189" s="787"/>
      <c r="AZ189" s="787"/>
      <c r="BA189" s="787"/>
      <c r="BB189" s="787"/>
      <c r="BC189" s="839"/>
      <c r="BF189" s="691" t="s">
        <v>1074</v>
      </c>
      <c r="BG189" s="691" t="s">
        <v>1083</v>
      </c>
      <c r="BH189" s="691" t="str" cm="1">
        <f t="array" ref="BH189">BH188</f>
        <v/>
      </c>
    </row>
    <row r="190" spans="5:62" ht="14.65" hidden="1" customHeight="1">
      <c r="E190" s="502">
        <v>15</v>
      </c>
      <c r="F190" s="280" t="str" cm="1">
        <f t="array" aca="1" ref="F190" ca="1">OFFSET(E190,-1,1)</f>
        <v>2</v>
      </c>
      <c r="H190" s="88"/>
      <c r="T190" s="365" t="b" cm="1">
        <f t="array" aca="1" ref="T190" ca="1">T189</f>
        <v>0</v>
      </c>
      <c r="X190" s="1142"/>
      <c r="Y190" s="999"/>
      <c r="Z190" s="1143"/>
      <c r="AA190" s="1147"/>
      <c r="AB190" s="892" t="str">
        <f>AB188&amp;".2"</f>
        <v>2.0.1.2</v>
      </c>
      <c r="AC190" s="893" t="s">
        <v>1085</v>
      </c>
      <c r="AD190" s="892" t="s">
        <v>1076</v>
      </c>
      <c r="AE190" s="894"/>
      <c r="AF190" s="894"/>
      <c r="AG190" s="894"/>
      <c r="AH190" s="894"/>
      <c r="AI190" s="894"/>
      <c r="AJ190" s="894"/>
      <c r="AK190" s="894"/>
      <c r="AL190" s="894"/>
      <c r="AM190" s="894"/>
      <c r="AN190" s="894"/>
      <c r="AO190" s="894"/>
      <c r="AP190" s="894"/>
      <c r="AQ190" s="894"/>
      <c r="AR190" s="894"/>
      <c r="AS190" s="894"/>
      <c r="AT190" s="894"/>
      <c r="AU190" s="894"/>
      <c r="AV190" s="894"/>
      <c r="AW190" s="894"/>
      <c r="AX190" s="894"/>
      <c r="AY190" s="894"/>
      <c r="AZ190" s="894"/>
      <c r="BA190" s="894"/>
      <c r="BB190" s="894"/>
      <c r="BC190" s="895"/>
      <c r="BF190" s="691" t="s">
        <v>1077</v>
      </c>
      <c r="BG190" s="691" t="s">
        <v>1083</v>
      </c>
      <c r="BH190" s="896" t="str" cm="1">
        <f t="array" ref="BH190">BH189</f>
        <v/>
      </c>
    </row>
    <row r="191" spans="5:62" ht="0" hidden="1" customHeight="1">
      <c r="E191" s="502">
        <v>15</v>
      </c>
      <c r="F191" s="3" t="str" cm="1">
        <f t="array" aca="1" ref="F191" ca="1">OFFSET(E191,-1,1)</f>
        <v>2</v>
      </c>
      <c r="H191" s="85" t="str">
        <f>"!=='не определено' &amp;&amp; row.l2 !== null"</f>
        <v>!=='не определено' &amp;&amp; row.l2 !== null</v>
      </c>
      <c r="T191" s="365" t="b">
        <f ca="1">F191&gt;0</f>
        <v>1</v>
      </c>
      <c r="W191" s="508" t="s">
        <v>1078</v>
      </c>
      <c r="X191" s="999"/>
      <c r="Y191" s="506"/>
      <c r="Z191" s="1144"/>
      <c r="AB191" s="505"/>
      <c r="AC191" s="164" t="s">
        <v>1079</v>
      </c>
      <c r="AD191" s="164"/>
      <c r="AE191" s="164"/>
      <c r="AF191" s="164"/>
      <c r="AG191" s="164"/>
      <c r="AH191" s="164"/>
      <c r="AI191" s="164"/>
      <c r="AJ191" s="164"/>
      <c r="AK191" s="164"/>
      <c r="AL191" s="164"/>
      <c r="AM191" s="164"/>
      <c r="AN191" s="164"/>
      <c r="AO191" s="164"/>
      <c r="AP191" s="164"/>
      <c r="AQ191" s="164"/>
      <c r="AR191" s="164"/>
      <c r="AS191" s="164"/>
      <c r="AT191" s="164"/>
      <c r="AU191" s="164"/>
      <c r="AV191" s="164"/>
      <c r="AW191" s="164"/>
      <c r="AX191" s="164"/>
      <c r="AY191" s="164"/>
      <c r="AZ191" s="164"/>
      <c r="BA191" s="164"/>
      <c r="BB191" s="164"/>
      <c r="BC191" s="165"/>
      <c r="BI191" s="502" t="s">
        <v>1083</v>
      </c>
    </row>
    <row r="192" spans="5:62" ht="0" hidden="1" customHeight="1">
      <c r="E192" s="502">
        <v>23</v>
      </c>
      <c r="F192" s="3" t="str" cm="1">
        <f t="array" aca="1" ref="F192" ca="1">OFFSET(E192,-1,1)</f>
        <v>2</v>
      </c>
      <c r="K192" s="611" t="str">
        <f ca="1">F178&amp;"3komm"</f>
        <v>23komm</v>
      </c>
      <c r="L192" s="615" cm="1">
        <f t="array" ref="L192">BC192</f>
        <v>0</v>
      </c>
      <c r="T192" s="365" t="b" cm="1">
        <f t="array" aca="1" ref="T192" ca="1">T191</f>
        <v>1</v>
      </c>
      <c r="X192" s="999"/>
      <c r="Y192" s="507"/>
      <c r="Z192" s="1144"/>
      <c r="AB192" s="143">
        <v>3</v>
      </c>
      <c r="AC192" s="144" t="s">
        <v>1086</v>
      </c>
      <c r="AD192" s="143" t="s">
        <v>804</v>
      </c>
      <c r="AE192" s="145">
        <f>SUMIF(AD195:AD198,AD192,AE195:AE198)</f>
        <v>0</v>
      </c>
      <c r="AF192" s="145">
        <f>SUMIF(AD195:AD198,AD192,AF195:AF198)</f>
        <v>0</v>
      </c>
      <c r="AG192" s="145">
        <f>SUMIF(AD195:AD198,AD192,AG195:AG198)</f>
        <v>0</v>
      </c>
      <c r="AH192" s="145">
        <f>SUMIF(AD195:AD198,AD192,AH195:AH198)</f>
        <v>0</v>
      </c>
      <c r="AI192" s="145">
        <f>SUMIF(AD195:AD198,AD192,AI195:AI198)</f>
        <v>0</v>
      </c>
      <c r="AJ192" s="783">
        <f>SUMIF(AD195:AD198,AD192,AJ195:AJ198)</f>
        <v>0</v>
      </c>
      <c r="AK192" s="783">
        <f>SUMIF(AD195:AD198,AD192,AK195:AK198)</f>
        <v>0</v>
      </c>
      <c r="AL192" s="783">
        <f>SUMIF(AD195:AD198,AD192,AL195:AL198)</f>
        <v>0</v>
      </c>
      <c r="AM192" s="783">
        <f>SUMIF(AD195:AD198,AD192,AM195:AM198)</f>
        <v>0</v>
      </c>
      <c r="AN192" s="783">
        <f>SUMIF(AD195:AD198,AD192,AN195:AN198)</f>
        <v>0</v>
      </c>
      <c r="AO192" s="783">
        <f>SUMIF(AD195:AD198,AD192,AO195:AO198)</f>
        <v>0</v>
      </c>
      <c r="AP192" s="783">
        <f>SUMIF(AD195:AD198,AD192,AP195:AP198)</f>
        <v>0</v>
      </c>
      <c r="AQ192" s="783">
        <f>SUMIF(AD195:AD198,AD192,AQ195:AQ198)</f>
        <v>0</v>
      </c>
      <c r="AR192" s="783">
        <f>SUMIF(AD195:AD198,AD192,AR195:AR198)</f>
        <v>0</v>
      </c>
      <c r="AS192" s="145">
        <f>SUMIF(AD195:AD198,AD192,AS195:AS198)</f>
        <v>0</v>
      </c>
      <c r="AT192" s="783">
        <f>SUMIF(AD195:AD198,AD192,AT195:AT198)</f>
        <v>0</v>
      </c>
      <c r="AU192" s="783">
        <f>SUMIF(AD195:AD198,AD192,AU195:AU198)</f>
        <v>0</v>
      </c>
      <c r="AV192" s="783">
        <f>SUMIF(AD195:AD198,AD192,AV195:AV198)</f>
        <v>0</v>
      </c>
      <c r="AW192" s="783">
        <f>SUMIF(AD195:AD198,AD192,AW195:AW198)</f>
        <v>0</v>
      </c>
      <c r="AX192" s="783">
        <f>SUMIF(AD195:AD198,AD192,AX195:AX198)</f>
        <v>0</v>
      </c>
      <c r="AY192" s="783">
        <f>SUMIF(AD195:AD198,AD192,AY195:AY198)</f>
        <v>0</v>
      </c>
      <c r="AZ192" s="783">
        <f>SUMIF(AD195:AD198,AD192,AZ195:AZ198)</f>
        <v>0</v>
      </c>
      <c r="BA192" s="783">
        <f>SUMIF(AD195:AD198,AD192,BA195:BA198)</f>
        <v>0</v>
      </c>
      <c r="BB192" s="783">
        <f>SUMIF(AD195:AD198,AD192,BB195:BB198)</f>
        <v>0</v>
      </c>
      <c r="BC192" s="132"/>
      <c r="BF192" s="691" t="s">
        <v>1087</v>
      </c>
    </row>
    <row r="193" spans="5:62" ht="0" hidden="1" customHeight="1">
      <c r="E193" s="502">
        <v>0</v>
      </c>
      <c r="F193" s="3" t="str" cm="1">
        <f t="array" aca="1" ref="F193" ca="1">OFFSET(E193,-1,1)</f>
        <v>2</v>
      </c>
      <c r="G193" s="85" t="s">
        <v>329</v>
      </c>
      <c r="L193" s="615"/>
      <c r="T193" s="365" t="b">
        <v>0</v>
      </c>
      <c r="W193" s="85" t="s">
        <v>173</v>
      </c>
      <c r="X193" s="999"/>
      <c r="Y193" s="999">
        <v>0</v>
      </c>
      <c r="Z193" s="1144"/>
      <c r="AA193" s="1146" t="s">
        <v>174</v>
      </c>
      <c r="AB193" s="143"/>
      <c r="AC193" s="144"/>
      <c r="AD193" s="143"/>
      <c r="AE193" s="148" t="b">
        <f t="shared" ref="AE193:BB193" si="38">OR(AND(AE195&lt;&gt;"",AE196=""),AND(AE195="",AE196&lt;&gt;""))</f>
        <v>0</v>
      </c>
      <c r="AF193" s="148" t="b">
        <f t="shared" si="38"/>
        <v>0</v>
      </c>
      <c r="AG193" s="148" t="b">
        <f t="shared" si="38"/>
        <v>0</v>
      </c>
      <c r="AH193" s="148" t="b">
        <f t="shared" si="38"/>
        <v>0</v>
      </c>
      <c r="AI193" s="148" t="b">
        <f t="shared" si="38"/>
        <v>0</v>
      </c>
      <c r="AJ193" s="148" t="b">
        <f t="shared" si="38"/>
        <v>0</v>
      </c>
      <c r="AK193" s="148" t="b">
        <f t="shared" si="38"/>
        <v>0</v>
      </c>
      <c r="AL193" s="148" t="b">
        <f t="shared" si="38"/>
        <v>0</v>
      </c>
      <c r="AM193" s="148" t="b">
        <f t="shared" si="38"/>
        <v>0</v>
      </c>
      <c r="AN193" s="148" t="b">
        <f t="shared" si="38"/>
        <v>0</v>
      </c>
      <c r="AO193" s="148" t="b">
        <f t="shared" si="38"/>
        <v>0</v>
      </c>
      <c r="AP193" s="148" t="b">
        <f t="shared" si="38"/>
        <v>0</v>
      </c>
      <c r="AQ193" s="148" t="b">
        <f t="shared" si="38"/>
        <v>0</v>
      </c>
      <c r="AR193" s="148" t="b">
        <f t="shared" si="38"/>
        <v>0</v>
      </c>
      <c r="AS193" s="148" t="b">
        <f t="shared" si="38"/>
        <v>0</v>
      </c>
      <c r="AT193" s="148" t="b">
        <f t="shared" si="38"/>
        <v>0</v>
      </c>
      <c r="AU193" s="148" t="b">
        <f t="shared" si="38"/>
        <v>0</v>
      </c>
      <c r="AV193" s="148" t="b">
        <f t="shared" si="38"/>
        <v>0</v>
      </c>
      <c r="AW193" s="148" t="b">
        <f t="shared" si="38"/>
        <v>0</v>
      </c>
      <c r="AX193" s="148" t="b">
        <f t="shared" si="38"/>
        <v>0</v>
      </c>
      <c r="AY193" s="148" t="b">
        <f t="shared" si="38"/>
        <v>0</v>
      </c>
      <c r="AZ193" s="148" t="b">
        <f t="shared" si="38"/>
        <v>0</v>
      </c>
      <c r="BA193" s="148" t="b">
        <f t="shared" si="38"/>
        <v>0</v>
      </c>
      <c r="BB193" s="148" t="b">
        <f t="shared" si="38"/>
        <v>0</v>
      </c>
      <c r="BC193" s="652"/>
    </row>
    <row r="194" spans="5:62" ht="14.65" hidden="1" customHeight="1">
      <c r="E194" s="502">
        <v>15</v>
      </c>
      <c r="F194" s="280" t="str" cm="1">
        <f t="array" aca="1" ref="F194" ca="1">OFFSET(E194,-1,1)</f>
        <v>2</v>
      </c>
      <c r="L194" s="615"/>
      <c r="T194" s="365" t="b">
        <f ca="1">AND(Y193&gt;0,F194&gt;0)</f>
        <v>0</v>
      </c>
      <c r="X194" s="1142"/>
      <c r="Y194" s="999"/>
      <c r="Z194" s="1143"/>
      <c r="AA194" s="1147"/>
      <c r="AB194" s="884" t="str">
        <f>"3."&amp;Y193</f>
        <v>3.0</v>
      </c>
      <c r="AC194" s="885" t="s">
        <v>225</v>
      </c>
      <c r="AD194" s="886"/>
      <c r="AE194" s="887"/>
      <c r="AF194" s="888"/>
      <c r="AG194" s="887"/>
      <c r="AH194" s="887"/>
      <c r="AI194" s="887"/>
      <c r="AJ194" s="887"/>
      <c r="AK194" s="887"/>
      <c r="AL194" s="887"/>
      <c r="AM194" s="887"/>
      <c r="AN194" s="887"/>
      <c r="AO194" s="887"/>
      <c r="AP194" s="887"/>
      <c r="AQ194" s="887"/>
      <c r="AR194" s="887"/>
      <c r="AS194" s="888"/>
      <c r="AT194" s="888"/>
      <c r="AU194" s="888"/>
      <c r="AV194" s="888"/>
      <c r="AW194" s="888"/>
      <c r="AX194" s="888"/>
      <c r="AY194" s="888"/>
      <c r="AZ194" s="888"/>
      <c r="BA194" s="888"/>
      <c r="BB194" s="889"/>
      <c r="BC194" s="890"/>
    </row>
    <row r="195" spans="5:62" ht="12.75" hidden="1" customHeight="1">
      <c r="E195" s="502">
        <v>15</v>
      </c>
      <c r="F195" s="3" t="str" cm="1">
        <f t="array" aca="1" ref="F195" ca="1">OFFSET(E195,-1,1)</f>
        <v>2</v>
      </c>
      <c r="G195" s="85" t="s">
        <v>329</v>
      </c>
      <c r="H195" s="88" t="str" cm="1">
        <f t="array" ref="H195">AC195</f>
        <v>Затраты</v>
      </c>
      <c r="I195" s="85" t="s">
        <v>1088</v>
      </c>
      <c r="T195" s="365" t="b" cm="1">
        <f t="array" aca="1" ref="T195" ca="1">T194</f>
        <v>0</v>
      </c>
      <c r="X195" s="999"/>
      <c r="Y195" s="999"/>
      <c r="Z195" s="1144"/>
      <c r="AA195" s="1146"/>
      <c r="AB195" s="26" t="str">
        <f>AB194&amp;".1"</f>
        <v>3.0.1</v>
      </c>
      <c r="AC195" s="891" t="s">
        <v>1070</v>
      </c>
      <c r="AD195" s="143" t="s">
        <v>804</v>
      </c>
      <c r="AE195" s="787"/>
      <c r="AF195" s="787"/>
      <c r="AG195" s="787"/>
      <c r="AH195" s="787"/>
      <c r="AI195" s="787"/>
      <c r="AJ195" s="787"/>
      <c r="AK195" s="787"/>
      <c r="AL195" s="787"/>
      <c r="AM195" s="787"/>
      <c r="AN195" s="787"/>
      <c r="AO195" s="787"/>
      <c r="AP195" s="787"/>
      <c r="AQ195" s="787"/>
      <c r="AR195" s="787"/>
      <c r="AS195" s="787"/>
      <c r="AT195" s="787"/>
      <c r="AU195" s="787"/>
      <c r="AV195" s="787"/>
      <c r="AW195" s="787"/>
      <c r="AX195" s="787"/>
      <c r="AY195" s="787"/>
      <c r="AZ195" s="787"/>
      <c r="BA195" s="787"/>
      <c r="BB195" s="787"/>
      <c r="BC195" s="839"/>
      <c r="BF195" s="691" t="s">
        <v>1071</v>
      </c>
      <c r="BG195" s="691" t="s">
        <v>1089</v>
      </c>
      <c r="BH195" s="691" t="str" cm="1">
        <f t="array" ref="BH195">AC194</f>
        <v/>
      </c>
      <c r="BJ195" s="502" t="b">
        <v>1</v>
      </c>
    </row>
    <row r="196" spans="5:62" ht="0" hidden="1" customHeight="1">
      <c r="E196" s="502">
        <v>15</v>
      </c>
      <c r="F196" s="3" t="str" cm="1">
        <f t="array" aca="1" ref="F196" ca="1">OFFSET(E196,-1,1)</f>
        <v>2</v>
      </c>
      <c r="G196" s="85" t="s">
        <v>927</v>
      </c>
      <c r="H196" s="88" t="str" cm="1">
        <f t="array" ref="H196">H195</f>
        <v>Затраты</v>
      </c>
      <c r="I196" s="85" t="s">
        <v>1088</v>
      </c>
      <c r="T196" s="365" t="b" cm="1">
        <f t="array" aca="1" ref="T196" ca="1">T195</f>
        <v>0</v>
      </c>
      <c r="X196" s="999"/>
      <c r="Y196" s="999"/>
      <c r="Z196" s="1144"/>
      <c r="AA196" s="1146"/>
      <c r="AB196" s="26" t="str">
        <f>AB195&amp;".1"</f>
        <v>3.0.1.1</v>
      </c>
      <c r="AC196" s="153" t="s">
        <v>1090</v>
      </c>
      <c r="AD196" s="26" t="s">
        <v>534</v>
      </c>
      <c r="AE196" s="787"/>
      <c r="AF196" s="787"/>
      <c r="AG196" s="787"/>
      <c r="AH196" s="787"/>
      <c r="AI196" s="787"/>
      <c r="AJ196" s="787"/>
      <c r="AK196" s="787"/>
      <c r="AL196" s="787"/>
      <c r="AM196" s="787"/>
      <c r="AN196" s="787"/>
      <c r="AO196" s="787"/>
      <c r="AP196" s="787"/>
      <c r="AQ196" s="787"/>
      <c r="AR196" s="787"/>
      <c r="AS196" s="787"/>
      <c r="AT196" s="787"/>
      <c r="AU196" s="787"/>
      <c r="AV196" s="787"/>
      <c r="AW196" s="787"/>
      <c r="AX196" s="787"/>
      <c r="AY196" s="787"/>
      <c r="AZ196" s="787"/>
      <c r="BA196" s="787"/>
      <c r="BB196" s="787"/>
      <c r="BC196" s="839"/>
      <c r="BF196" s="691" t="s">
        <v>1074</v>
      </c>
      <c r="BG196" s="691" t="s">
        <v>1089</v>
      </c>
      <c r="BH196" s="691" t="str" cm="1">
        <f t="array" ref="BH196">BH195</f>
        <v/>
      </c>
    </row>
    <row r="197" spans="5:62" ht="14.65" hidden="1" customHeight="1">
      <c r="E197" s="502">
        <v>15</v>
      </c>
      <c r="F197" s="280" t="str" cm="1">
        <f t="array" aca="1" ref="F197" ca="1">OFFSET(E197,-1,1)</f>
        <v>2</v>
      </c>
      <c r="H197" s="88"/>
      <c r="T197" s="365" t="b" cm="1">
        <f t="array" aca="1" ref="T197" ca="1">T196</f>
        <v>0</v>
      </c>
      <c r="X197" s="1142"/>
      <c r="Y197" s="999"/>
      <c r="Z197" s="1143"/>
      <c r="AA197" s="1147"/>
      <c r="AB197" s="892" t="str">
        <f>AB195&amp;".2"</f>
        <v>3.0.1.2</v>
      </c>
      <c r="AC197" s="893" t="s">
        <v>1085</v>
      </c>
      <c r="AD197" s="892" t="s">
        <v>1076</v>
      </c>
      <c r="AE197" s="894"/>
      <c r="AF197" s="894"/>
      <c r="AG197" s="894"/>
      <c r="AH197" s="894"/>
      <c r="AI197" s="894"/>
      <c r="AJ197" s="894"/>
      <c r="AK197" s="894"/>
      <c r="AL197" s="894"/>
      <c r="AM197" s="894"/>
      <c r="AN197" s="894"/>
      <c r="AO197" s="894"/>
      <c r="AP197" s="894"/>
      <c r="AQ197" s="894"/>
      <c r="AR197" s="894"/>
      <c r="AS197" s="894"/>
      <c r="AT197" s="894"/>
      <c r="AU197" s="894"/>
      <c r="AV197" s="894"/>
      <c r="AW197" s="894"/>
      <c r="AX197" s="894"/>
      <c r="AY197" s="894"/>
      <c r="AZ197" s="894"/>
      <c r="BA197" s="894"/>
      <c r="BB197" s="894"/>
      <c r="BC197" s="895"/>
      <c r="BF197" s="691" t="s">
        <v>1077</v>
      </c>
      <c r="BG197" s="691" t="s">
        <v>1089</v>
      </c>
      <c r="BH197" s="896" t="str" cm="1">
        <f t="array" ref="BH197">BH196</f>
        <v/>
      </c>
    </row>
    <row r="198" spans="5:62" ht="0" hidden="1" customHeight="1">
      <c r="E198" s="502">
        <v>15</v>
      </c>
      <c r="F198" s="3" t="str" cm="1">
        <f t="array" aca="1" ref="F198" ca="1">OFFSET(E198,-1,1)</f>
        <v>2</v>
      </c>
      <c r="H198" s="85" t="str">
        <f>"!=='не определено' &amp;&amp; row.l3 !== null"</f>
        <v>!=='не определено' &amp;&amp; row.l3 !== null</v>
      </c>
      <c r="T198" s="365" t="b">
        <f ca="1">F198&gt;0</f>
        <v>1</v>
      </c>
      <c r="W198" s="508" t="s">
        <v>1091</v>
      </c>
      <c r="X198" s="999"/>
      <c r="Y198" s="506"/>
      <c r="Z198" s="1144"/>
      <c r="AB198" s="505"/>
      <c r="AC198" s="164" t="s">
        <v>1079</v>
      </c>
      <c r="AD198" s="164"/>
      <c r="AE198" s="164"/>
      <c r="AF198" s="164"/>
      <c r="AG198" s="164"/>
      <c r="AH198" s="164"/>
      <c r="AI198" s="164"/>
      <c r="AJ198" s="164"/>
      <c r="AK198" s="164"/>
      <c r="AL198" s="164"/>
      <c r="AM198" s="164"/>
      <c r="AN198" s="164"/>
      <c r="AO198" s="164"/>
      <c r="AP198" s="164"/>
      <c r="AQ198" s="164"/>
      <c r="AR198" s="164"/>
      <c r="AS198" s="164"/>
      <c r="AT198" s="164"/>
      <c r="AU198" s="164"/>
      <c r="AV198" s="164"/>
      <c r="AW198" s="164"/>
      <c r="AX198" s="164"/>
      <c r="AY198" s="164"/>
      <c r="AZ198" s="164"/>
      <c r="BA198" s="164"/>
      <c r="BB198" s="164"/>
      <c r="BC198" s="165"/>
      <c r="BI198" s="502" t="s">
        <v>1089</v>
      </c>
    </row>
    <row r="199" spans="5:62" ht="0" hidden="1" customHeight="1">
      <c r="E199" s="502">
        <v>23</v>
      </c>
      <c r="F199" s="3" t="str" cm="1">
        <f t="array" aca="1" ref="F199" ca="1">OFFSET(E199,-1,1)</f>
        <v>2</v>
      </c>
      <c r="K199" s="611" t="str">
        <f ca="1">F178&amp;"4komm"</f>
        <v>24komm</v>
      </c>
      <c r="L199" s="615" cm="1">
        <f t="array" ref="L199">BC199</f>
        <v>0</v>
      </c>
      <c r="T199" s="365" t="b" cm="1">
        <f t="array" aca="1" ref="T199" ca="1">T198</f>
        <v>1</v>
      </c>
      <c r="X199" s="999"/>
      <c r="Y199" s="507"/>
      <c r="Z199" s="1144"/>
      <c r="AB199" s="143">
        <v>4</v>
      </c>
      <c r="AC199" s="144" t="s">
        <v>1092</v>
      </c>
      <c r="AD199" s="143" t="s">
        <v>804</v>
      </c>
      <c r="AE199" s="145">
        <f>SUMIF(AD202:AD205,AD199,AE202:AE205)</f>
        <v>0</v>
      </c>
      <c r="AF199" s="145">
        <f>SUMIF(AD202:AD205,AD199,AF202:AF205)</f>
        <v>0</v>
      </c>
      <c r="AG199" s="145">
        <f>SUMIF(AD202:AD205,AD199,AG202:AG205)</f>
        <v>0</v>
      </c>
      <c r="AH199" s="145">
        <f>SUMIF(AD202:AD205,AD199,AH202:AH205)</f>
        <v>0</v>
      </c>
      <c r="AI199" s="145">
        <f>SUMIF(AD202:AD205,AD199,AI202:AI205)</f>
        <v>0</v>
      </c>
      <c r="AJ199" s="783">
        <f>SUMIF(AD202:AD205,AD199,AJ202:AJ205)</f>
        <v>0</v>
      </c>
      <c r="AK199" s="783">
        <f>SUMIF(AD202:AD205,AD199,AK202:AK205)</f>
        <v>0</v>
      </c>
      <c r="AL199" s="783">
        <f>SUMIF(AD202:AD205,AD199,AL202:AL205)</f>
        <v>0</v>
      </c>
      <c r="AM199" s="783">
        <f>SUMIF(AD202:AD205,AD199,AM202:AM205)</f>
        <v>0</v>
      </c>
      <c r="AN199" s="783">
        <f>SUMIF(AD202:AD205,AD199,AN202:AN205)</f>
        <v>0</v>
      </c>
      <c r="AO199" s="783">
        <f>SUMIF(AD202:AD205,AD199,AO202:AO205)</f>
        <v>0</v>
      </c>
      <c r="AP199" s="783">
        <f>SUMIF(AD202:AD205,AD199,AP202:AP205)</f>
        <v>0</v>
      </c>
      <c r="AQ199" s="783">
        <f>SUMIF(AD202:AD205,AD199,AQ202:AQ205)</f>
        <v>0</v>
      </c>
      <c r="AR199" s="783">
        <f>SUMIF(AD202:AD205,AD199,AR202:AR205)</f>
        <v>0</v>
      </c>
      <c r="AS199" s="145">
        <f>SUMIF(AD202:AD205,AD199,AS202:AS205)</f>
        <v>0</v>
      </c>
      <c r="AT199" s="783">
        <f>SUMIF(AD202:AD205,AD199,AT202:AT205)</f>
        <v>0</v>
      </c>
      <c r="AU199" s="783">
        <f>SUMIF(AD202:AD205,AD199,AU202:AU205)</f>
        <v>0</v>
      </c>
      <c r="AV199" s="783">
        <f>SUMIF(AD202:AD205,AD199,AV202:AV205)</f>
        <v>0</v>
      </c>
      <c r="AW199" s="783">
        <f>SUMIF(AD202:AD205,AD199,AW202:AW205)</f>
        <v>0</v>
      </c>
      <c r="AX199" s="783">
        <f>SUMIF(AD202:AD205,AD199,AX202:AX205)</f>
        <v>0</v>
      </c>
      <c r="AY199" s="783">
        <f>SUMIF(AD202:AD205,AD199,AY202:AY205)</f>
        <v>0</v>
      </c>
      <c r="AZ199" s="783">
        <f>SUMIF(AD202:AD205,AD199,AZ202:AZ205)</f>
        <v>0</v>
      </c>
      <c r="BA199" s="783">
        <f>SUMIF(AD202:AD205,AD199,BA202:BA205)</f>
        <v>0</v>
      </c>
      <c r="BB199" s="783">
        <f>SUMIF(AD202:AD205,AD199,BB202:BB205)</f>
        <v>0</v>
      </c>
      <c r="BC199" s="132"/>
      <c r="BF199" s="691" t="s">
        <v>1093</v>
      </c>
    </row>
    <row r="200" spans="5:62" ht="0" hidden="1" customHeight="1">
      <c r="E200" s="502">
        <v>0</v>
      </c>
      <c r="F200" s="3" t="str" cm="1">
        <f t="array" aca="1" ref="F200" ca="1">OFFSET(E200,-1,1)</f>
        <v>2</v>
      </c>
      <c r="G200" s="85" t="s">
        <v>331</v>
      </c>
      <c r="L200" s="615"/>
      <c r="T200" s="365" t="b">
        <v>0</v>
      </c>
      <c r="W200" s="85" t="s">
        <v>173</v>
      </c>
      <c r="X200" s="999"/>
      <c r="Y200" s="999">
        <v>0</v>
      </c>
      <c r="Z200" s="1144"/>
      <c r="AA200" s="1146" t="s">
        <v>174</v>
      </c>
      <c r="AB200" s="143"/>
      <c r="AC200" s="144"/>
      <c r="AD200" s="143"/>
      <c r="AE200" s="148" t="b">
        <f t="shared" ref="AE200:BB200" si="39">OR(AND(AE202&lt;&gt;"",AE203=""),AND(AE202="",AE203&lt;&gt;""))</f>
        <v>0</v>
      </c>
      <c r="AF200" s="148" t="b">
        <f t="shared" si="39"/>
        <v>0</v>
      </c>
      <c r="AG200" s="148" t="b">
        <f t="shared" si="39"/>
        <v>0</v>
      </c>
      <c r="AH200" s="148" t="b">
        <f t="shared" si="39"/>
        <v>0</v>
      </c>
      <c r="AI200" s="148" t="b">
        <f t="shared" si="39"/>
        <v>0</v>
      </c>
      <c r="AJ200" s="148" t="b">
        <f t="shared" si="39"/>
        <v>0</v>
      </c>
      <c r="AK200" s="148" t="b">
        <f t="shared" si="39"/>
        <v>0</v>
      </c>
      <c r="AL200" s="148" t="b">
        <f t="shared" si="39"/>
        <v>0</v>
      </c>
      <c r="AM200" s="148" t="b">
        <f t="shared" si="39"/>
        <v>0</v>
      </c>
      <c r="AN200" s="148" t="b">
        <f t="shared" si="39"/>
        <v>0</v>
      </c>
      <c r="AO200" s="148" t="b">
        <f t="shared" si="39"/>
        <v>0</v>
      </c>
      <c r="AP200" s="148" t="b">
        <f t="shared" si="39"/>
        <v>0</v>
      </c>
      <c r="AQ200" s="148" t="b">
        <f t="shared" si="39"/>
        <v>0</v>
      </c>
      <c r="AR200" s="148" t="b">
        <f t="shared" si="39"/>
        <v>0</v>
      </c>
      <c r="AS200" s="148" t="b">
        <f t="shared" si="39"/>
        <v>0</v>
      </c>
      <c r="AT200" s="148" t="b">
        <f t="shared" si="39"/>
        <v>0</v>
      </c>
      <c r="AU200" s="148" t="b">
        <f t="shared" si="39"/>
        <v>0</v>
      </c>
      <c r="AV200" s="148" t="b">
        <f t="shared" si="39"/>
        <v>0</v>
      </c>
      <c r="AW200" s="148" t="b">
        <f t="shared" si="39"/>
        <v>0</v>
      </c>
      <c r="AX200" s="148" t="b">
        <f t="shared" si="39"/>
        <v>0</v>
      </c>
      <c r="AY200" s="148" t="b">
        <f t="shared" si="39"/>
        <v>0</v>
      </c>
      <c r="AZ200" s="148" t="b">
        <f t="shared" si="39"/>
        <v>0</v>
      </c>
      <c r="BA200" s="148" t="b">
        <f t="shared" si="39"/>
        <v>0</v>
      </c>
      <c r="BB200" s="148" t="b">
        <f t="shared" si="39"/>
        <v>0</v>
      </c>
      <c r="BC200" s="652"/>
    </row>
    <row r="201" spans="5:62" ht="14.65" hidden="1" customHeight="1">
      <c r="E201" s="502">
        <v>15</v>
      </c>
      <c r="F201" s="280" t="str" cm="1">
        <f t="array" aca="1" ref="F201" ca="1">OFFSET(E201,-1,1)</f>
        <v>2</v>
      </c>
      <c r="L201" s="615"/>
      <c r="T201" s="365" t="b">
        <f ca="1">AND(Y200&gt;0,F201&gt;0)</f>
        <v>0</v>
      </c>
      <c r="X201" s="1142"/>
      <c r="Y201" s="999"/>
      <c r="Z201" s="1143"/>
      <c r="AA201" s="1147"/>
      <c r="AB201" s="884" t="str">
        <f>"4."&amp;Y200</f>
        <v>4.0</v>
      </c>
      <c r="AC201" s="885" t="s">
        <v>225</v>
      </c>
      <c r="AD201" s="886"/>
      <c r="AE201" s="887"/>
      <c r="AF201" s="888"/>
      <c r="AG201" s="887"/>
      <c r="AH201" s="887"/>
      <c r="AI201" s="887"/>
      <c r="AJ201" s="887"/>
      <c r="AK201" s="887"/>
      <c r="AL201" s="887"/>
      <c r="AM201" s="887"/>
      <c r="AN201" s="887"/>
      <c r="AO201" s="887"/>
      <c r="AP201" s="887"/>
      <c r="AQ201" s="887"/>
      <c r="AR201" s="887"/>
      <c r="AS201" s="888"/>
      <c r="AT201" s="888"/>
      <c r="AU201" s="888"/>
      <c r="AV201" s="888"/>
      <c r="AW201" s="888"/>
      <c r="AX201" s="888"/>
      <c r="AY201" s="888"/>
      <c r="AZ201" s="888"/>
      <c r="BA201" s="888"/>
      <c r="BB201" s="889"/>
      <c r="BC201" s="890"/>
    </row>
    <row r="202" spans="5:62" ht="12.75" hidden="1" customHeight="1">
      <c r="E202" s="502">
        <v>15</v>
      </c>
      <c r="F202" s="3" t="str" cm="1">
        <f t="array" aca="1" ref="F202" ca="1">OFFSET(E202,-1,1)</f>
        <v>2</v>
      </c>
      <c r="G202" s="85" t="s">
        <v>331</v>
      </c>
      <c r="H202" s="88" t="str" cm="1">
        <f t="array" ref="H202">AC202</f>
        <v>Затраты</v>
      </c>
      <c r="I202" s="85" t="s">
        <v>1094</v>
      </c>
      <c r="T202" s="365" t="b" cm="1">
        <f t="array" aca="1" ref="T202" ca="1">T201</f>
        <v>0</v>
      </c>
      <c r="X202" s="999"/>
      <c r="Y202" s="999"/>
      <c r="Z202" s="1144"/>
      <c r="AA202" s="1146"/>
      <c r="AB202" s="26" t="str">
        <f>AB201&amp;".1"</f>
        <v>4.0.1</v>
      </c>
      <c r="AC202" s="891" t="s">
        <v>1070</v>
      </c>
      <c r="AD202" s="143" t="s">
        <v>804</v>
      </c>
      <c r="AE202" s="787"/>
      <c r="AF202" s="787"/>
      <c r="AG202" s="787"/>
      <c r="AH202" s="787"/>
      <c r="AI202" s="787"/>
      <c r="AJ202" s="787"/>
      <c r="AK202" s="787"/>
      <c r="AL202" s="787"/>
      <c r="AM202" s="787"/>
      <c r="AN202" s="787"/>
      <c r="AO202" s="787"/>
      <c r="AP202" s="787"/>
      <c r="AQ202" s="787"/>
      <c r="AR202" s="787"/>
      <c r="AS202" s="787"/>
      <c r="AT202" s="787"/>
      <c r="AU202" s="787"/>
      <c r="AV202" s="787"/>
      <c r="AW202" s="787"/>
      <c r="AX202" s="787"/>
      <c r="AY202" s="787"/>
      <c r="AZ202" s="787"/>
      <c r="BA202" s="787"/>
      <c r="BB202" s="787"/>
      <c r="BC202" s="839"/>
      <c r="BF202" s="691" t="s">
        <v>1071</v>
      </c>
      <c r="BG202" s="691" t="s">
        <v>1095</v>
      </c>
      <c r="BH202" s="691" t="str" cm="1">
        <f t="array" ref="BH202">AC201</f>
        <v/>
      </c>
      <c r="BJ202" s="502" t="b">
        <v>1</v>
      </c>
    </row>
    <row r="203" spans="5:62" ht="0" hidden="1" customHeight="1">
      <c r="E203" s="502">
        <v>15</v>
      </c>
      <c r="F203" s="3" t="str" cm="1">
        <f t="array" aca="1" ref="F203" ca="1">OFFSET(E203,-1,1)</f>
        <v>2</v>
      </c>
      <c r="G203" s="85" t="s">
        <v>536</v>
      </c>
      <c r="H203" s="88" t="str" cm="1">
        <f t="array" ref="H203">H202</f>
        <v>Затраты</v>
      </c>
      <c r="I203" s="85" t="s">
        <v>1094</v>
      </c>
      <c r="T203" s="365" t="b" cm="1">
        <f t="array" aca="1" ref="T203" ca="1">T202</f>
        <v>0</v>
      </c>
      <c r="X203" s="999"/>
      <c r="Y203" s="999"/>
      <c r="Z203" s="1144"/>
      <c r="AA203" s="1146"/>
      <c r="AB203" s="26" t="str">
        <f>AB202&amp;".1"</f>
        <v>4.0.1.1</v>
      </c>
      <c r="AC203" s="153" t="s">
        <v>1096</v>
      </c>
      <c r="AD203" s="26" t="s">
        <v>534</v>
      </c>
      <c r="AE203" s="787"/>
      <c r="AF203" s="787"/>
      <c r="AG203" s="787"/>
      <c r="AH203" s="787"/>
      <c r="AI203" s="787"/>
      <c r="AJ203" s="787"/>
      <c r="AK203" s="787"/>
      <c r="AL203" s="787"/>
      <c r="AM203" s="787"/>
      <c r="AN203" s="787"/>
      <c r="AO203" s="787"/>
      <c r="AP203" s="787"/>
      <c r="AQ203" s="787"/>
      <c r="AR203" s="787"/>
      <c r="AS203" s="787"/>
      <c r="AT203" s="787"/>
      <c r="AU203" s="787"/>
      <c r="AV203" s="787"/>
      <c r="AW203" s="787"/>
      <c r="AX203" s="787"/>
      <c r="AY203" s="787"/>
      <c r="AZ203" s="787"/>
      <c r="BA203" s="787"/>
      <c r="BB203" s="787"/>
      <c r="BC203" s="839"/>
      <c r="BF203" s="691" t="s">
        <v>1074</v>
      </c>
      <c r="BG203" s="691" t="s">
        <v>1095</v>
      </c>
      <c r="BH203" s="691" t="str" cm="1">
        <f t="array" ref="BH203">BH202</f>
        <v/>
      </c>
    </row>
    <row r="204" spans="5:62" ht="14.65" hidden="1" customHeight="1">
      <c r="E204" s="502">
        <v>15</v>
      </c>
      <c r="F204" s="280" t="str" cm="1">
        <f t="array" aca="1" ref="F204" ca="1">OFFSET(E204,-1,1)</f>
        <v>2</v>
      </c>
      <c r="H204" s="88"/>
      <c r="T204" s="365" t="b" cm="1">
        <f t="array" aca="1" ref="T204" ca="1">T203</f>
        <v>0</v>
      </c>
      <c r="X204" s="1142"/>
      <c r="Y204" s="999"/>
      <c r="Z204" s="1143"/>
      <c r="AA204" s="1147"/>
      <c r="AB204" s="892" t="str">
        <f>AB202&amp;".2"</f>
        <v>4.0.1.2</v>
      </c>
      <c r="AC204" s="893" t="s">
        <v>1097</v>
      </c>
      <c r="AD204" s="892" t="s">
        <v>1076</v>
      </c>
      <c r="AE204" s="894"/>
      <c r="AF204" s="894"/>
      <c r="AG204" s="894"/>
      <c r="AH204" s="894"/>
      <c r="AI204" s="894"/>
      <c r="AJ204" s="894"/>
      <c r="AK204" s="894"/>
      <c r="AL204" s="894"/>
      <c r="AM204" s="894"/>
      <c r="AN204" s="894"/>
      <c r="AO204" s="894"/>
      <c r="AP204" s="894"/>
      <c r="AQ204" s="894"/>
      <c r="AR204" s="894"/>
      <c r="AS204" s="894"/>
      <c r="AT204" s="894"/>
      <c r="AU204" s="894"/>
      <c r="AV204" s="894"/>
      <c r="AW204" s="894"/>
      <c r="AX204" s="894"/>
      <c r="AY204" s="894"/>
      <c r="AZ204" s="894"/>
      <c r="BA204" s="894"/>
      <c r="BB204" s="894"/>
      <c r="BC204" s="895"/>
      <c r="BF204" s="691" t="s">
        <v>1077</v>
      </c>
      <c r="BG204" s="691" t="s">
        <v>1095</v>
      </c>
      <c r="BH204" s="896" t="str" cm="1">
        <f t="array" ref="BH204">BH203</f>
        <v/>
      </c>
    </row>
    <row r="205" spans="5:62" ht="0" hidden="1" customHeight="1">
      <c r="E205" s="502">
        <v>15</v>
      </c>
      <c r="F205" s="3" t="str" cm="1">
        <f t="array" aca="1" ref="F205" ca="1">OFFSET(E205,-1,1)</f>
        <v>2</v>
      </c>
      <c r="H205" s="85" t="str">
        <f>"!=='не определено' &amp;&amp; row.l4 !== null"</f>
        <v>!=='не определено' &amp;&amp; row.l4 !== null</v>
      </c>
      <c r="T205" s="365" t="b">
        <f ca="1">F205&gt;0</f>
        <v>1</v>
      </c>
      <c r="W205" s="508" t="s">
        <v>1098</v>
      </c>
      <c r="X205" s="999"/>
      <c r="Y205" s="506"/>
      <c r="Z205" s="1144"/>
      <c r="AB205" s="505"/>
      <c r="AC205" s="164" t="s">
        <v>1079</v>
      </c>
      <c r="AD205" s="164"/>
      <c r="AE205" s="164"/>
      <c r="AF205" s="164"/>
      <c r="AG205" s="164"/>
      <c r="AH205" s="164"/>
      <c r="AI205" s="164"/>
      <c r="AJ205" s="164"/>
      <c r="AK205" s="164"/>
      <c r="AL205" s="164"/>
      <c r="AM205" s="164"/>
      <c r="AN205" s="164"/>
      <c r="AO205" s="164"/>
      <c r="AP205" s="164"/>
      <c r="AQ205" s="164"/>
      <c r="AR205" s="164"/>
      <c r="AS205" s="164"/>
      <c r="AT205" s="164"/>
      <c r="AU205" s="164"/>
      <c r="AV205" s="164"/>
      <c r="AW205" s="164"/>
      <c r="AX205" s="164"/>
      <c r="AY205" s="164"/>
      <c r="AZ205" s="164"/>
      <c r="BA205" s="164"/>
      <c r="BB205" s="164"/>
      <c r="BC205" s="165"/>
      <c r="BI205" s="502" t="s">
        <v>1095</v>
      </c>
    </row>
    <row r="206" spans="5:62" ht="0" hidden="1" customHeight="1">
      <c r="E206" s="502">
        <v>23</v>
      </c>
      <c r="F206" s="3" t="str" cm="1">
        <f t="array" aca="1" ref="F206" ca="1">OFFSET(E206,-1,1)</f>
        <v>2</v>
      </c>
      <c r="K206" s="611" t="str">
        <f ca="1">F178&amp;"5komm"</f>
        <v>25komm</v>
      </c>
      <c r="L206" s="615" cm="1">
        <f t="array" ref="L206">BC206</f>
        <v>0</v>
      </c>
      <c r="T206" s="365" t="b" cm="1">
        <f t="array" aca="1" ref="T206" ca="1">T205</f>
        <v>1</v>
      </c>
      <c r="X206" s="999"/>
      <c r="Y206" s="507"/>
      <c r="Z206" s="1144"/>
      <c r="AB206" s="143">
        <v>5</v>
      </c>
      <c r="AC206" s="144" t="s">
        <v>1099</v>
      </c>
      <c r="AD206" s="143" t="s">
        <v>804</v>
      </c>
      <c r="AE206" s="145">
        <f>SUMIF(AD209:AD212,AD206,AE209:AE212)</f>
        <v>0</v>
      </c>
      <c r="AF206" s="145">
        <f>SUMIF(AD209:AD212,AD206,AF209:AF212)</f>
        <v>0</v>
      </c>
      <c r="AG206" s="145">
        <f>SUMIF(AD209:AD212,AD206,AG209:AG212)</f>
        <v>0</v>
      </c>
      <c r="AH206" s="145">
        <f>SUMIF(AD209:AD212,AD206,AH209:AH212)</f>
        <v>0</v>
      </c>
      <c r="AI206" s="145">
        <f>SUMIF(AD209:AD212,AD206,AI209:AI212)</f>
        <v>0</v>
      </c>
      <c r="AJ206" s="783">
        <f>SUMIF(AD209:AD212,AD206,AJ209:AJ212)</f>
        <v>0</v>
      </c>
      <c r="AK206" s="783">
        <f>SUMIF(AD209:AD212,AD206,AK209:AK212)</f>
        <v>0</v>
      </c>
      <c r="AL206" s="783">
        <f>SUMIF(AD209:AD212,AD206,AL209:AL212)</f>
        <v>0</v>
      </c>
      <c r="AM206" s="783">
        <f>SUMIF(AD209:AD212,AD206,AM209:AM212)</f>
        <v>0</v>
      </c>
      <c r="AN206" s="783">
        <f>SUMIF(AD209:AD212,AD206,AN209:AN212)</f>
        <v>0</v>
      </c>
      <c r="AO206" s="783">
        <f>SUMIF(AD209:AD212,AD206,AO209:AO212)</f>
        <v>0</v>
      </c>
      <c r="AP206" s="783">
        <f>SUMIF(AD209:AD212,AD206,AP209:AP212)</f>
        <v>0</v>
      </c>
      <c r="AQ206" s="783">
        <f>SUMIF(AD209:AD212,AD206,AQ209:AQ212)</f>
        <v>0</v>
      </c>
      <c r="AR206" s="783">
        <f>SUMIF(AD209:AD212,AD206,AR209:AR212)</f>
        <v>0</v>
      </c>
      <c r="AS206" s="145">
        <f>SUMIF(AD209:AD212,AD206,AS209:AS212)</f>
        <v>0</v>
      </c>
      <c r="AT206" s="783">
        <f>SUMIF(AD209:AD212,AD206,AT209:AT212)</f>
        <v>0</v>
      </c>
      <c r="AU206" s="783">
        <f>SUMIF(AD209:AD212,AD206,AU209:AU212)</f>
        <v>0</v>
      </c>
      <c r="AV206" s="783">
        <f>SUMIF(AD209:AD212,AD206,AV209:AV212)</f>
        <v>0</v>
      </c>
      <c r="AW206" s="783">
        <f>SUMIF(AD209:AD212,AD206,AW209:AW212)</f>
        <v>0</v>
      </c>
      <c r="AX206" s="783">
        <f>SUMIF(AD209:AD212,AD206,AX209:AX212)</f>
        <v>0</v>
      </c>
      <c r="AY206" s="783">
        <f>SUMIF(AD209:AD212,AD206,AY209:AY212)</f>
        <v>0</v>
      </c>
      <c r="AZ206" s="783">
        <f>SUMIF(AD209:AD212,AD206,AZ209:AZ212)</f>
        <v>0</v>
      </c>
      <c r="BA206" s="783">
        <f>SUMIF(AD209:AD212,AD206,BA209:BA212)</f>
        <v>0</v>
      </c>
      <c r="BB206" s="783">
        <f>SUMIF(AD209:AD212,AD206,BB209:BB212)</f>
        <v>0</v>
      </c>
      <c r="BC206" s="132"/>
      <c r="BF206" s="691" t="s">
        <v>1100</v>
      </c>
    </row>
    <row r="207" spans="5:62" ht="0" hidden="1" customHeight="1">
      <c r="E207" s="502">
        <v>0</v>
      </c>
      <c r="F207" s="3" t="str" cm="1">
        <f t="array" aca="1" ref="F207" ca="1">OFFSET(E207,-1,1)</f>
        <v>2</v>
      </c>
      <c r="G207" s="85" t="s">
        <v>330</v>
      </c>
      <c r="L207" s="615"/>
      <c r="T207" s="365" t="b">
        <v>0</v>
      </c>
      <c r="W207" s="85" t="s">
        <v>173</v>
      </c>
      <c r="X207" s="999"/>
      <c r="Y207" s="999">
        <v>0</v>
      </c>
      <c r="Z207" s="1144"/>
      <c r="AA207" s="1146" t="s">
        <v>174</v>
      </c>
      <c r="AB207" s="143"/>
      <c r="AC207" s="144"/>
      <c r="AD207" s="143"/>
      <c r="AE207" s="148" t="b">
        <f t="shared" ref="AE207:BB207" si="40">OR(AND(AE209&lt;&gt;"",AE210=""),AND(AE209="",AE210&lt;&gt;""))</f>
        <v>0</v>
      </c>
      <c r="AF207" s="148" t="b">
        <f t="shared" si="40"/>
        <v>0</v>
      </c>
      <c r="AG207" s="148" t="b">
        <f t="shared" si="40"/>
        <v>0</v>
      </c>
      <c r="AH207" s="148" t="b">
        <f t="shared" si="40"/>
        <v>0</v>
      </c>
      <c r="AI207" s="148" t="b">
        <f t="shared" si="40"/>
        <v>0</v>
      </c>
      <c r="AJ207" s="148" t="b">
        <f t="shared" si="40"/>
        <v>0</v>
      </c>
      <c r="AK207" s="148" t="b">
        <f t="shared" si="40"/>
        <v>0</v>
      </c>
      <c r="AL207" s="148" t="b">
        <f t="shared" si="40"/>
        <v>0</v>
      </c>
      <c r="AM207" s="148" t="b">
        <f t="shared" si="40"/>
        <v>0</v>
      </c>
      <c r="AN207" s="148" t="b">
        <f t="shared" si="40"/>
        <v>0</v>
      </c>
      <c r="AO207" s="148" t="b">
        <f t="shared" si="40"/>
        <v>0</v>
      </c>
      <c r="AP207" s="148" t="b">
        <f t="shared" si="40"/>
        <v>0</v>
      </c>
      <c r="AQ207" s="148" t="b">
        <f t="shared" si="40"/>
        <v>0</v>
      </c>
      <c r="AR207" s="148" t="b">
        <f t="shared" si="40"/>
        <v>0</v>
      </c>
      <c r="AS207" s="148" t="b">
        <f t="shared" si="40"/>
        <v>0</v>
      </c>
      <c r="AT207" s="148" t="b">
        <f t="shared" si="40"/>
        <v>0</v>
      </c>
      <c r="AU207" s="148" t="b">
        <f t="shared" si="40"/>
        <v>0</v>
      </c>
      <c r="AV207" s="148" t="b">
        <f t="shared" si="40"/>
        <v>0</v>
      </c>
      <c r="AW207" s="148" t="b">
        <f t="shared" si="40"/>
        <v>0</v>
      </c>
      <c r="AX207" s="148" t="b">
        <f t="shared" si="40"/>
        <v>0</v>
      </c>
      <c r="AY207" s="148" t="b">
        <f t="shared" si="40"/>
        <v>0</v>
      </c>
      <c r="AZ207" s="148" t="b">
        <f t="shared" si="40"/>
        <v>0</v>
      </c>
      <c r="BA207" s="148" t="b">
        <f t="shared" si="40"/>
        <v>0</v>
      </c>
      <c r="BB207" s="148" t="b">
        <f t="shared" si="40"/>
        <v>0</v>
      </c>
      <c r="BC207" s="652"/>
    </row>
    <row r="208" spans="5:62" ht="14.65" hidden="1" customHeight="1">
      <c r="E208" s="502">
        <v>15</v>
      </c>
      <c r="F208" s="280" t="str" cm="1">
        <f t="array" aca="1" ref="F208" ca="1">OFFSET(E208,-1,1)</f>
        <v>2</v>
      </c>
      <c r="L208" s="615"/>
      <c r="T208" s="365" t="b">
        <f ca="1">AND(Y207&gt;0,F208&gt;0)</f>
        <v>0</v>
      </c>
      <c r="X208" s="1142"/>
      <c r="Y208" s="999"/>
      <c r="Z208" s="1143"/>
      <c r="AA208" s="1147"/>
      <c r="AB208" s="884" t="str">
        <f>"5."&amp;Y207</f>
        <v>5.0</v>
      </c>
      <c r="AC208" s="885" t="s">
        <v>225</v>
      </c>
      <c r="AD208" s="886"/>
      <c r="AE208" s="887"/>
      <c r="AF208" s="888"/>
      <c r="AG208" s="887"/>
      <c r="AH208" s="887"/>
      <c r="AI208" s="887"/>
      <c r="AJ208" s="887"/>
      <c r="AK208" s="887"/>
      <c r="AL208" s="887"/>
      <c r="AM208" s="887"/>
      <c r="AN208" s="887"/>
      <c r="AO208" s="887"/>
      <c r="AP208" s="887"/>
      <c r="AQ208" s="887"/>
      <c r="AR208" s="887"/>
      <c r="AS208" s="888"/>
      <c r="AT208" s="888"/>
      <c r="AU208" s="888"/>
      <c r="AV208" s="888"/>
      <c r="AW208" s="888"/>
      <c r="AX208" s="888"/>
      <c r="AY208" s="888"/>
      <c r="AZ208" s="888"/>
      <c r="BA208" s="888"/>
      <c r="BB208" s="889"/>
      <c r="BC208" s="890"/>
    </row>
    <row r="209" spans="2:62" ht="12.75" hidden="1" customHeight="1">
      <c r="E209" s="502">
        <v>15</v>
      </c>
      <c r="F209" s="3" t="str" cm="1">
        <f t="array" aca="1" ref="F209" ca="1">OFFSET(E209,-1,1)</f>
        <v>2</v>
      </c>
      <c r="G209" s="85" t="s">
        <v>330</v>
      </c>
      <c r="H209" s="88" t="str" cm="1">
        <f t="array" ref="H209">AC209</f>
        <v>Затраты</v>
      </c>
      <c r="I209" s="85" t="s">
        <v>1101</v>
      </c>
      <c r="T209" s="365" t="b" cm="1">
        <f t="array" aca="1" ref="T209" ca="1">T208</f>
        <v>0</v>
      </c>
      <c r="X209" s="999"/>
      <c r="Y209" s="999"/>
      <c r="Z209" s="1144"/>
      <c r="AA209" s="1146"/>
      <c r="AB209" s="26" t="str">
        <f>AB208&amp;".1"</f>
        <v>5.0.1</v>
      </c>
      <c r="AC209" s="891" t="s">
        <v>1070</v>
      </c>
      <c r="AD209" s="143" t="s">
        <v>804</v>
      </c>
      <c r="AE209" s="787"/>
      <c r="AF209" s="787"/>
      <c r="AG209" s="787"/>
      <c r="AH209" s="787"/>
      <c r="AI209" s="787"/>
      <c r="AJ209" s="787"/>
      <c r="AK209" s="787"/>
      <c r="AL209" s="787"/>
      <c r="AM209" s="787"/>
      <c r="AN209" s="787"/>
      <c r="AO209" s="787"/>
      <c r="AP209" s="787"/>
      <c r="AQ209" s="787"/>
      <c r="AR209" s="787"/>
      <c r="AS209" s="787"/>
      <c r="AT209" s="787"/>
      <c r="AU209" s="787"/>
      <c r="AV209" s="787"/>
      <c r="AW209" s="787"/>
      <c r="AX209" s="787"/>
      <c r="AY209" s="787"/>
      <c r="AZ209" s="787"/>
      <c r="BA209" s="787"/>
      <c r="BB209" s="787"/>
      <c r="BC209" s="839"/>
      <c r="BF209" s="691" t="s">
        <v>1071</v>
      </c>
      <c r="BG209" s="691" t="s">
        <v>1102</v>
      </c>
      <c r="BH209" s="691" t="str" cm="1">
        <f t="array" ref="BH209">AC208</f>
        <v/>
      </c>
      <c r="BJ209" s="502" t="b">
        <v>1</v>
      </c>
    </row>
    <row r="210" spans="2:62" ht="0" hidden="1" customHeight="1">
      <c r="E210" s="502">
        <v>15</v>
      </c>
      <c r="F210" s="3" t="str" cm="1">
        <f t="array" aca="1" ref="F210" ca="1">OFFSET(E210,-1,1)</f>
        <v>2</v>
      </c>
      <c r="G210" s="85" t="s">
        <v>550</v>
      </c>
      <c r="H210" s="88" t="str" cm="1">
        <f t="array" ref="H210">H209</f>
        <v>Затраты</v>
      </c>
      <c r="I210" s="85" t="s">
        <v>1101</v>
      </c>
      <c r="T210" s="365" t="b" cm="1">
        <f t="array" aca="1" ref="T210" ca="1">T209</f>
        <v>0</v>
      </c>
      <c r="X210" s="999"/>
      <c r="Y210" s="999"/>
      <c r="Z210" s="1144"/>
      <c r="AA210" s="1146"/>
      <c r="AB210" s="26" t="str">
        <f>AB209&amp;".1"</f>
        <v>5.0.1.1</v>
      </c>
      <c r="AC210" s="153" t="s">
        <v>1103</v>
      </c>
      <c r="AD210" s="26" t="s">
        <v>534</v>
      </c>
      <c r="AE210" s="787"/>
      <c r="AF210" s="787"/>
      <c r="AG210" s="787"/>
      <c r="AH210" s="787"/>
      <c r="AI210" s="787"/>
      <c r="AJ210" s="787"/>
      <c r="AK210" s="787"/>
      <c r="AL210" s="787"/>
      <c r="AM210" s="787"/>
      <c r="AN210" s="787"/>
      <c r="AO210" s="787"/>
      <c r="AP210" s="787"/>
      <c r="AQ210" s="787"/>
      <c r="AR210" s="787"/>
      <c r="AS210" s="787"/>
      <c r="AT210" s="787"/>
      <c r="AU210" s="787"/>
      <c r="AV210" s="787"/>
      <c r="AW210" s="787"/>
      <c r="AX210" s="787"/>
      <c r="AY210" s="787"/>
      <c r="AZ210" s="787"/>
      <c r="BA210" s="787"/>
      <c r="BB210" s="787"/>
      <c r="BC210" s="839"/>
      <c r="BF210" s="691" t="s">
        <v>1074</v>
      </c>
      <c r="BG210" s="691" t="s">
        <v>1102</v>
      </c>
      <c r="BH210" s="691" t="str" cm="1">
        <f t="array" ref="BH210">BH209</f>
        <v/>
      </c>
    </row>
    <row r="211" spans="2:62" ht="14.65" hidden="1" customHeight="1">
      <c r="E211" s="502">
        <v>15</v>
      </c>
      <c r="F211" s="280" t="str" cm="1">
        <f t="array" aca="1" ref="F211" ca="1">OFFSET(E211,-1,1)</f>
        <v>2</v>
      </c>
      <c r="H211" s="88"/>
      <c r="T211" s="365" t="b" cm="1">
        <f t="array" aca="1" ref="T211" ca="1">T210</f>
        <v>0</v>
      </c>
      <c r="X211" s="1142"/>
      <c r="Y211" s="999"/>
      <c r="Z211" s="1143"/>
      <c r="AA211" s="1147"/>
      <c r="AB211" s="892" t="str">
        <f>AB209&amp;".2"</f>
        <v>5.0.1.2</v>
      </c>
      <c r="AC211" s="893" t="s">
        <v>1104</v>
      </c>
      <c r="AD211" s="892" t="s">
        <v>1076</v>
      </c>
      <c r="AE211" s="894"/>
      <c r="AF211" s="894"/>
      <c r="AG211" s="894"/>
      <c r="AH211" s="894"/>
      <c r="AI211" s="894"/>
      <c r="AJ211" s="894"/>
      <c r="AK211" s="894"/>
      <c r="AL211" s="894"/>
      <c r="AM211" s="894"/>
      <c r="AN211" s="894"/>
      <c r="AO211" s="894"/>
      <c r="AP211" s="894"/>
      <c r="AQ211" s="894"/>
      <c r="AR211" s="894"/>
      <c r="AS211" s="894"/>
      <c r="AT211" s="894"/>
      <c r="AU211" s="894"/>
      <c r="AV211" s="894"/>
      <c r="AW211" s="894"/>
      <c r="AX211" s="894"/>
      <c r="AY211" s="894"/>
      <c r="AZ211" s="894"/>
      <c r="BA211" s="894"/>
      <c r="BB211" s="894"/>
      <c r="BC211" s="895"/>
      <c r="BF211" s="691" t="s">
        <v>1077</v>
      </c>
      <c r="BG211" s="691" t="s">
        <v>1102</v>
      </c>
      <c r="BH211" s="896" t="str" cm="1">
        <f t="array" ref="BH211">BH210</f>
        <v/>
      </c>
    </row>
    <row r="212" spans="2:62" ht="0" hidden="1" customHeight="1">
      <c r="E212" s="502">
        <v>15</v>
      </c>
      <c r="F212" s="3" t="str" cm="1">
        <f t="array" aca="1" ref="F212" ca="1">OFFSET(E212,-1,1)</f>
        <v>2</v>
      </c>
      <c r="H212" s="85" t="str">
        <f>"!=='не определено' &amp;&amp; row.l5 !== null"</f>
        <v>!=='не определено' &amp;&amp; row.l5 !== null</v>
      </c>
      <c r="T212" s="365" t="b">
        <f ca="1">F212&gt;0</f>
        <v>1</v>
      </c>
      <c r="W212" s="508" t="s">
        <v>1105</v>
      </c>
      <c r="X212" s="999"/>
      <c r="Y212" s="102"/>
      <c r="Z212" s="1144"/>
      <c r="AB212" s="505"/>
      <c r="AC212" s="164" t="s">
        <v>1079</v>
      </c>
      <c r="AD212" s="164"/>
      <c r="AE212" s="164"/>
      <c r="AF212" s="164"/>
      <c r="AG212" s="164"/>
      <c r="AH212" s="164"/>
      <c r="AI212" s="164"/>
      <c r="AJ212" s="164"/>
      <c r="AK212" s="164"/>
      <c r="AL212" s="164"/>
      <c r="AM212" s="164"/>
      <c r="AN212" s="164"/>
      <c r="AO212" s="164"/>
      <c r="AP212" s="164"/>
      <c r="AQ212" s="164"/>
      <c r="AR212" s="164"/>
      <c r="AS212" s="164"/>
      <c r="AT212" s="164"/>
      <c r="AU212" s="164"/>
      <c r="AV212" s="164"/>
      <c r="AW212" s="164"/>
      <c r="AX212" s="164"/>
      <c r="AY212" s="164"/>
      <c r="AZ212" s="164"/>
      <c r="BA212" s="164"/>
      <c r="BB212" s="164"/>
      <c r="BC212" s="165"/>
      <c r="BI212" s="502" t="s">
        <v>1102</v>
      </c>
    </row>
    <row r="213" spans="2:62" s="86" customFormat="1" ht="65.25" customHeight="1">
      <c r="B213" s="350"/>
      <c r="E213" s="503">
        <v>15</v>
      </c>
      <c r="F213" s="3" t="str" cm="1">
        <f t="array" aca="1" ref="F213" ca="1">OFFSET(E213,-1,1)</f>
        <v>2</v>
      </c>
      <c r="G213" s="85" t="s">
        <v>511</v>
      </c>
      <c r="K213" s="611" t="str">
        <f ca="1">F178&amp;"6komm"</f>
        <v>26komm</v>
      </c>
      <c r="L213" s="615" t="str" cm="1">
        <f t="array" ref="L213">BC213</f>
        <v>рассчитаны по фактическому расходу Гкалл 2024 года, тарифы с 01.01 по 30.09 на уровне декабря 2025 года (пост. от 09.12.2025 № 403), тарифы с 01.10. по 31.12. с применением ИПЦ Минэкономразвития России на 2026 год 105,1%.</v>
      </c>
      <c r="T213" s="365" t="b" cm="1">
        <f t="array" aca="1" ref="T213" ca="1">T212</f>
        <v>1</v>
      </c>
      <c r="X213" s="999"/>
      <c r="Z213" s="1144"/>
      <c r="AB213" s="143">
        <v>6</v>
      </c>
      <c r="AC213" s="144" t="s">
        <v>1106</v>
      </c>
      <c r="AD213" s="143" t="s">
        <v>804</v>
      </c>
      <c r="AE213" s="897">
        <f t="shared" ref="AE213:BB213" si="41">SUMIF($AC216:$AC232,"Затраты на тепловую энергию, всего",AE216:AE232)</f>
        <v>1000.4095929484801</v>
      </c>
      <c r="AF213" s="897">
        <f t="shared" si="41"/>
        <v>929.87545999999998</v>
      </c>
      <c r="AG213" s="897">
        <f t="shared" si="41"/>
        <v>929.87545999999998</v>
      </c>
      <c r="AH213" s="897">
        <f t="shared" si="41"/>
        <v>913.3</v>
      </c>
      <c r="AI213" s="897">
        <f t="shared" si="41"/>
        <v>1090.6802</v>
      </c>
      <c r="AJ213" s="783">
        <f t="shared" si="41"/>
        <v>0</v>
      </c>
      <c r="AK213" s="783">
        <f t="shared" si="41"/>
        <v>0</v>
      </c>
      <c r="AL213" s="783">
        <f t="shared" si="41"/>
        <v>0</v>
      </c>
      <c r="AM213" s="783">
        <f t="shared" si="41"/>
        <v>0</v>
      </c>
      <c r="AN213" s="783">
        <f t="shared" si="41"/>
        <v>0</v>
      </c>
      <c r="AO213" s="783">
        <f t="shared" si="41"/>
        <v>0</v>
      </c>
      <c r="AP213" s="783">
        <f t="shared" si="41"/>
        <v>0</v>
      </c>
      <c r="AQ213" s="783">
        <f t="shared" si="41"/>
        <v>0</v>
      </c>
      <c r="AR213" s="783">
        <f t="shared" si="41"/>
        <v>0</v>
      </c>
      <c r="AS213" s="897">
        <f t="shared" si="41"/>
        <v>1253.34825</v>
      </c>
      <c r="AT213" s="783">
        <f t="shared" si="41"/>
        <v>0</v>
      </c>
      <c r="AU213" s="783">
        <f t="shared" si="41"/>
        <v>0</v>
      </c>
      <c r="AV213" s="783">
        <f t="shared" si="41"/>
        <v>0</v>
      </c>
      <c r="AW213" s="783">
        <f t="shared" si="41"/>
        <v>0</v>
      </c>
      <c r="AX213" s="783">
        <f t="shared" si="41"/>
        <v>0</v>
      </c>
      <c r="AY213" s="783">
        <f t="shared" si="41"/>
        <v>0</v>
      </c>
      <c r="AZ213" s="783">
        <f t="shared" si="41"/>
        <v>0</v>
      </c>
      <c r="BA213" s="783">
        <f t="shared" si="41"/>
        <v>0</v>
      </c>
      <c r="BB213" s="783">
        <f t="shared" si="41"/>
        <v>0</v>
      </c>
      <c r="BC213" s="132" t="s">
        <v>1149</v>
      </c>
      <c r="BF213" s="694" t="s">
        <v>1107</v>
      </c>
      <c r="BG213" s="694"/>
      <c r="BH213" s="694"/>
      <c r="BI213" s="503"/>
      <c r="BJ213" s="503"/>
    </row>
    <row r="214" spans="2:62" ht="14.65" hidden="1" customHeight="1">
      <c r="E214" s="502">
        <v>15</v>
      </c>
      <c r="F214" s="3" t="str" cm="1">
        <f t="array" aca="1" ref="F214" ca="1">OFFSET(E214,-1,1)</f>
        <v>2</v>
      </c>
      <c r="T214" s="365" t="b">
        <v>0</v>
      </c>
      <c r="W214" s="85" t="s">
        <v>173</v>
      </c>
      <c r="X214" s="1143"/>
      <c r="Y214" s="999">
        <v>0</v>
      </c>
      <c r="Z214" s="1143"/>
      <c r="AA214" s="1145" t="s">
        <v>174</v>
      </c>
      <c r="AB214" s="5"/>
      <c r="AD214" s="6"/>
      <c r="AE214" s="7" t="b">
        <f t="shared" ref="AE214:BB214" si="42">OR(AND(AE217&lt;&gt;"",AE218=""),AND(AE217="",AE218&lt;&gt;""))</f>
        <v>0</v>
      </c>
      <c r="AF214" s="7" t="b">
        <f t="shared" si="42"/>
        <v>0</v>
      </c>
      <c r="AG214" s="7" t="b">
        <f t="shared" si="42"/>
        <v>0</v>
      </c>
      <c r="AH214" s="7" t="b">
        <f t="shared" si="42"/>
        <v>0</v>
      </c>
      <c r="AI214" s="7" t="b">
        <f t="shared" si="42"/>
        <v>0</v>
      </c>
      <c r="AJ214" s="7" t="b">
        <f t="shared" si="42"/>
        <v>0</v>
      </c>
      <c r="AK214" s="7" t="b">
        <f t="shared" si="42"/>
        <v>0</v>
      </c>
      <c r="AL214" s="7" t="b">
        <f t="shared" si="42"/>
        <v>0</v>
      </c>
      <c r="AM214" s="7" t="b">
        <f t="shared" si="42"/>
        <v>0</v>
      </c>
      <c r="AN214" s="7" t="b">
        <f t="shared" si="42"/>
        <v>0</v>
      </c>
      <c r="AO214" s="7" t="b">
        <f t="shared" si="42"/>
        <v>0</v>
      </c>
      <c r="AP214" s="7" t="b">
        <f t="shared" si="42"/>
        <v>0</v>
      </c>
      <c r="AQ214" s="7" t="b">
        <f t="shared" si="42"/>
        <v>0</v>
      </c>
      <c r="AR214" s="7" t="b">
        <f t="shared" si="42"/>
        <v>0</v>
      </c>
      <c r="AS214" s="7" t="b">
        <f t="shared" si="42"/>
        <v>0</v>
      </c>
      <c r="AT214" s="7" t="b">
        <f t="shared" si="42"/>
        <v>0</v>
      </c>
      <c r="AU214" s="7" t="b">
        <f t="shared" si="42"/>
        <v>0</v>
      </c>
      <c r="AV214" s="7" t="b">
        <f t="shared" si="42"/>
        <v>0</v>
      </c>
      <c r="AW214" s="7" t="b">
        <f t="shared" si="42"/>
        <v>0</v>
      </c>
      <c r="AX214" s="7" t="b">
        <f t="shared" si="42"/>
        <v>0</v>
      </c>
      <c r="AY214" s="7" t="b">
        <f t="shared" si="42"/>
        <v>0</v>
      </c>
      <c r="AZ214" s="7" t="b">
        <f t="shared" si="42"/>
        <v>0</v>
      </c>
      <c r="BA214" s="7" t="b">
        <f t="shared" si="42"/>
        <v>0</v>
      </c>
      <c r="BB214" s="7" t="b">
        <f t="shared" si="42"/>
        <v>0</v>
      </c>
      <c r="BC214" s="7"/>
      <c r="BF214" s="694"/>
      <c r="BG214" s="694"/>
      <c r="BH214" s="694"/>
      <c r="BI214" s="503"/>
      <c r="BJ214" s="503"/>
    </row>
    <row r="215" spans="2:62" ht="14.65" hidden="1" customHeight="1">
      <c r="E215" s="502">
        <v>15</v>
      </c>
      <c r="F215" s="3" t="str" cm="1">
        <f t="array" aca="1" ref="F215" ca="1">OFFSET(E215,-1,1)</f>
        <v>2</v>
      </c>
      <c r="T215" s="365" t="b">
        <f ca="1">AND(F215&gt;0,Y214&gt;0)</f>
        <v>0</v>
      </c>
      <c r="X215" s="1143"/>
      <c r="Y215" s="1143"/>
      <c r="Z215" s="1143"/>
      <c r="AA215" s="1145"/>
      <c r="AB215" s="8" t="str">
        <f>"6."&amp;Y214</f>
        <v>6.0</v>
      </c>
      <c r="AC215" s="9"/>
      <c r="AD215" s="6"/>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F215" s="694"/>
      <c r="BG215" s="694"/>
      <c r="BH215" s="694"/>
      <c r="BI215" s="503"/>
      <c r="BJ215" s="503"/>
    </row>
    <row r="216" spans="2:62" ht="14.65" hidden="1" customHeight="1">
      <c r="E216" s="502">
        <v>15</v>
      </c>
      <c r="F216" s="3" t="str" cm="1">
        <f t="array" aca="1" ref="F216" ca="1">OFFSET(E216,-1,1)</f>
        <v>2</v>
      </c>
      <c r="T216" s="365" t="b" cm="1">
        <f t="array" aca="1" ref="T216" ca="1">T215</f>
        <v>0</v>
      </c>
      <c r="X216" s="1143"/>
      <c r="Y216" s="1143"/>
      <c r="Z216" s="1143"/>
      <c r="AA216" s="1145"/>
      <c r="AB216" s="8" t="str">
        <f>AB215&amp;".1"</f>
        <v>6.0.1</v>
      </c>
      <c r="AC216" s="11" t="s">
        <v>1108</v>
      </c>
      <c r="AD216" s="12" t="s">
        <v>804</v>
      </c>
      <c r="AE216" s="13">
        <f t="shared" ref="AE216:BB216" si="43">AE217+AE220</f>
        <v>0</v>
      </c>
      <c r="AF216" s="13">
        <f t="shared" si="43"/>
        <v>0</v>
      </c>
      <c r="AG216" s="13">
        <f t="shared" si="43"/>
        <v>0</v>
      </c>
      <c r="AH216" s="13">
        <f t="shared" si="43"/>
        <v>0</v>
      </c>
      <c r="AI216" s="13">
        <f t="shared" si="43"/>
        <v>0</v>
      </c>
      <c r="AJ216" s="14">
        <f t="shared" si="43"/>
        <v>0</v>
      </c>
      <c r="AK216" s="14">
        <f t="shared" si="43"/>
        <v>0</v>
      </c>
      <c r="AL216" s="14">
        <f t="shared" si="43"/>
        <v>0</v>
      </c>
      <c r="AM216" s="14">
        <f t="shared" si="43"/>
        <v>0</v>
      </c>
      <c r="AN216" s="14">
        <f t="shared" si="43"/>
        <v>0</v>
      </c>
      <c r="AO216" s="14">
        <f t="shared" si="43"/>
        <v>0</v>
      </c>
      <c r="AP216" s="14">
        <f t="shared" si="43"/>
        <v>0</v>
      </c>
      <c r="AQ216" s="14">
        <f t="shared" si="43"/>
        <v>0</v>
      </c>
      <c r="AR216" s="14">
        <f t="shared" si="43"/>
        <v>0</v>
      </c>
      <c r="AS216" s="13">
        <f t="shared" si="43"/>
        <v>0</v>
      </c>
      <c r="AT216" s="14">
        <f t="shared" si="43"/>
        <v>0</v>
      </c>
      <c r="AU216" s="14">
        <f t="shared" si="43"/>
        <v>0</v>
      </c>
      <c r="AV216" s="14">
        <f t="shared" si="43"/>
        <v>0</v>
      </c>
      <c r="AW216" s="14">
        <f t="shared" si="43"/>
        <v>0</v>
      </c>
      <c r="AX216" s="14">
        <f t="shared" si="43"/>
        <v>0</v>
      </c>
      <c r="AY216" s="14">
        <f t="shared" si="43"/>
        <v>0</v>
      </c>
      <c r="AZ216" s="14">
        <f t="shared" si="43"/>
        <v>0</v>
      </c>
      <c r="BA216" s="14">
        <f t="shared" si="43"/>
        <v>0</v>
      </c>
      <c r="BB216" s="14">
        <f t="shared" si="43"/>
        <v>0</v>
      </c>
      <c r="BC216" s="15"/>
      <c r="BF216" s="694" t="s">
        <v>1109</v>
      </c>
      <c r="BG216" s="694" t="s">
        <v>1110</v>
      </c>
      <c r="BH216" s="16" cm="1">
        <f t="array" ref="BH216">AC215</f>
        <v>0</v>
      </c>
      <c r="BI216" s="503"/>
      <c r="BJ216" s="503" t="b">
        <v>1</v>
      </c>
    </row>
    <row r="217" spans="2:62" ht="14.65" hidden="1" customHeight="1">
      <c r="E217" s="502">
        <v>15</v>
      </c>
      <c r="F217" s="3" t="str" cm="1">
        <f t="array" aca="1" ref="F217" ca="1">OFFSET(E217,-1,1)</f>
        <v>2</v>
      </c>
      <c r="T217" s="365" t="b" cm="1">
        <f t="array" aca="1" ref="T217" ca="1">T216</f>
        <v>0</v>
      </c>
      <c r="X217" s="1143"/>
      <c r="Y217" s="1143"/>
      <c r="Z217" s="1143"/>
      <c r="AA217" s="1145"/>
      <c r="AB217" s="8" t="str">
        <f>AB216&amp;".1"</f>
        <v>6.0.1.1</v>
      </c>
      <c r="AC217" s="17" t="s">
        <v>1111</v>
      </c>
      <c r="AD217" s="18" t="s">
        <v>804</v>
      </c>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5"/>
      <c r="BF217" s="694" t="s">
        <v>1112</v>
      </c>
      <c r="BG217" s="694" t="s">
        <v>1110</v>
      </c>
      <c r="BH217" s="16" cm="1">
        <f t="array" ref="BH217">BH216</f>
        <v>0</v>
      </c>
      <c r="BI217" s="503"/>
      <c r="BJ217" s="503"/>
    </row>
    <row r="218" spans="2:62" ht="14.65" hidden="1" customHeight="1">
      <c r="E218" s="502">
        <v>15</v>
      </c>
      <c r="F218" s="3" t="str" cm="1">
        <f t="array" aca="1" ref="F218" ca="1">OFFSET(E218,-1,1)</f>
        <v>2</v>
      </c>
      <c r="T218" s="365" t="b" cm="1">
        <f t="array" aca="1" ref="T218" ca="1">T217</f>
        <v>0</v>
      </c>
      <c r="X218" s="1143"/>
      <c r="Y218" s="1143"/>
      <c r="Z218" s="1143"/>
      <c r="AA218" s="1145"/>
      <c r="AB218" s="8" t="str">
        <f>AB217&amp;".1"</f>
        <v>6.0.1.1.1</v>
      </c>
      <c r="AC218" s="20" t="s">
        <v>1113</v>
      </c>
      <c r="AD218" s="12" t="s">
        <v>1114</v>
      </c>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5"/>
      <c r="BF218" s="694" t="s">
        <v>1115</v>
      </c>
      <c r="BG218" s="694" t="s">
        <v>1110</v>
      </c>
      <c r="BH218" s="16" cm="1">
        <f t="array" ref="BH218">BH217</f>
        <v>0</v>
      </c>
      <c r="BI218" s="503"/>
      <c r="BJ218" s="503"/>
    </row>
    <row r="219" spans="2:62" ht="14.65" hidden="1" customHeight="1">
      <c r="E219" s="502">
        <v>15</v>
      </c>
      <c r="F219" s="3" t="str" cm="1">
        <f t="array" aca="1" ref="F219" ca="1">OFFSET(E219,-1,1)</f>
        <v>2</v>
      </c>
      <c r="T219" s="365" t="b" cm="1">
        <f t="array" aca="1" ref="T219" ca="1">T218</f>
        <v>0</v>
      </c>
      <c r="X219" s="1143"/>
      <c r="Y219" s="1143"/>
      <c r="Z219" s="1143"/>
      <c r="AA219" s="1145"/>
      <c r="AB219" s="8" t="str">
        <f>AB217&amp;".2"</f>
        <v>6.0.1.1.2</v>
      </c>
      <c r="AC219" s="20" t="s">
        <v>1116</v>
      </c>
      <c r="AD219" s="12" t="s">
        <v>1117</v>
      </c>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5"/>
      <c r="BF219" s="694" t="s">
        <v>1118</v>
      </c>
      <c r="BG219" s="694" t="s">
        <v>1110</v>
      </c>
      <c r="BH219" s="16" cm="1">
        <f t="array" ref="BH219">BH218</f>
        <v>0</v>
      </c>
      <c r="BI219" s="503"/>
      <c r="BJ219" s="503"/>
    </row>
    <row r="220" spans="2:62" ht="14.65" hidden="1" customHeight="1">
      <c r="E220" s="502">
        <v>15</v>
      </c>
      <c r="F220" s="3" t="str" cm="1">
        <f t="array" aca="1" ref="F220" ca="1">OFFSET(E220,-1,1)</f>
        <v>2</v>
      </c>
      <c r="T220" s="365" t="b" cm="1">
        <f t="array" aca="1" ref="T220" ca="1">T219</f>
        <v>0</v>
      </c>
      <c r="X220" s="1143"/>
      <c r="Y220" s="1143"/>
      <c r="Z220" s="1143"/>
      <c r="AA220" s="1145"/>
      <c r="AB220" s="8" t="str">
        <f>AB216&amp;".2"</f>
        <v>6.0.1.2</v>
      </c>
      <c r="AC220" s="21" t="s">
        <v>1119</v>
      </c>
      <c r="AD220" s="12" t="s">
        <v>804</v>
      </c>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5"/>
      <c r="BF220" s="694" t="s">
        <v>1120</v>
      </c>
      <c r="BG220" s="694" t="s">
        <v>1110</v>
      </c>
      <c r="BH220" s="16" cm="1">
        <f t="array" ref="BH220">BH219</f>
        <v>0</v>
      </c>
      <c r="BI220" s="503"/>
      <c r="BJ220" s="503"/>
    </row>
    <row r="221" spans="2:62" ht="14.65" hidden="1" customHeight="1">
      <c r="E221" s="502">
        <v>15</v>
      </c>
      <c r="F221" s="3" t="str" cm="1">
        <f t="array" aca="1" ref="F221" ca="1">OFFSET(E221,-1,1)</f>
        <v>2</v>
      </c>
      <c r="T221" s="365" t="b" cm="1">
        <f t="array" aca="1" ref="T221" ca="1">T220</f>
        <v>0</v>
      </c>
      <c r="X221" s="1143"/>
      <c r="Y221" s="1143"/>
      <c r="Z221" s="1143"/>
      <c r="AA221" s="1145"/>
      <c r="AB221" s="8" t="str">
        <f>AB220&amp;".1"</f>
        <v>6.0.1.2.1</v>
      </c>
      <c r="AC221" s="20" t="s">
        <v>1121</v>
      </c>
      <c r="AD221" s="12" t="s">
        <v>1122</v>
      </c>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5"/>
      <c r="BF221" s="694" t="s">
        <v>1123</v>
      </c>
      <c r="BG221" s="694" t="s">
        <v>1110</v>
      </c>
      <c r="BH221" s="16" cm="1">
        <f t="array" ref="BH221">BH220</f>
        <v>0</v>
      </c>
      <c r="BI221" s="503"/>
      <c r="BJ221" s="503"/>
    </row>
    <row r="222" spans="2:62" ht="14.65" hidden="1" customHeight="1">
      <c r="E222" s="502">
        <v>15</v>
      </c>
      <c r="F222" s="3" t="str" cm="1">
        <f t="array" aca="1" ref="F222" ca="1">OFFSET(E222,-1,1)</f>
        <v>2</v>
      </c>
      <c r="T222" s="365" t="b" cm="1">
        <f t="array" aca="1" ref="T222" ca="1">T221</f>
        <v>0</v>
      </c>
      <c r="X222" s="1143"/>
      <c r="Y222" s="1143"/>
      <c r="Z222" s="1143"/>
      <c r="AA222" s="1145"/>
      <c r="AB222" s="8" t="str">
        <f>AB220&amp;".2"</f>
        <v>6.0.1.2.2</v>
      </c>
      <c r="AC222" s="20" t="s">
        <v>1124</v>
      </c>
      <c r="AD222" s="12" t="s">
        <v>1125</v>
      </c>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5"/>
      <c r="BF222" s="694" t="s">
        <v>1126</v>
      </c>
      <c r="BG222" s="694" t="s">
        <v>1110</v>
      </c>
      <c r="BH222" s="16" cm="1">
        <f t="array" ref="BH222">BH221</f>
        <v>0</v>
      </c>
      <c r="BI222" s="503"/>
      <c r="BJ222" s="503"/>
    </row>
    <row r="223" spans="2:62" ht="14.25" hidden="1" customHeight="1">
      <c r="E223" s="502">
        <v>15</v>
      </c>
      <c r="F223" s="774" t="str" cm="1">
        <f t="array" aca="1" ref="F223" ca="1">OFFSET(E223,-1,1)</f>
        <v>2</v>
      </c>
      <c r="T223" s="365" t="b">
        <v>0</v>
      </c>
      <c r="X223" s="1143"/>
      <c r="Y223" s="999" t="s">
        <v>275</v>
      </c>
      <c r="Z223" s="1143"/>
      <c r="AA223" s="1145" t="s">
        <v>174</v>
      </c>
      <c r="AB223" s="5"/>
      <c r="AD223" s="6"/>
      <c r="AE223" s="7" t="b">
        <f t="shared" ref="AE223:BB223" si="44">OR(AND(AE226&lt;&gt;"",AE227=""),AND(AE226="",AE227&lt;&gt;""))</f>
        <v>0</v>
      </c>
      <c r="AF223" s="7" t="b">
        <f t="shared" si="44"/>
        <v>0</v>
      </c>
      <c r="AG223" s="7" t="b">
        <f t="shared" si="44"/>
        <v>0</v>
      </c>
      <c r="AH223" s="7" t="b">
        <f t="shared" si="44"/>
        <v>0</v>
      </c>
      <c r="AI223" s="7" t="b">
        <f t="shared" si="44"/>
        <v>0</v>
      </c>
      <c r="AJ223" s="7" t="b">
        <f t="shared" si="44"/>
        <v>0</v>
      </c>
      <c r="AK223" s="7" t="b">
        <f t="shared" si="44"/>
        <v>0</v>
      </c>
      <c r="AL223" s="7" t="b">
        <f t="shared" si="44"/>
        <v>0</v>
      </c>
      <c r="AM223" s="7" t="b">
        <f t="shared" si="44"/>
        <v>0</v>
      </c>
      <c r="AN223" s="7" t="b">
        <f t="shared" si="44"/>
        <v>0</v>
      </c>
      <c r="AO223" s="7" t="b">
        <f t="shared" si="44"/>
        <v>0</v>
      </c>
      <c r="AP223" s="7" t="b">
        <f t="shared" si="44"/>
        <v>0</v>
      </c>
      <c r="AQ223" s="7" t="b">
        <f t="shared" si="44"/>
        <v>0</v>
      </c>
      <c r="AR223" s="7" t="b">
        <f t="shared" si="44"/>
        <v>0</v>
      </c>
      <c r="AS223" s="7" t="b">
        <f t="shared" si="44"/>
        <v>0</v>
      </c>
      <c r="AT223" s="7" t="b">
        <f t="shared" si="44"/>
        <v>0</v>
      </c>
      <c r="AU223" s="7" t="b">
        <f t="shared" si="44"/>
        <v>0</v>
      </c>
      <c r="AV223" s="7" t="b">
        <f t="shared" si="44"/>
        <v>0</v>
      </c>
      <c r="AW223" s="7" t="b">
        <f t="shared" si="44"/>
        <v>0</v>
      </c>
      <c r="AX223" s="7" t="b">
        <f t="shared" si="44"/>
        <v>0</v>
      </c>
      <c r="AY223" s="7" t="b">
        <f t="shared" si="44"/>
        <v>0</v>
      </c>
      <c r="AZ223" s="7" t="b">
        <f t="shared" si="44"/>
        <v>0</v>
      </c>
      <c r="BA223" s="7" t="b">
        <f t="shared" si="44"/>
        <v>0</v>
      </c>
      <c r="BB223" s="7" t="b">
        <f t="shared" si="44"/>
        <v>0</v>
      </c>
      <c r="BC223" s="7"/>
      <c r="BF223" s="694"/>
      <c r="BG223" s="694"/>
      <c r="BH223" s="694"/>
      <c r="BI223" s="503"/>
      <c r="BJ223" s="503"/>
    </row>
    <row r="224" spans="2:62" ht="12.75" customHeight="1">
      <c r="E224" s="502">
        <v>15</v>
      </c>
      <c r="F224" s="774" t="str" cm="1">
        <f t="array" aca="1" ref="F224" ca="1">OFFSET(E224,-1,1)</f>
        <v>2</v>
      </c>
      <c r="T224" s="365" t="b">
        <f ca="1">AND(F224&gt;0,Y223&gt;0)</f>
        <v>1</v>
      </c>
      <c r="X224" s="1143"/>
      <c r="Y224" s="1143"/>
      <c r="Z224" s="1143"/>
      <c r="AA224" s="1145"/>
      <c r="AB224" s="8" t="str">
        <f>"6."&amp;Y223</f>
        <v>6.1</v>
      </c>
      <c r="AC224" s="9" t="s">
        <v>1150</v>
      </c>
      <c r="AD224" s="6"/>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F224" s="694"/>
      <c r="BG224" s="694"/>
      <c r="BH224" s="694"/>
      <c r="BI224" s="503"/>
      <c r="BJ224" s="503"/>
    </row>
    <row r="225" spans="2:62" ht="14.25" customHeight="1">
      <c r="E225" s="502">
        <v>15</v>
      </c>
      <c r="F225" s="774" t="str" cm="1">
        <f t="array" aca="1" ref="F225" ca="1">OFFSET(E225,-1,1)</f>
        <v>2</v>
      </c>
      <c r="T225" s="365" t="b" cm="1">
        <f t="array" aca="1" ref="T225" ca="1">T224</f>
        <v>1</v>
      </c>
      <c r="X225" s="1143"/>
      <c r="Y225" s="1143"/>
      <c r="Z225" s="1143"/>
      <c r="AA225" s="1145"/>
      <c r="AB225" s="8" t="str">
        <f>AB224&amp;".1"</f>
        <v>6.1.1</v>
      </c>
      <c r="AC225" s="11" t="s">
        <v>1108</v>
      </c>
      <c r="AD225" s="12" t="s">
        <v>804</v>
      </c>
      <c r="AE225" s="13">
        <f t="shared" ref="AE225:BB225" si="45">AE226+AE229</f>
        <v>1000.4095929484801</v>
      </c>
      <c r="AF225" s="13">
        <f t="shared" si="45"/>
        <v>929.87545999999998</v>
      </c>
      <c r="AG225" s="13">
        <f t="shared" si="45"/>
        <v>929.87545999999998</v>
      </c>
      <c r="AH225" s="13">
        <f t="shared" si="45"/>
        <v>913.3</v>
      </c>
      <c r="AI225" s="13">
        <f t="shared" si="45"/>
        <v>1090.6802</v>
      </c>
      <c r="AJ225" s="14">
        <f t="shared" si="45"/>
        <v>0</v>
      </c>
      <c r="AK225" s="14">
        <f t="shared" si="45"/>
        <v>0</v>
      </c>
      <c r="AL225" s="14">
        <f t="shared" si="45"/>
        <v>0</v>
      </c>
      <c r="AM225" s="14">
        <f t="shared" si="45"/>
        <v>0</v>
      </c>
      <c r="AN225" s="14">
        <f t="shared" si="45"/>
        <v>0</v>
      </c>
      <c r="AO225" s="14">
        <f t="shared" si="45"/>
        <v>0</v>
      </c>
      <c r="AP225" s="14">
        <f t="shared" si="45"/>
        <v>0</v>
      </c>
      <c r="AQ225" s="14">
        <f t="shared" si="45"/>
        <v>0</v>
      </c>
      <c r="AR225" s="14">
        <f t="shared" si="45"/>
        <v>0</v>
      </c>
      <c r="AS225" s="13">
        <f t="shared" si="45"/>
        <v>1253.34825</v>
      </c>
      <c r="AT225" s="14">
        <f t="shared" si="45"/>
        <v>0</v>
      </c>
      <c r="AU225" s="14">
        <f t="shared" si="45"/>
        <v>0</v>
      </c>
      <c r="AV225" s="14">
        <f t="shared" si="45"/>
        <v>0</v>
      </c>
      <c r="AW225" s="14">
        <f t="shared" si="45"/>
        <v>0</v>
      </c>
      <c r="AX225" s="14">
        <f t="shared" si="45"/>
        <v>0</v>
      </c>
      <c r="AY225" s="14">
        <f t="shared" si="45"/>
        <v>0</v>
      </c>
      <c r="AZ225" s="14">
        <f t="shared" si="45"/>
        <v>0</v>
      </c>
      <c r="BA225" s="14">
        <f t="shared" si="45"/>
        <v>0</v>
      </c>
      <c r="BB225" s="14">
        <f t="shared" si="45"/>
        <v>0</v>
      </c>
      <c r="BC225" s="924"/>
      <c r="BF225" s="694" t="s">
        <v>1109</v>
      </c>
      <c r="BG225" s="694" t="s">
        <v>1110</v>
      </c>
      <c r="BH225" s="16" t="str" cm="1">
        <f t="array" ref="BH225">AC224</f>
        <v>ООО "УКиТС" (ИНН: 4204007393, КПП: 420401001)</v>
      </c>
      <c r="BI225" s="503"/>
      <c r="BJ225" s="503" t="b">
        <v>1</v>
      </c>
    </row>
    <row r="226" spans="2:62" ht="14.25" customHeight="1">
      <c r="E226" s="502">
        <v>15</v>
      </c>
      <c r="F226" s="774" t="str" cm="1">
        <f t="array" aca="1" ref="F226" ca="1">OFFSET(E226,-1,1)</f>
        <v>2</v>
      </c>
      <c r="T226" s="365" t="b" cm="1">
        <f t="array" aca="1" ref="T226" ca="1">T225</f>
        <v>1</v>
      </c>
      <c r="X226" s="1143"/>
      <c r="Y226" s="1143"/>
      <c r="Z226" s="1143"/>
      <c r="AA226" s="1145"/>
      <c r="AB226" s="8" t="str">
        <f>AB225&amp;".1"</f>
        <v>6.1.1.1</v>
      </c>
      <c r="AC226" s="17" t="s">
        <v>1111</v>
      </c>
      <c r="AD226" s="18" t="s">
        <v>804</v>
      </c>
      <c r="AE226" s="925">
        <v>1000.4095929484801</v>
      </c>
      <c r="AF226" s="925">
        <v>929.87545999999998</v>
      </c>
      <c r="AG226" s="925" cm="1">
        <f t="array" ref="AG226">AF226</f>
        <v>929.87545999999998</v>
      </c>
      <c r="AH226" s="925">
        <v>913.3</v>
      </c>
      <c r="AI226" s="925">
        <v>1090.6802</v>
      </c>
      <c r="AJ226" s="19"/>
      <c r="AK226" s="19"/>
      <c r="AL226" s="19"/>
      <c r="AM226" s="19"/>
      <c r="AN226" s="19"/>
      <c r="AO226" s="19"/>
      <c r="AP226" s="19"/>
      <c r="AQ226" s="19"/>
      <c r="AR226" s="19"/>
      <c r="AS226" s="925">
        <v>1253.34825</v>
      </c>
      <c r="AT226" s="19"/>
      <c r="AU226" s="19"/>
      <c r="AV226" s="19"/>
      <c r="AW226" s="19"/>
      <c r="AX226" s="19"/>
      <c r="AY226" s="19"/>
      <c r="AZ226" s="19"/>
      <c r="BA226" s="19"/>
      <c r="BB226" s="19"/>
      <c r="BC226" s="924"/>
      <c r="BF226" s="694" t="s">
        <v>1112</v>
      </c>
      <c r="BG226" s="694" t="s">
        <v>1110</v>
      </c>
      <c r="BH226" s="16" t="str" cm="1">
        <f t="array" ref="BH226">BH225</f>
        <v>ООО "УКиТС" (ИНН: 4204007393, КПП: 420401001)</v>
      </c>
      <c r="BI226" s="503"/>
      <c r="BJ226" s="503"/>
    </row>
    <row r="227" spans="2:62" ht="14.25" customHeight="1">
      <c r="E227" s="502">
        <v>15</v>
      </c>
      <c r="F227" s="774" t="str" cm="1">
        <f t="array" aca="1" ref="F227" ca="1">OFFSET(E227,-1,1)</f>
        <v>2</v>
      </c>
      <c r="T227" s="365" t="b" cm="1">
        <f t="array" aca="1" ref="T227" ca="1">T226</f>
        <v>1</v>
      </c>
      <c r="X227" s="1143"/>
      <c r="Y227" s="1143"/>
      <c r="Z227" s="1143"/>
      <c r="AA227" s="1145"/>
      <c r="AB227" s="8" t="str">
        <f>AB226&amp;".1"</f>
        <v>6.1.1.1.1</v>
      </c>
      <c r="AC227" s="20" t="s">
        <v>1113</v>
      </c>
      <c r="AD227" s="12" t="s">
        <v>1114</v>
      </c>
      <c r="AE227" s="926">
        <f>353.47/1000</f>
        <v>0.35347000000000001</v>
      </c>
      <c r="AF227" s="926">
        <f>333.43/1000</f>
        <v>0.33343</v>
      </c>
      <c r="AG227" s="926">
        <f>333.43/1000</f>
        <v>0.33343</v>
      </c>
      <c r="AH227" s="926">
        <f>351.19/1000</f>
        <v>0.35119</v>
      </c>
      <c r="AI227" s="926">
        <f>321.84/1000</f>
        <v>0.32183999999999996</v>
      </c>
      <c r="AJ227" s="927"/>
      <c r="AK227" s="927"/>
      <c r="AL227" s="927"/>
      <c r="AM227" s="927"/>
      <c r="AN227" s="927"/>
      <c r="AO227" s="927"/>
      <c r="AP227" s="927"/>
      <c r="AQ227" s="927"/>
      <c r="AR227" s="927"/>
      <c r="AS227" s="926">
        <f>333.43/1000</f>
        <v>0.33343</v>
      </c>
      <c r="AT227" s="19"/>
      <c r="AU227" s="19"/>
      <c r="AV227" s="19"/>
      <c r="AW227" s="19"/>
      <c r="AX227" s="19"/>
      <c r="AY227" s="19"/>
      <c r="AZ227" s="19"/>
      <c r="BA227" s="19"/>
      <c r="BB227" s="19"/>
      <c r="BC227" s="924"/>
      <c r="BF227" s="694" t="s">
        <v>1115</v>
      </c>
      <c r="BG227" s="694" t="s">
        <v>1110</v>
      </c>
      <c r="BH227" s="16" t="str" cm="1">
        <f t="array" ref="BH227">BH226</f>
        <v>ООО "УКиТС" (ИНН: 4204007393, КПП: 420401001)</v>
      </c>
      <c r="BI227" s="503"/>
      <c r="BJ227" s="503"/>
    </row>
    <row r="228" spans="2:62" ht="14.25" customHeight="1">
      <c r="E228" s="502">
        <v>15</v>
      </c>
      <c r="F228" s="774" t="str" cm="1">
        <f t="array" aca="1" ref="F228" ca="1">OFFSET(E228,-1,1)</f>
        <v>2</v>
      </c>
      <c r="T228" s="365" t="b" cm="1">
        <f t="array" aca="1" ref="T228" ca="1">T227</f>
        <v>1</v>
      </c>
      <c r="X228" s="1143"/>
      <c r="Y228" s="1143"/>
      <c r="Z228" s="1143"/>
      <c r="AA228" s="1145"/>
      <c r="AB228" s="8" t="str">
        <f>AB226&amp;".2"</f>
        <v>6.1.1.1.2</v>
      </c>
      <c r="AC228" s="20" t="s">
        <v>1116</v>
      </c>
      <c r="AD228" s="12" t="s">
        <v>1117</v>
      </c>
      <c r="AE228" s="925">
        <f>AE226/AE227</f>
        <v>2830.2531840000001</v>
      </c>
      <c r="AF228" s="925">
        <f>AF226/AF227</f>
        <v>2788.8176228893622</v>
      </c>
      <c r="AG228" s="925">
        <f>AG226/AG227</f>
        <v>2788.8176228893622</v>
      </c>
      <c r="AH228" s="925">
        <f>AH226/AH227</f>
        <v>2600.586577066545</v>
      </c>
      <c r="AI228" s="925">
        <f>AI226/AI227</f>
        <v>3388.8895103156851</v>
      </c>
      <c r="AJ228" s="19"/>
      <c r="AK228" s="19"/>
      <c r="AL228" s="19"/>
      <c r="AM228" s="19"/>
      <c r="AN228" s="19"/>
      <c r="AO228" s="19"/>
      <c r="AP228" s="19"/>
      <c r="AQ228" s="19"/>
      <c r="AR228" s="19"/>
      <c r="AS228" s="925">
        <f>AS226/AS227</f>
        <v>3758.9546531505862</v>
      </c>
      <c r="AT228" s="19"/>
      <c r="AU228" s="19"/>
      <c r="AV228" s="19"/>
      <c r="AW228" s="19"/>
      <c r="AX228" s="19"/>
      <c r="AY228" s="19"/>
      <c r="AZ228" s="19"/>
      <c r="BA228" s="19"/>
      <c r="BB228" s="19"/>
      <c r="BC228" s="924"/>
      <c r="BF228" s="694" t="s">
        <v>1118</v>
      </c>
      <c r="BG228" s="694" t="s">
        <v>1110</v>
      </c>
      <c r="BH228" s="16" t="str" cm="1">
        <f t="array" ref="BH228">BH227</f>
        <v>ООО "УКиТС" (ИНН: 4204007393, КПП: 420401001)</v>
      </c>
      <c r="BI228" s="503"/>
      <c r="BJ228" s="503"/>
    </row>
    <row r="229" spans="2:62" ht="14.25" customHeight="1">
      <c r="E229" s="502">
        <v>15</v>
      </c>
      <c r="F229" s="774" t="str" cm="1">
        <f t="array" aca="1" ref="F229" ca="1">OFFSET(E229,-1,1)</f>
        <v>2</v>
      </c>
      <c r="T229" s="365" t="b" cm="1">
        <f t="array" aca="1" ref="T229" ca="1">T228</f>
        <v>1</v>
      </c>
      <c r="X229" s="1143"/>
      <c r="Y229" s="1143"/>
      <c r="Z229" s="1143"/>
      <c r="AA229" s="1145"/>
      <c r="AB229" s="8" t="str">
        <f>AB225&amp;".2"</f>
        <v>6.1.1.2</v>
      </c>
      <c r="AC229" s="21" t="s">
        <v>1119</v>
      </c>
      <c r="AD229" s="12" t="s">
        <v>804</v>
      </c>
      <c r="AE229" s="925"/>
      <c r="AF229" s="925"/>
      <c r="AG229" s="925"/>
      <c r="AH229" s="925"/>
      <c r="AI229" s="925"/>
      <c r="AJ229" s="19"/>
      <c r="AK229" s="19"/>
      <c r="AL229" s="19"/>
      <c r="AM229" s="19"/>
      <c r="AN229" s="19"/>
      <c r="AO229" s="19"/>
      <c r="AP229" s="19"/>
      <c r="AQ229" s="19"/>
      <c r="AR229" s="19"/>
      <c r="AS229" s="925"/>
      <c r="AT229" s="19"/>
      <c r="AU229" s="19"/>
      <c r="AV229" s="19"/>
      <c r="AW229" s="19"/>
      <c r="AX229" s="19"/>
      <c r="AY229" s="19"/>
      <c r="AZ229" s="19"/>
      <c r="BA229" s="19"/>
      <c r="BB229" s="19"/>
      <c r="BC229" s="924"/>
      <c r="BF229" s="694" t="s">
        <v>1120</v>
      </c>
      <c r="BG229" s="694" t="s">
        <v>1110</v>
      </c>
      <c r="BH229" s="16" t="str" cm="1">
        <f t="array" ref="BH229">BH228</f>
        <v>ООО "УКиТС" (ИНН: 4204007393, КПП: 420401001)</v>
      </c>
      <c r="BI229" s="503"/>
      <c r="BJ229" s="503"/>
    </row>
    <row r="230" spans="2:62" ht="14.25" customHeight="1">
      <c r="E230" s="502">
        <v>15</v>
      </c>
      <c r="F230" s="774" t="str" cm="1">
        <f t="array" aca="1" ref="F230" ca="1">OFFSET(E230,-1,1)</f>
        <v>2</v>
      </c>
      <c r="T230" s="365" t="b" cm="1">
        <f t="array" aca="1" ref="T230" ca="1">T229</f>
        <v>1</v>
      </c>
      <c r="X230" s="1143"/>
      <c r="Y230" s="1143"/>
      <c r="Z230" s="1143"/>
      <c r="AA230" s="1145"/>
      <c r="AB230" s="8" t="str">
        <f>AB229&amp;".1"</f>
        <v>6.1.1.2.1</v>
      </c>
      <c r="AC230" s="20" t="s">
        <v>1121</v>
      </c>
      <c r="AD230" s="12" t="s">
        <v>1122</v>
      </c>
      <c r="AE230" s="925"/>
      <c r="AF230" s="925"/>
      <c r="AG230" s="925"/>
      <c r="AH230" s="925"/>
      <c r="AI230" s="925"/>
      <c r="AJ230" s="19"/>
      <c r="AK230" s="19"/>
      <c r="AL230" s="19"/>
      <c r="AM230" s="19"/>
      <c r="AN230" s="19"/>
      <c r="AO230" s="19"/>
      <c r="AP230" s="19"/>
      <c r="AQ230" s="19"/>
      <c r="AR230" s="19"/>
      <c r="AS230" s="925"/>
      <c r="AT230" s="19"/>
      <c r="AU230" s="19"/>
      <c r="AV230" s="19"/>
      <c r="AW230" s="19"/>
      <c r="AX230" s="19"/>
      <c r="AY230" s="19"/>
      <c r="AZ230" s="19"/>
      <c r="BA230" s="19"/>
      <c r="BB230" s="19"/>
      <c r="BC230" s="924"/>
      <c r="BF230" s="694" t="s">
        <v>1123</v>
      </c>
      <c r="BG230" s="694" t="s">
        <v>1110</v>
      </c>
      <c r="BH230" s="16" t="str" cm="1">
        <f t="array" ref="BH230">BH229</f>
        <v>ООО "УКиТС" (ИНН: 4204007393, КПП: 420401001)</v>
      </c>
      <c r="BI230" s="503"/>
      <c r="BJ230" s="503"/>
    </row>
    <row r="231" spans="2:62" ht="14.25" customHeight="1">
      <c r="E231" s="502">
        <v>15</v>
      </c>
      <c r="F231" s="774" t="str" cm="1">
        <f t="array" aca="1" ref="F231" ca="1">OFFSET(E231,-1,1)</f>
        <v>2</v>
      </c>
      <c r="T231" s="365" t="b" cm="1">
        <f t="array" aca="1" ref="T231" ca="1">T230</f>
        <v>1</v>
      </c>
      <c r="X231" s="1143"/>
      <c r="Y231" s="1143"/>
      <c r="Z231" s="1143"/>
      <c r="AA231" s="1145"/>
      <c r="AB231" s="8" t="str">
        <f>AB229&amp;".2"</f>
        <v>6.1.1.2.2</v>
      </c>
      <c r="AC231" s="20" t="s">
        <v>1124</v>
      </c>
      <c r="AD231" s="12" t="s">
        <v>1125</v>
      </c>
      <c r="AE231" s="925"/>
      <c r="AF231" s="925"/>
      <c r="AG231" s="925"/>
      <c r="AH231" s="925"/>
      <c r="AI231" s="925"/>
      <c r="AJ231" s="19"/>
      <c r="AK231" s="19"/>
      <c r="AL231" s="19"/>
      <c r="AM231" s="19"/>
      <c r="AN231" s="19"/>
      <c r="AO231" s="19"/>
      <c r="AP231" s="19"/>
      <c r="AQ231" s="19"/>
      <c r="AR231" s="19"/>
      <c r="AS231" s="925"/>
      <c r="AT231" s="19"/>
      <c r="AU231" s="19"/>
      <c r="AV231" s="19"/>
      <c r="AW231" s="19"/>
      <c r="AX231" s="19"/>
      <c r="AY231" s="19"/>
      <c r="AZ231" s="19"/>
      <c r="BA231" s="19"/>
      <c r="BB231" s="19"/>
      <c r="BC231" s="924"/>
      <c r="BF231" s="694" t="s">
        <v>1126</v>
      </c>
      <c r="BG231" s="694" t="s">
        <v>1110</v>
      </c>
      <c r="BH231" s="16" t="str" cm="1">
        <f t="array" ref="BH231">BH230</f>
        <v>ООО "УКиТС" (ИНН: 4204007393, КПП: 420401001)</v>
      </c>
      <c r="BI231" s="503"/>
      <c r="BJ231" s="503"/>
    </row>
    <row r="232" spans="2:62" ht="14.65" customHeight="1">
      <c r="B232" s="350"/>
      <c r="E232" s="502">
        <v>15</v>
      </c>
      <c r="F232" s="280" t="str" cm="1">
        <f t="array" aca="1" ref="F232" ca="1">OFFSET(E232,-1,1)</f>
        <v>2</v>
      </c>
      <c r="L232" s="615"/>
      <c r="T232" s="365" t="b">
        <f ca="1">F232&gt;0</f>
        <v>1</v>
      </c>
      <c r="W232" s="508" t="s">
        <v>1127</v>
      </c>
      <c r="X232" s="1142"/>
      <c r="Y232" s="34"/>
      <c r="Z232" s="1143"/>
      <c r="AA232" s="868"/>
      <c r="AB232" s="908"/>
      <c r="AC232" s="909" t="s">
        <v>1079</v>
      </c>
      <c r="AD232" s="909"/>
      <c r="AE232" s="910"/>
      <c r="AF232" s="910"/>
      <c r="AG232" s="910"/>
      <c r="AH232" s="910"/>
      <c r="AI232" s="910"/>
      <c r="AJ232" s="910"/>
      <c r="AK232" s="910"/>
      <c r="AL232" s="910"/>
      <c r="AM232" s="910"/>
      <c r="AN232" s="910"/>
      <c r="AO232" s="910"/>
      <c r="AP232" s="910"/>
      <c r="AQ232" s="910"/>
      <c r="AR232" s="910"/>
      <c r="AS232" s="910"/>
      <c r="AT232" s="910"/>
      <c r="AU232" s="910"/>
      <c r="AV232" s="910"/>
      <c r="AW232" s="910"/>
      <c r="AX232" s="910"/>
      <c r="AY232" s="910"/>
      <c r="AZ232" s="910"/>
      <c r="BA232" s="910"/>
      <c r="BB232" s="910"/>
      <c r="BC232" s="910"/>
      <c r="BF232" s="694"/>
      <c r="BG232" s="694"/>
      <c r="BH232" s="694"/>
      <c r="BI232" s="503" t="s">
        <v>1110</v>
      </c>
      <c r="BJ232" s="503"/>
    </row>
    <row r="233" spans="2:62" s="86" customFormat="1" ht="0" hidden="1" customHeight="1">
      <c r="B233" s="350"/>
      <c r="E233" s="503">
        <v>15</v>
      </c>
      <c r="F233" s="3" t="str" cm="1">
        <f t="array" aca="1" ref="F233" ca="1">OFFSET(E233,-1,1)</f>
        <v>2</v>
      </c>
      <c r="G233" s="85" t="s">
        <v>514</v>
      </c>
      <c r="K233" s="611" t="str">
        <f ca="1">F178&amp;"7komm"</f>
        <v>27komm</v>
      </c>
      <c r="L233" s="615" cm="1">
        <f t="array" ref="L233">BC233</f>
        <v>0</v>
      </c>
      <c r="T233" s="365" t="b" cm="1">
        <f t="array" aca="1" ref="T233" ca="1">T213</f>
        <v>1</v>
      </c>
      <c r="X233" s="999"/>
      <c r="Z233" s="1144"/>
      <c r="AB233" s="143">
        <v>7</v>
      </c>
      <c r="AC233" s="144" t="s">
        <v>1128</v>
      </c>
      <c r="AD233" s="143" t="s">
        <v>804</v>
      </c>
      <c r="AE233" s="897">
        <f t="shared" ref="AE233:BB233" si="46">SUMIF($AD236:$AD239,$AD233,AE236:AE239)</f>
        <v>0</v>
      </c>
      <c r="AF233" s="897">
        <f t="shared" si="46"/>
        <v>0</v>
      </c>
      <c r="AG233" s="897">
        <f t="shared" si="46"/>
        <v>0</v>
      </c>
      <c r="AH233" s="897">
        <f t="shared" si="46"/>
        <v>0</v>
      </c>
      <c r="AI233" s="897">
        <f t="shared" si="46"/>
        <v>0</v>
      </c>
      <c r="AJ233" s="783">
        <f t="shared" si="46"/>
        <v>0</v>
      </c>
      <c r="AK233" s="783">
        <f t="shared" si="46"/>
        <v>0</v>
      </c>
      <c r="AL233" s="783">
        <f t="shared" si="46"/>
        <v>0</v>
      </c>
      <c r="AM233" s="783">
        <f t="shared" si="46"/>
        <v>0</v>
      </c>
      <c r="AN233" s="783">
        <f t="shared" si="46"/>
        <v>0</v>
      </c>
      <c r="AO233" s="783">
        <f t="shared" si="46"/>
        <v>0</v>
      </c>
      <c r="AP233" s="783">
        <f t="shared" si="46"/>
        <v>0</v>
      </c>
      <c r="AQ233" s="783">
        <f t="shared" si="46"/>
        <v>0</v>
      </c>
      <c r="AR233" s="783">
        <f t="shared" si="46"/>
        <v>0</v>
      </c>
      <c r="AS233" s="897">
        <f t="shared" si="46"/>
        <v>0</v>
      </c>
      <c r="AT233" s="783">
        <f t="shared" si="46"/>
        <v>0</v>
      </c>
      <c r="AU233" s="783">
        <f t="shared" si="46"/>
        <v>0</v>
      </c>
      <c r="AV233" s="783">
        <f t="shared" si="46"/>
        <v>0</v>
      </c>
      <c r="AW233" s="783">
        <f t="shared" si="46"/>
        <v>0</v>
      </c>
      <c r="AX233" s="783">
        <f t="shared" si="46"/>
        <v>0</v>
      </c>
      <c r="AY233" s="783">
        <f t="shared" si="46"/>
        <v>0</v>
      </c>
      <c r="AZ233" s="783">
        <f t="shared" si="46"/>
        <v>0</v>
      </c>
      <c r="BA233" s="783">
        <f t="shared" si="46"/>
        <v>0</v>
      </c>
      <c r="BB233" s="783">
        <f t="shared" si="46"/>
        <v>0</v>
      </c>
      <c r="BC233" s="132"/>
      <c r="BF233" s="694" t="s">
        <v>1129</v>
      </c>
      <c r="BG233" s="694"/>
      <c r="BH233" s="694"/>
      <c r="BI233" s="503"/>
      <c r="BJ233" s="503"/>
    </row>
    <row r="234" spans="2:62" ht="14.65" hidden="1" customHeight="1">
      <c r="B234" s="350"/>
      <c r="E234" s="502">
        <v>15</v>
      </c>
      <c r="F234" s="280" t="str" cm="1">
        <f t="array" aca="1" ref="F234" ca="1">OFFSET(E234,-1,1)</f>
        <v>2</v>
      </c>
      <c r="L234" s="615"/>
      <c r="T234" s="365" t="b">
        <v>0</v>
      </c>
      <c r="W234" s="85" t="s">
        <v>173</v>
      </c>
      <c r="X234" s="1142"/>
      <c r="Y234" s="999">
        <v>0</v>
      </c>
      <c r="Z234" s="1143"/>
      <c r="AA234" s="1141" t="s">
        <v>174</v>
      </c>
      <c r="AB234" s="886"/>
      <c r="AC234" s="648"/>
      <c r="AD234" s="898"/>
      <c r="AE234" s="899" t="b">
        <f t="shared" ref="AE234:BB234" si="47">OR(AND(AE236&lt;&gt;"",AE237=""),AND(AE236="",AE237&lt;&gt;""))</f>
        <v>0</v>
      </c>
      <c r="AF234" s="899" t="b">
        <f t="shared" si="47"/>
        <v>0</v>
      </c>
      <c r="AG234" s="899" t="b">
        <f t="shared" si="47"/>
        <v>0</v>
      </c>
      <c r="AH234" s="899" t="b">
        <f t="shared" si="47"/>
        <v>0</v>
      </c>
      <c r="AI234" s="899" t="b">
        <f t="shared" si="47"/>
        <v>0</v>
      </c>
      <c r="AJ234" s="899" t="b">
        <f t="shared" si="47"/>
        <v>0</v>
      </c>
      <c r="AK234" s="899" t="b">
        <f t="shared" si="47"/>
        <v>0</v>
      </c>
      <c r="AL234" s="899" t="b">
        <f t="shared" si="47"/>
        <v>0</v>
      </c>
      <c r="AM234" s="899" t="b">
        <f t="shared" si="47"/>
        <v>0</v>
      </c>
      <c r="AN234" s="899" t="b">
        <f t="shared" si="47"/>
        <v>0</v>
      </c>
      <c r="AO234" s="899" t="b">
        <f t="shared" si="47"/>
        <v>0</v>
      </c>
      <c r="AP234" s="899" t="b">
        <f t="shared" si="47"/>
        <v>0</v>
      </c>
      <c r="AQ234" s="899" t="b">
        <f t="shared" si="47"/>
        <v>0</v>
      </c>
      <c r="AR234" s="899" t="b">
        <f t="shared" si="47"/>
        <v>0</v>
      </c>
      <c r="AS234" s="899" t="b">
        <f t="shared" si="47"/>
        <v>0</v>
      </c>
      <c r="AT234" s="899" t="b">
        <f t="shared" si="47"/>
        <v>0</v>
      </c>
      <c r="AU234" s="899" t="b">
        <f t="shared" si="47"/>
        <v>0</v>
      </c>
      <c r="AV234" s="899" t="b">
        <f t="shared" si="47"/>
        <v>0</v>
      </c>
      <c r="AW234" s="899" t="b">
        <f t="shared" si="47"/>
        <v>0</v>
      </c>
      <c r="AX234" s="899" t="b">
        <f t="shared" si="47"/>
        <v>0</v>
      </c>
      <c r="AY234" s="899" t="b">
        <f t="shared" si="47"/>
        <v>0</v>
      </c>
      <c r="AZ234" s="899" t="b">
        <f t="shared" si="47"/>
        <v>0</v>
      </c>
      <c r="BA234" s="899" t="b">
        <f t="shared" si="47"/>
        <v>0</v>
      </c>
      <c r="BB234" s="899" t="b">
        <f t="shared" si="47"/>
        <v>0</v>
      </c>
      <c r="BC234" s="652"/>
      <c r="BF234" s="694"/>
      <c r="BG234" s="694"/>
      <c r="BH234" s="694"/>
      <c r="BI234" s="503"/>
      <c r="BJ234" s="503"/>
    </row>
    <row r="235" spans="2:62" ht="14.65" hidden="1" customHeight="1">
      <c r="B235" s="350"/>
      <c r="E235" s="502">
        <v>15</v>
      </c>
      <c r="F235" s="280" t="str" cm="1">
        <f t="array" aca="1" ref="F235" ca="1">OFFSET(E235,-1,1)</f>
        <v>2</v>
      </c>
      <c r="L235" s="615"/>
      <c r="T235" s="365" t="b">
        <f ca="1">AND(F235&gt;0,Y234&gt;0)</f>
        <v>0</v>
      </c>
      <c r="X235" s="1142"/>
      <c r="Y235" s="999"/>
      <c r="Z235" s="1143"/>
      <c r="AA235" s="1141"/>
      <c r="AB235" s="884" t="str">
        <f>"7."&amp;Y234</f>
        <v>7.0</v>
      </c>
      <c r="AC235" s="900"/>
      <c r="AD235" s="898"/>
      <c r="BF235" s="694"/>
      <c r="BG235" s="694"/>
      <c r="BH235" s="694"/>
      <c r="BI235" s="503"/>
      <c r="BJ235" s="503"/>
    </row>
    <row r="236" spans="2:62" ht="14.65" hidden="1" customHeight="1">
      <c r="B236" s="350"/>
      <c r="E236" s="502">
        <v>15</v>
      </c>
      <c r="F236" s="280" t="str" cm="1">
        <f t="array" aca="1" ref="F236" ca="1">OFFSET(E236,-1,1)</f>
        <v>2</v>
      </c>
      <c r="L236" s="615"/>
      <c r="T236" s="365" t="b" cm="1">
        <f t="array" aca="1" ref="T236" ca="1">T235</f>
        <v>0</v>
      </c>
      <c r="X236" s="1142"/>
      <c r="Y236" s="999"/>
      <c r="Z236" s="1143"/>
      <c r="AA236" s="1141"/>
      <c r="AB236" s="884" t="str">
        <f>AB235&amp;".1"</f>
        <v>7.0.1</v>
      </c>
      <c r="AC236" s="911" t="s">
        <v>1070</v>
      </c>
      <c r="AD236" s="886" t="s">
        <v>804</v>
      </c>
      <c r="AE236" s="912"/>
      <c r="AF236" s="913"/>
      <c r="AG236" s="912"/>
      <c r="AH236" s="912"/>
      <c r="AI236" s="913"/>
      <c r="AJ236" s="913"/>
      <c r="AK236" s="913"/>
      <c r="AL236" s="913"/>
      <c r="AM236" s="913"/>
      <c r="AN236" s="913"/>
      <c r="AO236" s="913"/>
      <c r="AP236" s="913"/>
      <c r="AQ236" s="913"/>
      <c r="AR236" s="913"/>
      <c r="AS236" s="912"/>
      <c r="AT236" s="912"/>
      <c r="AU236" s="912"/>
      <c r="AV236" s="912"/>
      <c r="AW236" s="912"/>
      <c r="AX236" s="912"/>
      <c r="AY236" s="912"/>
      <c r="AZ236" s="912"/>
      <c r="BA236" s="912"/>
      <c r="BB236" s="912"/>
      <c r="BC236" s="839"/>
      <c r="BF236" s="691" t="s">
        <v>1071</v>
      </c>
      <c r="BG236" s="694" t="s">
        <v>1130</v>
      </c>
      <c r="BH236" s="904" cm="1">
        <f t="array" ref="BH236">AC235</f>
        <v>0</v>
      </c>
      <c r="BI236" s="503"/>
      <c r="BJ236" s="503" t="b">
        <v>1</v>
      </c>
    </row>
    <row r="237" spans="2:62" ht="14.65" hidden="1" customHeight="1">
      <c r="B237" s="350"/>
      <c r="E237" s="502">
        <v>15</v>
      </c>
      <c r="F237" s="280" t="str" cm="1">
        <f t="array" aca="1" ref="F237" ca="1">OFFSET(E237,-1,1)</f>
        <v>2</v>
      </c>
      <c r="L237" s="615"/>
      <c r="T237" s="365" t="b" cm="1">
        <f t="array" aca="1" ref="T237" ca="1">T236</f>
        <v>0</v>
      </c>
      <c r="X237" s="1142"/>
      <c r="Y237" s="999"/>
      <c r="Z237" s="1143"/>
      <c r="AA237" s="1141"/>
      <c r="AB237" s="884" t="str">
        <f>AB236&amp;".1"</f>
        <v>7.0.1.1</v>
      </c>
      <c r="AC237" s="893" t="s">
        <v>1131</v>
      </c>
      <c r="AD237" s="884" t="s">
        <v>534</v>
      </c>
      <c r="AE237" s="912"/>
      <c r="AF237" s="913"/>
      <c r="AG237" s="912"/>
      <c r="AH237" s="912"/>
      <c r="AI237" s="913"/>
      <c r="AJ237" s="913"/>
      <c r="AK237" s="913"/>
      <c r="AL237" s="913"/>
      <c r="AM237" s="913"/>
      <c r="AN237" s="913"/>
      <c r="AO237" s="913"/>
      <c r="AP237" s="913"/>
      <c r="AQ237" s="913"/>
      <c r="AR237" s="913"/>
      <c r="AS237" s="912"/>
      <c r="AT237" s="912"/>
      <c r="AU237" s="912"/>
      <c r="AV237" s="912"/>
      <c r="AW237" s="912"/>
      <c r="AX237" s="912"/>
      <c r="AY237" s="912"/>
      <c r="AZ237" s="912"/>
      <c r="BA237" s="912"/>
      <c r="BB237" s="912"/>
      <c r="BC237" s="839"/>
      <c r="BF237" s="691" t="s">
        <v>1074</v>
      </c>
      <c r="BG237" s="694" t="s">
        <v>1130</v>
      </c>
      <c r="BH237" s="904" cm="1">
        <f t="array" ref="BH237">BH236</f>
        <v>0</v>
      </c>
      <c r="BI237" s="503"/>
      <c r="BJ237" s="503"/>
    </row>
    <row r="238" spans="2:62" ht="14.65" hidden="1" customHeight="1">
      <c r="B238" s="350"/>
      <c r="E238" s="502">
        <v>15</v>
      </c>
      <c r="F238" s="280" t="str" cm="1">
        <f t="array" aca="1" ref="F238" ca="1">OFFSET(E238,-1,1)</f>
        <v>2</v>
      </c>
      <c r="L238" s="615"/>
      <c r="T238" s="365" t="b" cm="1">
        <f t="array" aca="1" ref="T238" ca="1">T237</f>
        <v>0</v>
      </c>
      <c r="X238" s="1142"/>
      <c r="Y238" s="999"/>
      <c r="Z238" s="1143"/>
      <c r="AA238" s="1141"/>
      <c r="AB238" s="884" t="str">
        <f>AB236&amp;".2"</f>
        <v>7.0.1.2</v>
      </c>
      <c r="AC238" s="893" t="s">
        <v>1132</v>
      </c>
      <c r="AD238" s="884" t="s">
        <v>1076</v>
      </c>
      <c r="AE238" s="912"/>
      <c r="AF238" s="913"/>
      <c r="AG238" s="913"/>
      <c r="AH238" s="912"/>
      <c r="AI238" s="913"/>
      <c r="AJ238" s="913"/>
      <c r="AK238" s="913"/>
      <c r="AL238" s="913"/>
      <c r="AM238" s="913"/>
      <c r="AN238" s="913"/>
      <c r="AO238" s="913"/>
      <c r="AP238" s="913"/>
      <c r="AQ238" s="913"/>
      <c r="AR238" s="913"/>
      <c r="AS238" s="913"/>
      <c r="AT238" s="913"/>
      <c r="AU238" s="913"/>
      <c r="AV238" s="913"/>
      <c r="AW238" s="913"/>
      <c r="AX238" s="913"/>
      <c r="AY238" s="913"/>
      <c r="AZ238" s="913"/>
      <c r="BA238" s="913"/>
      <c r="BB238" s="913"/>
      <c r="BC238" s="839"/>
      <c r="BF238" s="691" t="s">
        <v>1077</v>
      </c>
      <c r="BG238" s="694" t="s">
        <v>1130</v>
      </c>
      <c r="BH238" s="904" cm="1">
        <f t="array" ref="BH238">BH237</f>
        <v>0</v>
      </c>
      <c r="BI238" s="503"/>
      <c r="BJ238" s="503"/>
    </row>
    <row r="239" spans="2:62" ht="14.65" customHeight="1">
      <c r="B239" s="350"/>
      <c r="E239" s="502">
        <v>15</v>
      </c>
      <c r="F239" s="280" t="str" cm="1">
        <f t="array" aca="1" ref="F239" ca="1">OFFSET(E239,-1,1)</f>
        <v>2</v>
      </c>
      <c r="L239" s="615"/>
      <c r="T239" s="365" t="b">
        <f ca="1">F239&gt;0</f>
        <v>1</v>
      </c>
      <c r="W239" s="508" t="s">
        <v>1133</v>
      </c>
      <c r="X239" s="1142"/>
      <c r="Z239" s="1143"/>
      <c r="AA239" s="868"/>
      <c r="AB239" s="908"/>
      <c r="AC239" s="909" t="s">
        <v>1079</v>
      </c>
      <c r="AD239" s="909"/>
      <c r="AE239" s="909"/>
      <c r="AF239" s="909"/>
      <c r="AG239" s="909"/>
      <c r="AH239" s="909"/>
      <c r="AI239" s="909"/>
      <c r="AJ239" s="909"/>
      <c r="AK239" s="909"/>
      <c r="AL239" s="909"/>
      <c r="AM239" s="909"/>
      <c r="AN239" s="909"/>
      <c r="AO239" s="909"/>
      <c r="AP239" s="909"/>
      <c r="AQ239" s="909"/>
      <c r="AR239" s="909"/>
      <c r="AS239" s="909"/>
      <c r="AT239" s="909"/>
      <c r="AU239" s="909"/>
      <c r="AV239" s="909"/>
      <c r="AW239" s="909"/>
      <c r="AX239" s="909"/>
      <c r="AY239" s="909"/>
      <c r="AZ239" s="909"/>
      <c r="BA239" s="909"/>
      <c r="BB239" s="909"/>
      <c r="BC239" s="914"/>
      <c r="BF239" s="694"/>
      <c r="BG239" s="694"/>
      <c r="BH239" s="694"/>
      <c r="BI239" s="503" t="s">
        <v>1130</v>
      </c>
      <c r="BJ239" s="503"/>
    </row>
    <row r="240" spans="2:62" s="86" customFormat="1" ht="0" hidden="1" customHeight="1">
      <c r="B240" s="350"/>
      <c r="E240" s="503">
        <v>15</v>
      </c>
      <c r="F240" s="3" t="str" cm="1">
        <f t="array" aca="1" ref="F240" ca="1">OFFSET(E240,-1,1)</f>
        <v>2</v>
      </c>
      <c r="G240" s="85" t="s">
        <v>562</v>
      </c>
      <c r="K240" s="611" t="str">
        <f ca="1">F178&amp;"8komm"</f>
        <v>28komm</v>
      </c>
      <c r="L240" s="615" cm="1">
        <f t="array" ref="L240">BC240</f>
        <v>0</v>
      </c>
      <c r="T240" s="365" t="b" cm="1">
        <f t="array" aca="1" ref="T240" ca="1">T233</f>
        <v>1</v>
      </c>
      <c r="X240" s="999"/>
      <c r="Z240" s="1144"/>
      <c r="AB240" s="143">
        <v>8</v>
      </c>
      <c r="AC240" s="144" t="s">
        <v>1134</v>
      </c>
      <c r="AD240" s="143" t="s">
        <v>804</v>
      </c>
      <c r="AE240" s="897">
        <f t="shared" ref="AE240:BB240" si="48">SUMIF($AD243:$AD246,$AD240,AE243:AE246)</f>
        <v>0</v>
      </c>
      <c r="AF240" s="897">
        <f t="shared" si="48"/>
        <v>0</v>
      </c>
      <c r="AG240" s="897">
        <f t="shared" si="48"/>
        <v>0</v>
      </c>
      <c r="AH240" s="897">
        <f t="shared" si="48"/>
        <v>0</v>
      </c>
      <c r="AI240" s="897">
        <f t="shared" si="48"/>
        <v>0</v>
      </c>
      <c r="AJ240" s="783">
        <f t="shared" si="48"/>
        <v>0</v>
      </c>
      <c r="AK240" s="783">
        <f t="shared" si="48"/>
        <v>0</v>
      </c>
      <c r="AL240" s="783">
        <f t="shared" si="48"/>
        <v>0</v>
      </c>
      <c r="AM240" s="783">
        <f t="shared" si="48"/>
        <v>0</v>
      </c>
      <c r="AN240" s="783">
        <f t="shared" si="48"/>
        <v>0</v>
      </c>
      <c r="AO240" s="783">
        <f t="shared" si="48"/>
        <v>0</v>
      </c>
      <c r="AP240" s="783">
        <f t="shared" si="48"/>
        <v>0</v>
      </c>
      <c r="AQ240" s="783">
        <f t="shared" si="48"/>
        <v>0</v>
      </c>
      <c r="AR240" s="783">
        <f t="shared" si="48"/>
        <v>0</v>
      </c>
      <c r="AS240" s="897">
        <f t="shared" si="48"/>
        <v>0</v>
      </c>
      <c r="AT240" s="783">
        <f t="shared" si="48"/>
        <v>0</v>
      </c>
      <c r="AU240" s="783">
        <f t="shared" si="48"/>
        <v>0</v>
      </c>
      <c r="AV240" s="783">
        <f t="shared" si="48"/>
        <v>0</v>
      </c>
      <c r="AW240" s="783">
        <f t="shared" si="48"/>
        <v>0</v>
      </c>
      <c r="AX240" s="783">
        <f t="shared" si="48"/>
        <v>0</v>
      </c>
      <c r="AY240" s="783">
        <f t="shared" si="48"/>
        <v>0</v>
      </c>
      <c r="AZ240" s="783">
        <f t="shared" si="48"/>
        <v>0</v>
      </c>
      <c r="BA240" s="783">
        <f t="shared" si="48"/>
        <v>0</v>
      </c>
      <c r="BB240" s="783">
        <f t="shared" si="48"/>
        <v>0</v>
      </c>
      <c r="BC240" s="132"/>
      <c r="BF240" s="694" t="s">
        <v>1135</v>
      </c>
      <c r="BG240" s="694"/>
      <c r="BH240" s="694"/>
      <c r="BI240" s="503"/>
      <c r="BJ240" s="503"/>
    </row>
    <row r="241" spans="2:62" ht="14.65" hidden="1" customHeight="1">
      <c r="B241" s="350"/>
      <c r="E241" s="502">
        <v>15</v>
      </c>
      <c r="F241" s="280" t="str" cm="1">
        <f t="array" aca="1" ref="F241" ca="1">OFFSET(E241,-1,1)</f>
        <v>2</v>
      </c>
      <c r="L241" s="615"/>
      <c r="T241" s="365" t="b">
        <v>0</v>
      </c>
      <c r="W241" s="85" t="s">
        <v>173</v>
      </c>
      <c r="X241" s="1142"/>
      <c r="Y241" s="999">
        <v>0</v>
      </c>
      <c r="Z241" s="1143"/>
      <c r="AA241" s="1141" t="s">
        <v>174</v>
      </c>
      <c r="AB241" s="886"/>
      <c r="AC241" s="648"/>
      <c r="AD241" s="898"/>
      <c r="AE241" s="899" t="b">
        <f t="shared" ref="AE241:BB241" si="49">OR(AND(AE243&lt;&gt;"",AE244=""),AND(AE243="",AE244&lt;&gt;""))</f>
        <v>0</v>
      </c>
      <c r="AF241" s="899" t="b">
        <f t="shared" si="49"/>
        <v>0</v>
      </c>
      <c r="AG241" s="899" t="b">
        <f t="shared" si="49"/>
        <v>0</v>
      </c>
      <c r="AH241" s="899" t="b">
        <f t="shared" si="49"/>
        <v>0</v>
      </c>
      <c r="AI241" s="899" t="b">
        <f t="shared" si="49"/>
        <v>0</v>
      </c>
      <c r="AJ241" s="899" t="b">
        <f t="shared" si="49"/>
        <v>0</v>
      </c>
      <c r="AK241" s="899" t="b">
        <f t="shared" si="49"/>
        <v>0</v>
      </c>
      <c r="AL241" s="899" t="b">
        <f t="shared" si="49"/>
        <v>0</v>
      </c>
      <c r="AM241" s="899" t="b">
        <f t="shared" si="49"/>
        <v>0</v>
      </c>
      <c r="AN241" s="899" t="b">
        <f t="shared" si="49"/>
        <v>0</v>
      </c>
      <c r="AO241" s="899" t="b">
        <f t="shared" si="49"/>
        <v>0</v>
      </c>
      <c r="AP241" s="899" t="b">
        <f t="shared" si="49"/>
        <v>0</v>
      </c>
      <c r="AQ241" s="899" t="b">
        <f t="shared" si="49"/>
        <v>0</v>
      </c>
      <c r="AR241" s="899" t="b">
        <f t="shared" si="49"/>
        <v>0</v>
      </c>
      <c r="AS241" s="899" t="b">
        <f t="shared" si="49"/>
        <v>0</v>
      </c>
      <c r="AT241" s="899" t="b">
        <f t="shared" si="49"/>
        <v>0</v>
      </c>
      <c r="AU241" s="899" t="b">
        <f t="shared" si="49"/>
        <v>0</v>
      </c>
      <c r="AV241" s="899" t="b">
        <f t="shared" si="49"/>
        <v>0</v>
      </c>
      <c r="AW241" s="899" t="b">
        <f t="shared" si="49"/>
        <v>0</v>
      </c>
      <c r="AX241" s="899" t="b">
        <f t="shared" si="49"/>
        <v>0</v>
      </c>
      <c r="AY241" s="899" t="b">
        <f t="shared" si="49"/>
        <v>0</v>
      </c>
      <c r="AZ241" s="899" t="b">
        <f t="shared" si="49"/>
        <v>0</v>
      </c>
      <c r="BA241" s="899" t="b">
        <f t="shared" si="49"/>
        <v>0</v>
      </c>
      <c r="BB241" s="915" t="b">
        <f t="shared" si="49"/>
        <v>0</v>
      </c>
      <c r="BC241" s="916"/>
      <c r="BF241" s="694"/>
      <c r="BG241" s="694"/>
      <c r="BH241" s="694"/>
      <c r="BI241" s="503"/>
      <c r="BJ241" s="503"/>
    </row>
    <row r="242" spans="2:62" ht="14.65" hidden="1" customHeight="1">
      <c r="B242" s="350"/>
      <c r="E242" s="502">
        <v>15</v>
      </c>
      <c r="F242" s="280" t="str" cm="1">
        <f t="array" aca="1" ref="F242" ca="1">OFFSET(E242,-1,1)</f>
        <v>2</v>
      </c>
      <c r="L242" s="615"/>
      <c r="T242" s="365" t="b">
        <f ca="1">AND(F242&gt;0,Y241&gt;0)</f>
        <v>0</v>
      </c>
      <c r="X242" s="1142"/>
      <c r="Y242" s="999"/>
      <c r="Z242" s="1143"/>
      <c r="AA242" s="1141"/>
      <c r="AB242" s="884" t="str">
        <f>"8."&amp;Y241</f>
        <v>8.0</v>
      </c>
      <c r="AC242" s="900"/>
      <c r="AD242" s="898"/>
      <c r="BF242" s="694"/>
      <c r="BG242" s="694"/>
      <c r="BH242" s="694"/>
      <c r="BI242" s="503"/>
      <c r="BJ242" s="503"/>
    </row>
    <row r="243" spans="2:62" ht="14.65" hidden="1" customHeight="1">
      <c r="B243" s="350"/>
      <c r="E243" s="502">
        <v>15</v>
      </c>
      <c r="F243" s="280" t="str" cm="1">
        <f t="array" aca="1" ref="F243" ca="1">OFFSET(E243,-1,1)</f>
        <v>2</v>
      </c>
      <c r="L243" s="615"/>
      <c r="T243" s="365" t="b" cm="1">
        <f t="array" aca="1" ref="T243" ca="1">T242</f>
        <v>0</v>
      </c>
      <c r="X243" s="1142"/>
      <c r="Y243" s="999"/>
      <c r="Z243" s="1143"/>
      <c r="AA243" s="1141"/>
      <c r="AB243" s="884" t="str">
        <f>AB242&amp;".1"</f>
        <v>8.0.1</v>
      </c>
      <c r="AC243" s="911" t="s">
        <v>1070</v>
      </c>
      <c r="AD243" s="886" t="s">
        <v>804</v>
      </c>
      <c r="AE243" s="912"/>
      <c r="AF243" s="913"/>
      <c r="AG243" s="912"/>
      <c r="AH243" s="912"/>
      <c r="AI243" s="913"/>
      <c r="AJ243" s="913"/>
      <c r="AK243" s="913"/>
      <c r="AL243" s="913"/>
      <c r="AM243" s="913"/>
      <c r="AN243" s="913"/>
      <c r="AO243" s="913"/>
      <c r="AP243" s="913"/>
      <c r="AQ243" s="913"/>
      <c r="AR243" s="913"/>
      <c r="AS243" s="912"/>
      <c r="AT243" s="912"/>
      <c r="AU243" s="912"/>
      <c r="AV243" s="912"/>
      <c r="AW243" s="912"/>
      <c r="AX243" s="912"/>
      <c r="AY243" s="912"/>
      <c r="AZ243" s="912"/>
      <c r="BA243" s="912"/>
      <c r="BB243" s="912"/>
      <c r="BC243" s="917"/>
      <c r="BF243" s="691" t="s">
        <v>1071</v>
      </c>
      <c r="BG243" s="694" t="s">
        <v>1136</v>
      </c>
      <c r="BH243" s="904" cm="1">
        <f t="array" ref="BH243">AC242</f>
        <v>0</v>
      </c>
      <c r="BI243" s="503"/>
      <c r="BJ243" s="503" t="b">
        <v>1</v>
      </c>
    </row>
    <row r="244" spans="2:62" ht="14.65" hidden="1" customHeight="1">
      <c r="B244" s="350"/>
      <c r="E244" s="502">
        <v>15</v>
      </c>
      <c r="F244" s="280" t="str" cm="1">
        <f t="array" aca="1" ref="F244" ca="1">OFFSET(E244,-1,1)</f>
        <v>2</v>
      </c>
      <c r="L244" s="615"/>
      <c r="T244" s="365" t="b" cm="1">
        <f t="array" aca="1" ref="T244" ca="1">T243</f>
        <v>0</v>
      </c>
      <c r="X244" s="1142"/>
      <c r="Y244" s="999"/>
      <c r="Z244" s="1143"/>
      <c r="AA244" s="1141"/>
      <c r="AB244" s="884" t="str">
        <f>AB243&amp;".1"</f>
        <v>8.0.1.1</v>
      </c>
      <c r="AC244" s="893" t="s">
        <v>1137</v>
      </c>
      <c r="AD244" s="884" t="s">
        <v>534</v>
      </c>
      <c r="AE244" s="912"/>
      <c r="AF244" s="913"/>
      <c r="AG244" s="912"/>
      <c r="AH244" s="912"/>
      <c r="AI244" s="913"/>
      <c r="AJ244" s="913"/>
      <c r="AK244" s="913"/>
      <c r="AL244" s="913"/>
      <c r="AM244" s="913"/>
      <c r="AN244" s="913"/>
      <c r="AO244" s="913"/>
      <c r="AP244" s="913"/>
      <c r="AQ244" s="913"/>
      <c r="AR244" s="913"/>
      <c r="AS244" s="912"/>
      <c r="AT244" s="912"/>
      <c r="AU244" s="912"/>
      <c r="AV244" s="912"/>
      <c r="AW244" s="912"/>
      <c r="AX244" s="912"/>
      <c r="AY244" s="912"/>
      <c r="AZ244" s="912"/>
      <c r="BA244" s="912"/>
      <c r="BB244" s="912"/>
      <c r="BC244" s="917"/>
      <c r="BF244" s="691" t="s">
        <v>1074</v>
      </c>
      <c r="BG244" s="694" t="s">
        <v>1136</v>
      </c>
      <c r="BH244" s="904" cm="1">
        <f t="array" ref="BH244">BH243</f>
        <v>0</v>
      </c>
      <c r="BI244" s="503"/>
      <c r="BJ244" s="503"/>
    </row>
    <row r="245" spans="2:62" ht="14.65" hidden="1" customHeight="1">
      <c r="B245" s="350"/>
      <c r="E245" s="502">
        <v>15</v>
      </c>
      <c r="F245" s="280" t="str" cm="1">
        <f t="array" aca="1" ref="F245" ca="1">OFFSET(E245,-1,1)</f>
        <v>2</v>
      </c>
      <c r="L245" s="615"/>
      <c r="T245" s="365" t="b" cm="1">
        <f t="array" aca="1" ref="T245" ca="1">T244</f>
        <v>0</v>
      </c>
      <c r="X245" s="1142"/>
      <c r="Y245" s="999"/>
      <c r="Z245" s="1143"/>
      <c r="AA245" s="1141"/>
      <c r="AB245" s="884" t="str">
        <f>AB243&amp;".2"</f>
        <v>8.0.1.2</v>
      </c>
      <c r="AC245" s="893" t="s">
        <v>1138</v>
      </c>
      <c r="AD245" s="884" t="s">
        <v>1076</v>
      </c>
      <c r="AE245" s="912"/>
      <c r="AF245" s="913"/>
      <c r="AG245" s="913"/>
      <c r="AH245" s="912"/>
      <c r="AI245" s="913"/>
      <c r="AJ245" s="913"/>
      <c r="AK245" s="913"/>
      <c r="AL245" s="913"/>
      <c r="AM245" s="913"/>
      <c r="AN245" s="913"/>
      <c r="AO245" s="913"/>
      <c r="AP245" s="913"/>
      <c r="AQ245" s="913"/>
      <c r="AR245" s="913"/>
      <c r="AS245" s="913"/>
      <c r="AT245" s="913"/>
      <c r="AU245" s="913"/>
      <c r="AV245" s="913"/>
      <c r="AW245" s="913"/>
      <c r="AX245" s="913"/>
      <c r="AY245" s="913"/>
      <c r="AZ245" s="913"/>
      <c r="BA245" s="913"/>
      <c r="BB245" s="918"/>
      <c r="BC245" s="917"/>
      <c r="BF245" s="691" t="s">
        <v>1077</v>
      </c>
      <c r="BG245" s="694" t="s">
        <v>1136</v>
      </c>
      <c r="BH245" s="904" cm="1">
        <f t="array" ref="BH245">BH244</f>
        <v>0</v>
      </c>
      <c r="BI245" s="503"/>
      <c r="BJ245" s="503"/>
    </row>
    <row r="246" spans="2:62" ht="14.65" customHeight="1">
      <c r="B246" s="350"/>
      <c r="E246" s="502">
        <v>15</v>
      </c>
      <c r="F246" s="280" t="str" cm="1">
        <f t="array" aca="1" ref="F246" ca="1">OFFSET(E246,-1,1)</f>
        <v>2</v>
      </c>
      <c r="L246" s="615"/>
      <c r="T246" s="365" t="b">
        <f ca="1">F246&gt;0</f>
        <v>1</v>
      </c>
      <c r="W246" s="508" t="s">
        <v>1139</v>
      </c>
      <c r="X246" s="1142"/>
      <c r="Z246" s="1143"/>
      <c r="AB246" s="908"/>
      <c r="AC246" s="909" t="s">
        <v>1079</v>
      </c>
      <c r="AD246" s="909"/>
      <c r="AE246" s="909"/>
      <c r="AF246" s="909"/>
      <c r="AG246" s="909"/>
      <c r="AH246" s="909"/>
      <c r="AI246" s="909"/>
      <c r="AJ246" s="909"/>
      <c r="AK246" s="909"/>
      <c r="AL246" s="909"/>
      <c r="AM246" s="909"/>
      <c r="AN246" s="909"/>
      <c r="AO246" s="909"/>
      <c r="AP246" s="909"/>
      <c r="AQ246" s="909"/>
      <c r="AR246" s="909"/>
      <c r="AS246" s="909"/>
      <c r="AT246" s="909"/>
      <c r="AU246" s="909"/>
      <c r="AV246" s="909"/>
      <c r="AW246" s="909"/>
      <c r="AX246" s="909"/>
      <c r="AY246" s="909"/>
      <c r="AZ246" s="909"/>
      <c r="BA246" s="909"/>
      <c r="BB246" s="909"/>
      <c r="BC246" s="914"/>
      <c r="BF246" s="694"/>
      <c r="BG246" s="694"/>
      <c r="BH246" s="694"/>
      <c r="BI246" s="503" t="s">
        <v>1136</v>
      </c>
      <c r="BJ246" s="503"/>
    </row>
    <row r="247" spans="2:62" s="86" customFormat="1" ht="0" hidden="1" customHeight="1">
      <c r="B247" s="350"/>
      <c r="E247" s="503">
        <v>15</v>
      </c>
      <c r="F247" s="3" t="str" cm="1">
        <f t="array" aca="1" ref="F247" ca="1">OFFSET(E247,-1,1)</f>
        <v>2</v>
      </c>
      <c r="G247" s="85"/>
      <c r="K247" s="611" t="str">
        <f ca="1">F178&amp;"9komm"</f>
        <v>29komm</v>
      </c>
      <c r="L247" s="615" cm="1">
        <f t="array" ref="L247">BC247</f>
        <v>0</v>
      </c>
      <c r="T247" s="365" t="b" cm="1">
        <f t="array" aca="1" ref="T247" ca="1">T240</f>
        <v>1</v>
      </c>
      <c r="X247" s="999"/>
      <c r="Z247" s="1144"/>
      <c r="AB247" s="143">
        <v>9</v>
      </c>
      <c r="AC247" s="144" t="s">
        <v>1140</v>
      </c>
      <c r="AD247" s="143" t="s">
        <v>804</v>
      </c>
      <c r="AE247" s="897">
        <f t="shared" ref="AE247:BB247" si="50">SUMIF($AD250:$AD253,$AD247,AE250:AE253)</f>
        <v>0</v>
      </c>
      <c r="AF247" s="897">
        <f t="shared" si="50"/>
        <v>0</v>
      </c>
      <c r="AG247" s="897">
        <f t="shared" si="50"/>
        <v>0</v>
      </c>
      <c r="AH247" s="897">
        <f t="shared" si="50"/>
        <v>0</v>
      </c>
      <c r="AI247" s="897">
        <f t="shared" si="50"/>
        <v>0</v>
      </c>
      <c r="AJ247" s="783">
        <f t="shared" si="50"/>
        <v>0</v>
      </c>
      <c r="AK247" s="783">
        <f t="shared" si="50"/>
        <v>0</v>
      </c>
      <c r="AL247" s="783">
        <f t="shared" si="50"/>
        <v>0</v>
      </c>
      <c r="AM247" s="783">
        <f t="shared" si="50"/>
        <v>0</v>
      </c>
      <c r="AN247" s="783">
        <f t="shared" si="50"/>
        <v>0</v>
      </c>
      <c r="AO247" s="783">
        <f t="shared" si="50"/>
        <v>0</v>
      </c>
      <c r="AP247" s="783">
        <f t="shared" si="50"/>
        <v>0</v>
      </c>
      <c r="AQ247" s="783">
        <f t="shared" si="50"/>
        <v>0</v>
      </c>
      <c r="AR247" s="783">
        <f t="shared" si="50"/>
        <v>0</v>
      </c>
      <c r="AS247" s="897">
        <f t="shared" si="50"/>
        <v>0</v>
      </c>
      <c r="AT247" s="783">
        <f t="shared" si="50"/>
        <v>0</v>
      </c>
      <c r="AU247" s="783">
        <f t="shared" si="50"/>
        <v>0</v>
      </c>
      <c r="AV247" s="783">
        <f t="shared" si="50"/>
        <v>0</v>
      </c>
      <c r="AW247" s="783">
        <f t="shared" si="50"/>
        <v>0</v>
      </c>
      <c r="AX247" s="783">
        <f t="shared" si="50"/>
        <v>0</v>
      </c>
      <c r="AY247" s="783">
        <f t="shared" si="50"/>
        <v>0</v>
      </c>
      <c r="AZ247" s="783">
        <f t="shared" si="50"/>
        <v>0</v>
      </c>
      <c r="BA247" s="783">
        <f t="shared" si="50"/>
        <v>0</v>
      </c>
      <c r="BB247" s="783">
        <f t="shared" si="50"/>
        <v>0</v>
      </c>
      <c r="BC247" s="132"/>
      <c r="BF247" s="694" t="s">
        <v>1141</v>
      </c>
      <c r="BG247" s="694"/>
      <c r="BH247" s="694"/>
      <c r="BI247" s="503"/>
      <c r="BJ247" s="503"/>
    </row>
    <row r="248" spans="2:62" ht="14.65" hidden="1" customHeight="1">
      <c r="B248" s="350"/>
      <c r="E248" s="502">
        <v>15</v>
      </c>
      <c r="F248" s="280" t="str" cm="1">
        <f t="array" aca="1" ref="F248" ca="1">OFFSET(E248,-1,1)</f>
        <v>2</v>
      </c>
      <c r="L248" s="615"/>
      <c r="T248" s="365" t="b">
        <v>0</v>
      </c>
      <c r="W248" s="85" t="s">
        <v>173</v>
      </c>
      <c r="X248" s="1142"/>
      <c r="Y248" s="999">
        <v>0</v>
      </c>
      <c r="Z248" s="1143"/>
      <c r="AA248" s="1141" t="s">
        <v>174</v>
      </c>
      <c r="AB248" s="886"/>
      <c r="AC248" s="919"/>
      <c r="AD248" s="898"/>
      <c r="AE248" s="899" t="b">
        <f t="shared" ref="AE248:BB248" si="51">OR(AND(AE250&lt;&gt;"",AE251=""),AND(AE250="",AE251&lt;&gt;""))</f>
        <v>0</v>
      </c>
      <c r="AF248" s="899" t="b">
        <f t="shared" si="51"/>
        <v>0</v>
      </c>
      <c r="AG248" s="899" t="b">
        <f t="shared" si="51"/>
        <v>0</v>
      </c>
      <c r="AH248" s="899" t="b">
        <f t="shared" si="51"/>
        <v>0</v>
      </c>
      <c r="AI248" s="899" t="b">
        <f t="shared" si="51"/>
        <v>0</v>
      </c>
      <c r="AJ248" s="899" t="b">
        <f t="shared" si="51"/>
        <v>0</v>
      </c>
      <c r="AK248" s="899" t="b">
        <f t="shared" si="51"/>
        <v>0</v>
      </c>
      <c r="AL248" s="899" t="b">
        <f t="shared" si="51"/>
        <v>0</v>
      </c>
      <c r="AM248" s="899" t="b">
        <f t="shared" si="51"/>
        <v>0</v>
      </c>
      <c r="AN248" s="899" t="b">
        <f t="shared" si="51"/>
        <v>0</v>
      </c>
      <c r="AO248" s="899" t="b">
        <f t="shared" si="51"/>
        <v>0</v>
      </c>
      <c r="AP248" s="899" t="b">
        <f t="shared" si="51"/>
        <v>0</v>
      </c>
      <c r="AQ248" s="899" t="b">
        <f t="shared" si="51"/>
        <v>0</v>
      </c>
      <c r="AR248" s="899" t="b">
        <f t="shared" si="51"/>
        <v>0</v>
      </c>
      <c r="AS248" s="899" t="b">
        <f t="shared" si="51"/>
        <v>0</v>
      </c>
      <c r="AT248" s="899" t="b">
        <f t="shared" si="51"/>
        <v>0</v>
      </c>
      <c r="AU248" s="899" t="b">
        <f t="shared" si="51"/>
        <v>0</v>
      </c>
      <c r="AV248" s="899" t="b">
        <f t="shared" si="51"/>
        <v>0</v>
      </c>
      <c r="AW248" s="899" t="b">
        <f t="shared" si="51"/>
        <v>0</v>
      </c>
      <c r="AX248" s="899" t="b">
        <f t="shared" si="51"/>
        <v>0</v>
      </c>
      <c r="AY248" s="899" t="b">
        <f t="shared" si="51"/>
        <v>0</v>
      </c>
      <c r="AZ248" s="899" t="b">
        <f t="shared" si="51"/>
        <v>0</v>
      </c>
      <c r="BA248" s="899" t="b">
        <f t="shared" si="51"/>
        <v>0</v>
      </c>
      <c r="BB248" s="915" t="b">
        <f t="shared" si="51"/>
        <v>0</v>
      </c>
      <c r="BC248" s="916"/>
      <c r="BF248" s="694"/>
      <c r="BG248" s="694"/>
      <c r="BH248" s="694"/>
      <c r="BI248" s="503"/>
      <c r="BJ248" s="503"/>
    </row>
    <row r="249" spans="2:62" ht="14.65" hidden="1" customHeight="1">
      <c r="B249" s="350"/>
      <c r="E249" s="502">
        <v>15</v>
      </c>
      <c r="F249" s="280" t="str" cm="1">
        <f t="array" aca="1" ref="F249" ca="1">OFFSET(E249,-1,1)</f>
        <v>2</v>
      </c>
      <c r="L249" s="615"/>
      <c r="T249" s="365" t="b">
        <f ca="1">AND(F249&gt;0,Y248&gt;0)</f>
        <v>0</v>
      </c>
      <c r="X249" s="1142"/>
      <c r="Y249" s="999"/>
      <c r="Z249" s="1143"/>
      <c r="AA249" s="1141"/>
      <c r="AB249" s="884" t="str">
        <f>"9."&amp;Y248</f>
        <v>9.0</v>
      </c>
      <c r="AC249" s="920"/>
      <c r="AD249" s="898"/>
      <c r="BF249" s="694"/>
      <c r="BG249" s="694"/>
      <c r="BH249" s="694"/>
      <c r="BI249" s="503"/>
      <c r="BJ249" s="503"/>
    </row>
    <row r="250" spans="2:62" ht="14.65" hidden="1" customHeight="1">
      <c r="B250" s="350"/>
      <c r="E250" s="502">
        <v>15</v>
      </c>
      <c r="F250" s="280" t="str" cm="1">
        <f t="array" aca="1" ref="F250" ca="1">OFFSET(E250,-1,1)</f>
        <v>2</v>
      </c>
      <c r="L250" s="615"/>
      <c r="T250" s="365" t="b" cm="1">
        <f t="array" aca="1" ref="T250" ca="1">T249</f>
        <v>0</v>
      </c>
      <c r="X250" s="1142"/>
      <c r="Y250" s="999"/>
      <c r="Z250" s="1143"/>
      <c r="AA250" s="1141"/>
      <c r="AB250" s="884" t="str">
        <f>AB249&amp;".1"</f>
        <v>9.0.1</v>
      </c>
      <c r="AC250" s="911" t="s">
        <v>1070</v>
      </c>
      <c r="AD250" s="886" t="s">
        <v>804</v>
      </c>
      <c r="AE250" s="912"/>
      <c r="AF250" s="913"/>
      <c r="AG250" s="912"/>
      <c r="AH250" s="912"/>
      <c r="AI250" s="913"/>
      <c r="AJ250" s="913"/>
      <c r="AK250" s="913"/>
      <c r="AL250" s="913"/>
      <c r="AM250" s="913"/>
      <c r="AN250" s="913"/>
      <c r="AO250" s="913"/>
      <c r="AP250" s="913"/>
      <c r="AQ250" s="913"/>
      <c r="AR250" s="913"/>
      <c r="AS250" s="912"/>
      <c r="AT250" s="912"/>
      <c r="AU250" s="912"/>
      <c r="AV250" s="912"/>
      <c r="AW250" s="912"/>
      <c r="AX250" s="912"/>
      <c r="AY250" s="912"/>
      <c r="AZ250" s="912"/>
      <c r="BA250" s="912"/>
      <c r="BB250" s="912"/>
      <c r="BC250" s="917"/>
      <c r="BF250" s="691" t="s">
        <v>1071</v>
      </c>
      <c r="BG250" s="694" t="s">
        <v>1142</v>
      </c>
      <c r="BH250" s="904" cm="1">
        <f t="array" ref="BH250">AC249</f>
        <v>0</v>
      </c>
      <c r="BI250" s="503"/>
      <c r="BJ250" s="503" t="b">
        <v>1</v>
      </c>
    </row>
    <row r="251" spans="2:62" ht="14.65" hidden="1" customHeight="1">
      <c r="B251" s="350"/>
      <c r="E251" s="502">
        <v>15</v>
      </c>
      <c r="F251" s="280" t="str" cm="1">
        <f t="array" aca="1" ref="F251" ca="1">OFFSET(E251,-1,1)</f>
        <v>2</v>
      </c>
      <c r="L251" s="615"/>
      <c r="T251" s="365" t="b" cm="1">
        <f t="array" aca="1" ref="T251" ca="1">T250</f>
        <v>0</v>
      </c>
      <c r="X251" s="1142"/>
      <c r="Y251" s="999"/>
      <c r="Z251" s="1143"/>
      <c r="AA251" s="1141"/>
      <c r="AB251" s="884" t="str">
        <f>AB250&amp;".1"</f>
        <v>9.0.1.1</v>
      </c>
      <c r="AC251" s="893" t="s">
        <v>1143</v>
      </c>
      <c r="AD251" s="884"/>
      <c r="AE251" s="912"/>
      <c r="AF251" s="913"/>
      <c r="AG251" s="912"/>
      <c r="AH251" s="912"/>
      <c r="AI251" s="913"/>
      <c r="AJ251" s="913"/>
      <c r="AK251" s="913"/>
      <c r="AL251" s="913"/>
      <c r="AM251" s="913"/>
      <c r="AN251" s="913"/>
      <c r="AO251" s="913"/>
      <c r="AP251" s="913"/>
      <c r="AQ251" s="913"/>
      <c r="AR251" s="913"/>
      <c r="AS251" s="912"/>
      <c r="AT251" s="912"/>
      <c r="AU251" s="912"/>
      <c r="AV251" s="912"/>
      <c r="AW251" s="912"/>
      <c r="AX251" s="912"/>
      <c r="AY251" s="912"/>
      <c r="AZ251" s="912"/>
      <c r="BA251" s="912"/>
      <c r="BB251" s="912"/>
      <c r="BC251" s="917"/>
      <c r="BF251" s="691" t="s">
        <v>1074</v>
      </c>
      <c r="BG251" s="694" t="s">
        <v>1142</v>
      </c>
      <c r="BH251" s="904" cm="1">
        <f t="array" ref="BH251">BH250</f>
        <v>0</v>
      </c>
      <c r="BI251" s="503"/>
      <c r="BJ251" s="503"/>
    </row>
    <row r="252" spans="2:62" ht="14.65" hidden="1" customHeight="1">
      <c r="B252" s="350"/>
      <c r="E252" s="502">
        <v>15</v>
      </c>
      <c r="F252" s="280" t="str" cm="1">
        <f t="array" aca="1" ref="F252" ca="1">OFFSET(E252,-1,1)</f>
        <v>2</v>
      </c>
      <c r="L252" s="615"/>
      <c r="T252" s="365" t="b" cm="1">
        <f t="array" aca="1" ref="T252" ca="1">T251</f>
        <v>0</v>
      </c>
      <c r="X252" s="1142"/>
      <c r="Y252" s="999"/>
      <c r="Z252" s="1143"/>
      <c r="AA252" s="1141"/>
      <c r="AB252" s="884" t="str">
        <f>AB250&amp;".2"</f>
        <v>9.0.1.2</v>
      </c>
      <c r="AC252" s="893" t="s">
        <v>1144</v>
      </c>
      <c r="AD252" s="884"/>
      <c r="AE252" s="912"/>
      <c r="AF252" s="913"/>
      <c r="AG252" s="913"/>
      <c r="AH252" s="912"/>
      <c r="AI252" s="913"/>
      <c r="AJ252" s="913"/>
      <c r="AK252" s="913"/>
      <c r="AL252" s="913"/>
      <c r="AM252" s="913"/>
      <c r="AN252" s="913"/>
      <c r="AO252" s="913"/>
      <c r="AP252" s="913"/>
      <c r="AQ252" s="913"/>
      <c r="AR252" s="913"/>
      <c r="AS252" s="913"/>
      <c r="AT252" s="913"/>
      <c r="AU252" s="913"/>
      <c r="AV252" s="913"/>
      <c r="AW252" s="913"/>
      <c r="AX252" s="913"/>
      <c r="AY252" s="913"/>
      <c r="AZ252" s="913"/>
      <c r="BA252" s="913"/>
      <c r="BB252" s="918"/>
      <c r="BC252" s="917"/>
      <c r="BF252" s="691" t="s">
        <v>1077</v>
      </c>
      <c r="BG252" s="694" t="s">
        <v>1142</v>
      </c>
      <c r="BH252" s="904" cm="1">
        <f t="array" ref="BH252">BH251</f>
        <v>0</v>
      </c>
      <c r="BI252" s="503"/>
      <c r="BJ252" s="503"/>
    </row>
    <row r="253" spans="2:62" ht="14.65" customHeight="1">
      <c r="B253" s="350"/>
      <c r="E253" s="502">
        <v>15</v>
      </c>
      <c r="F253" s="280" t="str" cm="1">
        <f t="array" aca="1" ref="F253" ca="1">OFFSET(E253,-1,1)</f>
        <v>2</v>
      </c>
      <c r="L253" s="615"/>
      <c r="T253" s="365" t="b">
        <f ca="1">F253&gt;0</f>
        <v>1</v>
      </c>
      <c r="W253" s="508" t="s">
        <v>1145</v>
      </c>
      <c r="X253" s="1142"/>
      <c r="Z253" s="1143"/>
      <c r="AB253" s="908"/>
      <c r="AC253" s="909" t="s">
        <v>1079</v>
      </c>
      <c r="AD253" s="909"/>
      <c r="AE253" s="909"/>
      <c r="AF253" s="909"/>
      <c r="AG253" s="909"/>
      <c r="AH253" s="909"/>
      <c r="AI253" s="909"/>
      <c r="AJ253" s="909"/>
      <c r="AK253" s="909"/>
      <c r="AL253" s="909"/>
      <c r="AM253" s="909"/>
      <c r="AN253" s="909"/>
      <c r="AO253" s="909"/>
      <c r="AP253" s="909"/>
      <c r="AQ253" s="909"/>
      <c r="AR253" s="909"/>
      <c r="AS253" s="909"/>
      <c r="AT253" s="909"/>
      <c r="AU253" s="909"/>
      <c r="AV253" s="909"/>
      <c r="AW253" s="909"/>
      <c r="AX253" s="909"/>
      <c r="AY253" s="909"/>
      <c r="AZ253" s="909"/>
      <c r="BA253" s="909"/>
      <c r="BB253" s="909"/>
      <c r="BC253" s="914"/>
      <c r="BF253" s="694"/>
      <c r="BG253" s="694"/>
      <c r="BH253" s="694"/>
      <c r="BI253" s="503" t="s">
        <v>1142</v>
      </c>
      <c r="BJ253" s="503"/>
    </row>
    <row r="254" spans="2:62" ht="10.15" customHeight="1">
      <c r="E254" s="502">
        <v>10.5</v>
      </c>
      <c r="U254" s="57" t="s">
        <v>177</v>
      </c>
      <c r="V254" s="75" t="s">
        <v>1151</v>
      </c>
    </row>
    <row r="255" spans="2:62" ht="14.65" customHeight="1">
      <c r="E255" s="502">
        <v>15</v>
      </c>
      <c r="AA255" s="36"/>
      <c r="AB255" s="1088" t="s">
        <v>398</v>
      </c>
      <c r="AC255" s="1088"/>
      <c r="AD255" s="1088"/>
      <c r="AE255" s="1088"/>
      <c r="AF255" s="1088"/>
      <c r="AG255" s="1088"/>
      <c r="AH255" s="1088"/>
      <c r="AI255" s="1096"/>
      <c r="AJ255" s="1096"/>
      <c r="AK255" s="1096"/>
      <c r="AL255" s="1096"/>
      <c r="AM255" s="1096"/>
      <c r="AN255" s="1096"/>
      <c r="AO255" s="1096"/>
      <c r="AP255" s="1096"/>
      <c r="AQ255" s="1096"/>
      <c r="AR255" s="1096"/>
      <c r="AS255" s="1096"/>
      <c r="AT255" s="1096"/>
      <c r="AU255" s="1096"/>
      <c r="AV255" s="1096"/>
      <c r="AW255" s="1096"/>
      <c r="AX255" s="1096"/>
      <c r="AY255" s="1096"/>
      <c r="AZ255" s="1096"/>
      <c r="BA255" s="1096"/>
      <c r="BB255" s="1096"/>
      <c r="BC255" s="1096"/>
      <c r="BD255" s="36"/>
    </row>
    <row r="256" spans="2:62" ht="14.65" customHeight="1">
      <c r="E256" s="502">
        <v>15</v>
      </c>
      <c r="AA256" s="492"/>
      <c r="AB256" s="1097" t="s">
        <v>1152</v>
      </c>
      <c r="AC256" s="1097"/>
      <c r="AD256" s="1097"/>
      <c r="AE256" s="1097"/>
      <c r="AF256" s="1097"/>
      <c r="AG256" s="1097"/>
      <c r="AH256" s="1097"/>
      <c r="AI256" s="1098"/>
      <c r="AJ256" s="1132"/>
      <c r="AK256" s="1132"/>
      <c r="AL256" s="1132"/>
      <c r="AM256" s="1132"/>
      <c r="AN256" s="1132"/>
      <c r="AO256" s="1132"/>
      <c r="AP256" s="1132"/>
      <c r="AQ256" s="1132"/>
      <c r="AR256" s="1132"/>
      <c r="AS256" s="1098"/>
      <c r="AT256" s="1132"/>
      <c r="AU256" s="1132"/>
      <c r="AV256" s="1132"/>
      <c r="AW256" s="1132"/>
      <c r="AX256" s="1132"/>
      <c r="AY256" s="1132"/>
      <c r="AZ256" s="1132"/>
      <c r="BA256" s="1132"/>
      <c r="BB256" s="1132"/>
      <c r="BC256" s="1098"/>
      <c r="BD256" s="36"/>
    </row>
    <row r="257" spans="5:56" ht="14.65" hidden="1" customHeight="1">
      <c r="E257" s="502">
        <v>15</v>
      </c>
      <c r="T257" s="365" t="b">
        <f>ROW(W257)&gt;ROW(W$257)</f>
        <v>0</v>
      </c>
      <c r="W257" s="528" t="s">
        <v>173</v>
      </c>
      <c r="AA257" s="500" t="s">
        <v>174</v>
      </c>
      <c r="AB257" s="1131" t="s">
        <v>225</v>
      </c>
      <c r="AC257" s="1131"/>
      <c r="AD257" s="1131"/>
      <c r="AE257" s="1131"/>
      <c r="AF257" s="1131"/>
      <c r="AG257" s="1131"/>
      <c r="AH257" s="1131"/>
      <c r="AI257" s="1098"/>
      <c r="AJ257" s="1132"/>
      <c r="AK257" s="1132"/>
      <c r="AL257" s="1132"/>
      <c r="AM257" s="1132"/>
      <c r="AN257" s="1132"/>
      <c r="AO257" s="1132"/>
      <c r="AP257" s="1132"/>
      <c r="AQ257" s="1132"/>
      <c r="AR257" s="1132"/>
      <c r="AS257" s="1098"/>
      <c r="AT257" s="1132"/>
      <c r="AU257" s="1132"/>
      <c r="AV257" s="1132"/>
      <c r="AW257" s="1132"/>
      <c r="AX257" s="1132"/>
      <c r="AY257" s="1132"/>
      <c r="AZ257" s="1132"/>
      <c r="BA257" s="1132"/>
      <c r="BB257" s="1132"/>
      <c r="BC257" s="1132"/>
      <c r="BD257" s="36"/>
    </row>
    <row r="258" spans="5:56" ht="33.75" customHeight="1">
      <c r="E258" s="502">
        <v>15</v>
      </c>
      <c r="T258" s="365" t="b">
        <f>ROW(W258)&gt;ROW(W$257)</f>
        <v>1</v>
      </c>
      <c r="W258" s="528"/>
      <c r="Y258" s="85" t="s">
        <v>225</v>
      </c>
      <c r="AA258" s="500" t="s">
        <v>174</v>
      </c>
      <c r="AB258" s="1097" t="s">
        <v>1153</v>
      </c>
      <c r="AC258" s="1097"/>
      <c r="AD258" s="1097"/>
      <c r="AE258" s="1097"/>
      <c r="AF258" s="1097"/>
      <c r="AG258" s="1097"/>
      <c r="AH258" s="1097"/>
      <c r="AI258" s="1098"/>
      <c r="AJ258" s="1098"/>
      <c r="AK258" s="1098"/>
      <c r="AL258" s="1098"/>
      <c r="AM258" s="1098"/>
      <c r="AN258" s="1098"/>
      <c r="AO258" s="1098"/>
      <c r="AP258" s="1098"/>
      <c r="AQ258" s="1098"/>
      <c r="AR258" s="1098"/>
      <c r="AS258" s="1098"/>
      <c r="AT258" s="1098"/>
      <c r="AU258" s="1098"/>
      <c r="AV258" s="1098"/>
      <c r="AW258" s="1098"/>
      <c r="AX258" s="1098"/>
      <c r="AY258" s="1098"/>
      <c r="AZ258" s="1098"/>
      <c r="BA258" s="1098"/>
      <c r="BB258" s="1098"/>
      <c r="BC258" s="1098"/>
      <c r="BD258" s="36"/>
    </row>
    <row r="259" spans="5:56" ht="44.25" customHeight="1">
      <c r="E259" s="502">
        <v>15</v>
      </c>
      <c r="T259" s="365" t="b">
        <f>ROW(W259)&gt;ROW(W$257)</f>
        <v>1</v>
      </c>
      <c r="W259" s="528"/>
      <c r="Y259" s="85" t="s">
        <v>225</v>
      </c>
      <c r="AA259" s="500" t="s">
        <v>174</v>
      </c>
      <c r="AB259" s="1097" t="s">
        <v>1154</v>
      </c>
      <c r="AC259" s="1097"/>
      <c r="AD259" s="1097"/>
      <c r="AE259" s="1097"/>
      <c r="AF259" s="1097"/>
      <c r="AG259" s="1097"/>
      <c r="AH259" s="1097"/>
      <c r="AI259" s="1098"/>
      <c r="AJ259" s="1098"/>
      <c r="AK259" s="1098"/>
      <c r="AL259" s="1098"/>
      <c r="AM259" s="1098"/>
      <c r="AN259" s="1098"/>
      <c r="AO259" s="1098"/>
      <c r="AP259" s="1098"/>
      <c r="AQ259" s="1098"/>
      <c r="AR259" s="1098"/>
      <c r="AS259" s="1098"/>
      <c r="AT259" s="1098"/>
      <c r="AU259" s="1098"/>
      <c r="AV259" s="1098"/>
      <c r="AW259" s="1098"/>
      <c r="AX259" s="1098"/>
      <c r="AY259" s="1098"/>
      <c r="AZ259" s="1098"/>
      <c r="BA259" s="1098"/>
      <c r="BB259" s="1098"/>
      <c r="BC259" s="1098"/>
      <c r="BD259" s="36"/>
    </row>
    <row r="260" spans="5:56" ht="14.65" customHeight="1">
      <c r="E260" s="502">
        <v>15</v>
      </c>
      <c r="W260" s="528" t="s">
        <v>399</v>
      </c>
      <c r="AA260" s="36"/>
      <c r="AB260" s="496"/>
      <c r="AC260" s="394" t="s">
        <v>400</v>
      </c>
      <c r="AD260" s="231"/>
      <c r="AE260" s="231"/>
      <c r="AF260" s="232"/>
      <c r="AG260" s="232"/>
      <c r="AH260" s="232"/>
      <c r="AI260" s="232"/>
      <c r="AJ260" s="232"/>
      <c r="AK260" s="232"/>
      <c r="AL260" s="232"/>
      <c r="AM260" s="232"/>
      <c r="AN260" s="232"/>
      <c r="AO260" s="232"/>
      <c r="AP260" s="232"/>
      <c r="AQ260" s="232"/>
      <c r="AR260" s="232"/>
      <c r="AS260" s="232"/>
      <c r="AT260" s="232"/>
      <c r="AU260" s="232"/>
      <c r="AV260" s="232"/>
      <c r="AW260" s="232"/>
      <c r="AX260" s="232"/>
      <c r="AY260" s="232"/>
      <c r="AZ260" s="232"/>
      <c r="BA260" s="232"/>
      <c r="BB260" s="232"/>
      <c r="BC260" s="233"/>
      <c r="BD260" s="36"/>
    </row>
    <row r="261" spans="5:56" ht="10.9" customHeight="1">
      <c r="E261" s="502">
        <v>11.25</v>
      </c>
      <c r="BD261" s="41"/>
    </row>
  </sheetData>
  <sheetProtection formatColumns="0" formatRows="0" insertRows="0" deleteColumns="0" deleteRows="0" sort="0" autoFilter="0"/>
  <mergeCells count="75">
    <mergeCell ref="AB24:AB25"/>
    <mergeCell ref="AC24:AC25"/>
    <mergeCell ref="AD24:AD25"/>
    <mergeCell ref="BC24:BC25"/>
    <mergeCell ref="AB258:BC258"/>
    <mergeCell ref="AB259:BC259"/>
    <mergeCell ref="Y207:Y211"/>
    <mergeCell ref="AA207:AA211"/>
    <mergeCell ref="Y200:Y204"/>
    <mergeCell ref="AA200:AA204"/>
    <mergeCell ref="Y234:Y238"/>
    <mergeCell ref="AA234:AA238"/>
    <mergeCell ref="Y241:Y245"/>
    <mergeCell ref="AA241:AA245"/>
    <mergeCell ref="Y223:Y231"/>
    <mergeCell ref="AA223:AA231"/>
    <mergeCell ref="AB257:BC257"/>
    <mergeCell ref="AB255:BC255"/>
    <mergeCell ref="AB256:BC256"/>
    <mergeCell ref="Y193:Y197"/>
    <mergeCell ref="AA193:AA197"/>
    <mergeCell ref="Y186:Y190"/>
    <mergeCell ref="AA186:AA190"/>
    <mergeCell ref="Y179:Y183"/>
    <mergeCell ref="AA179:AA183"/>
    <mergeCell ref="Y130:Y134"/>
    <mergeCell ref="AA130:AA134"/>
    <mergeCell ref="Y123:Y127"/>
    <mergeCell ref="AA123:AA127"/>
    <mergeCell ref="Y116:Y120"/>
    <mergeCell ref="AA116:AA120"/>
    <mergeCell ref="Y109:Y113"/>
    <mergeCell ref="AA109:AA113"/>
    <mergeCell ref="Y102:Y106"/>
    <mergeCell ref="AA102:AA106"/>
    <mergeCell ref="Y97:Y101"/>
    <mergeCell ref="AA97:AA101"/>
    <mergeCell ref="Y57:Y61"/>
    <mergeCell ref="AA57:AA61"/>
    <mergeCell ref="Y50:Y54"/>
    <mergeCell ref="AA50:AA54"/>
    <mergeCell ref="Y43:Y47"/>
    <mergeCell ref="AA43:AA47"/>
    <mergeCell ref="Y36:Y40"/>
    <mergeCell ref="AA36:AA40"/>
    <mergeCell ref="Y29:Y33"/>
    <mergeCell ref="AA29:AA33"/>
    <mergeCell ref="Y214:Y222"/>
    <mergeCell ref="AA214:AA222"/>
    <mergeCell ref="Y137:Y145"/>
    <mergeCell ref="AA137:AA145"/>
    <mergeCell ref="Y64:Y72"/>
    <mergeCell ref="AA64:AA72"/>
    <mergeCell ref="Y157:Y161"/>
    <mergeCell ref="AA157:AA161"/>
    <mergeCell ref="Y75:Y79"/>
    <mergeCell ref="AA75:AA79"/>
    <mergeCell ref="Y164:Y168"/>
    <mergeCell ref="AA164:AA168"/>
    <mergeCell ref="Y82:Y86"/>
    <mergeCell ref="AA82:AA86"/>
    <mergeCell ref="Y248:Y252"/>
    <mergeCell ref="AA248:AA252"/>
    <mergeCell ref="X177:X253"/>
    <mergeCell ref="Z177:Z253"/>
    <mergeCell ref="Y171:Y175"/>
    <mergeCell ref="AA171:AA175"/>
    <mergeCell ref="X95:X176"/>
    <mergeCell ref="Z95:Z176"/>
    <mergeCell ref="Y89:Y93"/>
    <mergeCell ref="AA89:AA93"/>
    <mergeCell ref="X27:X94"/>
    <mergeCell ref="Z27:Z94"/>
    <mergeCell ref="Y146:Y154"/>
    <mergeCell ref="AA146:AA154"/>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4:BB106 BB111:BB113 BB118:BB120 BB125:BB127 BB132:BB134 BB136:BB176 BB181:BB183 BB188:BB190 BB195:BB197 BB202:BB204 BB209:BB211 BB213:BB253 BA63:BA94 BA99:BA101 BA104:BA106 BA111:BA113 BA118:BA120 BA125:BA127 BA132:BA134 BA136:BA176 BA181:BA183 BA188:BA190 BA195:BA197 BA202:BA204 BA209:BA211 BA213:BA253 AZ63:AZ94 AZ99:AZ101 AZ104:AZ106 AZ111:AZ113 AZ118:AZ120 AZ125:AZ127 AZ132:AZ134 AZ136:AZ176 AZ181:AZ183 AZ188:AZ190 AZ195:AZ197 AZ202:AZ204 AZ209:AZ211 AZ213:AZ253 AY63:AY94 AY99:AY101 AY104:AY106 AY111:AY113 AY118:AY120 AY125:AY127 AY132:AY134 AY136:AY176 AY181:AY183 AY188:AY190 AY195:AY197 AY202:AY204 AY209:AY211 AY213:AY253 AX63:AX94 AX99:AX101 AX104:AX106 AX111:AX113 AX118:AX120 AX125:AX127 AX132:AX134 AX136:AX176 AX181:AX183 AX188:AX190 AX195:AX197 AX202:AX204 AX209:AX211 AX213:AX253 AW63:AW94 AW99:AW101 AW104:AW106 AW111:AW113 AW118:AW120 AW125:AW127 AW132:AW134 AW136:AW176 AW181:AW183 AW188:AW190 AW195:AW197 AW202:AW204 AW209:AW211 AW213:AW253 AV63:AV94 AV99:AV101 AV104:AV106 AV111:AV113 AV118:AV120 AV125:AV127 AV132:AV134 AV136:AV176 AV181:AV183 AV188:AV190 AV195:AV197 AV202:AV204 AV209:AV211 AV213:AV253 AU63:AU94 AU99:AU101 AU104:AU106 AU111:AU113 AU118:AU120 AU125:AU127 AU132:AU134 AU136:AU176 AU181:AU183 AU188:AU190 AU195:AU197 AU202:AU204 AU209:AU211 AU213:AU253 AT63:AT94 AT99:AT101 AT104:AT106 AT111:AT113 AT118:AT120 AT125:AT127 AT132:AT134 AT136:AT176 AT181:AT183 AT188:AT190 AT195:AT197 AT202:AT204 AT209:AT211 AT213:AT253 AS63:AS94 AS99:AS101 AS104:AS106 AS111:AS113 AS118:AS120 AS125:AS127 AS132:AS134 AS136:AS176 AS181:AS183 AS188:AS190 AS195:AS197 AS202:AS204 AS209:AS211 AS213:AS253 AR63:AR94 AR99:AR101 AR104:AR106 AR111:AR113 AR118:AR120 AR125:AR127 AR132:AR134 AR136:AR176 AR181:AR183 AR188:AR190 AR195:AR197 AR202:AR204 AR209:AR211 AR213:AR253 AQ63:AQ94 AQ99:AQ101 AQ104:AQ106 AQ111:AQ113 AQ118:AQ120 AQ125:AQ127 AQ132:AQ134 AQ136:AQ176 AQ181:AQ183 AQ188:AQ190 AQ195:AQ197 AQ202:AQ204 AQ209:AQ211 AQ213:AQ253 AP63:AP94 AP99:AP101 AP104:AP106 AP111:AP113 AP118:AP120 AP125:AP127 AP132:AP134 AP136:AP176 AP181:AP183 AP188:AP190 AP195:AP197 AP202:AP204 AP209:AP211 AP213:AP253 AO63:AO94 AO99:AO101 AO104:AO106 AO111:AO113 AO118:AO120 AO125:AO127 AO132:AO134 AO136:AO176 AO181:AO183 AO188:AO190 AO195:AO197 AO202:AO204 AO209:AO211 AO213:AO253 AN63:AN94 AN99:AN101 AN104:AN106 AN111:AN113 AN118:AN120 AN125:AN127 AN132:AN134 AN136:AN176 AN181:AN183 AN188:AN190 AN195:AN197 AN202:AN204 AN209:AN211 AN213:AN253 AM63:AM94 AM99:AM101 AM104:AM106 AM111:AM113 AM118:AM120 AM125:AM127 AM132:AM134 AM136:AM176 AM181:AM183 AM188:AM190 AM195:AM197 AM202:AM204 AM209:AM211 AM213:AM253 AL63:AL94 AL99:AL101 AL104:AL106 AL111:AL113 AL118:AL120 AL125:AL127 AL132:AL134 AL136:AL176 AL181:AL183 AL188:AL190 AL195:AL197 AL202:AL204 AL209:AL211 AL213:AL253 AK63:AK94 AK99:AK101 AK104:AK106 AK111:AK113 AK118:AK120 AK125:AK127 AK132:AK134 AK136:AK176 AK181:AK183 AK188:AK190 AK195:AK197 AK202:AK204 AK209:AK211 AK213:AK253 AJ63:AJ94 AJ99:AJ101 AJ104:AJ106 AJ111:AJ113 AJ118:AJ120 AJ125:AJ127 AJ132:AJ134 AJ136:AJ176 AJ181:AJ183 AJ188:AJ190 AJ195:AJ197 AJ202:AJ204 AJ209:AJ211 AJ213:AJ253 AI63:AI94 AI99:AI101 AI104:AI106 AI111:AI113 AI118:AI120 AI125:AI127 AI132:AI134 AI136:AI176 AI181:AI183 AI188:AI190 AI195:AI197 AI202:AI204 AI209:AI211 AI213:AI253 AH63:AH94 AH99:AH101 AH104:AH106 AH111:AH113 AH118:AH120 AH125:AH127 AH132:AH134 AH136:AH176 AH181:AH183 AH188:AH190 AH195:AH197 AH202:AH204 AH209:AH211 AH213:AH253 AG63:AG94 AG99:AG101 AG104:AG106 AG111:AG113 AG118:AG120 AG125:AG127 AG132:AG134 AG136:AG176 AG181:AG183 AG188:AG190 AG195:AG197 AG202:AG204 AG209:AG211 AG213:AG253 AF63:AF94 AF99:AF101 AF104:AF106 AF111:AF113 AF118:AF120 AF125:AF127 AF132:AF134 AF136:AF176 AF181:AF183 AF188:AF190 AF195:AF197 AF202:AF204 AF209:AF211 AF213:AF253 AE63:AE94 AE99:AE101 AE104:AE106 AE111:AE113 AE118:AE120 AE125:AE127 AE132:AE134 AE136:AE176 AE181:AE183 AE188:AE190 AE195:AE197 AE202:AE204 AE209:AE211 AE213:AE253"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25819-FDD9-4FD8-5558-CBC87F6F8148}">
  <sheetPr>
    <tabColor rgb="FF002060"/>
    <outlinePr summaryBelow="0"/>
    <pageSetUpPr fitToPage="1"/>
  </sheetPr>
  <dimension ref="A1:AR10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36" hidden="1" customWidth="1"/>
    <col min="2" max="2" width="8.5703125" style="65" hidden="1" customWidth="1"/>
    <col min="3" max="4" width="3.5703125" style="36" hidden="1" customWidth="1"/>
    <col min="5" max="5" width="3.5703125" style="472" hidden="1" customWidth="1"/>
    <col min="6" max="6" width="3.5703125" style="36" hidden="1" customWidth="1"/>
    <col min="7" max="7" width="9.85546875" style="377" hidden="1" customWidth="1"/>
    <col min="8" max="10" width="3.5703125" style="36" hidden="1" customWidth="1"/>
    <col min="11" max="11" width="6.42578125" style="377" hidden="1" customWidth="1"/>
    <col min="12" max="12" width="3.5703125" style="377" hidden="1" customWidth="1"/>
    <col min="13" max="17" width="3.5703125" style="36" hidden="1" customWidth="1"/>
    <col min="18" max="18" width="3.5703125" style="266" hidden="1" customWidth="1"/>
    <col min="19" max="19" width="3.5703125" style="36" hidden="1" customWidth="1"/>
    <col min="20" max="20" width="11.140625" style="36" hidden="1" customWidth="1"/>
    <col min="21" max="21" width="5.85546875" style="36" hidden="1" customWidth="1"/>
    <col min="22" max="23" width="6.140625" style="36" hidden="1" customWidth="1"/>
    <col min="24" max="25" width="5.5703125" style="36" hidden="1" customWidth="1"/>
    <col min="26" max="26" width="5.28515625" style="36" hidden="1" customWidth="1"/>
    <col min="27" max="27" width="3" style="36" customWidth="1"/>
    <col min="28" max="28" width="11" style="36" customWidth="1"/>
    <col min="29" max="29" width="56.7109375" style="36" customWidth="1"/>
    <col min="30" max="30" width="12" style="36" customWidth="1"/>
    <col min="31" max="36" width="13" style="36" customWidth="1"/>
    <col min="37" max="37" width="20" style="36" customWidth="1"/>
    <col min="38" max="38" width="3" style="36" customWidth="1"/>
    <col min="39" max="39" width="9.140625" style="36" hidden="1"/>
    <col min="40" max="42" width="9.140625" style="680" hidden="1"/>
    <col min="43" max="44" width="9.140625" style="472" hidden="1"/>
  </cols>
  <sheetData>
    <row r="1" spans="1:44" ht="11.25" hidden="1" customHeight="1">
      <c r="E1" s="36"/>
      <c r="F1" s="36" t="s">
        <v>315</v>
      </c>
      <c r="H1" s="36" t="s">
        <v>326</v>
      </c>
      <c r="I1" s="36" t="s">
        <v>350</v>
      </c>
      <c r="T1" s="365" t="s">
        <v>93</v>
      </c>
      <c r="U1" s="365" t="s">
        <v>98</v>
      </c>
      <c r="V1" s="365" t="s">
        <v>94</v>
      </c>
      <c r="W1" s="365" t="s">
        <v>95</v>
      </c>
      <c r="X1" s="365" t="s">
        <v>96</v>
      </c>
      <c r="Y1" s="367" t="s">
        <v>317</v>
      </c>
      <c r="Z1" s="365" t="s">
        <v>100</v>
      </c>
      <c r="AA1" s="367" t="s">
        <v>97</v>
      </c>
      <c r="AB1" s="327"/>
      <c r="AC1" s="366" t="s">
        <v>99</v>
      </c>
      <c r="AN1" s="680" t="s">
        <v>318</v>
      </c>
      <c r="AO1" s="680" t="s">
        <v>319</v>
      </c>
      <c r="AP1" s="680" t="s">
        <v>320</v>
      </c>
      <c r="AQ1" s="472" t="s">
        <v>323</v>
      </c>
      <c r="AR1" s="472" t="s">
        <v>324</v>
      </c>
    </row>
    <row r="2" spans="1:44" s="65" customFormat="1" ht="11.25" hidden="1" customHeight="1">
      <c r="B2" s="353" t="s">
        <v>19</v>
      </c>
      <c r="G2" s="378"/>
      <c r="K2" s="378"/>
      <c r="L2" s="378"/>
      <c r="AF2" s="65" t="b" cm="1">
        <f t="array" ref="AF2">isOrgDeclare</f>
        <v>1</v>
      </c>
      <c r="AI2" s="354" t="b">
        <f>AND(AI11&lt;=last_year_vis,isOrgDeclare)</f>
        <v>1</v>
      </c>
      <c r="AJ2" s="354" t="b">
        <f>AJ11&lt;=last_year_vis</f>
        <v>1</v>
      </c>
      <c r="AN2" s="681"/>
      <c r="AO2" s="681"/>
      <c r="AP2" s="681"/>
      <c r="AQ2" s="686"/>
      <c r="AR2" s="686"/>
    </row>
    <row r="3" spans="1:44" ht="11.25" hidden="1" customHeight="1">
      <c r="E3" s="36"/>
    </row>
    <row r="4" spans="1:44" ht="11.25" hidden="1" customHeight="1">
      <c r="E4" s="36"/>
    </row>
    <row r="5" spans="1:44" s="472" customFormat="1" ht="11.25" hidden="1" customHeight="1">
      <c r="A5" s="36"/>
      <c r="B5" s="65"/>
      <c r="C5" s="36"/>
      <c r="D5" s="36"/>
      <c r="E5" s="472" t="s">
        <v>20</v>
      </c>
      <c r="G5" s="509"/>
      <c r="K5" s="509"/>
      <c r="L5" s="509"/>
      <c r="R5" s="458"/>
      <c r="AA5" s="472">
        <v>3</v>
      </c>
      <c r="AB5" s="472">
        <v>11</v>
      </c>
      <c r="AC5" s="472">
        <v>56.71</v>
      </c>
      <c r="AD5" s="472">
        <v>12</v>
      </c>
      <c r="AE5" s="472">
        <v>13</v>
      </c>
      <c r="AF5" s="472">
        <v>13</v>
      </c>
      <c r="AG5" s="472">
        <v>13</v>
      </c>
      <c r="AH5" s="472">
        <v>13</v>
      </c>
      <c r="AI5" s="472">
        <v>13</v>
      </c>
      <c r="AJ5" s="472">
        <v>13</v>
      </c>
      <c r="AK5" s="472">
        <v>20</v>
      </c>
      <c r="AL5" s="472">
        <v>3</v>
      </c>
      <c r="AN5" s="680"/>
      <c r="AO5" s="680"/>
      <c r="AP5" s="680"/>
    </row>
    <row r="6" spans="1:44" ht="11.25" hidden="1" customHeight="1"/>
    <row r="7" spans="1:44" s="680" customFormat="1" ht="11.25" hidden="1" customHeight="1">
      <c r="A7" s="680" t="s">
        <v>358</v>
      </c>
      <c r="B7" s="681"/>
      <c r="G7" s="688"/>
      <c r="K7" s="688"/>
      <c r="L7" s="688"/>
      <c r="R7" s="682"/>
      <c r="AE7" s="680" cm="1">
        <f t="array" ref="AE7">AE11</f>
        <v>2024</v>
      </c>
      <c r="AF7" s="680" cm="1">
        <f t="array" ref="AF7">AF11</f>
        <v>2024</v>
      </c>
      <c r="AG7" s="680" cm="1">
        <f t="array" ref="AG7">AG11</f>
        <v>2024</v>
      </c>
      <c r="AH7" s="680" cm="1">
        <f t="array" ref="AH7">AH11</f>
        <v>2025</v>
      </c>
      <c r="AI7" s="680" cm="1">
        <f t="array" ref="AI7">AI11</f>
        <v>2026</v>
      </c>
      <c r="AJ7" s="680" cm="1">
        <f t="array" ref="AJ7">AJ11</f>
        <v>2026</v>
      </c>
      <c r="AQ7" s="472"/>
      <c r="AR7" s="472"/>
    </row>
    <row r="8" spans="1:44" s="680" customFormat="1" ht="11.25" hidden="1" customHeight="1">
      <c r="A8" s="680" t="s">
        <v>359</v>
      </c>
      <c r="B8" s="681"/>
      <c r="G8" s="688"/>
      <c r="K8" s="688"/>
      <c r="L8" s="688"/>
      <c r="R8" s="682"/>
      <c r="AE8" s="680" t="str" cm="1">
        <f t="array" ref="AE8">AE25</f>
        <v>Принято органом регулирования</v>
      </c>
      <c r="AF8" s="680" t="str" cm="1">
        <f t="array" ref="AF8">AF25</f>
        <v>Факт по данным организации</v>
      </c>
      <c r="AG8" s="680" t="str" cm="1">
        <f t="array" ref="AG8">AG25</f>
        <v>Факт, принятый органом регулирования</v>
      </c>
      <c r="AH8" s="680" t="str" cm="1">
        <f t="array" ref="AH8">AH25</f>
        <v>Принято органом регулирования</v>
      </c>
      <c r="AI8" s="680" t="str" cm="1">
        <f t="array" ref="AI8">AI25</f>
        <v>Предложение организации</v>
      </c>
      <c r="AJ8" s="680" t="str" cm="1">
        <f t="array" ref="AJ8">AJ25</f>
        <v>Принято органом регулирования</v>
      </c>
      <c r="AQ8" s="472"/>
      <c r="AR8" s="472"/>
    </row>
    <row r="9" spans="1:44" s="680" customFormat="1" ht="11.25" hidden="1" customHeight="1">
      <c r="A9" s="680" t="s">
        <v>360</v>
      </c>
      <c r="B9" s="681"/>
      <c r="G9" s="688"/>
      <c r="K9" s="688"/>
      <c r="L9" s="688"/>
      <c r="R9" s="682"/>
      <c r="AK9" s="680" t="str" cm="1">
        <f t="array" ref="AK9">AK24</f>
        <v>Ссылка на правовую норму (основание для принятия показателя в расчет тарифа)</v>
      </c>
      <c r="AQ9" s="472"/>
      <c r="AR9" s="472"/>
    </row>
    <row r="10" spans="1:44" s="680" customFormat="1" ht="11.25" hidden="1" customHeight="1">
      <c r="A10" s="680" t="s">
        <v>333</v>
      </c>
      <c r="B10" s="681"/>
      <c r="G10" s="688"/>
      <c r="K10" s="688"/>
      <c r="L10" s="688"/>
      <c r="R10" s="682"/>
      <c r="AC10" s="680" t="s">
        <v>320</v>
      </c>
      <c r="AQ10" s="472"/>
      <c r="AR10" s="472"/>
    </row>
    <row r="11" spans="1:44" ht="11.25" hidden="1" customHeight="1">
      <c r="A11" s="36" t="s">
        <v>353</v>
      </c>
      <c r="AE11" s="36">
        <f>god-2</f>
        <v>2024</v>
      </c>
      <c r="AF11" s="36">
        <f>god-2</f>
        <v>2024</v>
      </c>
      <c r="AG11" s="36">
        <f>god-2</f>
        <v>2024</v>
      </c>
      <c r="AH11" s="36">
        <f>god-1</f>
        <v>2025</v>
      </c>
      <c r="AI11" s="36" cm="1">
        <f t="array" ref="AI11">god</f>
        <v>2026</v>
      </c>
      <c r="AJ11" s="36" cm="1">
        <f t="array" ref="AJ11">god</f>
        <v>2026</v>
      </c>
      <c r="AK11" s="85"/>
    </row>
    <row r="12" spans="1:44" ht="11.25" hidden="1" customHeight="1">
      <c r="A12" s="36" t="s">
        <v>354</v>
      </c>
      <c r="AE12" s="57" t="str" cm="1">
        <f t="array" ref="AE12">AE25</f>
        <v>Принято органом регулирования</v>
      </c>
      <c r="AF12" s="57" t="str" cm="1">
        <f t="array" ref="AF12">AF25</f>
        <v>Факт по данным организации</v>
      </c>
      <c r="AG12" s="57" t="str" cm="1">
        <f t="array" ref="AG12">AG25</f>
        <v>Факт, принятый органом регулирования</v>
      </c>
      <c r="AH12" s="57" t="str" cm="1">
        <f t="array" ref="AH12">AH25</f>
        <v>Принято органом регулирования</v>
      </c>
      <c r="AI12" s="57" t="str" cm="1">
        <f t="array" ref="AI12">AI25</f>
        <v>Предложение организации</v>
      </c>
      <c r="AJ12" s="57" t="str" cm="1">
        <f t="array" ref="AJ12">AJ25</f>
        <v>Принято органом регулирования</v>
      </c>
    </row>
    <row r="13" spans="1:44" ht="11.25" hidden="1" customHeight="1">
      <c r="AE13" s="57" t="str">
        <f t="shared" ref="AE13:AJ13" si="0">AE11&amp;AE12</f>
        <v>2024Принято органом регулирования</v>
      </c>
      <c r="AF13" s="57" t="str">
        <f t="shared" si="0"/>
        <v>2024Факт по данным организации</v>
      </c>
      <c r="AG13" s="57" t="str">
        <f t="shared" si="0"/>
        <v>2024Факт, принятый органом регулирования</v>
      </c>
      <c r="AH13" s="57" t="str">
        <f t="shared" si="0"/>
        <v>2025Принято органом регулирования</v>
      </c>
      <c r="AI13" s="57" t="str">
        <f t="shared" si="0"/>
        <v>2026Предложение организации</v>
      </c>
      <c r="AJ13" s="57" t="str">
        <f t="shared" si="0"/>
        <v>2026Принято органом регулирования</v>
      </c>
    </row>
    <row r="14" spans="1:44" ht="11.25" hidden="1" customHeight="1"/>
    <row r="15" spans="1:44" ht="11.25" hidden="1" customHeight="1"/>
    <row r="16" spans="1:44" ht="11.25" hidden="1" customHeight="1"/>
    <row r="17" spans="1:44" ht="11.25" hidden="1" customHeight="1">
      <c r="AK17" s="85"/>
    </row>
    <row r="18" spans="1:44" ht="11.25" hidden="1" customHeight="1">
      <c r="A18" s="36" t="s">
        <v>361</v>
      </c>
      <c r="AC18" s="36" t="s">
        <v>194</v>
      </c>
    </row>
    <row r="19" spans="1:44" ht="11.25" hidden="1" customHeight="1"/>
    <row r="20" spans="1:44" ht="11.25" hidden="1" customHeight="1"/>
    <row r="21" spans="1:44" ht="14.65" customHeight="1">
      <c r="E21" s="472">
        <v>15</v>
      </c>
      <c r="AA21" s="78"/>
      <c r="AC21" s="3" t="str" cm="1">
        <f t="array" ref="AC21">tpl_title</f>
        <v>Кемеровская область / 2026 / ООО "Энергосервис г. Гурьевска" (ИНН:4202049045, КПП:420201001) / ДПР: 2024-2028</v>
      </c>
    </row>
    <row r="22" spans="1:44" s="78" customFormat="1" ht="19.7" customHeight="1">
      <c r="B22" s="65"/>
      <c r="E22" s="473">
        <v>20.25</v>
      </c>
      <c r="G22" s="377"/>
      <c r="K22" s="377"/>
      <c r="L22" s="377"/>
      <c r="R22" s="3"/>
      <c r="AB22" s="238" t="s">
        <v>1155</v>
      </c>
      <c r="AC22" s="267"/>
      <c r="AD22" s="267"/>
      <c r="AE22" s="267"/>
      <c r="AF22" s="267"/>
      <c r="AG22" s="267"/>
      <c r="AH22" s="267"/>
      <c r="AI22" s="267"/>
      <c r="AJ22" s="267"/>
      <c r="AK22" s="267"/>
      <c r="AN22" s="683"/>
      <c r="AO22" s="683"/>
      <c r="AP22" s="683"/>
      <c r="AQ22" s="473"/>
      <c r="AR22" s="473"/>
    </row>
    <row r="23" spans="1:44" s="78" customFormat="1" ht="10.9" customHeight="1">
      <c r="B23" s="65"/>
      <c r="E23" s="473">
        <v>11.25</v>
      </c>
      <c r="K23" s="377"/>
      <c r="L23" s="377"/>
      <c r="R23" s="280"/>
      <c r="AB23" s="591"/>
      <c r="AC23" s="592"/>
      <c r="AD23" s="592"/>
      <c r="AE23" s="592"/>
      <c r="AF23" s="592"/>
      <c r="AG23" s="592"/>
      <c r="AH23" s="592"/>
      <c r="AI23" s="592"/>
      <c r="AJ23" s="592"/>
      <c r="AK23" s="592"/>
      <c r="AN23" s="683"/>
      <c r="AO23" s="683"/>
      <c r="AP23" s="683"/>
      <c r="AQ23" s="473"/>
      <c r="AR23" s="473"/>
    </row>
    <row r="24" spans="1:44" s="79" customFormat="1" ht="14.65" customHeight="1">
      <c r="B24" s="338"/>
      <c r="C24" s="83"/>
      <c r="D24" s="83"/>
      <c r="E24" s="593">
        <v>15</v>
      </c>
      <c r="F24" s="83"/>
      <c r="G24" s="83"/>
      <c r="H24" s="83"/>
      <c r="I24" s="83"/>
      <c r="J24" s="83"/>
      <c r="K24" s="379"/>
      <c r="L24" s="379"/>
      <c r="M24" s="83"/>
      <c r="N24" s="83"/>
      <c r="O24" s="83"/>
      <c r="P24" s="83"/>
      <c r="Q24" s="83"/>
      <c r="R24" s="280"/>
      <c r="S24" s="83"/>
      <c r="T24" s="83"/>
      <c r="U24" s="83"/>
      <c r="V24" s="83"/>
      <c r="W24" s="83"/>
      <c r="X24" s="83"/>
      <c r="Y24" s="83"/>
      <c r="Z24" s="83"/>
      <c r="AA24" s="83"/>
      <c r="AB24" s="1088" t="s">
        <v>786</v>
      </c>
      <c r="AC24" s="1128" t="s">
        <v>194</v>
      </c>
      <c r="AD24" s="1088" t="s">
        <v>363</v>
      </c>
      <c r="AE24" s="28" t="str">
        <f>god-2&amp;" год"</f>
        <v>2024 год</v>
      </c>
      <c r="AF24" s="739" t="str">
        <f>god-2&amp;" год"</f>
        <v>2024 год</v>
      </c>
      <c r="AG24" s="28" t="str">
        <f>god-2&amp;" год"</f>
        <v>2024 год</v>
      </c>
      <c r="AH24" s="28" t="str">
        <f>god-1&amp;" год"</f>
        <v>2025 год</v>
      </c>
      <c r="AI24" s="735" t="str">
        <f>god&amp;" год"</f>
        <v>2026 год</v>
      </c>
      <c r="AJ24" s="31" t="str">
        <f>god&amp;" год"</f>
        <v>2026 год</v>
      </c>
      <c r="AK24" s="1088" t="s">
        <v>529</v>
      </c>
      <c r="AN24" s="678"/>
      <c r="AO24" s="678"/>
      <c r="AP24" s="678"/>
      <c r="AQ24" s="470"/>
      <c r="AR24" s="470"/>
    </row>
    <row r="25" spans="1:44" s="79" customFormat="1" ht="44.1" customHeight="1">
      <c r="B25" s="338"/>
      <c r="C25" s="83"/>
      <c r="D25" s="83"/>
      <c r="E25" s="593">
        <v>45.25</v>
      </c>
      <c r="F25" s="83"/>
      <c r="G25" s="83"/>
      <c r="H25" s="83"/>
      <c r="I25" s="83"/>
      <c r="J25" s="83"/>
      <c r="K25" s="379"/>
      <c r="L25" s="379"/>
      <c r="M25" s="83"/>
      <c r="N25" s="83"/>
      <c r="O25" s="83"/>
      <c r="P25" s="83"/>
      <c r="Q25" s="83"/>
      <c r="R25" s="280"/>
      <c r="S25" s="83"/>
      <c r="T25" s="83"/>
      <c r="U25" s="83"/>
      <c r="V25" s="83"/>
      <c r="W25" s="83"/>
      <c r="X25" s="83"/>
      <c r="Y25" s="83"/>
      <c r="Z25" s="83"/>
      <c r="AA25" s="83"/>
      <c r="AB25" s="1152"/>
      <c r="AC25" s="1152"/>
      <c r="AD25" s="1152"/>
      <c r="AE25" s="28" t="s">
        <v>355</v>
      </c>
      <c r="AF25" s="739" t="s">
        <v>450</v>
      </c>
      <c r="AG25" s="28" t="s">
        <v>451</v>
      </c>
      <c r="AH25" s="28" t="s">
        <v>355</v>
      </c>
      <c r="AI25" s="740" t="s">
        <v>356</v>
      </c>
      <c r="AJ25" s="594" t="s">
        <v>355</v>
      </c>
      <c r="AK25" s="1152"/>
      <c r="AN25" s="678"/>
      <c r="AO25" s="678"/>
      <c r="AP25" s="678"/>
      <c r="AQ25" s="470"/>
      <c r="AR25" s="470"/>
    </row>
    <row r="26" spans="1:44" ht="11.25" hidden="1" customHeight="1">
      <c r="A26" s="327"/>
      <c r="B26" s="490"/>
      <c r="C26" s="327"/>
      <c r="D26" s="327"/>
      <c r="E26" s="491">
        <v>0</v>
      </c>
      <c r="F26" s="327"/>
      <c r="G26" s="327"/>
      <c r="H26" s="327"/>
      <c r="I26" s="327"/>
      <c r="J26" s="327"/>
      <c r="K26" s="614"/>
      <c r="L26" s="614"/>
      <c r="M26" s="327"/>
      <c r="N26" s="327"/>
      <c r="O26" s="327"/>
      <c r="P26" s="327"/>
      <c r="Q26" s="327"/>
      <c r="R26" s="327"/>
      <c r="S26" s="327"/>
      <c r="T26" s="327"/>
      <c r="U26" s="327"/>
      <c r="V26" s="327"/>
      <c r="W26" s="327"/>
      <c r="X26" s="327"/>
      <c r="Y26" s="327"/>
      <c r="Z26" s="327"/>
      <c r="AA26" s="327"/>
      <c r="AB26" s="327"/>
      <c r="AC26" s="327"/>
      <c r="AD26" s="327"/>
      <c r="AE26" s="327"/>
      <c r="AF26" s="327"/>
      <c r="AG26"/>
      <c r="AH26"/>
      <c r="AI26"/>
      <c r="AJ26"/>
      <c r="AK26"/>
      <c r="AL26"/>
      <c r="AM26"/>
      <c r="AN26" s="670"/>
      <c r="AO26" s="670"/>
      <c r="AP26" s="670"/>
      <c r="AQ26" s="672"/>
      <c r="AR26" s="465"/>
    </row>
    <row r="27" spans="1:44" s="81" customFormat="1" ht="14.65" hidden="1" customHeight="1">
      <c r="B27" s="338"/>
      <c r="C27" s="223"/>
      <c r="D27" s="223"/>
      <c r="E27" s="595">
        <v>15</v>
      </c>
      <c r="F27" s="78" cm="1">
        <f t="array" ref="F27">X27</f>
        <v>0</v>
      </c>
      <c r="G27" s="396" t="s">
        <v>61</v>
      </c>
      <c r="H27" s="396"/>
      <c r="I27" s="396"/>
      <c r="J27" s="223"/>
      <c r="K27" s="376"/>
      <c r="L27" s="376"/>
      <c r="M27" s="223"/>
      <c r="N27" s="223"/>
      <c r="O27" s="223"/>
      <c r="P27" s="223"/>
      <c r="Q27" s="223"/>
      <c r="R27" s="223"/>
      <c r="S27" s="223"/>
      <c r="T27" s="365" t="b">
        <f>X27&gt;0</f>
        <v>0</v>
      </c>
      <c r="U27" s="223"/>
      <c r="V27" s="223" t="s">
        <v>264</v>
      </c>
      <c r="W27" s="223"/>
      <c r="X27" s="1150">
        <v>0</v>
      </c>
      <c r="Y27" s="223"/>
      <c r="Z27" s="1151"/>
      <c r="AA27" s="223"/>
      <c r="AB27" s="174" t="str" cm="1">
        <f t="array" ref="AB27">INDEX('Общие сведения'!$AG$179:$AG$222,MATCH($X27,'Общие сведения'!$Z$179:$Z$222,0))</f>
        <v xml:space="preserve">Тариф 0 () - </v>
      </c>
      <c r="AC27" s="596"/>
      <c r="AD27" s="596"/>
      <c r="AE27" s="597">
        <f t="shared" ref="AE27:AJ27" ca="1" si="1">AE28+AE33+AE34+AE39+AE40+AE45+AE46+AE51</f>
        <v>0</v>
      </c>
      <c r="AF27" s="597">
        <f t="shared" ca="1" si="1"/>
        <v>0</v>
      </c>
      <c r="AG27" s="597">
        <f t="shared" ca="1" si="1"/>
        <v>0</v>
      </c>
      <c r="AH27" s="597">
        <f t="shared" ca="1" si="1"/>
        <v>0</v>
      </c>
      <c r="AI27" s="597">
        <f t="shared" ca="1" si="1"/>
        <v>0</v>
      </c>
      <c r="AJ27" s="597">
        <f t="shared" ca="1" si="1"/>
        <v>0</v>
      </c>
      <c r="AK27" s="597"/>
      <c r="AN27" s="687"/>
      <c r="AO27" s="687"/>
      <c r="AP27" s="687"/>
      <c r="AQ27" s="198"/>
      <c r="AR27" s="198"/>
    </row>
    <row r="28" spans="1:44" s="81" customFormat="1" ht="21.95" hidden="1" customHeight="1">
      <c r="B28" s="338"/>
      <c r="C28" s="223"/>
      <c r="D28" s="223"/>
      <c r="E28" s="595">
        <v>22.5</v>
      </c>
      <c r="F28" s="3" cm="1">
        <f t="array" aca="1" ref="F28" ca="1">OFFSET(E28,-1,1)</f>
        <v>0</v>
      </c>
      <c r="G28" s="280" t="s">
        <v>1156</v>
      </c>
      <c r="H28" s="396" t="s">
        <v>327</v>
      </c>
      <c r="I28" s="396"/>
      <c r="J28" s="223"/>
      <c r="K28" s="376" t="str">
        <f ca="1">F28&amp;"1komm"</f>
        <v>01komm</v>
      </c>
      <c r="L28" s="616" cm="1">
        <f t="array" ref="L28">AK28</f>
        <v>0</v>
      </c>
      <c r="M28" s="223"/>
      <c r="N28" s="223"/>
      <c r="O28" s="223"/>
      <c r="P28" s="223"/>
      <c r="Q28" s="223"/>
      <c r="R28" s="223"/>
      <c r="S28" s="223"/>
      <c r="T28" s="365" t="b" cm="1">
        <f t="array" ref="T28">T27</f>
        <v>0</v>
      </c>
      <c r="U28" s="223"/>
      <c r="V28" s="223"/>
      <c r="W28" s="223"/>
      <c r="X28" s="1150"/>
      <c r="Y28" s="223"/>
      <c r="Z28" s="1151"/>
      <c r="AA28" s="223"/>
      <c r="AB28" s="511">
        <v>1</v>
      </c>
      <c r="AC28" s="259" t="s">
        <v>1157</v>
      </c>
      <c r="AD28" s="28" t="s">
        <v>804</v>
      </c>
      <c r="AE28" s="790"/>
      <c r="AF28" s="790"/>
      <c r="AG28" s="790"/>
      <c r="AH28" s="790"/>
      <c r="AI28" s="145">
        <f>SUMIFS(AI29:AI32,$AD29:$AD32,$AD28)</f>
        <v>0</v>
      </c>
      <c r="AJ28" s="145">
        <f>SUMIFS(AJ29:AJ32,$AD29:$AD32,$AD28)</f>
        <v>0</v>
      </c>
      <c r="AK28" s="832"/>
      <c r="AN28" s="687" t="s">
        <v>1158</v>
      </c>
      <c r="AO28" s="687"/>
      <c r="AP28" s="687"/>
      <c r="AQ28" s="198"/>
      <c r="AR28" s="198"/>
    </row>
    <row r="29" spans="1:44" s="81" customFormat="1" ht="18.2" hidden="1" customHeight="1">
      <c r="B29" s="338"/>
      <c r="C29" s="223"/>
      <c r="D29" s="223"/>
      <c r="E29" s="595">
        <v>18.75</v>
      </c>
      <c r="F29" s="3" cm="1">
        <f t="array" aca="1" ref="F29" ca="1">OFFSET(E29,-1,1)</f>
        <v>0</v>
      </c>
      <c r="G29" s="396"/>
      <c r="H29" s="396" t="s">
        <v>327</v>
      </c>
      <c r="I29" s="396" cm="1">
        <f t="array" ref="I29">AC29</f>
        <v>0</v>
      </c>
      <c r="J29" s="223"/>
      <c r="K29" s="376"/>
      <c r="L29" s="376"/>
      <c r="M29" s="223"/>
      <c r="N29" s="223"/>
      <c r="O29" s="223"/>
      <c r="P29" s="223"/>
      <c r="Q29" s="223"/>
      <c r="R29" s="223"/>
      <c r="S29" s="223"/>
      <c r="T29" s="365" t="b">
        <f ca="1">AND(F29&gt;0,Y29&gt;0)</f>
        <v>0</v>
      </c>
      <c r="U29" s="223"/>
      <c r="V29" s="223"/>
      <c r="W29" s="223" t="s">
        <v>173</v>
      </c>
      <c r="X29" s="1150"/>
      <c r="Y29" s="1150">
        <v>0</v>
      </c>
      <c r="Z29" s="1151"/>
      <c r="AA29" s="1146" t="s">
        <v>174</v>
      </c>
      <c r="AB29" s="26" t="str">
        <f>"1."&amp;Y29</f>
        <v>1.0</v>
      </c>
      <c r="AC29" s="789"/>
      <c r="AD29" s="28" t="s">
        <v>804</v>
      </c>
      <c r="AE29" s="28"/>
      <c r="AF29" s="28"/>
      <c r="AG29" s="28"/>
      <c r="AH29" s="28"/>
      <c r="AI29" s="787">
        <f>AI30*AI31*12/1000</f>
        <v>0</v>
      </c>
      <c r="AJ29" s="787">
        <f>AJ30*AJ31*12/1000</f>
        <v>0</v>
      </c>
      <c r="AK29" s="832"/>
      <c r="AN29" s="687" t="s">
        <v>1159</v>
      </c>
      <c r="AO29" s="687" t="s">
        <v>1160</v>
      </c>
      <c r="AP29" s="687" cm="1">
        <f t="array" ref="AP29">AC29</f>
        <v>0</v>
      </c>
      <c r="AQ29" s="198"/>
      <c r="AR29" s="198" t="b">
        <v>1</v>
      </c>
    </row>
    <row r="30" spans="1:44" s="81" customFormat="1" ht="14.65" hidden="1" customHeight="1">
      <c r="B30" s="338"/>
      <c r="C30" s="223"/>
      <c r="D30" s="223"/>
      <c r="E30" s="595">
        <v>15</v>
      </c>
      <c r="F30" s="3" cm="1">
        <f t="array" aca="1" ref="F30" ca="1">OFFSET(E30,-1,1)</f>
        <v>0</v>
      </c>
      <c r="G30" s="396" t="s">
        <v>1161</v>
      </c>
      <c r="H30" s="396" t="str">
        <f>H29&amp;"_1"</f>
        <v>l1_1</v>
      </c>
      <c r="I30" s="396" cm="1">
        <f t="array" ref="I30">I29</f>
        <v>0</v>
      </c>
      <c r="J30" s="223"/>
      <c r="K30" s="376"/>
      <c r="L30" s="376"/>
      <c r="M30" s="223"/>
      <c r="N30" s="223"/>
      <c r="O30" s="223"/>
      <c r="P30" s="223"/>
      <c r="Q30" s="223"/>
      <c r="R30" s="223"/>
      <c r="S30" s="223"/>
      <c r="T30" s="365" t="b" cm="1">
        <f t="array" aca="1" ref="T30" ca="1">T29</f>
        <v>0</v>
      </c>
      <c r="U30" s="223"/>
      <c r="V30" s="223"/>
      <c r="W30" s="223"/>
      <c r="X30" s="1150"/>
      <c r="Y30" s="1150"/>
      <c r="Z30" s="1151"/>
      <c r="AA30" s="1146"/>
      <c r="AB30" s="511" t="str">
        <f>AB29&amp;".1"</f>
        <v>1.0.1</v>
      </c>
      <c r="AC30" s="153" t="s">
        <v>1162</v>
      </c>
      <c r="AD30" s="28" t="s">
        <v>1163</v>
      </c>
      <c r="AE30" s="28"/>
      <c r="AF30" s="28"/>
      <c r="AG30" s="28"/>
      <c r="AH30" s="28"/>
      <c r="AI30" s="790"/>
      <c r="AJ30" s="790"/>
      <c r="AK30" s="832"/>
      <c r="AN30" s="687" t="s">
        <v>1164</v>
      </c>
      <c r="AO30" s="687" t="s">
        <v>1160</v>
      </c>
      <c r="AP30" s="687" cm="1">
        <f t="array" ref="AP30">AP29</f>
        <v>0</v>
      </c>
      <c r="AQ30" s="198"/>
      <c r="AR30" s="198"/>
    </row>
    <row r="31" spans="1:44" s="81" customFormat="1" ht="14.65" hidden="1" customHeight="1">
      <c r="B31" s="338"/>
      <c r="C31" s="223"/>
      <c r="D31" s="223"/>
      <c r="E31" s="595">
        <v>15</v>
      </c>
      <c r="F31" s="3" cm="1">
        <f t="array" aca="1" ref="F31" ca="1">OFFSET(E31,-1,1)</f>
        <v>0</v>
      </c>
      <c r="G31" s="396"/>
      <c r="H31" s="396" t="str">
        <f>H29&amp;"_2"</f>
        <v>l1_2</v>
      </c>
      <c r="I31" s="396" cm="1">
        <f t="array" ref="I31">I30</f>
        <v>0</v>
      </c>
      <c r="J31" s="223"/>
      <c r="K31" s="376"/>
      <c r="L31" s="376"/>
      <c r="M31" s="223"/>
      <c r="N31" s="223"/>
      <c r="O31" s="223"/>
      <c r="P31" s="223"/>
      <c r="Q31" s="223"/>
      <c r="R31" s="223"/>
      <c r="S31" s="223"/>
      <c r="T31" s="365" t="b" cm="1">
        <f t="array" aca="1" ref="T31" ca="1">T30</f>
        <v>0</v>
      </c>
      <c r="U31" s="223"/>
      <c r="V31" s="223"/>
      <c r="W31" s="223"/>
      <c r="X31" s="1150"/>
      <c r="Y31" s="1150"/>
      <c r="Z31" s="1151"/>
      <c r="AA31" s="1146"/>
      <c r="AB31" s="511" t="str">
        <f>AB29&amp;".2"</f>
        <v>1.0.2</v>
      </c>
      <c r="AC31" s="153" t="s">
        <v>1165</v>
      </c>
      <c r="AD31" s="28" t="s">
        <v>1166</v>
      </c>
      <c r="AE31" s="28"/>
      <c r="AF31" s="28"/>
      <c r="AG31" s="28"/>
      <c r="AH31" s="28"/>
      <c r="AI31" s="790"/>
      <c r="AJ31" s="790"/>
      <c r="AK31" s="832"/>
      <c r="AN31" s="687" t="s">
        <v>1167</v>
      </c>
      <c r="AO31" s="687" t="s">
        <v>1160</v>
      </c>
      <c r="AP31" s="687" cm="1">
        <f t="array" ref="AP31">AP30</f>
        <v>0</v>
      </c>
      <c r="AQ31" s="198"/>
      <c r="AR31" s="198"/>
    </row>
    <row r="32" spans="1:44" s="81" customFormat="1" ht="14.65" hidden="1" customHeight="1">
      <c r="B32" s="338"/>
      <c r="C32" s="223"/>
      <c r="D32" s="223"/>
      <c r="E32" s="595">
        <v>15</v>
      </c>
      <c r="F32" s="3" cm="1">
        <f t="array" aca="1" ref="F32" ca="1">OFFSET(E32,-1,1)</f>
        <v>0</v>
      </c>
      <c r="G32" s="280"/>
      <c r="H32" s="396"/>
      <c r="I32" s="85" t="str">
        <f>"!=='не определено' &amp;&amp; row.l1 !== null"</f>
        <v>!=='не определено' &amp;&amp; row.l1 !== null</v>
      </c>
      <c r="J32" s="223"/>
      <c r="K32" s="376"/>
      <c r="L32" s="376"/>
      <c r="M32" s="223"/>
      <c r="N32" s="223"/>
      <c r="O32" s="223"/>
      <c r="P32" s="223"/>
      <c r="Q32" s="223"/>
      <c r="R32" s="223"/>
      <c r="S32" s="223"/>
      <c r="T32" s="365" t="b">
        <f ca="1">F32&gt;0</f>
        <v>0</v>
      </c>
      <c r="U32" s="223"/>
      <c r="V32" s="223"/>
      <c r="W32" s="528" t="s">
        <v>392</v>
      </c>
      <c r="X32" s="1150"/>
      <c r="Y32" s="598"/>
      <c r="Z32" s="1151"/>
      <c r="AA32" s="223"/>
      <c r="AB32" s="599"/>
      <c r="AC32" s="191" t="s">
        <v>177</v>
      </c>
      <c r="AD32" s="557"/>
      <c r="AE32" s="557"/>
      <c r="AF32" s="557"/>
      <c r="AG32" s="557"/>
      <c r="AH32" s="557"/>
      <c r="AI32" s="557"/>
      <c r="AJ32" s="557"/>
      <c r="AK32" s="558"/>
      <c r="AN32" s="687"/>
      <c r="AO32" s="687"/>
      <c r="AP32" s="687"/>
      <c r="AQ32" s="198" t="s">
        <v>1160</v>
      </c>
      <c r="AR32" s="198"/>
    </row>
    <row r="33" spans="2:44" s="81" customFormat="1" ht="21.95" hidden="1" customHeight="1">
      <c r="B33" s="338"/>
      <c r="C33" s="223"/>
      <c r="D33" s="223"/>
      <c r="E33" s="595">
        <v>22.5</v>
      </c>
      <c r="F33" s="3" cm="1">
        <f t="array" aca="1" ref="F33" ca="1">OFFSET(E33,-1,1)</f>
        <v>0</v>
      </c>
      <c r="G33" s="280" t="s">
        <v>1168</v>
      </c>
      <c r="H33" s="396" t="s">
        <v>328</v>
      </c>
      <c r="I33" s="396"/>
      <c r="J33" s="223"/>
      <c r="K33" s="376" t="str">
        <f ca="1">F33&amp;"2komm"</f>
        <v>02komm</v>
      </c>
      <c r="L33" s="616" cm="1">
        <f t="array" ref="L33">AK33</f>
        <v>0</v>
      </c>
      <c r="M33" s="223"/>
      <c r="N33" s="223"/>
      <c r="O33" s="223"/>
      <c r="P33" s="223"/>
      <c r="Q33" s="223"/>
      <c r="R33" s="223"/>
      <c r="S33" s="223"/>
      <c r="T33" s="365" t="b" cm="1">
        <f t="array" aca="1" ref="T33" ca="1">T32</f>
        <v>0</v>
      </c>
      <c r="U33" s="223"/>
      <c r="V33" s="223"/>
      <c r="W33" s="223"/>
      <c r="X33" s="1150"/>
      <c r="Y33" s="598"/>
      <c r="Z33" s="1151"/>
      <c r="AA33" s="223"/>
      <c r="AB33" s="511" t="s">
        <v>285</v>
      </c>
      <c r="AC33" s="259" t="s">
        <v>1169</v>
      </c>
      <c r="AD33" s="28" t="s">
        <v>804</v>
      </c>
      <c r="AE33" s="790">
        <f ca="1">AE28*SUMIFS(INDEX(Сценарии!$AE$25:$BF$109,,MATCH(AE$13,Сценарии!$AE$8:$BF$8,0)),Сценарии!$F$25:$F$109,$F33,Сценарии!$G$25:$G$109,"СВФОТ")/100</f>
        <v>0</v>
      </c>
      <c r="AF33" s="790">
        <f ca="1">AF28*SUMIFS(INDEX(Сценарии!$AE$25:$BF$109,,MATCH(AF$13,Сценарии!$AE$8:$BF$8,0)),Сценарии!$F$25:$F$109,$F33,Сценарии!$G$25:$G$109,"СВФОТ")/100</f>
        <v>0</v>
      </c>
      <c r="AG33" s="790">
        <f ca="1">AG28*SUMIFS(INDEX(Сценарии!$AE$25:$BF$109,,MATCH(AG$13,Сценарии!$AE$8:$BF$8,0)),Сценарии!$F$25:$F$109,$F33,Сценарии!$G$25:$G$109,"СВФОТ")/100</f>
        <v>0</v>
      </c>
      <c r="AH33" s="790">
        <f ca="1">AH28*SUMIFS(INDEX(Сценарии!$AE$25:$BF$109,,MATCH(AH$13,Сценарии!$AE$8:$BF$8,0)),Сценарии!$F$25:$F$109,$F33,Сценарии!$G$25:$G$109,"СВФОТ")/100</f>
        <v>0</v>
      </c>
      <c r="AI33" s="790">
        <f ca="1">AI28*SUMIFS(INDEX(Сценарии!$AE$25:$BF$109,,MATCH(AI$13,Сценарии!$AE$8:$BF$8,0)),Сценарии!$F$25:$F$109,$F33,Сценарии!$G$25:$G$109,"СВФОТ")/100</f>
        <v>0</v>
      </c>
      <c r="AJ33" s="790">
        <f ca="1">AJ28*SUMIFS(INDEX(Сценарии!$AE$25:$BF$109,,MATCH(AJ$13,Сценарии!$AE$8:$BF$8,0)),Сценарии!$F$25:$F$109,$F33,Сценарии!$G$25:$G$109,"СВФОТ")/100</f>
        <v>0</v>
      </c>
      <c r="AK33" s="832"/>
      <c r="AN33" s="687" t="s">
        <v>1170</v>
      </c>
      <c r="AO33" s="687"/>
      <c r="AP33" s="687"/>
      <c r="AQ33" s="198"/>
      <c r="AR33" s="198"/>
    </row>
    <row r="34" spans="2:44" s="81" customFormat="1" ht="14.65" hidden="1" customHeight="1">
      <c r="B34" s="338"/>
      <c r="C34" s="223"/>
      <c r="D34" s="223"/>
      <c r="E34" s="595">
        <v>15</v>
      </c>
      <c r="F34" s="3" cm="1">
        <f t="array" aca="1" ref="F34" ca="1">OFFSET(E34,-1,1)</f>
        <v>0</v>
      </c>
      <c r="G34" s="280" t="s">
        <v>1171</v>
      </c>
      <c r="H34" s="396" t="s">
        <v>329</v>
      </c>
      <c r="I34" s="396"/>
      <c r="J34" s="223"/>
      <c r="K34" s="376" t="str">
        <f ca="1">F34&amp;"3komm"</f>
        <v>03komm</v>
      </c>
      <c r="L34" s="616" cm="1">
        <f t="array" ref="L34">AK34</f>
        <v>0</v>
      </c>
      <c r="M34" s="223"/>
      <c r="N34" s="223"/>
      <c r="O34" s="223"/>
      <c r="P34" s="223"/>
      <c r="Q34" s="223"/>
      <c r="R34" s="223"/>
      <c r="S34" s="223"/>
      <c r="T34" s="365" t="b" cm="1">
        <f t="array" aca="1" ref="T34" ca="1">T33</f>
        <v>0</v>
      </c>
      <c r="U34" s="223"/>
      <c r="V34" s="223"/>
      <c r="W34" s="223"/>
      <c r="X34" s="1150"/>
      <c r="Y34" s="598"/>
      <c r="Z34" s="1151"/>
      <c r="AA34" s="223"/>
      <c r="AB34" s="511" t="s">
        <v>325</v>
      </c>
      <c r="AC34" s="259" t="s">
        <v>1172</v>
      </c>
      <c r="AD34" s="28" t="s">
        <v>804</v>
      </c>
      <c r="AE34" s="790"/>
      <c r="AF34" s="790"/>
      <c r="AG34" s="790"/>
      <c r="AH34" s="790"/>
      <c r="AI34" s="145">
        <f>SUMIFS(AI35:AI38,$AD35:$AD38,$AD34)</f>
        <v>0</v>
      </c>
      <c r="AJ34" s="145">
        <f>SUMIFS(AJ35:AJ38,$AD35:$AD38,$AD34)</f>
        <v>0</v>
      </c>
      <c r="AK34" s="832"/>
      <c r="AN34" s="687" t="s">
        <v>1173</v>
      </c>
      <c r="AO34" s="687"/>
      <c r="AP34" s="687"/>
      <c r="AQ34" s="198"/>
      <c r="AR34" s="198"/>
    </row>
    <row r="35" spans="2:44" s="81" customFormat="1" ht="18.2" hidden="1" customHeight="1">
      <c r="B35" s="338"/>
      <c r="C35" s="223"/>
      <c r="D35" s="223"/>
      <c r="E35" s="595">
        <v>18.75</v>
      </c>
      <c r="F35" s="3" cm="1">
        <f t="array" aca="1" ref="F35" ca="1">OFFSET(E35,-1,1)</f>
        <v>0</v>
      </c>
      <c r="G35" s="396"/>
      <c r="H35" s="396" t="s">
        <v>329</v>
      </c>
      <c r="I35" s="396" cm="1">
        <f t="array" ref="I35">AC35</f>
        <v>0</v>
      </c>
      <c r="J35" s="223"/>
      <c r="K35" s="376"/>
      <c r="L35" s="376"/>
      <c r="M35" s="223"/>
      <c r="N35" s="223"/>
      <c r="O35" s="223"/>
      <c r="P35" s="223"/>
      <c r="Q35" s="223"/>
      <c r="R35" s="223"/>
      <c r="S35" s="223"/>
      <c r="T35" s="365" t="b">
        <f ca="1">AND(F35&gt;0,Y35&gt;0)</f>
        <v>0</v>
      </c>
      <c r="U35" s="223"/>
      <c r="V35" s="223"/>
      <c r="W35" s="223" t="s">
        <v>173</v>
      </c>
      <c r="X35" s="1150"/>
      <c r="Y35" s="1150">
        <v>0</v>
      </c>
      <c r="Z35" s="1151"/>
      <c r="AA35" s="1146" t="s">
        <v>174</v>
      </c>
      <c r="AB35" s="26" t="str">
        <f>"3."&amp;Y35</f>
        <v>3.0</v>
      </c>
      <c r="AC35" s="789"/>
      <c r="AD35" s="28" t="s">
        <v>804</v>
      </c>
      <c r="AE35" s="28"/>
      <c r="AF35" s="28"/>
      <c r="AG35" s="28"/>
      <c r="AH35" s="28"/>
      <c r="AI35" s="787">
        <f>AI36*AI37*12/1000</f>
        <v>0</v>
      </c>
      <c r="AJ35" s="787">
        <f>AJ36*AJ37*12/1000</f>
        <v>0</v>
      </c>
      <c r="AK35" s="832"/>
      <c r="AN35" s="687" t="s">
        <v>1159</v>
      </c>
      <c r="AO35" s="687" t="s">
        <v>1174</v>
      </c>
      <c r="AP35" s="687" cm="1">
        <f t="array" ref="AP35">AC35</f>
        <v>0</v>
      </c>
      <c r="AQ35" s="198"/>
      <c r="AR35" s="198" t="b">
        <v>1</v>
      </c>
    </row>
    <row r="36" spans="2:44" s="81" customFormat="1" ht="14.65" hidden="1" customHeight="1">
      <c r="B36" s="338"/>
      <c r="C36" s="223"/>
      <c r="D36" s="223"/>
      <c r="E36" s="595">
        <v>15</v>
      </c>
      <c r="F36" s="3" cm="1">
        <f t="array" aca="1" ref="F36" ca="1">OFFSET(E36,-1,1)</f>
        <v>0</v>
      </c>
      <c r="G36" s="396" t="s">
        <v>1175</v>
      </c>
      <c r="H36" s="396" t="str">
        <f>H35&amp;"_1"</f>
        <v>l3_1</v>
      </c>
      <c r="I36" s="396" cm="1">
        <f t="array" ref="I36">I35</f>
        <v>0</v>
      </c>
      <c r="J36" s="223"/>
      <c r="K36" s="376"/>
      <c r="L36" s="376"/>
      <c r="M36" s="223"/>
      <c r="N36" s="223"/>
      <c r="O36" s="223"/>
      <c r="P36" s="223"/>
      <c r="Q36" s="223"/>
      <c r="R36" s="223"/>
      <c r="S36" s="223"/>
      <c r="T36" s="365" t="b" cm="1">
        <f t="array" aca="1" ref="T36" ca="1">T35</f>
        <v>0</v>
      </c>
      <c r="U36" s="223"/>
      <c r="V36" s="223"/>
      <c r="W36" s="223"/>
      <c r="X36" s="1150"/>
      <c r="Y36" s="1150"/>
      <c r="Z36" s="1151"/>
      <c r="AA36" s="1146"/>
      <c r="AB36" s="511" t="str">
        <f>AB35&amp;".1"</f>
        <v>3.0.1</v>
      </c>
      <c r="AC36" s="153" t="s">
        <v>1162</v>
      </c>
      <c r="AD36" s="28" t="s">
        <v>1163</v>
      </c>
      <c r="AE36" s="28"/>
      <c r="AF36" s="28"/>
      <c r="AG36" s="28"/>
      <c r="AH36" s="28"/>
      <c r="AI36" s="790"/>
      <c r="AJ36" s="790"/>
      <c r="AK36" s="832"/>
      <c r="AN36" s="687" t="s">
        <v>1164</v>
      </c>
      <c r="AO36" s="687" t="s">
        <v>1174</v>
      </c>
      <c r="AP36" s="687" cm="1">
        <f t="array" ref="AP36">AP35</f>
        <v>0</v>
      </c>
      <c r="AQ36" s="198"/>
      <c r="AR36" s="198"/>
    </row>
    <row r="37" spans="2:44" s="81" customFormat="1" ht="14.65" hidden="1" customHeight="1">
      <c r="B37" s="338"/>
      <c r="C37" s="223"/>
      <c r="D37" s="223"/>
      <c r="E37" s="595">
        <v>15</v>
      </c>
      <c r="F37" s="3" cm="1">
        <f t="array" aca="1" ref="F37" ca="1">OFFSET(E37,-1,1)</f>
        <v>0</v>
      </c>
      <c r="G37" s="396"/>
      <c r="H37" s="396" t="str">
        <f>H35&amp;"_2"</f>
        <v>l3_2</v>
      </c>
      <c r="I37" s="396" cm="1">
        <f t="array" ref="I37">I36</f>
        <v>0</v>
      </c>
      <c r="J37" s="223"/>
      <c r="K37" s="376"/>
      <c r="L37" s="376"/>
      <c r="M37" s="223"/>
      <c r="N37" s="223"/>
      <c r="O37" s="223"/>
      <c r="P37" s="223"/>
      <c r="Q37" s="223"/>
      <c r="R37" s="223"/>
      <c r="S37" s="223"/>
      <c r="T37" s="365" t="b" cm="1">
        <f t="array" aca="1" ref="T37" ca="1">T36</f>
        <v>0</v>
      </c>
      <c r="U37" s="223"/>
      <c r="V37" s="223"/>
      <c r="W37" s="223"/>
      <c r="X37" s="1150"/>
      <c r="Y37" s="1150"/>
      <c r="Z37" s="1151"/>
      <c r="AA37" s="1146"/>
      <c r="AB37" s="511" t="str">
        <f>AB35&amp;".2"</f>
        <v>3.0.2</v>
      </c>
      <c r="AC37" s="153" t="s">
        <v>1165</v>
      </c>
      <c r="AD37" s="28" t="s">
        <v>1166</v>
      </c>
      <c r="AE37" s="28"/>
      <c r="AF37" s="28"/>
      <c r="AG37" s="28"/>
      <c r="AH37" s="28"/>
      <c r="AI37" s="790"/>
      <c r="AJ37" s="790"/>
      <c r="AK37" s="832"/>
      <c r="AN37" s="687" t="s">
        <v>1167</v>
      </c>
      <c r="AO37" s="687" t="s">
        <v>1174</v>
      </c>
      <c r="AP37" s="687" cm="1">
        <f t="array" ref="AP37">AP36</f>
        <v>0</v>
      </c>
      <c r="AQ37" s="198"/>
      <c r="AR37" s="198"/>
    </row>
    <row r="38" spans="2:44" s="81" customFormat="1" ht="14.65" hidden="1" customHeight="1">
      <c r="B38" s="338"/>
      <c r="C38" s="223"/>
      <c r="D38" s="223"/>
      <c r="E38" s="595">
        <v>15</v>
      </c>
      <c r="F38" s="3" cm="1">
        <f t="array" aca="1" ref="F38" ca="1">OFFSET(E38,-1,1)</f>
        <v>0</v>
      </c>
      <c r="G38" s="280"/>
      <c r="H38" s="396"/>
      <c r="I38" s="85" t="str">
        <f>"!=='не определено' &amp;&amp; row.l3 !== null"</f>
        <v>!=='не определено' &amp;&amp; row.l3 !== null</v>
      </c>
      <c r="J38" s="223"/>
      <c r="K38" s="376"/>
      <c r="L38" s="376"/>
      <c r="M38" s="223"/>
      <c r="N38" s="223"/>
      <c r="O38" s="223"/>
      <c r="P38" s="223"/>
      <c r="Q38" s="223"/>
      <c r="R38" s="223"/>
      <c r="S38" s="223"/>
      <c r="T38" s="365" t="b">
        <f ca="1">F38&gt;0</f>
        <v>0</v>
      </c>
      <c r="U38" s="223"/>
      <c r="V38" s="223"/>
      <c r="W38" s="528" t="s">
        <v>884</v>
      </c>
      <c r="X38" s="1150"/>
      <c r="Y38" s="598"/>
      <c r="Z38" s="1151"/>
      <c r="AA38" s="223"/>
      <c r="AB38" s="599"/>
      <c r="AC38" s="191" t="s">
        <v>177</v>
      </c>
      <c r="AD38" s="557"/>
      <c r="AE38" s="557"/>
      <c r="AF38" s="557"/>
      <c r="AG38" s="557"/>
      <c r="AH38" s="557"/>
      <c r="AI38" s="557"/>
      <c r="AJ38" s="557"/>
      <c r="AK38" s="558"/>
      <c r="AN38" s="687"/>
      <c r="AO38" s="687"/>
      <c r="AP38" s="687"/>
      <c r="AQ38" s="198" t="s">
        <v>1174</v>
      </c>
      <c r="AR38" s="198"/>
    </row>
    <row r="39" spans="2:44" s="81" customFormat="1" ht="21.95" hidden="1" customHeight="1">
      <c r="B39" s="338"/>
      <c r="C39" s="223"/>
      <c r="D39" s="223"/>
      <c r="E39" s="595">
        <v>22.5</v>
      </c>
      <c r="F39" s="3" cm="1">
        <f t="array" aca="1" ref="F39" ca="1">OFFSET(E39,-1,1)</f>
        <v>0</v>
      </c>
      <c r="G39" s="280" t="s">
        <v>1176</v>
      </c>
      <c r="H39" s="396" t="s">
        <v>331</v>
      </c>
      <c r="I39" s="396"/>
      <c r="J39" s="223"/>
      <c r="K39" s="376" t="str">
        <f ca="1">F39&amp;"4komm"</f>
        <v>04komm</v>
      </c>
      <c r="L39" s="616" cm="1">
        <f t="array" ref="L39">AK39</f>
        <v>0</v>
      </c>
      <c r="M39" s="223"/>
      <c r="N39" s="223"/>
      <c r="O39" s="223"/>
      <c r="P39" s="223"/>
      <c r="Q39" s="223"/>
      <c r="R39" s="223"/>
      <c r="S39" s="223"/>
      <c r="T39" s="365" t="b" cm="1">
        <f t="array" aca="1" ref="T39" ca="1">T38</f>
        <v>0</v>
      </c>
      <c r="U39" s="223"/>
      <c r="V39" s="223"/>
      <c r="W39" s="223"/>
      <c r="X39" s="1150"/>
      <c r="Y39" s="598"/>
      <c r="Z39" s="1151"/>
      <c r="AA39" s="223"/>
      <c r="AB39" s="511" t="s">
        <v>433</v>
      </c>
      <c r="AC39" s="259" t="s">
        <v>1177</v>
      </c>
      <c r="AD39" s="28" t="s">
        <v>804</v>
      </c>
      <c r="AE39" s="790">
        <f ca="1">AE34*SUMIFS(INDEX(Сценарии!$AE$25:$BF$109,,MATCH(AE$13,Сценарии!$AE$8:$BF$8,0)),Сценарии!$F$25:$F$109,$F39,Сценарии!$G$25:$G$109,"СВФОТ")/100</f>
        <v>0</v>
      </c>
      <c r="AF39" s="790">
        <f ca="1">AF34*SUMIFS(INDEX(Сценарии!$AE$25:$BF$109,,MATCH(AF$13,Сценарии!$AE$8:$BF$8,0)),Сценарии!$F$25:$F$109,$F39,Сценарии!$G$25:$G$109,"СВФОТ")/100</f>
        <v>0</v>
      </c>
      <c r="AG39" s="790">
        <f ca="1">AG34*SUMIFS(INDEX(Сценарии!$AE$25:$BF$109,,MATCH(AG$13,Сценарии!$AE$8:$BF$8,0)),Сценарии!$F$25:$F$109,$F39,Сценарии!$G$25:$G$109,"СВФОТ")/100</f>
        <v>0</v>
      </c>
      <c r="AH39" s="790">
        <f ca="1">AH34*SUMIFS(INDEX(Сценарии!$AE$25:$BF$109,,MATCH(AH$13,Сценарии!$AE$8:$BF$8,0)),Сценарии!$F$25:$F$109,$F39,Сценарии!$G$25:$G$109,"СВФОТ")/100</f>
        <v>0</v>
      </c>
      <c r="AI39" s="790">
        <f ca="1">AI34*SUMIFS(INDEX(Сценарии!$AE$25:$BF$109,,MATCH(AI$13,Сценарии!$AE$8:$BF$8,0)),Сценарии!$F$25:$F$109,$F39,Сценарии!$G$25:$G$109,"СВФОТ")/100</f>
        <v>0</v>
      </c>
      <c r="AJ39" s="790">
        <f ca="1">AJ34*SUMIFS(INDEX(Сценарии!$AE$25:$BF$109,,MATCH(AJ$13,Сценарии!$AE$8:$BF$8,0)),Сценарии!$F$25:$F$109,$F39,Сценарии!$G$25:$G$109,"СВФОТ")/100</f>
        <v>0</v>
      </c>
      <c r="AK39" s="832"/>
      <c r="AN39" s="687" t="s">
        <v>1178</v>
      </c>
      <c r="AO39" s="687"/>
      <c r="AP39" s="687"/>
      <c r="AQ39" s="198"/>
      <c r="AR39" s="198"/>
    </row>
    <row r="40" spans="2:44" s="81" customFormat="1" ht="21.95" hidden="1" customHeight="1">
      <c r="B40" s="338"/>
      <c r="C40" s="223"/>
      <c r="D40" s="223"/>
      <c r="E40" s="595">
        <v>22.5</v>
      </c>
      <c r="F40" s="3" cm="1">
        <f t="array" aca="1" ref="F40" ca="1">OFFSET(E40,-1,1)</f>
        <v>0</v>
      </c>
      <c r="G40" s="280" t="s">
        <v>1179</v>
      </c>
      <c r="H40" s="396" t="s">
        <v>330</v>
      </c>
      <c r="I40" s="396"/>
      <c r="J40" s="223"/>
      <c r="K40" s="376" t="str">
        <f ca="1">F40&amp;"5komm"</f>
        <v>05komm</v>
      </c>
      <c r="L40" s="616" cm="1">
        <f t="array" ref="L40">AK40</f>
        <v>0</v>
      </c>
      <c r="M40" s="223"/>
      <c r="N40" s="223"/>
      <c r="O40" s="223"/>
      <c r="P40" s="223"/>
      <c r="Q40" s="223"/>
      <c r="R40" s="223"/>
      <c r="S40" s="223"/>
      <c r="T40" s="365" t="b" cm="1">
        <f t="array" aca="1" ref="T40" ca="1">T39</f>
        <v>0</v>
      </c>
      <c r="U40" s="223"/>
      <c r="V40" s="223"/>
      <c r="W40" s="223"/>
      <c r="X40" s="1150"/>
      <c r="Y40" s="598"/>
      <c r="Z40" s="1151"/>
      <c r="AA40" s="223"/>
      <c r="AB40" s="511" t="s">
        <v>444</v>
      </c>
      <c r="AC40" s="259" t="s">
        <v>1180</v>
      </c>
      <c r="AD40" s="28" t="s">
        <v>804</v>
      </c>
      <c r="AE40" s="790"/>
      <c r="AF40" s="790"/>
      <c r="AG40" s="790"/>
      <c r="AH40" s="790"/>
      <c r="AI40" s="145">
        <f>SUMIFS(AI41:AI44,$AD41:$AD44,$AD40)</f>
        <v>0</v>
      </c>
      <c r="AJ40" s="145">
        <f>SUMIFS(AJ41:AJ44,$AD41:$AD44,$AD40)</f>
        <v>0</v>
      </c>
      <c r="AK40" s="832"/>
      <c r="AN40" s="687" t="s">
        <v>1181</v>
      </c>
      <c r="AO40" s="687"/>
      <c r="AP40" s="687"/>
      <c r="AQ40" s="198"/>
      <c r="AR40" s="198"/>
    </row>
    <row r="41" spans="2:44" s="81" customFormat="1" ht="18.2" hidden="1" customHeight="1">
      <c r="B41" s="338"/>
      <c r="C41" s="223"/>
      <c r="D41" s="223"/>
      <c r="E41" s="595">
        <v>18.75</v>
      </c>
      <c r="F41" s="3" cm="1">
        <f t="array" aca="1" ref="F41" ca="1">OFFSET(E41,-1,1)</f>
        <v>0</v>
      </c>
      <c r="G41" s="396"/>
      <c r="H41" s="396" t="s">
        <v>330</v>
      </c>
      <c r="I41" s="396" cm="1">
        <f t="array" ref="I41">AC41</f>
        <v>0</v>
      </c>
      <c r="J41" s="223"/>
      <c r="K41" s="376"/>
      <c r="L41" s="376"/>
      <c r="M41" s="223"/>
      <c r="N41" s="223"/>
      <c r="O41" s="223"/>
      <c r="P41" s="223"/>
      <c r="Q41" s="223"/>
      <c r="R41" s="223"/>
      <c r="S41" s="223"/>
      <c r="T41" s="365" t="b">
        <f ca="1">AND(F41&gt;0,Y41&gt;0)</f>
        <v>0</v>
      </c>
      <c r="U41" s="223"/>
      <c r="V41" s="223"/>
      <c r="W41" s="223" t="s">
        <v>173</v>
      </c>
      <c r="X41" s="1150"/>
      <c r="Y41" s="1150">
        <v>0</v>
      </c>
      <c r="Z41" s="1151"/>
      <c r="AA41" s="1146" t="s">
        <v>174</v>
      </c>
      <c r="AB41" s="26" t="str">
        <f>"5."&amp;Y41</f>
        <v>5.0</v>
      </c>
      <c r="AC41" s="789"/>
      <c r="AD41" s="28" t="s">
        <v>804</v>
      </c>
      <c r="AE41" s="28"/>
      <c r="AF41" s="28"/>
      <c r="AG41" s="28"/>
      <c r="AH41" s="28"/>
      <c r="AI41" s="787">
        <f>AI42*AI43*12/1000</f>
        <v>0</v>
      </c>
      <c r="AJ41" s="787">
        <f>AJ42*AJ43*12/1000</f>
        <v>0</v>
      </c>
      <c r="AK41" s="832"/>
      <c r="AN41" s="687" t="s">
        <v>1159</v>
      </c>
      <c r="AO41" s="687" t="s">
        <v>1182</v>
      </c>
      <c r="AP41" s="687" cm="1">
        <f t="array" ref="AP41">AC41</f>
        <v>0</v>
      </c>
      <c r="AQ41" s="198"/>
      <c r="AR41" s="198" t="b">
        <v>1</v>
      </c>
    </row>
    <row r="42" spans="2:44" s="81" customFormat="1" ht="14.65" hidden="1" customHeight="1">
      <c r="B42" s="338"/>
      <c r="C42" s="223"/>
      <c r="D42" s="223"/>
      <c r="E42" s="595">
        <v>15</v>
      </c>
      <c r="F42" s="3" cm="1">
        <f t="array" aca="1" ref="F42" ca="1">OFFSET(E42,-1,1)</f>
        <v>0</v>
      </c>
      <c r="G42" s="396"/>
      <c r="H42" s="396" t="str">
        <f>H41&amp;"_1"</f>
        <v>l5_1</v>
      </c>
      <c r="I42" s="396" cm="1">
        <f t="array" ref="I42">I41</f>
        <v>0</v>
      </c>
      <c r="J42" s="223"/>
      <c r="K42" s="376"/>
      <c r="L42" s="376"/>
      <c r="M42" s="223"/>
      <c r="N42" s="223"/>
      <c r="O42" s="223"/>
      <c r="P42" s="223"/>
      <c r="Q42" s="223"/>
      <c r="R42" s="223"/>
      <c r="S42" s="223"/>
      <c r="T42" s="365" t="b" cm="1">
        <f t="array" aca="1" ref="T42" ca="1">T41</f>
        <v>0</v>
      </c>
      <c r="U42" s="223"/>
      <c r="V42" s="223"/>
      <c r="W42" s="223"/>
      <c r="X42" s="1150"/>
      <c r="Y42" s="1150"/>
      <c r="Z42" s="1151"/>
      <c r="AA42" s="1146"/>
      <c r="AB42" s="511" t="str">
        <f>AB41&amp;".1"</f>
        <v>5.0.1</v>
      </c>
      <c r="AC42" s="153" t="s">
        <v>1162</v>
      </c>
      <c r="AD42" s="28" t="s">
        <v>1163</v>
      </c>
      <c r="AE42" s="28"/>
      <c r="AF42" s="28"/>
      <c r="AG42" s="28"/>
      <c r="AH42" s="28"/>
      <c r="AI42" s="790"/>
      <c r="AJ42" s="790"/>
      <c r="AK42" s="832"/>
      <c r="AN42" s="687" t="s">
        <v>1164</v>
      </c>
      <c r="AO42" s="687" t="s">
        <v>1182</v>
      </c>
      <c r="AP42" s="687" cm="1">
        <f t="array" ref="AP42">AP41</f>
        <v>0</v>
      </c>
      <c r="AQ42" s="198"/>
      <c r="AR42" s="198"/>
    </row>
    <row r="43" spans="2:44" s="81" customFormat="1" ht="14.65" hidden="1" customHeight="1">
      <c r="B43" s="338"/>
      <c r="C43" s="223"/>
      <c r="D43" s="223"/>
      <c r="E43" s="595">
        <v>15</v>
      </c>
      <c r="F43" s="3" cm="1">
        <f t="array" aca="1" ref="F43" ca="1">OFFSET(E43,-1,1)</f>
        <v>0</v>
      </c>
      <c r="G43" s="396"/>
      <c r="H43" s="396" t="str">
        <f>H41&amp;"_2"</f>
        <v>l5_2</v>
      </c>
      <c r="I43" s="396" cm="1">
        <f t="array" ref="I43">I42</f>
        <v>0</v>
      </c>
      <c r="J43" s="223"/>
      <c r="K43" s="376"/>
      <c r="L43" s="376"/>
      <c r="M43" s="223"/>
      <c r="N43" s="223"/>
      <c r="O43" s="223"/>
      <c r="P43" s="223"/>
      <c r="Q43" s="223"/>
      <c r="R43" s="223"/>
      <c r="S43" s="223"/>
      <c r="T43" s="365" t="b" cm="1">
        <f t="array" aca="1" ref="T43" ca="1">T42</f>
        <v>0</v>
      </c>
      <c r="U43" s="223"/>
      <c r="V43" s="223"/>
      <c r="W43" s="223"/>
      <c r="X43" s="1150"/>
      <c r="Y43" s="1150"/>
      <c r="Z43" s="1151"/>
      <c r="AA43" s="1146"/>
      <c r="AB43" s="511" t="str">
        <f>AB41&amp;".2"</f>
        <v>5.0.2</v>
      </c>
      <c r="AC43" s="153" t="s">
        <v>1165</v>
      </c>
      <c r="AD43" s="28" t="s">
        <v>1166</v>
      </c>
      <c r="AE43" s="28"/>
      <c r="AF43" s="28"/>
      <c r="AG43" s="28"/>
      <c r="AH43" s="28"/>
      <c r="AI43" s="790"/>
      <c r="AJ43" s="790"/>
      <c r="AK43" s="832"/>
      <c r="AN43" s="687" t="s">
        <v>1167</v>
      </c>
      <c r="AO43" s="687" t="s">
        <v>1182</v>
      </c>
      <c r="AP43" s="687" cm="1">
        <f t="array" ref="AP43">AP42</f>
        <v>0</v>
      </c>
      <c r="AQ43" s="198"/>
      <c r="AR43" s="198"/>
    </row>
    <row r="44" spans="2:44" s="81" customFormat="1" ht="14.65" hidden="1" customHeight="1">
      <c r="B44" s="338"/>
      <c r="C44" s="223"/>
      <c r="D44" s="223"/>
      <c r="E44" s="595">
        <v>15</v>
      </c>
      <c r="F44" s="3" cm="1">
        <f t="array" aca="1" ref="F44" ca="1">OFFSET(E44,-1,1)</f>
        <v>0</v>
      </c>
      <c r="G44" s="280"/>
      <c r="H44" s="396"/>
      <c r="I44" s="85" t="str">
        <f>"!=='не определено' &amp;&amp; row.l5 !== null"</f>
        <v>!=='не определено' &amp;&amp; row.l5 !== null</v>
      </c>
      <c r="J44" s="223"/>
      <c r="K44" s="376"/>
      <c r="L44" s="376"/>
      <c r="M44" s="223"/>
      <c r="N44" s="223"/>
      <c r="O44" s="223"/>
      <c r="P44" s="223"/>
      <c r="Q44" s="223"/>
      <c r="R44" s="223"/>
      <c r="S44" s="223"/>
      <c r="T44" s="365" t="b">
        <f ca="1">F44&gt;0</f>
        <v>0</v>
      </c>
      <c r="U44" s="223"/>
      <c r="V44" s="223"/>
      <c r="W44" s="528" t="s">
        <v>1183</v>
      </c>
      <c r="X44" s="1150"/>
      <c r="Y44" s="598"/>
      <c r="Z44" s="1151"/>
      <c r="AA44" s="223"/>
      <c r="AB44" s="599"/>
      <c r="AC44" s="191" t="s">
        <v>177</v>
      </c>
      <c r="AD44" s="557"/>
      <c r="AE44" s="557"/>
      <c r="AF44" s="557"/>
      <c r="AG44" s="557"/>
      <c r="AH44" s="557"/>
      <c r="AI44" s="557"/>
      <c r="AJ44" s="557"/>
      <c r="AK44" s="558"/>
      <c r="AN44" s="687"/>
      <c r="AO44" s="687"/>
      <c r="AP44" s="687"/>
      <c r="AQ44" s="198" t="s">
        <v>1182</v>
      </c>
      <c r="AR44" s="198"/>
    </row>
    <row r="45" spans="2:44" s="81" customFormat="1" ht="21.95" hidden="1" customHeight="1">
      <c r="B45" s="338"/>
      <c r="C45" s="223"/>
      <c r="D45" s="223"/>
      <c r="E45" s="595">
        <v>22.5</v>
      </c>
      <c r="F45" s="3" cm="1">
        <f t="array" aca="1" ref="F45" ca="1">OFFSET(E45,-1,1)</f>
        <v>0</v>
      </c>
      <c r="G45" s="280" t="s">
        <v>1184</v>
      </c>
      <c r="H45" s="396" t="s">
        <v>511</v>
      </c>
      <c r="I45" s="396"/>
      <c r="J45" s="223"/>
      <c r="K45" s="376" t="str">
        <f ca="1">F45&amp;"6komm"</f>
        <v>06komm</v>
      </c>
      <c r="L45" s="376" cm="1">
        <f t="array" ref="L45">AK45</f>
        <v>0</v>
      </c>
      <c r="M45" s="223"/>
      <c r="N45" s="223"/>
      <c r="O45" s="223"/>
      <c r="P45" s="223"/>
      <c r="Q45" s="223"/>
      <c r="R45" s="223"/>
      <c r="S45" s="223"/>
      <c r="T45" s="365" t="b" cm="1">
        <f t="array" aca="1" ref="T45" ca="1">T44</f>
        <v>0</v>
      </c>
      <c r="U45" s="223"/>
      <c r="V45" s="223"/>
      <c r="W45" s="223"/>
      <c r="X45" s="1150"/>
      <c r="Y45" s="598"/>
      <c r="Z45" s="1151"/>
      <c r="AA45" s="223"/>
      <c r="AB45" s="511" t="s">
        <v>447</v>
      </c>
      <c r="AC45" s="259" t="s">
        <v>1185</v>
      </c>
      <c r="AD45" s="28" t="s">
        <v>804</v>
      </c>
      <c r="AE45" s="790">
        <f ca="1">AE40*SUMIFS(INDEX(Сценарии!$AE$25:$BF$109,,MATCH(AE$13,Сценарии!$AE$8:$BF$8,0)),Сценарии!$F$25:$F$109,$F45,Сценарии!$G$25:$G$109,"СВФОТ")/100</f>
        <v>0</v>
      </c>
      <c r="AF45" s="790">
        <f ca="1">AF40*SUMIFS(INDEX(Сценарии!$AE$25:$BF$109,,MATCH(AF$13,Сценарии!$AE$8:$BF$8,0)),Сценарии!$F$25:$F$109,$F45,Сценарии!$G$25:$G$109,"СВФОТ")/100</f>
        <v>0</v>
      </c>
      <c r="AG45" s="790">
        <f ca="1">AG40*SUMIFS(INDEX(Сценарии!$AE$25:$BF$109,,MATCH(AG$13,Сценарии!$AE$8:$BF$8,0)),Сценарии!$F$25:$F$109,$F45,Сценарии!$G$25:$G$109,"СВФОТ")/100</f>
        <v>0</v>
      </c>
      <c r="AH45" s="790">
        <f ca="1">AH40*SUMIFS(INDEX(Сценарии!$AE$25:$BF$109,,MATCH(AH$13,Сценарии!$AE$8:$BF$8,0)),Сценарии!$F$25:$F$109,$F45,Сценарии!$G$25:$G$109,"СВФОТ")/100</f>
        <v>0</v>
      </c>
      <c r="AI45" s="790">
        <f ca="1">AI40*SUMIFS(INDEX(Сценарии!$AE$25:$BF$109,,MATCH(AI$13,Сценарии!$AE$8:$BF$8,0)),Сценарии!$F$25:$F$109,$F45,Сценарии!$G$25:$G$109,"СВФОТ")/100</f>
        <v>0</v>
      </c>
      <c r="AJ45" s="790">
        <f ca="1">AJ40*SUMIFS(INDEX(Сценарии!$AE$25:$BF$109,,MATCH(AJ$13,Сценарии!$AE$8:$BF$8,0)),Сценарии!$F$25:$F$109,$F45,Сценарии!$G$25:$G$109,"СВФОТ")/100</f>
        <v>0</v>
      </c>
      <c r="AK45" s="928"/>
      <c r="AN45" s="687" t="s">
        <v>1186</v>
      </c>
      <c r="AO45" s="687"/>
      <c r="AP45" s="687"/>
      <c r="AQ45" s="198"/>
      <c r="AR45" s="198"/>
    </row>
    <row r="46" spans="2:44" s="81" customFormat="1" ht="14.65" hidden="1" customHeight="1">
      <c r="B46" s="338"/>
      <c r="C46" s="223"/>
      <c r="D46" s="223"/>
      <c r="E46" s="595">
        <v>15</v>
      </c>
      <c r="F46" s="3" cm="1">
        <f t="array" aca="1" ref="F46" ca="1">OFFSET(E46,-1,1)</f>
        <v>0</v>
      </c>
      <c r="G46" s="280" t="s">
        <v>1187</v>
      </c>
      <c r="H46" s="396" t="s">
        <v>514</v>
      </c>
      <c r="I46" s="396"/>
      <c r="J46" s="223"/>
      <c r="K46" s="376" t="str">
        <f ca="1">F46&amp;"7komm"</f>
        <v>07komm</v>
      </c>
      <c r="L46" s="376" cm="1">
        <f t="array" ref="L46">AK46</f>
        <v>0</v>
      </c>
      <c r="M46" s="223"/>
      <c r="N46" s="223"/>
      <c r="O46" s="223"/>
      <c r="P46" s="223"/>
      <c r="Q46" s="223"/>
      <c r="R46" s="223"/>
      <c r="S46" s="223"/>
      <c r="T46" s="365" t="b" cm="1">
        <f t="array" aca="1" ref="T46" ca="1">T45</f>
        <v>0</v>
      </c>
      <c r="U46" s="223"/>
      <c r="V46" s="223"/>
      <c r="W46" s="223"/>
      <c r="X46" s="1150"/>
      <c r="Y46" s="598"/>
      <c r="Z46" s="1151"/>
      <c r="AA46" s="223"/>
      <c r="AB46" s="511" t="s">
        <v>578</v>
      </c>
      <c r="AC46" s="259" t="s">
        <v>1188</v>
      </c>
      <c r="AD46" s="28" t="s">
        <v>804</v>
      </c>
      <c r="AE46" s="790"/>
      <c r="AF46" s="790"/>
      <c r="AG46" s="790"/>
      <c r="AH46" s="790"/>
      <c r="AI46" s="145">
        <f>SUMIFS(AI47:AI50,$AD47:$AD50,$AD46)</f>
        <v>0</v>
      </c>
      <c r="AJ46" s="145">
        <f>SUMIFS(AJ47:AJ50,$AD47:$AD50,$AD46)</f>
        <v>0</v>
      </c>
      <c r="AK46" s="928"/>
      <c r="AN46" s="687" t="s">
        <v>1189</v>
      </c>
      <c r="AO46" s="687"/>
      <c r="AP46" s="687"/>
      <c r="AQ46" s="198"/>
      <c r="AR46" s="198"/>
    </row>
    <row r="47" spans="2:44" s="81" customFormat="1" ht="18.2" hidden="1" customHeight="1">
      <c r="C47" s="223"/>
      <c r="D47" s="223"/>
      <c r="E47" s="595">
        <v>18.75</v>
      </c>
      <c r="F47" s="3" cm="1">
        <f t="array" aca="1" ref="F47" ca="1">OFFSET(E47,-1,1)</f>
        <v>0</v>
      </c>
      <c r="G47" s="396"/>
      <c r="H47" s="396" t="s">
        <v>514</v>
      </c>
      <c r="I47" s="396" cm="1">
        <f t="array" ref="I47">AC47</f>
        <v>0</v>
      </c>
      <c r="J47" s="223"/>
      <c r="K47" s="376"/>
      <c r="L47" s="376"/>
      <c r="M47" s="223"/>
      <c r="N47" s="223"/>
      <c r="O47" s="223"/>
      <c r="P47" s="223"/>
      <c r="Q47" s="223"/>
      <c r="R47" s="223"/>
      <c r="S47" s="223"/>
      <c r="T47" s="365" t="b">
        <f ca="1">AND(F47&gt;0,Y47&gt;0)</f>
        <v>0</v>
      </c>
      <c r="U47" s="223"/>
      <c r="V47" s="223"/>
      <c r="W47" s="223" t="s">
        <v>173</v>
      </c>
      <c r="X47" s="1150"/>
      <c r="Y47" s="1150">
        <v>0</v>
      </c>
      <c r="Z47" s="1151"/>
      <c r="AA47" s="1146" t="s">
        <v>174</v>
      </c>
      <c r="AB47" s="26" t="str">
        <f>"7."&amp;Y47</f>
        <v>7.0</v>
      </c>
      <c r="AC47" s="789"/>
      <c r="AD47" s="28" t="s">
        <v>804</v>
      </c>
      <c r="AE47" s="28"/>
      <c r="AF47" s="28"/>
      <c r="AG47" s="28"/>
      <c r="AH47" s="28"/>
      <c r="AI47" s="787">
        <f>AI48*AI49*12/1000</f>
        <v>0</v>
      </c>
      <c r="AJ47" s="787">
        <f>AJ48*AJ49*12/1000</f>
        <v>0</v>
      </c>
      <c r="AK47" s="832"/>
      <c r="AN47" s="687" t="s">
        <v>1159</v>
      </c>
      <c r="AO47" s="687" t="s">
        <v>1190</v>
      </c>
      <c r="AP47" s="687" cm="1">
        <f t="array" ref="AP47">AC47</f>
        <v>0</v>
      </c>
      <c r="AQ47" s="198"/>
      <c r="AR47" s="198" t="b">
        <v>1</v>
      </c>
    </row>
    <row r="48" spans="2:44" s="81" customFormat="1" ht="14.65" hidden="1" customHeight="1">
      <c r="C48" s="223"/>
      <c r="D48" s="223"/>
      <c r="E48" s="595">
        <v>15</v>
      </c>
      <c r="F48" s="3" cm="1">
        <f t="array" aca="1" ref="F48" ca="1">OFFSET(E48,-1,1)</f>
        <v>0</v>
      </c>
      <c r="G48" s="396"/>
      <c r="H48" s="396" t="str">
        <f>H47&amp;"_1"</f>
        <v>l7_1</v>
      </c>
      <c r="I48" s="396" cm="1">
        <f t="array" ref="I48">I47</f>
        <v>0</v>
      </c>
      <c r="J48" s="223"/>
      <c r="K48" s="376"/>
      <c r="L48" s="376"/>
      <c r="M48" s="223"/>
      <c r="N48" s="223"/>
      <c r="O48" s="223"/>
      <c r="P48" s="223"/>
      <c r="Q48" s="223"/>
      <c r="R48" s="223"/>
      <c r="S48" s="223"/>
      <c r="T48" s="365" t="b" cm="1">
        <f t="array" aca="1" ref="T48" ca="1">T47</f>
        <v>0</v>
      </c>
      <c r="U48" s="223"/>
      <c r="V48" s="223"/>
      <c r="W48" s="223"/>
      <c r="X48" s="1150"/>
      <c r="Y48" s="1150"/>
      <c r="Z48" s="1151"/>
      <c r="AA48" s="1146"/>
      <c r="AB48" s="511" t="str">
        <f>AB47&amp;".1"</f>
        <v>7.0.1</v>
      </c>
      <c r="AC48" s="153" t="s">
        <v>1162</v>
      </c>
      <c r="AD48" s="28" t="s">
        <v>1163</v>
      </c>
      <c r="AE48" s="28"/>
      <c r="AF48" s="28"/>
      <c r="AG48" s="28"/>
      <c r="AH48" s="28"/>
      <c r="AI48" s="790"/>
      <c r="AJ48" s="790"/>
      <c r="AK48" s="832"/>
      <c r="AN48" s="687" t="s">
        <v>1164</v>
      </c>
      <c r="AO48" s="687" t="s">
        <v>1190</v>
      </c>
      <c r="AP48" s="687" cm="1">
        <f t="array" ref="AP48">AP47</f>
        <v>0</v>
      </c>
      <c r="AQ48" s="198"/>
      <c r="AR48" s="198"/>
    </row>
    <row r="49" spans="1:44" s="81" customFormat="1" ht="14.65" hidden="1" customHeight="1">
      <c r="C49" s="223"/>
      <c r="D49" s="223"/>
      <c r="E49" s="595">
        <v>15</v>
      </c>
      <c r="F49" s="3" cm="1">
        <f t="array" aca="1" ref="F49" ca="1">OFFSET(E49,-1,1)</f>
        <v>0</v>
      </c>
      <c r="G49" s="396"/>
      <c r="H49" s="396" t="str">
        <f>H47&amp;"_2"</f>
        <v>l7_2</v>
      </c>
      <c r="I49" s="396" cm="1">
        <f t="array" ref="I49">I48</f>
        <v>0</v>
      </c>
      <c r="J49" s="223"/>
      <c r="K49" s="376"/>
      <c r="L49" s="376"/>
      <c r="M49" s="223"/>
      <c r="N49" s="223"/>
      <c r="O49" s="223"/>
      <c r="P49" s="223"/>
      <c r="Q49" s="223"/>
      <c r="R49" s="223"/>
      <c r="S49" s="223"/>
      <c r="T49" s="365" t="b" cm="1">
        <f t="array" aca="1" ref="T49" ca="1">T48</f>
        <v>0</v>
      </c>
      <c r="U49" s="223"/>
      <c r="V49" s="223"/>
      <c r="W49" s="223"/>
      <c r="X49" s="1150"/>
      <c r="Y49" s="1150"/>
      <c r="Z49" s="1151"/>
      <c r="AA49" s="1146"/>
      <c r="AB49" s="511" t="str">
        <f>AB47&amp;".2"</f>
        <v>7.0.2</v>
      </c>
      <c r="AC49" s="153" t="s">
        <v>1165</v>
      </c>
      <c r="AD49" s="28" t="s">
        <v>1166</v>
      </c>
      <c r="AE49" s="28"/>
      <c r="AF49" s="28"/>
      <c r="AG49" s="28"/>
      <c r="AH49" s="28"/>
      <c r="AI49" s="790"/>
      <c r="AJ49" s="790"/>
      <c r="AK49" s="832"/>
      <c r="AN49" s="687" t="s">
        <v>1167</v>
      </c>
      <c r="AO49" s="687" t="s">
        <v>1190</v>
      </c>
      <c r="AP49" s="687" cm="1">
        <f t="array" ref="AP49">AP48</f>
        <v>0</v>
      </c>
      <c r="AQ49" s="198"/>
      <c r="AR49" s="198"/>
    </row>
    <row r="50" spans="1:44" s="81" customFormat="1" ht="14.65" hidden="1" customHeight="1">
      <c r="B50" s="338"/>
      <c r="C50" s="223"/>
      <c r="D50" s="223"/>
      <c r="E50" s="595">
        <v>15</v>
      </c>
      <c r="F50" s="3" cm="1">
        <f t="array" aca="1" ref="F50" ca="1">OFFSET(E50,-1,1)</f>
        <v>0</v>
      </c>
      <c r="G50" s="280"/>
      <c r="H50" s="396"/>
      <c r="I50" s="85" t="str">
        <f>"!=='не определено' &amp;&amp; row.l7 !== null"</f>
        <v>!=='не определено' &amp;&amp; row.l7 !== null</v>
      </c>
      <c r="J50" s="223"/>
      <c r="K50" s="376"/>
      <c r="L50" s="376"/>
      <c r="M50" s="223"/>
      <c r="N50" s="223"/>
      <c r="O50" s="223"/>
      <c r="P50" s="223"/>
      <c r="Q50" s="223"/>
      <c r="R50" s="223"/>
      <c r="S50" s="223"/>
      <c r="T50" s="365" t="b">
        <f ca="1">F50&gt;0</f>
        <v>0</v>
      </c>
      <c r="U50" s="223"/>
      <c r="V50" s="223"/>
      <c r="W50" s="528" t="s">
        <v>1191</v>
      </c>
      <c r="X50" s="1150"/>
      <c r="Y50" s="223"/>
      <c r="Z50" s="1151"/>
      <c r="AA50" s="223"/>
      <c r="AB50" s="599"/>
      <c r="AC50" s="191" t="s">
        <v>177</v>
      </c>
      <c r="AD50" s="557"/>
      <c r="AE50" s="557"/>
      <c r="AF50" s="557"/>
      <c r="AG50" s="557"/>
      <c r="AH50" s="557"/>
      <c r="AI50" s="557"/>
      <c r="AJ50" s="557"/>
      <c r="AK50" s="558"/>
      <c r="AN50" s="687"/>
      <c r="AO50" s="687"/>
      <c r="AP50" s="687"/>
      <c r="AQ50" s="198" t="s">
        <v>1190</v>
      </c>
      <c r="AR50" s="198"/>
    </row>
    <row r="51" spans="1:44" s="81" customFormat="1" ht="21.95" hidden="1" customHeight="1">
      <c r="B51" s="338"/>
      <c r="C51" s="223"/>
      <c r="D51" s="223"/>
      <c r="E51" s="595">
        <v>22.5</v>
      </c>
      <c r="F51" s="3" cm="1">
        <f t="array" aca="1" ref="F51" ca="1">OFFSET(E51,-1,1)</f>
        <v>0</v>
      </c>
      <c r="G51" s="280" t="s">
        <v>1192</v>
      </c>
      <c r="H51" s="396" t="s">
        <v>562</v>
      </c>
      <c r="I51" s="396"/>
      <c r="J51" s="223"/>
      <c r="K51" s="376" t="str">
        <f ca="1">F51&amp;"8komm"</f>
        <v>08komm</v>
      </c>
      <c r="L51" s="616" cm="1">
        <f t="array" ref="L51">AK51</f>
        <v>0</v>
      </c>
      <c r="M51" s="223"/>
      <c r="N51" s="223"/>
      <c r="O51" s="223"/>
      <c r="P51" s="223"/>
      <c r="Q51" s="223"/>
      <c r="R51" s="223"/>
      <c r="S51" s="223"/>
      <c r="T51" s="365" t="b" cm="1">
        <f t="array" aca="1" ref="T51" ca="1">T50</f>
        <v>0</v>
      </c>
      <c r="U51" s="223"/>
      <c r="V51" s="223"/>
      <c r="W51" s="223"/>
      <c r="X51" s="1150"/>
      <c r="Y51" s="223"/>
      <c r="Z51" s="1151"/>
      <c r="AA51" s="223"/>
      <c r="AB51" s="511" t="s">
        <v>586</v>
      </c>
      <c r="AC51" s="259" t="s">
        <v>1193</v>
      </c>
      <c r="AD51" s="28" t="s">
        <v>804</v>
      </c>
      <c r="AE51" s="790">
        <f ca="1">AE46*SUMIFS(INDEX(Сценарии!$AE$25:$BF$109,,MATCH(AE$13,Сценарии!$AE$8:$BF$8,0)),Сценарии!$F$25:$F$109,$F51,Сценарии!$G$25:$G$109,"СВФОТ")/100</f>
        <v>0</v>
      </c>
      <c r="AF51" s="790">
        <f ca="1">AF46*SUMIFS(INDEX(Сценарии!$AE$25:$BF$109,,MATCH(AF$13,Сценарии!$AE$8:$BF$8,0)),Сценарии!$F$25:$F$109,$F51,Сценарии!$G$25:$G$109,"СВФОТ")/100</f>
        <v>0</v>
      </c>
      <c r="AG51" s="790">
        <f ca="1">AG46*SUMIFS(INDEX(Сценарии!$AE$25:$BF$109,,MATCH(AG$13,Сценарии!$AE$8:$BF$8,0)),Сценарии!$F$25:$F$109,$F51,Сценарии!$G$25:$G$109,"СВФОТ")/100</f>
        <v>0</v>
      </c>
      <c r="AH51" s="790">
        <f ca="1">AH46*SUMIFS(INDEX(Сценарии!$AE$25:$BF$109,,MATCH(AH$13,Сценарии!$AE$8:$BF$8,0)),Сценарии!$F$25:$F$109,$F51,Сценарии!$G$25:$G$109,"СВФОТ")/100</f>
        <v>0</v>
      </c>
      <c r="AI51" s="790">
        <f ca="1">AI46*SUMIFS(INDEX(Сценарии!$AE$25:$BF$109,,MATCH(AI$13,Сценарии!$AE$8:$BF$8,0)),Сценарии!$F$25:$F$109,$F51,Сценарии!$G$25:$G$109,"СВФОТ")/100</f>
        <v>0</v>
      </c>
      <c r="AJ51" s="790">
        <f ca="1">AJ46*SUMIFS(INDEX(Сценарии!$AE$25:$BF$109,,MATCH(AJ$13,Сценарии!$AE$8:$BF$8,0)),Сценарии!$F$25:$F$109,$F51,Сценарии!$G$25:$G$109,"СВФОТ")/100</f>
        <v>0</v>
      </c>
      <c r="AK51" s="832"/>
      <c r="AN51" s="687" t="s">
        <v>1194</v>
      </c>
      <c r="AO51" s="687"/>
      <c r="AP51" s="687"/>
      <c r="AQ51" s="198"/>
      <c r="AR51" s="198"/>
    </row>
    <row r="52" spans="1:44" s="338" customFormat="1" ht="14.25" customHeight="1">
      <c r="A52" s="81"/>
      <c r="C52" s="223"/>
      <c r="D52" s="223"/>
      <c r="E52" s="595">
        <v>15</v>
      </c>
      <c r="F52" s="78" t="str" cm="1">
        <f t="array" ref="F52">X52</f>
        <v>1</v>
      </c>
      <c r="G52" s="396" t="s">
        <v>61</v>
      </c>
      <c r="H52" s="396"/>
      <c r="I52" s="396"/>
      <c r="J52" s="223"/>
      <c r="K52" s="376"/>
      <c r="L52" s="376"/>
      <c r="M52" s="223"/>
      <c r="N52" s="223"/>
      <c r="O52" s="223"/>
      <c r="P52" s="223"/>
      <c r="Q52" s="223"/>
      <c r="R52" s="223"/>
      <c r="S52" s="223"/>
      <c r="T52" s="365" t="b">
        <f>X52&gt;0</f>
        <v>1</v>
      </c>
      <c r="U52" s="223"/>
      <c r="V52" s="223" t="str" cm="1">
        <f t="array" ref="V52">Покупка!$AB$95</f>
        <v>Тариф 1 (Водоснабжение) - тариф на питьевую воду (Доп. признак не требуется)</v>
      </c>
      <c r="W52" s="223"/>
      <c r="X52" s="1150" t="s">
        <v>275</v>
      </c>
      <c r="Y52" s="223"/>
      <c r="Z52" s="1151"/>
      <c r="AA52" s="223"/>
      <c r="AB52" s="174" t="str" cm="1">
        <f t="array" ref="AB52">Покупка!$AB$95</f>
        <v>Тариф 1 (Водоснабжение) - тариф на питьевую воду (Доп. признак не требуется)</v>
      </c>
      <c r="AC52" s="596"/>
      <c r="AD52" s="596"/>
      <c r="AE52" s="597">
        <f t="shared" ref="AE52:AJ52" ca="1" si="2">AE53+AE58+AE59+AE64+AE65+AE70+AE71+AE76</f>
        <v>0</v>
      </c>
      <c r="AF52" s="597">
        <f t="shared" ca="1" si="2"/>
        <v>0</v>
      </c>
      <c r="AG52" s="597">
        <f t="shared" ca="1" si="2"/>
        <v>0</v>
      </c>
      <c r="AH52" s="597">
        <f t="shared" ca="1" si="2"/>
        <v>0</v>
      </c>
      <c r="AI52" s="597">
        <f t="shared" ca="1" si="2"/>
        <v>0</v>
      </c>
      <c r="AJ52" s="597">
        <f t="shared" ca="1" si="2"/>
        <v>0</v>
      </c>
      <c r="AK52" s="597"/>
      <c r="AL52" s="81"/>
      <c r="AM52" s="81"/>
      <c r="AN52" s="687"/>
      <c r="AO52" s="687"/>
      <c r="AP52" s="687"/>
      <c r="AQ52" s="198"/>
      <c r="AR52" s="198"/>
    </row>
    <row r="53" spans="1:44" s="338" customFormat="1" ht="21.75" customHeight="1">
      <c r="A53" s="81"/>
      <c r="C53" s="223"/>
      <c r="D53" s="223"/>
      <c r="E53" s="595">
        <v>22.5</v>
      </c>
      <c r="F53" s="3" t="str" cm="1">
        <f t="array" aca="1" ref="F53" ca="1">OFFSET(E53,-1,1)</f>
        <v>1</v>
      </c>
      <c r="G53" s="280" t="s">
        <v>1156</v>
      </c>
      <c r="H53" s="396" t="s">
        <v>327</v>
      </c>
      <c r="I53" s="396"/>
      <c r="J53" s="223"/>
      <c r="K53" s="376" t="str">
        <f ca="1">F53&amp;"1komm"</f>
        <v>11komm</v>
      </c>
      <c r="L53" s="616" cm="1">
        <f t="array" ref="L53">AK53</f>
        <v>0</v>
      </c>
      <c r="M53" s="223"/>
      <c r="N53" s="223"/>
      <c r="O53" s="223"/>
      <c r="P53" s="223"/>
      <c r="Q53" s="223"/>
      <c r="R53" s="223"/>
      <c r="S53" s="223"/>
      <c r="T53" s="365" t="b" cm="1">
        <f t="array" ref="T53">T52</f>
        <v>1</v>
      </c>
      <c r="U53" s="223"/>
      <c r="V53" s="223"/>
      <c r="W53" s="223"/>
      <c r="X53" s="1150"/>
      <c r="Y53" s="223"/>
      <c r="Z53" s="1151"/>
      <c r="AA53" s="223"/>
      <c r="AB53" s="511">
        <v>1</v>
      </c>
      <c r="AC53" s="259" t="s">
        <v>1157</v>
      </c>
      <c r="AD53" s="28" t="s">
        <v>804</v>
      </c>
      <c r="AE53" s="160"/>
      <c r="AF53" s="160"/>
      <c r="AG53" s="160"/>
      <c r="AH53" s="160"/>
      <c r="AI53" s="145">
        <f>SUMIFS(AI54:AI57,$AD54:$AD57,$AD53)</f>
        <v>0</v>
      </c>
      <c r="AJ53" s="145">
        <f>SUMIFS(AJ54:AJ57,$AD54:$AD57,$AD53)</f>
        <v>0</v>
      </c>
      <c r="AK53" s="122"/>
      <c r="AL53" s="81"/>
      <c r="AM53" s="81"/>
      <c r="AN53" s="687" t="s">
        <v>1158</v>
      </c>
      <c r="AO53" s="687"/>
      <c r="AP53" s="687"/>
      <c r="AQ53" s="198"/>
      <c r="AR53" s="198"/>
    </row>
    <row r="54" spans="1:44" s="338" customFormat="1" ht="18" hidden="1" customHeight="1">
      <c r="A54" s="81"/>
      <c r="C54" s="223"/>
      <c r="D54" s="223"/>
      <c r="E54" s="595">
        <v>18.75</v>
      </c>
      <c r="F54" s="3" t="str" cm="1">
        <f t="array" aca="1" ref="F54" ca="1">OFFSET(E54,-1,1)</f>
        <v>1</v>
      </c>
      <c r="G54" s="396"/>
      <c r="H54" s="396" t="s">
        <v>327</v>
      </c>
      <c r="I54" s="396" cm="1">
        <f t="array" ref="I54">AC54</f>
        <v>0</v>
      </c>
      <c r="J54" s="223"/>
      <c r="K54" s="376"/>
      <c r="L54" s="376"/>
      <c r="M54" s="223"/>
      <c r="N54" s="223"/>
      <c r="O54" s="223"/>
      <c r="P54" s="223"/>
      <c r="Q54" s="223"/>
      <c r="R54" s="223"/>
      <c r="S54" s="223"/>
      <c r="T54" s="365" t="b">
        <f ca="1">AND(F54&gt;0,Y54&gt;0)</f>
        <v>0</v>
      </c>
      <c r="U54" s="223"/>
      <c r="V54" s="223"/>
      <c r="W54" s="223" t="s">
        <v>173</v>
      </c>
      <c r="X54" s="1150"/>
      <c r="Y54" s="1150">
        <v>0</v>
      </c>
      <c r="Z54" s="1151"/>
      <c r="AA54" s="1146" t="s">
        <v>174</v>
      </c>
      <c r="AB54" s="26" t="str">
        <f>"1."&amp;Y54</f>
        <v>1.0</v>
      </c>
      <c r="AC54" s="789"/>
      <c r="AD54" s="28" t="s">
        <v>804</v>
      </c>
      <c r="AE54" s="28"/>
      <c r="AF54" s="28"/>
      <c r="AG54" s="28"/>
      <c r="AH54" s="28"/>
      <c r="AI54" s="787">
        <f>AI55*AI56*12/1000</f>
        <v>0</v>
      </c>
      <c r="AJ54" s="787">
        <f>AJ55*AJ56*12/1000</f>
        <v>0</v>
      </c>
      <c r="AK54" s="832"/>
      <c r="AL54" s="81"/>
      <c r="AM54" s="81"/>
      <c r="AN54" s="687" t="s">
        <v>1159</v>
      </c>
      <c r="AO54" s="687" t="s">
        <v>1160</v>
      </c>
      <c r="AP54" s="687" cm="1">
        <f t="array" ref="AP54">AC54</f>
        <v>0</v>
      </c>
      <c r="AQ54" s="198"/>
      <c r="AR54" s="198" t="b">
        <v>1</v>
      </c>
    </row>
    <row r="55" spans="1:44" s="338" customFormat="1" ht="14.25" hidden="1" customHeight="1">
      <c r="A55" s="81"/>
      <c r="C55" s="223"/>
      <c r="D55" s="223"/>
      <c r="E55" s="595">
        <v>15</v>
      </c>
      <c r="F55" s="3" t="str" cm="1">
        <f t="array" aca="1" ref="F55" ca="1">OFFSET(E55,-1,1)</f>
        <v>1</v>
      </c>
      <c r="G55" s="396" t="s">
        <v>1161</v>
      </c>
      <c r="H55" s="396" t="str">
        <f>H54&amp;"_1"</f>
        <v>l1_1</v>
      </c>
      <c r="I55" s="396" cm="1">
        <f t="array" ref="I55">I54</f>
        <v>0</v>
      </c>
      <c r="J55" s="223"/>
      <c r="K55" s="376"/>
      <c r="L55" s="376"/>
      <c r="M55" s="223"/>
      <c r="N55" s="223"/>
      <c r="O55" s="223"/>
      <c r="P55" s="223"/>
      <c r="Q55" s="223"/>
      <c r="R55" s="223"/>
      <c r="S55" s="223"/>
      <c r="T55" s="365" t="b" cm="1">
        <f t="array" aca="1" ref="T55" ca="1">T54</f>
        <v>0</v>
      </c>
      <c r="U55" s="223"/>
      <c r="V55" s="223"/>
      <c r="W55" s="223"/>
      <c r="X55" s="1150"/>
      <c r="Y55" s="1150"/>
      <c r="Z55" s="1151"/>
      <c r="AA55" s="1146"/>
      <c r="AB55" s="511" t="str">
        <f>AB54&amp;".1"</f>
        <v>1.0.1</v>
      </c>
      <c r="AC55" s="153" t="s">
        <v>1162</v>
      </c>
      <c r="AD55" s="28" t="s">
        <v>1163</v>
      </c>
      <c r="AE55" s="28"/>
      <c r="AF55" s="28"/>
      <c r="AG55" s="28"/>
      <c r="AH55" s="28"/>
      <c r="AI55" s="790"/>
      <c r="AJ55" s="790"/>
      <c r="AK55" s="832"/>
      <c r="AL55" s="81"/>
      <c r="AM55" s="81"/>
      <c r="AN55" s="687" t="s">
        <v>1164</v>
      </c>
      <c r="AO55" s="687" t="s">
        <v>1160</v>
      </c>
      <c r="AP55" s="687" cm="1">
        <f t="array" ref="AP55">AP54</f>
        <v>0</v>
      </c>
      <c r="AQ55" s="198"/>
      <c r="AR55" s="198"/>
    </row>
    <row r="56" spans="1:44" s="338" customFormat="1" ht="14.25" hidden="1" customHeight="1">
      <c r="A56" s="81"/>
      <c r="C56" s="223"/>
      <c r="D56" s="223"/>
      <c r="E56" s="595">
        <v>15</v>
      </c>
      <c r="F56" s="3" t="str" cm="1">
        <f t="array" aca="1" ref="F56" ca="1">OFFSET(E56,-1,1)</f>
        <v>1</v>
      </c>
      <c r="G56" s="396"/>
      <c r="H56" s="396" t="str">
        <f>H54&amp;"_2"</f>
        <v>l1_2</v>
      </c>
      <c r="I56" s="396" cm="1">
        <f t="array" ref="I56">I55</f>
        <v>0</v>
      </c>
      <c r="J56" s="223"/>
      <c r="K56" s="376"/>
      <c r="L56" s="376"/>
      <c r="M56" s="223"/>
      <c r="N56" s="223"/>
      <c r="O56" s="223"/>
      <c r="P56" s="223"/>
      <c r="Q56" s="223"/>
      <c r="R56" s="223"/>
      <c r="S56" s="223"/>
      <c r="T56" s="365" t="b" cm="1">
        <f t="array" aca="1" ref="T56" ca="1">T55</f>
        <v>0</v>
      </c>
      <c r="U56" s="223"/>
      <c r="V56" s="223"/>
      <c r="W56" s="223"/>
      <c r="X56" s="1150"/>
      <c r="Y56" s="1150"/>
      <c r="Z56" s="1151"/>
      <c r="AA56" s="1146"/>
      <c r="AB56" s="511" t="str">
        <f>AB54&amp;".2"</f>
        <v>1.0.2</v>
      </c>
      <c r="AC56" s="153" t="s">
        <v>1165</v>
      </c>
      <c r="AD56" s="28" t="s">
        <v>1166</v>
      </c>
      <c r="AE56" s="28"/>
      <c r="AF56" s="28"/>
      <c r="AG56" s="28"/>
      <c r="AH56" s="28"/>
      <c r="AI56" s="790"/>
      <c r="AJ56" s="790"/>
      <c r="AK56" s="832"/>
      <c r="AL56" s="81"/>
      <c r="AM56" s="81"/>
      <c r="AN56" s="687" t="s">
        <v>1167</v>
      </c>
      <c r="AO56" s="687" t="s">
        <v>1160</v>
      </c>
      <c r="AP56" s="687" cm="1">
        <f t="array" ref="AP56">AP55</f>
        <v>0</v>
      </c>
      <c r="AQ56" s="198"/>
      <c r="AR56" s="198"/>
    </row>
    <row r="57" spans="1:44" s="338" customFormat="1" ht="14.25" customHeight="1">
      <c r="A57" s="81"/>
      <c r="C57" s="223"/>
      <c r="D57" s="223"/>
      <c r="E57" s="595">
        <v>15</v>
      </c>
      <c r="F57" s="3" t="str" cm="1">
        <f t="array" aca="1" ref="F57" ca="1">OFFSET(E57,-1,1)</f>
        <v>1</v>
      </c>
      <c r="G57" s="280"/>
      <c r="H57" s="396"/>
      <c r="I57" s="85" t="str">
        <f>"!=='не определено' &amp;&amp; row.l1 !== null"</f>
        <v>!=='не определено' &amp;&amp; row.l1 !== null</v>
      </c>
      <c r="J57" s="223"/>
      <c r="K57" s="376"/>
      <c r="L57" s="376"/>
      <c r="M57" s="223"/>
      <c r="N57" s="223"/>
      <c r="O57" s="223"/>
      <c r="P57" s="223"/>
      <c r="Q57" s="223"/>
      <c r="R57" s="223"/>
      <c r="S57" s="223"/>
      <c r="T57" s="365" t="b">
        <f ca="1">F57&gt;0</f>
        <v>1</v>
      </c>
      <c r="U57" s="223"/>
      <c r="V57" s="223"/>
      <c r="W57" s="528" t="s">
        <v>392</v>
      </c>
      <c r="X57" s="1150"/>
      <c r="Y57" s="598"/>
      <c r="Z57" s="1151"/>
      <c r="AA57" s="223"/>
      <c r="AB57" s="599"/>
      <c r="AC57" s="191" t="s">
        <v>177</v>
      </c>
      <c r="AD57" s="557"/>
      <c r="AE57" s="557"/>
      <c r="AF57" s="557"/>
      <c r="AG57" s="557"/>
      <c r="AH57" s="557"/>
      <c r="AI57" s="557"/>
      <c r="AJ57" s="557"/>
      <c r="AK57" s="558"/>
      <c r="AL57" s="81"/>
      <c r="AM57" s="81"/>
      <c r="AN57" s="687"/>
      <c r="AO57" s="687"/>
      <c r="AP57" s="687"/>
      <c r="AQ57" s="198" t="s">
        <v>1160</v>
      </c>
      <c r="AR57" s="198"/>
    </row>
    <row r="58" spans="1:44" s="338" customFormat="1" ht="21.75" customHeight="1">
      <c r="A58" s="81"/>
      <c r="C58" s="223"/>
      <c r="D58" s="223"/>
      <c r="E58" s="595">
        <v>22.5</v>
      </c>
      <c r="F58" s="3" t="str" cm="1">
        <f t="array" aca="1" ref="F58" ca="1">OFFSET(E58,-1,1)</f>
        <v>1</v>
      </c>
      <c r="G58" s="280" t="s">
        <v>1168</v>
      </c>
      <c r="H58" s="396" t="s">
        <v>328</v>
      </c>
      <c r="I58" s="396"/>
      <c r="J58" s="223"/>
      <c r="K58" s="376" t="str">
        <f ca="1">F58&amp;"2komm"</f>
        <v>12komm</v>
      </c>
      <c r="L58" s="616" cm="1">
        <f t="array" ref="L58">AK58</f>
        <v>0</v>
      </c>
      <c r="M58" s="223"/>
      <c r="N58" s="223"/>
      <c r="O58" s="223"/>
      <c r="P58" s="223"/>
      <c r="Q58" s="223"/>
      <c r="R58" s="223"/>
      <c r="S58" s="223"/>
      <c r="T58" s="365" t="b" cm="1">
        <f t="array" aca="1" ref="T58" ca="1">T57</f>
        <v>1</v>
      </c>
      <c r="U58" s="223"/>
      <c r="V58" s="223"/>
      <c r="W58" s="223"/>
      <c r="X58" s="1150"/>
      <c r="Y58" s="598"/>
      <c r="Z58" s="1151"/>
      <c r="AA58" s="223"/>
      <c r="AB58" s="511" t="s">
        <v>285</v>
      </c>
      <c r="AC58" s="259" t="s">
        <v>1169</v>
      </c>
      <c r="AD58" s="28" t="s">
        <v>804</v>
      </c>
      <c r="AE58" s="160">
        <f ca="1">AE53*SUMIFS(INDEX(Сценарии!$AE$25:$BF$109,,MATCH(AE$13,Сценарии!$AE$8:$BF$8,0)),Сценарии!$F$25:$F$109,$F58,Сценарии!$G$25:$G$109,"СВФОТ")/100</f>
        <v>0</v>
      </c>
      <c r="AF58" s="160">
        <f ca="1">AF53*SUMIFS(INDEX(Сценарии!$AE$25:$BF$109,,MATCH(AF$13,Сценарии!$AE$8:$BF$8,0)),Сценарии!$F$25:$F$109,$F58,Сценарии!$G$25:$G$109,"СВФОТ")/100</f>
        <v>0</v>
      </c>
      <c r="AG58" s="160">
        <f ca="1">AG53*SUMIFS(INDEX(Сценарии!$AE$25:$BF$109,,MATCH(AG$13,Сценарии!$AE$8:$BF$8,0)),Сценарии!$F$25:$F$109,$F58,Сценарии!$G$25:$G$109,"СВФОТ")/100</f>
        <v>0</v>
      </c>
      <c r="AH58" s="160">
        <f ca="1">AH53*SUMIFS(INDEX(Сценарии!$AE$25:$BF$109,,MATCH(AH$13,Сценарии!$AE$8:$BF$8,0)),Сценарии!$F$25:$F$109,$F58,Сценарии!$G$25:$G$109,"СВФОТ")/100</f>
        <v>0</v>
      </c>
      <c r="AI58" s="160">
        <f ca="1">AI53*SUMIFS(INDEX(Сценарии!$AE$25:$BF$109,,MATCH(AI$13,Сценарии!$AE$8:$BF$8,0)),Сценарии!$F$25:$F$109,$F58,Сценарии!$G$25:$G$109,"СВФОТ")/100</f>
        <v>0</v>
      </c>
      <c r="AJ58" s="160">
        <f ca="1">AJ53*SUMIFS(INDEX(Сценарии!$AE$25:$BF$109,,MATCH(AJ$13,Сценарии!$AE$8:$BF$8,0)),Сценарии!$F$25:$F$109,$F58,Сценарии!$G$25:$G$109,"СВФОТ")/100</f>
        <v>0</v>
      </c>
      <c r="AK58" s="122"/>
      <c r="AL58" s="81"/>
      <c r="AM58" s="81"/>
      <c r="AN58" s="687" t="s">
        <v>1170</v>
      </c>
      <c r="AO58" s="687"/>
      <c r="AP58" s="687"/>
      <c r="AQ58" s="198"/>
      <c r="AR58" s="198"/>
    </row>
    <row r="59" spans="1:44" s="338" customFormat="1" ht="14.25" customHeight="1">
      <c r="A59" s="81"/>
      <c r="C59" s="223"/>
      <c r="D59" s="223"/>
      <c r="E59" s="595">
        <v>15</v>
      </c>
      <c r="F59" s="3" t="str" cm="1">
        <f t="array" aca="1" ref="F59" ca="1">OFFSET(E59,-1,1)</f>
        <v>1</v>
      </c>
      <c r="G59" s="280" t="s">
        <v>1171</v>
      </c>
      <c r="H59" s="396" t="s">
        <v>329</v>
      </c>
      <c r="I59" s="396"/>
      <c r="J59" s="223"/>
      <c r="K59" s="376" t="str">
        <f ca="1">F59&amp;"3komm"</f>
        <v>13komm</v>
      </c>
      <c r="L59" s="616" cm="1">
        <f t="array" ref="L59">AK59</f>
        <v>0</v>
      </c>
      <c r="M59" s="223"/>
      <c r="N59" s="223"/>
      <c r="O59" s="223"/>
      <c r="P59" s="223"/>
      <c r="Q59" s="223"/>
      <c r="R59" s="223"/>
      <c r="S59" s="223"/>
      <c r="T59" s="365" t="b" cm="1">
        <f t="array" aca="1" ref="T59" ca="1">T58</f>
        <v>1</v>
      </c>
      <c r="U59" s="223"/>
      <c r="V59" s="223"/>
      <c r="W59" s="223"/>
      <c r="X59" s="1150"/>
      <c r="Y59" s="598"/>
      <c r="Z59" s="1151"/>
      <c r="AA59" s="223"/>
      <c r="AB59" s="511" t="s">
        <v>325</v>
      </c>
      <c r="AC59" s="259" t="s">
        <v>1172</v>
      </c>
      <c r="AD59" s="28" t="s">
        <v>804</v>
      </c>
      <c r="AE59" s="160"/>
      <c r="AF59" s="160"/>
      <c r="AG59" s="160"/>
      <c r="AH59" s="160"/>
      <c r="AI59" s="145">
        <f>SUMIFS(AI60:AI63,$AD60:$AD63,$AD59)</f>
        <v>0</v>
      </c>
      <c r="AJ59" s="145">
        <f>SUMIFS(AJ60:AJ63,$AD60:$AD63,$AD59)</f>
        <v>0</v>
      </c>
      <c r="AK59" s="122"/>
      <c r="AL59" s="81"/>
      <c r="AM59" s="81"/>
      <c r="AN59" s="687" t="s">
        <v>1173</v>
      </c>
      <c r="AO59" s="687"/>
      <c r="AP59" s="687"/>
      <c r="AQ59" s="198"/>
      <c r="AR59" s="198"/>
    </row>
    <row r="60" spans="1:44" s="338" customFormat="1" ht="18" hidden="1" customHeight="1">
      <c r="A60" s="81"/>
      <c r="C60" s="223"/>
      <c r="D60" s="223"/>
      <c r="E60" s="595">
        <v>18.75</v>
      </c>
      <c r="F60" s="3" t="str" cm="1">
        <f t="array" aca="1" ref="F60" ca="1">OFFSET(E60,-1,1)</f>
        <v>1</v>
      </c>
      <c r="G60" s="396"/>
      <c r="H60" s="396" t="s">
        <v>329</v>
      </c>
      <c r="I60" s="396" cm="1">
        <f t="array" ref="I60">AC60</f>
        <v>0</v>
      </c>
      <c r="J60" s="223"/>
      <c r="K60" s="376"/>
      <c r="L60" s="376"/>
      <c r="M60" s="223"/>
      <c r="N60" s="223"/>
      <c r="O60" s="223"/>
      <c r="P60" s="223"/>
      <c r="Q60" s="223"/>
      <c r="R60" s="223"/>
      <c r="S60" s="223"/>
      <c r="T60" s="365" t="b">
        <f ca="1">AND(F60&gt;0,Y60&gt;0)</f>
        <v>0</v>
      </c>
      <c r="U60" s="223"/>
      <c r="V60" s="223"/>
      <c r="W60" s="223" t="s">
        <v>173</v>
      </c>
      <c r="X60" s="1150"/>
      <c r="Y60" s="1150">
        <v>0</v>
      </c>
      <c r="Z60" s="1151"/>
      <c r="AA60" s="1146" t="s">
        <v>174</v>
      </c>
      <c r="AB60" s="26" t="str">
        <f>"3."&amp;Y60</f>
        <v>3.0</v>
      </c>
      <c r="AC60" s="789"/>
      <c r="AD60" s="28" t="s">
        <v>804</v>
      </c>
      <c r="AE60" s="28"/>
      <c r="AF60" s="28"/>
      <c r="AG60" s="28"/>
      <c r="AH60" s="28"/>
      <c r="AI60" s="787">
        <f>AI61*AI62*12/1000</f>
        <v>0</v>
      </c>
      <c r="AJ60" s="787">
        <f>AJ61*AJ62*12/1000</f>
        <v>0</v>
      </c>
      <c r="AK60" s="832"/>
      <c r="AL60" s="81"/>
      <c r="AM60" s="81"/>
      <c r="AN60" s="687" t="s">
        <v>1159</v>
      </c>
      <c r="AO60" s="687" t="s">
        <v>1174</v>
      </c>
      <c r="AP60" s="687" cm="1">
        <f t="array" ref="AP60">AC60</f>
        <v>0</v>
      </c>
      <c r="AQ60" s="198"/>
      <c r="AR60" s="198" t="b">
        <v>1</v>
      </c>
    </row>
    <row r="61" spans="1:44" s="338" customFormat="1" ht="14.25" hidden="1" customHeight="1">
      <c r="A61" s="81"/>
      <c r="C61" s="223"/>
      <c r="D61" s="223"/>
      <c r="E61" s="595">
        <v>15</v>
      </c>
      <c r="F61" s="3" t="str" cm="1">
        <f t="array" aca="1" ref="F61" ca="1">OFFSET(E61,-1,1)</f>
        <v>1</v>
      </c>
      <c r="G61" s="396" t="s">
        <v>1175</v>
      </c>
      <c r="H61" s="396" t="str">
        <f>H60&amp;"_1"</f>
        <v>l3_1</v>
      </c>
      <c r="I61" s="396" cm="1">
        <f t="array" ref="I61">I60</f>
        <v>0</v>
      </c>
      <c r="J61" s="223"/>
      <c r="K61" s="376"/>
      <c r="L61" s="376"/>
      <c r="M61" s="223"/>
      <c r="N61" s="223"/>
      <c r="O61" s="223"/>
      <c r="P61" s="223"/>
      <c r="Q61" s="223"/>
      <c r="R61" s="223"/>
      <c r="S61" s="223"/>
      <c r="T61" s="365" t="b" cm="1">
        <f t="array" aca="1" ref="T61" ca="1">T60</f>
        <v>0</v>
      </c>
      <c r="U61" s="223"/>
      <c r="V61" s="223"/>
      <c r="W61" s="223"/>
      <c r="X61" s="1150"/>
      <c r="Y61" s="1150"/>
      <c r="Z61" s="1151"/>
      <c r="AA61" s="1146"/>
      <c r="AB61" s="511" t="str">
        <f>AB60&amp;".1"</f>
        <v>3.0.1</v>
      </c>
      <c r="AC61" s="153" t="s">
        <v>1162</v>
      </c>
      <c r="AD61" s="28" t="s">
        <v>1163</v>
      </c>
      <c r="AE61" s="28"/>
      <c r="AF61" s="28"/>
      <c r="AG61" s="28"/>
      <c r="AH61" s="28"/>
      <c r="AI61" s="790"/>
      <c r="AJ61" s="790"/>
      <c r="AK61" s="832"/>
      <c r="AL61" s="81"/>
      <c r="AM61" s="81"/>
      <c r="AN61" s="687" t="s">
        <v>1164</v>
      </c>
      <c r="AO61" s="687" t="s">
        <v>1174</v>
      </c>
      <c r="AP61" s="687" cm="1">
        <f t="array" ref="AP61">AP60</f>
        <v>0</v>
      </c>
      <c r="AQ61" s="198"/>
      <c r="AR61" s="198"/>
    </row>
    <row r="62" spans="1:44" s="338" customFormat="1" ht="14.25" hidden="1" customHeight="1">
      <c r="A62" s="81"/>
      <c r="C62" s="223"/>
      <c r="D62" s="223"/>
      <c r="E62" s="595">
        <v>15</v>
      </c>
      <c r="F62" s="3" t="str" cm="1">
        <f t="array" aca="1" ref="F62" ca="1">OFFSET(E62,-1,1)</f>
        <v>1</v>
      </c>
      <c r="G62" s="396"/>
      <c r="H62" s="396" t="str">
        <f>H60&amp;"_2"</f>
        <v>l3_2</v>
      </c>
      <c r="I62" s="396" cm="1">
        <f t="array" ref="I62">I61</f>
        <v>0</v>
      </c>
      <c r="J62" s="223"/>
      <c r="K62" s="376"/>
      <c r="L62" s="376"/>
      <c r="M62" s="223"/>
      <c r="N62" s="223"/>
      <c r="O62" s="223"/>
      <c r="P62" s="223"/>
      <c r="Q62" s="223"/>
      <c r="R62" s="223"/>
      <c r="S62" s="223"/>
      <c r="T62" s="365" t="b" cm="1">
        <f t="array" aca="1" ref="T62" ca="1">T61</f>
        <v>0</v>
      </c>
      <c r="U62" s="223"/>
      <c r="V62" s="223"/>
      <c r="W62" s="223"/>
      <c r="X62" s="1150"/>
      <c r="Y62" s="1150"/>
      <c r="Z62" s="1151"/>
      <c r="AA62" s="1146"/>
      <c r="AB62" s="511" t="str">
        <f>AB60&amp;".2"</f>
        <v>3.0.2</v>
      </c>
      <c r="AC62" s="153" t="s">
        <v>1165</v>
      </c>
      <c r="AD62" s="28" t="s">
        <v>1166</v>
      </c>
      <c r="AE62" s="28"/>
      <c r="AF62" s="28"/>
      <c r="AG62" s="28"/>
      <c r="AH62" s="28"/>
      <c r="AI62" s="790"/>
      <c r="AJ62" s="790"/>
      <c r="AK62" s="832"/>
      <c r="AL62" s="81"/>
      <c r="AM62" s="81"/>
      <c r="AN62" s="687" t="s">
        <v>1167</v>
      </c>
      <c r="AO62" s="687" t="s">
        <v>1174</v>
      </c>
      <c r="AP62" s="687" cm="1">
        <f t="array" ref="AP62">AP61</f>
        <v>0</v>
      </c>
      <c r="AQ62" s="198"/>
      <c r="AR62" s="198"/>
    </row>
    <row r="63" spans="1:44" s="338" customFormat="1" ht="14.25" customHeight="1">
      <c r="A63" s="81"/>
      <c r="C63" s="223"/>
      <c r="D63" s="223"/>
      <c r="E63" s="595">
        <v>15</v>
      </c>
      <c r="F63" s="3" t="str" cm="1">
        <f t="array" aca="1" ref="F63" ca="1">OFFSET(E63,-1,1)</f>
        <v>1</v>
      </c>
      <c r="G63" s="280"/>
      <c r="H63" s="396"/>
      <c r="I63" s="85" t="str">
        <f>"!=='не определено' &amp;&amp; row.l3 !== null"</f>
        <v>!=='не определено' &amp;&amp; row.l3 !== null</v>
      </c>
      <c r="J63" s="223"/>
      <c r="K63" s="376"/>
      <c r="L63" s="376"/>
      <c r="M63" s="223"/>
      <c r="N63" s="223"/>
      <c r="O63" s="223"/>
      <c r="P63" s="223"/>
      <c r="Q63" s="223"/>
      <c r="R63" s="223"/>
      <c r="S63" s="223"/>
      <c r="T63" s="365" t="b">
        <f ca="1">F63&gt;0</f>
        <v>1</v>
      </c>
      <c r="U63" s="223"/>
      <c r="V63" s="223"/>
      <c r="W63" s="528" t="s">
        <v>884</v>
      </c>
      <c r="X63" s="1150"/>
      <c r="Y63" s="598"/>
      <c r="Z63" s="1151"/>
      <c r="AA63" s="223"/>
      <c r="AB63" s="599"/>
      <c r="AC63" s="191" t="s">
        <v>177</v>
      </c>
      <c r="AD63" s="557"/>
      <c r="AE63" s="557"/>
      <c r="AF63" s="557"/>
      <c r="AG63" s="557"/>
      <c r="AH63" s="557"/>
      <c r="AI63" s="557"/>
      <c r="AJ63" s="557"/>
      <c r="AK63" s="558"/>
      <c r="AL63" s="81"/>
      <c r="AM63" s="81"/>
      <c r="AN63" s="687"/>
      <c r="AO63" s="687"/>
      <c r="AP63" s="687"/>
      <c r="AQ63" s="198" t="s">
        <v>1174</v>
      </c>
      <c r="AR63" s="198"/>
    </row>
    <row r="64" spans="1:44" s="338" customFormat="1" ht="21.75" customHeight="1">
      <c r="A64" s="81"/>
      <c r="C64" s="223"/>
      <c r="D64" s="223"/>
      <c r="E64" s="595">
        <v>22.5</v>
      </c>
      <c r="F64" s="3" t="str" cm="1">
        <f t="array" aca="1" ref="F64" ca="1">OFFSET(E64,-1,1)</f>
        <v>1</v>
      </c>
      <c r="G64" s="280" t="s">
        <v>1176</v>
      </c>
      <c r="H64" s="396" t="s">
        <v>331</v>
      </c>
      <c r="I64" s="396"/>
      <c r="J64" s="223"/>
      <c r="K64" s="376" t="str">
        <f ca="1">F64&amp;"4komm"</f>
        <v>14komm</v>
      </c>
      <c r="L64" s="616" cm="1">
        <f t="array" ref="L64">AK64</f>
        <v>0</v>
      </c>
      <c r="M64" s="223"/>
      <c r="N64" s="223"/>
      <c r="O64" s="223"/>
      <c r="P64" s="223"/>
      <c r="Q64" s="223"/>
      <c r="R64" s="223"/>
      <c r="S64" s="223"/>
      <c r="T64" s="365" t="b" cm="1">
        <f t="array" aca="1" ref="T64" ca="1">T63</f>
        <v>1</v>
      </c>
      <c r="U64" s="223"/>
      <c r="V64" s="223"/>
      <c r="W64" s="223"/>
      <c r="X64" s="1150"/>
      <c r="Y64" s="598"/>
      <c r="Z64" s="1151"/>
      <c r="AA64" s="223"/>
      <c r="AB64" s="511" t="s">
        <v>433</v>
      </c>
      <c r="AC64" s="259" t="s">
        <v>1177</v>
      </c>
      <c r="AD64" s="28" t="s">
        <v>804</v>
      </c>
      <c r="AE64" s="160">
        <f ca="1">AE59*SUMIFS(INDEX(Сценарии!$AE$25:$BF$109,,MATCH(AE$13,Сценарии!$AE$8:$BF$8,0)),Сценарии!$F$25:$F$109,$F64,Сценарии!$G$25:$G$109,"СВФОТ")/100</f>
        <v>0</v>
      </c>
      <c r="AF64" s="160">
        <f ca="1">AF59*SUMIFS(INDEX(Сценарии!$AE$25:$BF$109,,MATCH(AF$13,Сценарии!$AE$8:$BF$8,0)),Сценарии!$F$25:$F$109,$F64,Сценарии!$G$25:$G$109,"СВФОТ")/100</f>
        <v>0</v>
      </c>
      <c r="AG64" s="160">
        <f ca="1">AG59*SUMIFS(INDEX(Сценарии!$AE$25:$BF$109,,MATCH(AG$13,Сценарии!$AE$8:$BF$8,0)),Сценарии!$F$25:$F$109,$F64,Сценарии!$G$25:$G$109,"СВФОТ")/100</f>
        <v>0</v>
      </c>
      <c r="AH64" s="160">
        <f ca="1">AH59*SUMIFS(INDEX(Сценарии!$AE$25:$BF$109,,MATCH(AH$13,Сценарии!$AE$8:$BF$8,0)),Сценарии!$F$25:$F$109,$F64,Сценарии!$G$25:$G$109,"СВФОТ")/100</f>
        <v>0</v>
      </c>
      <c r="AI64" s="160">
        <f ca="1">AI59*SUMIFS(INDEX(Сценарии!$AE$25:$BF$109,,MATCH(AI$13,Сценарии!$AE$8:$BF$8,0)),Сценарии!$F$25:$F$109,$F64,Сценарии!$G$25:$G$109,"СВФОТ")/100</f>
        <v>0</v>
      </c>
      <c r="AJ64" s="160">
        <f ca="1">AJ59*SUMIFS(INDEX(Сценарии!$AE$25:$BF$109,,MATCH(AJ$13,Сценарии!$AE$8:$BF$8,0)),Сценарии!$F$25:$F$109,$F64,Сценарии!$G$25:$G$109,"СВФОТ")/100</f>
        <v>0</v>
      </c>
      <c r="AK64" s="122"/>
      <c r="AL64" s="81"/>
      <c r="AM64" s="81"/>
      <c r="AN64" s="687" t="s">
        <v>1178</v>
      </c>
      <c r="AO64" s="687"/>
      <c r="AP64" s="687"/>
      <c r="AQ64" s="198"/>
      <c r="AR64" s="198"/>
    </row>
    <row r="65" spans="1:44" s="338" customFormat="1" ht="21.75" customHeight="1">
      <c r="A65" s="81"/>
      <c r="C65" s="223"/>
      <c r="D65" s="223"/>
      <c r="E65" s="595">
        <v>22.5</v>
      </c>
      <c r="F65" s="3" t="str" cm="1">
        <f t="array" aca="1" ref="F65" ca="1">OFFSET(E65,-1,1)</f>
        <v>1</v>
      </c>
      <c r="G65" s="280" t="s">
        <v>1179</v>
      </c>
      <c r="H65" s="396" t="s">
        <v>330</v>
      </c>
      <c r="I65" s="396"/>
      <c r="J65" s="223"/>
      <c r="K65" s="376" t="str">
        <f ca="1">F65&amp;"5komm"</f>
        <v>15komm</v>
      </c>
      <c r="L65" s="616" cm="1">
        <f t="array" ref="L65">AK65</f>
        <v>0</v>
      </c>
      <c r="M65" s="223"/>
      <c r="N65" s="223"/>
      <c r="O65" s="223"/>
      <c r="P65" s="223"/>
      <c r="Q65" s="223"/>
      <c r="R65" s="223"/>
      <c r="S65" s="223"/>
      <c r="T65" s="365" t="b" cm="1">
        <f t="array" aca="1" ref="T65" ca="1">T64</f>
        <v>1</v>
      </c>
      <c r="U65" s="223"/>
      <c r="V65" s="223"/>
      <c r="W65" s="223"/>
      <c r="X65" s="1150"/>
      <c r="Y65" s="598"/>
      <c r="Z65" s="1151"/>
      <c r="AA65" s="223"/>
      <c r="AB65" s="511" t="s">
        <v>444</v>
      </c>
      <c r="AC65" s="259" t="s">
        <v>1180</v>
      </c>
      <c r="AD65" s="28" t="s">
        <v>804</v>
      </c>
      <c r="AE65" s="160"/>
      <c r="AF65" s="160"/>
      <c r="AG65" s="160"/>
      <c r="AH65" s="160"/>
      <c r="AI65" s="145">
        <f>SUMIFS(AI66:AI69,$AD66:$AD69,$AD65)</f>
        <v>0</v>
      </c>
      <c r="AJ65" s="145">
        <f>SUMIFS(AJ66:AJ69,$AD66:$AD69,$AD65)</f>
        <v>0</v>
      </c>
      <c r="AK65" s="122"/>
      <c r="AL65" s="81"/>
      <c r="AM65" s="81"/>
      <c r="AN65" s="687" t="s">
        <v>1181</v>
      </c>
      <c r="AO65" s="687"/>
      <c r="AP65" s="687"/>
      <c r="AQ65" s="198"/>
      <c r="AR65" s="198"/>
    </row>
    <row r="66" spans="1:44" s="338" customFormat="1" ht="18" hidden="1" customHeight="1">
      <c r="A66" s="81"/>
      <c r="C66" s="223"/>
      <c r="D66" s="223"/>
      <c r="E66" s="595">
        <v>18.75</v>
      </c>
      <c r="F66" s="3" t="str" cm="1">
        <f t="array" aca="1" ref="F66" ca="1">OFFSET(E66,-1,1)</f>
        <v>1</v>
      </c>
      <c r="G66" s="396"/>
      <c r="H66" s="396" t="s">
        <v>330</v>
      </c>
      <c r="I66" s="396" cm="1">
        <f t="array" ref="I66">AC66</f>
        <v>0</v>
      </c>
      <c r="J66" s="223"/>
      <c r="K66" s="376"/>
      <c r="L66" s="376"/>
      <c r="M66" s="223"/>
      <c r="N66" s="223"/>
      <c r="O66" s="223"/>
      <c r="P66" s="223"/>
      <c r="Q66" s="223"/>
      <c r="R66" s="223"/>
      <c r="S66" s="223"/>
      <c r="T66" s="365" t="b">
        <f ca="1">AND(F66&gt;0,Y66&gt;0)</f>
        <v>0</v>
      </c>
      <c r="U66" s="223"/>
      <c r="V66" s="223"/>
      <c r="W66" s="223" t="s">
        <v>173</v>
      </c>
      <c r="X66" s="1150"/>
      <c r="Y66" s="1150">
        <v>0</v>
      </c>
      <c r="Z66" s="1151"/>
      <c r="AA66" s="1146" t="s">
        <v>174</v>
      </c>
      <c r="AB66" s="26" t="str">
        <f>"5."&amp;Y66</f>
        <v>5.0</v>
      </c>
      <c r="AC66" s="789"/>
      <c r="AD66" s="28" t="s">
        <v>804</v>
      </c>
      <c r="AE66" s="28"/>
      <c r="AF66" s="28"/>
      <c r="AG66" s="28"/>
      <c r="AH66" s="28"/>
      <c r="AI66" s="787">
        <f>AI67*AI68*12/1000</f>
        <v>0</v>
      </c>
      <c r="AJ66" s="787">
        <f>AJ67*AJ68*12/1000</f>
        <v>0</v>
      </c>
      <c r="AK66" s="832"/>
      <c r="AL66" s="81"/>
      <c r="AM66" s="81"/>
      <c r="AN66" s="687" t="s">
        <v>1159</v>
      </c>
      <c r="AO66" s="687" t="s">
        <v>1182</v>
      </c>
      <c r="AP66" s="687" cm="1">
        <f t="array" ref="AP66">AC66</f>
        <v>0</v>
      </c>
      <c r="AQ66" s="198"/>
      <c r="AR66" s="198" t="b">
        <v>1</v>
      </c>
    </row>
    <row r="67" spans="1:44" s="338" customFormat="1" ht="14.25" hidden="1" customHeight="1">
      <c r="A67" s="81"/>
      <c r="C67" s="223"/>
      <c r="D67" s="223"/>
      <c r="E67" s="595">
        <v>15</v>
      </c>
      <c r="F67" s="3" t="str" cm="1">
        <f t="array" aca="1" ref="F67" ca="1">OFFSET(E67,-1,1)</f>
        <v>1</v>
      </c>
      <c r="G67" s="396"/>
      <c r="H67" s="396" t="str">
        <f>H66&amp;"_1"</f>
        <v>l5_1</v>
      </c>
      <c r="I67" s="396" cm="1">
        <f t="array" ref="I67">I66</f>
        <v>0</v>
      </c>
      <c r="J67" s="223"/>
      <c r="K67" s="376"/>
      <c r="L67" s="376"/>
      <c r="M67" s="223"/>
      <c r="N67" s="223"/>
      <c r="O67" s="223"/>
      <c r="P67" s="223"/>
      <c r="Q67" s="223"/>
      <c r="R67" s="223"/>
      <c r="S67" s="223"/>
      <c r="T67" s="365" t="b" cm="1">
        <f t="array" aca="1" ref="T67" ca="1">T66</f>
        <v>0</v>
      </c>
      <c r="U67" s="223"/>
      <c r="V67" s="223"/>
      <c r="W67" s="223"/>
      <c r="X67" s="1150"/>
      <c r="Y67" s="1150"/>
      <c r="Z67" s="1151"/>
      <c r="AA67" s="1146"/>
      <c r="AB67" s="511" t="str">
        <f>AB66&amp;".1"</f>
        <v>5.0.1</v>
      </c>
      <c r="AC67" s="153" t="s">
        <v>1162</v>
      </c>
      <c r="AD67" s="28" t="s">
        <v>1163</v>
      </c>
      <c r="AE67" s="28"/>
      <c r="AF67" s="28"/>
      <c r="AG67" s="28"/>
      <c r="AH67" s="28"/>
      <c r="AI67" s="790"/>
      <c r="AJ67" s="790"/>
      <c r="AK67" s="832"/>
      <c r="AL67" s="81"/>
      <c r="AM67" s="81"/>
      <c r="AN67" s="687" t="s">
        <v>1164</v>
      </c>
      <c r="AO67" s="687" t="s">
        <v>1182</v>
      </c>
      <c r="AP67" s="687" cm="1">
        <f t="array" ref="AP67">AP66</f>
        <v>0</v>
      </c>
      <c r="AQ67" s="198"/>
      <c r="AR67" s="198"/>
    </row>
    <row r="68" spans="1:44" s="338" customFormat="1" ht="14.25" hidden="1" customHeight="1">
      <c r="A68" s="81"/>
      <c r="C68" s="223"/>
      <c r="D68" s="223"/>
      <c r="E68" s="595">
        <v>15</v>
      </c>
      <c r="F68" s="3" t="str" cm="1">
        <f t="array" aca="1" ref="F68" ca="1">OFFSET(E68,-1,1)</f>
        <v>1</v>
      </c>
      <c r="G68" s="396"/>
      <c r="H68" s="396" t="str">
        <f>H66&amp;"_2"</f>
        <v>l5_2</v>
      </c>
      <c r="I68" s="396" cm="1">
        <f t="array" ref="I68">I67</f>
        <v>0</v>
      </c>
      <c r="J68" s="223"/>
      <c r="K68" s="376"/>
      <c r="L68" s="376"/>
      <c r="M68" s="223"/>
      <c r="N68" s="223"/>
      <c r="O68" s="223"/>
      <c r="P68" s="223"/>
      <c r="Q68" s="223"/>
      <c r="R68" s="223"/>
      <c r="S68" s="223"/>
      <c r="T68" s="365" t="b" cm="1">
        <f t="array" aca="1" ref="T68" ca="1">T67</f>
        <v>0</v>
      </c>
      <c r="U68" s="223"/>
      <c r="V68" s="223"/>
      <c r="W68" s="223"/>
      <c r="X68" s="1150"/>
      <c r="Y68" s="1150"/>
      <c r="Z68" s="1151"/>
      <c r="AA68" s="1146"/>
      <c r="AB68" s="511" t="str">
        <f>AB66&amp;".2"</f>
        <v>5.0.2</v>
      </c>
      <c r="AC68" s="153" t="s">
        <v>1165</v>
      </c>
      <c r="AD68" s="28" t="s">
        <v>1166</v>
      </c>
      <c r="AE68" s="28"/>
      <c r="AF68" s="28"/>
      <c r="AG68" s="28"/>
      <c r="AH68" s="28"/>
      <c r="AI68" s="790"/>
      <c r="AJ68" s="790"/>
      <c r="AK68" s="832"/>
      <c r="AL68" s="81"/>
      <c r="AM68" s="81"/>
      <c r="AN68" s="687" t="s">
        <v>1167</v>
      </c>
      <c r="AO68" s="687" t="s">
        <v>1182</v>
      </c>
      <c r="AP68" s="687" cm="1">
        <f t="array" ref="AP68">AP67</f>
        <v>0</v>
      </c>
      <c r="AQ68" s="198"/>
      <c r="AR68" s="198"/>
    </row>
    <row r="69" spans="1:44" s="338" customFormat="1" ht="14.25" customHeight="1">
      <c r="A69" s="81"/>
      <c r="C69" s="223"/>
      <c r="D69" s="223"/>
      <c r="E69" s="595">
        <v>15</v>
      </c>
      <c r="F69" s="3" t="str" cm="1">
        <f t="array" aca="1" ref="F69" ca="1">OFFSET(E69,-1,1)</f>
        <v>1</v>
      </c>
      <c r="G69" s="280"/>
      <c r="H69" s="396"/>
      <c r="I69" s="85" t="str">
        <f>"!=='не определено' &amp;&amp; row.l5 !== null"</f>
        <v>!=='не определено' &amp;&amp; row.l5 !== null</v>
      </c>
      <c r="J69" s="223"/>
      <c r="K69" s="376"/>
      <c r="L69" s="376"/>
      <c r="M69" s="223"/>
      <c r="N69" s="223"/>
      <c r="O69" s="223"/>
      <c r="P69" s="223"/>
      <c r="Q69" s="223"/>
      <c r="R69" s="223"/>
      <c r="S69" s="223"/>
      <c r="T69" s="365" t="b">
        <f ca="1">F69&gt;0</f>
        <v>1</v>
      </c>
      <c r="U69" s="223"/>
      <c r="V69" s="223"/>
      <c r="W69" s="528" t="s">
        <v>1183</v>
      </c>
      <c r="X69" s="1150"/>
      <c r="Y69" s="598"/>
      <c r="Z69" s="1151"/>
      <c r="AA69" s="223"/>
      <c r="AB69" s="599"/>
      <c r="AC69" s="191" t="s">
        <v>177</v>
      </c>
      <c r="AD69" s="557"/>
      <c r="AE69" s="557"/>
      <c r="AF69" s="557"/>
      <c r="AG69" s="557"/>
      <c r="AH69" s="557"/>
      <c r="AI69" s="557"/>
      <c r="AJ69" s="557"/>
      <c r="AK69" s="558"/>
      <c r="AL69" s="81"/>
      <c r="AM69" s="81"/>
      <c r="AN69" s="687"/>
      <c r="AO69" s="687"/>
      <c r="AP69" s="687"/>
      <c r="AQ69" s="198" t="s">
        <v>1182</v>
      </c>
      <c r="AR69" s="198"/>
    </row>
    <row r="70" spans="1:44" s="338" customFormat="1" ht="21.75" customHeight="1">
      <c r="A70" s="81"/>
      <c r="C70" s="223"/>
      <c r="D70" s="223"/>
      <c r="E70" s="595">
        <v>22.5</v>
      </c>
      <c r="F70" s="3" t="str" cm="1">
        <f t="array" aca="1" ref="F70" ca="1">OFFSET(E70,-1,1)</f>
        <v>1</v>
      </c>
      <c r="G70" s="280" t="s">
        <v>1184</v>
      </c>
      <c r="H70" s="396" t="s">
        <v>511</v>
      </c>
      <c r="I70" s="396"/>
      <c r="J70" s="223"/>
      <c r="K70" s="376" t="str">
        <f ca="1">F70&amp;"6komm"</f>
        <v>16komm</v>
      </c>
      <c r="L70" s="376" cm="1">
        <f t="array" ref="L70">AK70</f>
        <v>0</v>
      </c>
      <c r="M70" s="223"/>
      <c r="N70" s="223"/>
      <c r="O70" s="223"/>
      <c r="P70" s="223"/>
      <c r="Q70" s="223"/>
      <c r="R70" s="223"/>
      <c r="S70" s="223"/>
      <c r="T70" s="365" t="b" cm="1">
        <f t="array" aca="1" ref="T70" ca="1">T69</f>
        <v>1</v>
      </c>
      <c r="U70" s="223"/>
      <c r="V70" s="223"/>
      <c r="W70" s="223"/>
      <c r="X70" s="1150"/>
      <c r="Y70" s="598"/>
      <c r="Z70" s="1151"/>
      <c r="AA70" s="223"/>
      <c r="AB70" s="511" t="s">
        <v>447</v>
      </c>
      <c r="AC70" s="259" t="s">
        <v>1185</v>
      </c>
      <c r="AD70" s="28" t="s">
        <v>804</v>
      </c>
      <c r="AE70" s="160">
        <f ca="1">AE65*SUMIFS(INDEX(Сценарии!$AE$25:$BF$109,,MATCH(AE$13,Сценарии!$AE$8:$BF$8,0)),Сценарии!$F$25:$F$109,$F70,Сценарии!$G$25:$G$109,"СВФОТ")/100</f>
        <v>0</v>
      </c>
      <c r="AF70" s="160">
        <f ca="1">AF65*SUMIFS(INDEX(Сценарии!$AE$25:$BF$109,,MATCH(AF$13,Сценарии!$AE$8:$BF$8,0)),Сценарии!$F$25:$F$109,$F70,Сценарии!$G$25:$G$109,"СВФОТ")/100</f>
        <v>0</v>
      </c>
      <c r="AG70" s="160">
        <f ca="1">AG65*SUMIFS(INDEX(Сценарии!$AE$25:$BF$109,,MATCH(AG$13,Сценарии!$AE$8:$BF$8,0)),Сценарии!$F$25:$F$109,$F70,Сценарии!$G$25:$G$109,"СВФОТ")/100</f>
        <v>0</v>
      </c>
      <c r="AH70" s="160">
        <f ca="1">AH65*SUMIFS(INDEX(Сценарии!$AE$25:$BF$109,,MATCH(AH$13,Сценарии!$AE$8:$BF$8,0)),Сценарии!$F$25:$F$109,$F70,Сценарии!$G$25:$G$109,"СВФОТ")/100</f>
        <v>0</v>
      </c>
      <c r="AI70" s="160">
        <f ca="1">AI65*SUMIFS(INDEX(Сценарии!$AE$25:$BF$109,,MATCH(AI$13,Сценарии!$AE$8:$BF$8,0)),Сценарии!$F$25:$F$109,$F70,Сценарии!$G$25:$G$109,"СВФОТ")/100</f>
        <v>0</v>
      </c>
      <c r="AJ70" s="160">
        <f ca="1">AJ65*SUMIFS(INDEX(Сценарии!$AE$25:$BF$109,,MATCH(AJ$13,Сценарии!$AE$8:$BF$8,0)),Сценарии!$F$25:$F$109,$F70,Сценарии!$G$25:$G$109,"СВФОТ")/100</f>
        <v>0</v>
      </c>
      <c r="AK70" s="617"/>
      <c r="AL70" s="81"/>
      <c r="AM70" s="81"/>
      <c r="AN70" s="687" t="s">
        <v>1186</v>
      </c>
      <c r="AO70" s="687"/>
      <c r="AP70" s="687"/>
      <c r="AQ70" s="198"/>
      <c r="AR70" s="198"/>
    </row>
    <row r="71" spans="1:44" s="338" customFormat="1" ht="14.25" customHeight="1">
      <c r="A71" s="81"/>
      <c r="C71" s="223"/>
      <c r="D71" s="223"/>
      <c r="E71" s="595">
        <v>15</v>
      </c>
      <c r="F71" s="3" t="str" cm="1">
        <f t="array" aca="1" ref="F71" ca="1">OFFSET(E71,-1,1)</f>
        <v>1</v>
      </c>
      <c r="G71" s="280" t="s">
        <v>1187</v>
      </c>
      <c r="H71" s="396" t="s">
        <v>514</v>
      </c>
      <c r="I71" s="396"/>
      <c r="J71" s="223"/>
      <c r="K71" s="376" t="str">
        <f ca="1">F71&amp;"7komm"</f>
        <v>17komm</v>
      </c>
      <c r="L71" s="376" cm="1">
        <f t="array" ref="L71">AK71</f>
        <v>0</v>
      </c>
      <c r="M71" s="223"/>
      <c r="N71" s="223"/>
      <c r="O71" s="223"/>
      <c r="P71" s="223"/>
      <c r="Q71" s="223"/>
      <c r="R71" s="223"/>
      <c r="S71" s="223"/>
      <c r="T71" s="365" t="b" cm="1">
        <f t="array" aca="1" ref="T71" ca="1">T70</f>
        <v>1</v>
      </c>
      <c r="U71" s="223"/>
      <c r="V71" s="223"/>
      <c r="W71" s="223"/>
      <c r="X71" s="1150"/>
      <c r="Y71" s="598"/>
      <c r="Z71" s="1151"/>
      <c r="AA71" s="223"/>
      <c r="AB71" s="511" t="s">
        <v>578</v>
      </c>
      <c r="AC71" s="259" t="s">
        <v>1188</v>
      </c>
      <c r="AD71" s="28" t="s">
        <v>804</v>
      </c>
      <c r="AE71" s="160"/>
      <c r="AF71" s="160"/>
      <c r="AG71" s="160"/>
      <c r="AH71" s="160"/>
      <c r="AI71" s="145">
        <f>SUMIFS(AI72:AI75,$AD72:$AD75,$AD71)</f>
        <v>0</v>
      </c>
      <c r="AJ71" s="145">
        <f>SUMIFS(AJ72:AJ75,$AD72:$AD75,$AD71)</f>
        <v>0</v>
      </c>
      <c r="AK71" s="617"/>
      <c r="AL71" s="81"/>
      <c r="AM71" s="81"/>
      <c r="AN71" s="687" t="s">
        <v>1189</v>
      </c>
      <c r="AO71" s="687"/>
      <c r="AP71" s="687"/>
      <c r="AQ71" s="198"/>
      <c r="AR71" s="198"/>
    </row>
    <row r="72" spans="1:44" s="338" customFormat="1" ht="18" hidden="1" customHeight="1">
      <c r="A72" s="81"/>
      <c r="B72" s="81"/>
      <c r="C72" s="223"/>
      <c r="D72" s="223"/>
      <c r="E72" s="595">
        <v>18.75</v>
      </c>
      <c r="F72" s="3" t="str" cm="1">
        <f t="array" aca="1" ref="F72" ca="1">OFFSET(E72,-1,1)</f>
        <v>1</v>
      </c>
      <c r="G72" s="396"/>
      <c r="H72" s="396" t="s">
        <v>514</v>
      </c>
      <c r="I72" s="396" cm="1">
        <f t="array" ref="I72">AC72</f>
        <v>0</v>
      </c>
      <c r="J72" s="223"/>
      <c r="K72" s="376"/>
      <c r="L72" s="376"/>
      <c r="M72" s="223"/>
      <c r="N72" s="223"/>
      <c r="O72" s="223"/>
      <c r="P72" s="223"/>
      <c r="Q72" s="223"/>
      <c r="R72" s="223"/>
      <c r="S72" s="223"/>
      <c r="T72" s="365" t="b">
        <f ca="1">AND(F72&gt;0,Y72&gt;0)</f>
        <v>0</v>
      </c>
      <c r="U72" s="223"/>
      <c r="V72" s="223"/>
      <c r="W72" s="223" t="s">
        <v>173</v>
      </c>
      <c r="X72" s="1150"/>
      <c r="Y72" s="1150">
        <v>0</v>
      </c>
      <c r="Z72" s="1151"/>
      <c r="AA72" s="1146" t="s">
        <v>174</v>
      </c>
      <c r="AB72" s="26" t="str">
        <f>"7."&amp;Y72</f>
        <v>7.0</v>
      </c>
      <c r="AC72" s="789"/>
      <c r="AD72" s="28" t="s">
        <v>804</v>
      </c>
      <c r="AE72" s="28"/>
      <c r="AF72" s="28"/>
      <c r="AG72" s="28"/>
      <c r="AH72" s="28"/>
      <c r="AI72" s="787">
        <f>AI73*AI74*12/1000</f>
        <v>0</v>
      </c>
      <c r="AJ72" s="787">
        <f>AJ73*AJ74*12/1000</f>
        <v>0</v>
      </c>
      <c r="AK72" s="832"/>
      <c r="AL72" s="81"/>
      <c r="AM72" s="81"/>
      <c r="AN72" s="687" t="s">
        <v>1159</v>
      </c>
      <c r="AO72" s="687" t="s">
        <v>1190</v>
      </c>
      <c r="AP72" s="687" cm="1">
        <f t="array" ref="AP72">AC72</f>
        <v>0</v>
      </c>
      <c r="AQ72" s="198"/>
      <c r="AR72" s="198" t="b">
        <v>1</v>
      </c>
    </row>
    <row r="73" spans="1:44" s="338" customFormat="1" ht="14.25" hidden="1" customHeight="1">
      <c r="A73" s="81"/>
      <c r="B73" s="81"/>
      <c r="C73" s="223"/>
      <c r="D73" s="223"/>
      <c r="E73" s="595">
        <v>15</v>
      </c>
      <c r="F73" s="3" t="str" cm="1">
        <f t="array" aca="1" ref="F73" ca="1">OFFSET(E73,-1,1)</f>
        <v>1</v>
      </c>
      <c r="G73" s="396"/>
      <c r="H73" s="396" t="str">
        <f>H72&amp;"_1"</f>
        <v>l7_1</v>
      </c>
      <c r="I73" s="396" cm="1">
        <f t="array" ref="I73">I72</f>
        <v>0</v>
      </c>
      <c r="J73" s="223"/>
      <c r="K73" s="376"/>
      <c r="L73" s="376"/>
      <c r="M73" s="223"/>
      <c r="N73" s="223"/>
      <c r="O73" s="223"/>
      <c r="P73" s="223"/>
      <c r="Q73" s="223"/>
      <c r="R73" s="223"/>
      <c r="S73" s="223"/>
      <c r="T73" s="365" t="b" cm="1">
        <f t="array" aca="1" ref="T73" ca="1">T72</f>
        <v>0</v>
      </c>
      <c r="U73" s="223"/>
      <c r="V73" s="223"/>
      <c r="W73" s="223"/>
      <c r="X73" s="1150"/>
      <c r="Y73" s="1150"/>
      <c r="Z73" s="1151"/>
      <c r="AA73" s="1146"/>
      <c r="AB73" s="511" t="str">
        <f>AB72&amp;".1"</f>
        <v>7.0.1</v>
      </c>
      <c r="AC73" s="153" t="s">
        <v>1162</v>
      </c>
      <c r="AD73" s="28" t="s">
        <v>1163</v>
      </c>
      <c r="AE73" s="28"/>
      <c r="AF73" s="28"/>
      <c r="AG73" s="28"/>
      <c r="AH73" s="28"/>
      <c r="AI73" s="790"/>
      <c r="AJ73" s="790"/>
      <c r="AK73" s="832"/>
      <c r="AL73" s="81"/>
      <c r="AM73" s="81"/>
      <c r="AN73" s="687" t="s">
        <v>1164</v>
      </c>
      <c r="AO73" s="687" t="s">
        <v>1190</v>
      </c>
      <c r="AP73" s="687" cm="1">
        <f t="array" ref="AP73">AP72</f>
        <v>0</v>
      </c>
      <c r="AQ73" s="198"/>
      <c r="AR73" s="198"/>
    </row>
    <row r="74" spans="1:44" s="338" customFormat="1" ht="14.25" hidden="1" customHeight="1">
      <c r="A74" s="81"/>
      <c r="B74" s="81"/>
      <c r="C74" s="223"/>
      <c r="D74" s="223"/>
      <c r="E74" s="595">
        <v>15</v>
      </c>
      <c r="F74" s="3" t="str" cm="1">
        <f t="array" aca="1" ref="F74" ca="1">OFFSET(E74,-1,1)</f>
        <v>1</v>
      </c>
      <c r="G74" s="396"/>
      <c r="H74" s="396" t="str">
        <f>H72&amp;"_2"</f>
        <v>l7_2</v>
      </c>
      <c r="I74" s="396" cm="1">
        <f t="array" ref="I74">I73</f>
        <v>0</v>
      </c>
      <c r="J74" s="223"/>
      <c r="K74" s="376"/>
      <c r="L74" s="376"/>
      <c r="M74" s="223"/>
      <c r="N74" s="223"/>
      <c r="O74" s="223"/>
      <c r="P74" s="223"/>
      <c r="Q74" s="223"/>
      <c r="R74" s="223"/>
      <c r="S74" s="223"/>
      <c r="T74" s="365" t="b" cm="1">
        <f t="array" aca="1" ref="T74" ca="1">T73</f>
        <v>0</v>
      </c>
      <c r="U74" s="223"/>
      <c r="V74" s="223"/>
      <c r="W74" s="223"/>
      <c r="X74" s="1150"/>
      <c r="Y74" s="1150"/>
      <c r="Z74" s="1151"/>
      <c r="AA74" s="1146"/>
      <c r="AB74" s="511" t="str">
        <f>AB72&amp;".2"</f>
        <v>7.0.2</v>
      </c>
      <c r="AC74" s="153" t="s">
        <v>1165</v>
      </c>
      <c r="AD74" s="28" t="s">
        <v>1166</v>
      </c>
      <c r="AE74" s="28"/>
      <c r="AF74" s="28"/>
      <c r="AG74" s="28"/>
      <c r="AH74" s="28"/>
      <c r="AI74" s="790"/>
      <c r="AJ74" s="790"/>
      <c r="AK74" s="832"/>
      <c r="AL74" s="81"/>
      <c r="AM74" s="81"/>
      <c r="AN74" s="687" t="s">
        <v>1167</v>
      </c>
      <c r="AO74" s="687" t="s">
        <v>1190</v>
      </c>
      <c r="AP74" s="687" cm="1">
        <f t="array" ref="AP74">AP73</f>
        <v>0</v>
      </c>
      <c r="AQ74" s="198"/>
      <c r="AR74" s="198"/>
    </row>
    <row r="75" spans="1:44" s="338" customFormat="1" ht="14.25" customHeight="1">
      <c r="A75" s="81"/>
      <c r="C75" s="223"/>
      <c r="D75" s="223"/>
      <c r="E75" s="595">
        <v>15</v>
      </c>
      <c r="F75" s="3" t="str" cm="1">
        <f t="array" aca="1" ref="F75" ca="1">OFFSET(E75,-1,1)</f>
        <v>1</v>
      </c>
      <c r="G75" s="280"/>
      <c r="H75" s="396"/>
      <c r="I75" s="85" t="str">
        <f>"!=='не определено' &amp;&amp; row.l7 !== null"</f>
        <v>!=='не определено' &amp;&amp; row.l7 !== null</v>
      </c>
      <c r="J75" s="223"/>
      <c r="K75" s="376"/>
      <c r="L75" s="376"/>
      <c r="M75" s="223"/>
      <c r="N75" s="223"/>
      <c r="O75" s="223"/>
      <c r="P75" s="223"/>
      <c r="Q75" s="223"/>
      <c r="R75" s="223"/>
      <c r="S75" s="223"/>
      <c r="T75" s="365" t="b">
        <f ca="1">F75&gt;0</f>
        <v>1</v>
      </c>
      <c r="U75" s="223"/>
      <c r="V75" s="223"/>
      <c r="W75" s="528" t="s">
        <v>1191</v>
      </c>
      <c r="X75" s="1150"/>
      <c r="Y75" s="223"/>
      <c r="Z75" s="1151"/>
      <c r="AA75" s="223"/>
      <c r="AB75" s="599"/>
      <c r="AC75" s="191" t="s">
        <v>177</v>
      </c>
      <c r="AD75" s="557"/>
      <c r="AE75" s="557"/>
      <c r="AF75" s="557"/>
      <c r="AG75" s="557"/>
      <c r="AH75" s="557"/>
      <c r="AI75" s="557"/>
      <c r="AJ75" s="557"/>
      <c r="AK75" s="558"/>
      <c r="AL75" s="81"/>
      <c r="AM75" s="81"/>
      <c r="AN75" s="687"/>
      <c r="AO75" s="687"/>
      <c r="AP75" s="687"/>
      <c r="AQ75" s="198" t="s">
        <v>1190</v>
      </c>
      <c r="AR75" s="198"/>
    </row>
    <row r="76" spans="1:44" s="338" customFormat="1" ht="21.75" customHeight="1">
      <c r="A76" s="81"/>
      <c r="C76" s="223"/>
      <c r="D76" s="223"/>
      <c r="E76" s="595">
        <v>22.5</v>
      </c>
      <c r="F76" s="3" t="str" cm="1">
        <f t="array" aca="1" ref="F76" ca="1">OFFSET(E76,-1,1)</f>
        <v>1</v>
      </c>
      <c r="G76" s="280" t="s">
        <v>1192</v>
      </c>
      <c r="H76" s="396" t="s">
        <v>562</v>
      </c>
      <c r="I76" s="396"/>
      <c r="J76" s="223"/>
      <c r="K76" s="376" t="str">
        <f ca="1">F76&amp;"8komm"</f>
        <v>18komm</v>
      </c>
      <c r="L76" s="616" cm="1">
        <f t="array" ref="L76">AK76</f>
        <v>0</v>
      </c>
      <c r="M76" s="223"/>
      <c r="N76" s="223"/>
      <c r="O76" s="223"/>
      <c r="P76" s="223"/>
      <c r="Q76" s="223"/>
      <c r="R76" s="223"/>
      <c r="S76" s="223"/>
      <c r="T76" s="365" t="b" cm="1">
        <f t="array" aca="1" ref="T76" ca="1">T75</f>
        <v>1</v>
      </c>
      <c r="U76" s="223"/>
      <c r="V76" s="223"/>
      <c r="W76" s="223"/>
      <c r="X76" s="1150"/>
      <c r="Y76" s="223"/>
      <c r="Z76" s="1151"/>
      <c r="AA76" s="223"/>
      <c r="AB76" s="511" t="s">
        <v>586</v>
      </c>
      <c r="AC76" s="259" t="s">
        <v>1193</v>
      </c>
      <c r="AD76" s="28" t="s">
        <v>804</v>
      </c>
      <c r="AE76" s="160">
        <f ca="1">AE71*SUMIFS(INDEX(Сценарии!$AE$25:$BF$109,,MATCH(AE$13,Сценарии!$AE$8:$BF$8,0)),Сценарии!$F$25:$F$109,$F76,Сценарии!$G$25:$G$109,"СВФОТ")/100</f>
        <v>0</v>
      </c>
      <c r="AF76" s="160">
        <f ca="1">AF71*SUMIFS(INDEX(Сценарии!$AE$25:$BF$109,,MATCH(AF$13,Сценарии!$AE$8:$BF$8,0)),Сценарии!$F$25:$F$109,$F76,Сценарии!$G$25:$G$109,"СВФОТ")/100</f>
        <v>0</v>
      </c>
      <c r="AG76" s="160">
        <f ca="1">AG71*SUMIFS(INDEX(Сценарии!$AE$25:$BF$109,,MATCH(AG$13,Сценарии!$AE$8:$BF$8,0)),Сценарии!$F$25:$F$109,$F76,Сценарии!$G$25:$G$109,"СВФОТ")/100</f>
        <v>0</v>
      </c>
      <c r="AH76" s="160">
        <f ca="1">AH71*SUMIFS(INDEX(Сценарии!$AE$25:$BF$109,,MATCH(AH$13,Сценарии!$AE$8:$BF$8,0)),Сценарии!$F$25:$F$109,$F76,Сценарии!$G$25:$G$109,"СВФОТ")/100</f>
        <v>0</v>
      </c>
      <c r="AI76" s="160">
        <f ca="1">AI71*SUMIFS(INDEX(Сценарии!$AE$25:$BF$109,,MATCH(AI$13,Сценарии!$AE$8:$BF$8,0)),Сценарии!$F$25:$F$109,$F76,Сценарии!$G$25:$G$109,"СВФОТ")/100</f>
        <v>0</v>
      </c>
      <c r="AJ76" s="160">
        <f ca="1">AJ71*SUMIFS(INDEX(Сценарии!$AE$25:$BF$109,,MATCH(AJ$13,Сценарии!$AE$8:$BF$8,0)),Сценарии!$F$25:$F$109,$F76,Сценарии!$G$25:$G$109,"СВФОТ")/100</f>
        <v>0</v>
      </c>
      <c r="AK76" s="122"/>
      <c r="AL76" s="81"/>
      <c r="AM76" s="81"/>
      <c r="AN76" s="687" t="s">
        <v>1194</v>
      </c>
      <c r="AO76" s="687"/>
      <c r="AP76" s="687"/>
      <c r="AQ76" s="198"/>
      <c r="AR76" s="198"/>
    </row>
    <row r="77" spans="1:44" s="338" customFormat="1" ht="14.25" customHeight="1">
      <c r="A77" s="81"/>
      <c r="C77" s="223"/>
      <c r="D77" s="223"/>
      <c r="E77" s="595">
        <v>15</v>
      </c>
      <c r="F77" s="78" t="str" cm="1">
        <f t="array" ref="F77">X77</f>
        <v>2</v>
      </c>
      <c r="G77" s="396" t="s">
        <v>61</v>
      </c>
      <c r="H77" s="396"/>
      <c r="I77" s="396"/>
      <c r="J77" s="223"/>
      <c r="K77" s="376"/>
      <c r="L77" s="376"/>
      <c r="M77" s="223"/>
      <c r="N77" s="223"/>
      <c r="O77" s="223"/>
      <c r="P77" s="223"/>
      <c r="Q77" s="223"/>
      <c r="R77" s="223"/>
      <c r="S77" s="223"/>
      <c r="T77" s="365" t="b">
        <f>X77&gt;0</f>
        <v>1</v>
      </c>
      <c r="U77" s="223"/>
      <c r="V77" s="223" t="str" cm="1">
        <f t="array" ref="V77">Покупка!$AB$177</f>
        <v>Тариф 2 (Водоотведение) - тариф на водоотведение (Доп. признак не требуется)</v>
      </c>
      <c r="W77" s="223"/>
      <c r="X77" s="1150" t="s">
        <v>285</v>
      </c>
      <c r="Y77" s="223"/>
      <c r="Z77" s="1151"/>
      <c r="AA77" s="223"/>
      <c r="AB77" s="174" t="str" cm="1">
        <f t="array" ref="AB77">Покупка!$AB$177</f>
        <v>Тариф 2 (Водоотведение) - тариф на водоотведение (Доп. признак не требуется)</v>
      </c>
      <c r="AC77" s="596"/>
      <c r="AD77" s="596"/>
      <c r="AE77" s="597">
        <f t="shared" ref="AE77:AJ77" ca="1" si="3">AE78+AE83+AE84+AE89+AE90+AE95+AE96+AE101</f>
        <v>0</v>
      </c>
      <c r="AF77" s="597">
        <f t="shared" ca="1" si="3"/>
        <v>0</v>
      </c>
      <c r="AG77" s="597">
        <f t="shared" ca="1" si="3"/>
        <v>0</v>
      </c>
      <c r="AH77" s="597">
        <f t="shared" ca="1" si="3"/>
        <v>0</v>
      </c>
      <c r="AI77" s="597">
        <f t="shared" ca="1" si="3"/>
        <v>0</v>
      </c>
      <c r="AJ77" s="597">
        <f t="shared" ca="1" si="3"/>
        <v>0</v>
      </c>
      <c r="AK77" s="597"/>
      <c r="AL77" s="81"/>
      <c r="AM77" s="81"/>
      <c r="AN77" s="687"/>
      <c r="AO77" s="687"/>
      <c r="AP77" s="687"/>
      <c r="AQ77" s="198"/>
      <c r="AR77" s="198"/>
    </row>
    <row r="78" spans="1:44" s="338" customFormat="1" ht="21.75" customHeight="1">
      <c r="A78" s="81"/>
      <c r="C78" s="223"/>
      <c r="D78" s="223"/>
      <c r="E78" s="595">
        <v>22.5</v>
      </c>
      <c r="F78" s="3" t="str" cm="1">
        <f t="array" aca="1" ref="F78" ca="1">OFFSET(E78,-1,1)</f>
        <v>2</v>
      </c>
      <c r="G78" s="280" t="s">
        <v>1156</v>
      </c>
      <c r="H78" s="396" t="s">
        <v>327</v>
      </c>
      <c r="I78" s="396"/>
      <c r="J78" s="223"/>
      <c r="K78" s="376" t="str">
        <f ca="1">F78&amp;"1komm"</f>
        <v>21komm</v>
      </c>
      <c r="L78" s="616" cm="1">
        <f t="array" ref="L78">AK78</f>
        <v>0</v>
      </c>
      <c r="M78" s="223"/>
      <c r="N78" s="223"/>
      <c r="O78" s="223"/>
      <c r="P78" s="223"/>
      <c r="Q78" s="223"/>
      <c r="R78" s="223"/>
      <c r="S78" s="223"/>
      <c r="T78" s="365" t="b" cm="1">
        <f t="array" ref="T78">T77</f>
        <v>1</v>
      </c>
      <c r="U78" s="223"/>
      <c r="V78" s="223"/>
      <c r="W78" s="223"/>
      <c r="X78" s="1150"/>
      <c r="Y78" s="223"/>
      <c r="Z78" s="1151"/>
      <c r="AA78" s="223"/>
      <c r="AB78" s="511">
        <v>1</v>
      </c>
      <c r="AC78" s="259" t="s">
        <v>1157</v>
      </c>
      <c r="AD78" s="28" t="s">
        <v>804</v>
      </c>
      <c r="AE78" s="160"/>
      <c r="AF78" s="160"/>
      <c r="AG78" s="160"/>
      <c r="AH78" s="160"/>
      <c r="AI78" s="145">
        <f>SUMIFS(AI79:AI82,$AD79:$AD82,$AD78)</f>
        <v>0</v>
      </c>
      <c r="AJ78" s="145">
        <f>SUMIFS(AJ79:AJ82,$AD79:$AD82,$AD78)</f>
        <v>0</v>
      </c>
      <c r="AK78" s="122"/>
      <c r="AL78" s="81"/>
      <c r="AM78" s="81"/>
      <c r="AN78" s="687" t="s">
        <v>1158</v>
      </c>
      <c r="AO78" s="687"/>
      <c r="AP78" s="687"/>
      <c r="AQ78" s="198"/>
      <c r="AR78" s="198"/>
    </row>
    <row r="79" spans="1:44" s="338" customFormat="1" ht="18" hidden="1" customHeight="1">
      <c r="A79" s="81"/>
      <c r="C79" s="223"/>
      <c r="D79" s="223"/>
      <c r="E79" s="595">
        <v>18.75</v>
      </c>
      <c r="F79" s="3" t="str" cm="1">
        <f t="array" aca="1" ref="F79" ca="1">OFFSET(E79,-1,1)</f>
        <v>2</v>
      </c>
      <c r="G79" s="396"/>
      <c r="H79" s="396" t="s">
        <v>327</v>
      </c>
      <c r="I79" s="396" cm="1">
        <f t="array" ref="I79">AC79</f>
        <v>0</v>
      </c>
      <c r="J79" s="223"/>
      <c r="K79" s="376"/>
      <c r="L79" s="376"/>
      <c r="M79" s="223"/>
      <c r="N79" s="223"/>
      <c r="O79" s="223"/>
      <c r="P79" s="223"/>
      <c r="Q79" s="223"/>
      <c r="R79" s="223"/>
      <c r="S79" s="223"/>
      <c r="T79" s="365" t="b">
        <f ca="1">AND(F79&gt;0,Y79&gt;0)</f>
        <v>0</v>
      </c>
      <c r="U79" s="223"/>
      <c r="V79" s="223"/>
      <c r="W79" s="223" t="s">
        <v>173</v>
      </c>
      <c r="X79" s="1150"/>
      <c r="Y79" s="1150">
        <v>0</v>
      </c>
      <c r="Z79" s="1151"/>
      <c r="AA79" s="1146" t="s">
        <v>174</v>
      </c>
      <c r="AB79" s="26" t="str">
        <f>"1."&amp;Y79</f>
        <v>1.0</v>
      </c>
      <c r="AC79" s="789"/>
      <c r="AD79" s="28" t="s">
        <v>804</v>
      </c>
      <c r="AE79" s="28"/>
      <c r="AF79" s="28"/>
      <c r="AG79" s="28"/>
      <c r="AH79" s="28"/>
      <c r="AI79" s="787">
        <f>AI80*AI81*12/1000</f>
        <v>0</v>
      </c>
      <c r="AJ79" s="787">
        <f>AJ80*AJ81*12/1000</f>
        <v>0</v>
      </c>
      <c r="AK79" s="832"/>
      <c r="AL79" s="81"/>
      <c r="AM79" s="81"/>
      <c r="AN79" s="687" t="s">
        <v>1159</v>
      </c>
      <c r="AO79" s="687" t="s">
        <v>1160</v>
      </c>
      <c r="AP79" s="687" cm="1">
        <f t="array" ref="AP79">AC79</f>
        <v>0</v>
      </c>
      <c r="AQ79" s="198"/>
      <c r="AR79" s="198" t="b">
        <v>1</v>
      </c>
    </row>
    <row r="80" spans="1:44" s="338" customFormat="1" ht="14.25" hidden="1" customHeight="1">
      <c r="A80" s="81"/>
      <c r="C80" s="223"/>
      <c r="D80" s="223"/>
      <c r="E80" s="595">
        <v>15</v>
      </c>
      <c r="F80" s="3" t="str" cm="1">
        <f t="array" aca="1" ref="F80" ca="1">OFFSET(E80,-1,1)</f>
        <v>2</v>
      </c>
      <c r="G80" s="396" t="s">
        <v>1161</v>
      </c>
      <c r="H80" s="396" t="str">
        <f>H79&amp;"_1"</f>
        <v>l1_1</v>
      </c>
      <c r="I80" s="396" cm="1">
        <f t="array" ref="I80">I79</f>
        <v>0</v>
      </c>
      <c r="J80" s="223"/>
      <c r="K80" s="376"/>
      <c r="L80" s="376"/>
      <c r="M80" s="223"/>
      <c r="N80" s="223"/>
      <c r="O80" s="223"/>
      <c r="P80" s="223"/>
      <c r="Q80" s="223"/>
      <c r="R80" s="223"/>
      <c r="S80" s="223"/>
      <c r="T80" s="365" t="b" cm="1">
        <f t="array" aca="1" ref="T80" ca="1">T79</f>
        <v>0</v>
      </c>
      <c r="U80" s="223"/>
      <c r="V80" s="223"/>
      <c r="W80" s="223"/>
      <c r="X80" s="1150"/>
      <c r="Y80" s="1150"/>
      <c r="Z80" s="1151"/>
      <c r="AA80" s="1146"/>
      <c r="AB80" s="511" t="str">
        <f>AB79&amp;".1"</f>
        <v>1.0.1</v>
      </c>
      <c r="AC80" s="153" t="s">
        <v>1162</v>
      </c>
      <c r="AD80" s="28" t="s">
        <v>1163</v>
      </c>
      <c r="AE80" s="28"/>
      <c r="AF80" s="28"/>
      <c r="AG80" s="28"/>
      <c r="AH80" s="28"/>
      <c r="AI80" s="790"/>
      <c r="AJ80" s="790"/>
      <c r="AK80" s="832"/>
      <c r="AL80" s="81"/>
      <c r="AM80" s="81"/>
      <c r="AN80" s="687" t="s">
        <v>1164</v>
      </c>
      <c r="AO80" s="687" t="s">
        <v>1160</v>
      </c>
      <c r="AP80" s="687" cm="1">
        <f t="array" ref="AP80">AP79</f>
        <v>0</v>
      </c>
      <c r="AQ80" s="198"/>
      <c r="AR80" s="198"/>
    </row>
    <row r="81" spans="1:44" s="338" customFormat="1" ht="14.25" hidden="1" customHeight="1">
      <c r="A81" s="81"/>
      <c r="C81" s="223"/>
      <c r="D81" s="223"/>
      <c r="E81" s="595">
        <v>15</v>
      </c>
      <c r="F81" s="3" t="str" cm="1">
        <f t="array" aca="1" ref="F81" ca="1">OFFSET(E81,-1,1)</f>
        <v>2</v>
      </c>
      <c r="G81" s="396"/>
      <c r="H81" s="396" t="str">
        <f>H79&amp;"_2"</f>
        <v>l1_2</v>
      </c>
      <c r="I81" s="396" cm="1">
        <f t="array" ref="I81">I80</f>
        <v>0</v>
      </c>
      <c r="J81" s="223"/>
      <c r="K81" s="376"/>
      <c r="L81" s="376"/>
      <c r="M81" s="223"/>
      <c r="N81" s="223"/>
      <c r="O81" s="223"/>
      <c r="P81" s="223"/>
      <c r="Q81" s="223"/>
      <c r="R81" s="223"/>
      <c r="S81" s="223"/>
      <c r="T81" s="365" t="b" cm="1">
        <f t="array" aca="1" ref="T81" ca="1">T80</f>
        <v>0</v>
      </c>
      <c r="U81" s="223"/>
      <c r="V81" s="223"/>
      <c r="W81" s="223"/>
      <c r="X81" s="1150"/>
      <c r="Y81" s="1150"/>
      <c r="Z81" s="1151"/>
      <c r="AA81" s="1146"/>
      <c r="AB81" s="511" t="str">
        <f>AB79&amp;".2"</f>
        <v>1.0.2</v>
      </c>
      <c r="AC81" s="153" t="s">
        <v>1165</v>
      </c>
      <c r="AD81" s="28" t="s">
        <v>1166</v>
      </c>
      <c r="AE81" s="28"/>
      <c r="AF81" s="28"/>
      <c r="AG81" s="28"/>
      <c r="AH81" s="28"/>
      <c r="AI81" s="790"/>
      <c r="AJ81" s="790"/>
      <c r="AK81" s="832"/>
      <c r="AL81" s="81"/>
      <c r="AM81" s="81"/>
      <c r="AN81" s="687" t="s">
        <v>1167</v>
      </c>
      <c r="AO81" s="687" t="s">
        <v>1160</v>
      </c>
      <c r="AP81" s="687" cm="1">
        <f t="array" ref="AP81">AP80</f>
        <v>0</v>
      </c>
      <c r="AQ81" s="198"/>
      <c r="AR81" s="198"/>
    </row>
    <row r="82" spans="1:44" s="338" customFormat="1" ht="14.25" customHeight="1">
      <c r="A82" s="81"/>
      <c r="C82" s="223"/>
      <c r="D82" s="223"/>
      <c r="E82" s="595">
        <v>15</v>
      </c>
      <c r="F82" s="3" t="str" cm="1">
        <f t="array" aca="1" ref="F82" ca="1">OFFSET(E82,-1,1)</f>
        <v>2</v>
      </c>
      <c r="G82" s="280"/>
      <c r="H82" s="396"/>
      <c r="I82" s="85" t="str">
        <f>"!=='не определено' &amp;&amp; row.l1 !== null"</f>
        <v>!=='не определено' &amp;&amp; row.l1 !== null</v>
      </c>
      <c r="J82" s="223"/>
      <c r="K82" s="376"/>
      <c r="L82" s="376"/>
      <c r="M82" s="223"/>
      <c r="N82" s="223"/>
      <c r="O82" s="223"/>
      <c r="P82" s="223"/>
      <c r="Q82" s="223"/>
      <c r="R82" s="223"/>
      <c r="S82" s="223"/>
      <c r="T82" s="365" t="b">
        <f ca="1">F82&gt;0</f>
        <v>1</v>
      </c>
      <c r="U82" s="223"/>
      <c r="V82" s="223"/>
      <c r="W82" s="528" t="s">
        <v>392</v>
      </c>
      <c r="X82" s="1150"/>
      <c r="Y82" s="598"/>
      <c r="Z82" s="1151"/>
      <c r="AA82" s="223"/>
      <c r="AB82" s="599"/>
      <c r="AC82" s="191" t="s">
        <v>177</v>
      </c>
      <c r="AD82" s="557"/>
      <c r="AE82" s="557"/>
      <c r="AF82" s="557"/>
      <c r="AG82" s="557"/>
      <c r="AH82" s="557"/>
      <c r="AI82" s="557"/>
      <c r="AJ82" s="557"/>
      <c r="AK82" s="558"/>
      <c r="AL82" s="81"/>
      <c r="AM82" s="81"/>
      <c r="AN82" s="687"/>
      <c r="AO82" s="687"/>
      <c r="AP82" s="687"/>
      <c r="AQ82" s="198" t="s">
        <v>1160</v>
      </c>
      <c r="AR82" s="198"/>
    </row>
    <row r="83" spans="1:44" s="338" customFormat="1" ht="21.75" customHeight="1">
      <c r="A83" s="81"/>
      <c r="C83" s="223"/>
      <c r="D83" s="223"/>
      <c r="E83" s="595">
        <v>22.5</v>
      </c>
      <c r="F83" s="3" t="str" cm="1">
        <f t="array" aca="1" ref="F83" ca="1">OFFSET(E83,-1,1)</f>
        <v>2</v>
      </c>
      <c r="G83" s="280" t="s">
        <v>1168</v>
      </c>
      <c r="H83" s="396" t="s">
        <v>328</v>
      </c>
      <c r="I83" s="396"/>
      <c r="J83" s="223"/>
      <c r="K83" s="376" t="str">
        <f ca="1">F83&amp;"2komm"</f>
        <v>22komm</v>
      </c>
      <c r="L83" s="616" cm="1">
        <f t="array" ref="L83">AK83</f>
        <v>0</v>
      </c>
      <c r="M83" s="223"/>
      <c r="N83" s="223"/>
      <c r="O83" s="223"/>
      <c r="P83" s="223"/>
      <c r="Q83" s="223"/>
      <c r="R83" s="223"/>
      <c r="S83" s="223"/>
      <c r="T83" s="365" t="b" cm="1">
        <f t="array" aca="1" ref="T83" ca="1">T82</f>
        <v>1</v>
      </c>
      <c r="U83" s="223"/>
      <c r="V83" s="223"/>
      <c r="W83" s="223"/>
      <c r="X83" s="1150"/>
      <c r="Y83" s="598"/>
      <c r="Z83" s="1151"/>
      <c r="AA83" s="223"/>
      <c r="AB83" s="511" t="s">
        <v>285</v>
      </c>
      <c r="AC83" s="259" t="s">
        <v>1169</v>
      </c>
      <c r="AD83" s="28" t="s">
        <v>804</v>
      </c>
      <c r="AE83" s="160">
        <f ca="1">AE78*SUMIFS(INDEX(Сценарии!$AE$25:$BF$109,,MATCH(AE$13,Сценарии!$AE$8:$BF$8,0)),Сценарии!$F$25:$F$109,$F83,Сценарии!$G$25:$G$109,"СВФОТ")/100</f>
        <v>0</v>
      </c>
      <c r="AF83" s="160">
        <f ca="1">AF78*SUMIFS(INDEX(Сценарии!$AE$25:$BF$109,,MATCH(AF$13,Сценарии!$AE$8:$BF$8,0)),Сценарии!$F$25:$F$109,$F83,Сценарии!$G$25:$G$109,"СВФОТ")/100</f>
        <v>0</v>
      </c>
      <c r="AG83" s="160">
        <f ca="1">AG78*SUMIFS(INDEX(Сценарии!$AE$25:$BF$109,,MATCH(AG$13,Сценарии!$AE$8:$BF$8,0)),Сценарии!$F$25:$F$109,$F83,Сценарии!$G$25:$G$109,"СВФОТ")/100</f>
        <v>0</v>
      </c>
      <c r="AH83" s="160">
        <f ca="1">AH78*SUMIFS(INDEX(Сценарии!$AE$25:$BF$109,,MATCH(AH$13,Сценарии!$AE$8:$BF$8,0)),Сценарии!$F$25:$F$109,$F83,Сценарии!$G$25:$G$109,"СВФОТ")/100</f>
        <v>0</v>
      </c>
      <c r="AI83" s="160">
        <f ca="1">AI78*SUMIFS(INDEX(Сценарии!$AE$25:$BF$109,,MATCH(AI$13,Сценарии!$AE$8:$BF$8,0)),Сценарии!$F$25:$F$109,$F83,Сценарии!$G$25:$G$109,"СВФОТ")/100</f>
        <v>0</v>
      </c>
      <c r="AJ83" s="160">
        <f ca="1">AJ78*SUMIFS(INDEX(Сценарии!$AE$25:$BF$109,,MATCH(AJ$13,Сценарии!$AE$8:$BF$8,0)),Сценарии!$F$25:$F$109,$F83,Сценарии!$G$25:$G$109,"СВФОТ")/100</f>
        <v>0</v>
      </c>
      <c r="AK83" s="122"/>
      <c r="AL83" s="81"/>
      <c r="AM83" s="81"/>
      <c r="AN83" s="687" t="s">
        <v>1170</v>
      </c>
      <c r="AO83" s="687"/>
      <c r="AP83" s="687"/>
      <c r="AQ83" s="198"/>
      <c r="AR83" s="198"/>
    </row>
    <row r="84" spans="1:44" s="338" customFormat="1" ht="14.25" customHeight="1">
      <c r="A84" s="81"/>
      <c r="C84" s="223"/>
      <c r="D84" s="223"/>
      <c r="E84" s="595">
        <v>15</v>
      </c>
      <c r="F84" s="3" t="str" cm="1">
        <f t="array" aca="1" ref="F84" ca="1">OFFSET(E84,-1,1)</f>
        <v>2</v>
      </c>
      <c r="G84" s="280" t="s">
        <v>1171</v>
      </c>
      <c r="H84" s="396" t="s">
        <v>329</v>
      </c>
      <c r="I84" s="396"/>
      <c r="J84" s="223"/>
      <c r="K84" s="376" t="str">
        <f ca="1">F84&amp;"3komm"</f>
        <v>23komm</v>
      </c>
      <c r="L84" s="616" cm="1">
        <f t="array" ref="L84">AK84</f>
        <v>0</v>
      </c>
      <c r="M84" s="223"/>
      <c r="N84" s="223"/>
      <c r="O84" s="223"/>
      <c r="P84" s="223"/>
      <c r="Q84" s="223"/>
      <c r="R84" s="223"/>
      <c r="S84" s="223"/>
      <c r="T84" s="365" t="b" cm="1">
        <f t="array" aca="1" ref="T84" ca="1">T83</f>
        <v>1</v>
      </c>
      <c r="U84" s="223"/>
      <c r="V84" s="223"/>
      <c r="W84" s="223"/>
      <c r="X84" s="1150"/>
      <c r="Y84" s="598"/>
      <c r="Z84" s="1151"/>
      <c r="AA84" s="223"/>
      <c r="AB84" s="511" t="s">
        <v>325</v>
      </c>
      <c r="AC84" s="259" t="s">
        <v>1172</v>
      </c>
      <c r="AD84" s="28" t="s">
        <v>804</v>
      </c>
      <c r="AE84" s="160"/>
      <c r="AF84" s="160"/>
      <c r="AG84" s="160"/>
      <c r="AH84" s="160"/>
      <c r="AI84" s="145">
        <f>SUMIFS(AI85:AI88,$AD85:$AD88,$AD84)</f>
        <v>0</v>
      </c>
      <c r="AJ84" s="145">
        <f>SUMIFS(AJ85:AJ88,$AD85:$AD88,$AD84)</f>
        <v>0</v>
      </c>
      <c r="AK84" s="122"/>
      <c r="AL84" s="81"/>
      <c r="AM84" s="81"/>
      <c r="AN84" s="687" t="s">
        <v>1173</v>
      </c>
      <c r="AO84" s="687"/>
      <c r="AP84" s="687"/>
      <c r="AQ84" s="198"/>
      <c r="AR84" s="198"/>
    </row>
    <row r="85" spans="1:44" s="338" customFormat="1" ht="18" hidden="1" customHeight="1">
      <c r="A85" s="81"/>
      <c r="C85" s="223"/>
      <c r="D85" s="223"/>
      <c r="E85" s="595">
        <v>18.75</v>
      </c>
      <c r="F85" s="3" t="str" cm="1">
        <f t="array" aca="1" ref="F85" ca="1">OFFSET(E85,-1,1)</f>
        <v>2</v>
      </c>
      <c r="G85" s="396"/>
      <c r="H85" s="396" t="s">
        <v>329</v>
      </c>
      <c r="I85" s="396" cm="1">
        <f t="array" ref="I85">AC85</f>
        <v>0</v>
      </c>
      <c r="J85" s="223"/>
      <c r="K85" s="376"/>
      <c r="L85" s="376"/>
      <c r="M85" s="223"/>
      <c r="N85" s="223"/>
      <c r="O85" s="223"/>
      <c r="P85" s="223"/>
      <c r="Q85" s="223"/>
      <c r="R85" s="223"/>
      <c r="S85" s="223"/>
      <c r="T85" s="365" t="b">
        <f ca="1">AND(F85&gt;0,Y85&gt;0)</f>
        <v>0</v>
      </c>
      <c r="U85" s="223"/>
      <c r="V85" s="223"/>
      <c r="W85" s="223" t="s">
        <v>173</v>
      </c>
      <c r="X85" s="1150"/>
      <c r="Y85" s="1150">
        <v>0</v>
      </c>
      <c r="Z85" s="1151"/>
      <c r="AA85" s="1146" t="s">
        <v>174</v>
      </c>
      <c r="AB85" s="26" t="str">
        <f>"3."&amp;Y85</f>
        <v>3.0</v>
      </c>
      <c r="AC85" s="789"/>
      <c r="AD85" s="28" t="s">
        <v>804</v>
      </c>
      <c r="AE85" s="28"/>
      <c r="AF85" s="28"/>
      <c r="AG85" s="28"/>
      <c r="AH85" s="28"/>
      <c r="AI85" s="787">
        <f>AI86*AI87*12/1000</f>
        <v>0</v>
      </c>
      <c r="AJ85" s="787">
        <f>AJ86*AJ87*12/1000</f>
        <v>0</v>
      </c>
      <c r="AK85" s="832"/>
      <c r="AL85" s="81"/>
      <c r="AM85" s="81"/>
      <c r="AN85" s="687" t="s">
        <v>1159</v>
      </c>
      <c r="AO85" s="687" t="s">
        <v>1174</v>
      </c>
      <c r="AP85" s="687" cm="1">
        <f t="array" ref="AP85">AC85</f>
        <v>0</v>
      </c>
      <c r="AQ85" s="198"/>
      <c r="AR85" s="198" t="b">
        <v>1</v>
      </c>
    </row>
    <row r="86" spans="1:44" s="338" customFormat="1" ht="14.25" hidden="1" customHeight="1">
      <c r="A86" s="81"/>
      <c r="C86" s="223"/>
      <c r="D86" s="223"/>
      <c r="E86" s="595">
        <v>15</v>
      </c>
      <c r="F86" s="3" t="str" cm="1">
        <f t="array" aca="1" ref="F86" ca="1">OFFSET(E86,-1,1)</f>
        <v>2</v>
      </c>
      <c r="G86" s="396" t="s">
        <v>1175</v>
      </c>
      <c r="H86" s="396" t="str">
        <f>H85&amp;"_1"</f>
        <v>l3_1</v>
      </c>
      <c r="I86" s="396" cm="1">
        <f t="array" ref="I86">I85</f>
        <v>0</v>
      </c>
      <c r="J86" s="223"/>
      <c r="K86" s="376"/>
      <c r="L86" s="376"/>
      <c r="M86" s="223"/>
      <c r="N86" s="223"/>
      <c r="O86" s="223"/>
      <c r="P86" s="223"/>
      <c r="Q86" s="223"/>
      <c r="R86" s="223"/>
      <c r="S86" s="223"/>
      <c r="T86" s="365" t="b" cm="1">
        <f t="array" aca="1" ref="T86" ca="1">T85</f>
        <v>0</v>
      </c>
      <c r="U86" s="223"/>
      <c r="V86" s="223"/>
      <c r="W86" s="223"/>
      <c r="X86" s="1150"/>
      <c r="Y86" s="1150"/>
      <c r="Z86" s="1151"/>
      <c r="AA86" s="1146"/>
      <c r="AB86" s="511" t="str">
        <f>AB85&amp;".1"</f>
        <v>3.0.1</v>
      </c>
      <c r="AC86" s="153" t="s">
        <v>1162</v>
      </c>
      <c r="AD86" s="28" t="s">
        <v>1163</v>
      </c>
      <c r="AE86" s="28"/>
      <c r="AF86" s="28"/>
      <c r="AG86" s="28"/>
      <c r="AH86" s="28"/>
      <c r="AI86" s="790"/>
      <c r="AJ86" s="790"/>
      <c r="AK86" s="832"/>
      <c r="AL86" s="81"/>
      <c r="AM86" s="81"/>
      <c r="AN86" s="687" t="s">
        <v>1164</v>
      </c>
      <c r="AO86" s="687" t="s">
        <v>1174</v>
      </c>
      <c r="AP86" s="687" cm="1">
        <f t="array" ref="AP86">AP85</f>
        <v>0</v>
      </c>
      <c r="AQ86" s="198"/>
      <c r="AR86" s="198"/>
    </row>
    <row r="87" spans="1:44" s="338" customFormat="1" ht="14.25" hidden="1" customHeight="1">
      <c r="A87" s="81"/>
      <c r="C87" s="223"/>
      <c r="D87" s="223"/>
      <c r="E87" s="595">
        <v>15</v>
      </c>
      <c r="F87" s="3" t="str" cm="1">
        <f t="array" aca="1" ref="F87" ca="1">OFFSET(E87,-1,1)</f>
        <v>2</v>
      </c>
      <c r="G87" s="396"/>
      <c r="H87" s="396" t="str">
        <f>H85&amp;"_2"</f>
        <v>l3_2</v>
      </c>
      <c r="I87" s="396" cm="1">
        <f t="array" ref="I87">I86</f>
        <v>0</v>
      </c>
      <c r="J87" s="223"/>
      <c r="K87" s="376"/>
      <c r="L87" s="376"/>
      <c r="M87" s="223"/>
      <c r="N87" s="223"/>
      <c r="O87" s="223"/>
      <c r="P87" s="223"/>
      <c r="Q87" s="223"/>
      <c r="R87" s="223"/>
      <c r="S87" s="223"/>
      <c r="T87" s="365" t="b" cm="1">
        <f t="array" aca="1" ref="T87" ca="1">T86</f>
        <v>0</v>
      </c>
      <c r="U87" s="223"/>
      <c r="V87" s="223"/>
      <c r="W87" s="223"/>
      <c r="X87" s="1150"/>
      <c r="Y87" s="1150"/>
      <c r="Z87" s="1151"/>
      <c r="AA87" s="1146"/>
      <c r="AB87" s="511" t="str">
        <f>AB85&amp;".2"</f>
        <v>3.0.2</v>
      </c>
      <c r="AC87" s="153" t="s">
        <v>1165</v>
      </c>
      <c r="AD87" s="28" t="s">
        <v>1166</v>
      </c>
      <c r="AE87" s="28"/>
      <c r="AF87" s="28"/>
      <c r="AG87" s="28"/>
      <c r="AH87" s="28"/>
      <c r="AI87" s="790"/>
      <c r="AJ87" s="790"/>
      <c r="AK87" s="832"/>
      <c r="AL87" s="81"/>
      <c r="AM87" s="81"/>
      <c r="AN87" s="687" t="s">
        <v>1167</v>
      </c>
      <c r="AO87" s="687" t="s">
        <v>1174</v>
      </c>
      <c r="AP87" s="687" cm="1">
        <f t="array" ref="AP87">AP86</f>
        <v>0</v>
      </c>
      <c r="AQ87" s="198"/>
      <c r="AR87" s="198"/>
    </row>
    <row r="88" spans="1:44" s="338" customFormat="1" ht="14.25" customHeight="1">
      <c r="A88" s="81"/>
      <c r="C88" s="223"/>
      <c r="D88" s="223"/>
      <c r="E88" s="595">
        <v>15</v>
      </c>
      <c r="F88" s="3" t="str" cm="1">
        <f t="array" aca="1" ref="F88" ca="1">OFFSET(E88,-1,1)</f>
        <v>2</v>
      </c>
      <c r="G88" s="280"/>
      <c r="H88" s="396"/>
      <c r="I88" s="85" t="str">
        <f>"!=='не определено' &amp;&amp; row.l3 !== null"</f>
        <v>!=='не определено' &amp;&amp; row.l3 !== null</v>
      </c>
      <c r="J88" s="223"/>
      <c r="K88" s="376"/>
      <c r="L88" s="376"/>
      <c r="M88" s="223"/>
      <c r="N88" s="223"/>
      <c r="O88" s="223"/>
      <c r="P88" s="223"/>
      <c r="Q88" s="223"/>
      <c r="R88" s="223"/>
      <c r="S88" s="223"/>
      <c r="T88" s="365" t="b">
        <f ca="1">F88&gt;0</f>
        <v>1</v>
      </c>
      <c r="U88" s="223"/>
      <c r="V88" s="223"/>
      <c r="W88" s="528" t="s">
        <v>884</v>
      </c>
      <c r="X88" s="1150"/>
      <c r="Y88" s="598"/>
      <c r="Z88" s="1151"/>
      <c r="AA88" s="223"/>
      <c r="AB88" s="599"/>
      <c r="AC88" s="191" t="s">
        <v>177</v>
      </c>
      <c r="AD88" s="557"/>
      <c r="AE88" s="557"/>
      <c r="AF88" s="557"/>
      <c r="AG88" s="557"/>
      <c r="AH88" s="557"/>
      <c r="AI88" s="557"/>
      <c r="AJ88" s="557"/>
      <c r="AK88" s="558"/>
      <c r="AL88" s="81"/>
      <c r="AM88" s="81"/>
      <c r="AN88" s="687"/>
      <c r="AO88" s="687"/>
      <c r="AP88" s="687"/>
      <c r="AQ88" s="198" t="s">
        <v>1174</v>
      </c>
      <c r="AR88" s="198"/>
    </row>
    <row r="89" spans="1:44" s="338" customFormat="1" ht="21.75" customHeight="1">
      <c r="A89" s="81"/>
      <c r="C89" s="223"/>
      <c r="D89" s="223"/>
      <c r="E89" s="595">
        <v>22.5</v>
      </c>
      <c r="F89" s="3" t="str" cm="1">
        <f t="array" aca="1" ref="F89" ca="1">OFFSET(E89,-1,1)</f>
        <v>2</v>
      </c>
      <c r="G89" s="280" t="s">
        <v>1176</v>
      </c>
      <c r="H89" s="396" t="s">
        <v>331</v>
      </c>
      <c r="I89" s="396"/>
      <c r="J89" s="223"/>
      <c r="K89" s="376" t="str">
        <f ca="1">F89&amp;"4komm"</f>
        <v>24komm</v>
      </c>
      <c r="L89" s="616" cm="1">
        <f t="array" ref="L89">AK89</f>
        <v>0</v>
      </c>
      <c r="M89" s="223"/>
      <c r="N89" s="223"/>
      <c r="O89" s="223"/>
      <c r="P89" s="223"/>
      <c r="Q89" s="223"/>
      <c r="R89" s="223"/>
      <c r="S89" s="223"/>
      <c r="T89" s="365" t="b" cm="1">
        <f t="array" aca="1" ref="T89" ca="1">T88</f>
        <v>1</v>
      </c>
      <c r="U89" s="223"/>
      <c r="V89" s="223"/>
      <c r="W89" s="223"/>
      <c r="X89" s="1150"/>
      <c r="Y89" s="598"/>
      <c r="Z89" s="1151"/>
      <c r="AA89" s="223"/>
      <c r="AB89" s="511" t="s">
        <v>433</v>
      </c>
      <c r="AC89" s="259" t="s">
        <v>1177</v>
      </c>
      <c r="AD89" s="28" t="s">
        <v>804</v>
      </c>
      <c r="AE89" s="160">
        <f ca="1">AE84*SUMIFS(INDEX(Сценарии!$AE$25:$BF$109,,MATCH(AE$13,Сценарии!$AE$8:$BF$8,0)),Сценарии!$F$25:$F$109,$F89,Сценарии!$G$25:$G$109,"СВФОТ")/100</f>
        <v>0</v>
      </c>
      <c r="AF89" s="160">
        <f ca="1">AF84*SUMIFS(INDEX(Сценарии!$AE$25:$BF$109,,MATCH(AF$13,Сценарии!$AE$8:$BF$8,0)),Сценарии!$F$25:$F$109,$F89,Сценарии!$G$25:$G$109,"СВФОТ")/100</f>
        <v>0</v>
      </c>
      <c r="AG89" s="160">
        <f ca="1">AG84*SUMIFS(INDEX(Сценарии!$AE$25:$BF$109,,MATCH(AG$13,Сценарии!$AE$8:$BF$8,0)),Сценарии!$F$25:$F$109,$F89,Сценарии!$G$25:$G$109,"СВФОТ")/100</f>
        <v>0</v>
      </c>
      <c r="AH89" s="160">
        <f ca="1">AH84*SUMIFS(INDEX(Сценарии!$AE$25:$BF$109,,MATCH(AH$13,Сценарии!$AE$8:$BF$8,0)),Сценарии!$F$25:$F$109,$F89,Сценарии!$G$25:$G$109,"СВФОТ")/100</f>
        <v>0</v>
      </c>
      <c r="AI89" s="160">
        <f ca="1">AI84*SUMIFS(INDEX(Сценарии!$AE$25:$BF$109,,MATCH(AI$13,Сценарии!$AE$8:$BF$8,0)),Сценарии!$F$25:$F$109,$F89,Сценарии!$G$25:$G$109,"СВФОТ")/100</f>
        <v>0</v>
      </c>
      <c r="AJ89" s="160">
        <f ca="1">AJ84*SUMIFS(INDEX(Сценарии!$AE$25:$BF$109,,MATCH(AJ$13,Сценарии!$AE$8:$BF$8,0)),Сценарии!$F$25:$F$109,$F89,Сценарии!$G$25:$G$109,"СВФОТ")/100</f>
        <v>0</v>
      </c>
      <c r="AK89" s="122"/>
      <c r="AL89" s="81"/>
      <c r="AM89" s="81"/>
      <c r="AN89" s="687" t="s">
        <v>1178</v>
      </c>
      <c r="AO89" s="687"/>
      <c r="AP89" s="687"/>
      <c r="AQ89" s="198"/>
      <c r="AR89" s="198"/>
    </row>
    <row r="90" spans="1:44" s="338" customFormat="1" ht="21.75" customHeight="1">
      <c r="A90" s="81"/>
      <c r="C90" s="223"/>
      <c r="D90" s="223"/>
      <c r="E90" s="595">
        <v>22.5</v>
      </c>
      <c r="F90" s="3" t="str" cm="1">
        <f t="array" aca="1" ref="F90" ca="1">OFFSET(E90,-1,1)</f>
        <v>2</v>
      </c>
      <c r="G90" s="280" t="s">
        <v>1179</v>
      </c>
      <c r="H90" s="396" t="s">
        <v>330</v>
      </c>
      <c r="I90" s="396"/>
      <c r="J90" s="223"/>
      <c r="K90" s="376" t="str">
        <f ca="1">F90&amp;"5komm"</f>
        <v>25komm</v>
      </c>
      <c r="L90" s="616" cm="1">
        <f t="array" ref="L90">AK90</f>
        <v>0</v>
      </c>
      <c r="M90" s="223"/>
      <c r="N90" s="223"/>
      <c r="O90" s="223"/>
      <c r="P90" s="223"/>
      <c r="Q90" s="223"/>
      <c r="R90" s="223"/>
      <c r="S90" s="223"/>
      <c r="T90" s="365" t="b" cm="1">
        <f t="array" aca="1" ref="T90" ca="1">T89</f>
        <v>1</v>
      </c>
      <c r="U90" s="223"/>
      <c r="V90" s="223"/>
      <c r="W90" s="223"/>
      <c r="X90" s="1150"/>
      <c r="Y90" s="598"/>
      <c r="Z90" s="1151"/>
      <c r="AA90" s="223"/>
      <c r="AB90" s="511" t="s">
        <v>444</v>
      </c>
      <c r="AC90" s="259" t="s">
        <v>1180</v>
      </c>
      <c r="AD90" s="28" t="s">
        <v>804</v>
      </c>
      <c r="AE90" s="160"/>
      <c r="AF90" s="160"/>
      <c r="AG90" s="160"/>
      <c r="AH90" s="160"/>
      <c r="AI90" s="145">
        <f>SUMIFS(AI91:AI94,$AD91:$AD94,$AD90)</f>
        <v>0</v>
      </c>
      <c r="AJ90" s="145">
        <f>SUMIFS(AJ91:AJ94,$AD91:$AD94,$AD90)</f>
        <v>0</v>
      </c>
      <c r="AK90" s="122"/>
      <c r="AL90" s="81"/>
      <c r="AM90" s="81"/>
      <c r="AN90" s="687" t="s">
        <v>1181</v>
      </c>
      <c r="AO90" s="687"/>
      <c r="AP90" s="687"/>
      <c r="AQ90" s="198"/>
      <c r="AR90" s="198"/>
    </row>
    <row r="91" spans="1:44" s="338" customFormat="1" ht="18" hidden="1" customHeight="1">
      <c r="A91" s="81"/>
      <c r="C91" s="223"/>
      <c r="D91" s="223"/>
      <c r="E91" s="595">
        <v>18.75</v>
      </c>
      <c r="F91" s="3" t="str" cm="1">
        <f t="array" aca="1" ref="F91" ca="1">OFFSET(E91,-1,1)</f>
        <v>2</v>
      </c>
      <c r="G91" s="396"/>
      <c r="H91" s="396" t="s">
        <v>330</v>
      </c>
      <c r="I91" s="396" cm="1">
        <f t="array" ref="I91">AC91</f>
        <v>0</v>
      </c>
      <c r="J91" s="223"/>
      <c r="K91" s="376"/>
      <c r="L91" s="376"/>
      <c r="M91" s="223"/>
      <c r="N91" s="223"/>
      <c r="O91" s="223"/>
      <c r="P91" s="223"/>
      <c r="Q91" s="223"/>
      <c r="R91" s="223"/>
      <c r="S91" s="223"/>
      <c r="T91" s="365" t="b">
        <f ca="1">AND(F91&gt;0,Y91&gt;0)</f>
        <v>0</v>
      </c>
      <c r="U91" s="223"/>
      <c r="V91" s="223"/>
      <c r="W91" s="223" t="s">
        <v>173</v>
      </c>
      <c r="X91" s="1150"/>
      <c r="Y91" s="1150">
        <v>0</v>
      </c>
      <c r="Z91" s="1151"/>
      <c r="AA91" s="1146" t="s">
        <v>174</v>
      </c>
      <c r="AB91" s="26" t="str">
        <f>"5."&amp;Y91</f>
        <v>5.0</v>
      </c>
      <c r="AC91" s="789"/>
      <c r="AD91" s="28" t="s">
        <v>804</v>
      </c>
      <c r="AE91" s="28"/>
      <c r="AF91" s="28"/>
      <c r="AG91" s="28"/>
      <c r="AH91" s="28"/>
      <c r="AI91" s="787">
        <f>AI92*AI93*12/1000</f>
        <v>0</v>
      </c>
      <c r="AJ91" s="787">
        <f>AJ92*AJ93*12/1000</f>
        <v>0</v>
      </c>
      <c r="AK91" s="832"/>
      <c r="AL91" s="81"/>
      <c r="AM91" s="81"/>
      <c r="AN91" s="687" t="s">
        <v>1159</v>
      </c>
      <c r="AO91" s="687" t="s">
        <v>1182</v>
      </c>
      <c r="AP91" s="687" cm="1">
        <f t="array" ref="AP91">AC91</f>
        <v>0</v>
      </c>
      <c r="AQ91" s="198"/>
      <c r="AR91" s="198" t="b">
        <v>1</v>
      </c>
    </row>
    <row r="92" spans="1:44" s="338" customFormat="1" ht="14.25" hidden="1" customHeight="1">
      <c r="A92" s="81"/>
      <c r="C92" s="223"/>
      <c r="D92" s="223"/>
      <c r="E92" s="595">
        <v>15</v>
      </c>
      <c r="F92" s="3" t="str" cm="1">
        <f t="array" aca="1" ref="F92" ca="1">OFFSET(E92,-1,1)</f>
        <v>2</v>
      </c>
      <c r="G92" s="396"/>
      <c r="H92" s="396" t="str">
        <f>H91&amp;"_1"</f>
        <v>l5_1</v>
      </c>
      <c r="I92" s="396" cm="1">
        <f t="array" ref="I92">I91</f>
        <v>0</v>
      </c>
      <c r="J92" s="223"/>
      <c r="K92" s="376"/>
      <c r="L92" s="376"/>
      <c r="M92" s="223"/>
      <c r="N92" s="223"/>
      <c r="O92" s="223"/>
      <c r="P92" s="223"/>
      <c r="Q92" s="223"/>
      <c r="R92" s="223"/>
      <c r="S92" s="223"/>
      <c r="T92" s="365" t="b" cm="1">
        <f t="array" aca="1" ref="T92" ca="1">T91</f>
        <v>0</v>
      </c>
      <c r="U92" s="223"/>
      <c r="V92" s="223"/>
      <c r="W92" s="223"/>
      <c r="X92" s="1150"/>
      <c r="Y92" s="1150"/>
      <c r="Z92" s="1151"/>
      <c r="AA92" s="1146"/>
      <c r="AB92" s="511" t="str">
        <f>AB91&amp;".1"</f>
        <v>5.0.1</v>
      </c>
      <c r="AC92" s="153" t="s">
        <v>1162</v>
      </c>
      <c r="AD92" s="28" t="s">
        <v>1163</v>
      </c>
      <c r="AE92" s="28"/>
      <c r="AF92" s="28"/>
      <c r="AG92" s="28"/>
      <c r="AH92" s="28"/>
      <c r="AI92" s="790"/>
      <c r="AJ92" s="790"/>
      <c r="AK92" s="832"/>
      <c r="AL92" s="81"/>
      <c r="AM92" s="81"/>
      <c r="AN92" s="687" t="s">
        <v>1164</v>
      </c>
      <c r="AO92" s="687" t="s">
        <v>1182</v>
      </c>
      <c r="AP92" s="687" cm="1">
        <f t="array" ref="AP92">AP91</f>
        <v>0</v>
      </c>
      <c r="AQ92" s="198"/>
      <c r="AR92" s="198"/>
    </row>
    <row r="93" spans="1:44" s="338" customFormat="1" ht="14.25" hidden="1" customHeight="1">
      <c r="A93" s="81"/>
      <c r="C93" s="223"/>
      <c r="D93" s="223"/>
      <c r="E93" s="595">
        <v>15</v>
      </c>
      <c r="F93" s="3" t="str" cm="1">
        <f t="array" aca="1" ref="F93" ca="1">OFFSET(E93,-1,1)</f>
        <v>2</v>
      </c>
      <c r="G93" s="396"/>
      <c r="H93" s="396" t="str">
        <f>H91&amp;"_2"</f>
        <v>l5_2</v>
      </c>
      <c r="I93" s="396" cm="1">
        <f t="array" ref="I93">I92</f>
        <v>0</v>
      </c>
      <c r="J93" s="223"/>
      <c r="K93" s="376"/>
      <c r="L93" s="376"/>
      <c r="M93" s="223"/>
      <c r="N93" s="223"/>
      <c r="O93" s="223"/>
      <c r="P93" s="223"/>
      <c r="Q93" s="223"/>
      <c r="R93" s="223"/>
      <c r="S93" s="223"/>
      <c r="T93" s="365" t="b" cm="1">
        <f t="array" aca="1" ref="T93" ca="1">T92</f>
        <v>0</v>
      </c>
      <c r="U93" s="223"/>
      <c r="V93" s="223"/>
      <c r="W93" s="223"/>
      <c r="X93" s="1150"/>
      <c r="Y93" s="1150"/>
      <c r="Z93" s="1151"/>
      <c r="AA93" s="1146"/>
      <c r="AB93" s="511" t="str">
        <f>AB91&amp;".2"</f>
        <v>5.0.2</v>
      </c>
      <c r="AC93" s="153" t="s">
        <v>1165</v>
      </c>
      <c r="AD93" s="28" t="s">
        <v>1166</v>
      </c>
      <c r="AE93" s="28"/>
      <c r="AF93" s="28"/>
      <c r="AG93" s="28"/>
      <c r="AH93" s="28"/>
      <c r="AI93" s="790"/>
      <c r="AJ93" s="790"/>
      <c r="AK93" s="832"/>
      <c r="AL93" s="81"/>
      <c r="AM93" s="81"/>
      <c r="AN93" s="687" t="s">
        <v>1167</v>
      </c>
      <c r="AO93" s="687" t="s">
        <v>1182</v>
      </c>
      <c r="AP93" s="687" cm="1">
        <f t="array" ref="AP93">AP92</f>
        <v>0</v>
      </c>
      <c r="AQ93" s="198"/>
      <c r="AR93" s="198"/>
    </row>
    <row r="94" spans="1:44" s="338" customFormat="1" ht="14.25" customHeight="1">
      <c r="A94" s="81"/>
      <c r="C94" s="223"/>
      <c r="D94" s="223"/>
      <c r="E94" s="595">
        <v>15</v>
      </c>
      <c r="F94" s="3" t="str" cm="1">
        <f t="array" aca="1" ref="F94" ca="1">OFFSET(E94,-1,1)</f>
        <v>2</v>
      </c>
      <c r="G94" s="280"/>
      <c r="H94" s="396"/>
      <c r="I94" s="85" t="str">
        <f>"!=='не определено' &amp;&amp; row.l5 !== null"</f>
        <v>!=='не определено' &amp;&amp; row.l5 !== null</v>
      </c>
      <c r="J94" s="223"/>
      <c r="K94" s="376"/>
      <c r="L94" s="376"/>
      <c r="M94" s="223"/>
      <c r="N94" s="223"/>
      <c r="O94" s="223"/>
      <c r="P94" s="223"/>
      <c r="Q94" s="223"/>
      <c r="R94" s="223"/>
      <c r="S94" s="223"/>
      <c r="T94" s="365" t="b">
        <f ca="1">F94&gt;0</f>
        <v>1</v>
      </c>
      <c r="U94" s="223"/>
      <c r="V94" s="223"/>
      <c r="W94" s="528" t="s">
        <v>1183</v>
      </c>
      <c r="X94" s="1150"/>
      <c r="Y94" s="598"/>
      <c r="Z94" s="1151"/>
      <c r="AA94" s="223"/>
      <c r="AB94" s="599"/>
      <c r="AC94" s="191" t="s">
        <v>177</v>
      </c>
      <c r="AD94" s="557"/>
      <c r="AE94" s="557"/>
      <c r="AF94" s="557"/>
      <c r="AG94" s="557"/>
      <c r="AH94" s="557"/>
      <c r="AI94" s="557"/>
      <c r="AJ94" s="557"/>
      <c r="AK94" s="558"/>
      <c r="AL94" s="81"/>
      <c r="AM94" s="81"/>
      <c r="AN94" s="687"/>
      <c r="AO94" s="687"/>
      <c r="AP94" s="687"/>
      <c r="AQ94" s="198" t="s">
        <v>1182</v>
      </c>
      <c r="AR94" s="198"/>
    </row>
    <row r="95" spans="1:44" s="338" customFormat="1" ht="21.75" customHeight="1">
      <c r="A95" s="81"/>
      <c r="C95" s="223"/>
      <c r="D95" s="223"/>
      <c r="E95" s="595">
        <v>22.5</v>
      </c>
      <c r="F95" s="3" t="str" cm="1">
        <f t="array" aca="1" ref="F95" ca="1">OFFSET(E95,-1,1)</f>
        <v>2</v>
      </c>
      <c r="G95" s="280" t="s">
        <v>1184</v>
      </c>
      <c r="H95" s="396" t="s">
        <v>511</v>
      </c>
      <c r="I95" s="396"/>
      <c r="J95" s="223"/>
      <c r="K95" s="376" t="str">
        <f ca="1">F95&amp;"6komm"</f>
        <v>26komm</v>
      </c>
      <c r="L95" s="376" cm="1">
        <f t="array" ref="L95">AK95</f>
        <v>0</v>
      </c>
      <c r="M95" s="223"/>
      <c r="N95" s="223"/>
      <c r="O95" s="223"/>
      <c r="P95" s="223"/>
      <c r="Q95" s="223"/>
      <c r="R95" s="223"/>
      <c r="S95" s="223"/>
      <c r="T95" s="365" t="b" cm="1">
        <f t="array" aca="1" ref="T95" ca="1">T94</f>
        <v>1</v>
      </c>
      <c r="U95" s="223"/>
      <c r="V95" s="223"/>
      <c r="W95" s="223"/>
      <c r="X95" s="1150"/>
      <c r="Y95" s="598"/>
      <c r="Z95" s="1151"/>
      <c r="AA95" s="223"/>
      <c r="AB95" s="511" t="s">
        <v>447</v>
      </c>
      <c r="AC95" s="259" t="s">
        <v>1185</v>
      </c>
      <c r="AD95" s="28" t="s">
        <v>804</v>
      </c>
      <c r="AE95" s="160">
        <f ca="1">AE90*SUMIFS(INDEX(Сценарии!$AE$25:$BF$109,,MATCH(AE$13,Сценарии!$AE$8:$BF$8,0)),Сценарии!$F$25:$F$109,$F95,Сценарии!$G$25:$G$109,"СВФОТ")/100</f>
        <v>0</v>
      </c>
      <c r="AF95" s="160">
        <f ca="1">AF90*SUMIFS(INDEX(Сценарии!$AE$25:$BF$109,,MATCH(AF$13,Сценарии!$AE$8:$BF$8,0)),Сценарии!$F$25:$F$109,$F95,Сценарии!$G$25:$G$109,"СВФОТ")/100</f>
        <v>0</v>
      </c>
      <c r="AG95" s="160">
        <f ca="1">AG90*SUMIFS(INDEX(Сценарии!$AE$25:$BF$109,,MATCH(AG$13,Сценарии!$AE$8:$BF$8,0)),Сценарии!$F$25:$F$109,$F95,Сценарии!$G$25:$G$109,"СВФОТ")/100</f>
        <v>0</v>
      </c>
      <c r="AH95" s="160">
        <f ca="1">AH90*SUMIFS(INDEX(Сценарии!$AE$25:$BF$109,,MATCH(AH$13,Сценарии!$AE$8:$BF$8,0)),Сценарии!$F$25:$F$109,$F95,Сценарии!$G$25:$G$109,"СВФОТ")/100</f>
        <v>0</v>
      </c>
      <c r="AI95" s="160">
        <f ca="1">AI90*SUMIFS(INDEX(Сценарии!$AE$25:$BF$109,,MATCH(AI$13,Сценарии!$AE$8:$BF$8,0)),Сценарии!$F$25:$F$109,$F95,Сценарии!$G$25:$G$109,"СВФОТ")/100</f>
        <v>0</v>
      </c>
      <c r="AJ95" s="160">
        <f ca="1">AJ90*SUMIFS(INDEX(Сценарии!$AE$25:$BF$109,,MATCH(AJ$13,Сценарии!$AE$8:$BF$8,0)),Сценарии!$F$25:$F$109,$F95,Сценарии!$G$25:$G$109,"СВФОТ")/100</f>
        <v>0</v>
      </c>
      <c r="AK95" s="617"/>
      <c r="AL95" s="81"/>
      <c r="AM95" s="81"/>
      <c r="AN95" s="687" t="s">
        <v>1186</v>
      </c>
      <c r="AO95" s="687"/>
      <c r="AP95" s="687"/>
      <c r="AQ95" s="198"/>
      <c r="AR95" s="198"/>
    </row>
    <row r="96" spans="1:44" s="338" customFormat="1" ht="14.25" customHeight="1">
      <c r="A96" s="81"/>
      <c r="C96" s="223"/>
      <c r="D96" s="223"/>
      <c r="E96" s="595">
        <v>15</v>
      </c>
      <c r="F96" s="3" t="str" cm="1">
        <f t="array" aca="1" ref="F96" ca="1">OFFSET(E96,-1,1)</f>
        <v>2</v>
      </c>
      <c r="G96" s="280" t="s">
        <v>1187</v>
      </c>
      <c r="H96" s="396" t="s">
        <v>514</v>
      </c>
      <c r="I96" s="396"/>
      <c r="J96" s="223"/>
      <c r="K96" s="376" t="str">
        <f ca="1">F96&amp;"7komm"</f>
        <v>27komm</v>
      </c>
      <c r="L96" s="376" cm="1">
        <f t="array" ref="L96">AK96</f>
        <v>0</v>
      </c>
      <c r="M96" s="223"/>
      <c r="N96" s="223"/>
      <c r="O96" s="223"/>
      <c r="P96" s="223"/>
      <c r="Q96" s="223"/>
      <c r="R96" s="223"/>
      <c r="S96" s="223"/>
      <c r="T96" s="365" t="b" cm="1">
        <f t="array" aca="1" ref="T96" ca="1">T95</f>
        <v>1</v>
      </c>
      <c r="U96" s="223"/>
      <c r="V96" s="223"/>
      <c r="W96" s="223"/>
      <c r="X96" s="1150"/>
      <c r="Y96" s="598"/>
      <c r="Z96" s="1151"/>
      <c r="AA96" s="223"/>
      <c r="AB96" s="511" t="s">
        <v>578</v>
      </c>
      <c r="AC96" s="259" t="s">
        <v>1188</v>
      </c>
      <c r="AD96" s="28" t="s">
        <v>804</v>
      </c>
      <c r="AE96" s="160"/>
      <c r="AF96" s="160"/>
      <c r="AG96" s="160"/>
      <c r="AH96" s="160"/>
      <c r="AI96" s="145">
        <f>SUMIFS(AI97:AI100,$AD97:$AD100,$AD96)</f>
        <v>0</v>
      </c>
      <c r="AJ96" s="145">
        <f>SUMIFS(AJ97:AJ100,$AD97:$AD100,$AD96)</f>
        <v>0</v>
      </c>
      <c r="AK96" s="617"/>
      <c r="AL96" s="81"/>
      <c r="AM96" s="81"/>
      <c r="AN96" s="687" t="s">
        <v>1189</v>
      </c>
      <c r="AO96" s="687"/>
      <c r="AP96" s="687"/>
      <c r="AQ96" s="198"/>
      <c r="AR96" s="198"/>
    </row>
    <row r="97" spans="1:44" s="338" customFormat="1" ht="18" hidden="1" customHeight="1">
      <c r="A97" s="81"/>
      <c r="B97" s="81"/>
      <c r="C97" s="223"/>
      <c r="D97" s="223"/>
      <c r="E97" s="595">
        <v>18.75</v>
      </c>
      <c r="F97" s="3" t="str" cm="1">
        <f t="array" aca="1" ref="F97" ca="1">OFFSET(E97,-1,1)</f>
        <v>2</v>
      </c>
      <c r="G97" s="396"/>
      <c r="H97" s="396" t="s">
        <v>514</v>
      </c>
      <c r="I97" s="396" cm="1">
        <f t="array" ref="I97">AC97</f>
        <v>0</v>
      </c>
      <c r="J97" s="223"/>
      <c r="K97" s="376"/>
      <c r="L97" s="376"/>
      <c r="M97" s="223"/>
      <c r="N97" s="223"/>
      <c r="O97" s="223"/>
      <c r="P97" s="223"/>
      <c r="Q97" s="223"/>
      <c r="R97" s="223"/>
      <c r="S97" s="223"/>
      <c r="T97" s="365" t="b">
        <f ca="1">AND(F97&gt;0,Y97&gt;0)</f>
        <v>0</v>
      </c>
      <c r="U97" s="223"/>
      <c r="V97" s="223"/>
      <c r="W97" s="223" t="s">
        <v>173</v>
      </c>
      <c r="X97" s="1150"/>
      <c r="Y97" s="1150">
        <v>0</v>
      </c>
      <c r="Z97" s="1151"/>
      <c r="AA97" s="1146" t="s">
        <v>174</v>
      </c>
      <c r="AB97" s="26" t="str">
        <f>"7."&amp;Y97</f>
        <v>7.0</v>
      </c>
      <c r="AC97" s="789"/>
      <c r="AD97" s="28" t="s">
        <v>804</v>
      </c>
      <c r="AE97" s="28"/>
      <c r="AF97" s="28"/>
      <c r="AG97" s="28"/>
      <c r="AH97" s="28"/>
      <c r="AI97" s="787">
        <f>AI98*AI99*12/1000</f>
        <v>0</v>
      </c>
      <c r="AJ97" s="787">
        <f>AJ98*AJ99*12/1000</f>
        <v>0</v>
      </c>
      <c r="AK97" s="832"/>
      <c r="AL97" s="81"/>
      <c r="AM97" s="81"/>
      <c r="AN97" s="687" t="s">
        <v>1159</v>
      </c>
      <c r="AO97" s="687" t="s">
        <v>1190</v>
      </c>
      <c r="AP97" s="687" cm="1">
        <f t="array" ref="AP97">AC97</f>
        <v>0</v>
      </c>
      <c r="AQ97" s="198"/>
      <c r="AR97" s="198" t="b">
        <v>1</v>
      </c>
    </row>
    <row r="98" spans="1:44" s="338" customFormat="1" ht="14.25" hidden="1" customHeight="1">
      <c r="A98" s="81"/>
      <c r="B98" s="81"/>
      <c r="C98" s="223"/>
      <c r="D98" s="223"/>
      <c r="E98" s="595">
        <v>15</v>
      </c>
      <c r="F98" s="3" t="str" cm="1">
        <f t="array" aca="1" ref="F98" ca="1">OFFSET(E98,-1,1)</f>
        <v>2</v>
      </c>
      <c r="G98" s="396"/>
      <c r="H98" s="396" t="str">
        <f>H97&amp;"_1"</f>
        <v>l7_1</v>
      </c>
      <c r="I98" s="396" cm="1">
        <f t="array" ref="I98">I97</f>
        <v>0</v>
      </c>
      <c r="J98" s="223"/>
      <c r="K98" s="376"/>
      <c r="L98" s="376"/>
      <c r="M98" s="223"/>
      <c r="N98" s="223"/>
      <c r="O98" s="223"/>
      <c r="P98" s="223"/>
      <c r="Q98" s="223"/>
      <c r="R98" s="223"/>
      <c r="S98" s="223"/>
      <c r="T98" s="365" t="b" cm="1">
        <f t="array" aca="1" ref="T98" ca="1">T97</f>
        <v>0</v>
      </c>
      <c r="U98" s="223"/>
      <c r="V98" s="223"/>
      <c r="W98" s="223"/>
      <c r="X98" s="1150"/>
      <c r="Y98" s="1150"/>
      <c r="Z98" s="1151"/>
      <c r="AA98" s="1146"/>
      <c r="AB98" s="511" t="str">
        <f>AB97&amp;".1"</f>
        <v>7.0.1</v>
      </c>
      <c r="AC98" s="153" t="s">
        <v>1162</v>
      </c>
      <c r="AD98" s="28" t="s">
        <v>1163</v>
      </c>
      <c r="AE98" s="28"/>
      <c r="AF98" s="28"/>
      <c r="AG98" s="28"/>
      <c r="AH98" s="28"/>
      <c r="AI98" s="790"/>
      <c r="AJ98" s="790"/>
      <c r="AK98" s="832"/>
      <c r="AL98" s="81"/>
      <c r="AM98" s="81"/>
      <c r="AN98" s="687" t="s">
        <v>1164</v>
      </c>
      <c r="AO98" s="687" t="s">
        <v>1190</v>
      </c>
      <c r="AP98" s="687" cm="1">
        <f t="array" ref="AP98">AP97</f>
        <v>0</v>
      </c>
      <c r="AQ98" s="198"/>
      <c r="AR98" s="198"/>
    </row>
    <row r="99" spans="1:44" s="338" customFormat="1" ht="14.25" hidden="1" customHeight="1">
      <c r="A99" s="81"/>
      <c r="B99" s="81"/>
      <c r="C99" s="223"/>
      <c r="D99" s="223"/>
      <c r="E99" s="595">
        <v>15</v>
      </c>
      <c r="F99" s="3" t="str" cm="1">
        <f t="array" aca="1" ref="F99" ca="1">OFFSET(E99,-1,1)</f>
        <v>2</v>
      </c>
      <c r="G99" s="396"/>
      <c r="H99" s="396" t="str">
        <f>H97&amp;"_2"</f>
        <v>l7_2</v>
      </c>
      <c r="I99" s="396" cm="1">
        <f t="array" ref="I99">I98</f>
        <v>0</v>
      </c>
      <c r="J99" s="223"/>
      <c r="K99" s="376"/>
      <c r="L99" s="376"/>
      <c r="M99" s="223"/>
      <c r="N99" s="223"/>
      <c r="O99" s="223"/>
      <c r="P99" s="223"/>
      <c r="Q99" s="223"/>
      <c r="R99" s="223"/>
      <c r="S99" s="223"/>
      <c r="T99" s="365" t="b" cm="1">
        <f t="array" aca="1" ref="T99" ca="1">T98</f>
        <v>0</v>
      </c>
      <c r="U99" s="223"/>
      <c r="V99" s="223"/>
      <c r="W99" s="223"/>
      <c r="X99" s="1150"/>
      <c r="Y99" s="1150"/>
      <c r="Z99" s="1151"/>
      <c r="AA99" s="1146"/>
      <c r="AB99" s="511" t="str">
        <f>AB97&amp;".2"</f>
        <v>7.0.2</v>
      </c>
      <c r="AC99" s="153" t="s">
        <v>1165</v>
      </c>
      <c r="AD99" s="28" t="s">
        <v>1166</v>
      </c>
      <c r="AE99" s="28"/>
      <c r="AF99" s="28"/>
      <c r="AG99" s="28"/>
      <c r="AH99" s="28"/>
      <c r="AI99" s="790"/>
      <c r="AJ99" s="790"/>
      <c r="AK99" s="832"/>
      <c r="AL99" s="81"/>
      <c r="AM99" s="81"/>
      <c r="AN99" s="687" t="s">
        <v>1167</v>
      </c>
      <c r="AO99" s="687" t="s">
        <v>1190</v>
      </c>
      <c r="AP99" s="687" cm="1">
        <f t="array" ref="AP99">AP98</f>
        <v>0</v>
      </c>
      <c r="AQ99" s="198"/>
      <c r="AR99" s="198"/>
    </row>
    <row r="100" spans="1:44" s="338" customFormat="1" ht="14.25" customHeight="1">
      <c r="A100" s="81"/>
      <c r="C100" s="223"/>
      <c r="D100" s="223"/>
      <c r="E100" s="595">
        <v>15</v>
      </c>
      <c r="F100" s="3" t="str" cm="1">
        <f t="array" aca="1" ref="F100" ca="1">OFFSET(E100,-1,1)</f>
        <v>2</v>
      </c>
      <c r="G100" s="280"/>
      <c r="H100" s="396"/>
      <c r="I100" s="85" t="str">
        <f>"!=='не определено' &amp;&amp; row.l7 !== null"</f>
        <v>!=='не определено' &amp;&amp; row.l7 !== null</v>
      </c>
      <c r="J100" s="223"/>
      <c r="K100" s="376"/>
      <c r="L100" s="376"/>
      <c r="M100" s="223"/>
      <c r="N100" s="223"/>
      <c r="O100" s="223"/>
      <c r="P100" s="223"/>
      <c r="Q100" s="223"/>
      <c r="R100" s="223"/>
      <c r="S100" s="223"/>
      <c r="T100" s="365" t="b">
        <f ca="1">F100&gt;0</f>
        <v>1</v>
      </c>
      <c r="U100" s="223"/>
      <c r="V100" s="223"/>
      <c r="W100" s="528" t="s">
        <v>1191</v>
      </c>
      <c r="X100" s="1150"/>
      <c r="Y100" s="223"/>
      <c r="Z100" s="1151"/>
      <c r="AA100" s="223"/>
      <c r="AB100" s="599"/>
      <c r="AC100" s="191" t="s">
        <v>177</v>
      </c>
      <c r="AD100" s="557"/>
      <c r="AE100" s="557"/>
      <c r="AF100" s="557"/>
      <c r="AG100" s="557"/>
      <c r="AH100" s="557"/>
      <c r="AI100" s="557"/>
      <c r="AJ100" s="557"/>
      <c r="AK100" s="558"/>
      <c r="AL100" s="81"/>
      <c r="AM100" s="81"/>
      <c r="AN100" s="687"/>
      <c r="AO100" s="687"/>
      <c r="AP100" s="687"/>
      <c r="AQ100" s="198" t="s">
        <v>1190</v>
      </c>
      <c r="AR100" s="198"/>
    </row>
    <row r="101" spans="1:44" s="338" customFormat="1" ht="21.75" customHeight="1">
      <c r="A101" s="81"/>
      <c r="C101" s="223"/>
      <c r="D101" s="223"/>
      <c r="E101" s="595">
        <v>22.5</v>
      </c>
      <c r="F101" s="3" t="str" cm="1">
        <f t="array" aca="1" ref="F101" ca="1">OFFSET(E101,-1,1)</f>
        <v>2</v>
      </c>
      <c r="G101" s="280" t="s">
        <v>1192</v>
      </c>
      <c r="H101" s="396" t="s">
        <v>562</v>
      </c>
      <c r="I101" s="396"/>
      <c r="J101" s="223"/>
      <c r="K101" s="376" t="str">
        <f ca="1">F101&amp;"8komm"</f>
        <v>28komm</v>
      </c>
      <c r="L101" s="616" cm="1">
        <f t="array" ref="L101">AK101</f>
        <v>0</v>
      </c>
      <c r="M101" s="223"/>
      <c r="N101" s="223"/>
      <c r="O101" s="223"/>
      <c r="P101" s="223"/>
      <c r="Q101" s="223"/>
      <c r="R101" s="223"/>
      <c r="S101" s="223"/>
      <c r="T101" s="365" t="b" cm="1">
        <f t="array" aca="1" ref="T101" ca="1">T100</f>
        <v>1</v>
      </c>
      <c r="U101" s="223"/>
      <c r="V101" s="223"/>
      <c r="W101" s="223"/>
      <c r="X101" s="1150"/>
      <c r="Y101" s="223"/>
      <c r="Z101" s="1151"/>
      <c r="AA101" s="223"/>
      <c r="AB101" s="511" t="s">
        <v>586</v>
      </c>
      <c r="AC101" s="259" t="s">
        <v>1193</v>
      </c>
      <c r="AD101" s="28" t="s">
        <v>804</v>
      </c>
      <c r="AE101" s="160">
        <f ca="1">AE96*SUMIFS(INDEX(Сценарии!$AE$25:$BF$109,,MATCH(AE$13,Сценарии!$AE$8:$BF$8,0)),Сценарии!$F$25:$F$109,$F101,Сценарии!$G$25:$G$109,"СВФОТ")/100</f>
        <v>0</v>
      </c>
      <c r="AF101" s="160">
        <f ca="1">AF96*SUMIFS(INDEX(Сценарии!$AE$25:$BF$109,,MATCH(AF$13,Сценарии!$AE$8:$BF$8,0)),Сценарии!$F$25:$F$109,$F101,Сценарии!$G$25:$G$109,"СВФОТ")/100</f>
        <v>0</v>
      </c>
      <c r="AG101" s="160">
        <f ca="1">AG96*SUMIFS(INDEX(Сценарии!$AE$25:$BF$109,,MATCH(AG$13,Сценарии!$AE$8:$BF$8,0)),Сценарии!$F$25:$F$109,$F101,Сценарии!$G$25:$G$109,"СВФОТ")/100</f>
        <v>0</v>
      </c>
      <c r="AH101" s="160">
        <f ca="1">AH96*SUMIFS(INDEX(Сценарии!$AE$25:$BF$109,,MATCH(AH$13,Сценарии!$AE$8:$BF$8,0)),Сценарии!$F$25:$F$109,$F101,Сценарии!$G$25:$G$109,"СВФОТ")/100</f>
        <v>0</v>
      </c>
      <c r="AI101" s="160">
        <f ca="1">AI96*SUMIFS(INDEX(Сценарии!$AE$25:$BF$109,,MATCH(AI$13,Сценарии!$AE$8:$BF$8,0)),Сценарии!$F$25:$F$109,$F101,Сценарии!$G$25:$G$109,"СВФОТ")/100</f>
        <v>0</v>
      </c>
      <c r="AJ101" s="160">
        <f ca="1">AJ96*SUMIFS(INDEX(Сценарии!$AE$25:$BF$109,,MATCH(AJ$13,Сценарии!$AE$8:$BF$8,0)),Сценарии!$F$25:$F$109,$F101,Сценарии!$G$25:$G$109,"СВФОТ")/100</f>
        <v>0</v>
      </c>
      <c r="AK101" s="122"/>
      <c r="AL101" s="81"/>
      <c r="AM101" s="81"/>
      <c r="AN101" s="687" t="s">
        <v>1194</v>
      </c>
      <c r="AO101" s="687"/>
      <c r="AP101" s="687"/>
      <c r="AQ101" s="198"/>
      <c r="AR101" s="198"/>
    </row>
    <row r="102" spans="1:44" ht="10.9" customHeight="1">
      <c r="A102" s="327"/>
      <c r="B102" s="490"/>
      <c r="C102" s="327"/>
      <c r="D102" s="327"/>
      <c r="E102" s="491">
        <v>11.25</v>
      </c>
      <c r="F102" s="327"/>
      <c r="G102" s="327"/>
      <c r="H102" s="327"/>
      <c r="I102" s="327"/>
      <c r="J102" s="327"/>
      <c r="K102" s="614"/>
      <c r="L102" s="614"/>
      <c r="M102" s="327"/>
      <c r="N102" s="327"/>
      <c r="O102" s="327"/>
      <c r="P102" s="327"/>
      <c r="Q102" s="327"/>
      <c r="R102" s="327"/>
      <c r="S102" s="327"/>
      <c r="T102" s="327"/>
      <c r="U102" s="327" t="s">
        <v>177</v>
      </c>
      <c r="V102" s="528" t="s">
        <v>1195</v>
      </c>
      <c r="W102" s="327"/>
      <c r="X102" s="327"/>
      <c r="Y102" s="327"/>
      <c r="Z102" s="327"/>
      <c r="AA102" s="327"/>
      <c r="AB102" s="327"/>
      <c r="AC102" s="327"/>
      <c r="AD102" s="327"/>
      <c r="AE102" s="327"/>
      <c r="AF102" s="327"/>
      <c r="AG102"/>
      <c r="AH102"/>
      <c r="AI102"/>
      <c r="AJ102"/>
      <c r="AK102"/>
      <c r="AL102"/>
      <c r="AM102"/>
      <c r="AN102" s="670"/>
      <c r="AO102" s="670"/>
      <c r="AP102" s="670"/>
      <c r="AQ102" s="465"/>
      <c r="AR102" s="465"/>
    </row>
    <row r="103" spans="1:44" ht="14.65" customHeight="1">
      <c r="C103" s="78"/>
      <c r="D103" s="78"/>
      <c r="E103" s="473">
        <v>15</v>
      </c>
      <c r="F103" s="78"/>
      <c r="G103" s="78"/>
      <c r="H103" s="78"/>
      <c r="I103" s="78"/>
      <c r="J103" s="78"/>
      <c r="M103" s="78"/>
      <c r="N103" s="78"/>
      <c r="O103" s="78"/>
      <c r="P103" s="78"/>
      <c r="Q103" s="78"/>
      <c r="R103" s="280"/>
      <c r="S103" s="78"/>
      <c r="T103" s="78"/>
      <c r="U103" s="78"/>
      <c r="V103" s="78"/>
      <c r="W103" s="78"/>
      <c r="X103" s="78"/>
      <c r="Y103" s="78"/>
      <c r="Z103" s="78"/>
      <c r="AA103" s="78"/>
      <c r="AB103" s="1088" t="s">
        <v>398</v>
      </c>
      <c r="AC103" s="1088"/>
      <c r="AD103" s="1088"/>
      <c r="AE103" s="1088"/>
      <c r="AF103" s="1088"/>
      <c r="AG103" s="1088"/>
      <c r="AH103" s="1088"/>
      <c r="AI103" s="1153"/>
      <c r="AJ103" s="1153"/>
      <c r="AK103" s="1153"/>
    </row>
    <row r="104" spans="1:44" ht="14.65" customHeight="1">
      <c r="E104" s="472">
        <v>15</v>
      </c>
      <c r="AA104" s="492"/>
      <c r="AB104" s="1097"/>
      <c r="AC104" s="1097"/>
      <c r="AD104" s="1097"/>
      <c r="AE104" s="1097"/>
      <c r="AF104" s="1097"/>
      <c r="AG104" s="1097"/>
      <c r="AH104" s="1097"/>
      <c r="AI104" s="1098"/>
      <c r="AJ104" s="1098"/>
      <c r="AK104" s="1098"/>
    </row>
    <row r="105" spans="1:44" ht="14.65" hidden="1" customHeight="1">
      <c r="E105" s="472">
        <v>15</v>
      </c>
      <c r="T105" s="365" t="b">
        <f>ROW(W105)&gt;ROW(W$105)</f>
        <v>0</v>
      </c>
      <c r="W105" s="528" t="s">
        <v>173</v>
      </c>
      <c r="AA105" s="493" t="s">
        <v>174</v>
      </c>
      <c r="AB105" s="1131" t="s">
        <v>225</v>
      </c>
      <c r="AC105" s="1131"/>
      <c r="AD105" s="1131"/>
      <c r="AE105" s="1131"/>
      <c r="AF105" s="1131"/>
      <c r="AG105" s="1131"/>
      <c r="AH105" s="1131"/>
      <c r="AI105" s="1098"/>
      <c r="AJ105" s="1098"/>
      <c r="AK105" s="1132"/>
    </row>
    <row r="106" spans="1:44" ht="14.65" customHeight="1">
      <c r="E106" s="472">
        <v>15</v>
      </c>
      <c r="W106" s="528" t="s">
        <v>399</v>
      </c>
      <c r="AB106" s="496"/>
      <c r="AC106" s="394" t="s">
        <v>400</v>
      </c>
      <c r="AD106" s="231"/>
      <c r="AE106" s="231"/>
      <c r="AF106" s="232"/>
      <c r="AG106" s="232"/>
      <c r="AH106" s="232"/>
      <c r="AI106" s="232"/>
      <c r="AJ106" s="232"/>
      <c r="AK106" s="233"/>
    </row>
    <row r="107" spans="1:44" ht="10.7" customHeight="1">
      <c r="E107" s="472">
        <v>11</v>
      </c>
      <c r="AL107" s="41"/>
    </row>
  </sheetData>
  <sheetProtection formatColumns="0" formatRows="0" insertRows="0" deleteColumns="0" deleteRows="0" sort="0" autoFilter="0"/>
  <mergeCells count="37">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05:AK105"/>
    <mergeCell ref="AB103:AK103"/>
    <mergeCell ref="AB104:AK104"/>
    <mergeCell ref="X52:X76"/>
    <mergeCell ref="Z52:Z76"/>
    <mergeCell ref="AA54:AA56"/>
    <mergeCell ref="AA60:AA62"/>
    <mergeCell ref="AA66:AA68"/>
    <mergeCell ref="AA72:AA74"/>
    <mergeCell ref="Y54:Y56"/>
    <mergeCell ref="Y60:Y62"/>
    <mergeCell ref="Y66:Y68"/>
    <mergeCell ref="Y72:Y74"/>
    <mergeCell ref="X77:X101"/>
    <mergeCell ref="Z77:Z101"/>
    <mergeCell ref="AA79:AA81"/>
    <mergeCell ref="AA85:AA87"/>
    <mergeCell ref="AA91:AA93"/>
    <mergeCell ref="AA97:AA99"/>
    <mergeCell ref="Y79:Y81"/>
    <mergeCell ref="Y85:Y87"/>
    <mergeCell ref="Y91:Y93"/>
    <mergeCell ref="Y97:Y9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I51 AI54:AI56 AI58 AI60:AI62 AI64 AI66:AI68 AI70 AI72:AI74 AI76 AI79:AI81 AI83 AI85:AI87 AI89 AI91:AI93 AI95 AI97:AI99 AI101 AH51 AH53 AH58:AH59 AH64:AH65 AH70:AH71 AH76 AH78 AH83:AH84 AH89:AH90 AH95:AH96 AH101 AG51 AG53 AG58:AG59 AG64:AG65 AG70:AG71 AG76 AG78 AG83:AG84 AG89:AG90 AG95:AG96 AG101 AF51 AF53 AF58:AF59 AF64:AF65 AF70:AF71 AF76 AF78 AF83:AF84 AF89:AF90 AF95:AF96 AF101 AE51 AE53 AE58:AE59 AE64:AE65 AE70:AE71 AE76 AE78 AE83:AE84 AE89:AE90 AE95:AE96 AE101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D2C5-C96A-2838-AE58-E333D9037E78}">
  <sheetPr>
    <tabColor rgb="FF002060"/>
    <outlinePr summaryBelow="0"/>
    <pageSetUpPr fitToPage="1"/>
  </sheetPr>
  <dimension ref="A1:AN8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36" hidden="1" customWidth="1"/>
    <col min="2" max="2" width="8.5703125" style="65" hidden="1" customWidth="1"/>
    <col min="3" max="4" width="3.5703125" style="36" hidden="1" customWidth="1"/>
    <col min="5" max="5" width="3.5703125" style="472" hidden="1" customWidth="1"/>
    <col min="6" max="7" width="3.5703125" style="36" hidden="1" customWidth="1"/>
    <col min="8" max="8" width="2.28515625" style="36" hidden="1" customWidth="1"/>
    <col min="9" max="10" width="3.5703125" style="36" hidden="1" customWidth="1"/>
    <col min="11" max="11" width="6.140625" style="36" hidden="1" customWidth="1"/>
    <col min="12" max="12" width="8.5703125" style="36" hidden="1" customWidth="1"/>
    <col min="13" max="17" width="3.5703125" style="36" hidden="1" customWidth="1"/>
    <col min="18" max="18" width="3.5703125" style="266" hidden="1" customWidth="1"/>
    <col min="19" max="19" width="3.5703125" style="36" hidden="1" customWidth="1"/>
    <col min="20" max="20" width="9.5703125" style="36" hidden="1" customWidth="1"/>
    <col min="21" max="21" width="5.85546875" style="36" hidden="1" customWidth="1"/>
    <col min="22" max="23" width="6.140625" style="36" hidden="1" customWidth="1"/>
    <col min="24" max="25" width="5.5703125" style="36" hidden="1" customWidth="1"/>
    <col min="26" max="26" width="5.28515625" style="36" hidden="1" customWidth="1"/>
    <col min="27" max="27" width="3" style="36" customWidth="1"/>
    <col min="28" max="28" width="11" style="36" customWidth="1"/>
    <col min="29" max="29" width="55" style="36" customWidth="1"/>
    <col min="30" max="30" width="12" style="36" customWidth="1"/>
    <col min="31" max="36" width="13" style="36" customWidth="1"/>
    <col min="37" max="37" width="20" style="36" customWidth="1"/>
    <col min="38" max="38" width="3" style="36" customWidth="1"/>
    <col min="39" max="39" width="9.140625" style="36" hidden="1"/>
    <col min="40" max="40" width="9.140625" style="680" hidden="1"/>
  </cols>
  <sheetData>
    <row r="1" spans="1:40" ht="11.25" hidden="1" customHeight="1">
      <c r="E1" s="36"/>
      <c r="F1" s="36" t="s">
        <v>315</v>
      </c>
      <c r="H1" s="36" t="s">
        <v>326</v>
      </c>
      <c r="T1" s="365" t="s">
        <v>93</v>
      </c>
      <c r="U1" s="365" t="s">
        <v>98</v>
      </c>
      <c r="V1" s="365" t="s">
        <v>94</v>
      </c>
      <c r="W1" s="365" t="s">
        <v>95</v>
      </c>
      <c r="X1" s="365" t="s">
        <v>96</v>
      </c>
      <c r="Y1" s="367" t="s">
        <v>317</v>
      </c>
      <c r="Z1" s="365" t="s">
        <v>100</v>
      </c>
      <c r="AA1" s="366" t="s">
        <v>97</v>
      </c>
      <c r="AB1" s="23"/>
      <c r="AC1" s="366" t="s">
        <v>99</v>
      </c>
      <c r="AN1" s="680" t="s">
        <v>318</v>
      </c>
    </row>
    <row r="2" spans="1:40" s="65" customFormat="1" ht="11.25" hidden="1" customHeight="1">
      <c r="B2" s="353" t="s">
        <v>19</v>
      </c>
      <c r="AF2" s="65" t="b" cm="1">
        <f t="array" ref="AF2">isOrgDeclare</f>
        <v>1</v>
      </c>
      <c r="AI2" s="354" t="b">
        <f>AND(AI6&lt;=last_year_vis,isOrgDeclare)</f>
        <v>1</v>
      </c>
      <c r="AJ2" s="354" t="b">
        <f>AJ6&lt;=last_year_vis</f>
        <v>1</v>
      </c>
      <c r="AN2" s="681"/>
    </row>
    <row r="3" spans="1:40" ht="11.25" hidden="1" customHeight="1">
      <c r="E3" s="36"/>
    </row>
    <row r="4" spans="1:40" ht="11.25" hidden="1" customHeight="1">
      <c r="E4" s="36"/>
    </row>
    <row r="5" spans="1:40" s="472" customFormat="1" ht="11.25" hidden="1" customHeight="1">
      <c r="A5" s="36"/>
      <c r="B5" s="65"/>
      <c r="C5" s="36"/>
      <c r="D5" s="36"/>
      <c r="E5" s="472" t="s">
        <v>20</v>
      </c>
      <c r="R5" s="458"/>
      <c r="AA5" s="472">
        <v>3</v>
      </c>
      <c r="AB5" s="472">
        <v>11</v>
      </c>
      <c r="AC5" s="472">
        <v>55</v>
      </c>
      <c r="AD5" s="472">
        <v>12</v>
      </c>
      <c r="AE5" s="472">
        <v>13</v>
      </c>
      <c r="AF5" s="472">
        <v>13</v>
      </c>
      <c r="AG5" s="472">
        <v>13</v>
      </c>
      <c r="AH5" s="472">
        <v>13</v>
      </c>
      <c r="AI5" s="472">
        <v>13</v>
      </c>
      <c r="AJ5" s="472">
        <v>13</v>
      </c>
      <c r="AK5" s="472">
        <v>20</v>
      </c>
      <c r="AL5" s="472">
        <v>3</v>
      </c>
      <c r="AN5" s="680"/>
    </row>
    <row r="6" spans="1:40" ht="11.25" hidden="1" customHeight="1">
      <c r="A6" s="36" t="s">
        <v>353</v>
      </c>
      <c r="AE6" s="36">
        <f>god-2</f>
        <v>2024</v>
      </c>
      <c r="AF6" s="36">
        <f>god-2</f>
        <v>2024</v>
      </c>
      <c r="AG6" s="36">
        <f>god-2</f>
        <v>2024</v>
      </c>
      <c r="AH6" s="36">
        <f>god-1</f>
        <v>2025</v>
      </c>
      <c r="AI6" s="36" cm="1">
        <f t="array" ref="AI6">god</f>
        <v>2026</v>
      </c>
      <c r="AJ6" s="36" cm="1">
        <f t="array" ref="AJ6">god</f>
        <v>2026</v>
      </c>
    </row>
    <row r="7" spans="1:40" ht="11.25" hidden="1" customHeight="1">
      <c r="A7" s="36" t="s">
        <v>354</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Принято органом регулирования</v>
      </c>
      <c r="AI7" s="36" t="str" cm="1">
        <f t="array" ref="AI7">AI25</f>
        <v>Предложение организации</v>
      </c>
      <c r="AJ7" s="36" t="str" cm="1">
        <f t="array" ref="AJ7">AJ25</f>
        <v>Принято органом регулирования</v>
      </c>
    </row>
    <row r="8" spans="1:40" ht="11.25" hidden="1" customHeight="1"/>
    <row r="9" spans="1:40" s="680" customFormat="1" ht="11.25" hidden="1" customHeight="1">
      <c r="A9" s="680" t="s">
        <v>358</v>
      </c>
      <c r="B9" s="681"/>
      <c r="R9" s="682"/>
      <c r="AE9" s="680" cm="1">
        <f t="array" ref="AE9">AE6</f>
        <v>2024</v>
      </c>
      <c r="AF9" s="680" cm="1">
        <f t="array" ref="AF9">AF6</f>
        <v>2024</v>
      </c>
      <c r="AG9" s="680" cm="1">
        <f t="array" ref="AG9">AG6</f>
        <v>2024</v>
      </c>
      <c r="AH9" s="680" cm="1">
        <f t="array" ref="AH9">AH6</f>
        <v>2025</v>
      </c>
      <c r="AI9" s="680" cm="1">
        <f t="array" ref="AI9">AI6</f>
        <v>2026</v>
      </c>
      <c r="AJ9" s="680" cm="1">
        <f t="array" ref="AJ9">AJ6</f>
        <v>2026</v>
      </c>
    </row>
    <row r="10" spans="1:40" s="680" customFormat="1" ht="11.25" hidden="1" customHeight="1">
      <c r="A10" s="680" t="s">
        <v>359</v>
      </c>
      <c r="B10" s="681"/>
      <c r="R10" s="682"/>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Принято органом регулирования</v>
      </c>
    </row>
    <row r="11" spans="1:40" s="680" customFormat="1" ht="11.25" hidden="1" customHeight="1">
      <c r="A11" s="680" t="s">
        <v>360</v>
      </c>
      <c r="B11" s="681"/>
      <c r="R11" s="682"/>
      <c r="AK11" s="691" t="str" cm="1">
        <f t="array" ref="AK11">AK24</f>
        <v>Ссылка на правовую норму (основание для принятия показателя в расчет тарифа)</v>
      </c>
    </row>
    <row r="12" spans="1:40" ht="11.25" hidden="1" customHeight="1"/>
    <row r="13" spans="1:40" ht="11.25" hidden="1" customHeight="1"/>
    <row r="14" spans="1:40" ht="11.25" hidden="1" customHeight="1"/>
    <row r="15" spans="1:40" ht="11.25" hidden="1" customHeight="1"/>
    <row r="16" spans="1:40" ht="11.25" hidden="1" customHeight="1"/>
    <row r="17" spans="1:40" ht="11.25" hidden="1" customHeight="1">
      <c r="AK17" s="85"/>
    </row>
    <row r="18" spans="1:40" ht="11.25" hidden="1" customHeight="1"/>
    <row r="19" spans="1:40" ht="11.25" hidden="1" customHeight="1"/>
    <row r="20" spans="1:40" ht="11.25" hidden="1" customHeight="1"/>
    <row r="21" spans="1:40" ht="14.65" customHeight="1">
      <c r="E21" s="472">
        <v>15</v>
      </c>
      <c r="AA21" s="337"/>
      <c r="AC21" s="3" t="str" cm="1">
        <f t="array" ref="AC21">tpl_title</f>
        <v>Кемеровская область / 2026 / ООО "Энергосервис г. Гурьевска" (ИНН:4202049045, КПП:420201001) / ДПР: 2024-2028</v>
      </c>
    </row>
    <row r="22" spans="1:40" s="78" customFormat="1" ht="19.7" customHeight="1">
      <c r="B22" s="65"/>
      <c r="E22" s="473">
        <v>20.25</v>
      </c>
      <c r="R22" s="3"/>
      <c r="AB22" s="239" t="s">
        <v>64</v>
      </c>
      <c r="AC22" s="267"/>
      <c r="AD22" s="267"/>
      <c r="AE22" s="267"/>
      <c r="AF22" s="267"/>
      <c r="AG22" s="267"/>
      <c r="AH22" s="267"/>
      <c r="AI22" s="267"/>
      <c r="AJ22" s="267"/>
      <c r="AK22" s="267"/>
      <c r="AN22" s="683"/>
    </row>
    <row r="23" spans="1:40" s="78" customFormat="1" ht="10.9" customHeight="1">
      <c r="B23" s="65"/>
      <c r="E23" s="473">
        <v>11.25</v>
      </c>
      <c r="R23" s="3"/>
      <c r="AB23" s="268"/>
      <c r="AC23" s="134"/>
      <c r="AD23" s="134"/>
      <c r="AE23" s="134"/>
      <c r="AF23" s="134"/>
      <c r="AG23" s="134"/>
      <c r="AH23" s="134"/>
      <c r="AI23" s="134"/>
      <c r="AJ23" s="134"/>
      <c r="AK23" s="134"/>
      <c r="AN23" s="683"/>
    </row>
    <row r="24" spans="1:40" s="79" customFormat="1" ht="14.65" customHeight="1">
      <c r="B24" s="338"/>
      <c r="E24" s="470">
        <v>15</v>
      </c>
      <c r="R24" s="266"/>
      <c r="AB24" s="1088" t="s">
        <v>786</v>
      </c>
      <c r="AC24" s="1128" t="s">
        <v>194</v>
      </c>
      <c r="AD24" s="1088" t="s">
        <v>363</v>
      </c>
      <c r="AE24" s="29" t="str">
        <f>god-2&amp;" год"</f>
        <v>2024 год</v>
      </c>
      <c r="AF24" s="736" t="str">
        <f>god-2&amp;" год"</f>
        <v>2024 год</v>
      </c>
      <c r="AG24" s="29" t="str">
        <f>god-2&amp;" год"</f>
        <v>2024 год</v>
      </c>
      <c r="AH24" s="29" t="str">
        <f>god-1&amp;" год"</f>
        <v>2025 год</v>
      </c>
      <c r="AI24" s="734" t="str">
        <f>god&amp;" год"</f>
        <v>2026 год</v>
      </c>
      <c r="AJ24" s="30" t="str">
        <f>god&amp;" год"</f>
        <v>2026 год</v>
      </c>
      <c r="AK24" s="1099" t="s">
        <v>529</v>
      </c>
      <c r="AN24" s="678"/>
    </row>
    <row r="25" spans="1:40" s="79" customFormat="1" ht="44.1" customHeight="1">
      <c r="B25" s="338"/>
      <c r="E25" s="470">
        <v>45.25</v>
      </c>
      <c r="R25" s="266"/>
      <c r="AB25" s="1149"/>
      <c r="AC25" s="1149"/>
      <c r="AD25" s="1149"/>
      <c r="AE25" s="29" t="s">
        <v>355</v>
      </c>
      <c r="AF25" s="736" t="s">
        <v>450</v>
      </c>
      <c r="AG25" s="29" t="s">
        <v>451</v>
      </c>
      <c r="AH25" s="29" t="s">
        <v>355</v>
      </c>
      <c r="AI25" s="738" t="s">
        <v>356</v>
      </c>
      <c r="AJ25" s="275" t="s">
        <v>355</v>
      </c>
      <c r="AK25" s="1149"/>
      <c r="AN25" s="678"/>
    </row>
    <row r="26" spans="1:40" ht="15" hidden="1" customHeight="1">
      <c r="C26"/>
      <c r="D26"/>
      <c r="E26" s="198">
        <v>0</v>
      </c>
      <c r="F26" s="23"/>
      <c r="G26"/>
      <c r="H26"/>
      <c r="I26"/>
      <c r="J26"/>
      <c r="K26"/>
      <c r="L26"/>
      <c r="M26"/>
      <c r="N26"/>
      <c r="O26"/>
      <c r="P26"/>
      <c r="Q26"/>
      <c r="R26"/>
      <c r="S26"/>
      <c r="T26"/>
      <c r="U26"/>
      <c r="V26"/>
      <c r="W26"/>
      <c r="X26"/>
      <c r="Y26"/>
      <c r="Z26"/>
      <c r="AA26"/>
      <c r="AB26"/>
      <c r="AC26" s="37"/>
      <c r="AD26" s="37"/>
      <c r="AE26" s="37"/>
      <c r="AF26" s="37"/>
      <c r="AG26"/>
      <c r="AH26"/>
      <c r="AI26"/>
      <c r="AJ26"/>
      <c r="AK26"/>
      <c r="AL26"/>
    </row>
    <row r="27" spans="1:40" ht="10.9" hidden="1" customHeight="1">
      <c r="C27" s="81"/>
      <c r="D27" s="81"/>
      <c r="E27" s="198">
        <v>11.25</v>
      </c>
      <c r="F27" s="36" cm="1">
        <f t="array" ref="F27">X27</f>
        <v>0</v>
      </c>
      <c r="G27" s="81"/>
      <c r="H27" s="81"/>
      <c r="I27" s="81"/>
      <c r="J27" s="81"/>
      <c r="K27" s="81"/>
      <c r="L27" s="81"/>
      <c r="M27" s="81"/>
      <c r="N27" s="81"/>
      <c r="O27" s="81"/>
      <c r="P27" s="81"/>
      <c r="Q27" s="81"/>
      <c r="R27" s="81"/>
      <c r="S27" s="81"/>
      <c r="T27" s="365" t="b">
        <f>X27&gt;0</f>
        <v>0</v>
      </c>
      <c r="U27" s="81"/>
      <c r="V27" s="81" t="s">
        <v>264</v>
      </c>
      <c r="W27" s="81"/>
      <c r="X27" s="1050">
        <v>0</v>
      </c>
      <c r="Y27" s="81"/>
      <c r="Z27" s="1076"/>
      <c r="AA27" s="81"/>
      <c r="AB27" s="174" t="str" cm="1">
        <f t="array" ref="AB27">INDEX('Общие сведения'!$AG$179:$AG$222,MATCH($X27,'Общие сведения'!$Z$179:$Z$222,0))</f>
        <v xml:space="preserve">Тариф 0 () - </v>
      </c>
      <c r="AC27" s="113"/>
      <c r="AD27" s="113"/>
      <c r="AE27" s="227">
        <f t="shared" ref="AE27:AJ27" ca="1" si="0">AE28+AE29+AE30+AE38+AE39+AE40+AE41+AE42</f>
        <v>0</v>
      </c>
      <c r="AF27" s="227">
        <f t="shared" ca="1" si="0"/>
        <v>0</v>
      </c>
      <c r="AG27" s="227">
        <f t="shared" ca="1" si="0"/>
        <v>0</v>
      </c>
      <c r="AH27" s="227">
        <f t="shared" ca="1" si="0"/>
        <v>0</v>
      </c>
      <c r="AI27" s="227">
        <f t="shared" ca="1" si="0"/>
        <v>0</v>
      </c>
      <c r="AJ27" s="227">
        <f t="shared" ca="1" si="0"/>
        <v>0</v>
      </c>
      <c r="AK27" s="107"/>
      <c r="AL27" s="81"/>
    </row>
    <row r="28" spans="1:40" ht="21.95" hidden="1" customHeight="1">
      <c r="C28" s="81"/>
      <c r="D28" s="81"/>
      <c r="E28" s="198">
        <v>22.5</v>
      </c>
      <c r="F28" s="3" cm="1">
        <f t="array" aca="1" ref="F28" ca="1">OFFSET(E28,-1,1)</f>
        <v>0</v>
      </c>
      <c r="G28" s="81"/>
      <c r="H28" s="61" t="s">
        <v>327</v>
      </c>
      <c r="I28" s="81"/>
      <c r="J28" s="81"/>
      <c r="K28" s="81"/>
      <c r="L28" s="81"/>
      <c r="M28" s="81"/>
      <c r="N28" s="81"/>
      <c r="O28" s="81"/>
      <c r="P28" s="81"/>
      <c r="Q28" s="81"/>
      <c r="R28" s="81"/>
      <c r="S28" s="81"/>
      <c r="T28" s="365" t="b" cm="1">
        <f t="array" ref="T28">T27</f>
        <v>0</v>
      </c>
      <c r="U28" s="81"/>
      <c r="V28" s="81"/>
      <c r="W28" s="81"/>
      <c r="X28" s="1050"/>
      <c r="Y28" s="81"/>
      <c r="Z28" s="1076"/>
      <c r="AA28" s="81"/>
      <c r="AB28" s="269">
        <v>1</v>
      </c>
      <c r="AC28" s="259" t="s">
        <v>1180</v>
      </c>
      <c r="AD28" s="28" t="s">
        <v>804</v>
      </c>
      <c r="AE28" s="418">
        <f ca="1">SUMIFS(ФОТ!AE$25:AE$102,ФОТ!$F$25:$F$102,$F28,ФОТ!$AC$25:$AC$102,$AC28)</f>
        <v>0</v>
      </c>
      <c r="AF28" s="418">
        <f ca="1">SUMIFS(ФОТ!AF$25:AF$102,ФОТ!$F$25:$F$102,$F28,ФОТ!$AC$25:$AC$102,$AC28)</f>
        <v>0</v>
      </c>
      <c r="AG28" s="418">
        <f ca="1">SUMIFS(ФОТ!AG$25:AG$102,ФОТ!$F$25:$F$102,$F28,ФОТ!$AC$25:$AC$102,$AC28)</f>
        <v>0</v>
      </c>
      <c r="AH28" s="418">
        <f ca="1">SUMIFS(ФОТ!AH$25:AH$102,ФОТ!$F$25:$F$102,$F28,ФОТ!$AC$25:$AC$102,$AC28)</f>
        <v>0</v>
      </c>
      <c r="AI28" s="418">
        <f ca="1">SUMIFS(ФОТ!AI$25:AI$102,ФОТ!$F$25:$F$102,$F28,ФОТ!$AC$25:$AC$102,$AC28)</f>
        <v>0</v>
      </c>
      <c r="AJ28" s="418">
        <f ca="1">SUMIFS(ФОТ!AJ$25:AJ$102,ФОТ!$F$25:$F$102,$F28,ФОТ!$AC$25:$AC$102,$AC28)</f>
        <v>0</v>
      </c>
      <c r="AK28" s="843"/>
      <c r="AL28" s="81"/>
      <c r="AN28" s="680" t="s">
        <v>1196</v>
      </c>
    </row>
    <row r="29" spans="1:40" ht="21.95" hidden="1" customHeight="1">
      <c r="C29" s="81"/>
      <c r="D29" s="81"/>
      <c r="E29" s="198">
        <v>22.5</v>
      </c>
      <c r="F29" s="3" cm="1">
        <f t="array" aca="1" ref="F29" ca="1">OFFSET(E29,-1,1)</f>
        <v>0</v>
      </c>
      <c r="G29" s="81"/>
      <c r="H29" s="61" t="s">
        <v>328</v>
      </c>
      <c r="I29" s="81"/>
      <c r="J29" s="376"/>
      <c r="K29" s="376"/>
      <c r="L29" s="376"/>
      <c r="M29" s="81"/>
      <c r="N29" s="81"/>
      <c r="O29" s="81"/>
      <c r="P29" s="81"/>
      <c r="Q29" s="81"/>
      <c r="R29" s="81"/>
      <c r="S29" s="81"/>
      <c r="T29" s="365" t="b" cm="1">
        <f t="array" ref="T29">T28</f>
        <v>0</v>
      </c>
      <c r="U29" s="81"/>
      <c r="V29" s="81"/>
      <c r="W29" s="81"/>
      <c r="X29" s="1050"/>
      <c r="Y29" s="81"/>
      <c r="Z29" s="1076"/>
      <c r="AA29" s="81"/>
      <c r="AB29" s="269" t="s">
        <v>285</v>
      </c>
      <c r="AC29" s="259" t="s">
        <v>1185</v>
      </c>
      <c r="AD29" s="28" t="s">
        <v>804</v>
      </c>
      <c r="AE29" s="418">
        <f ca="1">SUMIFS(ФОТ!AE$25:AE$102,ФОТ!$F$25:$F$102,$F29,ФОТ!$AC$25:$AC$102,$AC29)</f>
        <v>0</v>
      </c>
      <c r="AF29" s="418">
        <f ca="1">SUMIFS(ФОТ!AF$25:AF$102,ФОТ!$F$25:$F$102,$F29,ФОТ!$AC$25:$AC$102,$AC29)</f>
        <v>0</v>
      </c>
      <c r="AG29" s="418">
        <f ca="1">SUMIFS(ФОТ!AG$25:AG$102,ФОТ!$F$25:$F$102,$F29,ФОТ!$AC$25:$AC$102,$AC29)</f>
        <v>0</v>
      </c>
      <c r="AH29" s="418">
        <f ca="1">SUMIFS(ФОТ!AH$25:AH$102,ФОТ!$F$25:$F$102,$F29,ФОТ!$AC$25:$AC$102,$AC29)</f>
        <v>0</v>
      </c>
      <c r="AI29" s="418">
        <f ca="1">SUMIFS(ФОТ!AI$25:AI$102,ФОТ!$F$25:$F$102,$F29,ФОТ!$AC$25:$AC$102,$AC29)</f>
        <v>0</v>
      </c>
      <c r="AJ29" s="418">
        <f ca="1">SUMIFS(ФОТ!AJ$25:AJ$102,ФОТ!$F$25:$F$102,$F29,ФОТ!$AC$25:$AC$102,$AC29)</f>
        <v>0</v>
      </c>
      <c r="AK29" s="843"/>
      <c r="AL29" s="81"/>
      <c r="AN29" s="680" t="s">
        <v>1186</v>
      </c>
    </row>
    <row r="30" spans="1:40" ht="32.85" hidden="1" customHeight="1">
      <c r="C30" s="81"/>
      <c r="D30" s="81"/>
      <c r="E30" s="198">
        <v>33.75</v>
      </c>
      <c r="F30" s="3" cm="1">
        <f t="array" aca="1" ref="F30" ca="1">OFFSET(E30,-1,1)</f>
        <v>0</v>
      </c>
      <c r="G30" s="266" t="s">
        <v>1197</v>
      </c>
      <c r="H30" s="61" t="s">
        <v>329</v>
      </c>
      <c r="I30" s="81"/>
      <c r="J30" s="376"/>
      <c r="K30" s="376" t="str">
        <f ca="1">F30&amp;"17komm"</f>
        <v>017komm</v>
      </c>
      <c r="L30" s="616" cm="1">
        <f t="array" ref="L30">AK30</f>
        <v>0</v>
      </c>
      <c r="M30" s="81"/>
      <c r="N30" s="81"/>
      <c r="O30" s="81"/>
      <c r="P30" s="81"/>
      <c r="Q30" s="81"/>
      <c r="R30" s="81"/>
      <c r="S30" s="81"/>
      <c r="T30" s="365" t="b" cm="1">
        <f t="array" ref="T30">T29</f>
        <v>0</v>
      </c>
      <c r="U30" s="81"/>
      <c r="V30" s="81"/>
      <c r="W30" s="81"/>
      <c r="X30" s="1050"/>
      <c r="Y30" s="81"/>
      <c r="Z30" s="1076"/>
      <c r="AA30" s="81"/>
      <c r="AB30" s="269" t="s">
        <v>325</v>
      </c>
      <c r="AC30" s="259" t="s">
        <v>1198</v>
      </c>
      <c r="AD30" s="28" t="s">
        <v>804</v>
      </c>
      <c r="AE30" s="170">
        <f t="shared" ref="AE30:AJ30" si="1">SUM(AE31:AE37)</f>
        <v>0</v>
      </c>
      <c r="AF30" s="170">
        <f t="shared" si="1"/>
        <v>0</v>
      </c>
      <c r="AG30" s="170">
        <f t="shared" si="1"/>
        <v>0</v>
      </c>
      <c r="AH30" s="170">
        <f t="shared" si="1"/>
        <v>0</v>
      </c>
      <c r="AI30" s="170">
        <f t="shared" si="1"/>
        <v>0</v>
      </c>
      <c r="AJ30" s="170">
        <f t="shared" si="1"/>
        <v>0</v>
      </c>
      <c r="AK30" s="843"/>
      <c r="AL30" s="81"/>
      <c r="AN30" s="680" t="s">
        <v>1199</v>
      </c>
    </row>
    <row r="31" spans="1:40" ht="14.65" hidden="1" customHeight="1">
      <c r="A31"/>
      <c r="B31" s="339"/>
      <c r="C31" s="81"/>
      <c r="D31" s="81"/>
      <c r="E31" s="198">
        <v>15</v>
      </c>
      <c r="F31" s="774" cm="1">
        <f t="array" aca="1" ref="F31" ca="1">OFFSET(E31,-1,1)</f>
        <v>0</v>
      </c>
      <c r="G31" s="91" t="s">
        <v>1200</v>
      </c>
      <c r="H31" s="61" t="s">
        <v>927</v>
      </c>
      <c r="I31" s="81"/>
      <c r="J31" s="376"/>
      <c r="K31" s="376" t="str">
        <f ca="1">F31&amp;"18komm"</f>
        <v>018komm</v>
      </c>
      <c r="L31" s="616" cm="1">
        <f t="array" ref="L31">AK31</f>
        <v>0</v>
      </c>
      <c r="M31" s="81"/>
      <c r="N31" s="81"/>
      <c r="O31" s="81"/>
      <c r="P31" s="81"/>
      <c r="Q31" s="81"/>
      <c r="R31" s="81"/>
      <c r="S31" s="81"/>
      <c r="T31" s="365" t="b" cm="1">
        <f t="array" ref="T31">T30</f>
        <v>0</v>
      </c>
      <c r="U31" s="81"/>
      <c r="V31" s="81"/>
      <c r="W31" s="81"/>
      <c r="X31" s="1050"/>
      <c r="Y31" s="81"/>
      <c r="Z31" s="1076"/>
      <c r="AA31" s="81"/>
      <c r="AB31" s="269" t="s">
        <v>551</v>
      </c>
      <c r="AC31" s="146" t="s">
        <v>1201</v>
      </c>
      <c r="AD31" s="28" t="s">
        <v>804</v>
      </c>
      <c r="AE31" s="929"/>
      <c r="AF31" s="929"/>
      <c r="AG31" s="929"/>
      <c r="AH31" s="929"/>
      <c r="AI31" s="929"/>
      <c r="AJ31" s="929"/>
      <c r="AK31" s="843"/>
      <c r="AL31" s="81"/>
      <c r="AM31"/>
      <c r="AN31" s="670" t="s">
        <v>1202</v>
      </c>
    </row>
    <row r="32" spans="1:40" s="81" customFormat="1" ht="14.65" hidden="1" customHeight="1">
      <c r="B32" s="338"/>
      <c r="E32" s="198">
        <v>15</v>
      </c>
      <c r="F32" s="3" cm="1">
        <f t="array" aca="1" ref="F32" ca="1">OFFSET(E32,-1,1)</f>
        <v>0</v>
      </c>
      <c r="G32" s="91" t="s">
        <v>1203</v>
      </c>
      <c r="H32" s="61" t="s">
        <v>929</v>
      </c>
      <c r="J32" s="376"/>
      <c r="K32" s="376" t="str">
        <f ca="1">F32&amp;"11komm"</f>
        <v>011komm</v>
      </c>
      <c r="L32" s="616" cm="1">
        <f t="array" ref="L32">AK32</f>
        <v>0</v>
      </c>
      <c r="T32" s="365" t="b" cm="1">
        <f t="array" ref="T32">T31</f>
        <v>0</v>
      </c>
      <c r="X32" s="1050"/>
      <c r="Z32" s="1076"/>
      <c r="AB32" s="269" t="s">
        <v>555</v>
      </c>
      <c r="AC32" s="146" t="s">
        <v>1204</v>
      </c>
      <c r="AD32" s="28" t="s">
        <v>804</v>
      </c>
      <c r="AE32" s="929"/>
      <c r="AF32" s="929"/>
      <c r="AG32" s="929"/>
      <c r="AH32" s="929"/>
      <c r="AI32" s="929"/>
      <c r="AJ32" s="929"/>
      <c r="AK32" s="843"/>
      <c r="AN32" s="687" t="s">
        <v>1205</v>
      </c>
    </row>
    <row r="33" spans="2:40" s="81" customFormat="1" ht="14.65" hidden="1" customHeight="1">
      <c r="B33" s="338"/>
      <c r="E33" s="198">
        <v>15</v>
      </c>
      <c r="F33" s="3" cm="1">
        <f t="array" aca="1" ref="F33" ca="1">OFFSET(E33,-1,1)</f>
        <v>0</v>
      </c>
      <c r="G33" s="91" t="s">
        <v>1206</v>
      </c>
      <c r="H33" s="61" t="s">
        <v>931</v>
      </c>
      <c r="J33" s="376"/>
      <c r="K33" s="376" t="str">
        <f ca="1">F33&amp;"12komm"</f>
        <v>012komm</v>
      </c>
      <c r="L33" s="616" cm="1">
        <f t="array" ref="L33">AK33</f>
        <v>0</v>
      </c>
      <c r="T33" s="365" t="b" cm="1">
        <f t="array" ref="T33">T32</f>
        <v>0</v>
      </c>
      <c r="X33" s="1050"/>
      <c r="Z33" s="1076"/>
      <c r="AB33" s="269" t="s">
        <v>771</v>
      </c>
      <c r="AC33" s="146" t="s">
        <v>1207</v>
      </c>
      <c r="AD33" s="28" t="s">
        <v>804</v>
      </c>
      <c r="AE33" s="929"/>
      <c r="AF33" s="929"/>
      <c r="AG33" s="929"/>
      <c r="AH33" s="929"/>
      <c r="AI33" s="929"/>
      <c r="AJ33" s="929"/>
      <c r="AK33" s="843"/>
      <c r="AN33" s="687" t="s">
        <v>1208</v>
      </c>
    </row>
    <row r="34" spans="2:40" s="81" customFormat="1" ht="14.65" hidden="1" customHeight="1">
      <c r="B34" s="338"/>
      <c r="E34" s="198">
        <v>15</v>
      </c>
      <c r="F34" s="3" cm="1">
        <f t="array" aca="1" ref="F34" ca="1">OFFSET(E34,-1,1)</f>
        <v>0</v>
      </c>
      <c r="G34" s="91" t="s">
        <v>1209</v>
      </c>
      <c r="H34" s="61" t="s">
        <v>933</v>
      </c>
      <c r="J34" s="376"/>
      <c r="K34" s="376" t="str">
        <f ca="1">F34&amp;"13komm"</f>
        <v>013komm</v>
      </c>
      <c r="L34" s="616" cm="1">
        <f t="array" ref="L34">AK34</f>
        <v>0</v>
      </c>
      <c r="T34" s="365" t="b" cm="1">
        <f t="array" ref="T34">T33</f>
        <v>0</v>
      </c>
      <c r="X34" s="1050"/>
      <c r="Z34" s="1076"/>
      <c r="AB34" s="269" t="s">
        <v>934</v>
      </c>
      <c r="AC34" s="146" t="s">
        <v>1210</v>
      </c>
      <c r="AD34" s="28" t="s">
        <v>804</v>
      </c>
      <c r="AE34" s="929"/>
      <c r="AF34" s="929"/>
      <c r="AG34" s="929"/>
      <c r="AH34" s="929"/>
      <c r="AI34" s="929"/>
      <c r="AJ34" s="929"/>
      <c r="AK34" s="843"/>
      <c r="AN34" s="687" t="s">
        <v>1211</v>
      </c>
    </row>
    <row r="35" spans="2:40" s="81" customFormat="1" ht="14.65" hidden="1" customHeight="1">
      <c r="B35" s="338"/>
      <c r="E35" s="198">
        <v>15</v>
      </c>
      <c r="F35" s="3" cm="1">
        <f t="array" aca="1" ref="F35" ca="1">OFFSET(E35,-1,1)</f>
        <v>0</v>
      </c>
      <c r="G35" s="91" t="s">
        <v>1212</v>
      </c>
      <c r="H35" s="61" t="s">
        <v>936</v>
      </c>
      <c r="J35" s="376"/>
      <c r="K35" s="376" t="str">
        <f ca="1">F35&amp;"14komm"</f>
        <v>014komm</v>
      </c>
      <c r="L35" s="616" cm="1">
        <f t="array" ref="L35">AK35</f>
        <v>0</v>
      </c>
      <c r="T35" s="365" t="b" cm="1">
        <f t="array" ref="T35">T34</f>
        <v>0</v>
      </c>
      <c r="X35" s="1050"/>
      <c r="Z35" s="1076"/>
      <c r="AB35" s="269" t="s">
        <v>937</v>
      </c>
      <c r="AC35" s="146" t="s">
        <v>1213</v>
      </c>
      <c r="AD35" s="28" t="s">
        <v>804</v>
      </c>
      <c r="AE35" s="929"/>
      <c r="AF35" s="929"/>
      <c r="AG35" s="929"/>
      <c r="AH35" s="929"/>
      <c r="AI35" s="929"/>
      <c r="AJ35" s="929"/>
      <c r="AK35" s="843"/>
      <c r="AN35" s="687" t="s">
        <v>1214</v>
      </c>
    </row>
    <row r="36" spans="2:40" s="81" customFormat="1" ht="14.65" hidden="1" customHeight="1">
      <c r="B36" s="338"/>
      <c r="E36" s="198">
        <v>15</v>
      </c>
      <c r="F36" s="3" cm="1">
        <f t="array" aca="1" ref="F36" ca="1">OFFSET(E36,-1,1)</f>
        <v>0</v>
      </c>
      <c r="G36" s="91" t="s">
        <v>1215</v>
      </c>
      <c r="H36" s="61" t="s">
        <v>1216</v>
      </c>
      <c r="J36" s="376"/>
      <c r="K36" s="376" t="str">
        <f ca="1">F36&amp;"15komm"</f>
        <v>015komm</v>
      </c>
      <c r="L36" s="616" cm="1">
        <f t="array" ref="L36">AK36</f>
        <v>0</v>
      </c>
      <c r="T36" s="365" t="b" cm="1">
        <f t="array" ref="T36">T35</f>
        <v>0</v>
      </c>
      <c r="X36" s="1050"/>
      <c r="Z36" s="1076"/>
      <c r="AB36" s="269" t="s">
        <v>1217</v>
      </c>
      <c r="AC36" s="146" t="s">
        <v>1218</v>
      </c>
      <c r="AD36" s="28" t="s">
        <v>804</v>
      </c>
      <c r="AE36" s="929"/>
      <c r="AF36" s="929"/>
      <c r="AG36" s="929"/>
      <c r="AH36" s="929"/>
      <c r="AI36" s="929"/>
      <c r="AJ36" s="929"/>
      <c r="AK36" s="843"/>
      <c r="AN36" s="687" t="s">
        <v>1219</v>
      </c>
    </row>
    <row r="37" spans="2:40" s="81" customFormat="1" ht="14.65" hidden="1" customHeight="1">
      <c r="B37" s="338"/>
      <c r="E37" s="198">
        <v>15</v>
      </c>
      <c r="F37" s="3" cm="1">
        <f t="array" aca="1" ref="F37" ca="1">OFFSET(E37,-1,1)</f>
        <v>0</v>
      </c>
      <c r="G37" s="91" t="s">
        <v>1220</v>
      </c>
      <c r="H37" s="61" t="s">
        <v>1221</v>
      </c>
      <c r="J37" s="376"/>
      <c r="K37" s="376" t="str">
        <f ca="1">F37&amp;"16komm"</f>
        <v>016komm</v>
      </c>
      <c r="L37" s="616" cm="1">
        <f t="array" ref="L37">AK37</f>
        <v>0</v>
      </c>
      <c r="T37" s="365" t="b" cm="1">
        <f t="array" ref="T37">T36</f>
        <v>0</v>
      </c>
      <c r="X37" s="1050"/>
      <c r="Z37" s="1076"/>
      <c r="AB37" s="269" t="s">
        <v>1222</v>
      </c>
      <c r="AC37" s="146" t="s">
        <v>1223</v>
      </c>
      <c r="AD37" s="28" t="s">
        <v>804</v>
      </c>
      <c r="AE37" s="929"/>
      <c r="AF37" s="929"/>
      <c r="AG37" s="929"/>
      <c r="AH37" s="929"/>
      <c r="AI37" s="929"/>
      <c r="AJ37" s="929"/>
      <c r="AK37" s="843"/>
      <c r="AN37" s="687" t="s">
        <v>1224</v>
      </c>
    </row>
    <row r="38" spans="2:40" s="81" customFormat="1" ht="32.85" hidden="1" customHeight="1">
      <c r="B38" s="338"/>
      <c r="E38" s="198">
        <v>33.75</v>
      </c>
      <c r="F38" s="3" cm="1">
        <f t="array" aca="1" ref="F38" ca="1">OFFSET(E38,-1,1)</f>
        <v>0</v>
      </c>
      <c r="G38" s="266" t="s">
        <v>1225</v>
      </c>
      <c r="H38" s="61" t="s">
        <v>331</v>
      </c>
      <c r="J38" s="376"/>
      <c r="K38" s="376" t="str">
        <f ca="1">F38&amp;"2komm"</f>
        <v>02komm</v>
      </c>
      <c r="L38" s="616" cm="1">
        <f t="array" ref="L38">AK38</f>
        <v>0</v>
      </c>
      <c r="T38" s="365" t="b" cm="1">
        <f t="array" ref="T38">T37</f>
        <v>0</v>
      </c>
      <c r="X38" s="1050"/>
      <c r="Z38" s="1076"/>
      <c r="AB38" s="269" t="s">
        <v>433</v>
      </c>
      <c r="AC38" s="259" t="s">
        <v>1226</v>
      </c>
      <c r="AD38" s="28" t="s">
        <v>804</v>
      </c>
      <c r="AE38" s="929"/>
      <c r="AF38" s="929"/>
      <c r="AG38" s="929"/>
      <c r="AH38" s="929"/>
      <c r="AI38" s="929"/>
      <c r="AJ38" s="929"/>
      <c r="AK38" s="843"/>
      <c r="AN38" s="687" t="s">
        <v>1227</v>
      </c>
    </row>
    <row r="39" spans="2:40" s="81" customFormat="1" ht="14.65" hidden="1" customHeight="1">
      <c r="B39" s="338"/>
      <c r="E39" s="198">
        <v>15</v>
      </c>
      <c r="F39" s="3" cm="1">
        <f t="array" aca="1" ref="F39" ca="1">OFFSET(E39,-1,1)</f>
        <v>0</v>
      </c>
      <c r="G39" s="266" t="s">
        <v>1228</v>
      </c>
      <c r="H39" s="61" t="s">
        <v>330</v>
      </c>
      <c r="J39" s="376"/>
      <c r="K39" s="376" t="str">
        <f ca="1">F39&amp;"3komm"</f>
        <v>03komm</v>
      </c>
      <c r="L39" s="616" cm="1">
        <f t="array" ref="L39">AK39</f>
        <v>0</v>
      </c>
      <c r="T39" s="365" t="b" cm="1">
        <f t="array" ref="T39">T38</f>
        <v>0</v>
      </c>
      <c r="X39" s="1050"/>
      <c r="Z39" s="1076"/>
      <c r="AB39" s="269" t="s">
        <v>444</v>
      </c>
      <c r="AC39" s="259" t="s">
        <v>1229</v>
      </c>
      <c r="AD39" s="28" t="s">
        <v>804</v>
      </c>
      <c r="AE39" s="929"/>
      <c r="AF39" s="929"/>
      <c r="AG39" s="929"/>
      <c r="AH39" s="929"/>
      <c r="AI39" s="929"/>
      <c r="AJ39" s="929"/>
      <c r="AK39" s="843"/>
      <c r="AN39" s="687" t="s">
        <v>1230</v>
      </c>
    </row>
    <row r="40" spans="2:40" s="81" customFormat="1" ht="14.65" hidden="1" customHeight="1">
      <c r="B40" s="338"/>
      <c r="E40" s="198">
        <v>15</v>
      </c>
      <c r="F40" s="3" cm="1">
        <f t="array" aca="1" ref="F40" ca="1">OFFSET(E40,-1,1)</f>
        <v>0</v>
      </c>
      <c r="G40" s="266" t="s">
        <v>1231</v>
      </c>
      <c r="H40" s="61" t="s">
        <v>511</v>
      </c>
      <c r="K40" s="376" t="str">
        <f ca="1">F40&amp;"4komm"</f>
        <v>04komm</v>
      </c>
      <c r="L40" s="616" cm="1">
        <f t="array" ref="L40">AK40</f>
        <v>0</v>
      </c>
      <c r="T40" s="365" t="b" cm="1">
        <f t="array" ref="T40">T39</f>
        <v>0</v>
      </c>
      <c r="X40" s="1050"/>
      <c r="Z40" s="1076"/>
      <c r="AB40" s="269" t="s">
        <v>447</v>
      </c>
      <c r="AC40" s="259" t="s">
        <v>1232</v>
      </c>
      <c r="AD40" s="28" t="s">
        <v>804</v>
      </c>
      <c r="AE40" s="929"/>
      <c r="AF40" s="929"/>
      <c r="AG40" s="929"/>
      <c r="AH40" s="929"/>
      <c r="AI40" s="929"/>
      <c r="AJ40" s="929"/>
      <c r="AK40" s="843"/>
      <c r="AN40" s="687" t="s">
        <v>1233</v>
      </c>
    </row>
    <row r="41" spans="2:40" s="81" customFormat="1" ht="14.65" hidden="1" customHeight="1">
      <c r="B41" s="338"/>
      <c r="E41" s="198">
        <v>15</v>
      </c>
      <c r="F41" s="3" cm="1">
        <f t="array" aca="1" ref="F41" ca="1">OFFSET(E41,-1,1)</f>
        <v>0</v>
      </c>
      <c r="G41" s="266" t="s">
        <v>1234</v>
      </c>
      <c r="H41" s="61" t="s">
        <v>514</v>
      </c>
      <c r="K41" s="376" t="str">
        <f ca="1">F41&amp;"5komm"</f>
        <v>05komm</v>
      </c>
      <c r="L41" s="616" cm="1">
        <f t="array" ref="L41">AK41</f>
        <v>0</v>
      </c>
      <c r="T41" s="365" t="b" cm="1">
        <f t="array" ref="T41">T40</f>
        <v>0</v>
      </c>
      <c r="X41" s="1050"/>
      <c r="Z41" s="1076"/>
      <c r="AB41" s="269" t="s">
        <v>578</v>
      </c>
      <c r="AC41" s="259" t="s">
        <v>1235</v>
      </c>
      <c r="AD41" s="28" t="s">
        <v>804</v>
      </c>
      <c r="AE41" s="929"/>
      <c r="AF41" s="929"/>
      <c r="AG41" s="929"/>
      <c r="AH41" s="929"/>
      <c r="AI41" s="929"/>
      <c r="AJ41" s="929"/>
      <c r="AK41" s="843"/>
      <c r="AN41" s="687" t="s">
        <v>1236</v>
      </c>
    </row>
    <row r="42" spans="2:40" s="81" customFormat="1" ht="14.65" hidden="1" customHeight="1">
      <c r="B42" s="338"/>
      <c r="E42" s="198">
        <v>15</v>
      </c>
      <c r="F42" s="3" cm="1">
        <f t="array" aca="1" ref="F42" ca="1">OFFSET(E42,-1,1)</f>
        <v>0</v>
      </c>
      <c r="G42" s="266" t="s">
        <v>1237</v>
      </c>
      <c r="H42" s="61" t="s">
        <v>562</v>
      </c>
      <c r="K42" s="376" t="str">
        <f ca="1">F42&amp;"6komm"</f>
        <v>06komm</v>
      </c>
      <c r="L42" s="616" cm="1">
        <f t="array" ref="L42">AK42</f>
        <v>0</v>
      </c>
      <c r="T42" s="365" t="b" cm="1">
        <f t="array" ref="T42">T41</f>
        <v>0</v>
      </c>
      <c r="X42" s="1050"/>
      <c r="Z42" s="1076"/>
      <c r="AB42" s="269" t="s">
        <v>586</v>
      </c>
      <c r="AC42" s="259" t="s">
        <v>1238</v>
      </c>
      <c r="AD42" s="28" t="s">
        <v>804</v>
      </c>
      <c r="AE42" s="190">
        <f t="shared" ref="AE42:AJ42" si="2">SUM(AE43:AE45)</f>
        <v>0</v>
      </c>
      <c r="AF42" s="190">
        <f t="shared" si="2"/>
        <v>0</v>
      </c>
      <c r="AG42" s="190">
        <f t="shared" si="2"/>
        <v>0</v>
      </c>
      <c r="AH42" s="190">
        <f t="shared" si="2"/>
        <v>0</v>
      </c>
      <c r="AI42" s="190">
        <f t="shared" si="2"/>
        <v>0</v>
      </c>
      <c r="AJ42" s="190">
        <f t="shared" si="2"/>
        <v>0</v>
      </c>
      <c r="AK42" s="843"/>
      <c r="AN42" s="687" t="s">
        <v>389</v>
      </c>
    </row>
    <row r="43" spans="2:40" s="81" customFormat="1" ht="14.65" hidden="1" customHeight="1">
      <c r="B43" s="338"/>
      <c r="E43" s="198">
        <v>15</v>
      </c>
      <c r="F43" s="3" cm="1">
        <f t="array" aca="1" ref="F43" ca="1">OFFSET(E43,-1,1)</f>
        <v>0</v>
      </c>
      <c r="G43" s="266" t="s">
        <v>1239</v>
      </c>
      <c r="H43" s="61" t="s">
        <v>565</v>
      </c>
      <c r="K43" s="376" t="str">
        <f ca="1">F43&amp;"7komm"</f>
        <v>07komm</v>
      </c>
      <c r="L43" s="616" cm="1">
        <f t="array" ref="L43">AK43</f>
        <v>0</v>
      </c>
      <c r="T43" s="365" t="b" cm="1">
        <f t="array" ref="T43">T42</f>
        <v>0</v>
      </c>
      <c r="X43" s="1050"/>
      <c r="Z43" s="1076"/>
      <c r="AB43" s="269" t="s">
        <v>590</v>
      </c>
      <c r="AC43" s="146" t="s">
        <v>1240</v>
      </c>
      <c r="AD43" s="28" t="s">
        <v>804</v>
      </c>
      <c r="AE43" s="929"/>
      <c r="AF43" s="929"/>
      <c r="AG43" s="929"/>
      <c r="AH43" s="929"/>
      <c r="AI43" s="929"/>
      <c r="AJ43" s="929"/>
      <c r="AK43" s="843"/>
      <c r="AN43" s="687" t="s">
        <v>1241</v>
      </c>
    </row>
    <row r="44" spans="2:40" s="81" customFormat="1" ht="43.9" hidden="1" customHeight="1">
      <c r="B44" s="338"/>
      <c r="E44" s="198">
        <v>45</v>
      </c>
      <c r="F44" s="3" cm="1">
        <f t="array" aca="1" ref="F44" ca="1">OFFSET(E44,-1,1)</f>
        <v>0</v>
      </c>
      <c r="G44" s="266" t="s">
        <v>1242</v>
      </c>
      <c r="H44" s="61" t="s">
        <v>569</v>
      </c>
      <c r="K44" s="376" t="str">
        <f ca="1">F44&amp;"8komm"</f>
        <v>08komm</v>
      </c>
      <c r="L44" s="616" cm="1">
        <f t="array" ref="L44">AK44</f>
        <v>0</v>
      </c>
      <c r="T44" s="365" t="b" cm="1">
        <f t="array" ref="T44">T43</f>
        <v>0</v>
      </c>
      <c r="X44" s="1050"/>
      <c r="Z44" s="1076"/>
      <c r="AB44" s="269" t="s">
        <v>607</v>
      </c>
      <c r="AC44" s="146" t="s">
        <v>1243</v>
      </c>
      <c r="AD44" s="28" t="s">
        <v>804</v>
      </c>
      <c r="AE44" s="929"/>
      <c r="AF44" s="929"/>
      <c r="AG44" s="929"/>
      <c r="AH44" s="929"/>
      <c r="AI44" s="929"/>
      <c r="AJ44" s="929"/>
      <c r="AK44" s="843"/>
      <c r="AN44" s="687" t="s">
        <v>1244</v>
      </c>
    </row>
    <row r="45" spans="2:40" s="81" customFormat="1" ht="14.65" hidden="1" customHeight="1">
      <c r="B45" s="338"/>
      <c r="E45" s="198">
        <v>15</v>
      </c>
      <c r="F45" s="3" cm="1">
        <f t="array" aca="1" ref="F45" ca="1">OFFSET(E45,-1,1)</f>
        <v>0</v>
      </c>
      <c r="G45" s="91" t="s">
        <v>1245</v>
      </c>
      <c r="H45" s="61" t="s">
        <v>573</v>
      </c>
      <c r="K45" s="376" t="str">
        <f ca="1">F45&amp;"9komm"</f>
        <v>09komm</v>
      </c>
      <c r="L45" s="616" cm="1">
        <f t="array" ref="L45">AK45</f>
        <v>0</v>
      </c>
      <c r="T45" s="365" t="b" cm="1">
        <f t="array" ref="T45">T44</f>
        <v>0</v>
      </c>
      <c r="X45" s="1050"/>
      <c r="Z45" s="1076"/>
      <c r="AB45" s="269" t="s">
        <v>619</v>
      </c>
      <c r="AC45" s="146" t="s">
        <v>1246</v>
      </c>
      <c r="AD45" s="28" t="s">
        <v>804</v>
      </c>
      <c r="AE45" s="929"/>
      <c r="AF45" s="929"/>
      <c r="AG45" s="929"/>
      <c r="AH45" s="929"/>
      <c r="AI45" s="929"/>
      <c r="AJ45" s="929"/>
      <c r="AK45" s="843"/>
      <c r="AN45" s="687" t="s">
        <v>1247</v>
      </c>
    </row>
    <row r="46" spans="2:40" ht="10.5" customHeight="1">
      <c r="C46" s="81"/>
      <c r="D46" s="81"/>
      <c r="E46" s="198">
        <v>11.25</v>
      </c>
      <c r="F46" s="36" t="str" cm="1">
        <f t="array" ref="F46">X46</f>
        <v>1</v>
      </c>
      <c r="G46" s="81"/>
      <c r="H46" s="81"/>
      <c r="I46" s="81"/>
      <c r="J46" s="81"/>
      <c r="K46" s="81"/>
      <c r="L46" s="81"/>
      <c r="M46" s="81"/>
      <c r="N46" s="81"/>
      <c r="O46" s="81"/>
      <c r="P46" s="81"/>
      <c r="Q46" s="81"/>
      <c r="R46" s="81"/>
      <c r="S46" s="81"/>
      <c r="T46" s="365" t="b">
        <f>X46&gt;0</f>
        <v>1</v>
      </c>
      <c r="U46" s="81"/>
      <c r="V46" s="81" t="str" cm="1">
        <f t="array" ref="V46">ФОТ!$AB$52</f>
        <v>Тариф 1 (Водоснабжение) - тариф на питьевую воду (Доп. признак не требуется)</v>
      </c>
      <c r="W46" s="81"/>
      <c r="X46" s="1050" t="s">
        <v>275</v>
      </c>
      <c r="Y46" s="81"/>
      <c r="Z46" s="1076"/>
      <c r="AA46" s="81"/>
      <c r="AB46" s="174" t="str" cm="1">
        <f t="array" ref="AB46">ФОТ!$AB$52</f>
        <v>Тариф 1 (Водоснабжение) - тариф на питьевую воду (Доп. признак не требуется)</v>
      </c>
      <c r="AC46" s="113"/>
      <c r="AD46" s="113"/>
      <c r="AE46" s="227">
        <f t="shared" ref="AE46:AJ46" ca="1" si="3">AE47+AE48+AE49+AE57+AE58+AE59+AE60+AE61</f>
        <v>0</v>
      </c>
      <c r="AF46" s="227">
        <f t="shared" ca="1" si="3"/>
        <v>0</v>
      </c>
      <c r="AG46" s="227">
        <f t="shared" ca="1" si="3"/>
        <v>0</v>
      </c>
      <c r="AH46" s="227">
        <f t="shared" ca="1" si="3"/>
        <v>0</v>
      </c>
      <c r="AI46" s="227">
        <f t="shared" ca="1" si="3"/>
        <v>0</v>
      </c>
      <c r="AJ46" s="227">
        <f t="shared" ca="1" si="3"/>
        <v>0</v>
      </c>
      <c r="AK46" s="107"/>
      <c r="AL46" s="81"/>
    </row>
    <row r="47" spans="2:40" ht="21.75" customHeight="1">
      <c r="C47" s="81"/>
      <c r="D47" s="81"/>
      <c r="E47" s="198">
        <v>22.5</v>
      </c>
      <c r="F47" s="3" t="str" cm="1">
        <f t="array" aca="1" ref="F47" ca="1">OFFSET(E47,-1,1)</f>
        <v>1</v>
      </c>
      <c r="G47" s="81"/>
      <c r="H47" s="61" t="s">
        <v>327</v>
      </c>
      <c r="I47" s="81"/>
      <c r="J47" s="81"/>
      <c r="K47" s="81"/>
      <c r="L47" s="81"/>
      <c r="M47" s="81"/>
      <c r="N47" s="81"/>
      <c r="O47" s="81"/>
      <c r="P47" s="81"/>
      <c r="Q47" s="81"/>
      <c r="R47" s="81"/>
      <c r="S47" s="81"/>
      <c r="T47" s="365" t="b" cm="1">
        <f t="array" ref="T47">T46</f>
        <v>1</v>
      </c>
      <c r="U47" s="81"/>
      <c r="V47" s="81"/>
      <c r="W47" s="81"/>
      <c r="X47" s="1050"/>
      <c r="Y47" s="81"/>
      <c r="Z47" s="1076"/>
      <c r="AA47" s="81"/>
      <c r="AB47" s="269">
        <v>1</v>
      </c>
      <c r="AC47" s="259" t="s">
        <v>1180</v>
      </c>
      <c r="AD47" s="28" t="s">
        <v>804</v>
      </c>
      <c r="AE47" s="418">
        <f ca="1">SUMIFS(ФОТ!AE$25:AE$102,ФОТ!$F$25:$F$102,$F47,ФОТ!$AC$25:$AC$102,$AC47)</f>
        <v>0</v>
      </c>
      <c r="AF47" s="418">
        <f ca="1">SUMIFS(ФОТ!AF$25:AF$102,ФОТ!$F$25:$F$102,$F47,ФОТ!$AC$25:$AC$102,$AC47)</f>
        <v>0</v>
      </c>
      <c r="AG47" s="418">
        <f ca="1">SUMIFS(ФОТ!AG$25:AG$102,ФОТ!$F$25:$F$102,$F47,ФОТ!$AC$25:$AC$102,$AC47)</f>
        <v>0</v>
      </c>
      <c r="AH47" s="418">
        <f ca="1">SUMIFS(ФОТ!AH$25:AH$102,ФОТ!$F$25:$F$102,$F47,ФОТ!$AC$25:$AC$102,$AC47)</f>
        <v>0</v>
      </c>
      <c r="AI47" s="418">
        <f ca="1">SUMIFS(ФОТ!AI$25:AI$102,ФОТ!$F$25:$F$102,$F47,ФОТ!$AC$25:$AC$102,$AC47)</f>
        <v>0</v>
      </c>
      <c r="AJ47" s="418">
        <f ca="1">SUMIFS(ФОТ!AJ$25:AJ$102,ФОТ!$F$25:$F$102,$F47,ФОТ!$AC$25:$AC$102,$AC47)</f>
        <v>0</v>
      </c>
      <c r="AK47" s="230"/>
      <c r="AL47" s="81"/>
      <c r="AN47" s="680" t="s">
        <v>1196</v>
      </c>
    </row>
    <row r="48" spans="2:40" ht="21.75" customHeight="1">
      <c r="C48" s="81"/>
      <c r="D48" s="81"/>
      <c r="E48" s="198">
        <v>22.5</v>
      </c>
      <c r="F48" s="3" t="str" cm="1">
        <f t="array" aca="1" ref="F48" ca="1">OFFSET(E48,-1,1)</f>
        <v>1</v>
      </c>
      <c r="G48" s="81"/>
      <c r="H48" s="61" t="s">
        <v>328</v>
      </c>
      <c r="I48" s="81"/>
      <c r="J48" s="376"/>
      <c r="K48" s="376"/>
      <c r="L48" s="376"/>
      <c r="M48" s="81"/>
      <c r="N48" s="81"/>
      <c r="O48" s="81"/>
      <c r="P48" s="81"/>
      <c r="Q48" s="81"/>
      <c r="R48" s="81"/>
      <c r="S48" s="81"/>
      <c r="T48" s="365" t="b" cm="1">
        <f t="array" ref="T48">T47</f>
        <v>1</v>
      </c>
      <c r="U48" s="81"/>
      <c r="V48" s="81"/>
      <c r="W48" s="81"/>
      <c r="X48" s="1050"/>
      <c r="Y48" s="81"/>
      <c r="Z48" s="1076"/>
      <c r="AA48" s="81"/>
      <c r="AB48" s="269" t="s">
        <v>285</v>
      </c>
      <c r="AC48" s="259" t="s">
        <v>1185</v>
      </c>
      <c r="AD48" s="28" t="s">
        <v>804</v>
      </c>
      <c r="AE48" s="418">
        <f ca="1">SUMIFS(ФОТ!AE$25:AE$102,ФОТ!$F$25:$F$102,$F48,ФОТ!$AC$25:$AC$102,$AC48)</f>
        <v>0</v>
      </c>
      <c r="AF48" s="418">
        <f ca="1">SUMIFS(ФОТ!AF$25:AF$102,ФОТ!$F$25:$F$102,$F48,ФОТ!$AC$25:$AC$102,$AC48)</f>
        <v>0</v>
      </c>
      <c r="AG48" s="418">
        <f ca="1">SUMIFS(ФОТ!AG$25:AG$102,ФОТ!$F$25:$F$102,$F48,ФОТ!$AC$25:$AC$102,$AC48)</f>
        <v>0</v>
      </c>
      <c r="AH48" s="418">
        <f ca="1">SUMIFS(ФОТ!AH$25:AH$102,ФОТ!$F$25:$F$102,$F48,ФОТ!$AC$25:$AC$102,$AC48)</f>
        <v>0</v>
      </c>
      <c r="AI48" s="418">
        <f ca="1">SUMIFS(ФОТ!AI$25:AI$102,ФОТ!$F$25:$F$102,$F48,ФОТ!$AC$25:$AC$102,$AC48)</f>
        <v>0</v>
      </c>
      <c r="AJ48" s="418">
        <f ca="1">SUMIFS(ФОТ!AJ$25:AJ$102,ФОТ!$F$25:$F$102,$F48,ФОТ!$AC$25:$AC$102,$AC48)</f>
        <v>0</v>
      </c>
      <c r="AK48" s="230"/>
      <c r="AL48" s="81"/>
      <c r="AN48" s="680" t="s">
        <v>1186</v>
      </c>
    </row>
    <row r="49" spans="1:40" ht="32.25" customHeight="1">
      <c r="C49" s="81"/>
      <c r="D49" s="81"/>
      <c r="E49" s="198">
        <v>33.75</v>
      </c>
      <c r="F49" s="3" t="str" cm="1">
        <f t="array" aca="1" ref="F49" ca="1">OFFSET(E49,-1,1)</f>
        <v>1</v>
      </c>
      <c r="G49" s="266" t="s">
        <v>1197</v>
      </c>
      <c r="H49" s="61" t="s">
        <v>329</v>
      </c>
      <c r="I49" s="81"/>
      <c r="J49" s="376"/>
      <c r="K49" s="376" t="str">
        <f ca="1">F49&amp;"17komm"</f>
        <v>117komm</v>
      </c>
      <c r="L49" s="616" cm="1">
        <f t="array" ref="L49">AK49</f>
        <v>0</v>
      </c>
      <c r="M49" s="81"/>
      <c r="N49" s="81"/>
      <c r="O49" s="81"/>
      <c r="P49" s="81"/>
      <c r="Q49" s="81"/>
      <c r="R49" s="81"/>
      <c r="S49" s="81"/>
      <c r="T49" s="365" t="b" cm="1">
        <f t="array" ref="T49">T48</f>
        <v>1</v>
      </c>
      <c r="U49" s="81"/>
      <c r="V49" s="81"/>
      <c r="W49" s="81"/>
      <c r="X49" s="1050"/>
      <c r="Y49" s="81"/>
      <c r="Z49" s="1076"/>
      <c r="AA49" s="81"/>
      <c r="AB49" s="269" t="s">
        <v>325</v>
      </c>
      <c r="AC49" s="259" t="s">
        <v>1198</v>
      </c>
      <c r="AD49" s="28" t="s">
        <v>804</v>
      </c>
      <c r="AE49" s="170">
        <f t="shared" ref="AE49:AJ49" si="4">SUM(AE50:AE56)</f>
        <v>0</v>
      </c>
      <c r="AF49" s="170">
        <f t="shared" si="4"/>
        <v>0</v>
      </c>
      <c r="AG49" s="170">
        <f t="shared" si="4"/>
        <v>0</v>
      </c>
      <c r="AH49" s="170">
        <f t="shared" si="4"/>
        <v>0</v>
      </c>
      <c r="AI49" s="170">
        <f t="shared" si="4"/>
        <v>0</v>
      </c>
      <c r="AJ49" s="170">
        <f t="shared" si="4"/>
        <v>0</v>
      </c>
      <c r="AK49" s="230"/>
      <c r="AL49" s="81"/>
      <c r="AN49" s="680" t="s">
        <v>1199</v>
      </c>
    </row>
    <row r="50" spans="1:40" ht="14.25" customHeight="1">
      <c r="A50"/>
      <c r="B50" s="339"/>
      <c r="C50" s="81"/>
      <c r="D50" s="81"/>
      <c r="E50" s="198">
        <v>15</v>
      </c>
      <c r="F50" s="774" t="str" cm="1">
        <f t="array" aca="1" ref="F50" ca="1">OFFSET(E50,-1,1)</f>
        <v>1</v>
      </c>
      <c r="G50" s="91" t="s">
        <v>1200</v>
      </c>
      <c r="H50" s="61" t="s">
        <v>927</v>
      </c>
      <c r="I50" s="81"/>
      <c r="J50" s="376"/>
      <c r="K50" s="376" t="str">
        <f ca="1">F50&amp;"18komm"</f>
        <v>118komm</v>
      </c>
      <c r="L50" s="616" cm="1">
        <f t="array" ref="L50">AK50</f>
        <v>0</v>
      </c>
      <c r="M50" s="81"/>
      <c r="N50" s="81"/>
      <c r="O50" s="81"/>
      <c r="P50" s="81"/>
      <c r="Q50" s="81"/>
      <c r="R50" s="81"/>
      <c r="S50" s="81"/>
      <c r="T50" s="365" t="b" cm="1">
        <f t="array" ref="T50">T49</f>
        <v>1</v>
      </c>
      <c r="U50" s="81"/>
      <c r="V50" s="81"/>
      <c r="W50" s="81"/>
      <c r="X50" s="1050"/>
      <c r="Y50" s="81"/>
      <c r="Z50" s="1076"/>
      <c r="AA50" s="81"/>
      <c r="AB50" s="269" t="s">
        <v>551</v>
      </c>
      <c r="AC50" s="146" t="s">
        <v>1201</v>
      </c>
      <c r="AD50" s="28" t="s">
        <v>804</v>
      </c>
      <c r="AE50" s="161"/>
      <c r="AF50" s="161"/>
      <c r="AG50" s="161"/>
      <c r="AH50" s="161"/>
      <c r="AI50" s="161"/>
      <c r="AJ50" s="161"/>
      <c r="AK50" s="230"/>
      <c r="AL50" s="81"/>
      <c r="AM50"/>
      <c r="AN50" s="670" t="s">
        <v>1202</v>
      </c>
    </row>
    <row r="51" spans="1:40" s="338" customFormat="1" ht="14.25" customHeight="1">
      <c r="A51" s="81"/>
      <c r="C51" s="81"/>
      <c r="D51" s="81"/>
      <c r="E51" s="198">
        <v>15</v>
      </c>
      <c r="F51" s="3" t="str" cm="1">
        <f t="array" aca="1" ref="F51" ca="1">OFFSET(E51,-1,1)</f>
        <v>1</v>
      </c>
      <c r="G51" s="91" t="s">
        <v>1203</v>
      </c>
      <c r="H51" s="61" t="s">
        <v>929</v>
      </c>
      <c r="I51" s="81"/>
      <c r="J51" s="376"/>
      <c r="K51" s="376" t="str">
        <f ca="1">F51&amp;"11komm"</f>
        <v>111komm</v>
      </c>
      <c r="L51" s="616" cm="1">
        <f t="array" ref="L51">AK51</f>
        <v>0</v>
      </c>
      <c r="M51" s="81"/>
      <c r="N51" s="81"/>
      <c r="O51" s="81"/>
      <c r="P51" s="81"/>
      <c r="Q51" s="81"/>
      <c r="R51" s="81"/>
      <c r="S51" s="81"/>
      <c r="T51" s="365" t="b" cm="1">
        <f t="array" ref="T51">T50</f>
        <v>1</v>
      </c>
      <c r="U51" s="81"/>
      <c r="V51" s="81"/>
      <c r="W51" s="81"/>
      <c r="X51" s="1050"/>
      <c r="Y51" s="81"/>
      <c r="Z51" s="1076"/>
      <c r="AA51" s="81"/>
      <c r="AB51" s="269" t="s">
        <v>555</v>
      </c>
      <c r="AC51" s="146" t="s">
        <v>1204</v>
      </c>
      <c r="AD51" s="28" t="s">
        <v>804</v>
      </c>
      <c r="AE51" s="161"/>
      <c r="AF51" s="161"/>
      <c r="AG51" s="161"/>
      <c r="AH51" s="161"/>
      <c r="AI51" s="161"/>
      <c r="AJ51" s="161"/>
      <c r="AK51" s="230"/>
      <c r="AL51" s="81"/>
      <c r="AM51" s="81"/>
      <c r="AN51" s="687" t="s">
        <v>1205</v>
      </c>
    </row>
    <row r="52" spans="1:40" s="338" customFormat="1" ht="14.25" customHeight="1">
      <c r="A52" s="81"/>
      <c r="C52" s="81"/>
      <c r="D52" s="81"/>
      <c r="E52" s="198">
        <v>15</v>
      </c>
      <c r="F52" s="3" t="str" cm="1">
        <f t="array" aca="1" ref="F52" ca="1">OFFSET(E52,-1,1)</f>
        <v>1</v>
      </c>
      <c r="G52" s="91" t="s">
        <v>1206</v>
      </c>
      <c r="H52" s="61" t="s">
        <v>931</v>
      </c>
      <c r="I52" s="81"/>
      <c r="J52" s="376"/>
      <c r="K52" s="376" t="str">
        <f ca="1">F52&amp;"12komm"</f>
        <v>112komm</v>
      </c>
      <c r="L52" s="616" cm="1">
        <f t="array" ref="L52">AK52</f>
        <v>0</v>
      </c>
      <c r="M52" s="81"/>
      <c r="N52" s="81"/>
      <c r="O52" s="81"/>
      <c r="P52" s="81"/>
      <c r="Q52" s="81"/>
      <c r="R52" s="81"/>
      <c r="S52" s="81"/>
      <c r="T52" s="365" t="b" cm="1">
        <f t="array" ref="T52">T51</f>
        <v>1</v>
      </c>
      <c r="U52" s="81"/>
      <c r="V52" s="81"/>
      <c r="W52" s="81"/>
      <c r="X52" s="1050"/>
      <c r="Y52" s="81"/>
      <c r="Z52" s="1076"/>
      <c r="AA52" s="81"/>
      <c r="AB52" s="269" t="s">
        <v>771</v>
      </c>
      <c r="AC52" s="146" t="s">
        <v>1207</v>
      </c>
      <c r="AD52" s="28" t="s">
        <v>804</v>
      </c>
      <c r="AE52" s="161"/>
      <c r="AF52" s="161"/>
      <c r="AG52" s="161"/>
      <c r="AH52" s="161"/>
      <c r="AI52" s="161"/>
      <c r="AJ52" s="161"/>
      <c r="AK52" s="230"/>
      <c r="AL52" s="81"/>
      <c r="AM52" s="81"/>
      <c r="AN52" s="687" t="s">
        <v>1208</v>
      </c>
    </row>
    <row r="53" spans="1:40" s="338" customFormat="1" ht="14.25" customHeight="1">
      <c r="A53" s="81"/>
      <c r="C53" s="81"/>
      <c r="D53" s="81"/>
      <c r="E53" s="198">
        <v>15</v>
      </c>
      <c r="F53" s="3" t="str" cm="1">
        <f t="array" aca="1" ref="F53" ca="1">OFFSET(E53,-1,1)</f>
        <v>1</v>
      </c>
      <c r="G53" s="91" t="s">
        <v>1209</v>
      </c>
      <c r="H53" s="61" t="s">
        <v>933</v>
      </c>
      <c r="I53" s="81"/>
      <c r="J53" s="376"/>
      <c r="K53" s="376" t="str">
        <f ca="1">F53&amp;"13komm"</f>
        <v>113komm</v>
      </c>
      <c r="L53" s="616" cm="1">
        <f t="array" ref="L53">AK53</f>
        <v>0</v>
      </c>
      <c r="M53" s="81"/>
      <c r="N53" s="81"/>
      <c r="O53" s="81"/>
      <c r="P53" s="81"/>
      <c r="Q53" s="81"/>
      <c r="R53" s="81"/>
      <c r="S53" s="81"/>
      <c r="T53" s="365" t="b" cm="1">
        <f t="array" ref="T53">T52</f>
        <v>1</v>
      </c>
      <c r="U53" s="81"/>
      <c r="V53" s="81"/>
      <c r="W53" s="81"/>
      <c r="X53" s="1050"/>
      <c r="Y53" s="81"/>
      <c r="Z53" s="1076"/>
      <c r="AA53" s="81"/>
      <c r="AB53" s="269" t="s">
        <v>934</v>
      </c>
      <c r="AC53" s="146" t="s">
        <v>1210</v>
      </c>
      <c r="AD53" s="28" t="s">
        <v>804</v>
      </c>
      <c r="AE53" s="161"/>
      <c r="AF53" s="161"/>
      <c r="AG53" s="161"/>
      <c r="AH53" s="161"/>
      <c r="AI53" s="161"/>
      <c r="AJ53" s="161"/>
      <c r="AK53" s="230"/>
      <c r="AL53" s="81"/>
      <c r="AM53" s="81"/>
      <c r="AN53" s="687" t="s">
        <v>1211</v>
      </c>
    </row>
    <row r="54" spans="1:40" s="338" customFormat="1" ht="14.25" customHeight="1">
      <c r="A54" s="81"/>
      <c r="C54" s="81"/>
      <c r="D54" s="81"/>
      <c r="E54" s="198">
        <v>15</v>
      </c>
      <c r="F54" s="3" t="str" cm="1">
        <f t="array" aca="1" ref="F54" ca="1">OFFSET(E54,-1,1)</f>
        <v>1</v>
      </c>
      <c r="G54" s="91" t="s">
        <v>1212</v>
      </c>
      <c r="H54" s="61" t="s">
        <v>936</v>
      </c>
      <c r="I54" s="81"/>
      <c r="J54" s="376"/>
      <c r="K54" s="376" t="str">
        <f ca="1">F54&amp;"14komm"</f>
        <v>114komm</v>
      </c>
      <c r="L54" s="616" cm="1">
        <f t="array" ref="L54">AK54</f>
        <v>0</v>
      </c>
      <c r="M54" s="81"/>
      <c r="N54" s="81"/>
      <c r="O54" s="81"/>
      <c r="P54" s="81"/>
      <c r="Q54" s="81"/>
      <c r="R54" s="81"/>
      <c r="S54" s="81"/>
      <c r="T54" s="365" t="b" cm="1">
        <f t="array" ref="T54">T53</f>
        <v>1</v>
      </c>
      <c r="U54" s="81"/>
      <c r="V54" s="81"/>
      <c r="W54" s="81"/>
      <c r="X54" s="1050"/>
      <c r="Y54" s="81"/>
      <c r="Z54" s="1076"/>
      <c r="AA54" s="81"/>
      <c r="AB54" s="269" t="s">
        <v>937</v>
      </c>
      <c r="AC54" s="146" t="s">
        <v>1213</v>
      </c>
      <c r="AD54" s="28" t="s">
        <v>804</v>
      </c>
      <c r="AE54" s="161"/>
      <c r="AF54" s="161"/>
      <c r="AG54" s="161"/>
      <c r="AH54" s="161"/>
      <c r="AI54" s="161"/>
      <c r="AJ54" s="161"/>
      <c r="AK54" s="230"/>
      <c r="AL54" s="81"/>
      <c r="AM54" s="81"/>
      <c r="AN54" s="687" t="s">
        <v>1214</v>
      </c>
    </row>
    <row r="55" spans="1:40" s="338" customFormat="1" ht="14.25" customHeight="1">
      <c r="A55" s="81"/>
      <c r="C55" s="81"/>
      <c r="D55" s="81"/>
      <c r="E55" s="198">
        <v>15</v>
      </c>
      <c r="F55" s="3" t="str" cm="1">
        <f t="array" aca="1" ref="F55" ca="1">OFFSET(E55,-1,1)</f>
        <v>1</v>
      </c>
      <c r="G55" s="91" t="s">
        <v>1215</v>
      </c>
      <c r="H55" s="61" t="s">
        <v>1216</v>
      </c>
      <c r="I55" s="81"/>
      <c r="J55" s="376"/>
      <c r="K55" s="376" t="str">
        <f ca="1">F55&amp;"15komm"</f>
        <v>115komm</v>
      </c>
      <c r="L55" s="616" cm="1">
        <f t="array" ref="L55">AK55</f>
        <v>0</v>
      </c>
      <c r="M55" s="81"/>
      <c r="N55" s="81"/>
      <c r="O55" s="81"/>
      <c r="P55" s="81"/>
      <c r="Q55" s="81"/>
      <c r="R55" s="81"/>
      <c r="S55" s="81"/>
      <c r="T55" s="365" t="b" cm="1">
        <f t="array" ref="T55">T54</f>
        <v>1</v>
      </c>
      <c r="U55" s="81"/>
      <c r="V55" s="81"/>
      <c r="W55" s="81"/>
      <c r="X55" s="1050"/>
      <c r="Y55" s="81"/>
      <c r="Z55" s="1076"/>
      <c r="AA55" s="81"/>
      <c r="AB55" s="269" t="s">
        <v>1217</v>
      </c>
      <c r="AC55" s="146" t="s">
        <v>1218</v>
      </c>
      <c r="AD55" s="28" t="s">
        <v>804</v>
      </c>
      <c r="AE55" s="161"/>
      <c r="AF55" s="161"/>
      <c r="AG55" s="161"/>
      <c r="AH55" s="161"/>
      <c r="AI55" s="161"/>
      <c r="AJ55" s="161"/>
      <c r="AK55" s="230"/>
      <c r="AL55" s="81"/>
      <c r="AM55" s="81"/>
      <c r="AN55" s="687" t="s">
        <v>1219</v>
      </c>
    </row>
    <row r="56" spans="1:40" s="338" customFormat="1" ht="14.25" customHeight="1">
      <c r="A56" s="81"/>
      <c r="C56" s="81"/>
      <c r="D56" s="81"/>
      <c r="E56" s="198">
        <v>15</v>
      </c>
      <c r="F56" s="3" t="str" cm="1">
        <f t="array" aca="1" ref="F56" ca="1">OFFSET(E56,-1,1)</f>
        <v>1</v>
      </c>
      <c r="G56" s="91" t="s">
        <v>1220</v>
      </c>
      <c r="H56" s="61" t="s">
        <v>1221</v>
      </c>
      <c r="I56" s="81"/>
      <c r="J56" s="376"/>
      <c r="K56" s="376" t="str">
        <f ca="1">F56&amp;"16komm"</f>
        <v>116komm</v>
      </c>
      <c r="L56" s="616" cm="1">
        <f t="array" ref="L56">AK56</f>
        <v>0</v>
      </c>
      <c r="M56" s="81"/>
      <c r="N56" s="81"/>
      <c r="O56" s="81"/>
      <c r="P56" s="81"/>
      <c r="Q56" s="81"/>
      <c r="R56" s="81"/>
      <c r="S56" s="81"/>
      <c r="T56" s="365" t="b" cm="1">
        <f t="array" ref="T56">T55</f>
        <v>1</v>
      </c>
      <c r="U56" s="81"/>
      <c r="V56" s="81"/>
      <c r="W56" s="81"/>
      <c r="X56" s="1050"/>
      <c r="Y56" s="81"/>
      <c r="Z56" s="1076"/>
      <c r="AA56" s="81"/>
      <c r="AB56" s="269" t="s">
        <v>1222</v>
      </c>
      <c r="AC56" s="146" t="s">
        <v>1223</v>
      </c>
      <c r="AD56" s="28" t="s">
        <v>804</v>
      </c>
      <c r="AE56" s="161"/>
      <c r="AF56" s="161"/>
      <c r="AG56" s="161"/>
      <c r="AH56" s="161"/>
      <c r="AI56" s="161"/>
      <c r="AJ56" s="161"/>
      <c r="AK56" s="230"/>
      <c r="AL56" s="81"/>
      <c r="AM56" s="81"/>
      <c r="AN56" s="687" t="s">
        <v>1224</v>
      </c>
    </row>
    <row r="57" spans="1:40" s="338" customFormat="1" ht="32.25" customHeight="1">
      <c r="A57" s="81"/>
      <c r="C57" s="81"/>
      <c r="D57" s="81"/>
      <c r="E57" s="198">
        <v>33.75</v>
      </c>
      <c r="F57" s="3" t="str" cm="1">
        <f t="array" aca="1" ref="F57" ca="1">OFFSET(E57,-1,1)</f>
        <v>1</v>
      </c>
      <c r="G57" s="266" t="s">
        <v>1225</v>
      </c>
      <c r="H57" s="61" t="s">
        <v>331</v>
      </c>
      <c r="I57" s="81"/>
      <c r="J57" s="376"/>
      <c r="K57" s="376" t="str">
        <f ca="1">F57&amp;"2komm"</f>
        <v>12komm</v>
      </c>
      <c r="L57" s="616" cm="1">
        <f t="array" ref="L57">AK57</f>
        <v>0</v>
      </c>
      <c r="M57" s="81"/>
      <c r="N57" s="81"/>
      <c r="O57" s="81"/>
      <c r="P57" s="81"/>
      <c r="Q57" s="81"/>
      <c r="R57" s="81"/>
      <c r="S57" s="81"/>
      <c r="T57" s="365" t="b" cm="1">
        <f t="array" ref="T57">T56</f>
        <v>1</v>
      </c>
      <c r="U57" s="81"/>
      <c r="V57" s="81"/>
      <c r="W57" s="81"/>
      <c r="X57" s="1050"/>
      <c r="Y57" s="81"/>
      <c r="Z57" s="1076"/>
      <c r="AA57" s="81"/>
      <c r="AB57" s="269" t="s">
        <v>433</v>
      </c>
      <c r="AC57" s="259" t="s">
        <v>1226</v>
      </c>
      <c r="AD57" s="28" t="s">
        <v>804</v>
      </c>
      <c r="AE57" s="161"/>
      <c r="AF57" s="161"/>
      <c r="AG57" s="161"/>
      <c r="AH57" s="161"/>
      <c r="AI57" s="161"/>
      <c r="AJ57" s="161"/>
      <c r="AK57" s="230"/>
      <c r="AL57" s="81"/>
      <c r="AM57" s="81"/>
      <c r="AN57" s="687" t="s">
        <v>1227</v>
      </c>
    </row>
    <row r="58" spans="1:40" s="338" customFormat="1" ht="14.25" customHeight="1">
      <c r="A58" s="81"/>
      <c r="C58" s="81"/>
      <c r="D58" s="81"/>
      <c r="E58" s="198">
        <v>15</v>
      </c>
      <c r="F58" s="3" t="str" cm="1">
        <f t="array" aca="1" ref="F58" ca="1">OFFSET(E58,-1,1)</f>
        <v>1</v>
      </c>
      <c r="G58" s="266" t="s">
        <v>1228</v>
      </c>
      <c r="H58" s="61" t="s">
        <v>330</v>
      </c>
      <c r="I58" s="81"/>
      <c r="J58" s="376"/>
      <c r="K58" s="376" t="str">
        <f ca="1">F58&amp;"3komm"</f>
        <v>13komm</v>
      </c>
      <c r="L58" s="616" cm="1">
        <f t="array" ref="L58">AK58</f>
        <v>0</v>
      </c>
      <c r="M58" s="81"/>
      <c r="N58" s="81"/>
      <c r="O58" s="81"/>
      <c r="P58" s="81"/>
      <c r="Q58" s="81"/>
      <c r="R58" s="81"/>
      <c r="S58" s="81"/>
      <c r="T58" s="365" t="b" cm="1">
        <f t="array" ref="T58">T57</f>
        <v>1</v>
      </c>
      <c r="U58" s="81"/>
      <c r="V58" s="81"/>
      <c r="W58" s="81"/>
      <c r="X58" s="1050"/>
      <c r="Y58" s="81"/>
      <c r="Z58" s="1076"/>
      <c r="AA58" s="81"/>
      <c r="AB58" s="269" t="s">
        <v>444</v>
      </c>
      <c r="AC58" s="259" t="s">
        <v>1229</v>
      </c>
      <c r="AD58" s="28" t="s">
        <v>804</v>
      </c>
      <c r="AE58" s="161"/>
      <c r="AF58" s="161"/>
      <c r="AG58" s="161"/>
      <c r="AH58" s="161"/>
      <c r="AI58" s="161"/>
      <c r="AJ58" s="161"/>
      <c r="AK58" s="230"/>
      <c r="AL58" s="81"/>
      <c r="AM58" s="81"/>
      <c r="AN58" s="687" t="s">
        <v>1230</v>
      </c>
    </row>
    <row r="59" spans="1:40" s="338" customFormat="1" ht="14.25" customHeight="1">
      <c r="A59" s="81"/>
      <c r="C59" s="81"/>
      <c r="D59" s="81"/>
      <c r="E59" s="198">
        <v>15</v>
      </c>
      <c r="F59" s="3" t="str" cm="1">
        <f t="array" aca="1" ref="F59" ca="1">OFFSET(E59,-1,1)</f>
        <v>1</v>
      </c>
      <c r="G59" s="266" t="s">
        <v>1231</v>
      </c>
      <c r="H59" s="61" t="s">
        <v>511</v>
      </c>
      <c r="I59" s="81"/>
      <c r="J59" s="81"/>
      <c r="K59" s="376" t="str">
        <f ca="1">F59&amp;"4komm"</f>
        <v>14komm</v>
      </c>
      <c r="L59" s="616" cm="1">
        <f t="array" ref="L59">AK59</f>
        <v>0</v>
      </c>
      <c r="M59" s="81"/>
      <c r="N59" s="81"/>
      <c r="O59" s="81"/>
      <c r="P59" s="81"/>
      <c r="Q59" s="81"/>
      <c r="R59" s="81"/>
      <c r="S59" s="81"/>
      <c r="T59" s="365" t="b" cm="1">
        <f t="array" ref="T59">T58</f>
        <v>1</v>
      </c>
      <c r="U59" s="81"/>
      <c r="V59" s="81"/>
      <c r="W59" s="81"/>
      <c r="X59" s="1050"/>
      <c r="Y59" s="81"/>
      <c r="Z59" s="1076"/>
      <c r="AA59" s="81"/>
      <c r="AB59" s="269" t="s">
        <v>447</v>
      </c>
      <c r="AC59" s="259" t="s">
        <v>1232</v>
      </c>
      <c r="AD59" s="28" t="s">
        <v>804</v>
      </c>
      <c r="AE59" s="161"/>
      <c r="AF59" s="161"/>
      <c r="AG59" s="161"/>
      <c r="AH59" s="161"/>
      <c r="AI59" s="161"/>
      <c r="AJ59" s="161"/>
      <c r="AK59" s="230"/>
      <c r="AL59" s="81"/>
      <c r="AM59" s="81"/>
      <c r="AN59" s="687" t="s">
        <v>1233</v>
      </c>
    </row>
    <row r="60" spans="1:40" s="338" customFormat="1" ht="14.25" customHeight="1">
      <c r="A60" s="81"/>
      <c r="C60" s="81"/>
      <c r="D60" s="81"/>
      <c r="E60" s="198">
        <v>15</v>
      </c>
      <c r="F60" s="3" t="str" cm="1">
        <f t="array" aca="1" ref="F60" ca="1">OFFSET(E60,-1,1)</f>
        <v>1</v>
      </c>
      <c r="G60" s="266" t="s">
        <v>1234</v>
      </c>
      <c r="H60" s="61" t="s">
        <v>514</v>
      </c>
      <c r="I60" s="81"/>
      <c r="J60" s="81"/>
      <c r="K60" s="376" t="str">
        <f ca="1">F60&amp;"5komm"</f>
        <v>15komm</v>
      </c>
      <c r="L60" s="616" cm="1">
        <f t="array" ref="L60">AK60</f>
        <v>0</v>
      </c>
      <c r="M60" s="81"/>
      <c r="N60" s="81"/>
      <c r="O60" s="81"/>
      <c r="P60" s="81"/>
      <c r="Q60" s="81"/>
      <c r="R60" s="81"/>
      <c r="S60" s="81"/>
      <c r="T60" s="365" t="b" cm="1">
        <f t="array" ref="T60">T59</f>
        <v>1</v>
      </c>
      <c r="U60" s="81"/>
      <c r="V60" s="81"/>
      <c r="W60" s="81"/>
      <c r="X60" s="1050"/>
      <c r="Y60" s="81"/>
      <c r="Z60" s="1076"/>
      <c r="AA60" s="81"/>
      <c r="AB60" s="269" t="s">
        <v>578</v>
      </c>
      <c r="AC60" s="259" t="s">
        <v>1235</v>
      </c>
      <c r="AD60" s="28" t="s">
        <v>804</v>
      </c>
      <c r="AE60" s="161"/>
      <c r="AF60" s="161"/>
      <c r="AG60" s="161"/>
      <c r="AH60" s="161"/>
      <c r="AI60" s="161"/>
      <c r="AJ60" s="161"/>
      <c r="AK60" s="230"/>
      <c r="AL60" s="81"/>
      <c r="AM60" s="81"/>
      <c r="AN60" s="687" t="s">
        <v>1236</v>
      </c>
    </row>
    <row r="61" spans="1:40" s="338" customFormat="1" ht="14.25" customHeight="1">
      <c r="A61" s="81"/>
      <c r="C61" s="81"/>
      <c r="D61" s="81"/>
      <c r="E61" s="198">
        <v>15</v>
      </c>
      <c r="F61" s="3" t="str" cm="1">
        <f t="array" aca="1" ref="F61" ca="1">OFFSET(E61,-1,1)</f>
        <v>1</v>
      </c>
      <c r="G61" s="266" t="s">
        <v>1237</v>
      </c>
      <c r="H61" s="61" t="s">
        <v>562</v>
      </c>
      <c r="I61" s="81"/>
      <c r="J61" s="81"/>
      <c r="K61" s="376" t="str">
        <f ca="1">F61&amp;"6komm"</f>
        <v>16komm</v>
      </c>
      <c r="L61" s="616" cm="1">
        <f t="array" ref="L61">AK61</f>
        <v>0</v>
      </c>
      <c r="M61" s="81"/>
      <c r="N61" s="81"/>
      <c r="O61" s="81"/>
      <c r="P61" s="81"/>
      <c r="Q61" s="81"/>
      <c r="R61" s="81"/>
      <c r="S61" s="81"/>
      <c r="T61" s="365" t="b" cm="1">
        <f t="array" ref="T61">T60</f>
        <v>1</v>
      </c>
      <c r="U61" s="81"/>
      <c r="V61" s="81"/>
      <c r="W61" s="81"/>
      <c r="X61" s="1050"/>
      <c r="Y61" s="81"/>
      <c r="Z61" s="1076"/>
      <c r="AA61" s="81"/>
      <c r="AB61" s="269" t="s">
        <v>586</v>
      </c>
      <c r="AC61" s="259" t="s">
        <v>1238</v>
      </c>
      <c r="AD61" s="28" t="s">
        <v>804</v>
      </c>
      <c r="AE61" s="190">
        <f t="shared" ref="AE61:AJ61" si="5">SUM(AE62:AE64)</f>
        <v>0</v>
      </c>
      <c r="AF61" s="190">
        <f t="shared" si="5"/>
        <v>0</v>
      </c>
      <c r="AG61" s="190">
        <f t="shared" si="5"/>
        <v>0</v>
      </c>
      <c r="AH61" s="190">
        <f t="shared" si="5"/>
        <v>0</v>
      </c>
      <c r="AI61" s="190">
        <f t="shared" si="5"/>
        <v>0</v>
      </c>
      <c r="AJ61" s="190">
        <f t="shared" si="5"/>
        <v>0</v>
      </c>
      <c r="AK61" s="230"/>
      <c r="AL61" s="81"/>
      <c r="AM61" s="81"/>
      <c r="AN61" s="687" t="s">
        <v>389</v>
      </c>
    </row>
    <row r="62" spans="1:40" s="338" customFormat="1" ht="14.25" customHeight="1">
      <c r="A62" s="81"/>
      <c r="C62" s="81"/>
      <c r="D62" s="81"/>
      <c r="E62" s="198">
        <v>15</v>
      </c>
      <c r="F62" s="3" t="str" cm="1">
        <f t="array" aca="1" ref="F62" ca="1">OFFSET(E62,-1,1)</f>
        <v>1</v>
      </c>
      <c r="G62" s="266" t="s">
        <v>1239</v>
      </c>
      <c r="H62" s="61" t="s">
        <v>565</v>
      </c>
      <c r="I62" s="81"/>
      <c r="J62" s="81"/>
      <c r="K62" s="376" t="str">
        <f ca="1">F62&amp;"7komm"</f>
        <v>17komm</v>
      </c>
      <c r="L62" s="616" cm="1">
        <f t="array" ref="L62">AK62</f>
        <v>0</v>
      </c>
      <c r="M62" s="81"/>
      <c r="N62" s="81"/>
      <c r="O62" s="81"/>
      <c r="P62" s="81"/>
      <c r="Q62" s="81"/>
      <c r="R62" s="81"/>
      <c r="S62" s="81"/>
      <c r="T62" s="365" t="b" cm="1">
        <f t="array" ref="T62">T61</f>
        <v>1</v>
      </c>
      <c r="U62" s="81"/>
      <c r="V62" s="81"/>
      <c r="W62" s="81"/>
      <c r="X62" s="1050"/>
      <c r="Y62" s="81"/>
      <c r="Z62" s="1076"/>
      <c r="AA62" s="81"/>
      <c r="AB62" s="269" t="s">
        <v>590</v>
      </c>
      <c r="AC62" s="146" t="s">
        <v>1240</v>
      </c>
      <c r="AD62" s="28" t="s">
        <v>804</v>
      </c>
      <c r="AE62" s="161"/>
      <c r="AF62" s="161"/>
      <c r="AG62" s="161"/>
      <c r="AH62" s="161"/>
      <c r="AI62" s="161"/>
      <c r="AJ62" s="161"/>
      <c r="AK62" s="230"/>
      <c r="AL62" s="81"/>
      <c r="AM62" s="81"/>
      <c r="AN62" s="687" t="s">
        <v>1241</v>
      </c>
    </row>
    <row r="63" spans="1:40" s="338" customFormat="1" ht="43.5" customHeight="1">
      <c r="A63" s="81"/>
      <c r="C63" s="81"/>
      <c r="D63" s="81"/>
      <c r="E63" s="198">
        <v>45</v>
      </c>
      <c r="F63" s="3" t="str" cm="1">
        <f t="array" aca="1" ref="F63" ca="1">OFFSET(E63,-1,1)</f>
        <v>1</v>
      </c>
      <c r="G63" s="266" t="s">
        <v>1242</v>
      </c>
      <c r="H63" s="61" t="s">
        <v>569</v>
      </c>
      <c r="I63" s="81"/>
      <c r="J63" s="81"/>
      <c r="K63" s="376" t="str">
        <f ca="1">F63&amp;"8komm"</f>
        <v>18komm</v>
      </c>
      <c r="L63" s="616" cm="1">
        <f t="array" ref="L63">AK63</f>
        <v>0</v>
      </c>
      <c r="M63" s="81"/>
      <c r="N63" s="81"/>
      <c r="O63" s="81"/>
      <c r="P63" s="81"/>
      <c r="Q63" s="81"/>
      <c r="R63" s="81"/>
      <c r="S63" s="81"/>
      <c r="T63" s="365" t="b" cm="1">
        <f t="array" ref="T63">T62</f>
        <v>1</v>
      </c>
      <c r="U63" s="81"/>
      <c r="V63" s="81"/>
      <c r="W63" s="81"/>
      <c r="X63" s="1050"/>
      <c r="Y63" s="81"/>
      <c r="Z63" s="1076"/>
      <c r="AA63" s="81"/>
      <c r="AB63" s="269" t="s">
        <v>607</v>
      </c>
      <c r="AC63" s="146" t="s">
        <v>1243</v>
      </c>
      <c r="AD63" s="28" t="s">
        <v>804</v>
      </c>
      <c r="AE63" s="161"/>
      <c r="AF63" s="161"/>
      <c r="AG63" s="161"/>
      <c r="AH63" s="161"/>
      <c r="AI63" s="161"/>
      <c r="AJ63" s="161"/>
      <c r="AK63" s="230"/>
      <c r="AL63" s="81"/>
      <c r="AM63" s="81"/>
      <c r="AN63" s="687" t="s">
        <v>1244</v>
      </c>
    </row>
    <row r="64" spans="1:40" s="338" customFormat="1" ht="14.25" customHeight="1">
      <c r="A64" s="81"/>
      <c r="C64" s="81"/>
      <c r="D64" s="81"/>
      <c r="E64" s="198">
        <v>15</v>
      </c>
      <c r="F64" s="3" t="str" cm="1">
        <f t="array" aca="1" ref="F64" ca="1">OFFSET(E64,-1,1)</f>
        <v>1</v>
      </c>
      <c r="G64" s="91" t="s">
        <v>1245</v>
      </c>
      <c r="H64" s="61" t="s">
        <v>573</v>
      </c>
      <c r="I64" s="81"/>
      <c r="J64" s="81"/>
      <c r="K64" s="376" t="str">
        <f ca="1">F64&amp;"9komm"</f>
        <v>19komm</v>
      </c>
      <c r="L64" s="616" cm="1">
        <f t="array" ref="L64">AK64</f>
        <v>0</v>
      </c>
      <c r="M64" s="81"/>
      <c r="N64" s="81"/>
      <c r="O64" s="81"/>
      <c r="P64" s="81"/>
      <c r="Q64" s="81"/>
      <c r="R64" s="81"/>
      <c r="S64" s="81"/>
      <c r="T64" s="365" t="b" cm="1">
        <f t="array" ref="T64">T63</f>
        <v>1</v>
      </c>
      <c r="U64" s="81"/>
      <c r="V64" s="81"/>
      <c r="W64" s="81"/>
      <c r="X64" s="1050"/>
      <c r="Y64" s="81"/>
      <c r="Z64" s="1076"/>
      <c r="AA64" s="81"/>
      <c r="AB64" s="269" t="s">
        <v>619</v>
      </c>
      <c r="AC64" s="146" t="s">
        <v>1246</v>
      </c>
      <c r="AD64" s="28" t="s">
        <v>804</v>
      </c>
      <c r="AE64" s="161"/>
      <c r="AF64" s="161"/>
      <c r="AG64" s="161"/>
      <c r="AH64" s="161"/>
      <c r="AI64" s="161"/>
      <c r="AJ64" s="161"/>
      <c r="AK64" s="230"/>
      <c r="AL64" s="81"/>
      <c r="AM64" s="81"/>
      <c r="AN64" s="687" t="s">
        <v>1247</v>
      </c>
    </row>
    <row r="65" spans="1:40" ht="10.5" customHeight="1">
      <c r="C65" s="81"/>
      <c r="D65" s="81"/>
      <c r="E65" s="198">
        <v>11.25</v>
      </c>
      <c r="F65" s="36" t="str" cm="1">
        <f t="array" ref="F65">X65</f>
        <v>2</v>
      </c>
      <c r="G65" s="81"/>
      <c r="H65" s="81"/>
      <c r="I65" s="81"/>
      <c r="J65" s="81"/>
      <c r="K65" s="81"/>
      <c r="L65" s="81"/>
      <c r="M65" s="81"/>
      <c r="N65" s="81"/>
      <c r="O65" s="81"/>
      <c r="P65" s="81"/>
      <c r="Q65" s="81"/>
      <c r="R65" s="81"/>
      <c r="S65" s="81"/>
      <c r="T65" s="365" t="b">
        <f>X65&gt;0</f>
        <v>1</v>
      </c>
      <c r="U65" s="81"/>
      <c r="V65" s="81" t="str" cm="1">
        <f t="array" ref="V65">ФОТ!$AB$77</f>
        <v>Тариф 2 (Водоотведение) - тариф на водоотведение (Доп. признак не требуется)</v>
      </c>
      <c r="W65" s="81"/>
      <c r="X65" s="1050" t="s">
        <v>285</v>
      </c>
      <c r="Y65" s="81"/>
      <c r="Z65" s="1076"/>
      <c r="AA65" s="81"/>
      <c r="AB65" s="174" t="str" cm="1">
        <f t="array" ref="AB65">ФОТ!$AB$77</f>
        <v>Тариф 2 (Водоотведение) - тариф на водоотведение (Доп. признак не требуется)</v>
      </c>
      <c r="AC65" s="113"/>
      <c r="AD65" s="113"/>
      <c r="AE65" s="227">
        <f t="shared" ref="AE65:AJ65" ca="1" si="6">AE66+AE67+AE68+AE76+AE77+AE78+AE79+AE80</f>
        <v>0</v>
      </c>
      <c r="AF65" s="227">
        <f t="shared" ca="1" si="6"/>
        <v>0</v>
      </c>
      <c r="AG65" s="227">
        <f t="shared" ca="1" si="6"/>
        <v>0</v>
      </c>
      <c r="AH65" s="227">
        <f t="shared" ca="1" si="6"/>
        <v>0</v>
      </c>
      <c r="AI65" s="227">
        <f t="shared" ca="1" si="6"/>
        <v>0</v>
      </c>
      <c r="AJ65" s="227">
        <f t="shared" ca="1" si="6"/>
        <v>0</v>
      </c>
      <c r="AK65" s="107"/>
      <c r="AL65" s="81"/>
    </row>
    <row r="66" spans="1:40" ht="21.75" customHeight="1">
      <c r="C66" s="81"/>
      <c r="D66" s="81"/>
      <c r="E66" s="198">
        <v>22.5</v>
      </c>
      <c r="F66" s="3" t="str" cm="1">
        <f t="array" aca="1" ref="F66" ca="1">OFFSET(E66,-1,1)</f>
        <v>2</v>
      </c>
      <c r="G66" s="81"/>
      <c r="H66" s="61" t="s">
        <v>327</v>
      </c>
      <c r="I66" s="81"/>
      <c r="J66" s="81"/>
      <c r="K66" s="81"/>
      <c r="L66" s="81"/>
      <c r="M66" s="81"/>
      <c r="N66" s="81"/>
      <c r="O66" s="81"/>
      <c r="P66" s="81"/>
      <c r="Q66" s="81"/>
      <c r="R66" s="81"/>
      <c r="S66" s="81"/>
      <c r="T66" s="365" t="b" cm="1">
        <f t="array" ref="T66">T65</f>
        <v>1</v>
      </c>
      <c r="U66" s="81"/>
      <c r="V66" s="81"/>
      <c r="W66" s="81"/>
      <c r="X66" s="1050"/>
      <c r="Y66" s="81"/>
      <c r="Z66" s="1076"/>
      <c r="AA66" s="81"/>
      <c r="AB66" s="269">
        <v>1</v>
      </c>
      <c r="AC66" s="259" t="s">
        <v>1180</v>
      </c>
      <c r="AD66" s="28" t="s">
        <v>804</v>
      </c>
      <c r="AE66" s="418">
        <f ca="1">SUMIFS(ФОТ!AE$25:AE$102,ФОТ!$F$25:$F$102,$F66,ФОТ!$AC$25:$AC$102,$AC66)</f>
        <v>0</v>
      </c>
      <c r="AF66" s="418">
        <f ca="1">SUMIFS(ФОТ!AF$25:AF$102,ФОТ!$F$25:$F$102,$F66,ФОТ!$AC$25:$AC$102,$AC66)</f>
        <v>0</v>
      </c>
      <c r="AG66" s="418">
        <f ca="1">SUMIFS(ФОТ!AG$25:AG$102,ФОТ!$F$25:$F$102,$F66,ФОТ!$AC$25:$AC$102,$AC66)</f>
        <v>0</v>
      </c>
      <c r="AH66" s="418">
        <f ca="1">SUMIFS(ФОТ!AH$25:AH$102,ФОТ!$F$25:$F$102,$F66,ФОТ!$AC$25:$AC$102,$AC66)</f>
        <v>0</v>
      </c>
      <c r="AI66" s="418">
        <f ca="1">SUMIFS(ФОТ!AI$25:AI$102,ФОТ!$F$25:$F$102,$F66,ФОТ!$AC$25:$AC$102,$AC66)</f>
        <v>0</v>
      </c>
      <c r="AJ66" s="418">
        <f ca="1">SUMIFS(ФОТ!AJ$25:AJ$102,ФОТ!$F$25:$F$102,$F66,ФОТ!$AC$25:$AC$102,$AC66)</f>
        <v>0</v>
      </c>
      <c r="AK66" s="230"/>
      <c r="AL66" s="81"/>
      <c r="AN66" s="680" t="s">
        <v>1196</v>
      </c>
    </row>
    <row r="67" spans="1:40" ht="21.75" customHeight="1">
      <c r="C67" s="81"/>
      <c r="D67" s="81"/>
      <c r="E67" s="198">
        <v>22.5</v>
      </c>
      <c r="F67" s="3" t="str" cm="1">
        <f t="array" aca="1" ref="F67" ca="1">OFFSET(E67,-1,1)</f>
        <v>2</v>
      </c>
      <c r="G67" s="81"/>
      <c r="H67" s="61" t="s">
        <v>328</v>
      </c>
      <c r="I67" s="81"/>
      <c r="J67" s="376"/>
      <c r="K67" s="376"/>
      <c r="L67" s="376"/>
      <c r="M67" s="81"/>
      <c r="N67" s="81"/>
      <c r="O67" s="81"/>
      <c r="P67" s="81"/>
      <c r="Q67" s="81"/>
      <c r="R67" s="81"/>
      <c r="S67" s="81"/>
      <c r="T67" s="365" t="b" cm="1">
        <f t="array" ref="T67">T66</f>
        <v>1</v>
      </c>
      <c r="U67" s="81"/>
      <c r="V67" s="81"/>
      <c r="W67" s="81"/>
      <c r="X67" s="1050"/>
      <c r="Y67" s="81"/>
      <c r="Z67" s="1076"/>
      <c r="AA67" s="81"/>
      <c r="AB67" s="269" t="s">
        <v>285</v>
      </c>
      <c r="AC67" s="259" t="s">
        <v>1185</v>
      </c>
      <c r="AD67" s="28" t="s">
        <v>804</v>
      </c>
      <c r="AE67" s="418">
        <f ca="1">SUMIFS(ФОТ!AE$25:AE$102,ФОТ!$F$25:$F$102,$F67,ФОТ!$AC$25:$AC$102,$AC67)</f>
        <v>0</v>
      </c>
      <c r="AF67" s="418">
        <f ca="1">SUMIFS(ФОТ!AF$25:AF$102,ФОТ!$F$25:$F$102,$F67,ФОТ!$AC$25:$AC$102,$AC67)</f>
        <v>0</v>
      </c>
      <c r="AG67" s="418">
        <f ca="1">SUMIFS(ФОТ!AG$25:AG$102,ФОТ!$F$25:$F$102,$F67,ФОТ!$AC$25:$AC$102,$AC67)</f>
        <v>0</v>
      </c>
      <c r="AH67" s="418">
        <f ca="1">SUMIFS(ФОТ!AH$25:AH$102,ФОТ!$F$25:$F$102,$F67,ФОТ!$AC$25:$AC$102,$AC67)</f>
        <v>0</v>
      </c>
      <c r="AI67" s="418">
        <f ca="1">SUMIFS(ФОТ!AI$25:AI$102,ФОТ!$F$25:$F$102,$F67,ФОТ!$AC$25:$AC$102,$AC67)</f>
        <v>0</v>
      </c>
      <c r="AJ67" s="418">
        <f ca="1">SUMIFS(ФОТ!AJ$25:AJ$102,ФОТ!$F$25:$F$102,$F67,ФОТ!$AC$25:$AC$102,$AC67)</f>
        <v>0</v>
      </c>
      <c r="AK67" s="230"/>
      <c r="AL67" s="81"/>
      <c r="AN67" s="680" t="s">
        <v>1186</v>
      </c>
    </row>
    <row r="68" spans="1:40" ht="32.25" customHeight="1">
      <c r="C68" s="81"/>
      <c r="D68" s="81"/>
      <c r="E68" s="198">
        <v>33.75</v>
      </c>
      <c r="F68" s="3" t="str" cm="1">
        <f t="array" aca="1" ref="F68" ca="1">OFFSET(E68,-1,1)</f>
        <v>2</v>
      </c>
      <c r="G68" s="266" t="s">
        <v>1197</v>
      </c>
      <c r="H68" s="61" t="s">
        <v>329</v>
      </c>
      <c r="I68" s="81"/>
      <c r="J68" s="376"/>
      <c r="K68" s="376" t="str">
        <f ca="1">F68&amp;"17komm"</f>
        <v>217komm</v>
      </c>
      <c r="L68" s="616" cm="1">
        <f t="array" ref="L68">AK68</f>
        <v>0</v>
      </c>
      <c r="M68" s="81"/>
      <c r="N68" s="81"/>
      <c r="O68" s="81"/>
      <c r="P68" s="81"/>
      <c r="Q68" s="81"/>
      <c r="R68" s="81"/>
      <c r="S68" s="81"/>
      <c r="T68" s="365" t="b" cm="1">
        <f t="array" ref="T68">T67</f>
        <v>1</v>
      </c>
      <c r="U68" s="81"/>
      <c r="V68" s="81"/>
      <c r="W68" s="81"/>
      <c r="X68" s="1050"/>
      <c r="Y68" s="81"/>
      <c r="Z68" s="1076"/>
      <c r="AA68" s="81"/>
      <c r="AB68" s="269" t="s">
        <v>325</v>
      </c>
      <c r="AC68" s="259" t="s">
        <v>1198</v>
      </c>
      <c r="AD68" s="28" t="s">
        <v>804</v>
      </c>
      <c r="AE68" s="170">
        <f t="shared" ref="AE68:AJ68" si="7">SUM(AE69:AE75)</f>
        <v>0</v>
      </c>
      <c r="AF68" s="170">
        <f t="shared" si="7"/>
        <v>0</v>
      </c>
      <c r="AG68" s="170">
        <f t="shared" si="7"/>
        <v>0</v>
      </c>
      <c r="AH68" s="170">
        <f t="shared" si="7"/>
        <v>0</v>
      </c>
      <c r="AI68" s="170">
        <f t="shared" si="7"/>
        <v>0</v>
      </c>
      <c r="AJ68" s="170">
        <f t="shared" si="7"/>
        <v>0</v>
      </c>
      <c r="AK68" s="230"/>
      <c r="AL68" s="81"/>
      <c r="AN68" s="680" t="s">
        <v>1199</v>
      </c>
    </row>
    <row r="69" spans="1:40" ht="14.25" customHeight="1">
      <c r="A69"/>
      <c r="B69" s="339"/>
      <c r="C69" s="81"/>
      <c r="D69" s="81"/>
      <c r="E69" s="198">
        <v>15</v>
      </c>
      <c r="F69" s="774" t="str" cm="1">
        <f t="array" aca="1" ref="F69" ca="1">OFFSET(E69,-1,1)</f>
        <v>2</v>
      </c>
      <c r="G69" s="91" t="s">
        <v>1200</v>
      </c>
      <c r="H69" s="61" t="s">
        <v>927</v>
      </c>
      <c r="I69" s="81"/>
      <c r="J69" s="376"/>
      <c r="K69" s="376" t="str">
        <f ca="1">F69&amp;"18komm"</f>
        <v>218komm</v>
      </c>
      <c r="L69" s="616" cm="1">
        <f t="array" ref="L69">AK69</f>
        <v>0</v>
      </c>
      <c r="M69" s="81"/>
      <c r="N69" s="81"/>
      <c r="O69" s="81"/>
      <c r="P69" s="81"/>
      <c r="Q69" s="81"/>
      <c r="R69" s="81"/>
      <c r="S69" s="81"/>
      <c r="T69" s="365" t="b" cm="1">
        <f t="array" ref="T69">T68</f>
        <v>1</v>
      </c>
      <c r="U69" s="81"/>
      <c r="V69" s="81"/>
      <c r="W69" s="81"/>
      <c r="X69" s="1050"/>
      <c r="Y69" s="81"/>
      <c r="Z69" s="1076"/>
      <c r="AA69" s="81"/>
      <c r="AB69" s="269" t="s">
        <v>551</v>
      </c>
      <c r="AC69" s="146" t="s">
        <v>1201</v>
      </c>
      <c r="AD69" s="28" t="s">
        <v>804</v>
      </c>
      <c r="AE69" s="161"/>
      <c r="AF69" s="161"/>
      <c r="AG69" s="161"/>
      <c r="AH69" s="161"/>
      <c r="AI69" s="161"/>
      <c r="AJ69" s="161"/>
      <c r="AK69" s="230"/>
      <c r="AL69" s="81"/>
      <c r="AM69"/>
      <c r="AN69" s="670" t="s">
        <v>1202</v>
      </c>
    </row>
    <row r="70" spans="1:40" s="338" customFormat="1" ht="14.25" customHeight="1">
      <c r="A70" s="81"/>
      <c r="C70" s="81"/>
      <c r="D70" s="81"/>
      <c r="E70" s="198">
        <v>15</v>
      </c>
      <c r="F70" s="3" t="str" cm="1">
        <f t="array" aca="1" ref="F70" ca="1">OFFSET(E70,-1,1)</f>
        <v>2</v>
      </c>
      <c r="G70" s="91" t="s">
        <v>1203</v>
      </c>
      <c r="H70" s="61" t="s">
        <v>929</v>
      </c>
      <c r="I70" s="81"/>
      <c r="J70" s="376"/>
      <c r="K70" s="376" t="str">
        <f ca="1">F70&amp;"11komm"</f>
        <v>211komm</v>
      </c>
      <c r="L70" s="616" cm="1">
        <f t="array" ref="L70">AK70</f>
        <v>0</v>
      </c>
      <c r="M70" s="81"/>
      <c r="N70" s="81"/>
      <c r="O70" s="81"/>
      <c r="P70" s="81"/>
      <c r="Q70" s="81"/>
      <c r="R70" s="81"/>
      <c r="S70" s="81"/>
      <c r="T70" s="365" t="b" cm="1">
        <f t="array" ref="T70">T69</f>
        <v>1</v>
      </c>
      <c r="U70" s="81"/>
      <c r="V70" s="81"/>
      <c r="W70" s="81"/>
      <c r="X70" s="1050"/>
      <c r="Y70" s="81"/>
      <c r="Z70" s="1076"/>
      <c r="AA70" s="81"/>
      <c r="AB70" s="269" t="s">
        <v>555</v>
      </c>
      <c r="AC70" s="146" t="s">
        <v>1204</v>
      </c>
      <c r="AD70" s="28" t="s">
        <v>804</v>
      </c>
      <c r="AE70" s="161"/>
      <c r="AF70" s="161"/>
      <c r="AG70" s="161"/>
      <c r="AH70" s="161"/>
      <c r="AI70" s="161"/>
      <c r="AJ70" s="161"/>
      <c r="AK70" s="230"/>
      <c r="AL70" s="81"/>
      <c r="AM70" s="81"/>
      <c r="AN70" s="687" t="s">
        <v>1205</v>
      </c>
    </row>
    <row r="71" spans="1:40" s="338" customFormat="1" ht="14.25" customHeight="1">
      <c r="A71" s="81"/>
      <c r="C71" s="81"/>
      <c r="D71" s="81"/>
      <c r="E71" s="198">
        <v>15</v>
      </c>
      <c r="F71" s="3" t="str" cm="1">
        <f t="array" aca="1" ref="F71" ca="1">OFFSET(E71,-1,1)</f>
        <v>2</v>
      </c>
      <c r="G71" s="91" t="s">
        <v>1206</v>
      </c>
      <c r="H71" s="61" t="s">
        <v>931</v>
      </c>
      <c r="I71" s="81"/>
      <c r="J71" s="376"/>
      <c r="K71" s="376" t="str">
        <f ca="1">F71&amp;"12komm"</f>
        <v>212komm</v>
      </c>
      <c r="L71" s="616" cm="1">
        <f t="array" ref="L71">AK71</f>
        <v>0</v>
      </c>
      <c r="M71" s="81"/>
      <c r="N71" s="81"/>
      <c r="O71" s="81"/>
      <c r="P71" s="81"/>
      <c r="Q71" s="81"/>
      <c r="R71" s="81"/>
      <c r="S71" s="81"/>
      <c r="T71" s="365" t="b" cm="1">
        <f t="array" ref="T71">T70</f>
        <v>1</v>
      </c>
      <c r="U71" s="81"/>
      <c r="V71" s="81"/>
      <c r="W71" s="81"/>
      <c r="X71" s="1050"/>
      <c r="Y71" s="81"/>
      <c r="Z71" s="1076"/>
      <c r="AA71" s="81"/>
      <c r="AB71" s="269" t="s">
        <v>771</v>
      </c>
      <c r="AC71" s="146" t="s">
        <v>1207</v>
      </c>
      <c r="AD71" s="28" t="s">
        <v>804</v>
      </c>
      <c r="AE71" s="161"/>
      <c r="AF71" s="161"/>
      <c r="AG71" s="161"/>
      <c r="AH71" s="161"/>
      <c r="AI71" s="161"/>
      <c r="AJ71" s="161"/>
      <c r="AK71" s="230"/>
      <c r="AL71" s="81"/>
      <c r="AM71" s="81"/>
      <c r="AN71" s="687" t="s">
        <v>1208</v>
      </c>
    </row>
    <row r="72" spans="1:40" s="338" customFormat="1" ht="14.25" customHeight="1">
      <c r="A72" s="81"/>
      <c r="C72" s="81"/>
      <c r="D72" s="81"/>
      <c r="E72" s="198">
        <v>15</v>
      </c>
      <c r="F72" s="3" t="str" cm="1">
        <f t="array" aca="1" ref="F72" ca="1">OFFSET(E72,-1,1)</f>
        <v>2</v>
      </c>
      <c r="G72" s="91" t="s">
        <v>1209</v>
      </c>
      <c r="H72" s="61" t="s">
        <v>933</v>
      </c>
      <c r="I72" s="81"/>
      <c r="J72" s="376"/>
      <c r="K72" s="376" t="str">
        <f ca="1">F72&amp;"13komm"</f>
        <v>213komm</v>
      </c>
      <c r="L72" s="616" cm="1">
        <f t="array" ref="L72">AK72</f>
        <v>0</v>
      </c>
      <c r="M72" s="81"/>
      <c r="N72" s="81"/>
      <c r="O72" s="81"/>
      <c r="P72" s="81"/>
      <c r="Q72" s="81"/>
      <c r="R72" s="81"/>
      <c r="S72" s="81"/>
      <c r="T72" s="365" t="b" cm="1">
        <f t="array" ref="T72">T71</f>
        <v>1</v>
      </c>
      <c r="U72" s="81"/>
      <c r="V72" s="81"/>
      <c r="W72" s="81"/>
      <c r="X72" s="1050"/>
      <c r="Y72" s="81"/>
      <c r="Z72" s="1076"/>
      <c r="AA72" s="81"/>
      <c r="AB72" s="269" t="s">
        <v>934</v>
      </c>
      <c r="AC72" s="146" t="s">
        <v>1210</v>
      </c>
      <c r="AD72" s="28" t="s">
        <v>804</v>
      </c>
      <c r="AE72" s="161"/>
      <c r="AF72" s="161"/>
      <c r="AG72" s="161"/>
      <c r="AH72" s="161"/>
      <c r="AI72" s="161"/>
      <c r="AJ72" s="161"/>
      <c r="AK72" s="230"/>
      <c r="AL72" s="81"/>
      <c r="AM72" s="81"/>
      <c r="AN72" s="687" t="s">
        <v>1211</v>
      </c>
    </row>
    <row r="73" spans="1:40" s="338" customFormat="1" ht="14.25" customHeight="1">
      <c r="A73" s="81"/>
      <c r="C73" s="81"/>
      <c r="D73" s="81"/>
      <c r="E73" s="198">
        <v>15</v>
      </c>
      <c r="F73" s="3" t="str" cm="1">
        <f t="array" aca="1" ref="F73" ca="1">OFFSET(E73,-1,1)</f>
        <v>2</v>
      </c>
      <c r="G73" s="91" t="s">
        <v>1212</v>
      </c>
      <c r="H73" s="61" t="s">
        <v>936</v>
      </c>
      <c r="I73" s="81"/>
      <c r="J73" s="376"/>
      <c r="K73" s="376" t="str">
        <f ca="1">F73&amp;"14komm"</f>
        <v>214komm</v>
      </c>
      <c r="L73" s="616" cm="1">
        <f t="array" ref="L73">AK73</f>
        <v>0</v>
      </c>
      <c r="M73" s="81"/>
      <c r="N73" s="81"/>
      <c r="O73" s="81"/>
      <c r="P73" s="81"/>
      <c r="Q73" s="81"/>
      <c r="R73" s="81"/>
      <c r="S73" s="81"/>
      <c r="T73" s="365" t="b" cm="1">
        <f t="array" ref="T73">T72</f>
        <v>1</v>
      </c>
      <c r="U73" s="81"/>
      <c r="V73" s="81"/>
      <c r="W73" s="81"/>
      <c r="X73" s="1050"/>
      <c r="Y73" s="81"/>
      <c r="Z73" s="1076"/>
      <c r="AA73" s="81"/>
      <c r="AB73" s="269" t="s">
        <v>937</v>
      </c>
      <c r="AC73" s="146" t="s">
        <v>1213</v>
      </c>
      <c r="AD73" s="28" t="s">
        <v>804</v>
      </c>
      <c r="AE73" s="161"/>
      <c r="AF73" s="161"/>
      <c r="AG73" s="161"/>
      <c r="AH73" s="161"/>
      <c r="AI73" s="161"/>
      <c r="AJ73" s="161"/>
      <c r="AK73" s="230"/>
      <c r="AL73" s="81"/>
      <c r="AM73" s="81"/>
      <c r="AN73" s="687" t="s">
        <v>1214</v>
      </c>
    </row>
    <row r="74" spans="1:40" s="338" customFormat="1" ht="14.25" customHeight="1">
      <c r="A74" s="81"/>
      <c r="C74" s="81"/>
      <c r="D74" s="81"/>
      <c r="E74" s="198">
        <v>15</v>
      </c>
      <c r="F74" s="3" t="str" cm="1">
        <f t="array" aca="1" ref="F74" ca="1">OFFSET(E74,-1,1)</f>
        <v>2</v>
      </c>
      <c r="G74" s="91" t="s">
        <v>1215</v>
      </c>
      <c r="H74" s="61" t="s">
        <v>1216</v>
      </c>
      <c r="I74" s="81"/>
      <c r="J74" s="376"/>
      <c r="K74" s="376" t="str">
        <f ca="1">F74&amp;"15komm"</f>
        <v>215komm</v>
      </c>
      <c r="L74" s="616" cm="1">
        <f t="array" ref="L74">AK74</f>
        <v>0</v>
      </c>
      <c r="M74" s="81"/>
      <c r="N74" s="81"/>
      <c r="O74" s="81"/>
      <c r="P74" s="81"/>
      <c r="Q74" s="81"/>
      <c r="R74" s="81"/>
      <c r="S74" s="81"/>
      <c r="T74" s="365" t="b" cm="1">
        <f t="array" ref="T74">T73</f>
        <v>1</v>
      </c>
      <c r="U74" s="81"/>
      <c r="V74" s="81"/>
      <c r="W74" s="81"/>
      <c r="X74" s="1050"/>
      <c r="Y74" s="81"/>
      <c r="Z74" s="1076"/>
      <c r="AA74" s="81"/>
      <c r="AB74" s="269" t="s">
        <v>1217</v>
      </c>
      <c r="AC74" s="146" t="s">
        <v>1218</v>
      </c>
      <c r="AD74" s="28" t="s">
        <v>804</v>
      </c>
      <c r="AE74" s="161"/>
      <c r="AF74" s="161"/>
      <c r="AG74" s="161"/>
      <c r="AH74" s="161"/>
      <c r="AI74" s="161"/>
      <c r="AJ74" s="161"/>
      <c r="AK74" s="230"/>
      <c r="AL74" s="81"/>
      <c r="AM74" s="81"/>
      <c r="AN74" s="687" t="s">
        <v>1219</v>
      </c>
    </row>
    <row r="75" spans="1:40" s="338" customFormat="1" ht="14.25" customHeight="1">
      <c r="A75" s="81"/>
      <c r="C75" s="81"/>
      <c r="D75" s="81"/>
      <c r="E75" s="198">
        <v>15</v>
      </c>
      <c r="F75" s="3" t="str" cm="1">
        <f t="array" aca="1" ref="F75" ca="1">OFFSET(E75,-1,1)</f>
        <v>2</v>
      </c>
      <c r="G75" s="91" t="s">
        <v>1220</v>
      </c>
      <c r="H75" s="61" t="s">
        <v>1221</v>
      </c>
      <c r="I75" s="81"/>
      <c r="J75" s="376"/>
      <c r="K75" s="376" t="str">
        <f ca="1">F75&amp;"16komm"</f>
        <v>216komm</v>
      </c>
      <c r="L75" s="616" cm="1">
        <f t="array" ref="L75">AK75</f>
        <v>0</v>
      </c>
      <c r="M75" s="81"/>
      <c r="N75" s="81"/>
      <c r="O75" s="81"/>
      <c r="P75" s="81"/>
      <c r="Q75" s="81"/>
      <c r="R75" s="81"/>
      <c r="S75" s="81"/>
      <c r="T75" s="365" t="b" cm="1">
        <f t="array" ref="T75">T74</f>
        <v>1</v>
      </c>
      <c r="U75" s="81"/>
      <c r="V75" s="81"/>
      <c r="W75" s="81"/>
      <c r="X75" s="1050"/>
      <c r="Y75" s="81"/>
      <c r="Z75" s="1076"/>
      <c r="AA75" s="81"/>
      <c r="AB75" s="269" t="s">
        <v>1222</v>
      </c>
      <c r="AC75" s="146" t="s">
        <v>1223</v>
      </c>
      <c r="AD75" s="28" t="s">
        <v>804</v>
      </c>
      <c r="AE75" s="161"/>
      <c r="AF75" s="161"/>
      <c r="AG75" s="161"/>
      <c r="AH75" s="161"/>
      <c r="AI75" s="161"/>
      <c r="AJ75" s="161"/>
      <c r="AK75" s="230"/>
      <c r="AL75" s="81"/>
      <c r="AM75" s="81"/>
      <c r="AN75" s="687" t="s">
        <v>1224</v>
      </c>
    </row>
    <row r="76" spans="1:40" s="338" customFormat="1" ht="32.25" customHeight="1">
      <c r="A76" s="81"/>
      <c r="C76" s="81"/>
      <c r="D76" s="81"/>
      <c r="E76" s="198">
        <v>33.75</v>
      </c>
      <c r="F76" s="3" t="str" cm="1">
        <f t="array" aca="1" ref="F76" ca="1">OFFSET(E76,-1,1)</f>
        <v>2</v>
      </c>
      <c r="G76" s="266" t="s">
        <v>1225</v>
      </c>
      <c r="H76" s="61" t="s">
        <v>331</v>
      </c>
      <c r="I76" s="81"/>
      <c r="J76" s="376"/>
      <c r="K76" s="376" t="str">
        <f ca="1">F76&amp;"2komm"</f>
        <v>22komm</v>
      </c>
      <c r="L76" s="616" cm="1">
        <f t="array" ref="L76">AK76</f>
        <v>0</v>
      </c>
      <c r="M76" s="81"/>
      <c r="N76" s="81"/>
      <c r="O76" s="81"/>
      <c r="P76" s="81"/>
      <c r="Q76" s="81"/>
      <c r="R76" s="81"/>
      <c r="S76" s="81"/>
      <c r="T76" s="365" t="b" cm="1">
        <f t="array" ref="T76">T75</f>
        <v>1</v>
      </c>
      <c r="U76" s="81"/>
      <c r="V76" s="81"/>
      <c r="W76" s="81"/>
      <c r="X76" s="1050"/>
      <c r="Y76" s="81"/>
      <c r="Z76" s="1076"/>
      <c r="AA76" s="81"/>
      <c r="AB76" s="269" t="s">
        <v>433</v>
      </c>
      <c r="AC76" s="259" t="s">
        <v>1226</v>
      </c>
      <c r="AD76" s="28" t="s">
        <v>804</v>
      </c>
      <c r="AE76" s="161"/>
      <c r="AF76" s="161"/>
      <c r="AG76" s="161"/>
      <c r="AH76" s="161"/>
      <c r="AI76" s="161"/>
      <c r="AJ76" s="161"/>
      <c r="AK76" s="230"/>
      <c r="AL76" s="81"/>
      <c r="AM76" s="81"/>
      <c r="AN76" s="687" t="s">
        <v>1227</v>
      </c>
    </row>
    <row r="77" spans="1:40" s="338" customFormat="1" ht="14.25" customHeight="1">
      <c r="A77" s="81"/>
      <c r="C77" s="81"/>
      <c r="D77" s="81"/>
      <c r="E77" s="198">
        <v>15</v>
      </c>
      <c r="F77" s="3" t="str" cm="1">
        <f t="array" aca="1" ref="F77" ca="1">OFFSET(E77,-1,1)</f>
        <v>2</v>
      </c>
      <c r="G77" s="266" t="s">
        <v>1228</v>
      </c>
      <c r="H77" s="61" t="s">
        <v>330</v>
      </c>
      <c r="I77" s="81"/>
      <c r="J77" s="376"/>
      <c r="K77" s="376" t="str">
        <f ca="1">F77&amp;"3komm"</f>
        <v>23komm</v>
      </c>
      <c r="L77" s="616" cm="1">
        <f t="array" ref="L77">AK77</f>
        <v>0</v>
      </c>
      <c r="M77" s="81"/>
      <c r="N77" s="81"/>
      <c r="O77" s="81"/>
      <c r="P77" s="81"/>
      <c r="Q77" s="81"/>
      <c r="R77" s="81"/>
      <c r="S77" s="81"/>
      <c r="T77" s="365" t="b" cm="1">
        <f t="array" ref="T77">T76</f>
        <v>1</v>
      </c>
      <c r="U77" s="81"/>
      <c r="V77" s="81"/>
      <c r="W77" s="81"/>
      <c r="X77" s="1050"/>
      <c r="Y77" s="81"/>
      <c r="Z77" s="1076"/>
      <c r="AA77" s="81"/>
      <c r="AB77" s="269" t="s">
        <v>444</v>
      </c>
      <c r="AC77" s="259" t="s">
        <v>1229</v>
      </c>
      <c r="AD77" s="28" t="s">
        <v>804</v>
      </c>
      <c r="AE77" s="161"/>
      <c r="AF77" s="161"/>
      <c r="AG77" s="161"/>
      <c r="AH77" s="161"/>
      <c r="AI77" s="161"/>
      <c r="AJ77" s="161"/>
      <c r="AK77" s="230"/>
      <c r="AL77" s="81"/>
      <c r="AM77" s="81"/>
      <c r="AN77" s="687" t="s">
        <v>1230</v>
      </c>
    </row>
    <row r="78" spans="1:40" s="338" customFormat="1" ht="14.25" customHeight="1">
      <c r="A78" s="81"/>
      <c r="C78" s="81"/>
      <c r="D78" s="81"/>
      <c r="E78" s="198">
        <v>15</v>
      </c>
      <c r="F78" s="3" t="str" cm="1">
        <f t="array" aca="1" ref="F78" ca="1">OFFSET(E78,-1,1)</f>
        <v>2</v>
      </c>
      <c r="G78" s="266" t="s">
        <v>1231</v>
      </c>
      <c r="H78" s="61" t="s">
        <v>511</v>
      </c>
      <c r="I78" s="81"/>
      <c r="J78" s="81"/>
      <c r="K78" s="376" t="str">
        <f ca="1">F78&amp;"4komm"</f>
        <v>24komm</v>
      </c>
      <c r="L78" s="616" cm="1">
        <f t="array" ref="L78">AK78</f>
        <v>0</v>
      </c>
      <c r="M78" s="81"/>
      <c r="N78" s="81"/>
      <c r="O78" s="81"/>
      <c r="P78" s="81"/>
      <c r="Q78" s="81"/>
      <c r="R78" s="81"/>
      <c r="S78" s="81"/>
      <c r="T78" s="365" t="b" cm="1">
        <f t="array" ref="T78">T77</f>
        <v>1</v>
      </c>
      <c r="U78" s="81"/>
      <c r="V78" s="81"/>
      <c r="W78" s="81"/>
      <c r="X78" s="1050"/>
      <c r="Y78" s="81"/>
      <c r="Z78" s="1076"/>
      <c r="AA78" s="81"/>
      <c r="AB78" s="269" t="s">
        <v>447</v>
      </c>
      <c r="AC78" s="259" t="s">
        <v>1232</v>
      </c>
      <c r="AD78" s="28" t="s">
        <v>804</v>
      </c>
      <c r="AE78" s="161"/>
      <c r="AF78" s="161"/>
      <c r="AG78" s="161"/>
      <c r="AH78" s="161"/>
      <c r="AI78" s="161"/>
      <c r="AJ78" s="161"/>
      <c r="AK78" s="230"/>
      <c r="AL78" s="81"/>
      <c r="AM78" s="81"/>
      <c r="AN78" s="687" t="s">
        <v>1233</v>
      </c>
    </row>
    <row r="79" spans="1:40" s="338" customFormat="1" ht="14.25" customHeight="1">
      <c r="A79" s="81"/>
      <c r="C79" s="81"/>
      <c r="D79" s="81"/>
      <c r="E79" s="198">
        <v>15</v>
      </c>
      <c r="F79" s="3" t="str" cm="1">
        <f t="array" aca="1" ref="F79" ca="1">OFFSET(E79,-1,1)</f>
        <v>2</v>
      </c>
      <c r="G79" s="266" t="s">
        <v>1234</v>
      </c>
      <c r="H79" s="61" t="s">
        <v>514</v>
      </c>
      <c r="I79" s="81"/>
      <c r="J79" s="81"/>
      <c r="K79" s="376" t="str">
        <f ca="1">F79&amp;"5komm"</f>
        <v>25komm</v>
      </c>
      <c r="L79" s="616" cm="1">
        <f t="array" ref="L79">AK79</f>
        <v>0</v>
      </c>
      <c r="M79" s="81"/>
      <c r="N79" s="81"/>
      <c r="O79" s="81"/>
      <c r="P79" s="81"/>
      <c r="Q79" s="81"/>
      <c r="R79" s="81"/>
      <c r="S79" s="81"/>
      <c r="T79" s="365" t="b" cm="1">
        <f t="array" ref="T79">T78</f>
        <v>1</v>
      </c>
      <c r="U79" s="81"/>
      <c r="V79" s="81"/>
      <c r="W79" s="81"/>
      <c r="X79" s="1050"/>
      <c r="Y79" s="81"/>
      <c r="Z79" s="1076"/>
      <c r="AA79" s="81"/>
      <c r="AB79" s="269" t="s">
        <v>578</v>
      </c>
      <c r="AC79" s="259" t="s">
        <v>1235</v>
      </c>
      <c r="AD79" s="28" t="s">
        <v>804</v>
      </c>
      <c r="AE79" s="161"/>
      <c r="AF79" s="161"/>
      <c r="AG79" s="161"/>
      <c r="AH79" s="161"/>
      <c r="AI79" s="161"/>
      <c r="AJ79" s="161"/>
      <c r="AK79" s="230"/>
      <c r="AL79" s="81"/>
      <c r="AM79" s="81"/>
      <c r="AN79" s="687" t="s">
        <v>1236</v>
      </c>
    </row>
    <row r="80" spans="1:40" s="338" customFormat="1" ht="14.25" customHeight="1">
      <c r="A80" s="81"/>
      <c r="C80" s="81"/>
      <c r="D80" s="81"/>
      <c r="E80" s="198">
        <v>15</v>
      </c>
      <c r="F80" s="3" t="str" cm="1">
        <f t="array" aca="1" ref="F80" ca="1">OFFSET(E80,-1,1)</f>
        <v>2</v>
      </c>
      <c r="G80" s="266" t="s">
        <v>1237</v>
      </c>
      <c r="H80" s="61" t="s">
        <v>562</v>
      </c>
      <c r="I80" s="81"/>
      <c r="J80" s="81"/>
      <c r="K80" s="376" t="str">
        <f ca="1">F80&amp;"6komm"</f>
        <v>26komm</v>
      </c>
      <c r="L80" s="616" cm="1">
        <f t="array" ref="L80">AK80</f>
        <v>0</v>
      </c>
      <c r="M80" s="81"/>
      <c r="N80" s="81"/>
      <c r="O80" s="81"/>
      <c r="P80" s="81"/>
      <c r="Q80" s="81"/>
      <c r="R80" s="81"/>
      <c r="S80" s="81"/>
      <c r="T80" s="365" t="b" cm="1">
        <f t="array" ref="T80">T79</f>
        <v>1</v>
      </c>
      <c r="U80" s="81"/>
      <c r="V80" s="81"/>
      <c r="W80" s="81"/>
      <c r="X80" s="1050"/>
      <c r="Y80" s="81"/>
      <c r="Z80" s="1076"/>
      <c r="AA80" s="81"/>
      <c r="AB80" s="269" t="s">
        <v>586</v>
      </c>
      <c r="AC80" s="259" t="s">
        <v>1238</v>
      </c>
      <c r="AD80" s="28" t="s">
        <v>804</v>
      </c>
      <c r="AE80" s="190">
        <f t="shared" ref="AE80:AJ80" si="8">SUM(AE81:AE83)</f>
        <v>0</v>
      </c>
      <c r="AF80" s="190">
        <f t="shared" si="8"/>
        <v>0</v>
      </c>
      <c r="AG80" s="190">
        <f t="shared" si="8"/>
        <v>0</v>
      </c>
      <c r="AH80" s="190">
        <f t="shared" si="8"/>
        <v>0</v>
      </c>
      <c r="AI80" s="190">
        <f t="shared" si="8"/>
        <v>0</v>
      </c>
      <c r="AJ80" s="190">
        <f t="shared" si="8"/>
        <v>0</v>
      </c>
      <c r="AK80" s="230"/>
      <c r="AL80" s="81"/>
      <c r="AM80" s="81"/>
      <c r="AN80" s="687" t="s">
        <v>389</v>
      </c>
    </row>
    <row r="81" spans="1:40" s="338" customFormat="1" ht="14.25" customHeight="1">
      <c r="A81" s="81"/>
      <c r="C81" s="81"/>
      <c r="D81" s="81"/>
      <c r="E81" s="198">
        <v>15</v>
      </c>
      <c r="F81" s="3" t="str" cm="1">
        <f t="array" aca="1" ref="F81" ca="1">OFFSET(E81,-1,1)</f>
        <v>2</v>
      </c>
      <c r="G81" s="266" t="s">
        <v>1239</v>
      </c>
      <c r="H81" s="61" t="s">
        <v>565</v>
      </c>
      <c r="I81" s="81"/>
      <c r="J81" s="81"/>
      <c r="K81" s="376" t="str">
        <f ca="1">F81&amp;"7komm"</f>
        <v>27komm</v>
      </c>
      <c r="L81" s="616" cm="1">
        <f t="array" ref="L81">AK81</f>
        <v>0</v>
      </c>
      <c r="M81" s="81"/>
      <c r="N81" s="81"/>
      <c r="O81" s="81"/>
      <c r="P81" s="81"/>
      <c r="Q81" s="81"/>
      <c r="R81" s="81"/>
      <c r="S81" s="81"/>
      <c r="T81" s="365" t="b" cm="1">
        <f t="array" ref="T81">T80</f>
        <v>1</v>
      </c>
      <c r="U81" s="81"/>
      <c r="V81" s="81"/>
      <c r="W81" s="81"/>
      <c r="X81" s="1050"/>
      <c r="Y81" s="81"/>
      <c r="Z81" s="1076"/>
      <c r="AA81" s="81"/>
      <c r="AB81" s="269" t="s">
        <v>590</v>
      </c>
      <c r="AC81" s="146" t="s">
        <v>1240</v>
      </c>
      <c r="AD81" s="28" t="s">
        <v>804</v>
      </c>
      <c r="AE81" s="161"/>
      <c r="AF81" s="161"/>
      <c r="AG81" s="161"/>
      <c r="AH81" s="161"/>
      <c r="AI81" s="161"/>
      <c r="AJ81" s="161"/>
      <c r="AK81" s="230"/>
      <c r="AL81" s="81"/>
      <c r="AM81" s="81"/>
      <c r="AN81" s="687" t="s">
        <v>1241</v>
      </c>
    </row>
    <row r="82" spans="1:40" s="338" customFormat="1" ht="43.5" customHeight="1">
      <c r="A82" s="81"/>
      <c r="C82" s="81"/>
      <c r="D82" s="81"/>
      <c r="E82" s="198">
        <v>45</v>
      </c>
      <c r="F82" s="3" t="str" cm="1">
        <f t="array" aca="1" ref="F82" ca="1">OFFSET(E82,-1,1)</f>
        <v>2</v>
      </c>
      <c r="G82" s="266" t="s">
        <v>1242</v>
      </c>
      <c r="H82" s="61" t="s">
        <v>569</v>
      </c>
      <c r="I82" s="81"/>
      <c r="J82" s="81"/>
      <c r="K82" s="376" t="str">
        <f ca="1">F82&amp;"8komm"</f>
        <v>28komm</v>
      </c>
      <c r="L82" s="616" cm="1">
        <f t="array" ref="L82">AK82</f>
        <v>0</v>
      </c>
      <c r="M82" s="81"/>
      <c r="N82" s="81"/>
      <c r="O82" s="81"/>
      <c r="P82" s="81"/>
      <c r="Q82" s="81"/>
      <c r="R82" s="81"/>
      <c r="S82" s="81"/>
      <c r="T82" s="365" t="b" cm="1">
        <f t="array" ref="T82">T81</f>
        <v>1</v>
      </c>
      <c r="U82" s="81"/>
      <c r="V82" s="81"/>
      <c r="W82" s="81"/>
      <c r="X82" s="1050"/>
      <c r="Y82" s="81"/>
      <c r="Z82" s="1076"/>
      <c r="AA82" s="81"/>
      <c r="AB82" s="269" t="s">
        <v>607</v>
      </c>
      <c r="AC82" s="146" t="s">
        <v>1243</v>
      </c>
      <c r="AD82" s="28" t="s">
        <v>804</v>
      </c>
      <c r="AE82" s="161"/>
      <c r="AF82" s="161"/>
      <c r="AG82" s="161"/>
      <c r="AH82" s="161"/>
      <c r="AI82" s="161"/>
      <c r="AJ82" s="161"/>
      <c r="AK82" s="230"/>
      <c r="AL82" s="81"/>
      <c r="AM82" s="81"/>
      <c r="AN82" s="687" t="s">
        <v>1244</v>
      </c>
    </row>
    <row r="83" spans="1:40" s="338" customFormat="1" ht="14.25" customHeight="1">
      <c r="A83" s="81"/>
      <c r="C83" s="81"/>
      <c r="D83" s="81"/>
      <c r="E83" s="198">
        <v>15</v>
      </c>
      <c r="F83" s="3" t="str" cm="1">
        <f t="array" aca="1" ref="F83" ca="1">OFFSET(E83,-1,1)</f>
        <v>2</v>
      </c>
      <c r="G83" s="91" t="s">
        <v>1245</v>
      </c>
      <c r="H83" s="61" t="s">
        <v>573</v>
      </c>
      <c r="I83" s="81"/>
      <c r="J83" s="81"/>
      <c r="K83" s="376" t="str">
        <f ca="1">F83&amp;"9komm"</f>
        <v>29komm</v>
      </c>
      <c r="L83" s="616" cm="1">
        <f t="array" ref="L83">AK83</f>
        <v>0</v>
      </c>
      <c r="M83" s="81"/>
      <c r="N83" s="81"/>
      <c r="O83" s="81"/>
      <c r="P83" s="81"/>
      <c r="Q83" s="81"/>
      <c r="R83" s="81"/>
      <c r="S83" s="81"/>
      <c r="T83" s="365" t="b" cm="1">
        <f t="array" ref="T83">T82</f>
        <v>1</v>
      </c>
      <c r="U83" s="81"/>
      <c r="V83" s="81"/>
      <c r="W83" s="81"/>
      <c r="X83" s="1050"/>
      <c r="Y83" s="81"/>
      <c r="Z83" s="1076"/>
      <c r="AA83" s="81"/>
      <c r="AB83" s="269" t="s">
        <v>619</v>
      </c>
      <c r="AC83" s="146" t="s">
        <v>1246</v>
      </c>
      <c r="AD83" s="28" t="s">
        <v>804</v>
      </c>
      <c r="AE83" s="161"/>
      <c r="AF83" s="161"/>
      <c r="AG83" s="161"/>
      <c r="AH83" s="161"/>
      <c r="AI83" s="161"/>
      <c r="AJ83" s="161"/>
      <c r="AK83" s="230"/>
      <c r="AL83" s="81"/>
      <c r="AM83" s="81"/>
      <c r="AN83" s="687" t="s">
        <v>1247</v>
      </c>
    </row>
    <row r="84" spans="1:40" s="81" customFormat="1" ht="10.9" customHeight="1">
      <c r="B84" s="338"/>
      <c r="C84"/>
      <c r="D84"/>
      <c r="E84" s="198">
        <v>11.25</v>
      </c>
      <c r="F84" s="23"/>
      <c r="G84"/>
      <c r="H84"/>
      <c r="I84"/>
      <c r="J84"/>
      <c r="K84"/>
      <c r="L84"/>
      <c r="M84"/>
      <c r="N84"/>
      <c r="O84"/>
      <c r="P84"/>
      <c r="Q84"/>
      <c r="R84"/>
      <c r="S84"/>
      <c r="T84"/>
      <c r="U84" t="s">
        <v>177</v>
      </c>
      <c r="V84" s="75" t="s">
        <v>1248</v>
      </c>
      <c r="W84"/>
      <c r="X84"/>
      <c r="Y84"/>
      <c r="Z84"/>
      <c r="AA84"/>
      <c r="AB84"/>
      <c r="AC84" s="37"/>
      <c r="AD84" s="37"/>
      <c r="AE84" s="270"/>
      <c r="AF84" s="270"/>
      <c r="AG84" s="271"/>
      <c r="AH84" s="271"/>
      <c r="AI84" s="271"/>
      <c r="AJ84"/>
      <c r="AK84"/>
      <c r="AL84"/>
      <c r="AN84" s="687"/>
    </row>
    <row r="85" spans="1:40" s="81" customFormat="1" ht="14.65" customHeight="1">
      <c r="B85" s="338"/>
      <c r="C85" s="36"/>
      <c r="D85" s="36"/>
      <c r="E85" s="472">
        <v>15</v>
      </c>
      <c r="F85" s="36"/>
      <c r="G85" s="36"/>
      <c r="H85" s="36"/>
      <c r="I85" s="36"/>
      <c r="J85" s="36"/>
      <c r="K85" s="36"/>
      <c r="L85" s="36"/>
      <c r="M85" s="36"/>
      <c r="N85" s="36"/>
      <c r="O85" s="36"/>
      <c r="P85" s="36"/>
      <c r="Q85" s="36"/>
      <c r="R85" s="266"/>
      <c r="S85" s="36"/>
      <c r="T85" s="36"/>
      <c r="U85" s="36"/>
      <c r="V85" s="36"/>
      <c r="W85" s="36"/>
      <c r="X85" s="36"/>
      <c r="Y85" s="36"/>
      <c r="Z85" s="36"/>
      <c r="AA85" s="36"/>
      <c r="AB85" s="1088" t="s">
        <v>398</v>
      </c>
      <c r="AC85" s="1088"/>
      <c r="AD85" s="1088"/>
      <c r="AE85" s="1088"/>
      <c r="AF85" s="1088"/>
      <c r="AG85" s="1088"/>
      <c r="AH85" s="1088"/>
      <c r="AI85" s="1096"/>
      <c r="AJ85" s="1096"/>
      <c r="AK85" s="1096"/>
      <c r="AL85" s="36"/>
      <c r="AN85" s="687"/>
    </row>
    <row r="86" spans="1:40" s="81" customFormat="1" ht="14.65" customHeight="1">
      <c r="B86" s="338"/>
      <c r="C86" s="36"/>
      <c r="D86" s="36"/>
      <c r="E86" s="472">
        <v>15</v>
      </c>
      <c r="F86" s="36"/>
      <c r="G86" s="36"/>
      <c r="H86" s="36"/>
      <c r="I86" s="36"/>
      <c r="J86" s="36"/>
      <c r="K86" s="36"/>
      <c r="L86" s="36"/>
      <c r="M86" s="36"/>
      <c r="N86" s="36"/>
      <c r="O86" s="36"/>
      <c r="P86" s="36"/>
      <c r="Q86" s="36"/>
      <c r="R86" s="266"/>
      <c r="S86" s="36"/>
      <c r="U86" s="36"/>
      <c r="V86" s="36"/>
      <c r="W86" s="36"/>
      <c r="X86" s="36"/>
      <c r="Y86" s="36"/>
      <c r="Z86" s="36"/>
      <c r="AA86" s="106"/>
      <c r="AB86" s="1097"/>
      <c r="AC86" s="1097"/>
      <c r="AD86" s="1097"/>
      <c r="AE86" s="1097"/>
      <c r="AF86" s="1097"/>
      <c r="AG86" s="1097"/>
      <c r="AH86" s="1097"/>
      <c r="AI86" s="1098"/>
      <c r="AJ86" s="1098"/>
      <c r="AK86" s="1098"/>
      <c r="AL86" s="36"/>
      <c r="AN86" s="687"/>
    </row>
    <row r="87" spans="1:40" s="81" customFormat="1" ht="14.65" hidden="1" customHeight="1">
      <c r="B87" s="338"/>
      <c r="C87" s="36"/>
      <c r="D87" s="36"/>
      <c r="E87" s="472">
        <v>15</v>
      </c>
      <c r="F87" s="36"/>
      <c r="G87" s="36"/>
      <c r="H87" s="36"/>
      <c r="I87" s="36"/>
      <c r="J87" s="36"/>
      <c r="K87" s="36"/>
      <c r="L87" s="36"/>
      <c r="M87" s="36"/>
      <c r="N87" s="36"/>
      <c r="O87" s="36"/>
      <c r="P87" s="36"/>
      <c r="Q87" s="36"/>
      <c r="R87" s="266"/>
      <c r="S87" s="36"/>
      <c r="T87" s="365" t="b">
        <f>ROW(W87)&gt;ROW(W$87)</f>
        <v>0</v>
      </c>
      <c r="U87" s="36"/>
      <c r="V87" s="36"/>
      <c r="W87" s="528" t="s">
        <v>173</v>
      </c>
      <c r="X87" s="36"/>
      <c r="Y87" s="36"/>
      <c r="Z87" s="36"/>
      <c r="AA87" s="332" t="s">
        <v>174</v>
      </c>
      <c r="AB87" s="1131" t="s">
        <v>225</v>
      </c>
      <c r="AC87" s="1131"/>
      <c r="AD87" s="1131"/>
      <c r="AE87" s="1131"/>
      <c r="AF87" s="1131"/>
      <c r="AG87" s="1131"/>
      <c r="AH87" s="1131"/>
      <c r="AI87" s="1098"/>
      <c r="AJ87" s="1098"/>
      <c r="AK87" s="1132"/>
      <c r="AL87" s="36"/>
      <c r="AN87" s="687"/>
    </row>
    <row r="88" spans="1:40" s="81" customFormat="1" ht="14.65" customHeight="1">
      <c r="B88" s="338"/>
      <c r="C88" s="36"/>
      <c r="D88" s="36"/>
      <c r="E88" s="472">
        <v>15</v>
      </c>
      <c r="F88" s="36"/>
      <c r="G88" s="36"/>
      <c r="H88" s="36"/>
      <c r="I88" s="36"/>
      <c r="J88" s="36"/>
      <c r="K88" s="36"/>
      <c r="L88" s="36"/>
      <c r="M88" s="36"/>
      <c r="N88" s="36"/>
      <c r="O88" s="36"/>
      <c r="P88" s="36"/>
      <c r="Q88" s="36"/>
      <c r="R88" s="266"/>
      <c r="S88" s="36"/>
      <c r="T88" s="36"/>
      <c r="U88" s="36"/>
      <c r="V88" s="36"/>
      <c r="W88" s="528" t="s">
        <v>399</v>
      </c>
      <c r="X88" s="36"/>
      <c r="Y88" s="36"/>
      <c r="Z88" s="36"/>
      <c r="AA88" s="36"/>
      <c r="AB88" s="485"/>
      <c r="AC88" s="394" t="s">
        <v>1249</v>
      </c>
      <c r="AD88" s="231"/>
      <c r="AE88" s="231"/>
      <c r="AF88" s="232"/>
      <c r="AG88" s="232"/>
      <c r="AH88" s="232"/>
      <c r="AI88" s="232"/>
      <c r="AJ88" s="232"/>
      <c r="AK88" s="233"/>
      <c r="AL88" s="36"/>
      <c r="AN88" s="687"/>
    </row>
    <row r="89" spans="1:40" ht="11.25" customHeight="1">
      <c r="A89"/>
      <c r="B89" s="339"/>
      <c r="C89"/>
      <c r="D89"/>
      <c r="E89" s="465" t="s">
        <v>1049</v>
      </c>
      <c r="F89" s="23"/>
      <c r="G89"/>
      <c r="H89"/>
      <c r="I89"/>
      <c r="J89"/>
      <c r="K89"/>
      <c r="L89"/>
      <c r="M89"/>
      <c r="N89"/>
      <c r="O89"/>
      <c r="P89"/>
      <c r="Q89"/>
      <c r="R89"/>
      <c r="S89"/>
      <c r="T89"/>
      <c r="U89"/>
      <c r="V89"/>
      <c r="W89"/>
      <c r="X89"/>
      <c r="Y89"/>
      <c r="Z89"/>
      <c r="AA89"/>
      <c r="AB89"/>
      <c r="AC89" s="37"/>
      <c r="AD89" s="37"/>
      <c r="AE89" s="270"/>
      <c r="AF89" s="270"/>
      <c r="AG89" s="271"/>
      <c r="AH89" s="271"/>
      <c r="AI89" s="271"/>
      <c r="AJ89"/>
      <c r="AK89"/>
      <c r="AL89"/>
      <c r="AM89"/>
      <c r="AN89" s="670"/>
    </row>
  </sheetData>
  <sheetProtection formatColumns="0" formatRows="0" insertRows="0" deleteColumns="0" deleteRows="0" sort="0" autoFilter="0"/>
  <mergeCells count="13">
    <mergeCell ref="AB24:AB25"/>
    <mergeCell ref="AC24:AC25"/>
    <mergeCell ref="AD24:AD25"/>
    <mergeCell ref="AK24:AK25"/>
    <mergeCell ref="AB87:AK87"/>
    <mergeCell ref="X27:X45"/>
    <mergeCell ref="Z27:Z45"/>
    <mergeCell ref="AB85:AK85"/>
    <mergeCell ref="AB86:AK86"/>
    <mergeCell ref="X46:X64"/>
    <mergeCell ref="Z46:Z64"/>
    <mergeCell ref="X65:X83"/>
    <mergeCell ref="Z65:Z83"/>
  </mergeCells>
  <dataValidations count="1">
    <dataValidation type="decimal" allowBlank="1" showErrorMessage="1" errorTitle="Ошибка" error="Допускается ввод только неотрицательных чисел!" sqref="AH45 AH50:AH60 AH62:AH64 AH69:AH79 AH81:AH83 AG45 AG50:AG60 AG62:AG64 AG69:AG79 AG81:AG83 AF45 AF50:AF60 AF62:AF64 AF69:AF79 AF81:AF83 AE45 AE50:AE60 AE62:AE64 AE69:AE79 AE81:AE83 AE43:AJ44 AE31:AJ41 AI50 AJ50 AI51 AJ51 AI52 AJ52 AI53 AJ53 AI54 AJ54 AI55 AJ55 AI56 AJ56 AI57 AJ57 AI58 AJ58 AI59 AJ59 AI60 AJ60 AI62 AJ62 AI63 AJ63 AI69 AJ69 AI70 AJ70 AI71 AJ71 AI72 AJ72 AI73 AJ73 AI74 AJ74 AI75 AJ75 AI76 AJ76 AI77 AJ77 AI78 AJ78 AI79 AJ79 AI81 AJ81 AI82 AJ82"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71E8-9919-0C28-C8CB-7A75FA6E8988}">
  <sheetPr>
    <tabColor rgb="FF002060"/>
    <outlinePr summaryBelow="0"/>
  </sheetPr>
  <dimension ref="A1:AR6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cols>
    <col min="1" max="1" width="3.5703125" style="57" hidden="1" customWidth="1"/>
    <col min="2" max="2" width="8.5703125" style="62" hidden="1" customWidth="1"/>
    <col min="3" max="4" width="3.5703125" style="57" hidden="1" customWidth="1"/>
    <col min="5" max="5" width="3.5703125" style="459" hidden="1" customWidth="1"/>
    <col min="6" max="6" width="3.5703125" style="57" hidden="1" customWidth="1"/>
    <col min="7" max="7" width="9.28515625" style="57" hidden="1" customWidth="1"/>
    <col min="8" max="19" width="3.5703125" style="57" hidden="1" customWidth="1"/>
    <col min="20" max="20" width="10.42578125" style="57" hidden="1" customWidth="1"/>
    <col min="21" max="21" width="5.85546875" style="57" hidden="1" customWidth="1"/>
    <col min="22" max="23" width="6.140625" style="57" hidden="1" customWidth="1"/>
    <col min="24" max="25" width="5.5703125" style="57" hidden="1" customWidth="1"/>
    <col min="26" max="26" width="5.28515625" style="57" hidden="1" customWidth="1"/>
    <col min="27" max="27" width="3" style="355" customWidth="1"/>
    <col min="28" max="28" width="11" style="355" customWidth="1"/>
    <col min="29" max="29" width="50.140625" style="355" customWidth="1"/>
    <col min="30" max="30" width="10.28515625" style="355" customWidth="1"/>
    <col min="31" max="36" width="13" style="355" customWidth="1"/>
    <col min="37" max="37" width="20" style="355" customWidth="1"/>
    <col min="38" max="38" width="3" style="355" customWidth="1"/>
    <col min="39" max="39" width="9.140625" style="355" hidden="1"/>
    <col min="40" max="42" width="9.140625" style="665" hidden="1"/>
    <col min="43" max="44" width="9.140625" style="459" hidden="1"/>
  </cols>
  <sheetData>
    <row r="1" spans="1:44" s="57" customFormat="1" ht="11.25" hidden="1" customHeight="1">
      <c r="B1" s="62"/>
      <c r="F1" s="57" t="s">
        <v>315</v>
      </c>
      <c r="G1" s="57" t="s">
        <v>326</v>
      </c>
      <c r="H1" s="57" t="s">
        <v>350</v>
      </c>
      <c r="T1" s="365" t="s">
        <v>93</v>
      </c>
      <c r="U1" s="365" t="s">
        <v>98</v>
      </c>
      <c r="V1" s="365" t="s">
        <v>94</v>
      </c>
      <c r="W1" s="365" t="s">
        <v>95</v>
      </c>
      <c r="X1" s="365" t="s">
        <v>96</v>
      </c>
      <c r="Y1" s="367" t="s">
        <v>317</v>
      </c>
      <c r="Z1" s="365" t="s">
        <v>100</v>
      </c>
      <c r="AA1" s="366" t="s">
        <v>97</v>
      </c>
      <c r="AB1" s="23"/>
      <c r="AC1" s="366" t="s">
        <v>99</v>
      </c>
      <c r="AN1" s="665" t="s">
        <v>318</v>
      </c>
      <c r="AO1" s="665" t="s">
        <v>319</v>
      </c>
      <c r="AP1" s="665" t="s">
        <v>320</v>
      </c>
      <c r="AQ1" s="459" t="s">
        <v>323</v>
      </c>
      <c r="AR1" s="459" t="s">
        <v>324</v>
      </c>
    </row>
    <row r="2" spans="1:44" s="62" customFormat="1" ht="11.25" hidden="1" customHeight="1">
      <c r="B2" s="354" t="s">
        <v>19</v>
      </c>
      <c r="AF2" s="62" t="b" cm="1">
        <f t="array" ref="AF2">isOrgDeclare</f>
        <v>1</v>
      </c>
      <c r="AI2" s="354" t="b">
        <f>AND(AI6&lt;=last_year_vis,isOrgDeclare)</f>
        <v>1</v>
      </c>
      <c r="AJ2" s="354" t="b">
        <f>AJ6&lt;=last_year_vis</f>
        <v>1</v>
      </c>
      <c r="AN2" s="674"/>
      <c r="AO2" s="674"/>
      <c r="AP2" s="674"/>
      <c r="AQ2" s="679"/>
      <c r="AR2" s="679"/>
    </row>
    <row r="3" spans="1:44" s="57" customFormat="1" ht="11.25" hidden="1" customHeight="1">
      <c r="B3" s="62"/>
      <c r="AN3" s="665"/>
      <c r="AO3" s="665"/>
      <c r="AP3" s="665"/>
      <c r="AQ3" s="459"/>
      <c r="AR3" s="459"/>
    </row>
    <row r="4" spans="1:44" s="57" customFormat="1" ht="11.25" hidden="1" customHeight="1">
      <c r="B4" s="62"/>
      <c r="AN4" s="665"/>
      <c r="AO4" s="665"/>
      <c r="AP4" s="665"/>
      <c r="AQ4" s="459"/>
      <c r="AR4" s="459"/>
    </row>
    <row r="5" spans="1:44" s="459" customFormat="1" ht="11.25" hidden="1" customHeight="1">
      <c r="A5" s="57"/>
      <c r="B5" s="62"/>
      <c r="C5" s="57"/>
      <c r="D5" s="57"/>
      <c r="E5" s="459" t="s">
        <v>20</v>
      </c>
      <c r="AA5" s="459">
        <v>3</v>
      </c>
      <c r="AB5" s="459">
        <v>11</v>
      </c>
      <c r="AC5" s="459">
        <v>50.14</v>
      </c>
      <c r="AD5" s="459">
        <v>10.29</v>
      </c>
      <c r="AE5" s="459">
        <v>13</v>
      </c>
      <c r="AF5" s="459">
        <v>13</v>
      </c>
      <c r="AG5" s="459">
        <v>13</v>
      </c>
      <c r="AH5" s="459">
        <v>13</v>
      </c>
      <c r="AI5" s="459">
        <v>13</v>
      </c>
      <c r="AJ5" s="459">
        <v>13</v>
      </c>
      <c r="AK5" s="459">
        <v>20</v>
      </c>
      <c r="AL5" s="459">
        <v>3</v>
      </c>
      <c r="AN5" s="665"/>
      <c r="AO5" s="665"/>
      <c r="AP5" s="665"/>
    </row>
    <row r="6" spans="1:44" s="57" customFormat="1" ht="11.25" hidden="1" customHeight="1">
      <c r="A6" s="57" t="s">
        <v>353</v>
      </c>
      <c r="B6" s="62"/>
      <c r="E6" s="459"/>
      <c r="AE6" s="57">
        <f>god-2</f>
        <v>2024</v>
      </c>
      <c r="AF6" s="57">
        <f>god-2</f>
        <v>2024</v>
      </c>
      <c r="AG6" s="57">
        <f>god-2</f>
        <v>2024</v>
      </c>
      <c r="AH6" s="57">
        <f>god-1</f>
        <v>2025</v>
      </c>
      <c r="AI6" s="36" cm="1">
        <f t="array" ref="AI6">god</f>
        <v>2026</v>
      </c>
      <c r="AJ6" s="36" cm="1">
        <f t="array" ref="AJ6">god</f>
        <v>2026</v>
      </c>
      <c r="AN6" s="665"/>
      <c r="AO6" s="665"/>
      <c r="AP6" s="665"/>
      <c r="AQ6" s="459"/>
      <c r="AR6" s="459"/>
    </row>
    <row r="7" spans="1:44" s="57" customFormat="1" ht="11.25" hidden="1" customHeight="1">
      <c r="A7" s="57" t="s">
        <v>354</v>
      </c>
      <c r="B7" s="62"/>
      <c r="E7" s="459"/>
      <c r="AE7" s="57" t="str" cm="1">
        <f t="array" ref="AE7">AE25</f>
        <v>Принято органом регулирования</v>
      </c>
      <c r="AF7" s="57" t="str" cm="1">
        <f t="array" ref="AF7">AF25</f>
        <v>Факт по данным организации</v>
      </c>
      <c r="AG7" s="57" t="str" cm="1">
        <f t="array" ref="AG7">AG25</f>
        <v>Факт, принятый органом регулирования</v>
      </c>
      <c r="AH7" s="57" t="str" cm="1">
        <f t="array" ref="AH7">AH25</f>
        <v>Принято органом регулирования</v>
      </c>
      <c r="AI7" s="57" t="str" cm="1">
        <f t="array" ref="AI7">AI25</f>
        <v>Предложение организации</v>
      </c>
      <c r="AJ7" s="57" t="str" cm="1">
        <f t="array" ref="AJ7">AJ25</f>
        <v>Принято органом регулирования</v>
      </c>
      <c r="AN7" s="665"/>
      <c r="AO7" s="665"/>
      <c r="AP7" s="665"/>
      <c r="AQ7" s="459"/>
      <c r="AR7" s="459"/>
    </row>
    <row r="8" spans="1:44" s="57" customFormat="1" ht="11.25" hidden="1" customHeight="1">
      <c r="B8" s="62"/>
      <c r="E8" s="459"/>
      <c r="AN8" s="665"/>
      <c r="AO8" s="665"/>
      <c r="AP8" s="665"/>
      <c r="AQ8" s="459"/>
      <c r="AR8" s="459"/>
    </row>
    <row r="9" spans="1:44" s="665" customFormat="1" ht="11.25" hidden="1" customHeight="1">
      <c r="A9" s="665" t="s">
        <v>358</v>
      </c>
      <c r="B9" s="674"/>
      <c r="AE9" s="665" cm="1">
        <f t="array" ref="AE9">AE6</f>
        <v>2024</v>
      </c>
      <c r="AF9" s="665" cm="1">
        <f t="array" ref="AF9">AF6</f>
        <v>2024</v>
      </c>
      <c r="AG9" s="665" cm="1">
        <f t="array" ref="AG9">AG6</f>
        <v>2024</v>
      </c>
      <c r="AH9" s="665" cm="1">
        <f t="array" ref="AH9">AH6</f>
        <v>2025</v>
      </c>
      <c r="AI9" s="665" cm="1">
        <f t="array" ref="AI9">AI6</f>
        <v>2026</v>
      </c>
      <c r="AJ9" s="665" cm="1">
        <f t="array" ref="AJ9">AJ6</f>
        <v>2026</v>
      </c>
      <c r="AQ9" s="459"/>
      <c r="AR9" s="459"/>
    </row>
    <row r="10" spans="1:44" s="665" customFormat="1" ht="11.25" hidden="1" customHeight="1">
      <c r="A10" s="665" t="s">
        <v>359</v>
      </c>
      <c r="B10" s="674"/>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Принято органом регулирования</v>
      </c>
      <c r="AQ10" s="459"/>
      <c r="AR10" s="459"/>
    </row>
    <row r="11" spans="1:44" s="665" customFormat="1" ht="11.25" hidden="1" customHeight="1">
      <c r="A11" s="665" t="s">
        <v>360</v>
      </c>
      <c r="B11" s="674"/>
      <c r="AK11" s="667" t="str" cm="1">
        <f t="array" ref="AK11">AK24</f>
        <v>Ссылка на правовую норму (основание для принятия показателя в расчет тарифа)</v>
      </c>
      <c r="AQ11" s="459"/>
      <c r="AR11" s="459"/>
    </row>
    <row r="12" spans="1:44" s="665" customFormat="1" ht="11.25" hidden="1" customHeight="1">
      <c r="A12" s="665" t="s">
        <v>333</v>
      </c>
      <c r="B12" s="674"/>
      <c r="AC12" s="665" t="s">
        <v>320</v>
      </c>
      <c r="AQ12" s="459"/>
      <c r="AR12" s="459"/>
    </row>
    <row r="13" spans="1:44" s="57" customFormat="1" ht="11.25" hidden="1" customHeight="1">
      <c r="B13" s="62"/>
      <c r="E13" s="459"/>
      <c r="AN13" s="665"/>
      <c r="AO13" s="665"/>
      <c r="AP13" s="665"/>
      <c r="AQ13" s="459"/>
      <c r="AR13" s="459"/>
    </row>
    <row r="14" spans="1:44" s="57" customFormat="1" ht="11.25" hidden="1" customHeight="1">
      <c r="B14" s="62"/>
      <c r="E14" s="459"/>
      <c r="AN14" s="665"/>
      <c r="AO14" s="665"/>
      <c r="AP14" s="665"/>
      <c r="AQ14" s="459"/>
      <c r="AR14" s="459"/>
    </row>
    <row r="15" spans="1:44" s="57" customFormat="1" ht="11.25" hidden="1" customHeight="1">
      <c r="B15" s="62"/>
      <c r="E15" s="459"/>
      <c r="AN15" s="665"/>
      <c r="AO15" s="665"/>
      <c r="AP15" s="665"/>
      <c r="AQ15" s="459"/>
      <c r="AR15" s="459"/>
    </row>
    <row r="16" spans="1:44" s="57" customFormat="1" ht="11.25" hidden="1" customHeight="1">
      <c r="B16" s="62"/>
      <c r="E16" s="459"/>
      <c r="AN16" s="665"/>
      <c r="AO16" s="665"/>
      <c r="AP16" s="665"/>
      <c r="AQ16" s="459"/>
      <c r="AR16" s="459"/>
    </row>
    <row r="17" spans="1:44" s="57" customFormat="1" ht="11.25" hidden="1" customHeight="1">
      <c r="B17" s="62"/>
      <c r="E17" s="459"/>
      <c r="AE17" s="36"/>
      <c r="AF17" s="36"/>
      <c r="AG17" s="36"/>
      <c r="AH17" s="36"/>
      <c r="AK17" s="41"/>
      <c r="AN17" s="665"/>
      <c r="AO17" s="665"/>
      <c r="AP17" s="665"/>
      <c r="AQ17" s="459"/>
      <c r="AR17" s="459"/>
    </row>
    <row r="18" spans="1:44" s="57" customFormat="1" ht="11.25" hidden="1" customHeight="1">
      <c r="A18" s="57" t="s">
        <v>361</v>
      </c>
      <c r="B18" s="62"/>
      <c r="E18" s="459"/>
      <c r="AC18" s="57" t="s">
        <v>362</v>
      </c>
      <c r="AN18" s="665"/>
      <c r="AO18" s="665"/>
      <c r="AP18" s="665"/>
      <c r="AQ18" s="459"/>
      <c r="AR18" s="459"/>
    </row>
    <row r="19" spans="1:44" s="57" customFormat="1" ht="11.25" hidden="1" customHeight="1">
      <c r="B19" s="62"/>
      <c r="E19" s="459"/>
      <c r="AN19" s="665"/>
      <c r="AO19" s="665"/>
      <c r="AP19" s="665"/>
      <c r="AQ19" s="459"/>
      <c r="AR19" s="459"/>
    </row>
    <row r="20" spans="1:44" s="57" customFormat="1" ht="11.25" hidden="1" customHeight="1">
      <c r="B20" s="62"/>
      <c r="E20" s="459"/>
      <c r="AN20" s="665"/>
      <c r="AO20" s="665"/>
      <c r="AP20" s="665"/>
      <c r="AQ20" s="459"/>
      <c r="AR20" s="459"/>
    </row>
    <row r="21" spans="1:44" ht="14.65" customHeight="1">
      <c r="E21" s="459">
        <v>15</v>
      </c>
      <c r="AA21" s="337"/>
      <c r="AC21" s="280" t="str" cm="1">
        <f t="array" ref="AC21">tpl_title</f>
        <v>Кемеровская область / 2026 / ООО "Энергосервис г. Гурьевска" (ИНН:4202049045, КПП:420201001) / ДПР: 2024-2028</v>
      </c>
    </row>
    <row r="22" spans="1:44" ht="19.5" customHeight="1">
      <c r="E22" s="459">
        <v>20</v>
      </c>
      <c r="AB22" s="239" t="s">
        <v>66</v>
      </c>
      <c r="AC22" s="158"/>
      <c r="AD22" s="158"/>
      <c r="AE22" s="158"/>
      <c r="AF22" s="158"/>
      <c r="AG22" s="158"/>
      <c r="AH22" s="158"/>
      <c r="AI22" s="158"/>
      <c r="AJ22" s="158"/>
      <c r="AK22" s="356"/>
    </row>
    <row r="23" spans="1:44" ht="13.9" customHeight="1">
      <c r="E23" s="459">
        <v>14.25</v>
      </c>
      <c r="AB23" s="57"/>
      <c r="AC23" s="57"/>
      <c r="AD23" s="57"/>
      <c r="AE23" s="57"/>
      <c r="AF23" s="57"/>
      <c r="AG23" s="57"/>
      <c r="AH23" s="57"/>
      <c r="AI23" s="57"/>
      <c r="AJ23" s="57"/>
      <c r="AK23" s="57"/>
    </row>
    <row r="24" spans="1:44" ht="14.65" customHeight="1">
      <c r="E24" s="459">
        <v>15</v>
      </c>
      <c r="AB24" s="1088" t="s">
        <v>22</v>
      </c>
      <c r="AC24" s="1088" t="s">
        <v>362</v>
      </c>
      <c r="AD24" s="1088" t="s">
        <v>997</v>
      </c>
      <c r="AE24" s="29" t="str">
        <f>god-2&amp;" год"</f>
        <v>2024 год</v>
      </c>
      <c r="AF24" s="736" t="str">
        <f>god-2&amp;" год"</f>
        <v>2024 год</v>
      </c>
      <c r="AG24" s="29" t="str">
        <f>god-2&amp;" год"</f>
        <v>2024 год</v>
      </c>
      <c r="AH24" s="29" t="str">
        <f>god-1&amp;" год"</f>
        <v>2025 год</v>
      </c>
      <c r="AI24" s="734" t="str">
        <f>god&amp;" год"</f>
        <v>2026 год</v>
      </c>
      <c r="AJ24" s="30" t="str">
        <f>god&amp;" год"</f>
        <v>2026 год</v>
      </c>
      <c r="AK24" s="1156" t="s">
        <v>529</v>
      </c>
    </row>
    <row r="25" spans="1:44" ht="44.1" customHeight="1">
      <c r="E25" s="459">
        <v>45.25</v>
      </c>
      <c r="AB25" s="1088"/>
      <c r="AC25" s="1088"/>
      <c r="AD25" s="1088"/>
      <c r="AE25" s="29" t="s">
        <v>355</v>
      </c>
      <c r="AF25" s="736" t="s">
        <v>450</v>
      </c>
      <c r="AG25" s="29" t="s">
        <v>451</v>
      </c>
      <c r="AH25" s="29" t="s">
        <v>355</v>
      </c>
      <c r="AI25" s="738" t="s">
        <v>356</v>
      </c>
      <c r="AJ25" s="275" t="s">
        <v>355</v>
      </c>
      <c r="AK25" s="1156"/>
    </row>
    <row r="26" spans="1:44" ht="12" hidden="1" customHeight="1">
      <c r="E26" s="459">
        <v>0</v>
      </c>
      <c r="AB26" s="534"/>
      <c r="AC26" s="534"/>
      <c r="AD26" s="534"/>
      <c r="AE26" s="539"/>
      <c r="AF26" s="539"/>
      <c r="AG26" s="539"/>
      <c r="AH26" s="539"/>
      <c r="AI26" s="81"/>
      <c r="AJ26" s="81"/>
      <c r="AK26" s="540"/>
    </row>
    <row r="27" spans="1:44" ht="14.65" hidden="1" customHeight="1">
      <c r="E27" s="459">
        <v>15</v>
      </c>
      <c r="F27" s="36" cm="1">
        <f t="array" ref="F27">X27</f>
        <v>0</v>
      </c>
      <c r="G27" s="57" t="s">
        <v>1250</v>
      </c>
      <c r="T27" s="365" t="b">
        <f>X27&gt;0</f>
        <v>0</v>
      </c>
      <c r="V27" s="57" t="s">
        <v>264</v>
      </c>
      <c r="X27" s="1075">
        <v>0</v>
      </c>
      <c r="Z27" s="1065"/>
      <c r="AB27" s="154" t="str" cm="1">
        <f t="array" ref="AB27">INDEX('Общие сведения'!$AG$179:$AG$222,MATCH($X27,'Общие сведения'!$Z$179:$Z$222,0))</f>
        <v xml:space="preserve">Тариф 0 () - </v>
      </c>
      <c r="AC27" s="113"/>
      <c r="AD27" s="113"/>
      <c r="AE27" s="227">
        <f t="shared" ref="AE27:AJ27" ca="1" si="0">SUM(AE28:AE36)</f>
        <v>0</v>
      </c>
      <c r="AF27" s="227">
        <f t="shared" ca="1" si="0"/>
        <v>0</v>
      </c>
      <c r="AG27" s="227">
        <f t="shared" ca="1" si="0"/>
        <v>0</v>
      </c>
      <c r="AH27" s="227">
        <f t="shared" ca="1" si="0"/>
        <v>0</v>
      </c>
      <c r="AI27" s="227">
        <f t="shared" ca="1" si="0"/>
        <v>0</v>
      </c>
      <c r="AJ27" s="227">
        <f t="shared" ca="1" si="0"/>
        <v>0</v>
      </c>
      <c r="AK27" s="156"/>
    </row>
    <row r="28" spans="1:44" ht="21.95" hidden="1" customHeight="1">
      <c r="E28" s="459">
        <v>22.5</v>
      </c>
      <c r="F28" s="3" cm="1">
        <f t="array" aca="1" ref="F28" ca="1">OFFSET(E28,-1,1)</f>
        <v>0</v>
      </c>
      <c r="G28" s="57" t="s">
        <v>327</v>
      </c>
      <c r="K28" s="59" t="str">
        <f ca="1">F28&amp;"komm"</f>
        <v>0komm</v>
      </c>
      <c r="L28" s="618" cm="1">
        <f t="array" ref="L28">AK28</f>
        <v>0</v>
      </c>
      <c r="T28" s="365" t="b" cm="1">
        <f t="array" ref="T28">T27</f>
        <v>0</v>
      </c>
      <c r="X28" s="1075"/>
      <c r="Z28" s="1065"/>
      <c r="AB28" s="152" t="s">
        <v>275</v>
      </c>
      <c r="AC28" s="358" t="s">
        <v>1251</v>
      </c>
      <c r="AD28" s="26" t="s">
        <v>804</v>
      </c>
      <c r="AE28" s="790"/>
      <c r="AF28" s="929"/>
      <c r="AG28" s="929"/>
      <c r="AH28" s="929"/>
      <c r="AI28" s="929"/>
      <c r="AJ28" s="929"/>
      <c r="AK28" s="839"/>
      <c r="AN28" s="665" t="s">
        <v>1252</v>
      </c>
    </row>
    <row r="29" spans="1:44" ht="21.95" hidden="1" customHeight="1">
      <c r="E29" s="459">
        <v>22.5</v>
      </c>
      <c r="F29" s="3" cm="1">
        <f t="array" aca="1" ref="F29" ca="1">OFFSET(E29,-1,1)</f>
        <v>0</v>
      </c>
      <c r="G29" s="57" t="s">
        <v>328</v>
      </c>
      <c r="T29" s="365" t="b" cm="1">
        <f t="array" ref="T29">T28</f>
        <v>0</v>
      </c>
      <c r="X29" s="1075"/>
      <c r="Z29" s="1065"/>
      <c r="AB29" s="152" t="s">
        <v>285</v>
      </c>
      <c r="AC29" s="358" t="s">
        <v>1253</v>
      </c>
      <c r="AD29" s="26" t="s">
        <v>804</v>
      </c>
      <c r="AE29" s="790"/>
      <c r="AF29" s="929"/>
      <c r="AG29" s="929"/>
      <c r="AH29" s="929"/>
      <c r="AI29" s="929"/>
      <c r="AJ29" s="929"/>
      <c r="AK29" s="839"/>
      <c r="AN29" s="665" t="s">
        <v>1254</v>
      </c>
    </row>
    <row r="30" spans="1:44" ht="21.95" hidden="1" customHeight="1">
      <c r="E30" s="459">
        <v>22.5</v>
      </c>
      <c r="F30" s="3" cm="1">
        <f t="array" aca="1" ref="F30" ca="1">OFFSET(E30,-1,1)</f>
        <v>0</v>
      </c>
      <c r="G30" s="57" t="s">
        <v>329</v>
      </c>
      <c r="T30" s="365" t="b" cm="1">
        <f t="array" ref="T30">T29</f>
        <v>0</v>
      </c>
      <c r="X30" s="1075"/>
      <c r="Z30" s="1065"/>
      <c r="AB30" s="152" t="s">
        <v>325</v>
      </c>
      <c r="AC30" s="358" t="s">
        <v>1255</v>
      </c>
      <c r="AD30" s="26" t="s">
        <v>804</v>
      </c>
      <c r="AE30" s="790"/>
      <c r="AF30" s="929"/>
      <c r="AG30" s="929"/>
      <c r="AH30" s="929"/>
      <c r="AI30" s="929"/>
      <c r="AJ30" s="929"/>
      <c r="AK30" s="839"/>
      <c r="AN30" s="665" t="s">
        <v>1256</v>
      </c>
    </row>
    <row r="31" spans="1:44" ht="32.85" hidden="1" customHeight="1">
      <c r="E31" s="459">
        <v>33.75</v>
      </c>
      <c r="F31" s="774" cm="1">
        <f t="array" aca="1" ref="F31" ca="1">OFFSET(E31,-1,1)</f>
        <v>0</v>
      </c>
      <c r="G31" s="57" t="s">
        <v>331</v>
      </c>
      <c r="T31" s="365" t="b" cm="1">
        <f t="array" ref="T31">T30</f>
        <v>0</v>
      </c>
      <c r="X31" s="1075"/>
      <c r="Z31" s="1065"/>
      <c r="AB31" s="26">
        <v>4</v>
      </c>
      <c r="AC31" s="358" t="s">
        <v>1257</v>
      </c>
      <c r="AD31" s="26" t="s">
        <v>804</v>
      </c>
      <c r="AE31" s="190">
        <f ca="1">SUMIFS(ФОТ!AE$25:AE$102,ФОТ!$F$25:$F$102,$F31,ФОТ!$G$25:$G$102,"СП")+SUMIFS(ФОТ!AE$25:AE$102,ФОТ!$F$25:$F$102,$F31,ФОТ!$G$25:$G$102,"СОЦ_СП")</f>
        <v>0</v>
      </c>
      <c r="AF31" s="190">
        <f ca="1">SUMIFS(ФОТ!AF$25:AF$102,ФОТ!$F$25:$F$102,$F31,ФОТ!$G$25:$G$102,"СП")+SUMIFS(ФОТ!AF$25:AF$102,ФОТ!$F$25:$F$102,$F31,ФОТ!$G$25:$G$102,"СОЦ_СП")</f>
        <v>0</v>
      </c>
      <c r="AG31" s="190">
        <f ca="1">SUMIFS(ФОТ!AG$25:AG$102,ФОТ!$F$25:$F$102,$F31,ФОТ!$G$25:$G$102,"СП")+SUMIFS(ФОТ!AG$25:AG$102,ФОТ!$F$25:$F$102,$F31,ФОТ!$G$25:$G$102,"СОЦ_СП")</f>
        <v>0</v>
      </c>
      <c r="AH31" s="190">
        <f ca="1">SUMIFS(ФОТ!AH$25:AH$102,ФОТ!$F$25:$F$102,$F31,ФОТ!$G$25:$G$102,"СП")+SUMIFS(ФОТ!AH$25:AH$102,ФОТ!$F$25:$F$102,$F31,ФОТ!$G$25:$G$102,"СОЦ_СП")</f>
        <v>0</v>
      </c>
      <c r="AI31" s="190">
        <f ca="1">SUMIFS(ФОТ!AI$25:AI$102,ФОТ!$F$25:$F$102,$F31,ФОТ!$G$25:$G$102,"СП")+SUMIFS(ФОТ!AI$25:AI$102,ФОТ!$F$25:$F$102,$F31,ФОТ!$G$25:$G$102,"СОЦ_СП")</f>
        <v>0</v>
      </c>
      <c r="AJ31" s="190">
        <f ca="1">SUMIFS(ФОТ!AJ$25:AJ$102,ФОТ!$F$25:$F$102,$F31,ФОТ!$G$25:$G$102,"СП")+SUMIFS(ФОТ!AJ$25:AJ$102,ФОТ!$F$25:$F$102,$F31,ФОТ!$G$25:$G$102,"СОЦ_СП")</f>
        <v>0</v>
      </c>
      <c r="AK31" s="839"/>
      <c r="AM31"/>
      <c r="AN31" s="670" t="s">
        <v>1258</v>
      </c>
      <c r="AO31" s="670"/>
      <c r="AP31" s="670"/>
      <c r="AQ31" s="465"/>
      <c r="AR31" s="465"/>
    </row>
    <row r="32" spans="1:44" ht="32.85" hidden="1" customHeight="1">
      <c r="E32" s="459">
        <v>33.75</v>
      </c>
      <c r="F32" s="3" cm="1">
        <f t="array" aca="1" ref="F32" ca="1">OFFSET(E32,-1,1)</f>
        <v>0</v>
      </c>
      <c r="G32" s="57" t="s">
        <v>330</v>
      </c>
      <c r="T32" s="365" t="b" cm="1">
        <f t="array" ref="T32">T31</f>
        <v>0</v>
      </c>
      <c r="X32" s="1075"/>
      <c r="Z32" s="1065"/>
      <c r="AB32" s="152" t="s">
        <v>444</v>
      </c>
      <c r="AC32" s="358" t="s">
        <v>1259</v>
      </c>
      <c r="AD32" s="26" t="s">
        <v>804</v>
      </c>
      <c r="AE32" s="790"/>
      <c r="AF32" s="790"/>
      <c r="AG32" s="790"/>
      <c r="AH32" s="790"/>
      <c r="AI32" s="790"/>
      <c r="AJ32" s="790"/>
      <c r="AK32" s="839"/>
      <c r="AN32" s="665" t="s">
        <v>1241</v>
      </c>
    </row>
    <row r="33" spans="1:44" ht="21.95" hidden="1" customHeight="1">
      <c r="E33" s="459">
        <v>22.5</v>
      </c>
      <c r="F33" s="3" cm="1">
        <f t="array" aca="1" ref="F33" ca="1">OFFSET(E33,-1,1)</f>
        <v>0</v>
      </c>
      <c r="G33" s="57" t="s">
        <v>511</v>
      </c>
      <c r="T33" s="365" t="b" cm="1">
        <f t="array" ref="T33">T32</f>
        <v>0</v>
      </c>
      <c r="X33" s="1075"/>
      <c r="Z33" s="1065"/>
      <c r="AB33" s="152" t="s">
        <v>447</v>
      </c>
      <c r="AC33" s="358" t="s">
        <v>1260</v>
      </c>
      <c r="AD33" s="26" t="s">
        <v>804</v>
      </c>
      <c r="AE33" s="790"/>
      <c r="AF33" s="790"/>
      <c r="AG33" s="790"/>
      <c r="AH33" s="790"/>
      <c r="AI33" s="790"/>
      <c r="AJ33" s="790"/>
      <c r="AK33" s="839"/>
      <c r="AN33" s="665" t="s">
        <v>1227</v>
      </c>
    </row>
    <row r="34" spans="1:44" ht="43.9" hidden="1" customHeight="1">
      <c r="E34" s="459">
        <v>45</v>
      </c>
      <c r="F34" s="3" cm="1">
        <f t="array" aca="1" ref="F34" ca="1">OFFSET(E34,-1,1)</f>
        <v>0</v>
      </c>
      <c r="G34" s="57" t="s">
        <v>514</v>
      </c>
      <c r="T34" s="365" t="b" cm="1">
        <f t="array" ref="T34">T33</f>
        <v>0</v>
      </c>
      <c r="X34" s="1075"/>
      <c r="Z34" s="1065"/>
      <c r="AB34" s="152" t="s">
        <v>578</v>
      </c>
      <c r="AC34" s="358" t="s">
        <v>1261</v>
      </c>
      <c r="AD34" s="26" t="s">
        <v>804</v>
      </c>
      <c r="AE34" s="790"/>
      <c r="AF34" s="790"/>
      <c r="AG34" s="790"/>
      <c r="AH34" s="790"/>
      <c r="AI34" s="790"/>
      <c r="AJ34" s="790"/>
      <c r="AK34" s="839"/>
      <c r="AN34" s="665" t="s">
        <v>1262</v>
      </c>
    </row>
    <row r="35" spans="1:44" ht="43.9" hidden="1" customHeight="1">
      <c r="E35" s="459">
        <v>45</v>
      </c>
      <c r="F35" s="3" cm="1">
        <f t="array" aca="1" ref="F35" ca="1">OFFSET(E35,-1,1)</f>
        <v>0</v>
      </c>
      <c r="G35" s="57" t="s">
        <v>562</v>
      </c>
      <c r="T35" s="365" t="b" cm="1">
        <f t="array" ref="T35">T34</f>
        <v>0</v>
      </c>
      <c r="X35" s="1075"/>
      <c r="Z35" s="1065"/>
      <c r="AB35" s="152" t="s">
        <v>586</v>
      </c>
      <c r="AC35" s="358" t="s">
        <v>1263</v>
      </c>
      <c r="AD35" s="26" t="s">
        <v>804</v>
      </c>
      <c r="AE35" s="790"/>
      <c r="AF35" s="790"/>
      <c r="AG35" s="790"/>
      <c r="AH35" s="790"/>
      <c r="AI35" s="790"/>
      <c r="AJ35" s="790"/>
      <c r="AK35" s="839"/>
      <c r="AN35" s="665" t="s">
        <v>1264</v>
      </c>
    </row>
    <row r="36" spans="1:44" ht="14.65" hidden="1" customHeight="1">
      <c r="E36" s="459">
        <v>15</v>
      </c>
      <c r="F36" s="3" cm="1">
        <f t="array" aca="1" ref="F36" ca="1">OFFSET(E36,-1,1)</f>
        <v>0</v>
      </c>
      <c r="G36" s="57" t="s">
        <v>577</v>
      </c>
      <c r="T36" s="365" t="b" cm="1">
        <f t="array" ref="T36">T35</f>
        <v>0</v>
      </c>
      <c r="X36" s="1075"/>
      <c r="Z36" s="1065"/>
      <c r="AB36" s="117">
        <v>9</v>
      </c>
      <c r="AC36" s="358" t="s">
        <v>1265</v>
      </c>
      <c r="AD36" s="26" t="s">
        <v>804</v>
      </c>
      <c r="AE36" s="167">
        <f t="shared" ref="AE36:AJ36" si="1">SUM(AE37:AE38)</f>
        <v>0</v>
      </c>
      <c r="AF36" s="167">
        <f t="shared" si="1"/>
        <v>0</v>
      </c>
      <c r="AG36" s="167">
        <f t="shared" si="1"/>
        <v>0</v>
      </c>
      <c r="AH36" s="167">
        <f t="shared" si="1"/>
        <v>0</v>
      </c>
      <c r="AI36" s="167">
        <f t="shared" si="1"/>
        <v>0</v>
      </c>
      <c r="AJ36" s="167">
        <f t="shared" si="1"/>
        <v>0</v>
      </c>
      <c r="AK36" s="839"/>
      <c r="AN36" s="665" t="s">
        <v>389</v>
      </c>
    </row>
    <row r="37" spans="1:44" ht="14.65" hidden="1" customHeight="1">
      <c r="E37" s="459">
        <v>15</v>
      </c>
      <c r="F37" s="3" cm="1">
        <f t="array" aca="1" ref="F37" ca="1">OFFSET(E37,-1,1)</f>
        <v>0</v>
      </c>
      <c r="G37" s="57" t="s">
        <v>577</v>
      </c>
      <c r="H37" s="57" cm="1">
        <f t="array" ref="H37">AC37</f>
        <v>0</v>
      </c>
      <c r="T37" s="365" t="b">
        <f ca="1">AND(F37&gt;0,Y37&gt;0)</f>
        <v>0</v>
      </c>
      <c r="W37" s="528" t="s">
        <v>173</v>
      </c>
      <c r="X37" s="1075"/>
      <c r="Y37" s="57">
        <v>0</v>
      </c>
      <c r="Z37" s="1065"/>
      <c r="AA37" s="332" t="s">
        <v>174</v>
      </c>
      <c r="AB37" s="511" t="str">
        <f>"9."&amp;Y37</f>
        <v>9.0</v>
      </c>
      <c r="AC37" s="789"/>
      <c r="AD37" s="26" t="s">
        <v>804</v>
      </c>
      <c r="AE37" s="790"/>
      <c r="AF37" s="790"/>
      <c r="AG37" s="790"/>
      <c r="AH37" s="790"/>
      <c r="AI37" s="790"/>
      <c r="AJ37" s="790"/>
      <c r="AK37" s="839"/>
      <c r="AN37" s="665" t="s">
        <v>389</v>
      </c>
      <c r="AO37" s="665" t="s">
        <v>1266</v>
      </c>
      <c r="AP37" s="665" cm="1">
        <f t="array" ref="AP37">AC37</f>
        <v>0</v>
      </c>
      <c r="AR37" s="459" t="b">
        <v>1</v>
      </c>
    </row>
    <row r="38" spans="1:44" ht="14.65" hidden="1" customHeight="1">
      <c r="A38" s="81"/>
      <c r="B38" s="338"/>
      <c r="C38" s="81"/>
      <c r="D38" s="81"/>
      <c r="E38" s="198">
        <v>15</v>
      </c>
      <c r="F38" s="3" cm="1">
        <f t="array" aca="1" ref="F38" ca="1">OFFSET(E38,-1,1)</f>
        <v>0</v>
      </c>
      <c r="G38" s="81"/>
      <c r="H38" s="85" t="str">
        <f>"!=='не определено'"</f>
        <v>!=='не определено'</v>
      </c>
      <c r="I38" s="81"/>
      <c r="J38" s="81"/>
      <c r="K38" s="81"/>
      <c r="L38" s="81"/>
      <c r="M38" s="81"/>
      <c r="N38" s="81"/>
      <c r="O38" s="81"/>
      <c r="P38" s="81"/>
      <c r="Q38" s="81"/>
      <c r="R38" s="81"/>
      <c r="S38" s="81"/>
      <c r="T38" s="365" t="b">
        <f ca="1">F38&gt;0</f>
        <v>0</v>
      </c>
      <c r="U38" s="81"/>
      <c r="V38" s="81"/>
      <c r="W38" s="528" t="s">
        <v>1267</v>
      </c>
      <c r="X38" s="1075"/>
      <c r="Y38" s="81"/>
      <c r="Z38" s="1065"/>
      <c r="AA38" s="81"/>
      <c r="AB38" s="163"/>
      <c r="AC38" s="164" t="s">
        <v>177</v>
      </c>
      <c r="AD38" s="164"/>
      <c r="AE38" s="164"/>
      <c r="AF38" s="164"/>
      <c r="AG38" s="164"/>
      <c r="AH38" s="164"/>
      <c r="AI38" s="164"/>
      <c r="AJ38" s="164"/>
      <c r="AK38" s="165"/>
      <c r="AL38" s="81"/>
      <c r="AQ38" s="459" t="s">
        <v>1266</v>
      </c>
    </row>
    <row r="39" spans="1:44" ht="14.25" customHeight="1">
      <c r="E39" s="459">
        <v>15</v>
      </c>
      <c r="F39" s="36" t="str" cm="1">
        <f t="array" ref="F39">X39</f>
        <v>1</v>
      </c>
      <c r="G39" s="57" t="s">
        <v>1250</v>
      </c>
      <c r="T39" s="365" t="b">
        <f>X39&gt;0</f>
        <v>1</v>
      </c>
      <c r="V39" s="57" t="str" cm="1">
        <f t="array" ref="V39">Административные!$AB$46</f>
        <v>Тариф 1 (Водоснабжение) - тариф на питьевую воду (Доп. признак не требуется)</v>
      </c>
      <c r="X39" s="1075" t="s">
        <v>275</v>
      </c>
      <c r="Z39" s="1065"/>
      <c r="AB39" s="154" t="str" cm="1">
        <f t="array" ref="AB39">Административные!$AB$46</f>
        <v>Тариф 1 (Водоснабжение) - тариф на питьевую воду (Доп. признак не требуется)</v>
      </c>
      <c r="AC39" s="113"/>
      <c r="AD39" s="113"/>
      <c r="AE39" s="227">
        <f t="shared" ref="AE39:AJ39" ca="1" si="2">SUM(AE40:AE48)</f>
        <v>0</v>
      </c>
      <c r="AF39" s="227">
        <f t="shared" ca="1" si="2"/>
        <v>0</v>
      </c>
      <c r="AG39" s="227">
        <f t="shared" ca="1" si="2"/>
        <v>0</v>
      </c>
      <c r="AH39" s="227">
        <f t="shared" ca="1" si="2"/>
        <v>0</v>
      </c>
      <c r="AI39" s="227">
        <f t="shared" ca="1" si="2"/>
        <v>0</v>
      </c>
      <c r="AJ39" s="227">
        <f t="shared" ca="1" si="2"/>
        <v>0</v>
      </c>
      <c r="AK39" s="156"/>
    </row>
    <row r="40" spans="1:44" ht="21.75" customHeight="1">
      <c r="E40" s="459">
        <v>22.5</v>
      </c>
      <c r="F40" s="3" t="str" cm="1">
        <f t="array" aca="1" ref="F40" ca="1">OFFSET(E40,-1,1)</f>
        <v>1</v>
      </c>
      <c r="G40" s="57" t="s">
        <v>327</v>
      </c>
      <c r="K40" s="59" t="str">
        <f ca="1">F40&amp;"komm"</f>
        <v>1komm</v>
      </c>
      <c r="L40" s="618" cm="1">
        <f t="array" ref="L40">AK40</f>
        <v>0</v>
      </c>
      <c r="T40" s="365" t="b" cm="1">
        <f t="array" ref="T40">T39</f>
        <v>1</v>
      </c>
      <c r="X40" s="1075"/>
      <c r="Z40" s="1065"/>
      <c r="AB40" s="152" t="s">
        <v>275</v>
      </c>
      <c r="AC40" s="358" t="s">
        <v>1251</v>
      </c>
      <c r="AD40" s="26" t="s">
        <v>804</v>
      </c>
      <c r="AE40" s="160"/>
      <c r="AF40" s="161"/>
      <c r="AG40" s="161"/>
      <c r="AH40" s="161"/>
      <c r="AI40" s="161"/>
      <c r="AJ40" s="161"/>
      <c r="AK40" s="132"/>
      <c r="AN40" s="665" t="s">
        <v>1252</v>
      </c>
    </row>
    <row r="41" spans="1:44" ht="21.75" customHeight="1">
      <c r="E41" s="459">
        <v>22.5</v>
      </c>
      <c r="F41" s="3" t="str" cm="1">
        <f t="array" aca="1" ref="F41" ca="1">OFFSET(E41,-1,1)</f>
        <v>1</v>
      </c>
      <c r="G41" s="57" t="s">
        <v>328</v>
      </c>
      <c r="T41" s="365" t="b" cm="1">
        <f t="array" ref="T41">T40</f>
        <v>1</v>
      </c>
      <c r="X41" s="1075"/>
      <c r="Z41" s="1065"/>
      <c r="AB41" s="152" t="s">
        <v>285</v>
      </c>
      <c r="AC41" s="358" t="s">
        <v>1253</v>
      </c>
      <c r="AD41" s="26" t="s">
        <v>804</v>
      </c>
      <c r="AE41" s="160"/>
      <c r="AF41" s="161"/>
      <c r="AG41" s="161"/>
      <c r="AH41" s="161"/>
      <c r="AI41" s="161"/>
      <c r="AJ41" s="161"/>
      <c r="AK41" s="132"/>
      <c r="AN41" s="665" t="s">
        <v>1254</v>
      </c>
    </row>
    <row r="42" spans="1:44" ht="21.75" customHeight="1">
      <c r="E42" s="459">
        <v>22.5</v>
      </c>
      <c r="F42" s="3" t="str" cm="1">
        <f t="array" aca="1" ref="F42" ca="1">OFFSET(E42,-1,1)</f>
        <v>1</v>
      </c>
      <c r="G42" s="57" t="s">
        <v>329</v>
      </c>
      <c r="T42" s="365" t="b" cm="1">
        <f t="array" ref="T42">T41</f>
        <v>1</v>
      </c>
      <c r="X42" s="1075"/>
      <c r="Z42" s="1065"/>
      <c r="AB42" s="152" t="s">
        <v>325</v>
      </c>
      <c r="AC42" s="358" t="s">
        <v>1255</v>
      </c>
      <c r="AD42" s="26" t="s">
        <v>804</v>
      </c>
      <c r="AE42" s="160"/>
      <c r="AF42" s="161"/>
      <c r="AG42" s="161"/>
      <c r="AH42" s="161"/>
      <c r="AI42" s="161"/>
      <c r="AJ42" s="161"/>
      <c r="AK42" s="132"/>
      <c r="AN42" s="665" t="s">
        <v>1256</v>
      </c>
    </row>
    <row r="43" spans="1:44" ht="32.25" customHeight="1">
      <c r="E43" s="459">
        <v>33.75</v>
      </c>
      <c r="F43" s="774" t="str" cm="1">
        <f t="array" aca="1" ref="F43" ca="1">OFFSET(E43,-1,1)</f>
        <v>1</v>
      </c>
      <c r="G43" s="57" t="s">
        <v>331</v>
      </c>
      <c r="T43" s="365" t="b" cm="1">
        <f t="array" ref="T43">T42</f>
        <v>1</v>
      </c>
      <c r="X43" s="1075"/>
      <c r="Z43" s="1065"/>
      <c r="AB43" s="26">
        <v>4</v>
      </c>
      <c r="AC43" s="358" t="s">
        <v>1257</v>
      </c>
      <c r="AD43" s="26" t="s">
        <v>804</v>
      </c>
      <c r="AE43" s="190">
        <f ca="1">SUMIFS(ФОТ!AE$25:AE$102,ФОТ!$F$25:$F$102,$F43,ФОТ!$G$25:$G$102,"СП")+SUMIFS(ФОТ!AE$25:AE$102,ФОТ!$F$25:$F$102,$F43,ФОТ!$G$25:$G$102,"СОЦ_СП")</f>
        <v>0</v>
      </c>
      <c r="AF43" s="190">
        <f ca="1">SUMIFS(ФОТ!AF$25:AF$102,ФОТ!$F$25:$F$102,$F43,ФОТ!$G$25:$G$102,"СП")+SUMIFS(ФОТ!AF$25:AF$102,ФОТ!$F$25:$F$102,$F43,ФОТ!$G$25:$G$102,"СОЦ_СП")</f>
        <v>0</v>
      </c>
      <c r="AG43" s="190">
        <f ca="1">SUMIFS(ФОТ!AG$25:AG$102,ФОТ!$F$25:$F$102,$F43,ФОТ!$G$25:$G$102,"СП")+SUMIFS(ФОТ!AG$25:AG$102,ФОТ!$F$25:$F$102,$F43,ФОТ!$G$25:$G$102,"СОЦ_СП")</f>
        <v>0</v>
      </c>
      <c r="AH43" s="190">
        <f ca="1">SUMIFS(ФОТ!AH$25:AH$102,ФОТ!$F$25:$F$102,$F43,ФОТ!$G$25:$G$102,"СП")+SUMIFS(ФОТ!AH$25:AH$102,ФОТ!$F$25:$F$102,$F43,ФОТ!$G$25:$G$102,"СОЦ_СП")</f>
        <v>0</v>
      </c>
      <c r="AI43" s="190">
        <f ca="1">SUMIFS(ФОТ!AI$25:AI$102,ФОТ!$F$25:$F$102,$F43,ФОТ!$G$25:$G$102,"СП")+SUMIFS(ФОТ!AI$25:AI$102,ФОТ!$F$25:$F$102,$F43,ФОТ!$G$25:$G$102,"СОЦ_СП")</f>
        <v>0</v>
      </c>
      <c r="AJ43" s="190">
        <f ca="1">SUMIFS(ФОТ!AJ$25:AJ$102,ФОТ!$F$25:$F$102,$F43,ФОТ!$G$25:$G$102,"СП")+SUMIFS(ФОТ!AJ$25:AJ$102,ФОТ!$F$25:$F$102,$F43,ФОТ!$G$25:$G$102,"СОЦ_СП")</f>
        <v>0</v>
      </c>
      <c r="AK43" s="132"/>
      <c r="AM43"/>
      <c r="AN43" s="670" t="s">
        <v>1258</v>
      </c>
      <c r="AO43" s="670"/>
      <c r="AP43" s="670"/>
      <c r="AQ43" s="465"/>
      <c r="AR43" s="465"/>
    </row>
    <row r="44" spans="1:44" ht="32.25" customHeight="1">
      <c r="E44" s="459">
        <v>33.75</v>
      </c>
      <c r="F44" s="3" t="str" cm="1">
        <f t="array" aca="1" ref="F44" ca="1">OFFSET(E44,-1,1)</f>
        <v>1</v>
      </c>
      <c r="G44" s="57" t="s">
        <v>330</v>
      </c>
      <c r="T44" s="365" t="b" cm="1">
        <f t="array" ref="T44">T43</f>
        <v>1</v>
      </c>
      <c r="X44" s="1075"/>
      <c r="Z44" s="1065"/>
      <c r="AB44" s="152" t="s">
        <v>444</v>
      </c>
      <c r="AC44" s="358" t="s">
        <v>1259</v>
      </c>
      <c r="AD44" s="26" t="s">
        <v>804</v>
      </c>
      <c r="AE44" s="160"/>
      <c r="AF44" s="160"/>
      <c r="AG44" s="160"/>
      <c r="AH44" s="160"/>
      <c r="AI44" s="160"/>
      <c r="AJ44" s="160"/>
      <c r="AK44" s="132"/>
      <c r="AN44" s="665" t="s">
        <v>1241</v>
      </c>
    </row>
    <row r="45" spans="1:44" ht="21.75" customHeight="1">
      <c r="E45" s="459">
        <v>22.5</v>
      </c>
      <c r="F45" s="3" t="str" cm="1">
        <f t="array" aca="1" ref="F45" ca="1">OFFSET(E45,-1,1)</f>
        <v>1</v>
      </c>
      <c r="G45" s="57" t="s">
        <v>511</v>
      </c>
      <c r="T45" s="365" t="b" cm="1">
        <f t="array" ref="T45">T44</f>
        <v>1</v>
      </c>
      <c r="X45" s="1075"/>
      <c r="Z45" s="1065"/>
      <c r="AB45" s="152" t="s">
        <v>447</v>
      </c>
      <c r="AC45" s="358" t="s">
        <v>1260</v>
      </c>
      <c r="AD45" s="26" t="s">
        <v>804</v>
      </c>
      <c r="AE45" s="160"/>
      <c r="AF45" s="160"/>
      <c r="AG45" s="160"/>
      <c r="AH45" s="160"/>
      <c r="AI45" s="160"/>
      <c r="AJ45" s="160"/>
      <c r="AK45" s="132"/>
      <c r="AN45" s="665" t="s">
        <v>1227</v>
      </c>
    </row>
    <row r="46" spans="1:44" ht="43.5" customHeight="1">
      <c r="E46" s="459">
        <v>45</v>
      </c>
      <c r="F46" s="3" t="str" cm="1">
        <f t="array" aca="1" ref="F46" ca="1">OFFSET(E46,-1,1)</f>
        <v>1</v>
      </c>
      <c r="G46" s="57" t="s">
        <v>514</v>
      </c>
      <c r="T46" s="365" t="b" cm="1">
        <f t="array" ref="T46">T45</f>
        <v>1</v>
      </c>
      <c r="X46" s="1075"/>
      <c r="Z46" s="1065"/>
      <c r="AB46" s="152" t="s">
        <v>578</v>
      </c>
      <c r="AC46" s="358" t="s">
        <v>1261</v>
      </c>
      <c r="AD46" s="26" t="s">
        <v>804</v>
      </c>
      <c r="AE46" s="160"/>
      <c r="AF46" s="160"/>
      <c r="AG46" s="160"/>
      <c r="AH46" s="160"/>
      <c r="AI46" s="160"/>
      <c r="AJ46" s="160"/>
      <c r="AK46" s="132"/>
      <c r="AN46" s="665" t="s">
        <v>1262</v>
      </c>
    </row>
    <row r="47" spans="1:44" ht="43.5" customHeight="1">
      <c r="E47" s="459">
        <v>45</v>
      </c>
      <c r="F47" s="3" t="str" cm="1">
        <f t="array" aca="1" ref="F47" ca="1">OFFSET(E47,-1,1)</f>
        <v>1</v>
      </c>
      <c r="G47" s="57" t="s">
        <v>562</v>
      </c>
      <c r="T47" s="365" t="b" cm="1">
        <f t="array" ref="T47">T46</f>
        <v>1</v>
      </c>
      <c r="X47" s="1075"/>
      <c r="Z47" s="1065"/>
      <c r="AB47" s="152" t="s">
        <v>586</v>
      </c>
      <c r="AC47" s="358" t="s">
        <v>1263</v>
      </c>
      <c r="AD47" s="26" t="s">
        <v>804</v>
      </c>
      <c r="AE47" s="160"/>
      <c r="AF47" s="160"/>
      <c r="AG47" s="160"/>
      <c r="AH47" s="160"/>
      <c r="AI47" s="160"/>
      <c r="AJ47" s="160"/>
      <c r="AK47" s="132"/>
      <c r="AN47" s="665" t="s">
        <v>1264</v>
      </c>
    </row>
    <row r="48" spans="1:44" ht="14.25" customHeight="1">
      <c r="E48" s="459">
        <v>15</v>
      </c>
      <c r="F48" s="3" t="str" cm="1">
        <f t="array" aca="1" ref="F48" ca="1">OFFSET(E48,-1,1)</f>
        <v>1</v>
      </c>
      <c r="G48" s="57" t="s">
        <v>577</v>
      </c>
      <c r="T48" s="365" t="b" cm="1">
        <f t="array" ref="T48">T47</f>
        <v>1</v>
      </c>
      <c r="X48" s="1075"/>
      <c r="Z48" s="1065"/>
      <c r="AB48" s="117">
        <v>9</v>
      </c>
      <c r="AC48" s="358" t="s">
        <v>1265</v>
      </c>
      <c r="AD48" s="26" t="s">
        <v>804</v>
      </c>
      <c r="AE48" s="167">
        <f t="shared" ref="AE48:AJ48" si="3">SUM(AE49:AE50)</f>
        <v>0</v>
      </c>
      <c r="AF48" s="167">
        <f t="shared" si="3"/>
        <v>0</v>
      </c>
      <c r="AG48" s="167">
        <f t="shared" si="3"/>
        <v>0</v>
      </c>
      <c r="AH48" s="167">
        <f t="shared" si="3"/>
        <v>0</v>
      </c>
      <c r="AI48" s="167">
        <f t="shared" si="3"/>
        <v>0</v>
      </c>
      <c r="AJ48" s="167">
        <f t="shared" si="3"/>
        <v>0</v>
      </c>
      <c r="AK48" s="132"/>
      <c r="AN48" s="665" t="s">
        <v>389</v>
      </c>
    </row>
    <row r="49" spans="1:44" ht="14.25" hidden="1" customHeight="1">
      <c r="E49" s="459">
        <v>15</v>
      </c>
      <c r="F49" s="3" t="str" cm="1">
        <f t="array" aca="1" ref="F49" ca="1">OFFSET(E49,-1,1)</f>
        <v>1</v>
      </c>
      <c r="G49" s="57" t="s">
        <v>577</v>
      </c>
      <c r="H49" s="57" cm="1">
        <f t="array" ref="H49">AC49</f>
        <v>0</v>
      </c>
      <c r="T49" s="365" t="b">
        <f ca="1">AND(F49&gt;0,Y49&gt;0)</f>
        <v>0</v>
      </c>
      <c r="W49" s="528" t="s">
        <v>173</v>
      </c>
      <c r="X49" s="1075"/>
      <c r="Y49" s="57">
        <v>0</v>
      </c>
      <c r="Z49" s="1065"/>
      <c r="AA49" s="332" t="s">
        <v>174</v>
      </c>
      <c r="AB49" s="511" t="str">
        <f>"9."&amp;Y49</f>
        <v>9.0</v>
      </c>
      <c r="AC49" s="789"/>
      <c r="AD49" s="26" t="s">
        <v>804</v>
      </c>
      <c r="AE49" s="790"/>
      <c r="AF49" s="790"/>
      <c r="AG49" s="790"/>
      <c r="AH49" s="790"/>
      <c r="AI49" s="790"/>
      <c r="AJ49" s="790"/>
      <c r="AK49" s="839"/>
      <c r="AN49" s="665" t="s">
        <v>389</v>
      </c>
      <c r="AO49" s="665" t="s">
        <v>1266</v>
      </c>
      <c r="AP49" s="665" cm="1">
        <f t="array" ref="AP49">AC49</f>
        <v>0</v>
      </c>
      <c r="AR49" s="459" t="b">
        <v>1</v>
      </c>
    </row>
    <row r="50" spans="1:44" ht="14.25" customHeight="1">
      <c r="A50" s="81"/>
      <c r="B50" s="338"/>
      <c r="C50" s="81"/>
      <c r="D50" s="81"/>
      <c r="E50" s="198">
        <v>15</v>
      </c>
      <c r="F50" s="3" t="str" cm="1">
        <f t="array" aca="1" ref="F50" ca="1">OFFSET(E50,-1,1)</f>
        <v>1</v>
      </c>
      <c r="G50" s="81"/>
      <c r="H50" s="85" t="str">
        <f>"!=='не определено'"</f>
        <v>!=='не определено'</v>
      </c>
      <c r="I50" s="81"/>
      <c r="J50" s="81"/>
      <c r="K50" s="81"/>
      <c r="L50" s="81"/>
      <c r="M50" s="81"/>
      <c r="N50" s="81"/>
      <c r="O50" s="81"/>
      <c r="P50" s="81"/>
      <c r="Q50" s="81"/>
      <c r="R50" s="81"/>
      <c r="S50" s="81"/>
      <c r="T50" s="365" t="b">
        <f ca="1">F50&gt;0</f>
        <v>1</v>
      </c>
      <c r="U50" s="81"/>
      <c r="V50" s="81"/>
      <c r="W50" s="528" t="s">
        <v>1267</v>
      </c>
      <c r="X50" s="1075"/>
      <c r="Y50" s="81"/>
      <c r="Z50" s="1065"/>
      <c r="AA50" s="81"/>
      <c r="AB50" s="163"/>
      <c r="AC50" s="164" t="s">
        <v>177</v>
      </c>
      <c r="AD50" s="164"/>
      <c r="AE50" s="164"/>
      <c r="AF50" s="164"/>
      <c r="AG50" s="164"/>
      <c r="AH50" s="164"/>
      <c r="AI50" s="164"/>
      <c r="AJ50" s="164"/>
      <c r="AK50" s="165"/>
      <c r="AL50" s="81"/>
      <c r="AQ50" s="459" t="s">
        <v>1266</v>
      </c>
    </row>
    <row r="51" spans="1:44" ht="14.25" customHeight="1">
      <c r="E51" s="459">
        <v>15</v>
      </c>
      <c r="F51" s="36" t="str" cm="1">
        <f t="array" ref="F51">X51</f>
        <v>2</v>
      </c>
      <c r="G51" s="57" t="s">
        <v>1250</v>
      </c>
      <c r="T51" s="365" t="b">
        <f>X51&gt;0</f>
        <v>1</v>
      </c>
      <c r="V51" s="57" t="str" cm="1">
        <f t="array" ref="V51">Административные!$AB$65</f>
        <v>Тариф 2 (Водоотведение) - тариф на водоотведение (Доп. признак не требуется)</v>
      </c>
      <c r="X51" s="1075" t="s">
        <v>285</v>
      </c>
      <c r="Z51" s="1065"/>
      <c r="AB51" s="154" t="str" cm="1">
        <f t="array" ref="AB51">Административные!$AB$65</f>
        <v>Тариф 2 (Водоотведение) - тариф на водоотведение (Доп. признак не требуется)</v>
      </c>
      <c r="AC51" s="113"/>
      <c r="AD51" s="113"/>
      <c r="AE51" s="227">
        <f t="shared" ref="AE51:AJ51" ca="1" si="4">SUM(AE52:AE60)</f>
        <v>0</v>
      </c>
      <c r="AF51" s="227">
        <f t="shared" ca="1" si="4"/>
        <v>0</v>
      </c>
      <c r="AG51" s="227">
        <f t="shared" ca="1" si="4"/>
        <v>0</v>
      </c>
      <c r="AH51" s="227">
        <f t="shared" ca="1" si="4"/>
        <v>0</v>
      </c>
      <c r="AI51" s="227">
        <f t="shared" ca="1" si="4"/>
        <v>0</v>
      </c>
      <c r="AJ51" s="227">
        <f t="shared" ca="1" si="4"/>
        <v>0</v>
      </c>
      <c r="AK51" s="156"/>
    </row>
    <row r="52" spans="1:44" ht="21.75" customHeight="1">
      <c r="E52" s="459">
        <v>22.5</v>
      </c>
      <c r="F52" s="3" t="str" cm="1">
        <f t="array" aca="1" ref="F52" ca="1">OFFSET(E52,-1,1)</f>
        <v>2</v>
      </c>
      <c r="G52" s="57" t="s">
        <v>327</v>
      </c>
      <c r="K52" s="59" t="str">
        <f ca="1">F52&amp;"komm"</f>
        <v>2komm</v>
      </c>
      <c r="L52" s="618" cm="1">
        <f t="array" ref="L52">AK52</f>
        <v>0</v>
      </c>
      <c r="T52" s="365" t="b" cm="1">
        <f t="array" ref="T52">T51</f>
        <v>1</v>
      </c>
      <c r="X52" s="1075"/>
      <c r="Z52" s="1065"/>
      <c r="AB52" s="152" t="s">
        <v>275</v>
      </c>
      <c r="AC52" s="358" t="s">
        <v>1251</v>
      </c>
      <c r="AD52" s="26" t="s">
        <v>804</v>
      </c>
      <c r="AE52" s="160"/>
      <c r="AF52" s="161"/>
      <c r="AG52" s="161"/>
      <c r="AH52" s="161"/>
      <c r="AI52" s="161"/>
      <c r="AJ52" s="161"/>
      <c r="AK52" s="132"/>
      <c r="AN52" s="665" t="s">
        <v>1252</v>
      </c>
    </row>
    <row r="53" spans="1:44" ht="21.75" customHeight="1">
      <c r="E53" s="459">
        <v>22.5</v>
      </c>
      <c r="F53" s="3" t="str" cm="1">
        <f t="array" aca="1" ref="F53" ca="1">OFFSET(E53,-1,1)</f>
        <v>2</v>
      </c>
      <c r="G53" s="57" t="s">
        <v>328</v>
      </c>
      <c r="T53" s="365" t="b" cm="1">
        <f t="array" ref="T53">T52</f>
        <v>1</v>
      </c>
      <c r="X53" s="1075"/>
      <c r="Z53" s="1065"/>
      <c r="AB53" s="152" t="s">
        <v>285</v>
      </c>
      <c r="AC53" s="358" t="s">
        <v>1253</v>
      </c>
      <c r="AD53" s="26" t="s">
        <v>804</v>
      </c>
      <c r="AE53" s="160"/>
      <c r="AF53" s="161"/>
      <c r="AG53" s="161"/>
      <c r="AH53" s="161"/>
      <c r="AI53" s="161"/>
      <c r="AJ53" s="161"/>
      <c r="AK53" s="132"/>
      <c r="AN53" s="665" t="s">
        <v>1254</v>
      </c>
    </row>
    <row r="54" spans="1:44" ht="21.75" customHeight="1">
      <c r="E54" s="459">
        <v>22.5</v>
      </c>
      <c r="F54" s="3" t="str" cm="1">
        <f t="array" aca="1" ref="F54" ca="1">OFFSET(E54,-1,1)</f>
        <v>2</v>
      </c>
      <c r="G54" s="57" t="s">
        <v>329</v>
      </c>
      <c r="T54" s="365" t="b" cm="1">
        <f t="array" ref="T54">T53</f>
        <v>1</v>
      </c>
      <c r="X54" s="1075"/>
      <c r="Z54" s="1065"/>
      <c r="AB54" s="152" t="s">
        <v>325</v>
      </c>
      <c r="AC54" s="358" t="s">
        <v>1255</v>
      </c>
      <c r="AD54" s="26" t="s">
        <v>804</v>
      </c>
      <c r="AE54" s="160"/>
      <c r="AF54" s="161"/>
      <c r="AG54" s="161"/>
      <c r="AH54" s="161"/>
      <c r="AI54" s="161"/>
      <c r="AJ54" s="161"/>
      <c r="AK54" s="132"/>
      <c r="AN54" s="665" t="s">
        <v>1256</v>
      </c>
    </row>
    <row r="55" spans="1:44" ht="32.25" customHeight="1">
      <c r="E55" s="459">
        <v>33.75</v>
      </c>
      <c r="F55" s="774" t="str" cm="1">
        <f t="array" aca="1" ref="F55" ca="1">OFFSET(E55,-1,1)</f>
        <v>2</v>
      </c>
      <c r="G55" s="57" t="s">
        <v>331</v>
      </c>
      <c r="T55" s="365" t="b" cm="1">
        <f t="array" ref="T55">T54</f>
        <v>1</v>
      </c>
      <c r="X55" s="1075"/>
      <c r="Z55" s="1065"/>
      <c r="AB55" s="26">
        <v>4</v>
      </c>
      <c r="AC55" s="358" t="s">
        <v>1257</v>
      </c>
      <c r="AD55" s="26" t="s">
        <v>804</v>
      </c>
      <c r="AE55" s="190">
        <f ca="1">SUMIFS(ФОТ!AE$25:AE$102,ФОТ!$F$25:$F$102,$F55,ФОТ!$G$25:$G$102,"СП")+SUMIFS(ФОТ!AE$25:AE$102,ФОТ!$F$25:$F$102,$F55,ФОТ!$G$25:$G$102,"СОЦ_СП")</f>
        <v>0</v>
      </c>
      <c r="AF55" s="190">
        <f ca="1">SUMIFS(ФОТ!AF$25:AF$102,ФОТ!$F$25:$F$102,$F55,ФОТ!$G$25:$G$102,"СП")+SUMIFS(ФОТ!AF$25:AF$102,ФОТ!$F$25:$F$102,$F55,ФОТ!$G$25:$G$102,"СОЦ_СП")</f>
        <v>0</v>
      </c>
      <c r="AG55" s="190">
        <f ca="1">SUMIFS(ФОТ!AG$25:AG$102,ФОТ!$F$25:$F$102,$F55,ФОТ!$G$25:$G$102,"СП")+SUMIFS(ФОТ!AG$25:AG$102,ФОТ!$F$25:$F$102,$F55,ФОТ!$G$25:$G$102,"СОЦ_СП")</f>
        <v>0</v>
      </c>
      <c r="AH55" s="190">
        <f ca="1">SUMIFS(ФОТ!AH$25:AH$102,ФОТ!$F$25:$F$102,$F55,ФОТ!$G$25:$G$102,"СП")+SUMIFS(ФОТ!AH$25:AH$102,ФОТ!$F$25:$F$102,$F55,ФОТ!$G$25:$G$102,"СОЦ_СП")</f>
        <v>0</v>
      </c>
      <c r="AI55" s="190">
        <f ca="1">SUMIFS(ФОТ!AI$25:AI$102,ФОТ!$F$25:$F$102,$F55,ФОТ!$G$25:$G$102,"СП")+SUMIFS(ФОТ!AI$25:AI$102,ФОТ!$F$25:$F$102,$F55,ФОТ!$G$25:$G$102,"СОЦ_СП")</f>
        <v>0</v>
      </c>
      <c r="AJ55" s="190">
        <f ca="1">SUMIFS(ФОТ!AJ$25:AJ$102,ФОТ!$F$25:$F$102,$F55,ФОТ!$G$25:$G$102,"СП")+SUMIFS(ФОТ!AJ$25:AJ$102,ФОТ!$F$25:$F$102,$F55,ФОТ!$G$25:$G$102,"СОЦ_СП")</f>
        <v>0</v>
      </c>
      <c r="AK55" s="132"/>
      <c r="AM55"/>
      <c r="AN55" s="670" t="s">
        <v>1258</v>
      </c>
      <c r="AO55" s="670"/>
      <c r="AP55" s="670"/>
      <c r="AQ55" s="465"/>
      <c r="AR55" s="465"/>
    </row>
    <row r="56" spans="1:44" ht="32.25" customHeight="1">
      <c r="E56" s="459">
        <v>33.75</v>
      </c>
      <c r="F56" s="3" t="str" cm="1">
        <f t="array" aca="1" ref="F56" ca="1">OFFSET(E56,-1,1)</f>
        <v>2</v>
      </c>
      <c r="G56" s="57" t="s">
        <v>330</v>
      </c>
      <c r="T56" s="365" t="b" cm="1">
        <f t="array" ref="T56">T55</f>
        <v>1</v>
      </c>
      <c r="X56" s="1075"/>
      <c r="Z56" s="1065"/>
      <c r="AB56" s="152" t="s">
        <v>444</v>
      </c>
      <c r="AC56" s="358" t="s">
        <v>1259</v>
      </c>
      <c r="AD56" s="26" t="s">
        <v>804</v>
      </c>
      <c r="AE56" s="160"/>
      <c r="AF56" s="160"/>
      <c r="AG56" s="160"/>
      <c r="AH56" s="160"/>
      <c r="AI56" s="160"/>
      <c r="AJ56" s="160"/>
      <c r="AK56" s="132"/>
      <c r="AN56" s="665" t="s">
        <v>1241</v>
      </c>
    </row>
    <row r="57" spans="1:44" ht="21.75" customHeight="1">
      <c r="E57" s="459">
        <v>22.5</v>
      </c>
      <c r="F57" s="3" t="str" cm="1">
        <f t="array" aca="1" ref="F57" ca="1">OFFSET(E57,-1,1)</f>
        <v>2</v>
      </c>
      <c r="G57" s="57" t="s">
        <v>511</v>
      </c>
      <c r="T57" s="365" t="b" cm="1">
        <f t="array" ref="T57">T56</f>
        <v>1</v>
      </c>
      <c r="X57" s="1075"/>
      <c r="Z57" s="1065"/>
      <c r="AB57" s="152" t="s">
        <v>447</v>
      </c>
      <c r="AC57" s="358" t="s">
        <v>1260</v>
      </c>
      <c r="AD57" s="26" t="s">
        <v>804</v>
      </c>
      <c r="AE57" s="160"/>
      <c r="AF57" s="160"/>
      <c r="AG57" s="160"/>
      <c r="AH57" s="160"/>
      <c r="AI57" s="160"/>
      <c r="AJ57" s="160"/>
      <c r="AK57" s="132"/>
      <c r="AN57" s="665" t="s">
        <v>1227</v>
      </c>
    </row>
    <row r="58" spans="1:44" ht="43.5" customHeight="1">
      <c r="E58" s="459">
        <v>45</v>
      </c>
      <c r="F58" s="3" t="str" cm="1">
        <f t="array" aca="1" ref="F58" ca="1">OFFSET(E58,-1,1)</f>
        <v>2</v>
      </c>
      <c r="G58" s="57" t="s">
        <v>514</v>
      </c>
      <c r="T58" s="365" t="b" cm="1">
        <f t="array" ref="T58">T57</f>
        <v>1</v>
      </c>
      <c r="X58" s="1075"/>
      <c r="Z58" s="1065"/>
      <c r="AB58" s="152" t="s">
        <v>578</v>
      </c>
      <c r="AC58" s="358" t="s">
        <v>1261</v>
      </c>
      <c r="AD58" s="26" t="s">
        <v>804</v>
      </c>
      <c r="AE58" s="160"/>
      <c r="AF58" s="160"/>
      <c r="AG58" s="160"/>
      <c r="AH58" s="160"/>
      <c r="AI58" s="160"/>
      <c r="AJ58" s="160"/>
      <c r="AK58" s="132"/>
      <c r="AN58" s="665" t="s">
        <v>1262</v>
      </c>
    </row>
    <row r="59" spans="1:44" ht="43.5" customHeight="1">
      <c r="E59" s="459">
        <v>45</v>
      </c>
      <c r="F59" s="3" t="str" cm="1">
        <f t="array" aca="1" ref="F59" ca="1">OFFSET(E59,-1,1)</f>
        <v>2</v>
      </c>
      <c r="G59" s="57" t="s">
        <v>562</v>
      </c>
      <c r="T59" s="365" t="b" cm="1">
        <f t="array" ref="T59">T58</f>
        <v>1</v>
      </c>
      <c r="X59" s="1075"/>
      <c r="Z59" s="1065"/>
      <c r="AB59" s="152" t="s">
        <v>586</v>
      </c>
      <c r="AC59" s="358" t="s">
        <v>1263</v>
      </c>
      <c r="AD59" s="26" t="s">
        <v>804</v>
      </c>
      <c r="AE59" s="160"/>
      <c r="AF59" s="160"/>
      <c r="AG59" s="160"/>
      <c r="AH59" s="160"/>
      <c r="AI59" s="160"/>
      <c r="AJ59" s="160"/>
      <c r="AK59" s="132"/>
      <c r="AN59" s="665" t="s">
        <v>1264</v>
      </c>
    </row>
    <row r="60" spans="1:44" ht="14.25" customHeight="1">
      <c r="E60" s="459">
        <v>15</v>
      </c>
      <c r="F60" s="3" t="str" cm="1">
        <f t="array" aca="1" ref="F60" ca="1">OFFSET(E60,-1,1)</f>
        <v>2</v>
      </c>
      <c r="G60" s="57" t="s">
        <v>577</v>
      </c>
      <c r="T60" s="365" t="b" cm="1">
        <f t="array" ref="T60">T59</f>
        <v>1</v>
      </c>
      <c r="X60" s="1075"/>
      <c r="Z60" s="1065"/>
      <c r="AB60" s="117">
        <v>9</v>
      </c>
      <c r="AC60" s="358" t="s">
        <v>1265</v>
      </c>
      <c r="AD60" s="26" t="s">
        <v>804</v>
      </c>
      <c r="AE60" s="167">
        <f t="shared" ref="AE60:AJ60" si="5">SUM(AE61:AE62)</f>
        <v>0</v>
      </c>
      <c r="AF60" s="167">
        <f t="shared" si="5"/>
        <v>0</v>
      </c>
      <c r="AG60" s="167">
        <f t="shared" si="5"/>
        <v>0</v>
      </c>
      <c r="AH60" s="167">
        <f t="shared" si="5"/>
        <v>0</v>
      </c>
      <c r="AI60" s="167">
        <f t="shared" si="5"/>
        <v>0</v>
      </c>
      <c r="AJ60" s="167">
        <f t="shared" si="5"/>
        <v>0</v>
      </c>
      <c r="AK60" s="132"/>
      <c r="AN60" s="665" t="s">
        <v>389</v>
      </c>
    </row>
    <row r="61" spans="1:44" ht="14.25" hidden="1" customHeight="1">
      <c r="E61" s="459">
        <v>15</v>
      </c>
      <c r="F61" s="3" t="str" cm="1">
        <f t="array" aca="1" ref="F61" ca="1">OFFSET(E61,-1,1)</f>
        <v>2</v>
      </c>
      <c r="G61" s="57" t="s">
        <v>577</v>
      </c>
      <c r="H61" s="57" cm="1">
        <f t="array" ref="H61">AC61</f>
        <v>0</v>
      </c>
      <c r="T61" s="365" t="b">
        <f ca="1">AND(F61&gt;0,Y61&gt;0)</f>
        <v>0</v>
      </c>
      <c r="W61" s="528" t="s">
        <v>173</v>
      </c>
      <c r="X61" s="1075"/>
      <c r="Y61" s="57">
        <v>0</v>
      </c>
      <c r="Z61" s="1065"/>
      <c r="AA61" s="332" t="s">
        <v>174</v>
      </c>
      <c r="AB61" s="511" t="str">
        <f>"9."&amp;Y61</f>
        <v>9.0</v>
      </c>
      <c r="AC61" s="789"/>
      <c r="AD61" s="26" t="s">
        <v>804</v>
      </c>
      <c r="AE61" s="790"/>
      <c r="AF61" s="790"/>
      <c r="AG61" s="790"/>
      <c r="AH61" s="790"/>
      <c r="AI61" s="790"/>
      <c r="AJ61" s="790"/>
      <c r="AK61" s="839"/>
      <c r="AN61" s="665" t="s">
        <v>389</v>
      </c>
      <c r="AO61" s="665" t="s">
        <v>1266</v>
      </c>
      <c r="AP61" s="665" cm="1">
        <f t="array" ref="AP61">AC61</f>
        <v>0</v>
      </c>
      <c r="AR61" s="459" t="b">
        <v>1</v>
      </c>
    </row>
    <row r="62" spans="1:44" ht="14.25" customHeight="1">
      <c r="A62" s="81"/>
      <c r="B62" s="338"/>
      <c r="C62" s="81"/>
      <c r="D62" s="81"/>
      <c r="E62" s="198">
        <v>15</v>
      </c>
      <c r="F62" s="3" t="str" cm="1">
        <f t="array" aca="1" ref="F62" ca="1">OFFSET(E62,-1,1)</f>
        <v>2</v>
      </c>
      <c r="G62" s="81"/>
      <c r="H62" s="85" t="str">
        <f>"!=='не определено'"</f>
        <v>!=='не определено'</v>
      </c>
      <c r="I62" s="81"/>
      <c r="J62" s="81"/>
      <c r="K62" s="81"/>
      <c r="L62" s="81"/>
      <c r="M62" s="81"/>
      <c r="N62" s="81"/>
      <c r="O62" s="81"/>
      <c r="P62" s="81"/>
      <c r="Q62" s="81"/>
      <c r="R62" s="81"/>
      <c r="S62" s="81"/>
      <c r="T62" s="365" t="b">
        <f ca="1">F62&gt;0</f>
        <v>1</v>
      </c>
      <c r="U62" s="81"/>
      <c r="V62" s="81"/>
      <c r="W62" s="528" t="s">
        <v>1267</v>
      </c>
      <c r="X62" s="1075"/>
      <c r="Y62" s="81"/>
      <c r="Z62" s="1065"/>
      <c r="AA62" s="81"/>
      <c r="AB62" s="163"/>
      <c r="AC62" s="164" t="s">
        <v>177</v>
      </c>
      <c r="AD62" s="164"/>
      <c r="AE62" s="164"/>
      <c r="AF62" s="164"/>
      <c r="AG62" s="164"/>
      <c r="AH62" s="164"/>
      <c r="AI62" s="164"/>
      <c r="AJ62" s="164"/>
      <c r="AK62" s="165"/>
      <c r="AL62" s="81"/>
      <c r="AQ62" s="459" t="s">
        <v>1266</v>
      </c>
    </row>
    <row r="63" spans="1:44" ht="10.7" customHeight="1">
      <c r="A63"/>
      <c r="B63" s="339"/>
      <c r="C63"/>
      <c r="D63"/>
      <c r="E63" s="459">
        <v>11</v>
      </c>
      <c r="F63" s="23"/>
      <c r="G63"/>
      <c r="H63"/>
      <c r="I63"/>
      <c r="J63"/>
      <c r="K63"/>
      <c r="L63"/>
      <c r="M63"/>
      <c r="N63"/>
      <c r="O63"/>
      <c r="P63"/>
      <c r="Q63"/>
      <c r="R63"/>
      <c r="S63"/>
      <c r="T63"/>
      <c r="U63" t="s">
        <v>177</v>
      </c>
      <c r="V63" s="75" t="s">
        <v>1268</v>
      </c>
      <c r="W63"/>
      <c r="X63"/>
      <c r="Y63"/>
      <c r="Z63"/>
      <c r="AA63"/>
      <c r="AB63"/>
      <c r="AC63" s="37"/>
      <c r="AD63" s="37"/>
      <c r="AE63" s="37"/>
      <c r="AF63" s="37"/>
      <c r="AG63"/>
      <c r="AH63"/>
      <c r="AI63"/>
      <c r="AJ63"/>
      <c r="AK63"/>
      <c r="AL63"/>
    </row>
    <row r="64" spans="1:44" ht="14.65" customHeight="1">
      <c r="A64" s="36"/>
      <c r="B64" s="65"/>
      <c r="C64" s="36"/>
      <c r="D64" s="36"/>
      <c r="E64" s="472">
        <v>15</v>
      </c>
      <c r="F64" s="36"/>
      <c r="G64" s="36"/>
      <c r="H64" s="36"/>
      <c r="I64" s="36"/>
      <c r="J64" s="36"/>
      <c r="K64" s="36"/>
      <c r="L64" s="36"/>
      <c r="M64" s="36"/>
      <c r="N64" s="36"/>
      <c r="O64" s="36"/>
      <c r="P64" s="36"/>
      <c r="Q64" s="36"/>
      <c r="R64" s="36"/>
      <c r="S64" s="36"/>
      <c r="T64" s="36"/>
      <c r="U64" s="36"/>
      <c r="V64" s="36"/>
      <c r="W64" s="36"/>
      <c r="X64" s="36"/>
      <c r="Y64" s="36"/>
      <c r="Z64" s="36"/>
      <c r="AA64" s="36"/>
      <c r="AB64" s="1088" t="s">
        <v>398</v>
      </c>
      <c r="AC64" s="1088"/>
      <c r="AD64" s="1088"/>
      <c r="AE64" s="1088"/>
      <c r="AF64" s="1088"/>
      <c r="AG64" s="1088"/>
      <c r="AH64" s="1088"/>
      <c r="AI64" s="1154"/>
      <c r="AJ64" s="1154"/>
      <c r="AK64" s="1154"/>
      <c r="AL64" s="36"/>
    </row>
    <row r="65" spans="1:44" ht="14.65" customHeight="1">
      <c r="A65" s="36"/>
      <c r="B65" s="65"/>
      <c r="C65" s="36"/>
      <c r="D65" s="36"/>
      <c r="E65" s="472">
        <v>15</v>
      </c>
      <c r="F65" s="36"/>
      <c r="G65" s="36"/>
      <c r="H65" s="36"/>
      <c r="I65" s="36"/>
      <c r="J65" s="36"/>
      <c r="K65" s="36"/>
      <c r="L65" s="36"/>
      <c r="M65" s="36"/>
      <c r="N65" s="36"/>
      <c r="O65" s="36"/>
      <c r="P65" s="36"/>
      <c r="Q65" s="36"/>
      <c r="R65" s="36"/>
      <c r="S65" s="36"/>
      <c r="U65" s="36"/>
      <c r="V65" s="36"/>
      <c r="W65" s="36"/>
      <c r="X65" s="36"/>
      <c r="Y65" s="36"/>
      <c r="Z65" s="36"/>
      <c r="AA65" s="357"/>
      <c r="AB65" s="1097"/>
      <c r="AC65" s="1097"/>
      <c r="AD65" s="1097"/>
      <c r="AE65" s="1097"/>
      <c r="AF65" s="1097"/>
      <c r="AG65" s="1097"/>
      <c r="AH65" s="1097"/>
      <c r="AI65" s="1155"/>
      <c r="AJ65" s="1155"/>
      <c r="AK65" s="1155"/>
      <c r="AL65" s="36"/>
    </row>
    <row r="66" spans="1:44" ht="14.65" hidden="1" customHeight="1">
      <c r="A66" s="36"/>
      <c r="B66" s="65"/>
      <c r="C66" s="36"/>
      <c r="D66" s="36"/>
      <c r="E66" s="472">
        <v>15</v>
      </c>
      <c r="F66" s="36"/>
      <c r="G66" s="36"/>
      <c r="H66" s="36"/>
      <c r="I66" s="36"/>
      <c r="J66" s="36"/>
      <c r="K66" s="36"/>
      <c r="L66" s="36"/>
      <c r="M66" s="36"/>
      <c r="N66" s="36"/>
      <c r="O66" s="36"/>
      <c r="P66" s="36"/>
      <c r="Q66" s="36"/>
      <c r="R66" s="36"/>
      <c r="S66" s="36"/>
      <c r="T66" s="365" t="b">
        <f>ROW(W66)&gt;ROW(W$66)</f>
        <v>0</v>
      </c>
      <c r="U66" s="36"/>
      <c r="V66" s="36"/>
      <c r="W66" s="528" t="s">
        <v>173</v>
      </c>
      <c r="X66" s="36"/>
      <c r="Y66" s="36"/>
      <c r="Z66" s="36"/>
      <c r="AA66" s="332" t="s">
        <v>174</v>
      </c>
      <c r="AB66" s="1131" t="s">
        <v>225</v>
      </c>
      <c r="AC66" s="1131"/>
      <c r="AD66" s="1131"/>
      <c r="AE66" s="1131"/>
      <c r="AF66" s="1131"/>
      <c r="AG66" s="1131"/>
      <c r="AH66" s="1131"/>
      <c r="AI66" s="1155"/>
      <c r="AJ66" s="1155"/>
      <c r="AK66" s="1157"/>
      <c r="AL66" s="36"/>
    </row>
    <row r="67" spans="1:44" s="81" customFormat="1" ht="14.65" customHeight="1">
      <c r="A67" s="36"/>
      <c r="B67" s="65"/>
      <c r="C67" s="36"/>
      <c r="D67" s="36"/>
      <c r="E67" s="472">
        <v>15</v>
      </c>
      <c r="F67" s="36"/>
      <c r="G67" s="36"/>
      <c r="H67" s="36"/>
      <c r="I67" s="36"/>
      <c r="J67" s="36"/>
      <c r="K67" s="36"/>
      <c r="L67" s="36"/>
      <c r="M67" s="36"/>
      <c r="N67" s="36"/>
      <c r="O67" s="36"/>
      <c r="P67" s="36"/>
      <c r="Q67" s="36"/>
      <c r="R67" s="36"/>
      <c r="S67" s="36"/>
      <c r="T67" s="36"/>
      <c r="U67" s="36"/>
      <c r="V67" s="36"/>
      <c r="W67" s="528" t="s">
        <v>399</v>
      </c>
      <c r="X67" s="36"/>
      <c r="Y67" s="36"/>
      <c r="Z67" s="36"/>
      <c r="AA67" s="36"/>
      <c r="AB67" s="485"/>
      <c r="AC67" s="394" t="s">
        <v>400</v>
      </c>
      <c r="AD67" s="231"/>
      <c r="AE67" s="231"/>
      <c r="AF67" s="232"/>
      <c r="AG67" s="232"/>
      <c r="AH67" s="232"/>
      <c r="AI67" s="232"/>
      <c r="AJ67" s="232"/>
      <c r="AK67" s="233"/>
      <c r="AL67" s="36"/>
      <c r="AN67" s="687"/>
      <c r="AO67" s="687"/>
      <c r="AP67" s="687"/>
      <c r="AQ67" s="198"/>
      <c r="AR67" s="198"/>
    </row>
    <row r="68" spans="1:44" ht="10.7" customHeight="1">
      <c r="E68" s="459">
        <v>11</v>
      </c>
      <c r="AL68" s="41"/>
      <c r="AM68"/>
      <c r="AN68" s="670"/>
      <c r="AO68" s="670"/>
      <c r="AP68" s="670"/>
      <c r="AQ68" s="465"/>
      <c r="AR68" s="465"/>
    </row>
    <row r="69" spans="1:44" ht="14.25" hidden="1" customHeight="1">
      <c r="A69" s="355"/>
      <c r="B69" s="355"/>
      <c r="C69" s="355"/>
      <c r="D69" s="355"/>
      <c r="E69" s="510"/>
      <c r="F69" s="355"/>
      <c r="G69" s="355"/>
      <c r="H69" s="355"/>
      <c r="I69" s="355"/>
      <c r="J69" s="355"/>
      <c r="K69" s="355"/>
      <c r="L69" s="355"/>
      <c r="M69" s="355"/>
      <c r="N69" s="355"/>
      <c r="O69" s="355"/>
      <c r="P69" s="355"/>
      <c r="Q69" s="355"/>
      <c r="R69" s="355"/>
      <c r="S69" s="355"/>
      <c r="T69" s="355"/>
      <c r="U69" s="355"/>
      <c r="V69" s="355"/>
      <c r="W69" s="355"/>
      <c r="X69" s="355"/>
      <c r="Y69" s="355"/>
      <c r="Z69" s="355"/>
    </row>
  </sheetData>
  <sheetProtection formatColumns="0" formatRows="0" insertRows="0" deleteColumns="0" deleteRows="0" sort="0" autoFilter="0"/>
  <mergeCells count="13">
    <mergeCell ref="AB24:AB25"/>
    <mergeCell ref="AC24:AC25"/>
    <mergeCell ref="AD24:AD25"/>
    <mergeCell ref="AK24:AK25"/>
    <mergeCell ref="AB66:AK66"/>
    <mergeCell ref="X27:X38"/>
    <mergeCell ref="Z27:Z38"/>
    <mergeCell ref="AB64:AK64"/>
    <mergeCell ref="AB65:AK65"/>
    <mergeCell ref="X39:X50"/>
    <mergeCell ref="Z39:Z50"/>
    <mergeCell ref="X51:X62"/>
    <mergeCell ref="Z51:Z62"/>
  </mergeCells>
  <dataValidations count="2">
    <dataValidation allowBlank="1" showInputMessage="1" showErrorMessage="1" sqref="AI64:AK67 AI37:AJ37 AI49 AJ49 AI61 AJ61" xr:uid="{00000000-0002-0000-1400-000000000000}"/>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xr:uid="{00000000-0002-0000-1400-000001000000}">
      <formula1>0</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4BBD8-FB2A-2EA1-66B8-0A7E29A333B8}">
  <sheetPr>
    <tabColor rgb="FF002060"/>
    <outlinePr summaryBelow="0" summaryRight="0"/>
    <pageSetUpPr fitToPage="1"/>
  </sheetPr>
  <dimension ref="A1:BJ74"/>
  <sheetViews>
    <sheetView showGridLines="0" workbookViewId="0">
      <pane xSplit="30" ySplit="25" topLeftCell="AE41" activePane="bottomRight" state="frozen"/>
      <selection pane="topRight" activeCell="AE1" sqref="AE1"/>
      <selection pane="bottomLeft" activeCell="A26" sqref="A26"/>
      <selection pane="bottomRight" activeCell="BC64" sqref="BC64"/>
    </sheetView>
  </sheetViews>
  <sheetFormatPr defaultColWidth="9.140625" defaultRowHeight="11.25" customHeight="1"/>
  <cols>
    <col min="1" max="1" width="3.5703125" style="57" hidden="1" customWidth="1"/>
    <col min="2" max="2" width="8.5703125" style="62" hidden="1" customWidth="1"/>
    <col min="3" max="4" width="3.5703125" style="57" hidden="1" customWidth="1"/>
    <col min="5" max="5" width="3.5703125" style="459" hidden="1" customWidth="1"/>
    <col min="6" max="7" width="3.5703125" style="57" hidden="1" customWidth="1"/>
    <col min="8" max="8" width="6" style="57" hidden="1" customWidth="1"/>
    <col min="9" max="19" width="3.5703125" style="57" hidden="1" customWidth="1"/>
    <col min="20" max="20" width="10" style="57" hidden="1" customWidth="1"/>
    <col min="21" max="21" width="5.85546875" style="57" hidden="1" customWidth="1"/>
    <col min="22" max="23" width="6.140625" style="57" hidden="1" customWidth="1"/>
    <col min="24" max="25" width="5.5703125" style="57" hidden="1" customWidth="1"/>
    <col min="26" max="26" width="5.28515625" style="57" hidden="1" customWidth="1"/>
    <col min="27" max="27" width="3" style="57" customWidth="1"/>
    <col min="28" max="28" width="6" style="57" customWidth="1"/>
    <col min="29" max="29" width="35" style="57" customWidth="1"/>
    <col min="30" max="30" width="12" style="57" customWidth="1"/>
    <col min="31" max="35" width="12.5703125" style="57" customWidth="1"/>
    <col min="36" max="44" width="12.5703125" style="57" hidden="1" customWidth="1"/>
    <col min="45" max="45" width="12.5703125" style="57" customWidth="1"/>
    <col min="46" max="54" width="12.5703125" style="57" hidden="1" customWidth="1"/>
    <col min="55" max="55" width="50.5703125" style="57" customWidth="1"/>
    <col min="56" max="56" width="3" style="57" customWidth="1"/>
    <col min="57" max="57" width="9.140625" style="57" hidden="1"/>
    <col min="58" max="60" width="9.140625" style="665" hidden="1"/>
    <col min="61" max="62" width="9.140625" style="459" hidden="1"/>
  </cols>
  <sheetData>
    <row r="1" spans="1:62" ht="11.25" hidden="1" customHeight="1">
      <c r="E1" s="57"/>
      <c r="F1" s="57" t="s">
        <v>315</v>
      </c>
      <c r="G1" s="57" t="s">
        <v>326</v>
      </c>
      <c r="I1" s="57" t="s">
        <v>350</v>
      </c>
      <c r="T1" s="365" t="s">
        <v>93</v>
      </c>
      <c r="U1" s="365" t="s">
        <v>98</v>
      </c>
      <c r="V1" s="365" t="s">
        <v>94</v>
      </c>
      <c r="W1" s="365" t="s">
        <v>95</v>
      </c>
      <c r="X1" s="365" t="s">
        <v>96</v>
      </c>
      <c r="Y1" s="367" t="s">
        <v>317</v>
      </c>
      <c r="Z1" s="365" t="s">
        <v>100</v>
      </c>
      <c r="AA1" s="366" t="s">
        <v>97</v>
      </c>
      <c r="AB1" s="23"/>
      <c r="AC1" s="366" t="s">
        <v>99</v>
      </c>
      <c r="BF1" s="665" t="s">
        <v>318</v>
      </c>
      <c r="BG1" s="665" t="s">
        <v>319</v>
      </c>
      <c r="BH1" s="665" t="s">
        <v>320</v>
      </c>
      <c r="BI1" s="459" t="s">
        <v>323</v>
      </c>
      <c r="BJ1" s="459" t="s">
        <v>324</v>
      </c>
    </row>
    <row r="2" spans="1:62" s="62" customFormat="1" ht="11.25" hidden="1" customHeight="1">
      <c r="B2" s="354" t="s">
        <v>19</v>
      </c>
      <c r="AF2" s="62" t="b" cm="1">
        <f t="array" ref="AF2">isOrgDeclare</f>
        <v>1</v>
      </c>
      <c r="AI2" s="354" t="b">
        <f t="shared" ref="AI2:AR2" si="0">AND(AI6&lt;=last_year_vis,isOrgDeclare)</f>
        <v>1</v>
      </c>
      <c r="AJ2" s="354" t="b">
        <f t="shared" si="0"/>
        <v>0</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ref="AS2:BB2" si="1">AS6&lt;=last_year_vis</f>
        <v>1</v>
      </c>
      <c r="AT2" s="354" t="b">
        <f t="shared" si="1"/>
        <v>0</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F2" s="674"/>
      <c r="BG2" s="674"/>
      <c r="BH2" s="674"/>
      <c r="BI2" s="679"/>
      <c r="BJ2" s="679"/>
    </row>
    <row r="3" spans="1:62" ht="11.25" hidden="1" customHeight="1">
      <c r="E3" s="57"/>
    </row>
    <row r="4" spans="1:62" ht="11.25" hidden="1" customHeight="1">
      <c r="E4" s="57"/>
    </row>
    <row r="5" spans="1:62" s="459" customFormat="1" ht="11.25" hidden="1" customHeight="1">
      <c r="A5" s="57"/>
      <c r="B5" s="62"/>
      <c r="C5" s="57"/>
      <c r="D5" s="57"/>
      <c r="E5" s="459" t="s">
        <v>20</v>
      </c>
      <c r="AA5" s="459">
        <v>3</v>
      </c>
      <c r="AB5" s="459">
        <v>6</v>
      </c>
      <c r="AC5" s="459">
        <v>35</v>
      </c>
      <c r="AD5" s="459">
        <v>12</v>
      </c>
      <c r="AE5" s="459">
        <v>12.57</v>
      </c>
      <c r="AF5" s="459">
        <v>12.57</v>
      </c>
      <c r="AG5" s="459">
        <v>12.57</v>
      </c>
      <c r="AH5" s="459">
        <v>12.57</v>
      </c>
      <c r="AI5" s="459">
        <v>12.57</v>
      </c>
      <c r="AJ5" s="459">
        <v>12.57</v>
      </c>
      <c r="AK5" s="459">
        <v>12.57</v>
      </c>
      <c r="AL5" s="459">
        <v>12.57</v>
      </c>
      <c r="AM5" s="459">
        <v>12.57</v>
      </c>
      <c r="AN5" s="459">
        <v>12.57</v>
      </c>
      <c r="AO5" s="459">
        <v>12.57</v>
      </c>
      <c r="AP5" s="459">
        <v>12.57</v>
      </c>
      <c r="AQ5" s="459">
        <v>12.57</v>
      </c>
      <c r="AR5" s="459">
        <v>12.57</v>
      </c>
      <c r="AS5" s="459">
        <v>12.57</v>
      </c>
      <c r="AT5" s="459">
        <v>12.57</v>
      </c>
      <c r="AU5" s="459">
        <v>12.57</v>
      </c>
      <c r="AV5" s="459">
        <v>12.57</v>
      </c>
      <c r="AW5" s="459">
        <v>12.57</v>
      </c>
      <c r="AX5" s="459">
        <v>12.57</v>
      </c>
      <c r="AY5" s="459">
        <v>12.57</v>
      </c>
      <c r="AZ5" s="459">
        <v>12.57</v>
      </c>
      <c r="BA5" s="459">
        <v>12.57</v>
      </c>
      <c r="BB5" s="459">
        <v>12.57</v>
      </c>
      <c r="BC5" s="459">
        <v>20</v>
      </c>
      <c r="BD5" s="459">
        <v>3</v>
      </c>
      <c r="BF5" s="665"/>
      <c r="BG5" s="665"/>
      <c r="BH5" s="665"/>
    </row>
    <row r="6" spans="1:62" ht="11.25" hidden="1" customHeight="1">
      <c r="A6" s="57" t="s">
        <v>353</v>
      </c>
      <c r="AE6" s="57">
        <f>god-2</f>
        <v>2024</v>
      </c>
      <c r="AF6" s="57">
        <f>god-2</f>
        <v>2024</v>
      </c>
      <c r="AG6" s="57">
        <f>god-2</f>
        <v>2024</v>
      </c>
      <c r="AH6" s="57">
        <f>god-1</f>
        <v>2025</v>
      </c>
      <c r="AI6" s="36" cm="1">
        <f t="array" ref="AI6">god</f>
        <v>2026</v>
      </c>
      <c r="AJ6" s="36">
        <f>god+1</f>
        <v>2027</v>
      </c>
      <c r="AK6" s="36">
        <f>god+2</f>
        <v>2028</v>
      </c>
      <c r="AL6" s="36">
        <f>god+3</f>
        <v>2029</v>
      </c>
      <c r="AM6" s="36">
        <f>god+4</f>
        <v>2030</v>
      </c>
      <c r="AN6" s="36">
        <f>god+5</f>
        <v>2031</v>
      </c>
      <c r="AO6" s="36">
        <f>god+6</f>
        <v>2032</v>
      </c>
      <c r="AP6" s="36">
        <f>god+7</f>
        <v>2033</v>
      </c>
      <c r="AQ6" s="36">
        <f>god+8</f>
        <v>2034</v>
      </c>
      <c r="AR6" s="36">
        <f>god+9</f>
        <v>2035</v>
      </c>
      <c r="AS6" s="36" cm="1">
        <f t="array" ref="AS6">god</f>
        <v>2026</v>
      </c>
      <c r="AT6" s="36">
        <f>god+1</f>
        <v>2027</v>
      </c>
      <c r="AU6" s="36">
        <f>god+2</f>
        <v>2028</v>
      </c>
      <c r="AV6" s="36">
        <f>god+3</f>
        <v>2029</v>
      </c>
      <c r="AW6" s="36">
        <f>god+4</f>
        <v>2030</v>
      </c>
      <c r="AX6" s="36">
        <f>god+5</f>
        <v>2031</v>
      </c>
      <c r="AY6" s="36">
        <f>god+6</f>
        <v>2032</v>
      </c>
      <c r="AZ6" s="36">
        <f>god+7</f>
        <v>2033</v>
      </c>
      <c r="BA6" s="36">
        <f>god+8</f>
        <v>2034</v>
      </c>
      <c r="BB6" s="36">
        <f>god+9</f>
        <v>2035</v>
      </c>
    </row>
    <row r="7" spans="1:62" ht="11.25" hidden="1" customHeight="1">
      <c r="A7" s="57" t="s">
        <v>354</v>
      </c>
      <c r="AE7" s="57" t="str" cm="1">
        <f t="array" ref="AE7">AE25</f>
        <v>Принято органом регулирования</v>
      </c>
      <c r="AF7" s="57" t="str" cm="1">
        <f t="array" ref="AF7">AF25</f>
        <v>Факт по данным организации</v>
      </c>
      <c r="AG7" s="57" t="str" cm="1">
        <f t="array" ref="AG7">AG25</f>
        <v>Факт, принятый органом регулирования</v>
      </c>
      <c r="AH7" s="57" t="str" cm="1">
        <f t="array" ref="AH7">AH25</f>
        <v>Принято органом регулирования</v>
      </c>
      <c r="AI7" s="57" t="str" cm="1">
        <f t="array" ref="AI7">AI25</f>
        <v>Предложение организации</v>
      </c>
      <c r="AJ7" s="57" t="str" cm="1">
        <f t="array" ref="AJ7">AJ25</f>
        <v>Предложение организации</v>
      </c>
      <c r="AK7" s="57" t="str" cm="1">
        <f t="array" ref="AK7">AK25</f>
        <v>Предложение организации</v>
      </c>
      <c r="AL7" s="57" t="str" cm="1">
        <f t="array" ref="AL7">AL25</f>
        <v>Предложение организации</v>
      </c>
      <c r="AM7" s="57" t="str" cm="1">
        <f t="array" ref="AM7">AM25</f>
        <v>Предложение организации</v>
      </c>
      <c r="AN7" s="57" t="str" cm="1">
        <f t="array" ref="AN7">AN25</f>
        <v>Предложение организации</v>
      </c>
      <c r="AO7" s="57" t="str" cm="1">
        <f t="array" ref="AO7">AO25</f>
        <v>Предложение организации</v>
      </c>
      <c r="AP7" s="57" t="str" cm="1">
        <f t="array" ref="AP7">AP25</f>
        <v>Предложение организации</v>
      </c>
      <c r="AQ7" s="57" t="str" cm="1">
        <f t="array" ref="AQ7">AQ25</f>
        <v>Предложение организации</v>
      </c>
      <c r="AR7" s="57" t="str" cm="1">
        <f t="array" ref="AR7">AR25</f>
        <v>Предложение организации</v>
      </c>
      <c r="AS7" s="57" t="str" cm="1">
        <f t="array" ref="AS7">AS25</f>
        <v>Принято органом регулирования</v>
      </c>
      <c r="AT7" s="57" t="str" cm="1">
        <f t="array" ref="AT7">AT25</f>
        <v>Принято органом регулирования</v>
      </c>
      <c r="AU7" s="57" t="str" cm="1">
        <f t="array" ref="AU7">AU25</f>
        <v>Принято органом регулирования</v>
      </c>
      <c r="AV7" s="57" t="str" cm="1">
        <f t="array" ref="AV7">AV25</f>
        <v>Принято органом регулирования</v>
      </c>
      <c r="AW7" s="57" t="str" cm="1">
        <f t="array" ref="AW7">AW25</f>
        <v>Принято органом регулирования</v>
      </c>
      <c r="AX7" s="57" t="str" cm="1">
        <f t="array" ref="AX7">AX25</f>
        <v>Принято органом регулирования</v>
      </c>
      <c r="AY7" s="57" t="str" cm="1">
        <f t="array" ref="AY7">AY25</f>
        <v>Принято органом регулирования</v>
      </c>
      <c r="AZ7" s="57" t="str" cm="1">
        <f t="array" ref="AZ7">AZ25</f>
        <v>Принято органом регулирования</v>
      </c>
      <c r="BA7" s="57" t="str" cm="1">
        <f t="array" ref="BA7">BA25</f>
        <v>Принято органом регулирования</v>
      </c>
      <c r="BB7" s="57" t="str" cm="1">
        <f t="array" ref="BB7">BB25</f>
        <v>Принято органом регулирования</v>
      </c>
    </row>
    <row r="8" spans="1:62" ht="11.25" hidden="1" customHeight="1"/>
    <row r="9" spans="1:62" s="665" customFormat="1" ht="11.25" hidden="1" customHeight="1">
      <c r="A9" s="665" t="s">
        <v>358</v>
      </c>
      <c r="B9" s="674"/>
      <c r="AE9" s="665" cm="1">
        <f t="array" ref="AE9">AE6</f>
        <v>2024</v>
      </c>
      <c r="AF9" s="665" cm="1">
        <f t="array" ref="AF9">AF6</f>
        <v>2024</v>
      </c>
      <c r="AG9" s="665" cm="1">
        <f t="array" ref="AG9">AG6</f>
        <v>2024</v>
      </c>
      <c r="AH9" s="665" cm="1">
        <f t="array" ref="AH9">AH6</f>
        <v>2025</v>
      </c>
      <c r="AI9" s="665" cm="1">
        <f t="array" ref="AI9">AI6</f>
        <v>2026</v>
      </c>
      <c r="AJ9" s="665" cm="1">
        <f t="array" ref="AJ9">AJ6</f>
        <v>2027</v>
      </c>
      <c r="AK9" s="665" cm="1">
        <f t="array" ref="AK9">AK6</f>
        <v>2028</v>
      </c>
      <c r="AL9" s="665" cm="1">
        <f t="array" ref="AL9">AL6</f>
        <v>2029</v>
      </c>
      <c r="AM9" s="665" cm="1">
        <f t="array" ref="AM9">AM6</f>
        <v>2030</v>
      </c>
      <c r="AN9" s="665" cm="1">
        <f t="array" ref="AN9">AN6</f>
        <v>2031</v>
      </c>
      <c r="AO9" s="665" cm="1">
        <f t="array" ref="AO9">AO6</f>
        <v>2032</v>
      </c>
      <c r="AP9" s="665" cm="1">
        <f t="array" ref="AP9">AP6</f>
        <v>2033</v>
      </c>
      <c r="AQ9" s="665" cm="1">
        <f t="array" ref="AQ9">AQ6</f>
        <v>2034</v>
      </c>
      <c r="AR9" s="665" cm="1">
        <f t="array" ref="AR9">AR6</f>
        <v>2035</v>
      </c>
      <c r="AS9" s="665" cm="1">
        <f t="array" ref="AS9">AS6</f>
        <v>2026</v>
      </c>
      <c r="AT9" s="665" cm="1">
        <f t="array" ref="AT9">AT6</f>
        <v>2027</v>
      </c>
      <c r="AU9" s="665" cm="1">
        <f t="array" ref="AU9">AU6</f>
        <v>2028</v>
      </c>
      <c r="AV9" s="665" cm="1">
        <f t="array" ref="AV9">AV6</f>
        <v>2029</v>
      </c>
      <c r="AW9" s="665" cm="1">
        <f t="array" ref="AW9">AW6</f>
        <v>2030</v>
      </c>
      <c r="AX9" s="665" cm="1">
        <f t="array" ref="AX9">AX6</f>
        <v>2031</v>
      </c>
      <c r="AY9" s="665" cm="1">
        <f t="array" ref="AY9">AY6</f>
        <v>2032</v>
      </c>
      <c r="AZ9" s="665" cm="1">
        <f t="array" ref="AZ9">AZ6</f>
        <v>2033</v>
      </c>
      <c r="BA9" s="665" cm="1">
        <f t="array" ref="BA9">BA6</f>
        <v>2034</v>
      </c>
      <c r="BB9" s="665" cm="1">
        <f t="array" ref="BB9">BB6</f>
        <v>2035</v>
      </c>
      <c r="BI9" s="459"/>
      <c r="BJ9" s="459"/>
    </row>
    <row r="10" spans="1:62" s="665" customFormat="1" ht="11.25" hidden="1" customHeight="1">
      <c r="A10" s="665" t="s">
        <v>359</v>
      </c>
      <c r="B10" s="674"/>
      <c r="AE10" s="665" t="str" cm="1">
        <f t="array" ref="AE10">AE25</f>
        <v>Принято органом регулирования</v>
      </c>
      <c r="AF10" s="665" t="str" cm="1">
        <f t="array" ref="AF10">AF25</f>
        <v>Факт по данным организации</v>
      </c>
      <c r="AG10" s="665" t="str" cm="1">
        <f t="array" ref="AG10">AG25</f>
        <v>Факт, принятый органом регулирования</v>
      </c>
      <c r="AH10" s="665" t="str" cm="1">
        <f t="array" ref="AH10">AH25</f>
        <v>Принято органом регулирования</v>
      </c>
      <c r="AI10" s="665" t="str" cm="1">
        <f t="array" ref="AI10">AI25</f>
        <v>Предложение организации</v>
      </c>
      <c r="AJ10" s="665" t="str" cm="1">
        <f t="array" ref="AJ10">AJ25</f>
        <v>Предложение организации</v>
      </c>
      <c r="AK10" s="665" t="str" cm="1">
        <f t="array" ref="AK10">AK25</f>
        <v>Предложение организации</v>
      </c>
      <c r="AL10" s="665" t="str" cm="1">
        <f t="array" ref="AL10">AL25</f>
        <v>Предложение организации</v>
      </c>
      <c r="AM10" s="665" t="str" cm="1">
        <f t="array" ref="AM10">AM25</f>
        <v>Предложение организации</v>
      </c>
      <c r="AN10" s="665" t="str" cm="1">
        <f t="array" ref="AN10">AN25</f>
        <v>Предложение организации</v>
      </c>
      <c r="AO10" s="665" t="str" cm="1">
        <f t="array" ref="AO10">AO25</f>
        <v>Предложение организации</v>
      </c>
      <c r="AP10" s="665" t="str" cm="1">
        <f t="array" ref="AP10">AP25</f>
        <v>Предложение организации</v>
      </c>
      <c r="AQ10" s="665" t="str" cm="1">
        <f t="array" ref="AQ10">AQ25</f>
        <v>Предложение организации</v>
      </c>
      <c r="AR10" s="665" t="str" cm="1">
        <f t="array" ref="AR10">AR25</f>
        <v>Предложение организации</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c r="AY10" s="665" t="str" cm="1">
        <f t="array" ref="AY10">AY25</f>
        <v>Принято органом регулирования</v>
      </c>
      <c r="AZ10" s="665" t="str" cm="1">
        <f t="array" ref="AZ10">AZ25</f>
        <v>Принято органом регулирования</v>
      </c>
      <c r="BA10" s="665" t="str" cm="1">
        <f t="array" ref="BA10">BA25</f>
        <v>Принято органом регулирования</v>
      </c>
      <c r="BB10" s="665" t="str" cm="1">
        <f t="array" ref="BB10">BB25</f>
        <v>Принято органом регулирования</v>
      </c>
      <c r="BI10" s="459"/>
      <c r="BJ10" s="459"/>
    </row>
    <row r="11" spans="1:62" s="665" customFormat="1" ht="11.25" hidden="1" customHeight="1">
      <c r="A11" s="665" t="s">
        <v>360</v>
      </c>
      <c r="B11" s="674"/>
      <c r="BC11" s="665" t="str" cm="1">
        <f t="array" ref="BC11">BC24</f>
        <v>Ссылка на правовую норму (основание для принятия показателя в расчет тарифа)</v>
      </c>
      <c r="BI11" s="459"/>
      <c r="BJ11" s="459"/>
    </row>
    <row r="12" spans="1:62" s="665" customFormat="1" ht="11.25" hidden="1" customHeight="1">
      <c r="A12" s="665" t="s">
        <v>333</v>
      </c>
      <c r="B12" s="674"/>
      <c r="AC12" s="665" t="s">
        <v>320</v>
      </c>
      <c r="BI12" s="459"/>
      <c r="BJ12" s="459"/>
    </row>
    <row r="13" spans="1:62" ht="11.25" hidden="1" customHeight="1">
      <c r="AI13" s="36"/>
      <c r="AJ13" s="36"/>
      <c r="AK13" s="36"/>
      <c r="AL13" s="36"/>
      <c r="AM13" s="36"/>
      <c r="AN13" s="36"/>
      <c r="AO13" s="36"/>
      <c r="AP13" s="36"/>
      <c r="AQ13" s="36"/>
      <c r="AR13" s="36"/>
      <c r="AS13" s="36"/>
      <c r="AT13" s="36"/>
      <c r="AU13" s="36"/>
      <c r="AV13" s="36"/>
      <c r="AW13" s="36"/>
      <c r="AX13" s="36"/>
      <c r="AY13" s="36"/>
      <c r="AZ13" s="36"/>
      <c r="BA13" s="36"/>
      <c r="BB13" s="36"/>
    </row>
    <row r="14" spans="1:62" ht="11.25" hidden="1" customHeight="1">
      <c r="AI14" s="36"/>
      <c r="AJ14" s="36"/>
      <c r="AK14" s="36"/>
      <c r="AL14" s="36"/>
      <c r="AM14" s="36"/>
      <c r="AN14" s="36"/>
      <c r="AO14" s="36"/>
      <c r="AP14" s="36"/>
      <c r="AQ14" s="36"/>
      <c r="AR14" s="36"/>
      <c r="AS14" s="36"/>
      <c r="AT14" s="36"/>
      <c r="AU14" s="36"/>
      <c r="AV14" s="36"/>
      <c r="AW14" s="36"/>
      <c r="AX14" s="36"/>
      <c r="AY14" s="36"/>
      <c r="AZ14" s="36"/>
      <c r="BA14" s="36"/>
      <c r="BB14" s="36"/>
    </row>
    <row r="15" spans="1:62" ht="11.25" hidden="1" customHeight="1">
      <c r="AI15" s="36"/>
      <c r="AJ15" s="36"/>
      <c r="AK15" s="36"/>
      <c r="AL15" s="36"/>
      <c r="AM15" s="36"/>
      <c r="AN15" s="36"/>
      <c r="AO15" s="36"/>
      <c r="AP15" s="36"/>
      <c r="AQ15" s="36"/>
      <c r="AR15" s="36"/>
      <c r="AS15" s="36"/>
      <c r="AT15" s="36"/>
      <c r="AU15" s="36"/>
      <c r="AV15" s="36"/>
      <c r="AW15" s="36"/>
      <c r="AX15" s="36"/>
      <c r="AY15" s="36"/>
      <c r="AZ15" s="36"/>
      <c r="BA15" s="36"/>
      <c r="BB15" s="36"/>
    </row>
    <row r="16" spans="1:62" ht="11.25" hidden="1" customHeight="1">
      <c r="AI16" s="36"/>
      <c r="AJ16" s="36"/>
      <c r="AK16" s="36"/>
      <c r="AL16" s="36"/>
      <c r="AM16" s="36"/>
      <c r="AN16" s="36"/>
      <c r="AO16" s="36"/>
      <c r="AP16" s="36"/>
      <c r="AQ16" s="36"/>
      <c r="AR16" s="36"/>
      <c r="AS16" s="36"/>
      <c r="AT16" s="36"/>
      <c r="AU16" s="36"/>
      <c r="AV16" s="36"/>
      <c r="AW16" s="36"/>
      <c r="AX16" s="36"/>
      <c r="AY16" s="36"/>
      <c r="AZ16" s="36"/>
      <c r="BA16" s="36"/>
      <c r="BB16" s="36"/>
    </row>
    <row r="17" spans="1:62" ht="11.25" hidden="1" customHeight="1"/>
    <row r="18" spans="1:62" ht="11.25" hidden="1" customHeight="1">
      <c r="A18" s="57" t="s">
        <v>361</v>
      </c>
      <c r="AC18" s="57" t="s">
        <v>362</v>
      </c>
    </row>
    <row r="19" spans="1:62" ht="11.25" hidden="1" customHeight="1"/>
    <row r="20" spans="1:62" ht="11.25" hidden="1" customHeight="1"/>
    <row r="21" spans="1:62" ht="14.65" customHeight="1">
      <c r="E21" s="459">
        <v>15</v>
      </c>
      <c r="AA21" s="337"/>
      <c r="AC21" s="280" t="str" cm="1">
        <f t="array" ref="AC21">tpl_title</f>
        <v>Кемеровская область / 2026 / ООО "Энергосервис г. Гурьевска" (ИНН:4202049045, КПП:420201001) / ДПР: 2024-2028</v>
      </c>
    </row>
    <row r="22" spans="1:62" ht="19.5" customHeight="1">
      <c r="E22" s="459">
        <v>20</v>
      </c>
      <c r="AB22" s="239" t="s">
        <v>68</v>
      </c>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5"/>
    </row>
    <row r="23" spans="1:62" ht="10.9" customHeight="1">
      <c r="E23" s="459">
        <v>11.25</v>
      </c>
    </row>
    <row r="24" spans="1:62" s="57" customFormat="1" ht="14.65" customHeight="1">
      <c r="B24" s="62"/>
      <c r="E24" s="459">
        <v>15</v>
      </c>
      <c r="AB24" s="1088" t="s">
        <v>22</v>
      </c>
      <c r="AC24" s="1088" t="s">
        <v>362</v>
      </c>
      <c r="AD24" s="1088" t="s">
        <v>997</v>
      </c>
      <c r="AE24" s="274" t="str">
        <f>god-2&amp;" год"</f>
        <v>2024 год</v>
      </c>
      <c r="AF24" s="737" t="str">
        <f>god-2&amp;" год"</f>
        <v>2024 год</v>
      </c>
      <c r="AG24" s="274" t="str">
        <f>god-2&amp;" год"</f>
        <v>2024 год</v>
      </c>
      <c r="AH24" s="32" t="str">
        <f>god-1&amp;" год"</f>
        <v>2025 год</v>
      </c>
      <c r="AI24" s="734" t="str">
        <f>god&amp;" год"</f>
        <v>2026 год</v>
      </c>
      <c r="AJ24" s="734" t="str">
        <f>god+1&amp;" год"</f>
        <v>2027 год</v>
      </c>
      <c r="AK24" s="734" t="str">
        <f>god+2&amp;" год"</f>
        <v>2028 год</v>
      </c>
      <c r="AL24" s="734" t="str">
        <f>god+3&amp;" год"</f>
        <v>2029 год</v>
      </c>
      <c r="AM24" s="734" t="str">
        <f>god+4&amp;" год"</f>
        <v>2030 год</v>
      </c>
      <c r="AN24" s="734" t="str">
        <f>god+5&amp;" год"</f>
        <v>2031 год</v>
      </c>
      <c r="AO24" s="734" t="str">
        <f>god+6&amp;" год"</f>
        <v>2032 год</v>
      </c>
      <c r="AP24" s="734" t="str">
        <f>god+7&amp;" год"</f>
        <v>2033 год</v>
      </c>
      <c r="AQ24" s="734" t="str">
        <f>god+8&amp;" год"</f>
        <v>2034 год</v>
      </c>
      <c r="AR24" s="734" t="str">
        <f>god+9&amp;" год"</f>
        <v>2035 год</v>
      </c>
      <c r="AS24" s="30" t="str">
        <f>god&amp;" год"</f>
        <v>2026 год</v>
      </c>
      <c r="AT24" s="30" t="str">
        <f>god+1&amp;" год"</f>
        <v>2027 год</v>
      </c>
      <c r="AU24" s="30" t="str">
        <f>god+2&amp;" год"</f>
        <v>2028 год</v>
      </c>
      <c r="AV24" s="30" t="str">
        <f>god+3&amp;" год"</f>
        <v>2029 год</v>
      </c>
      <c r="AW24" s="30" t="str">
        <f>god+4&amp;" год"</f>
        <v>2030 год</v>
      </c>
      <c r="AX24" s="30" t="str">
        <f>god+5&amp;" год"</f>
        <v>2031 год</v>
      </c>
      <c r="AY24" s="30" t="str">
        <f>god+6&amp;" год"</f>
        <v>2032 год</v>
      </c>
      <c r="AZ24" s="30" t="str">
        <f>god+7&amp;" год"</f>
        <v>2033 год</v>
      </c>
      <c r="BA24" s="30" t="str">
        <f>god+8&amp;" год"</f>
        <v>2034 год</v>
      </c>
      <c r="BB24" s="30" t="str">
        <f>god+9&amp;" год"</f>
        <v>2035 год</v>
      </c>
      <c r="BC24" s="1156" t="s">
        <v>529</v>
      </c>
      <c r="BF24" s="665"/>
      <c r="BG24" s="665"/>
      <c r="BH24" s="665"/>
      <c r="BI24" s="459"/>
      <c r="BJ24" s="459"/>
    </row>
    <row r="25" spans="1:62" s="57" customFormat="1" ht="48.75" customHeight="1">
      <c r="B25" s="62"/>
      <c r="E25" s="459">
        <v>50</v>
      </c>
      <c r="AB25" s="1088"/>
      <c r="AC25" s="1088"/>
      <c r="AD25" s="1088"/>
      <c r="AE25" s="30" t="s">
        <v>355</v>
      </c>
      <c r="AF25" s="734" t="s">
        <v>450</v>
      </c>
      <c r="AG25" s="30" t="s">
        <v>451</v>
      </c>
      <c r="AH25" s="30" t="s">
        <v>355</v>
      </c>
      <c r="AI25" s="738" t="s">
        <v>356</v>
      </c>
      <c r="AJ25" s="738" t="s">
        <v>356</v>
      </c>
      <c r="AK25" s="738" t="s">
        <v>356</v>
      </c>
      <c r="AL25" s="738" t="s">
        <v>356</v>
      </c>
      <c r="AM25" s="738" t="s">
        <v>356</v>
      </c>
      <c r="AN25" s="738" t="s">
        <v>356</v>
      </c>
      <c r="AO25" s="738" t="s">
        <v>356</v>
      </c>
      <c r="AP25" s="738" t="s">
        <v>356</v>
      </c>
      <c r="AQ25" s="738" t="s">
        <v>356</v>
      </c>
      <c r="AR25" s="738" t="s">
        <v>356</v>
      </c>
      <c r="AS25" s="275" t="s">
        <v>355</v>
      </c>
      <c r="AT25" s="275" t="s">
        <v>355</v>
      </c>
      <c r="AU25" s="275" t="s">
        <v>355</v>
      </c>
      <c r="AV25" s="275" t="s">
        <v>355</v>
      </c>
      <c r="AW25" s="275" t="s">
        <v>355</v>
      </c>
      <c r="AX25" s="275" t="s">
        <v>355</v>
      </c>
      <c r="AY25" s="275" t="s">
        <v>355</v>
      </c>
      <c r="AZ25" s="275" t="s">
        <v>355</v>
      </c>
      <c r="BA25" s="275" t="s">
        <v>355</v>
      </c>
      <c r="BB25" s="275" t="s">
        <v>355</v>
      </c>
      <c r="BC25" s="1156"/>
      <c r="BF25" s="665"/>
      <c r="BG25" s="665"/>
      <c r="BH25" s="665"/>
      <c r="BI25" s="459"/>
      <c r="BJ25" s="459"/>
    </row>
    <row r="26" spans="1:62" ht="11.25" customHeight="1">
      <c r="A26"/>
      <c r="B26" s="339"/>
      <c r="C26"/>
      <c r="D26"/>
      <c r="E26" s="465" t="s">
        <v>366</v>
      </c>
      <c r="F26" s="23"/>
      <c r="G26"/>
      <c r="H26"/>
      <c r="I26"/>
      <c r="J26"/>
      <c r="K26"/>
      <c r="L26"/>
      <c r="M26"/>
      <c r="N26"/>
      <c r="O26"/>
      <c r="P26"/>
      <c r="Q26"/>
      <c r="R26"/>
      <c r="S26"/>
      <c r="T26"/>
      <c r="U26"/>
      <c r="V26"/>
      <c r="W26"/>
      <c r="X26"/>
      <c r="Y26"/>
      <c r="Z26"/>
      <c r="AA26"/>
      <c r="AB26"/>
      <c r="AC26" s="37"/>
      <c r="AD26" s="37"/>
      <c r="AE26" s="37"/>
      <c r="AF26" s="37"/>
      <c r="AG26"/>
      <c r="AH26"/>
      <c r="AI26"/>
      <c r="AJ26"/>
      <c r="AK26"/>
      <c r="AL26"/>
      <c r="AM26"/>
      <c r="AN26"/>
      <c r="AO26"/>
      <c r="AP26"/>
      <c r="AQ26" s="38"/>
      <c r="AR26"/>
      <c r="AS26"/>
      <c r="AT26"/>
      <c r="AU26"/>
      <c r="AV26"/>
      <c r="AW26"/>
      <c r="AX26"/>
      <c r="AY26"/>
      <c r="AZ26"/>
      <c r="BA26"/>
      <c r="BB26"/>
      <c r="BC26"/>
      <c r="BD26"/>
      <c r="BE26"/>
      <c r="BF26" s="670"/>
      <c r="BG26" s="670"/>
      <c r="BH26" s="670"/>
      <c r="BI26" s="465"/>
      <c r="BJ26" s="465"/>
    </row>
    <row r="27" spans="1:62" s="57" customFormat="1" ht="14.65" hidden="1" customHeight="1">
      <c r="B27" s="62"/>
      <c r="E27" s="459">
        <v>15</v>
      </c>
      <c r="F27" s="36" cm="1">
        <f t="array" ref="F27">X27</f>
        <v>0</v>
      </c>
      <c r="T27" s="365" t="b">
        <f>X27&gt;0</f>
        <v>0</v>
      </c>
      <c r="V27" s="57" t="s">
        <v>264</v>
      </c>
      <c r="X27" s="1075">
        <v>0</v>
      </c>
      <c r="Z27" s="1065"/>
      <c r="AB27" s="154" t="str" cm="1">
        <f t="array" ref="AB27">INDEX('Общие сведения'!$AG$179:$AG$222,MATCH($X27,'Общие сведения'!$Z$179:$Z$222,0))</f>
        <v xml:space="preserve">Тариф 0 () - </v>
      </c>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F27" s="665"/>
      <c r="BG27" s="665"/>
      <c r="BH27" s="665"/>
      <c r="BI27" s="459"/>
      <c r="BJ27" s="459"/>
    </row>
    <row r="28" spans="1:62" s="57" customFormat="1" ht="21.95" hidden="1" customHeight="1">
      <c r="B28" s="62"/>
      <c r="E28" s="459">
        <v>22.5</v>
      </c>
      <c r="F28" s="3" cm="1">
        <f t="array" aca="1" ref="F28" ca="1">OFFSET(E28,-1,1)</f>
        <v>0</v>
      </c>
      <c r="G28" s="57" t="s">
        <v>1250</v>
      </c>
      <c r="K28" s="59" t="str">
        <f ca="1">F28&amp;"komm"</f>
        <v>0komm</v>
      </c>
      <c r="L28" s="618" cm="1">
        <f t="array" ref="L28">BC28</f>
        <v>0</v>
      </c>
      <c r="T28" s="365" t="b" cm="1">
        <f t="array" ref="T28">T27</f>
        <v>0</v>
      </c>
      <c r="X28" s="1075"/>
      <c r="Z28" s="1065"/>
      <c r="AB28" s="166">
        <v>0</v>
      </c>
      <c r="AC28" s="151" t="s">
        <v>1269</v>
      </c>
      <c r="AD28" s="143" t="s">
        <v>804</v>
      </c>
      <c r="AE28" s="159">
        <f t="shared" ref="AE28:BB28" si="2">SUM(AE29:AE38)</f>
        <v>0</v>
      </c>
      <c r="AF28" s="159">
        <f t="shared" si="2"/>
        <v>0</v>
      </c>
      <c r="AG28" s="159">
        <f t="shared" si="2"/>
        <v>0</v>
      </c>
      <c r="AH28" s="159">
        <f t="shared" si="2"/>
        <v>0</v>
      </c>
      <c r="AI28" s="159">
        <f t="shared" si="2"/>
        <v>0</v>
      </c>
      <c r="AJ28" s="159">
        <f t="shared" si="2"/>
        <v>0</v>
      </c>
      <c r="AK28" s="159">
        <f t="shared" si="2"/>
        <v>0</v>
      </c>
      <c r="AL28" s="159">
        <f t="shared" si="2"/>
        <v>0</v>
      </c>
      <c r="AM28" s="159">
        <f t="shared" si="2"/>
        <v>0</v>
      </c>
      <c r="AN28" s="159">
        <f t="shared" si="2"/>
        <v>0</v>
      </c>
      <c r="AO28" s="159">
        <f t="shared" si="2"/>
        <v>0</v>
      </c>
      <c r="AP28" s="159">
        <f t="shared" si="2"/>
        <v>0</v>
      </c>
      <c r="AQ28" s="159">
        <f t="shared" si="2"/>
        <v>0</v>
      </c>
      <c r="AR28" s="159">
        <f t="shared" si="2"/>
        <v>0</v>
      </c>
      <c r="AS28" s="159">
        <f t="shared" si="2"/>
        <v>0</v>
      </c>
      <c r="AT28" s="159">
        <f t="shared" si="2"/>
        <v>0</v>
      </c>
      <c r="AU28" s="159">
        <f t="shared" si="2"/>
        <v>0</v>
      </c>
      <c r="AV28" s="159">
        <f t="shared" si="2"/>
        <v>0</v>
      </c>
      <c r="AW28" s="159">
        <f t="shared" si="2"/>
        <v>0</v>
      </c>
      <c r="AX28" s="159">
        <f t="shared" si="2"/>
        <v>0</v>
      </c>
      <c r="AY28" s="159">
        <f t="shared" si="2"/>
        <v>0</v>
      </c>
      <c r="AZ28" s="159">
        <f t="shared" si="2"/>
        <v>0</v>
      </c>
      <c r="BA28" s="159">
        <f t="shared" si="2"/>
        <v>0</v>
      </c>
      <c r="BB28" s="159">
        <f t="shared" si="2"/>
        <v>0</v>
      </c>
      <c r="BC28" s="839"/>
      <c r="BF28" s="665" t="s">
        <v>1270</v>
      </c>
      <c r="BG28" s="665"/>
      <c r="BH28" s="665"/>
      <c r="BI28" s="459"/>
      <c r="BJ28" s="459"/>
    </row>
    <row r="29" spans="1:62" s="57" customFormat="1" ht="14.65" hidden="1" customHeight="1">
      <c r="B29" s="62"/>
      <c r="E29" s="459">
        <v>15</v>
      </c>
      <c r="F29" s="3" cm="1">
        <f t="array" aca="1" ref="F29" ca="1">OFFSET(E29,-1,1)</f>
        <v>0</v>
      </c>
      <c r="G29" s="57" t="s">
        <v>327</v>
      </c>
      <c r="K29" s="59" t="str">
        <f ca="1">F29&amp;"1komm"</f>
        <v>01komm</v>
      </c>
      <c r="L29" s="618" cm="1">
        <f t="array" ref="L29">BC29</f>
        <v>0</v>
      </c>
      <c r="T29" s="365" t="b" cm="1">
        <f t="array" ref="T29">T28</f>
        <v>0</v>
      </c>
      <c r="X29" s="1075"/>
      <c r="Z29" s="1065"/>
      <c r="AB29" s="152" t="s">
        <v>275</v>
      </c>
      <c r="AC29" s="358" t="s">
        <v>1271</v>
      </c>
      <c r="AD29" s="26" t="s">
        <v>804</v>
      </c>
      <c r="AE29" s="790"/>
      <c r="AF29" s="929"/>
      <c r="AG29" s="929"/>
      <c r="AH29" s="929"/>
      <c r="AI29" s="929"/>
      <c r="AJ29" s="929"/>
      <c r="AK29" s="929"/>
      <c r="AL29" s="929"/>
      <c r="AM29" s="929"/>
      <c r="AN29" s="929"/>
      <c r="AO29" s="929"/>
      <c r="AP29" s="929"/>
      <c r="AQ29" s="929"/>
      <c r="AR29" s="929"/>
      <c r="AS29" s="929"/>
      <c r="AT29" s="929"/>
      <c r="AU29" s="929"/>
      <c r="AV29" s="929"/>
      <c r="AW29" s="929"/>
      <c r="AX29" s="929"/>
      <c r="AY29" s="929"/>
      <c r="AZ29" s="929"/>
      <c r="BA29" s="929"/>
      <c r="BB29" s="929"/>
      <c r="BC29" s="839"/>
      <c r="BF29" s="665" t="s">
        <v>1272</v>
      </c>
      <c r="BG29" s="665"/>
      <c r="BH29" s="665"/>
      <c r="BI29" s="459"/>
      <c r="BJ29" s="459"/>
    </row>
    <row r="30" spans="1:62" s="57" customFormat="1" ht="21.95" hidden="1" customHeight="1">
      <c r="B30" s="63"/>
      <c r="C30" s="41"/>
      <c r="D30" s="41"/>
      <c r="E30" s="460">
        <v>22.5</v>
      </c>
      <c r="F30" s="3" cm="1">
        <f t="array" aca="1" ref="F30" ca="1">OFFSET(E30,-1,1)</f>
        <v>0</v>
      </c>
      <c r="G30" s="41" t="s">
        <v>328</v>
      </c>
      <c r="H30" s="41"/>
      <c r="I30" s="41"/>
      <c r="J30" s="41"/>
      <c r="K30" s="59" t="str">
        <f ca="1">F30&amp;"2komm"</f>
        <v>02komm</v>
      </c>
      <c r="L30" s="618" cm="1">
        <f t="array" ref="L30">BC30</f>
        <v>0</v>
      </c>
      <c r="M30" s="41"/>
      <c r="N30" s="41"/>
      <c r="O30" s="41"/>
      <c r="P30" s="41"/>
      <c r="Q30" s="41"/>
      <c r="R30" s="41"/>
      <c r="S30" s="41"/>
      <c r="T30" s="365" t="b" cm="1">
        <f t="array" ref="T30">T29</f>
        <v>0</v>
      </c>
      <c r="U30" s="41"/>
      <c r="V30" s="41"/>
      <c r="X30" s="1075"/>
      <c r="Z30" s="1065"/>
      <c r="AB30" s="152" t="s">
        <v>285</v>
      </c>
      <c r="AC30" s="358" t="s">
        <v>1273</v>
      </c>
      <c r="AD30" s="26" t="s">
        <v>804</v>
      </c>
      <c r="AE30" s="790"/>
      <c r="AF30" s="929"/>
      <c r="AG30" s="929"/>
      <c r="AH30" s="929"/>
      <c r="AI30" s="929"/>
      <c r="AJ30" s="929"/>
      <c r="AK30" s="929"/>
      <c r="AL30" s="929"/>
      <c r="AM30" s="929"/>
      <c r="AN30" s="929"/>
      <c r="AO30" s="929"/>
      <c r="AP30" s="929"/>
      <c r="AQ30" s="929"/>
      <c r="AR30" s="929"/>
      <c r="AS30" s="929"/>
      <c r="AT30" s="929"/>
      <c r="AU30" s="929"/>
      <c r="AV30" s="929"/>
      <c r="AW30" s="929"/>
      <c r="AX30" s="929"/>
      <c r="AY30" s="929"/>
      <c r="AZ30" s="929"/>
      <c r="BA30" s="929"/>
      <c r="BB30" s="929"/>
      <c r="BC30" s="839"/>
      <c r="BF30" s="665" t="s">
        <v>1274</v>
      </c>
      <c r="BG30" s="665"/>
      <c r="BH30" s="665"/>
      <c r="BI30" s="459"/>
      <c r="BJ30" s="459"/>
    </row>
    <row r="31" spans="1:62" s="57" customFormat="1" ht="21.95" hidden="1" customHeight="1">
      <c r="B31" s="63"/>
      <c r="C31" s="41"/>
      <c r="D31" s="41"/>
      <c r="E31" s="460">
        <v>22.5</v>
      </c>
      <c r="F31" s="3" cm="1">
        <f t="array" aca="1" ref="F31" ca="1">OFFSET(E31,-1,1)</f>
        <v>0</v>
      </c>
      <c r="G31" s="41" t="s">
        <v>329</v>
      </c>
      <c r="H31" s="41" t="s">
        <v>1275</v>
      </c>
      <c r="I31" s="41"/>
      <c r="J31" s="41"/>
      <c r="K31" s="59" t="str">
        <f ca="1">F31&amp;"3komm"</f>
        <v>03komm</v>
      </c>
      <c r="L31" s="618" cm="1">
        <f t="array" ref="L31">BC31</f>
        <v>0</v>
      </c>
      <c r="M31" s="41"/>
      <c r="N31" s="41"/>
      <c r="O31" s="41"/>
      <c r="P31" s="41"/>
      <c r="Q31" s="41"/>
      <c r="R31" s="41"/>
      <c r="S31" s="41"/>
      <c r="T31" s="365" t="b" cm="1">
        <f t="array" ref="T31">T30</f>
        <v>0</v>
      </c>
      <c r="U31" s="41"/>
      <c r="V31" s="41"/>
      <c r="X31" s="1075"/>
      <c r="Z31" s="1065"/>
      <c r="AB31" s="152" t="s">
        <v>325</v>
      </c>
      <c r="AC31" s="358" t="s">
        <v>1276</v>
      </c>
      <c r="AD31" s="26" t="s">
        <v>804</v>
      </c>
      <c r="AE31" s="790"/>
      <c r="AF31" s="929"/>
      <c r="AG31" s="929"/>
      <c r="AH31" s="929"/>
      <c r="AI31" s="929"/>
      <c r="AJ31" s="929"/>
      <c r="AK31" s="929"/>
      <c r="AL31" s="929"/>
      <c r="AM31" s="929"/>
      <c r="AN31" s="929"/>
      <c r="AO31" s="929"/>
      <c r="AP31" s="929"/>
      <c r="AQ31" s="929"/>
      <c r="AR31" s="929"/>
      <c r="AS31" s="929"/>
      <c r="AT31" s="929"/>
      <c r="AU31" s="929"/>
      <c r="AV31" s="929"/>
      <c r="AW31" s="929"/>
      <c r="AX31" s="929"/>
      <c r="AY31" s="929"/>
      <c r="AZ31" s="929"/>
      <c r="BA31" s="929"/>
      <c r="BB31" s="929"/>
      <c r="BC31" s="839"/>
      <c r="BF31" s="665" t="s">
        <v>1277</v>
      </c>
      <c r="BG31" s="665"/>
      <c r="BH31" s="665"/>
      <c r="BI31" s="459"/>
      <c r="BJ31" s="459"/>
    </row>
    <row r="32" spans="1:62" ht="14.65" hidden="1" customHeight="1">
      <c r="B32" s="63"/>
      <c r="C32" s="41"/>
      <c r="D32" s="41"/>
      <c r="E32" s="460">
        <v>15</v>
      </c>
      <c r="F32" s="3" cm="1">
        <f t="array" aca="1" ref="F32" ca="1">OFFSET(E32,-1,1)</f>
        <v>0</v>
      </c>
      <c r="G32" s="41" t="s">
        <v>331</v>
      </c>
      <c r="H32" s="41"/>
      <c r="I32" s="41"/>
      <c r="J32" s="41"/>
      <c r="K32" s="59" t="str">
        <f ca="1">F32&amp;"4komm"</f>
        <v>04komm</v>
      </c>
      <c r="L32" s="618" cm="1">
        <f t="array" ref="L32">BC32</f>
        <v>0</v>
      </c>
      <c r="M32" s="41"/>
      <c r="N32" s="41"/>
      <c r="O32" s="41"/>
      <c r="P32" s="41"/>
      <c r="Q32" s="41"/>
      <c r="R32" s="41"/>
      <c r="S32" s="41"/>
      <c r="T32" s="365" t="b" cm="1">
        <f t="array" ref="T32">T31</f>
        <v>0</v>
      </c>
      <c r="U32" s="41"/>
      <c r="V32" s="41"/>
      <c r="X32" s="1075"/>
      <c r="Z32" s="1065"/>
      <c r="AB32" s="600">
        <v>4</v>
      </c>
      <c r="AC32" s="358" t="s">
        <v>1278</v>
      </c>
      <c r="AD32" s="26" t="s">
        <v>804</v>
      </c>
      <c r="AE32" s="930"/>
      <c r="AF32" s="930"/>
      <c r="AG32" s="930"/>
      <c r="AH32" s="930"/>
      <c r="AI32" s="930"/>
      <c r="AJ32" s="930"/>
      <c r="AK32" s="930"/>
      <c r="AL32" s="930"/>
      <c r="AM32" s="930"/>
      <c r="AN32" s="930"/>
      <c r="AO32" s="930"/>
      <c r="AP32" s="930"/>
      <c r="AQ32" s="930"/>
      <c r="AR32" s="930"/>
      <c r="AS32" s="930"/>
      <c r="AT32" s="930"/>
      <c r="AU32" s="930"/>
      <c r="AV32" s="930"/>
      <c r="AW32" s="930"/>
      <c r="AX32" s="930"/>
      <c r="AY32" s="930"/>
      <c r="AZ32" s="930"/>
      <c r="BA32" s="930"/>
      <c r="BB32" s="930"/>
      <c r="BC32" s="839"/>
      <c r="BF32" s="665" t="s">
        <v>1279</v>
      </c>
    </row>
    <row r="33" spans="1:62" s="57" customFormat="1" ht="14.65" hidden="1" customHeight="1">
      <c r="B33" s="63"/>
      <c r="C33" s="41"/>
      <c r="D33" s="41"/>
      <c r="E33" s="460">
        <v>15</v>
      </c>
      <c r="F33" s="3" cm="1">
        <f t="array" aca="1" ref="F33" ca="1">OFFSET(E33,-1,1)</f>
        <v>0</v>
      </c>
      <c r="G33" s="41" t="s">
        <v>330</v>
      </c>
      <c r="H33" s="41"/>
      <c r="I33" s="41"/>
      <c r="J33" s="41"/>
      <c r="K33" s="59" t="str">
        <f ca="1">F33&amp;"5komm"</f>
        <v>05komm</v>
      </c>
      <c r="L33" s="618" cm="1">
        <f t="array" ref="L33">BC33</f>
        <v>0</v>
      </c>
      <c r="M33" s="41"/>
      <c r="N33" s="41"/>
      <c r="O33" s="41"/>
      <c r="P33" s="41"/>
      <c r="Q33" s="41"/>
      <c r="R33" s="41"/>
      <c r="S33" s="41"/>
      <c r="T33" s="365" t="b" cm="1">
        <f t="array" ref="T33">T32</f>
        <v>0</v>
      </c>
      <c r="U33" s="41"/>
      <c r="V33" s="41"/>
      <c r="X33" s="1075"/>
      <c r="Z33" s="1065"/>
      <c r="AB33" s="152" t="s">
        <v>444</v>
      </c>
      <c r="AC33" s="358" t="s">
        <v>1280</v>
      </c>
      <c r="AD33" s="26" t="s">
        <v>804</v>
      </c>
      <c r="AE33" s="790"/>
      <c r="AF33" s="790"/>
      <c r="AG33" s="790"/>
      <c r="AH33" s="790"/>
      <c r="AI33" s="790"/>
      <c r="AJ33" s="790"/>
      <c r="AK33" s="790"/>
      <c r="AL33" s="790"/>
      <c r="AM33" s="790"/>
      <c r="AN33" s="790"/>
      <c r="AO33" s="790"/>
      <c r="AP33" s="790"/>
      <c r="AQ33" s="790"/>
      <c r="AR33" s="790"/>
      <c r="AS33" s="790"/>
      <c r="AT33" s="790"/>
      <c r="AU33" s="790"/>
      <c r="AV33" s="790"/>
      <c r="AW33" s="790"/>
      <c r="AX33" s="790"/>
      <c r="AY33" s="790"/>
      <c r="AZ33" s="790"/>
      <c r="BA33" s="790"/>
      <c r="BB33" s="790"/>
      <c r="BC33" s="839"/>
      <c r="BF33" s="665" t="s">
        <v>1281</v>
      </c>
      <c r="BG33" s="665"/>
      <c r="BH33" s="665"/>
      <c r="BI33" s="459"/>
      <c r="BJ33" s="459"/>
    </row>
    <row r="34" spans="1:62" s="57" customFormat="1" ht="14.65" hidden="1" customHeight="1">
      <c r="B34" s="63"/>
      <c r="C34" s="41"/>
      <c r="D34" s="41"/>
      <c r="E34" s="460">
        <v>15</v>
      </c>
      <c r="F34" s="3" cm="1">
        <f t="array" aca="1" ref="F34" ca="1">OFFSET(E34,-1,1)</f>
        <v>0</v>
      </c>
      <c r="G34" s="41" t="s">
        <v>511</v>
      </c>
      <c r="H34" s="41"/>
      <c r="I34" s="41"/>
      <c r="J34" s="41"/>
      <c r="K34" s="59" t="str">
        <f ca="1">F34&amp;"6komm"</f>
        <v>06komm</v>
      </c>
      <c r="L34" s="618" cm="1">
        <f t="array" ref="L34">BC34</f>
        <v>0</v>
      </c>
      <c r="M34" s="41"/>
      <c r="N34" s="41"/>
      <c r="O34" s="41"/>
      <c r="P34" s="41"/>
      <c r="Q34" s="41"/>
      <c r="R34" s="41"/>
      <c r="S34" s="41"/>
      <c r="T34" s="365" t="b" cm="1">
        <f t="array" ref="T34">T33</f>
        <v>0</v>
      </c>
      <c r="U34" s="41"/>
      <c r="V34" s="41"/>
      <c r="X34" s="1075"/>
      <c r="Z34" s="1065"/>
      <c r="AB34" s="152" t="s">
        <v>447</v>
      </c>
      <c r="AC34" s="358" t="s">
        <v>1282</v>
      </c>
      <c r="AD34" s="26" t="s">
        <v>804</v>
      </c>
      <c r="AE34" s="790"/>
      <c r="AF34" s="790"/>
      <c r="AG34" s="790"/>
      <c r="AH34" s="790"/>
      <c r="AI34" s="790"/>
      <c r="AJ34" s="790"/>
      <c r="AK34" s="790"/>
      <c r="AL34" s="790"/>
      <c r="AM34" s="790"/>
      <c r="AN34" s="790"/>
      <c r="AO34" s="790"/>
      <c r="AP34" s="790"/>
      <c r="AQ34" s="790"/>
      <c r="AR34" s="790"/>
      <c r="AS34" s="790"/>
      <c r="AT34" s="790"/>
      <c r="AU34" s="790"/>
      <c r="AV34" s="790"/>
      <c r="AW34" s="790"/>
      <c r="AX34" s="790"/>
      <c r="AY34" s="790"/>
      <c r="AZ34" s="790"/>
      <c r="BA34" s="790"/>
      <c r="BB34" s="790"/>
      <c r="BC34" s="839"/>
      <c r="BF34" s="665" t="s">
        <v>1283</v>
      </c>
      <c r="BG34" s="665"/>
      <c r="BH34" s="665"/>
      <c r="BI34" s="459"/>
      <c r="BJ34" s="459"/>
    </row>
    <row r="35" spans="1:62" s="57" customFormat="1" ht="14.65" hidden="1" customHeight="1">
      <c r="B35" s="63"/>
      <c r="C35" s="41"/>
      <c r="D35" s="41"/>
      <c r="E35" s="460">
        <v>15</v>
      </c>
      <c r="F35" s="3" cm="1">
        <f t="array" aca="1" ref="F35" ca="1">OFFSET(E35,-1,1)</f>
        <v>0</v>
      </c>
      <c r="G35" s="41" t="s">
        <v>514</v>
      </c>
      <c r="H35" s="41" t="s">
        <v>1284</v>
      </c>
      <c r="I35" s="41"/>
      <c r="J35" s="41"/>
      <c r="K35" s="59" t="str">
        <f ca="1">F35&amp;"7komm"</f>
        <v>07komm</v>
      </c>
      <c r="L35" s="618" cm="1">
        <f t="array" ref="L35">BC35</f>
        <v>0</v>
      </c>
      <c r="M35" s="41"/>
      <c r="N35" s="41"/>
      <c r="O35" s="41"/>
      <c r="P35" s="41"/>
      <c r="Q35" s="41"/>
      <c r="R35" s="41"/>
      <c r="S35" s="41"/>
      <c r="T35" s="365" t="b" cm="1">
        <f t="array" ref="T35">T34</f>
        <v>0</v>
      </c>
      <c r="U35" s="41"/>
      <c r="V35" s="41"/>
      <c r="X35" s="1075"/>
      <c r="Z35" s="1065"/>
      <c r="AB35" s="152" t="s">
        <v>578</v>
      </c>
      <c r="AC35" s="358" t="s">
        <v>1285</v>
      </c>
      <c r="AD35" s="26" t="s">
        <v>804</v>
      </c>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839"/>
      <c r="BF35" s="665" t="s">
        <v>1286</v>
      </c>
      <c r="BG35" s="665"/>
      <c r="BH35" s="665"/>
      <c r="BI35" s="459"/>
      <c r="BJ35" s="459"/>
    </row>
    <row r="36" spans="1:62" s="57" customFormat="1" ht="21.95" hidden="1" customHeight="1">
      <c r="B36" s="63"/>
      <c r="C36" s="41"/>
      <c r="D36" s="41"/>
      <c r="E36" s="460">
        <v>22.5</v>
      </c>
      <c r="F36" s="3" cm="1">
        <f t="array" aca="1" ref="F36" ca="1">OFFSET(E36,-1,1)</f>
        <v>0</v>
      </c>
      <c r="G36" s="41" t="s">
        <v>562</v>
      </c>
      <c r="H36" s="41"/>
      <c r="I36" s="41"/>
      <c r="J36" s="41"/>
      <c r="K36" s="59" t="str">
        <f ca="1">F36&amp;"8komm"</f>
        <v>08komm</v>
      </c>
      <c r="L36" s="618" cm="1">
        <f t="array" ref="L36">BC36</f>
        <v>0</v>
      </c>
      <c r="M36" s="41"/>
      <c r="N36" s="41"/>
      <c r="O36" s="41"/>
      <c r="P36" s="41"/>
      <c r="Q36" s="41"/>
      <c r="R36" s="41"/>
      <c r="S36" s="41"/>
      <c r="T36" s="365" t="b" cm="1">
        <f t="array" ref="T36">T35</f>
        <v>0</v>
      </c>
      <c r="U36" s="41"/>
      <c r="V36" s="41"/>
      <c r="X36" s="1075"/>
      <c r="Z36" s="1065"/>
      <c r="AB36" s="152" t="s">
        <v>586</v>
      </c>
      <c r="AC36" s="358" t="s">
        <v>1287</v>
      </c>
      <c r="AD36" s="26" t="s">
        <v>804</v>
      </c>
      <c r="AE36" s="790"/>
      <c r="AF36" s="790"/>
      <c r="AG36" s="790"/>
      <c r="AH36" s="790"/>
      <c r="AI36" s="790"/>
      <c r="AJ36" s="790"/>
      <c r="AK36" s="790"/>
      <c r="AL36" s="790"/>
      <c r="AM36" s="790"/>
      <c r="AN36" s="790"/>
      <c r="AO36" s="790"/>
      <c r="AP36" s="790"/>
      <c r="AQ36" s="790"/>
      <c r="AR36" s="790"/>
      <c r="AS36" s="790"/>
      <c r="AT36" s="790"/>
      <c r="AU36" s="790"/>
      <c r="AV36" s="790"/>
      <c r="AW36" s="790"/>
      <c r="AX36" s="790"/>
      <c r="AY36" s="790"/>
      <c r="AZ36" s="790"/>
      <c r="BA36" s="790"/>
      <c r="BB36" s="790"/>
      <c r="BC36" s="839"/>
      <c r="BF36" s="665" t="s">
        <v>1288</v>
      </c>
      <c r="BG36" s="665"/>
      <c r="BH36" s="665"/>
      <c r="BI36" s="459"/>
      <c r="BJ36" s="459"/>
    </row>
    <row r="37" spans="1:62" s="59" customFormat="1" ht="21.95" hidden="1" customHeight="1">
      <c r="B37" s="63"/>
      <c r="C37" s="41"/>
      <c r="D37" s="41"/>
      <c r="E37" s="460">
        <v>22.5</v>
      </c>
      <c r="F37" s="3" cm="1">
        <f t="array" aca="1" ref="F37" ca="1">OFFSET(E37,-1,1)</f>
        <v>0</v>
      </c>
      <c r="G37" s="41"/>
      <c r="H37" s="41"/>
      <c r="I37" s="41"/>
      <c r="J37" s="41"/>
      <c r="K37" s="59" t="str">
        <f ca="1">F37&amp;"9komm"</f>
        <v>09komm</v>
      </c>
      <c r="L37" s="618" cm="1">
        <f t="array" ref="L37">BC37</f>
        <v>0</v>
      </c>
      <c r="M37" s="41"/>
      <c r="N37" s="41"/>
      <c r="O37" s="41"/>
      <c r="P37" s="41"/>
      <c r="Q37" s="41"/>
      <c r="R37" s="41"/>
      <c r="S37" s="41"/>
      <c r="T37" s="365" t="b" cm="1">
        <f t="array" ref="T37">T36</f>
        <v>0</v>
      </c>
      <c r="U37" s="41"/>
      <c r="V37" s="41"/>
      <c r="X37" s="1075"/>
      <c r="Z37" s="1065"/>
      <c r="AB37" s="152" t="s">
        <v>744</v>
      </c>
      <c r="AC37" s="358" t="s">
        <v>1289</v>
      </c>
      <c r="AD37" s="26" t="s">
        <v>804</v>
      </c>
      <c r="AE37" s="790"/>
      <c r="AF37" s="790"/>
      <c r="AG37" s="790"/>
      <c r="AH37" s="790"/>
      <c r="AI37" s="790"/>
      <c r="AJ37" s="790"/>
      <c r="AK37" s="790"/>
      <c r="AL37" s="790"/>
      <c r="AM37" s="790"/>
      <c r="AN37" s="790"/>
      <c r="AO37" s="790"/>
      <c r="AP37" s="790"/>
      <c r="AQ37" s="790"/>
      <c r="AR37" s="790"/>
      <c r="AS37" s="790"/>
      <c r="AT37" s="790"/>
      <c r="AU37" s="790"/>
      <c r="AV37" s="790"/>
      <c r="AW37" s="790"/>
      <c r="AX37" s="790"/>
      <c r="AY37" s="790"/>
      <c r="AZ37" s="790"/>
      <c r="BA37" s="790"/>
      <c r="BB37" s="790"/>
      <c r="BC37" s="784"/>
      <c r="BF37" s="671" t="s">
        <v>1290</v>
      </c>
      <c r="BG37" s="671"/>
      <c r="BH37" s="671"/>
      <c r="BI37" s="513"/>
      <c r="BJ37" s="513"/>
    </row>
    <row r="38" spans="1:62" ht="14.65" hidden="1" customHeight="1">
      <c r="B38" s="63"/>
      <c r="C38" s="41"/>
      <c r="D38" s="41"/>
      <c r="E38" s="460">
        <v>15</v>
      </c>
      <c r="F38" s="3" cm="1">
        <f t="array" aca="1" ref="F38" ca="1">OFFSET(E38,-1,1)</f>
        <v>0</v>
      </c>
      <c r="G38" s="41" t="s">
        <v>577</v>
      </c>
      <c r="H38" s="287"/>
      <c r="I38" s="41"/>
      <c r="J38" s="41"/>
      <c r="K38" s="59" t="str">
        <f ca="1">F38&amp;"10komm"</f>
        <v>010komm</v>
      </c>
      <c r="L38" s="618" cm="1">
        <f t="array" ref="L38">BC38</f>
        <v>0</v>
      </c>
      <c r="M38" s="41"/>
      <c r="N38" s="41"/>
      <c r="O38" s="41"/>
      <c r="P38" s="41"/>
      <c r="Q38" s="41"/>
      <c r="R38" s="41"/>
      <c r="S38" s="41"/>
      <c r="T38" s="365" t="b" cm="1">
        <f t="array" ref="T38">T37</f>
        <v>0</v>
      </c>
      <c r="U38" s="41"/>
      <c r="V38" s="41"/>
      <c r="X38" s="1075"/>
      <c r="Z38" s="1065"/>
      <c r="AB38" s="600">
        <v>10</v>
      </c>
      <c r="AC38" s="358" t="s">
        <v>1291</v>
      </c>
      <c r="AD38" s="26" t="s">
        <v>804</v>
      </c>
      <c r="AE38" s="167">
        <f t="shared" ref="AE38:BB38" si="3">SUM(AE39:AE40)</f>
        <v>0</v>
      </c>
      <c r="AF38" s="167">
        <f t="shared" si="3"/>
        <v>0</v>
      </c>
      <c r="AG38" s="167">
        <f t="shared" si="3"/>
        <v>0</v>
      </c>
      <c r="AH38" s="167">
        <f t="shared" si="3"/>
        <v>0</v>
      </c>
      <c r="AI38" s="167">
        <f t="shared" si="3"/>
        <v>0</v>
      </c>
      <c r="AJ38" s="167">
        <f t="shared" si="3"/>
        <v>0</v>
      </c>
      <c r="AK38" s="167">
        <f t="shared" si="3"/>
        <v>0</v>
      </c>
      <c r="AL38" s="167">
        <f t="shared" si="3"/>
        <v>0</v>
      </c>
      <c r="AM38" s="167">
        <f t="shared" si="3"/>
        <v>0</v>
      </c>
      <c r="AN38" s="167">
        <f t="shared" si="3"/>
        <v>0</v>
      </c>
      <c r="AO38" s="167">
        <f t="shared" si="3"/>
        <v>0</v>
      </c>
      <c r="AP38" s="167">
        <f t="shared" si="3"/>
        <v>0</v>
      </c>
      <c r="AQ38" s="167">
        <f t="shared" si="3"/>
        <v>0</v>
      </c>
      <c r="AR38" s="167">
        <f t="shared" si="3"/>
        <v>0</v>
      </c>
      <c r="AS38" s="167">
        <f t="shared" si="3"/>
        <v>0</v>
      </c>
      <c r="AT38" s="167">
        <f t="shared" si="3"/>
        <v>0</v>
      </c>
      <c r="AU38" s="167">
        <f t="shared" si="3"/>
        <v>0</v>
      </c>
      <c r="AV38" s="167">
        <f t="shared" si="3"/>
        <v>0</v>
      </c>
      <c r="AW38" s="167">
        <f t="shared" si="3"/>
        <v>0</v>
      </c>
      <c r="AX38" s="167">
        <f t="shared" si="3"/>
        <v>0</v>
      </c>
      <c r="AY38" s="167">
        <f t="shared" si="3"/>
        <v>0</v>
      </c>
      <c r="AZ38" s="167">
        <f t="shared" si="3"/>
        <v>0</v>
      </c>
      <c r="BA38" s="167">
        <f t="shared" si="3"/>
        <v>0</v>
      </c>
      <c r="BB38" s="167">
        <f t="shared" si="3"/>
        <v>0</v>
      </c>
      <c r="BC38" s="839"/>
      <c r="BF38" s="665" t="s">
        <v>1292</v>
      </c>
    </row>
    <row r="39" spans="1:62" ht="14.65" hidden="1" customHeight="1">
      <c r="B39" s="63"/>
      <c r="C39" s="41"/>
      <c r="D39" s="41"/>
      <c r="E39" s="460">
        <v>15</v>
      </c>
      <c r="F39" s="3" cm="1">
        <f t="array" aca="1" ref="F39" ca="1">OFFSET(E39,-1,1)</f>
        <v>0</v>
      </c>
      <c r="G39" s="41" t="s">
        <v>577</v>
      </c>
      <c r="H39" s="287"/>
      <c r="I39" s="422" cm="1">
        <f t="array" ref="I39">AC39</f>
        <v>0</v>
      </c>
      <c r="J39" s="41"/>
      <c r="K39" s="41"/>
      <c r="L39" s="41"/>
      <c r="M39" s="41"/>
      <c r="N39" s="41"/>
      <c r="O39" s="41"/>
      <c r="P39" s="41"/>
      <c r="Q39" s="41"/>
      <c r="R39" s="41"/>
      <c r="S39" s="41"/>
      <c r="T39" s="365" t="b">
        <f ca="1">AND(F39&gt;0,Y39&gt;0)</f>
        <v>0</v>
      </c>
      <c r="U39" s="41"/>
      <c r="V39" s="41"/>
      <c r="W39" s="528" t="s">
        <v>173</v>
      </c>
      <c r="X39" s="1075"/>
      <c r="Y39" s="57">
        <v>0</v>
      </c>
      <c r="Z39" s="1065"/>
      <c r="AA39" s="332" t="s">
        <v>174</v>
      </c>
      <c r="AB39" s="511" t="str">
        <f>"10."&amp;Y39</f>
        <v>10.0</v>
      </c>
      <c r="AC39" s="931"/>
      <c r="AD39" s="26" t="s">
        <v>804</v>
      </c>
      <c r="AE39" s="790"/>
      <c r="AF39" s="790"/>
      <c r="AG39" s="790"/>
      <c r="AH39" s="790"/>
      <c r="AI39" s="790"/>
      <c r="AJ39" s="790"/>
      <c r="AK39" s="790"/>
      <c r="AL39" s="790"/>
      <c r="AM39" s="790"/>
      <c r="AN39" s="790"/>
      <c r="AO39" s="790"/>
      <c r="AP39" s="790"/>
      <c r="AQ39" s="790"/>
      <c r="AR39" s="790"/>
      <c r="AS39" s="790"/>
      <c r="AT39" s="790"/>
      <c r="AU39" s="790"/>
      <c r="AV39" s="790"/>
      <c r="AW39" s="790"/>
      <c r="AX39" s="790"/>
      <c r="AY39" s="790"/>
      <c r="AZ39" s="790"/>
      <c r="BA39" s="790"/>
      <c r="BB39" s="790"/>
      <c r="BC39" s="839"/>
      <c r="BF39" s="665" t="s">
        <v>1292</v>
      </c>
      <c r="BG39" s="665" t="s">
        <v>1293</v>
      </c>
      <c r="BH39" s="696" cm="1">
        <f t="array" ref="BH39">AC39</f>
        <v>0</v>
      </c>
      <c r="BJ39" s="459" t="b">
        <v>1</v>
      </c>
    </row>
    <row r="40" spans="1:62" s="57" customFormat="1" ht="14.65" hidden="1" customHeight="1">
      <c r="B40" s="63"/>
      <c r="C40" s="41"/>
      <c r="D40" s="41"/>
      <c r="E40" s="460">
        <v>15</v>
      </c>
      <c r="F40" s="3" cm="1">
        <f t="array" aca="1" ref="F40" ca="1">OFFSET(E40,-1,1)</f>
        <v>0</v>
      </c>
      <c r="G40" s="41"/>
      <c r="I40" s="41" t="str">
        <f>"!=='не определено'"</f>
        <v>!=='не определено'</v>
      </c>
      <c r="J40" s="41"/>
      <c r="K40" s="41"/>
      <c r="L40" s="41"/>
      <c r="M40" s="41"/>
      <c r="N40" s="41"/>
      <c r="O40" s="41"/>
      <c r="P40" s="41"/>
      <c r="Q40" s="41"/>
      <c r="R40" s="41"/>
      <c r="S40" s="41"/>
      <c r="T40" s="365" t="b">
        <f ca="1">F40&gt;0</f>
        <v>0</v>
      </c>
      <c r="U40" s="41"/>
      <c r="V40" s="41"/>
      <c r="W40" s="528" t="s">
        <v>392</v>
      </c>
      <c r="X40" s="1075"/>
      <c r="Z40" s="1065"/>
      <c r="AB40" s="556"/>
      <c r="AC40" s="191" t="s">
        <v>177</v>
      </c>
      <c r="AD40" s="557"/>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5"/>
      <c r="BF40" s="665"/>
      <c r="BG40" s="665"/>
      <c r="BH40" s="665"/>
      <c r="BI40" s="459" t="s">
        <v>1293</v>
      </c>
      <c r="BJ40" s="459"/>
    </row>
    <row r="41" spans="1:62" s="408" customFormat="1" ht="14.25" customHeight="1">
      <c r="A41" s="57"/>
      <c r="B41" s="62"/>
      <c r="C41" s="57"/>
      <c r="D41" s="57"/>
      <c r="E41" s="459">
        <v>15</v>
      </c>
      <c r="F41" s="36" t="str" cm="1">
        <f t="array" ref="F41">X41</f>
        <v>1</v>
      </c>
      <c r="G41" s="57"/>
      <c r="H41" s="57"/>
      <c r="I41" s="57"/>
      <c r="J41" s="57"/>
      <c r="K41" s="57"/>
      <c r="L41" s="57"/>
      <c r="M41" s="57"/>
      <c r="N41" s="57"/>
      <c r="O41" s="57"/>
      <c r="P41" s="57"/>
      <c r="Q41" s="57"/>
      <c r="R41" s="57"/>
      <c r="S41" s="57"/>
      <c r="T41" s="365" t="b">
        <f>X41&gt;0</f>
        <v>1</v>
      </c>
      <c r="U41" s="57"/>
      <c r="V41" s="57" t="str" cm="1">
        <f t="array" ref="V41">'Сбытовые расходы ГО'!$AB$39</f>
        <v>Тариф 1 (Водоснабжение) - тариф на питьевую воду (Доп. признак не требуется)</v>
      </c>
      <c r="W41" s="57"/>
      <c r="X41" s="1075" t="s">
        <v>275</v>
      </c>
      <c r="Y41" s="57"/>
      <c r="Z41" s="1065"/>
      <c r="AA41" s="57"/>
      <c r="AB41" s="154" t="str" cm="1">
        <f t="array" ref="AB41">'Сбытовые расходы ГО'!$AB$39</f>
        <v>Тариф 1 (Водоснабжение) - тариф на питьевую воду (Доп. признак не требуется)</v>
      </c>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57"/>
      <c r="BE41" s="57"/>
      <c r="BF41" s="665"/>
      <c r="BG41" s="665"/>
      <c r="BH41" s="665"/>
      <c r="BI41" s="459"/>
      <c r="BJ41" s="459"/>
    </row>
    <row r="42" spans="1:62" s="408" customFormat="1" ht="33.75" customHeight="1">
      <c r="A42" s="57"/>
      <c r="B42" s="62"/>
      <c r="C42" s="57"/>
      <c r="D42" s="57"/>
      <c r="E42" s="459">
        <v>22.5</v>
      </c>
      <c r="F42" s="3" t="str" cm="1">
        <f t="array" aca="1" ref="F42" ca="1">OFFSET(E42,-1,1)</f>
        <v>1</v>
      </c>
      <c r="G42" s="57" t="s">
        <v>1250</v>
      </c>
      <c r="H42" s="57"/>
      <c r="I42" s="57"/>
      <c r="J42" s="57"/>
      <c r="K42" s="59" t="str">
        <f ca="1">F42&amp;"komm"</f>
        <v>1komm</v>
      </c>
      <c r="L42" s="618" t="str" cm="1">
        <f t="array" ref="L42">BC42</f>
        <v>В соответствии с п.п.2 п. 49 Методических указаний 1746-э.</v>
      </c>
      <c r="M42" s="57"/>
      <c r="N42" s="57"/>
      <c r="O42" s="57"/>
      <c r="P42" s="57"/>
      <c r="Q42" s="57"/>
      <c r="R42" s="57"/>
      <c r="S42" s="57"/>
      <c r="T42" s="365" t="b" cm="1">
        <f t="array" ref="T42">T41</f>
        <v>1</v>
      </c>
      <c r="U42" s="57"/>
      <c r="V42" s="57"/>
      <c r="W42" s="57"/>
      <c r="X42" s="1075"/>
      <c r="Y42" s="57"/>
      <c r="Z42" s="1065"/>
      <c r="AA42" s="57"/>
      <c r="AB42" s="166">
        <v>0</v>
      </c>
      <c r="AC42" s="151" t="s">
        <v>1269</v>
      </c>
      <c r="AD42" s="143" t="s">
        <v>804</v>
      </c>
      <c r="AE42" s="159">
        <f t="shared" ref="AE42:BB42" si="4">SUM(AE43:AE52)</f>
        <v>802.33002467979998</v>
      </c>
      <c r="AF42" s="159">
        <f t="shared" si="4"/>
        <v>862.56</v>
      </c>
      <c r="AG42" s="159">
        <f t="shared" si="4"/>
        <v>840.05</v>
      </c>
      <c r="AH42" s="159">
        <f t="shared" si="4"/>
        <v>908.82600000000002</v>
      </c>
      <c r="AI42" s="159">
        <f t="shared" si="4"/>
        <v>1363.12</v>
      </c>
      <c r="AJ42" s="159">
        <f t="shared" si="4"/>
        <v>0</v>
      </c>
      <c r="AK42" s="159">
        <f t="shared" si="4"/>
        <v>0</v>
      </c>
      <c r="AL42" s="159">
        <f t="shared" si="4"/>
        <v>0</v>
      </c>
      <c r="AM42" s="159">
        <f t="shared" si="4"/>
        <v>0</v>
      </c>
      <c r="AN42" s="159">
        <f t="shared" si="4"/>
        <v>0</v>
      </c>
      <c r="AO42" s="159">
        <f t="shared" si="4"/>
        <v>0</v>
      </c>
      <c r="AP42" s="159">
        <f t="shared" si="4"/>
        <v>0</v>
      </c>
      <c r="AQ42" s="159">
        <f t="shared" si="4"/>
        <v>0</v>
      </c>
      <c r="AR42" s="159">
        <f t="shared" si="4"/>
        <v>0</v>
      </c>
      <c r="AS42" s="159">
        <f t="shared" si="4"/>
        <v>949.77</v>
      </c>
      <c r="AT42" s="159">
        <f t="shared" si="4"/>
        <v>0</v>
      </c>
      <c r="AU42" s="159">
        <f t="shared" si="4"/>
        <v>0</v>
      </c>
      <c r="AV42" s="159">
        <f t="shared" si="4"/>
        <v>0</v>
      </c>
      <c r="AW42" s="159">
        <f t="shared" si="4"/>
        <v>0</v>
      </c>
      <c r="AX42" s="159">
        <f t="shared" si="4"/>
        <v>0</v>
      </c>
      <c r="AY42" s="159">
        <f t="shared" si="4"/>
        <v>0</v>
      </c>
      <c r="AZ42" s="159">
        <f t="shared" si="4"/>
        <v>0</v>
      </c>
      <c r="BA42" s="159">
        <f t="shared" si="4"/>
        <v>0</v>
      </c>
      <c r="BB42" s="159">
        <f t="shared" si="4"/>
        <v>0</v>
      </c>
      <c r="BC42" s="132" t="s">
        <v>1294</v>
      </c>
      <c r="BD42" s="57"/>
      <c r="BE42" s="57"/>
      <c r="BF42" s="665" t="s">
        <v>1270</v>
      </c>
      <c r="BG42" s="665"/>
      <c r="BH42" s="665"/>
      <c r="BI42" s="459"/>
      <c r="BJ42" s="459"/>
    </row>
    <row r="43" spans="1:62" s="408" customFormat="1" ht="0" hidden="1" customHeight="1">
      <c r="A43" s="57"/>
      <c r="B43" s="62"/>
      <c r="C43" s="57"/>
      <c r="D43" s="57"/>
      <c r="E43" s="459">
        <v>15</v>
      </c>
      <c r="F43" s="3" t="str" cm="1">
        <f t="array" aca="1" ref="F43" ca="1">OFFSET(E43,-1,1)</f>
        <v>1</v>
      </c>
      <c r="G43" s="57" t="s">
        <v>327</v>
      </c>
      <c r="H43" s="57"/>
      <c r="I43" s="57"/>
      <c r="J43" s="57"/>
      <c r="K43" s="59" t="str">
        <f ca="1">F43&amp;"1komm"</f>
        <v>11komm</v>
      </c>
      <c r="L43" s="618" cm="1">
        <f t="array" ref="L43">BC43</f>
        <v>0</v>
      </c>
      <c r="M43" s="57"/>
      <c r="N43" s="57"/>
      <c r="O43" s="57"/>
      <c r="P43" s="57"/>
      <c r="Q43" s="57"/>
      <c r="R43" s="57"/>
      <c r="S43" s="57"/>
      <c r="T43" s="365" t="b" cm="1">
        <f t="array" ref="T43">T42</f>
        <v>1</v>
      </c>
      <c r="U43" s="57"/>
      <c r="V43" s="57"/>
      <c r="W43" s="57"/>
      <c r="X43" s="1075"/>
      <c r="Y43" s="57"/>
      <c r="Z43" s="1065"/>
      <c r="AA43" s="57"/>
      <c r="AB43" s="152" t="s">
        <v>275</v>
      </c>
      <c r="AC43" s="358" t="s">
        <v>1271</v>
      </c>
      <c r="AD43" s="26" t="s">
        <v>804</v>
      </c>
      <c r="AE43" s="160"/>
      <c r="AF43" s="161"/>
      <c r="AG43" s="161"/>
      <c r="AH43" s="161"/>
      <c r="AI43" s="161"/>
      <c r="AJ43" s="929"/>
      <c r="AK43" s="929"/>
      <c r="AL43" s="929"/>
      <c r="AM43" s="929"/>
      <c r="AN43" s="929"/>
      <c r="AO43" s="929"/>
      <c r="AP43" s="929"/>
      <c r="AQ43" s="929"/>
      <c r="AR43" s="929"/>
      <c r="AS43" s="161"/>
      <c r="AT43" s="929"/>
      <c r="AU43" s="929"/>
      <c r="AV43" s="929"/>
      <c r="AW43" s="929"/>
      <c r="AX43" s="929"/>
      <c r="AY43" s="929"/>
      <c r="AZ43" s="929"/>
      <c r="BA43" s="929"/>
      <c r="BB43" s="929"/>
      <c r="BC43" s="132"/>
      <c r="BD43" s="57"/>
      <c r="BE43" s="57"/>
      <c r="BF43" s="665" t="s">
        <v>1272</v>
      </c>
      <c r="BG43" s="665"/>
      <c r="BH43" s="665"/>
      <c r="BI43" s="459"/>
      <c r="BJ43" s="459"/>
    </row>
    <row r="44" spans="1:62" s="408" customFormat="1" ht="0" hidden="1" customHeight="1">
      <c r="A44" s="57"/>
      <c r="B44" s="63"/>
      <c r="C44" s="41"/>
      <c r="D44" s="41"/>
      <c r="E44" s="460">
        <v>22.5</v>
      </c>
      <c r="F44" s="3" t="str" cm="1">
        <f t="array" aca="1" ref="F44" ca="1">OFFSET(E44,-1,1)</f>
        <v>1</v>
      </c>
      <c r="G44" s="41" t="s">
        <v>328</v>
      </c>
      <c r="H44" s="41"/>
      <c r="I44" s="41"/>
      <c r="J44" s="41"/>
      <c r="K44" s="59" t="str">
        <f ca="1">F44&amp;"2komm"</f>
        <v>12komm</v>
      </c>
      <c r="L44" s="618" cm="1">
        <f t="array" ref="L44">BC44</f>
        <v>0</v>
      </c>
      <c r="M44" s="41"/>
      <c r="N44" s="41"/>
      <c r="O44" s="41"/>
      <c r="P44" s="41"/>
      <c r="Q44" s="41"/>
      <c r="R44" s="41"/>
      <c r="S44" s="41"/>
      <c r="T44" s="365" t="b" cm="1">
        <f t="array" ref="T44">T43</f>
        <v>1</v>
      </c>
      <c r="U44" s="41"/>
      <c r="V44" s="41"/>
      <c r="W44" s="57"/>
      <c r="X44" s="1075"/>
      <c r="Y44" s="57"/>
      <c r="Z44" s="1065"/>
      <c r="AA44" s="57"/>
      <c r="AB44" s="152" t="s">
        <v>285</v>
      </c>
      <c r="AC44" s="358" t="s">
        <v>1273</v>
      </c>
      <c r="AD44" s="26" t="s">
        <v>804</v>
      </c>
      <c r="AE44" s="160"/>
      <c r="AF44" s="161"/>
      <c r="AG44" s="161"/>
      <c r="AH44" s="161"/>
      <c r="AI44" s="161"/>
      <c r="AJ44" s="929"/>
      <c r="AK44" s="929"/>
      <c r="AL44" s="929"/>
      <c r="AM44" s="929"/>
      <c r="AN44" s="929"/>
      <c r="AO44" s="929"/>
      <c r="AP44" s="929"/>
      <c r="AQ44" s="929"/>
      <c r="AR44" s="929"/>
      <c r="AS44" s="161"/>
      <c r="AT44" s="929"/>
      <c r="AU44" s="929"/>
      <c r="AV44" s="929"/>
      <c r="AW44" s="929"/>
      <c r="AX44" s="929"/>
      <c r="AY44" s="929"/>
      <c r="AZ44" s="929"/>
      <c r="BA44" s="929"/>
      <c r="BB44" s="929"/>
      <c r="BC44" s="132"/>
      <c r="BD44" s="57"/>
      <c r="BE44" s="57"/>
      <c r="BF44" s="665" t="s">
        <v>1274</v>
      </c>
      <c r="BG44" s="665"/>
      <c r="BH44" s="665"/>
      <c r="BI44" s="459"/>
      <c r="BJ44" s="459"/>
    </row>
    <row r="45" spans="1:62" s="408" customFormat="1" ht="0" hidden="1" customHeight="1">
      <c r="A45" s="57"/>
      <c r="B45" s="63"/>
      <c r="C45" s="41"/>
      <c r="D45" s="41"/>
      <c r="E45" s="460">
        <v>22.5</v>
      </c>
      <c r="F45" s="3" t="str" cm="1">
        <f t="array" aca="1" ref="F45" ca="1">OFFSET(E45,-1,1)</f>
        <v>1</v>
      </c>
      <c r="G45" s="41" t="s">
        <v>329</v>
      </c>
      <c r="H45" s="41" t="s">
        <v>1275</v>
      </c>
      <c r="I45" s="41"/>
      <c r="J45" s="41"/>
      <c r="K45" s="59" t="str">
        <f ca="1">F45&amp;"3komm"</f>
        <v>13komm</v>
      </c>
      <c r="L45" s="618" cm="1">
        <f t="array" ref="L45">BC45</f>
        <v>0</v>
      </c>
      <c r="M45" s="41"/>
      <c r="N45" s="41"/>
      <c r="O45" s="41"/>
      <c r="P45" s="41"/>
      <c r="Q45" s="41"/>
      <c r="R45" s="41"/>
      <c r="S45" s="41"/>
      <c r="T45" s="365" t="b" cm="1">
        <f t="array" ref="T45">T44</f>
        <v>1</v>
      </c>
      <c r="U45" s="41"/>
      <c r="V45" s="41"/>
      <c r="W45" s="57"/>
      <c r="X45" s="1075"/>
      <c r="Y45" s="57"/>
      <c r="Z45" s="1065"/>
      <c r="AA45" s="57"/>
      <c r="AB45" s="152" t="s">
        <v>325</v>
      </c>
      <c r="AC45" s="358" t="s">
        <v>1276</v>
      </c>
      <c r="AD45" s="26" t="s">
        <v>804</v>
      </c>
      <c r="AE45" s="160"/>
      <c r="AF45" s="161"/>
      <c r="AG45" s="161"/>
      <c r="AH45" s="161"/>
      <c r="AI45" s="161"/>
      <c r="AJ45" s="929"/>
      <c r="AK45" s="929"/>
      <c r="AL45" s="929"/>
      <c r="AM45" s="929"/>
      <c r="AN45" s="929"/>
      <c r="AO45" s="929"/>
      <c r="AP45" s="929"/>
      <c r="AQ45" s="929"/>
      <c r="AR45" s="929"/>
      <c r="AS45" s="161"/>
      <c r="AT45" s="929"/>
      <c r="AU45" s="929"/>
      <c r="AV45" s="929"/>
      <c r="AW45" s="929"/>
      <c r="AX45" s="929"/>
      <c r="AY45" s="929"/>
      <c r="AZ45" s="929"/>
      <c r="BA45" s="929"/>
      <c r="BB45" s="929"/>
      <c r="BC45" s="132"/>
      <c r="BD45" s="57"/>
      <c r="BE45" s="57"/>
      <c r="BF45" s="665" t="s">
        <v>1277</v>
      </c>
      <c r="BG45" s="665"/>
      <c r="BH45" s="665"/>
      <c r="BI45" s="459"/>
      <c r="BJ45" s="459"/>
    </row>
    <row r="46" spans="1:62" ht="44.25" customHeight="1">
      <c r="B46" s="63"/>
      <c r="C46" s="41"/>
      <c r="D46" s="41"/>
      <c r="E46" s="460">
        <v>15</v>
      </c>
      <c r="F46" s="3" t="str" cm="1">
        <f t="array" aca="1" ref="F46" ca="1">OFFSET(E46,-1,1)</f>
        <v>1</v>
      </c>
      <c r="G46" s="41" t="s">
        <v>331</v>
      </c>
      <c r="H46" s="41"/>
      <c r="I46" s="41"/>
      <c r="J46" s="41"/>
      <c r="K46" s="59" t="str">
        <f ca="1">F46&amp;"4komm"</f>
        <v>14komm</v>
      </c>
      <c r="L46" s="618" t="str" cm="1">
        <f t="array" ref="L46">BC46</f>
        <v>рассчитано по фактическим объемам 2024 года, указанных в декларации, с учетом ставок в соответствии с п.1.1. ст. 333.12 НК РФ (часть вторая) от 05.08.2000 № 117-ФЗ.</v>
      </c>
      <c r="M46" s="41"/>
      <c r="N46" s="41"/>
      <c r="O46" s="41"/>
      <c r="P46" s="41"/>
      <c r="Q46" s="41"/>
      <c r="R46" s="41"/>
      <c r="S46" s="41"/>
      <c r="T46" s="365" t="b" cm="1">
        <f t="array" ref="T46">T45</f>
        <v>1</v>
      </c>
      <c r="U46" s="41"/>
      <c r="V46" s="41"/>
      <c r="X46" s="1075"/>
      <c r="Z46" s="1065"/>
      <c r="AB46" s="600">
        <v>4</v>
      </c>
      <c r="AC46" s="358" t="s">
        <v>1278</v>
      </c>
      <c r="AD46" s="26" t="s">
        <v>804</v>
      </c>
      <c r="AE46" s="162">
        <v>426.29325799999998</v>
      </c>
      <c r="AF46" s="162">
        <v>451.78</v>
      </c>
      <c r="AG46" s="162" cm="1">
        <f t="array" ref="AG46">AF46</f>
        <v>451.78</v>
      </c>
      <c r="AH46" s="162">
        <v>499.24599999999998</v>
      </c>
      <c r="AI46" s="162">
        <v>558.63</v>
      </c>
      <c r="AJ46" s="930"/>
      <c r="AK46" s="930"/>
      <c r="AL46" s="930"/>
      <c r="AM46" s="930"/>
      <c r="AN46" s="930"/>
      <c r="AO46" s="930"/>
      <c r="AP46" s="930"/>
      <c r="AQ46" s="930"/>
      <c r="AR46" s="930"/>
      <c r="AS46" s="162">
        <v>501.56</v>
      </c>
      <c r="AT46" s="930"/>
      <c r="AU46" s="930"/>
      <c r="AV46" s="930"/>
      <c r="AW46" s="930"/>
      <c r="AX46" s="930"/>
      <c r="AY46" s="930"/>
      <c r="AZ46" s="930"/>
      <c r="BA46" s="930"/>
      <c r="BB46" s="930"/>
      <c r="BC46" s="132" t="s">
        <v>1295</v>
      </c>
      <c r="BF46" s="665" t="s">
        <v>1279</v>
      </c>
    </row>
    <row r="47" spans="1:62" s="408" customFormat="1" ht="0" hidden="1" customHeight="1">
      <c r="A47" s="57"/>
      <c r="B47" s="63"/>
      <c r="C47" s="41"/>
      <c r="D47" s="41"/>
      <c r="E47" s="460">
        <v>15</v>
      </c>
      <c r="F47" s="3" t="str" cm="1">
        <f t="array" aca="1" ref="F47" ca="1">OFFSET(E47,-1,1)</f>
        <v>1</v>
      </c>
      <c r="G47" s="41" t="s">
        <v>330</v>
      </c>
      <c r="H47" s="41"/>
      <c r="I47" s="41"/>
      <c r="J47" s="41"/>
      <c r="K47" s="59" t="str">
        <f ca="1">F47&amp;"5komm"</f>
        <v>15komm</v>
      </c>
      <c r="L47" s="618" cm="1">
        <f t="array" ref="L47">BC47</f>
        <v>0</v>
      </c>
      <c r="M47" s="41"/>
      <c r="N47" s="41"/>
      <c r="O47" s="41"/>
      <c r="P47" s="41"/>
      <c r="Q47" s="41"/>
      <c r="R47" s="41"/>
      <c r="S47" s="41"/>
      <c r="T47" s="365" t="b" cm="1">
        <f t="array" ref="T47">T46</f>
        <v>1</v>
      </c>
      <c r="U47" s="41"/>
      <c r="V47" s="41"/>
      <c r="W47" s="57"/>
      <c r="X47" s="1075"/>
      <c r="Y47" s="57"/>
      <c r="Z47" s="1065"/>
      <c r="AA47" s="57"/>
      <c r="AB47" s="152" t="s">
        <v>444</v>
      </c>
      <c r="AC47" s="358" t="s">
        <v>1280</v>
      </c>
      <c r="AD47" s="26" t="s">
        <v>804</v>
      </c>
      <c r="AE47" s="160"/>
      <c r="AF47" s="160"/>
      <c r="AG47" s="160"/>
      <c r="AH47" s="160"/>
      <c r="AI47" s="160"/>
      <c r="AJ47" s="790"/>
      <c r="AK47" s="790"/>
      <c r="AL47" s="790"/>
      <c r="AM47" s="790"/>
      <c r="AN47" s="790"/>
      <c r="AO47" s="790"/>
      <c r="AP47" s="790"/>
      <c r="AQ47" s="790"/>
      <c r="AR47" s="790"/>
      <c r="AS47" s="160"/>
      <c r="AT47" s="790"/>
      <c r="AU47" s="790"/>
      <c r="AV47" s="790"/>
      <c r="AW47" s="790"/>
      <c r="AX47" s="790"/>
      <c r="AY47" s="790"/>
      <c r="AZ47" s="790"/>
      <c r="BA47" s="790"/>
      <c r="BB47" s="790"/>
      <c r="BC47" s="132"/>
      <c r="BD47" s="57"/>
      <c r="BE47" s="57"/>
      <c r="BF47" s="665" t="s">
        <v>1281</v>
      </c>
      <c r="BG47" s="665"/>
      <c r="BH47" s="665"/>
      <c r="BI47" s="459"/>
      <c r="BJ47" s="459"/>
    </row>
    <row r="48" spans="1:62" s="408" customFormat="1" ht="0" hidden="1" customHeight="1">
      <c r="A48" s="57"/>
      <c r="B48" s="63"/>
      <c r="C48" s="41"/>
      <c r="D48" s="41"/>
      <c r="E48" s="460">
        <v>15</v>
      </c>
      <c r="F48" s="3" t="str" cm="1">
        <f t="array" aca="1" ref="F48" ca="1">OFFSET(E48,-1,1)</f>
        <v>1</v>
      </c>
      <c r="G48" s="41" t="s">
        <v>511</v>
      </c>
      <c r="H48" s="41"/>
      <c r="I48" s="41"/>
      <c r="J48" s="41"/>
      <c r="K48" s="59" t="str">
        <f ca="1">F48&amp;"6komm"</f>
        <v>16komm</v>
      </c>
      <c r="L48" s="618" cm="1">
        <f t="array" ref="L48">BC48</f>
        <v>0</v>
      </c>
      <c r="M48" s="41"/>
      <c r="N48" s="41"/>
      <c r="O48" s="41"/>
      <c r="P48" s="41"/>
      <c r="Q48" s="41"/>
      <c r="R48" s="41"/>
      <c r="S48" s="41"/>
      <c r="T48" s="365" t="b" cm="1">
        <f t="array" ref="T48">T47</f>
        <v>1</v>
      </c>
      <c r="U48" s="41"/>
      <c r="V48" s="41"/>
      <c r="W48" s="57"/>
      <c r="X48" s="1075"/>
      <c r="Y48" s="57"/>
      <c r="Z48" s="1065"/>
      <c r="AA48" s="57"/>
      <c r="AB48" s="152" t="s">
        <v>447</v>
      </c>
      <c r="AC48" s="358" t="s">
        <v>1282</v>
      </c>
      <c r="AD48" s="26" t="s">
        <v>804</v>
      </c>
      <c r="AE48" s="160"/>
      <c r="AF48" s="160"/>
      <c r="AG48" s="160"/>
      <c r="AH48" s="160"/>
      <c r="AI48" s="160"/>
      <c r="AJ48" s="790"/>
      <c r="AK48" s="790"/>
      <c r="AL48" s="790"/>
      <c r="AM48" s="790"/>
      <c r="AN48" s="790"/>
      <c r="AO48" s="790"/>
      <c r="AP48" s="790"/>
      <c r="AQ48" s="790"/>
      <c r="AR48" s="790"/>
      <c r="AS48" s="160"/>
      <c r="AT48" s="790"/>
      <c r="AU48" s="790"/>
      <c r="AV48" s="790"/>
      <c r="AW48" s="790"/>
      <c r="AX48" s="790"/>
      <c r="AY48" s="790"/>
      <c r="AZ48" s="790"/>
      <c r="BA48" s="790"/>
      <c r="BB48" s="790"/>
      <c r="BC48" s="132"/>
      <c r="BD48" s="57"/>
      <c r="BE48" s="57"/>
      <c r="BF48" s="665" t="s">
        <v>1283</v>
      </c>
      <c r="BG48" s="665"/>
      <c r="BH48" s="665"/>
      <c r="BI48" s="459"/>
      <c r="BJ48" s="459"/>
    </row>
    <row r="49" spans="1:62" s="408" customFormat="1" ht="0" hidden="1" customHeight="1">
      <c r="A49" s="57"/>
      <c r="B49" s="63"/>
      <c r="C49" s="41"/>
      <c r="D49" s="41"/>
      <c r="E49" s="460">
        <v>15</v>
      </c>
      <c r="F49" s="3" t="str" cm="1">
        <f t="array" aca="1" ref="F49" ca="1">OFFSET(E49,-1,1)</f>
        <v>1</v>
      </c>
      <c r="G49" s="41" t="s">
        <v>514</v>
      </c>
      <c r="H49" s="41" t="s">
        <v>1284</v>
      </c>
      <c r="I49" s="41"/>
      <c r="J49" s="41"/>
      <c r="K49" s="59" t="str">
        <f ca="1">F49&amp;"7komm"</f>
        <v>17komm</v>
      </c>
      <c r="L49" s="618" cm="1">
        <f t="array" ref="L49">BC49</f>
        <v>0</v>
      </c>
      <c r="M49" s="41"/>
      <c r="N49" s="41"/>
      <c r="O49" s="41"/>
      <c r="P49" s="41"/>
      <c r="Q49" s="41"/>
      <c r="R49" s="41"/>
      <c r="S49" s="41"/>
      <c r="T49" s="365" t="b" cm="1">
        <f t="array" ref="T49">T48</f>
        <v>1</v>
      </c>
      <c r="U49" s="41"/>
      <c r="V49" s="41"/>
      <c r="W49" s="57"/>
      <c r="X49" s="1075"/>
      <c r="Y49" s="57"/>
      <c r="Z49" s="1065"/>
      <c r="AA49" s="57"/>
      <c r="AB49" s="152" t="s">
        <v>578</v>
      </c>
      <c r="AC49" s="358" t="s">
        <v>1285</v>
      </c>
      <c r="AD49" s="26" t="s">
        <v>804</v>
      </c>
      <c r="AE49" s="160"/>
      <c r="AF49" s="160"/>
      <c r="AG49" s="160"/>
      <c r="AH49" s="160"/>
      <c r="AI49" s="160"/>
      <c r="AJ49" s="790"/>
      <c r="AK49" s="790"/>
      <c r="AL49" s="790"/>
      <c r="AM49" s="790"/>
      <c r="AN49" s="790"/>
      <c r="AO49" s="790"/>
      <c r="AP49" s="790"/>
      <c r="AQ49" s="790"/>
      <c r="AR49" s="790"/>
      <c r="AS49" s="160"/>
      <c r="AT49" s="790"/>
      <c r="AU49" s="790"/>
      <c r="AV49" s="790"/>
      <c r="AW49" s="790"/>
      <c r="AX49" s="790"/>
      <c r="AY49" s="790"/>
      <c r="AZ49" s="790"/>
      <c r="BA49" s="790"/>
      <c r="BB49" s="790"/>
      <c r="BC49" s="132"/>
      <c r="BD49" s="57"/>
      <c r="BE49" s="57"/>
      <c r="BF49" s="665" t="s">
        <v>1286</v>
      </c>
      <c r="BG49" s="665"/>
      <c r="BH49" s="665"/>
      <c r="BI49" s="459"/>
      <c r="BJ49" s="459"/>
    </row>
    <row r="50" spans="1:62" s="408" customFormat="1" ht="44.25" customHeight="1">
      <c r="A50" s="57"/>
      <c r="B50" s="63"/>
      <c r="C50" s="41"/>
      <c r="D50" s="41"/>
      <c r="E50" s="460">
        <v>22.5</v>
      </c>
      <c r="F50" s="3" t="str" cm="1">
        <f t="array" aca="1" ref="F50" ca="1">OFFSET(E50,-1,1)</f>
        <v>1</v>
      </c>
      <c r="G50" s="41" t="s">
        <v>562</v>
      </c>
      <c r="H50" s="41"/>
      <c r="I50" s="41"/>
      <c r="J50" s="41"/>
      <c r="K50" s="59" t="str">
        <f ca="1">F50&amp;"8komm"</f>
        <v>18komm</v>
      </c>
      <c r="L50" s="618" t="str" cm="1">
        <f t="array" ref="L50">BC50</f>
        <v>Расходы рассчитаны в размере 1% от необходимой валовой выручки, в соответствии с абзацем 2 п. 1 ст. 346.20 Налогового кодекса Российской Федерации (часть вторая) от 05.08.2000 № 117-ФЗ.</v>
      </c>
      <c r="M50" s="41"/>
      <c r="N50" s="41"/>
      <c r="O50" s="41"/>
      <c r="P50" s="41"/>
      <c r="Q50" s="41"/>
      <c r="R50" s="41"/>
      <c r="S50" s="41"/>
      <c r="T50" s="365" t="b" cm="1">
        <f t="array" ref="T50">T49</f>
        <v>1</v>
      </c>
      <c r="U50" s="41"/>
      <c r="V50" s="41"/>
      <c r="W50" s="57"/>
      <c r="X50" s="1075"/>
      <c r="Y50" s="57"/>
      <c r="Z50" s="1065"/>
      <c r="AA50" s="57"/>
      <c r="AB50" s="152" t="s">
        <v>586</v>
      </c>
      <c r="AC50" s="358" t="s">
        <v>1287</v>
      </c>
      <c r="AD50" s="26" t="s">
        <v>804</v>
      </c>
      <c r="AE50" s="160">
        <v>376.0367666798</v>
      </c>
      <c r="AF50" s="160">
        <v>410.78</v>
      </c>
      <c r="AG50" s="160">
        <v>388.27</v>
      </c>
      <c r="AH50" s="160">
        <v>409.58</v>
      </c>
      <c r="AI50" s="160">
        <v>804.49</v>
      </c>
      <c r="AJ50" s="790"/>
      <c r="AK50" s="790"/>
      <c r="AL50" s="790"/>
      <c r="AM50" s="790"/>
      <c r="AN50" s="790"/>
      <c r="AO50" s="790"/>
      <c r="AP50" s="790"/>
      <c r="AQ50" s="790"/>
      <c r="AR50" s="790"/>
      <c r="AS50" s="160">
        <v>448.21</v>
      </c>
      <c r="AT50" s="790"/>
      <c r="AU50" s="790"/>
      <c r="AV50" s="790"/>
      <c r="AW50" s="790"/>
      <c r="AX50" s="790"/>
      <c r="AY50" s="790"/>
      <c r="AZ50" s="790"/>
      <c r="BA50" s="790"/>
      <c r="BB50" s="790"/>
      <c r="BC50" s="132" t="s">
        <v>1296</v>
      </c>
      <c r="BD50" s="57"/>
      <c r="BE50" s="57"/>
      <c r="BF50" s="665" t="s">
        <v>1288</v>
      </c>
      <c r="BG50" s="665"/>
      <c r="BH50" s="665"/>
      <c r="BI50" s="459"/>
      <c r="BJ50" s="459"/>
    </row>
    <row r="51" spans="1:62" s="59" customFormat="1" ht="0" hidden="1" customHeight="1">
      <c r="B51" s="63"/>
      <c r="C51" s="41"/>
      <c r="D51" s="41"/>
      <c r="E51" s="460">
        <v>22.5</v>
      </c>
      <c r="F51" s="3" t="str" cm="1">
        <f t="array" aca="1" ref="F51" ca="1">OFFSET(E51,-1,1)</f>
        <v>1</v>
      </c>
      <c r="G51" s="41"/>
      <c r="H51" s="41"/>
      <c r="I51" s="41"/>
      <c r="J51" s="41"/>
      <c r="K51" s="59" t="str">
        <f ca="1">F51&amp;"9komm"</f>
        <v>19komm</v>
      </c>
      <c r="L51" s="618" cm="1">
        <f t="array" ref="L51">BC51</f>
        <v>0</v>
      </c>
      <c r="M51" s="41"/>
      <c r="N51" s="41"/>
      <c r="O51" s="41"/>
      <c r="P51" s="41"/>
      <c r="Q51" s="41"/>
      <c r="R51" s="41"/>
      <c r="S51" s="41"/>
      <c r="T51" s="365" t="b" cm="1">
        <f t="array" ref="T51">T50</f>
        <v>1</v>
      </c>
      <c r="U51" s="41"/>
      <c r="V51" s="41"/>
      <c r="X51" s="1075"/>
      <c r="Z51" s="1065"/>
      <c r="AB51" s="152" t="s">
        <v>744</v>
      </c>
      <c r="AC51" s="358" t="s">
        <v>1289</v>
      </c>
      <c r="AD51" s="26" t="s">
        <v>804</v>
      </c>
      <c r="AE51" s="160"/>
      <c r="AF51" s="160"/>
      <c r="AG51" s="160"/>
      <c r="AH51" s="160"/>
      <c r="AI51" s="160"/>
      <c r="AJ51" s="790"/>
      <c r="AK51" s="790"/>
      <c r="AL51" s="790"/>
      <c r="AM51" s="790"/>
      <c r="AN51" s="790"/>
      <c r="AO51" s="790"/>
      <c r="AP51" s="790"/>
      <c r="AQ51" s="790"/>
      <c r="AR51" s="790"/>
      <c r="AS51" s="160"/>
      <c r="AT51" s="790"/>
      <c r="AU51" s="790"/>
      <c r="AV51" s="790"/>
      <c r="AW51" s="790"/>
      <c r="AX51" s="790"/>
      <c r="AY51" s="790"/>
      <c r="AZ51" s="790"/>
      <c r="BA51" s="790"/>
      <c r="BB51" s="790"/>
      <c r="BC51" s="215"/>
      <c r="BF51" s="671" t="s">
        <v>1290</v>
      </c>
      <c r="BG51" s="671"/>
      <c r="BH51" s="671"/>
      <c r="BI51" s="513"/>
      <c r="BJ51" s="513"/>
    </row>
    <row r="52" spans="1:62" ht="0" hidden="1" customHeight="1">
      <c r="B52" s="63"/>
      <c r="C52" s="41"/>
      <c r="D52" s="41"/>
      <c r="E52" s="460">
        <v>15</v>
      </c>
      <c r="F52" s="3" t="str" cm="1">
        <f t="array" aca="1" ref="F52" ca="1">OFFSET(E52,-1,1)</f>
        <v>1</v>
      </c>
      <c r="G52" s="41" t="s">
        <v>577</v>
      </c>
      <c r="H52" s="287"/>
      <c r="I52" s="41"/>
      <c r="J52" s="41"/>
      <c r="K52" s="59" t="str">
        <f ca="1">F52&amp;"10komm"</f>
        <v>110komm</v>
      </c>
      <c r="L52" s="618" cm="1">
        <f t="array" ref="L52">BC52</f>
        <v>0</v>
      </c>
      <c r="M52" s="41"/>
      <c r="N52" s="41"/>
      <c r="O52" s="41"/>
      <c r="P52" s="41"/>
      <c r="Q52" s="41"/>
      <c r="R52" s="41"/>
      <c r="S52" s="41"/>
      <c r="T52" s="365" t="b" cm="1">
        <f t="array" ref="T52">T51</f>
        <v>1</v>
      </c>
      <c r="U52" s="41"/>
      <c r="V52" s="41"/>
      <c r="X52" s="1075"/>
      <c r="Z52" s="1065"/>
      <c r="AB52" s="600">
        <v>10</v>
      </c>
      <c r="AC52" s="358" t="s">
        <v>1291</v>
      </c>
      <c r="AD52" s="26" t="s">
        <v>804</v>
      </c>
      <c r="AE52" s="167">
        <f t="shared" ref="AE52:BB52" si="5">SUM(AE53:AE54)</f>
        <v>0</v>
      </c>
      <c r="AF52" s="167">
        <f t="shared" si="5"/>
        <v>0</v>
      </c>
      <c r="AG52" s="167">
        <f t="shared" si="5"/>
        <v>0</v>
      </c>
      <c r="AH52" s="167">
        <f t="shared" si="5"/>
        <v>0</v>
      </c>
      <c r="AI52" s="167">
        <f t="shared" si="5"/>
        <v>0</v>
      </c>
      <c r="AJ52" s="167">
        <f t="shared" si="5"/>
        <v>0</v>
      </c>
      <c r="AK52" s="167">
        <f t="shared" si="5"/>
        <v>0</v>
      </c>
      <c r="AL52" s="167">
        <f t="shared" si="5"/>
        <v>0</v>
      </c>
      <c r="AM52" s="167">
        <f t="shared" si="5"/>
        <v>0</v>
      </c>
      <c r="AN52" s="167">
        <f t="shared" si="5"/>
        <v>0</v>
      </c>
      <c r="AO52" s="167">
        <f t="shared" si="5"/>
        <v>0</v>
      </c>
      <c r="AP52" s="167">
        <f t="shared" si="5"/>
        <v>0</v>
      </c>
      <c r="AQ52" s="167">
        <f t="shared" si="5"/>
        <v>0</v>
      </c>
      <c r="AR52" s="167">
        <f t="shared" si="5"/>
        <v>0</v>
      </c>
      <c r="AS52" s="167">
        <f t="shared" si="5"/>
        <v>0</v>
      </c>
      <c r="AT52" s="167">
        <f t="shared" si="5"/>
        <v>0</v>
      </c>
      <c r="AU52" s="167">
        <f t="shared" si="5"/>
        <v>0</v>
      </c>
      <c r="AV52" s="167">
        <f t="shared" si="5"/>
        <v>0</v>
      </c>
      <c r="AW52" s="167">
        <f t="shared" si="5"/>
        <v>0</v>
      </c>
      <c r="AX52" s="167">
        <f t="shared" si="5"/>
        <v>0</v>
      </c>
      <c r="AY52" s="167">
        <f t="shared" si="5"/>
        <v>0</v>
      </c>
      <c r="AZ52" s="167">
        <f t="shared" si="5"/>
        <v>0</v>
      </c>
      <c r="BA52" s="167">
        <f t="shared" si="5"/>
        <v>0</v>
      </c>
      <c r="BB52" s="167">
        <f t="shared" si="5"/>
        <v>0</v>
      </c>
      <c r="BC52" s="132"/>
      <c r="BF52" s="665" t="s">
        <v>1292</v>
      </c>
    </row>
    <row r="53" spans="1:62" ht="14.25" hidden="1" customHeight="1">
      <c r="B53" s="63"/>
      <c r="C53" s="41"/>
      <c r="D53" s="41"/>
      <c r="E53" s="460">
        <v>15</v>
      </c>
      <c r="F53" s="3" t="str" cm="1">
        <f t="array" aca="1" ref="F53" ca="1">OFFSET(E53,-1,1)</f>
        <v>1</v>
      </c>
      <c r="G53" s="41" t="s">
        <v>577</v>
      </c>
      <c r="H53" s="287"/>
      <c r="I53" s="422" cm="1">
        <f t="array" ref="I53">AC53</f>
        <v>0</v>
      </c>
      <c r="J53" s="41"/>
      <c r="K53" s="41"/>
      <c r="L53" s="41"/>
      <c r="M53" s="41"/>
      <c r="N53" s="41"/>
      <c r="O53" s="41"/>
      <c r="P53" s="41"/>
      <c r="Q53" s="41"/>
      <c r="R53" s="41"/>
      <c r="S53" s="41"/>
      <c r="T53" s="365" t="b">
        <f ca="1">AND(F53&gt;0,Y53&gt;0)</f>
        <v>0</v>
      </c>
      <c r="U53" s="41"/>
      <c r="V53" s="41"/>
      <c r="W53" s="528" t="s">
        <v>173</v>
      </c>
      <c r="X53" s="1075"/>
      <c r="Y53" s="57">
        <v>0</v>
      </c>
      <c r="Z53" s="1065"/>
      <c r="AA53" s="332" t="s">
        <v>174</v>
      </c>
      <c r="AB53" s="511" t="str">
        <f>"10."&amp;Y53</f>
        <v>10.0</v>
      </c>
      <c r="AC53" s="931"/>
      <c r="AD53" s="26" t="s">
        <v>804</v>
      </c>
      <c r="AE53" s="790"/>
      <c r="AF53" s="790"/>
      <c r="AG53" s="790"/>
      <c r="AH53" s="790"/>
      <c r="AI53" s="790"/>
      <c r="AJ53" s="790"/>
      <c r="AK53" s="790"/>
      <c r="AL53" s="790"/>
      <c r="AM53" s="790"/>
      <c r="AN53" s="790"/>
      <c r="AO53" s="790"/>
      <c r="AP53" s="790"/>
      <c r="AQ53" s="790"/>
      <c r="AR53" s="790"/>
      <c r="AS53" s="790"/>
      <c r="AT53" s="790"/>
      <c r="AU53" s="790"/>
      <c r="AV53" s="790"/>
      <c r="AW53" s="790"/>
      <c r="AX53" s="790"/>
      <c r="AY53" s="790"/>
      <c r="AZ53" s="790"/>
      <c r="BA53" s="790"/>
      <c r="BB53" s="790"/>
      <c r="BC53" s="839"/>
      <c r="BF53" s="665" t="s">
        <v>1292</v>
      </c>
      <c r="BG53" s="665" t="s">
        <v>1293</v>
      </c>
      <c r="BH53" s="696" cm="1">
        <f t="array" ref="BH53">AC53</f>
        <v>0</v>
      </c>
      <c r="BJ53" s="459" t="b">
        <v>1</v>
      </c>
    </row>
    <row r="54" spans="1:62" s="408" customFormat="1" ht="14.25" customHeight="1">
      <c r="A54" s="57"/>
      <c r="B54" s="63"/>
      <c r="C54" s="41"/>
      <c r="D54" s="41"/>
      <c r="E54" s="460">
        <v>15</v>
      </c>
      <c r="F54" s="3" t="str" cm="1">
        <f t="array" aca="1" ref="F54" ca="1">OFFSET(E54,-1,1)</f>
        <v>1</v>
      </c>
      <c r="G54" s="41"/>
      <c r="H54" s="57"/>
      <c r="I54" s="41" t="str">
        <f>"!=='не определено'"</f>
        <v>!=='не определено'</v>
      </c>
      <c r="J54" s="41"/>
      <c r="K54" s="41"/>
      <c r="L54" s="41"/>
      <c r="M54" s="41"/>
      <c r="N54" s="41"/>
      <c r="O54" s="41"/>
      <c r="P54" s="41"/>
      <c r="Q54" s="41"/>
      <c r="R54" s="41"/>
      <c r="S54" s="41"/>
      <c r="T54" s="365" t="b">
        <f ca="1">F54&gt;0</f>
        <v>1</v>
      </c>
      <c r="U54" s="41"/>
      <c r="V54" s="41"/>
      <c r="W54" s="528" t="s">
        <v>392</v>
      </c>
      <c r="X54" s="1075"/>
      <c r="Y54" s="57"/>
      <c r="Z54" s="1065"/>
      <c r="AA54" s="57"/>
      <c r="AB54" s="556"/>
      <c r="AC54" s="191" t="s">
        <v>177</v>
      </c>
      <c r="AD54" s="557"/>
      <c r="AE54" s="164"/>
      <c r="AF54" s="164"/>
      <c r="AG54" s="164"/>
      <c r="AH54" s="164"/>
      <c r="AI54" s="164"/>
      <c r="AJ54" s="164"/>
      <c r="AK54" s="164"/>
      <c r="AL54" s="164"/>
      <c r="AM54" s="164"/>
      <c r="AN54" s="164"/>
      <c r="AO54" s="164"/>
      <c r="AP54" s="164"/>
      <c r="AQ54" s="164"/>
      <c r="AR54" s="164"/>
      <c r="AS54" s="164"/>
      <c r="AT54" s="164"/>
      <c r="AU54" s="164"/>
      <c r="AV54" s="164"/>
      <c r="AW54" s="164"/>
      <c r="AX54" s="164"/>
      <c r="AY54" s="164"/>
      <c r="AZ54" s="164"/>
      <c r="BA54" s="164"/>
      <c r="BB54" s="164"/>
      <c r="BC54" s="165"/>
      <c r="BD54" s="57"/>
      <c r="BE54" s="57"/>
      <c r="BF54" s="665"/>
      <c r="BG54" s="665"/>
      <c r="BH54" s="665"/>
      <c r="BI54" s="459" t="s">
        <v>1293</v>
      </c>
      <c r="BJ54" s="459"/>
    </row>
    <row r="55" spans="1:62" s="408" customFormat="1" ht="14.25" customHeight="1">
      <c r="A55" s="57"/>
      <c r="B55" s="62"/>
      <c r="C55" s="57"/>
      <c r="D55" s="57"/>
      <c r="E55" s="459">
        <v>15</v>
      </c>
      <c r="F55" s="36" t="str" cm="1">
        <f t="array" ref="F55">X55</f>
        <v>2</v>
      </c>
      <c r="G55" s="57"/>
      <c r="H55" s="57"/>
      <c r="I55" s="57"/>
      <c r="J55" s="57"/>
      <c r="K55" s="57"/>
      <c r="L55" s="57"/>
      <c r="M55" s="57"/>
      <c r="N55" s="57"/>
      <c r="O55" s="57"/>
      <c r="P55" s="57"/>
      <c r="Q55" s="57"/>
      <c r="R55" s="57"/>
      <c r="S55" s="57"/>
      <c r="T55" s="365" t="b">
        <f>X55&gt;0</f>
        <v>1</v>
      </c>
      <c r="U55" s="57"/>
      <c r="V55" s="57" t="str" cm="1">
        <f t="array" ref="V55">'Сбытовые расходы ГО'!$AB$51</f>
        <v>Тариф 2 (Водоотведение) - тариф на водоотведение (Доп. признак не требуется)</v>
      </c>
      <c r="W55" s="57"/>
      <c r="X55" s="1075" t="s">
        <v>285</v>
      </c>
      <c r="Y55" s="57"/>
      <c r="Z55" s="1065"/>
      <c r="AA55" s="57"/>
      <c r="AB55" s="154" t="str" cm="1">
        <f t="array" ref="AB55">'Сбытовые расходы ГО'!$AB$51</f>
        <v>Тариф 2 (Водоотведение) - тариф на водоотведение (Доп. признак не требуется)</v>
      </c>
      <c r="AC55" s="113"/>
      <c r="AD55" s="113"/>
      <c r="AE55" s="113"/>
      <c r="AF55" s="113"/>
      <c r="AG55" s="113"/>
      <c r="AH55" s="113"/>
      <c r="AI55" s="113"/>
      <c r="AJ55" s="113"/>
      <c r="AK55" s="113"/>
      <c r="AL55" s="113"/>
      <c r="AM55" s="113"/>
      <c r="AN55" s="113"/>
      <c r="AO55" s="113"/>
      <c r="AP55" s="113"/>
      <c r="AQ55" s="113"/>
      <c r="AR55" s="113"/>
      <c r="AS55" s="113"/>
      <c r="AT55" s="113"/>
      <c r="AU55" s="113"/>
      <c r="AV55" s="113"/>
      <c r="AW55" s="113"/>
      <c r="AX55" s="113"/>
      <c r="AY55" s="113"/>
      <c r="AZ55" s="113"/>
      <c r="BA55" s="113"/>
      <c r="BB55" s="113"/>
      <c r="BC55" s="113"/>
      <c r="BD55" s="57"/>
      <c r="BE55" s="57"/>
      <c r="BF55" s="665"/>
      <c r="BG55" s="665"/>
      <c r="BH55" s="665"/>
      <c r="BI55" s="459"/>
      <c r="BJ55" s="459"/>
    </row>
    <row r="56" spans="1:62" s="408" customFormat="1" ht="33.75" customHeight="1">
      <c r="A56" s="57"/>
      <c r="B56" s="62"/>
      <c r="C56" s="57"/>
      <c r="D56" s="57"/>
      <c r="E56" s="459">
        <v>22.5</v>
      </c>
      <c r="F56" s="3" t="str" cm="1">
        <f t="array" aca="1" ref="F56" ca="1">OFFSET(E56,-1,1)</f>
        <v>2</v>
      </c>
      <c r="G56" s="57" t="s">
        <v>1250</v>
      </c>
      <c r="H56" s="57"/>
      <c r="I56" s="57"/>
      <c r="J56" s="57"/>
      <c r="K56" s="59" t="str">
        <f ca="1">F56&amp;"komm"</f>
        <v>2komm</v>
      </c>
      <c r="L56" s="618" t="str" cm="1">
        <f t="array" ref="L56">BC56</f>
        <v>В соответствии с п.п.2 п. 49 Методических указаний 1746-э.</v>
      </c>
      <c r="M56" s="57"/>
      <c r="N56" s="57"/>
      <c r="O56" s="57"/>
      <c r="P56" s="57"/>
      <c r="Q56" s="57"/>
      <c r="R56" s="57"/>
      <c r="S56" s="57"/>
      <c r="T56" s="365" t="b" cm="1">
        <f t="array" ref="T56">T55</f>
        <v>1</v>
      </c>
      <c r="U56" s="57"/>
      <c r="V56" s="57"/>
      <c r="W56" s="57"/>
      <c r="X56" s="1075"/>
      <c r="Y56" s="57"/>
      <c r="Z56" s="1065"/>
      <c r="AA56" s="57"/>
      <c r="AB56" s="166">
        <v>0</v>
      </c>
      <c r="AC56" s="151" t="s">
        <v>1269</v>
      </c>
      <c r="AD56" s="143" t="s">
        <v>804</v>
      </c>
      <c r="AE56" s="159">
        <f t="shared" ref="AE56:BB56" si="6">SUM(AE57:AE66)</f>
        <v>344.50103579249998</v>
      </c>
      <c r="AF56" s="159">
        <f t="shared" si="6"/>
        <v>422.54</v>
      </c>
      <c r="AG56" s="159">
        <f t="shared" si="6"/>
        <v>335.32</v>
      </c>
      <c r="AH56" s="159">
        <f t="shared" si="6"/>
        <v>384.89527767999999</v>
      </c>
      <c r="AI56" s="159">
        <f t="shared" si="6"/>
        <v>705.6</v>
      </c>
      <c r="AJ56" s="159">
        <f t="shared" si="6"/>
        <v>0</v>
      </c>
      <c r="AK56" s="159">
        <f t="shared" si="6"/>
        <v>0</v>
      </c>
      <c r="AL56" s="159">
        <f t="shared" si="6"/>
        <v>0</v>
      </c>
      <c r="AM56" s="159">
        <f t="shared" si="6"/>
        <v>0</v>
      </c>
      <c r="AN56" s="159">
        <f t="shared" si="6"/>
        <v>0</v>
      </c>
      <c r="AO56" s="159">
        <f t="shared" si="6"/>
        <v>0</v>
      </c>
      <c r="AP56" s="159">
        <f t="shared" si="6"/>
        <v>0</v>
      </c>
      <c r="AQ56" s="159">
        <f t="shared" si="6"/>
        <v>0</v>
      </c>
      <c r="AR56" s="159">
        <f t="shared" si="6"/>
        <v>0</v>
      </c>
      <c r="AS56" s="159">
        <f t="shared" si="6"/>
        <v>405.06</v>
      </c>
      <c r="AT56" s="159">
        <f t="shared" si="6"/>
        <v>0</v>
      </c>
      <c r="AU56" s="159">
        <f t="shared" si="6"/>
        <v>0</v>
      </c>
      <c r="AV56" s="159">
        <f t="shared" si="6"/>
        <v>0</v>
      </c>
      <c r="AW56" s="159">
        <f t="shared" si="6"/>
        <v>0</v>
      </c>
      <c r="AX56" s="159">
        <f t="shared" si="6"/>
        <v>0</v>
      </c>
      <c r="AY56" s="159">
        <f t="shared" si="6"/>
        <v>0</v>
      </c>
      <c r="AZ56" s="159">
        <f t="shared" si="6"/>
        <v>0</v>
      </c>
      <c r="BA56" s="159">
        <f t="shared" si="6"/>
        <v>0</v>
      </c>
      <c r="BB56" s="159">
        <f t="shared" si="6"/>
        <v>0</v>
      </c>
      <c r="BC56" s="132" t="s">
        <v>1294</v>
      </c>
      <c r="BD56" s="57"/>
      <c r="BE56" s="57"/>
      <c r="BF56" s="665" t="s">
        <v>1270</v>
      </c>
      <c r="BG56" s="665"/>
      <c r="BH56" s="665"/>
      <c r="BI56" s="459"/>
      <c r="BJ56" s="459"/>
    </row>
    <row r="57" spans="1:62" s="408" customFormat="1" ht="0" hidden="1" customHeight="1">
      <c r="A57" s="57"/>
      <c r="B57" s="62"/>
      <c r="C57" s="57"/>
      <c r="D57" s="57"/>
      <c r="E57" s="459">
        <v>15</v>
      </c>
      <c r="F57" s="3" t="str" cm="1">
        <f t="array" aca="1" ref="F57" ca="1">OFFSET(E57,-1,1)</f>
        <v>2</v>
      </c>
      <c r="G57" s="57" t="s">
        <v>327</v>
      </c>
      <c r="H57" s="57"/>
      <c r="I57" s="57"/>
      <c r="J57" s="57"/>
      <c r="K57" s="59" t="str">
        <f ca="1">F57&amp;"1komm"</f>
        <v>21komm</v>
      </c>
      <c r="L57" s="618" cm="1">
        <f t="array" ref="L57">BC57</f>
        <v>0</v>
      </c>
      <c r="M57" s="57"/>
      <c r="N57" s="57"/>
      <c r="O57" s="57"/>
      <c r="P57" s="57"/>
      <c r="Q57" s="57"/>
      <c r="R57" s="57"/>
      <c r="S57" s="57"/>
      <c r="T57" s="365" t="b" cm="1">
        <f t="array" ref="T57">T56</f>
        <v>1</v>
      </c>
      <c r="U57" s="57"/>
      <c r="V57" s="57"/>
      <c r="W57" s="57"/>
      <c r="X57" s="1075"/>
      <c r="Y57" s="57"/>
      <c r="Z57" s="1065"/>
      <c r="AA57" s="57"/>
      <c r="AB57" s="152" t="s">
        <v>275</v>
      </c>
      <c r="AC57" s="358" t="s">
        <v>1271</v>
      </c>
      <c r="AD57" s="26" t="s">
        <v>804</v>
      </c>
      <c r="AE57" s="160"/>
      <c r="AF57" s="161"/>
      <c r="AG57" s="161"/>
      <c r="AH57" s="161"/>
      <c r="AI57" s="161"/>
      <c r="AJ57" s="929"/>
      <c r="AK57" s="929"/>
      <c r="AL57" s="929"/>
      <c r="AM57" s="929"/>
      <c r="AN57" s="929"/>
      <c r="AO57" s="929"/>
      <c r="AP57" s="929"/>
      <c r="AQ57" s="929"/>
      <c r="AR57" s="929"/>
      <c r="AS57" s="161"/>
      <c r="AT57" s="929"/>
      <c r="AU57" s="929"/>
      <c r="AV57" s="929"/>
      <c r="AW57" s="929"/>
      <c r="AX57" s="929"/>
      <c r="AY57" s="929"/>
      <c r="AZ57" s="929"/>
      <c r="BA57" s="929"/>
      <c r="BB57" s="929"/>
      <c r="BC57" s="132"/>
      <c r="BD57" s="57"/>
      <c r="BE57" s="57"/>
      <c r="BF57" s="665" t="s">
        <v>1272</v>
      </c>
      <c r="BG57" s="665"/>
      <c r="BH57" s="665"/>
      <c r="BI57" s="459"/>
      <c r="BJ57" s="459"/>
    </row>
    <row r="58" spans="1:62" s="408" customFormat="1" ht="0" hidden="1" customHeight="1">
      <c r="A58" s="57"/>
      <c r="B58" s="63"/>
      <c r="C58" s="41"/>
      <c r="D58" s="41"/>
      <c r="E58" s="460">
        <v>22.5</v>
      </c>
      <c r="F58" s="3" t="str" cm="1">
        <f t="array" aca="1" ref="F58" ca="1">OFFSET(E58,-1,1)</f>
        <v>2</v>
      </c>
      <c r="G58" s="41" t="s">
        <v>328</v>
      </c>
      <c r="H58" s="41"/>
      <c r="I58" s="41"/>
      <c r="J58" s="41"/>
      <c r="K58" s="59" t="str">
        <f ca="1">F58&amp;"2komm"</f>
        <v>22komm</v>
      </c>
      <c r="L58" s="618" cm="1">
        <f t="array" ref="L58">BC58</f>
        <v>0</v>
      </c>
      <c r="M58" s="41"/>
      <c r="N58" s="41"/>
      <c r="O58" s="41"/>
      <c r="P58" s="41"/>
      <c r="Q58" s="41"/>
      <c r="R58" s="41"/>
      <c r="S58" s="41"/>
      <c r="T58" s="365" t="b" cm="1">
        <f t="array" ref="T58">T57</f>
        <v>1</v>
      </c>
      <c r="U58" s="41"/>
      <c r="V58" s="41"/>
      <c r="W58" s="57"/>
      <c r="X58" s="1075"/>
      <c r="Y58" s="57"/>
      <c r="Z58" s="1065"/>
      <c r="AA58" s="57"/>
      <c r="AB58" s="152" t="s">
        <v>285</v>
      </c>
      <c r="AC58" s="358" t="s">
        <v>1273</v>
      </c>
      <c r="AD58" s="26" t="s">
        <v>804</v>
      </c>
      <c r="AE58" s="160"/>
      <c r="AF58" s="161"/>
      <c r="AG58" s="161"/>
      <c r="AH58" s="161"/>
      <c r="AI58" s="161"/>
      <c r="AJ58" s="929"/>
      <c r="AK58" s="929"/>
      <c r="AL58" s="929"/>
      <c r="AM58" s="929"/>
      <c r="AN58" s="929"/>
      <c r="AO58" s="929"/>
      <c r="AP58" s="929"/>
      <c r="AQ58" s="929"/>
      <c r="AR58" s="929"/>
      <c r="AS58" s="161"/>
      <c r="AT58" s="929"/>
      <c r="AU58" s="929"/>
      <c r="AV58" s="929"/>
      <c r="AW58" s="929"/>
      <c r="AX58" s="929"/>
      <c r="AY58" s="929"/>
      <c r="AZ58" s="929"/>
      <c r="BA58" s="929"/>
      <c r="BB58" s="929"/>
      <c r="BC58" s="132"/>
      <c r="BD58" s="57"/>
      <c r="BE58" s="57"/>
      <c r="BF58" s="665" t="s">
        <v>1274</v>
      </c>
      <c r="BG58" s="665"/>
      <c r="BH58" s="665"/>
      <c r="BI58" s="459"/>
      <c r="BJ58" s="459"/>
    </row>
    <row r="59" spans="1:62" s="408" customFormat="1" ht="65.25" customHeight="1">
      <c r="A59" s="57"/>
      <c r="B59" s="63"/>
      <c r="C59" s="41"/>
      <c r="D59" s="41"/>
      <c r="E59" s="460">
        <v>22.5</v>
      </c>
      <c r="F59" s="3" t="str" cm="1">
        <f t="array" aca="1" ref="F59" ca="1">OFFSET(E59,-1,1)</f>
        <v>2</v>
      </c>
      <c r="G59" s="41" t="s">
        <v>329</v>
      </c>
      <c r="H59" s="41" t="s">
        <v>1275</v>
      </c>
      <c r="I59" s="41"/>
      <c r="J59" s="41"/>
      <c r="K59" s="59" t="str">
        <f ca="1">F59&amp;"3komm"</f>
        <v>23komm</v>
      </c>
      <c r="L59" s="618" t="str" cm="1">
        <f t="array" ref="L59">BC59</f>
        <v>Расходы по статье приняты на уровне, предложенном организацией и не превышает факт 2024 года, с применением ИПЦ Минэкономразвития России на 2025 год 108,5%, на 2026 год 105,1%. Факт соответствует требованиям п. 30 Методических указаний (в пределах установленных лимитов).</v>
      </c>
      <c r="M59" s="41"/>
      <c r="N59" s="41"/>
      <c r="O59" s="41"/>
      <c r="P59" s="41"/>
      <c r="Q59" s="41"/>
      <c r="R59" s="41"/>
      <c r="S59" s="41"/>
      <c r="T59" s="365" t="b" cm="1">
        <f t="array" ref="T59">T58</f>
        <v>1</v>
      </c>
      <c r="U59" s="41"/>
      <c r="V59" s="41"/>
      <c r="W59" s="57"/>
      <c r="X59" s="1075"/>
      <c r="Y59" s="57"/>
      <c r="Z59" s="1065"/>
      <c r="AA59" s="57"/>
      <c r="AB59" s="152" t="s">
        <v>325</v>
      </c>
      <c r="AC59" s="358" t="s">
        <v>1276</v>
      </c>
      <c r="AD59" s="26" t="s">
        <v>804</v>
      </c>
      <c r="AE59" s="160">
        <v>15.068</v>
      </c>
      <c r="AF59" s="161">
        <v>9.2899999999999991</v>
      </c>
      <c r="AG59" s="161" cm="1">
        <f t="array" ref="AG59">AF59</f>
        <v>9.2899999999999991</v>
      </c>
      <c r="AH59" s="161">
        <v>14.325277679999999</v>
      </c>
      <c r="AI59" s="161">
        <v>10.199999999999999</v>
      </c>
      <c r="AJ59" s="929"/>
      <c r="AK59" s="929"/>
      <c r="AL59" s="929"/>
      <c r="AM59" s="929"/>
      <c r="AN59" s="929"/>
      <c r="AO59" s="929"/>
      <c r="AP59" s="929"/>
      <c r="AQ59" s="929"/>
      <c r="AR59" s="929"/>
      <c r="AS59" s="161">
        <v>10.199999999999999</v>
      </c>
      <c r="AT59" s="929"/>
      <c r="AU59" s="929"/>
      <c r="AV59" s="929"/>
      <c r="AW59" s="929"/>
      <c r="AX59" s="929"/>
      <c r="AY59" s="929"/>
      <c r="AZ59" s="929"/>
      <c r="BA59" s="929"/>
      <c r="BB59" s="929"/>
      <c r="BC59" s="132" t="s">
        <v>1297</v>
      </c>
      <c r="BD59" s="57"/>
      <c r="BE59" s="57"/>
      <c r="BF59" s="665" t="s">
        <v>1277</v>
      </c>
      <c r="BG59" s="665"/>
      <c r="BH59" s="665"/>
      <c r="BI59" s="459"/>
      <c r="BJ59" s="459"/>
    </row>
    <row r="60" spans="1:62" ht="0" hidden="1" customHeight="1">
      <c r="B60" s="63"/>
      <c r="C60" s="41"/>
      <c r="D60" s="41"/>
      <c r="E60" s="460">
        <v>15</v>
      </c>
      <c r="F60" s="3" t="str" cm="1">
        <f t="array" aca="1" ref="F60" ca="1">OFFSET(E60,-1,1)</f>
        <v>2</v>
      </c>
      <c r="G60" s="41" t="s">
        <v>331</v>
      </c>
      <c r="H60" s="41"/>
      <c r="I60" s="41"/>
      <c r="J60" s="41"/>
      <c r="K60" s="59" t="str">
        <f ca="1">F60&amp;"4komm"</f>
        <v>24komm</v>
      </c>
      <c r="L60" s="618" cm="1">
        <f t="array" ref="L60">BC60</f>
        <v>0</v>
      </c>
      <c r="M60" s="41"/>
      <c r="N60" s="41"/>
      <c r="O60" s="41"/>
      <c r="P60" s="41"/>
      <c r="Q60" s="41"/>
      <c r="R60" s="41"/>
      <c r="S60" s="41"/>
      <c r="T60" s="365" t="b" cm="1">
        <f t="array" ref="T60">T59</f>
        <v>1</v>
      </c>
      <c r="U60" s="41"/>
      <c r="V60" s="41"/>
      <c r="X60" s="1075"/>
      <c r="Z60" s="1065"/>
      <c r="AB60" s="600">
        <v>4</v>
      </c>
      <c r="AC60" s="358" t="s">
        <v>1278</v>
      </c>
      <c r="AD60" s="26" t="s">
        <v>804</v>
      </c>
      <c r="AE60" s="162"/>
      <c r="AF60" s="162"/>
      <c r="AG60" s="162"/>
      <c r="AH60" s="162"/>
      <c r="AI60" s="162"/>
      <c r="AJ60" s="930"/>
      <c r="AK60" s="930"/>
      <c r="AL60" s="930"/>
      <c r="AM60" s="930"/>
      <c r="AN60" s="930"/>
      <c r="AO60" s="930"/>
      <c r="AP60" s="930"/>
      <c r="AQ60" s="930"/>
      <c r="AR60" s="930"/>
      <c r="AS60" s="162"/>
      <c r="AT60" s="930"/>
      <c r="AU60" s="930"/>
      <c r="AV60" s="930"/>
      <c r="AW60" s="930"/>
      <c r="AX60" s="930"/>
      <c r="AY60" s="930"/>
      <c r="AZ60" s="930"/>
      <c r="BA60" s="930"/>
      <c r="BB60" s="930"/>
      <c r="BC60" s="132"/>
      <c r="BF60" s="665" t="s">
        <v>1279</v>
      </c>
    </row>
    <row r="61" spans="1:62" s="408" customFormat="1" ht="0" hidden="1" customHeight="1">
      <c r="A61" s="57"/>
      <c r="B61" s="63"/>
      <c r="C61" s="41"/>
      <c r="D61" s="41"/>
      <c r="E61" s="460">
        <v>15</v>
      </c>
      <c r="F61" s="3" t="str" cm="1">
        <f t="array" aca="1" ref="F61" ca="1">OFFSET(E61,-1,1)</f>
        <v>2</v>
      </c>
      <c r="G61" s="41" t="s">
        <v>330</v>
      </c>
      <c r="H61" s="41"/>
      <c r="I61" s="41"/>
      <c r="J61" s="41"/>
      <c r="K61" s="59" t="str">
        <f ca="1">F61&amp;"5komm"</f>
        <v>25komm</v>
      </c>
      <c r="L61" s="618" cm="1">
        <f t="array" ref="L61">BC61</f>
        <v>0</v>
      </c>
      <c r="M61" s="41"/>
      <c r="N61" s="41"/>
      <c r="O61" s="41"/>
      <c r="P61" s="41"/>
      <c r="Q61" s="41"/>
      <c r="R61" s="41"/>
      <c r="S61" s="41"/>
      <c r="T61" s="365" t="b" cm="1">
        <f t="array" ref="T61">T60</f>
        <v>1</v>
      </c>
      <c r="U61" s="41"/>
      <c r="V61" s="41"/>
      <c r="W61" s="57"/>
      <c r="X61" s="1075"/>
      <c r="Y61" s="57"/>
      <c r="Z61" s="1065"/>
      <c r="AA61" s="57"/>
      <c r="AB61" s="152" t="s">
        <v>444</v>
      </c>
      <c r="AC61" s="358" t="s">
        <v>1280</v>
      </c>
      <c r="AD61" s="26" t="s">
        <v>804</v>
      </c>
      <c r="AE61" s="160"/>
      <c r="AF61" s="160"/>
      <c r="AG61" s="160"/>
      <c r="AH61" s="160"/>
      <c r="AI61" s="160"/>
      <c r="AJ61" s="790"/>
      <c r="AK61" s="790"/>
      <c r="AL61" s="790"/>
      <c r="AM61" s="790"/>
      <c r="AN61" s="790"/>
      <c r="AO61" s="790"/>
      <c r="AP61" s="790"/>
      <c r="AQ61" s="790"/>
      <c r="AR61" s="790"/>
      <c r="AS61" s="160"/>
      <c r="AT61" s="790"/>
      <c r="AU61" s="790"/>
      <c r="AV61" s="790"/>
      <c r="AW61" s="790"/>
      <c r="AX61" s="790"/>
      <c r="AY61" s="790"/>
      <c r="AZ61" s="790"/>
      <c r="BA61" s="790"/>
      <c r="BB61" s="790"/>
      <c r="BC61" s="132"/>
      <c r="BD61" s="57"/>
      <c r="BE61" s="57"/>
      <c r="BF61" s="665" t="s">
        <v>1281</v>
      </c>
      <c r="BG61" s="665"/>
      <c r="BH61" s="665"/>
      <c r="BI61" s="459"/>
      <c r="BJ61" s="459"/>
    </row>
    <row r="62" spans="1:62" s="408" customFormat="1" ht="0" hidden="1" customHeight="1">
      <c r="A62" s="57"/>
      <c r="B62" s="63"/>
      <c r="C62" s="41"/>
      <c r="D62" s="41"/>
      <c r="E62" s="460">
        <v>15</v>
      </c>
      <c r="F62" s="3" t="str" cm="1">
        <f t="array" aca="1" ref="F62" ca="1">OFFSET(E62,-1,1)</f>
        <v>2</v>
      </c>
      <c r="G62" s="41" t="s">
        <v>511</v>
      </c>
      <c r="H62" s="41"/>
      <c r="I62" s="41"/>
      <c r="J62" s="41"/>
      <c r="K62" s="59" t="str">
        <f ca="1">F62&amp;"6komm"</f>
        <v>26komm</v>
      </c>
      <c r="L62" s="618" cm="1">
        <f t="array" ref="L62">BC62</f>
        <v>0</v>
      </c>
      <c r="M62" s="41"/>
      <c r="N62" s="41"/>
      <c r="O62" s="41"/>
      <c r="P62" s="41"/>
      <c r="Q62" s="41"/>
      <c r="R62" s="41"/>
      <c r="S62" s="41"/>
      <c r="T62" s="365" t="b" cm="1">
        <f t="array" ref="T62">T61</f>
        <v>1</v>
      </c>
      <c r="U62" s="41"/>
      <c r="V62" s="41"/>
      <c r="W62" s="57"/>
      <c r="X62" s="1075"/>
      <c r="Y62" s="57"/>
      <c r="Z62" s="1065"/>
      <c r="AA62" s="57"/>
      <c r="AB62" s="152" t="s">
        <v>447</v>
      </c>
      <c r="AC62" s="358" t="s">
        <v>1282</v>
      </c>
      <c r="AD62" s="26" t="s">
        <v>804</v>
      </c>
      <c r="AE62" s="160"/>
      <c r="AF62" s="160"/>
      <c r="AG62" s="160"/>
      <c r="AH62" s="160"/>
      <c r="AI62" s="160"/>
      <c r="AJ62" s="790"/>
      <c r="AK62" s="790"/>
      <c r="AL62" s="790"/>
      <c r="AM62" s="790"/>
      <c r="AN62" s="790"/>
      <c r="AO62" s="790"/>
      <c r="AP62" s="790"/>
      <c r="AQ62" s="790"/>
      <c r="AR62" s="790"/>
      <c r="AS62" s="160"/>
      <c r="AT62" s="790"/>
      <c r="AU62" s="790"/>
      <c r="AV62" s="790"/>
      <c r="AW62" s="790"/>
      <c r="AX62" s="790"/>
      <c r="AY62" s="790"/>
      <c r="AZ62" s="790"/>
      <c r="BA62" s="790"/>
      <c r="BB62" s="790"/>
      <c r="BC62" s="132"/>
      <c r="BD62" s="57"/>
      <c r="BE62" s="57"/>
      <c r="BF62" s="665" t="s">
        <v>1283</v>
      </c>
      <c r="BG62" s="665"/>
      <c r="BH62" s="665"/>
      <c r="BI62" s="459"/>
      <c r="BJ62" s="459"/>
    </row>
    <row r="63" spans="1:62" s="408" customFormat="1" ht="0" hidden="1" customHeight="1">
      <c r="A63" s="57"/>
      <c r="B63" s="63"/>
      <c r="C63" s="41"/>
      <c r="D63" s="41"/>
      <c r="E63" s="460">
        <v>15</v>
      </c>
      <c r="F63" s="3" t="str" cm="1">
        <f t="array" aca="1" ref="F63" ca="1">OFFSET(E63,-1,1)</f>
        <v>2</v>
      </c>
      <c r="G63" s="41" t="s">
        <v>514</v>
      </c>
      <c r="H63" s="41" t="s">
        <v>1284</v>
      </c>
      <c r="I63" s="41"/>
      <c r="J63" s="41"/>
      <c r="K63" s="59" t="str">
        <f ca="1">F63&amp;"7komm"</f>
        <v>27komm</v>
      </c>
      <c r="L63" s="618" cm="1">
        <f t="array" ref="L63">BC63</f>
        <v>0</v>
      </c>
      <c r="M63" s="41"/>
      <c r="N63" s="41"/>
      <c r="O63" s="41"/>
      <c r="P63" s="41"/>
      <c r="Q63" s="41"/>
      <c r="R63" s="41"/>
      <c r="S63" s="41"/>
      <c r="T63" s="365" t="b" cm="1">
        <f t="array" ref="T63">T62</f>
        <v>1</v>
      </c>
      <c r="U63" s="41"/>
      <c r="V63" s="41"/>
      <c r="W63" s="57"/>
      <c r="X63" s="1075"/>
      <c r="Y63" s="57"/>
      <c r="Z63" s="1065"/>
      <c r="AA63" s="57"/>
      <c r="AB63" s="152" t="s">
        <v>578</v>
      </c>
      <c r="AC63" s="358" t="s">
        <v>1285</v>
      </c>
      <c r="AD63" s="26" t="s">
        <v>804</v>
      </c>
      <c r="AE63" s="160"/>
      <c r="AF63" s="160"/>
      <c r="AG63" s="160"/>
      <c r="AH63" s="160"/>
      <c r="AI63" s="160"/>
      <c r="AJ63" s="790"/>
      <c r="AK63" s="790"/>
      <c r="AL63" s="790"/>
      <c r="AM63" s="790"/>
      <c r="AN63" s="790"/>
      <c r="AO63" s="790"/>
      <c r="AP63" s="790"/>
      <c r="AQ63" s="790"/>
      <c r="AR63" s="790"/>
      <c r="AS63" s="160"/>
      <c r="AT63" s="790"/>
      <c r="AU63" s="790"/>
      <c r="AV63" s="790"/>
      <c r="AW63" s="790"/>
      <c r="AX63" s="790"/>
      <c r="AY63" s="790"/>
      <c r="AZ63" s="790"/>
      <c r="BA63" s="790"/>
      <c r="BB63" s="790"/>
      <c r="BC63" s="132"/>
      <c r="BD63" s="57"/>
      <c r="BE63" s="57"/>
      <c r="BF63" s="665" t="s">
        <v>1286</v>
      </c>
      <c r="BG63" s="665"/>
      <c r="BH63" s="665"/>
      <c r="BI63" s="459"/>
      <c r="BJ63" s="459"/>
    </row>
    <row r="64" spans="1:62" s="408" customFormat="1" ht="44.25" customHeight="1">
      <c r="A64" s="57"/>
      <c r="B64" s="63"/>
      <c r="C64" s="41"/>
      <c r="D64" s="41"/>
      <c r="E64" s="460">
        <v>22.5</v>
      </c>
      <c r="F64" s="3" t="str" cm="1">
        <f t="array" aca="1" ref="F64" ca="1">OFFSET(E64,-1,1)</f>
        <v>2</v>
      </c>
      <c r="G64" s="41" t="s">
        <v>562</v>
      </c>
      <c r="H64" s="41"/>
      <c r="I64" s="41"/>
      <c r="J64" s="41"/>
      <c r="K64" s="59" t="str">
        <f ca="1">F64&amp;"8komm"</f>
        <v>28komm</v>
      </c>
      <c r="L64" s="618" t="str" cm="1">
        <f t="array" ref="L64">BC64</f>
        <v>Расходы рассчитаны в размере 1% от необходимой валовой выручки, в соответствии с абзацем 2 п. 1 ст. 346.20 Налогового кодекса Российской Федерации (часть вторая) от 05.08.2000 № 117-ФЗ.</v>
      </c>
      <c r="M64" s="41"/>
      <c r="N64" s="41"/>
      <c r="O64" s="41"/>
      <c r="P64" s="41"/>
      <c r="Q64" s="41"/>
      <c r="R64" s="41"/>
      <c r="S64" s="41"/>
      <c r="T64" s="365" t="b" cm="1">
        <f t="array" ref="T64">T63</f>
        <v>1</v>
      </c>
      <c r="U64" s="41"/>
      <c r="V64" s="41"/>
      <c r="W64" s="57"/>
      <c r="X64" s="1075"/>
      <c r="Y64" s="57"/>
      <c r="Z64" s="1065"/>
      <c r="AA64" s="57"/>
      <c r="AB64" s="152" t="s">
        <v>586</v>
      </c>
      <c r="AC64" s="358" t="s">
        <v>1287</v>
      </c>
      <c r="AD64" s="26" t="s">
        <v>804</v>
      </c>
      <c r="AE64" s="160">
        <v>329.43303579249999</v>
      </c>
      <c r="AF64" s="160">
        <v>413.25</v>
      </c>
      <c r="AG64" s="160">
        <v>326.02999999999997</v>
      </c>
      <c r="AH64" s="160">
        <v>370.57</v>
      </c>
      <c r="AI64" s="160">
        <v>695.4</v>
      </c>
      <c r="AJ64" s="790"/>
      <c r="AK64" s="790"/>
      <c r="AL64" s="790"/>
      <c r="AM64" s="790"/>
      <c r="AN64" s="790"/>
      <c r="AO64" s="790"/>
      <c r="AP64" s="790"/>
      <c r="AQ64" s="790"/>
      <c r="AR64" s="790"/>
      <c r="AS64" s="160">
        <v>394.86</v>
      </c>
      <c r="AT64" s="790"/>
      <c r="AU64" s="790"/>
      <c r="AV64" s="790"/>
      <c r="AW64" s="790"/>
      <c r="AX64" s="790"/>
      <c r="AY64" s="790"/>
      <c r="AZ64" s="790"/>
      <c r="BA64" s="790"/>
      <c r="BB64" s="790"/>
      <c r="BC64" s="132" t="s">
        <v>1296</v>
      </c>
      <c r="BD64" s="57"/>
      <c r="BE64" s="57"/>
      <c r="BF64" s="665" t="s">
        <v>1288</v>
      </c>
      <c r="BG64" s="665"/>
      <c r="BH64" s="665"/>
      <c r="BI64" s="459"/>
      <c r="BJ64" s="459"/>
    </row>
    <row r="65" spans="1:62" s="59" customFormat="1" ht="0" hidden="1" customHeight="1">
      <c r="B65" s="63"/>
      <c r="C65" s="41"/>
      <c r="D65" s="41"/>
      <c r="E65" s="460">
        <v>22.5</v>
      </c>
      <c r="F65" s="3" t="str" cm="1">
        <f t="array" aca="1" ref="F65" ca="1">OFFSET(E65,-1,1)</f>
        <v>2</v>
      </c>
      <c r="G65" s="41"/>
      <c r="H65" s="41"/>
      <c r="I65" s="41"/>
      <c r="J65" s="41"/>
      <c r="K65" s="59" t="str">
        <f ca="1">F65&amp;"9komm"</f>
        <v>29komm</v>
      </c>
      <c r="L65" s="618" cm="1">
        <f t="array" ref="L65">BC65</f>
        <v>0</v>
      </c>
      <c r="M65" s="41"/>
      <c r="N65" s="41"/>
      <c r="O65" s="41"/>
      <c r="P65" s="41"/>
      <c r="Q65" s="41"/>
      <c r="R65" s="41"/>
      <c r="S65" s="41"/>
      <c r="T65" s="365" t="b" cm="1">
        <f t="array" ref="T65">T64</f>
        <v>1</v>
      </c>
      <c r="U65" s="41"/>
      <c r="V65" s="41"/>
      <c r="X65" s="1075"/>
      <c r="Z65" s="1065"/>
      <c r="AB65" s="152" t="s">
        <v>744</v>
      </c>
      <c r="AC65" s="358" t="s">
        <v>1289</v>
      </c>
      <c r="AD65" s="26" t="s">
        <v>804</v>
      </c>
      <c r="AE65" s="160"/>
      <c r="AF65" s="160"/>
      <c r="AG65" s="160"/>
      <c r="AH65" s="160"/>
      <c r="AI65" s="160"/>
      <c r="AJ65" s="790"/>
      <c r="AK65" s="790"/>
      <c r="AL65" s="790"/>
      <c r="AM65" s="790"/>
      <c r="AN65" s="790"/>
      <c r="AO65" s="790"/>
      <c r="AP65" s="790"/>
      <c r="AQ65" s="790"/>
      <c r="AR65" s="790"/>
      <c r="AS65" s="160"/>
      <c r="AT65" s="790"/>
      <c r="AU65" s="790"/>
      <c r="AV65" s="790"/>
      <c r="AW65" s="790"/>
      <c r="AX65" s="790"/>
      <c r="AY65" s="790"/>
      <c r="AZ65" s="790"/>
      <c r="BA65" s="790"/>
      <c r="BB65" s="790"/>
      <c r="BC65" s="215"/>
      <c r="BF65" s="671" t="s">
        <v>1290</v>
      </c>
      <c r="BG65" s="671"/>
      <c r="BH65" s="671"/>
      <c r="BI65" s="513"/>
      <c r="BJ65" s="513"/>
    </row>
    <row r="66" spans="1:62" ht="0" hidden="1" customHeight="1">
      <c r="B66" s="63"/>
      <c r="C66" s="41"/>
      <c r="D66" s="41"/>
      <c r="E66" s="460">
        <v>15</v>
      </c>
      <c r="F66" s="3" t="str" cm="1">
        <f t="array" aca="1" ref="F66" ca="1">OFFSET(E66,-1,1)</f>
        <v>2</v>
      </c>
      <c r="G66" s="41" t="s">
        <v>577</v>
      </c>
      <c r="H66" s="287"/>
      <c r="I66" s="41"/>
      <c r="J66" s="41"/>
      <c r="K66" s="59" t="str">
        <f ca="1">F66&amp;"10komm"</f>
        <v>210komm</v>
      </c>
      <c r="L66" s="618" cm="1">
        <f t="array" ref="L66">BC66</f>
        <v>0</v>
      </c>
      <c r="M66" s="41"/>
      <c r="N66" s="41"/>
      <c r="O66" s="41"/>
      <c r="P66" s="41"/>
      <c r="Q66" s="41"/>
      <c r="R66" s="41"/>
      <c r="S66" s="41"/>
      <c r="T66" s="365" t="b" cm="1">
        <f t="array" ref="T66">T65</f>
        <v>1</v>
      </c>
      <c r="U66" s="41"/>
      <c r="V66" s="41"/>
      <c r="X66" s="1075"/>
      <c r="Z66" s="1065"/>
      <c r="AB66" s="600">
        <v>10</v>
      </c>
      <c r="AC66" s="358" t="s">
        <v>1291</v>
      </c>
      <c r="AD66" s="26" t="s">
        <v>804</v>
      </c>
      <c r="AE66" s="167">
        <f t="shared" ref="AE66:BB66" si="7">SUM(AE67:AE68)</f>
        <v>0</v>
      </c>
      <c r="AF66" s="167">
        <f t="shared" si="7"/>
        <v>0</v>
      </c>
      <c r="AG66" s="167">
        <f t="shared" si="7"/>
        <v>0</v>
      </c>
      <c r="AH66" s="167">
        <f t="shared" si="7"/>
        <v>0</v>
      </c>
      <c r="AI66" s="167">
        <f t="shared" si="7"/>
        <v>0</v>
      </c>
      <c r="AJ66" s="167">
        <f t="shared" si="7"/>
        <v>0</v>
      </c>
      <c r="AK66" s="167">
        <f t="shared" si="7"/>
        <v>0</v>
      </c>
      <c r="AL66" s="167">
        <f t="shared" si="7"/>
        <v>0</v>
      </c>
      <c r="AM66" s="167">
        <f t="shared" si="7"/>
        <v>0</v>
      </c>
      <c r="AN66" s="167">
        <f t="shared" si="7"/>
        <v>0</v>
      </c>
      <c r="AO66" s="167">
        <f t="shared" si="7"/>
        <v>0</v>
      </c>
      <c r="AP66" s="167">
        <f t="shared" si="7"/>
        <v>0</v>
      </c>
      <c r="AQ66" s="167">
        <f t="shared" si="7"/>
        <v>0</v>
      </c>
      <c r="AR66" s="167">
        <f t="shared" si="7"/>
        <v>0</v>
      </c>
      <c r="AS66" s="167">
        <f t="shared" si="7"/>
        <v>0</v>
      </c>
      <c r="AT66" s="167">
        <f t="shared" si="7"/>
        <v>0</v>
      </c>
      <c r="AU66" s="167">
        <f t="shared" si="7"/>
        <v>0</v>
      </c>
      <c r="AV66" s="167">
        <f t="shared" si="7"/>
        <v>0</v>
      </c>
      <c r="AW66" s="167">
        <f t="shared" si="7"/>
        <v>0</v>
      </c>
      <c r="AX66" s="167">
        <f t="shared" si="7"/>
        <v>0</v>
      </c>
      <c r="AY66" s="167">
        <f t="shared" si="7"/>
        <v>0</v>
      </c>
      <c r="AZ66" s="167">
        <f t="shared" si="7"/>
        <v>0</v>
      </c>
      <c r="BA66" s="167">
        <f t="shared" si="7"/>
        <v>0</v>
      </c>
      <c r="BB66" s="167">
        <f t="shared" si="7"/>
        <v>0</v>
      </c>
      <c r="BC66" s="132"/>
      <c r="BF66" s="665" t="s">
        <v>1292</v>
      </c>
    </row>
    <row r="67" spans="1:62" ht="0" hidden="1" customHeight="1">
      <c r="B67" s="63"/>
      <c r="C67" s="41"/>
      <c r="D67" s="41"/>
      <c r="E67" s="460">
        <v>15</v>
      </c>
      <c r="F67" s="3" t="str" cm="1">
        <f t="array" aca="1" ref="F67" ca="1">OFFSET(E67,-1,1)</f>
        <v>2</v>
      </c>
      <c r="G67" s="41" t="s">
        <v>577</v>
      </c>
      <c r="H67" s="287"/>
      <c r="I67" s="422" cm="1">
        <f t="array" ref="I67">AC67</f>
        <v>0</v>
      </c>
      <c r="J67" s="41"/>
      <c r="K67" s="41"/>
      <c r="L67" s="41"/>
      <c r="M67" s="41"/>
      <c r="N67" s="41"/>
      <c r="O67" s="41"/>
      <c r="P67" s="41"/>
      <c r="Q67" s="41"/>
      <c r="R67" s="41"/>
      <c r="S67" s="41"/>
      <c r="T67" s="365" t="b">
        <f ca="1">AND(F67&gt;0,Y67&gt;0)</f>
        <v>0</v>
      </c>
      <c r="U67" s="41"/>
      <c r="V67" s="41"/>
      <c r="W67" s="528" t="s">
        <v>173</v>
      </c>
      <c r="X67" s="1075"/>
      <c r="Y67" s="57">
        <v>0</v>
      </c>
      <c r="Z67" s="1065"/>
      <c r="AA67" s="332" t="s">
        <v>174</v>
      </c>
      <c r="AB67" s="511" t="str">
        <f>"10."&amp;Y67</f>
        <v>10.0</v>
      </c>
      <c r="AC67" s="931"/>
      <c r="AD67" s="26" t="s">
        <v>804</v>
      </c>
      <c r="AE67" s="790"/>
      <c r="AF67" s="790"/>
      <c r="AG67" s="790"/>
      <c r="AH67" s="790"/>
      <c r="AI67" s="790"/>
      <c r="AJ67" s="790"/>
      <c r="AK67" s="790"/>
      <c r="AL67" s="790"/>
      <c r="AM67" s="790"/>
      <c r="AN67" s="790"/>
      <c r="AO67" s="790"/>
      <c r="AP67" s="790"/>
      <c r="AQ67" s="790"/>
      <c r="AR67" s="790"/>
      <c r="AS67" s="790"/>
      <c r="AT67" s="790"/>
      <c r="AU67" s="790"/>
      <c r="AV67" s="790"/>
      <c r="AW67" s="790"/>
      <c r="AX67" s="790"/>
      <c r="AY67" s="790"/>
      <c r="AZ67" s="790"/>
      <c r="BA67" s="790"/>
      <c r="BB67" s="790"/>
      <c r="BC67" s="839"/>
      <c r="BF67" s="665" t="s">
        <v>1292</v>
      </c>
      <c r="BG67" s="665" t="s">
        <v>1293</v>
      </c>
      <c r="BH67" s="696" cm="1">
        <f t="array" ref="BH67">AC67</f>
        <v>0</v>
      </c>
      <c r="BJ67" s="459" t="b">
        <v>1</v>
      </c>
    </row>
    <row r="68" spans="1:62" s="408" customFormat="1" ht="0" hidden="1" customHeight="1">
      <c r="A68" s="57"/>
      <c r="B68" s="63"/>
      <c r="C68" s="41"/>
      <c r="D68" s="41"/>
      <c r="E68" s="460">
        <v>15</v>
      </c>
      <c r="F68" s="3" t="str" cm="1">
        <f t="array" aca="1" ref="F68" ca="1">OFFSET(E68,-1,1)</f>
        <v>2</v>
      </c>
      <c r="G68" s="41"/>
      <c r="H68" s="57"/>
      <c r="I68" s="41" t="str">
        <f>"!=='не определено'"</f>
        <v>!=='не определено'</v>
      </c>
      <c r="J68" s="41"/>
      <c r="K68" s="41"/>
      <c r="L68" s="41"/>
      <c r="M68" s="41"/>
      <c r="N68" s="41"/>
      <c r="O68" s="41"/>
      <c r="P68" s="41"/>
      <c r="Q68" s="41"/>
      <c r="R68" s="41"/>
      <c r="S68" s="41"/>
      <c r="T68" s="365" t="b">
        <f ca="1">F68&gt;0</f>
        <v>1</v>
      </c>
      <c r="U68" s="41"/>
      <c r="V68" s="41"/>
      <c r="W68" s="528" t="s">
        <v>392</v>
      </c>
      <c r="X68" s="1075"/>
      <c r="Y68" s="57"/>
      <c r="Z68" s="1065"/>
      <c r="AA68" s="57"/>
      <c r="AB68" s="556"/>
      <c r="AC68" s="191" t="s">
        <v>177</v>
      </c>
      <c r="AD68" s="557"/>
      <c r="AE68" s="164"/>
      <c r="AF68" s="164"/>
      <c r="AG68" s="164"/>
      <c r="AH68" s="164"/>
      <c r="AI68" s="164"/>
      <c r="AJ68" s="164"/>
      <c r="AK68" s="164"/>
      <c r="AL68" s="164"/>
      <c r="AM68" s="164"/>
      <c r="AN68" s="164"/>
      <c r="AO68" s="164"/>
      <c r="AP68" s="164"/>
      <c r="AQ68" s="164"/>
      <c r="AR68" s="164"/>
      <c r="AS68" s="164"/>
      <c r="AT68" s="164"/>
      <c r="AU68" s="164"/>
      <c r="AV68" s="164"/>
      <c r="AW68" s="164"/>
      <c r="AX68" s="164"/>
      <c r="AY68" s="164"/>
      <c r="AZ68" s="164"/>
      <c r="BA68" s="164"/>
      <c r="BB68" s="164"/>
      <c r="BC68" s="165"/>
      <c r="BD68" s="57"/>
      <c r="BE68" s="57"/>
      <c r="BF68" s="665"/>
      <c r="BG68" s="665"/>
      <c r="BH68" s="665"/>
      <c r="BI68" s="459" t="s">
        <v>1293</v>
      </c>
      <c r="BJ68" s="459"/>
    </row>
    <row r="69" spans="1:62" ht="10.9" customHeight="1">
      <c r="A69"/>
      <c r="B69" s="423"/>
      <c r="C69"/>
      <c r="D69"/>
      <c r="E69" s="465">
        <v>11.25</v>
      </c>
      <c r="F69" s="23"/>
      <c r="G69"/>
      <c r="H69"/>
      <c r="I69"/>
      <c r="J69"/>
      <c r="K69"/>
      <c r="L69"/>
      <c r="M69"/>
      <c r="N69"/>
      <c r="O69"/>
      <c r="P69"/>
      <c r="Q69"/>
      <c r="R69"/>
      <c r="S69"/>
      <c r="T69"/>
      <c r="U69" t="s">
        <v>177</v>
      </c>
      <c r="V69" s="528" t="s">
        <v>1298</v>
      </c>
      <c r="W69"/>
      <c r="X69"/>
      <c r="Y69"/>
      <c r="Z69"/>
      <c r="AA69"/>
      <c r="AB69"/>
      <c r="AC69" s="37"/>
      <c r="AD69" s="37"/>
      <c r="AE69" s="37"/>
      <c r="AF69" s="37"/>
      <c r="AG69"/>
      <c r="AH69"/>
      <c r="AI69"/>
      <c r="AJ69"/>
      <c r="AK69"/>
      <c r="AL69"/>
      <c r="AM69"/>
      <c r="AN69"/>
      <c r="AO69"/>
      <c r="AP69"/>
      <c r="AQ69" s="38"/>
      <c r="AR69"/>
      <c r="AS69"/>
      <c r="AT69"/>
      <c r="AU69"/>
      <c r="AV69"/>
      <c r="AW69"/>
      <c r="AX69"/>
      <c r="AY69"/>
      <c r="AZ69"/>
      <c r="BA69"/>
      <c r="BB69"/>
      <c r="BC69"/>
      <c r="BD69"/>
      <c r="BE69"/>
      <c r="BF69" s="670"/>
      <c r="BG69" s="670"/>
      <c r="BH69" s="670"/>
      <c r="BI69" s="465"/>
      <c r="BJ69" s="465"/>
    </row>
    <row r="70" spans="1:62" ht="14.65" customHeight="1">
      <c r="A70" s="36"/>
      <c r="B70" s="396"/>
      <c r="C70" s="78"/>
      <c r="D70" s="78"/>
      <c r="E70" s="473">
        <v>15</v>
      </c>
      <c r="F70" s="78"/>
      <c r="G70" s="78"/>
      <c r="H70" s="78"/>
      <c r="I70" s="78"/>
      <c r="J70" s="78"/>
      <c r="K70" s="78"/>
      <c r="L70" s="78"/>
      <c r="M70" s="78"/>
      <c r="N70" s="78"/>
      <c r="O70" s="78"/>
      <c r="P70" s="78"/>
      <c r="Q70" s="78"/>
      <c r="R70" s="78"/>
      <c r="S70" s="78"/>
      <c r="T70" s="78"/>
      <c r="U70" s="78"/>
      <c r="V70" s="78"/>
      <c r="W70" s="36"/>
      <c r="X70" s="36"/>
      <c r="Y70" s="36"/>
      <c r="Z70" s="36"/>
      <c r="AA70" s="36"/>
      <c r="AB70" s="1088" t="s">
        <v>398</v>
      </c>
      <c r="AC70" s="1088"/>
      <c r="AD70" s="1088"/>
      <c r="AE70" s="1088"/>
      <c r="AF70" s="1088"/>
      <c r="AG70" s="1088"/>
      <c r="AH70" s="1088"/>
      <c r="AI70" s="1096"/>
      <c r="AJ70" s="1096"/>
      <c r="AK70" s="1096"/>
      <c r="AL70" s="1096"/>
      <c r="AM70" s="1096"/>
      <c r="AN70" s="1096"/>
      <c r="AO70" s="1096"/>
      <c r="AP70" s="1096"/>
      <c r="AQ70" s="1096"/>
      <c r="AR70" s="1096"/>
      <c r="AS70" s="1096"/>
      <c r="AT70" s="1096"/>
      <c r="AU70" s="1096"/>
      <c r="AV70" s="1096"/>
      <c r="AW70" s="1096"/>
      <c r="AX70" s="1096"/>
      <c r="AY70" s="1096"/>
      <c r="AZ70" s="1096"/>
      <c r="BA70" s="1096"/>
      <c r="BB70" s="1096"/>
      <c r="BC70" s="1096"/>
      <c r="BD70" s="36"/>
      <c r="BE70"/>
      <c r="BF70" s="670"/>
      <c r="BG70" s="670"/>
      <c r="BH70" s="670"/>
      <c r="BI70" s="465"/>
      <c r="BJ70" s="465"/>
    </row>
    <row r="71" spans="1:62" ht="33.75" customHeight="1">
      <c r="A71" s="36"/>
      <c r="B71" s="396"/>
      <c r="C71" s="78"/>
      <c r="D71" s="78"/>
      <c r="E71" s="473">
        <v>15</v>
      </c>
      <c r="F71" s="78"/>
      <c r="G71" s="78"/>
      <c r="H71" s="78"/>
      <c r="I71" s="78"/>
      <c r="J71" s="78"/>
      <c r="K71" s="78"/>
      <c r="L71" s="78"/>
      <c r="M71" s="78"/>
      <c r="N71" s="78"/>
      <c r="O71" s="78"/>
      <c r="P71" s="78"/>
      <c r="Q71" s="78"/>
      <c r="R71" s="78"/>
      <c r="S71" s="78"/>
      <c r="T71" s="78"/>
      <c r="U71" s="78"/>
      <c r="V71" s="78"/>
      <c r="W71" s="36"/>
      <c r="X71" s="36"/>
      <c r="Y71" s="36"/>
      <c r="Z71" s="36"/>
      <c r="AA71" s="106"/>
      <c r="AB71" s="1097" t="s">
        <v>517</v>
      </c>
      <c r="AC71" s="1097"/>
      <c r="AD71" s="1097"/>
      <c r="AE71" s="1097"/>
      <c r="AF71" s="1097"/>
      <c r="AG71" s="1097"/>
      <c r="AH71" s="1097"/>
      <c r="AI71" s="1098"/>
      <c r="AJ71" s="1132"/>
      <c r="AK71" s="1132"/>
      <c r="AL71" s="1132"/>
      <c r="AM71" s="1132"/>
      <c r="AN71" s="1132"/>
      <c r="AO71" s="1132"/>
      <c r="AP71" s="1132"/>
      <c r="AQ71" s="1132"/>
      <c r="AR71" s="1132"/>
      <c r="AS71" s="1098"/>
      <c r="AT71" s="1132"/>
      <c r="AU71" s="1132"/>
      <c r="AV71" s="1132"/>
      <c r="AW71" s="1132"/>
      <c r="AX71" s="1132"/>
      <c r="AY71" s="1132"/>
      <c r="AZ71" s="1132"/>
      <c r="BA71" s="1132"/>
      <c r="BB71" s="1132"/>
      <c r="BC71" s="1098"/>
      <c r="BD71" s="36"/>
      <c r="BE71"/>
      <c r="BF71" s="670"/>
      <c r="BG71" s="670"/>
      <c r="BH71" s="670"/>
      <c r="BI71" s="465"/>
      <c r="BJ71" s="465"/>
    </row>
    <row r="72" spans="1:62" ht="14.65" hidden="1" customHeight="1">
      <c r="A72" s="36"/>
      <c r="B72" s="65"/>
      <c r="C72" s="36"/>
      <c r="D72" s="36"/>
      <c r="E72" s="472">
        <v>15</v>
      </c>
      <c r="F72" s="36"/>
      <c r="G72" s="36"/>
      <c r="H72" s="36"/>
      <c r="I72" s="36"/>
      <c r="J72" s="36"/>
      <c r="K72" s="36"/>
      <c r="L72" s="36"/>
      <c r="M72" s="36"/>
      <c r="N72" s="36"/>
      <c r="O72" s="36"/>
      <c r="P72" s="36"/>
      <c r="Q72" s="36"/>
      <c r="R72" s="36"/>
      <c r="S72" s="36"/>
      <c r="T72" s="365" t="b">
        <f>ROW(W72)&gt;ROW(W$72)</f>
        <v>0</v>
      </c>
      <c r="U72" s="36"/>
      <c r="V72" s="36"/>
      <c r="W72" s="528" t="s">
        <v>173</v>
      </c>
      <c r="X72" s="36"/>
      <c r="Y72" s="36"/>
      <c r="Z72" s="36"/>
      <c r="AA72" s="332" t="s">
        <v>174</v>
      </c>
      <c r="AB72" s="1131" t="s">
        <v>225</v>
      </c>
      <c r="AC72" s="1131"/>
      <c r="AD72" s="1131"/>
      <c r="AE72" s="1131"/>
      <c r="AF72" s="1131"/>
      <c r="AG72" s="1131"/>
      <c r="AH72" s="1131"/>
      <c r="AI72" s="1098"/>
      <c r="AJ72" s="1132"/>
      <c r="AK72" s="1132"/>
      <c r="AL72" s="1132"/>
      <c r="AM72" s="1132"/>
      <c r="AN72" s="1132"/>
      <c r="AO72" s="1132"/>
      <c r="AP72" s="1132"/>
      <c r="AQ72" s="1132"/>
      <c r="AR72" s="1132"/>
      <c r="AS72" s="1098"/>
      <c r="AT72" s="1132"/>
      <c r="AU72" s="1132"/>
      <c r="AV72" s="1132"/>
      <c r="AW72" s="1132"/>
      <c r="AX72" s="1132"/>
      <c r="AY72" s="1132"/>
      <c r="AZ72" s="1132"/>
      <c r="BA72" s="1132"/>
      <c r="BB72" s="1132"/>
      <c r="BC72" s="1132"/>
      <c r="BD72" s="36"/>
      <c r="BE72"/>
      <c r="BF72" s="670"/>
      <c r="BG72" s="670"/>
      <c r="BH72" s="670"/>
      <c r="BI72" s="465"/>
      <c r="BJ72" s="465"/>
    </row>
    <row r="73" spans="1:62" ht="14.65" customHeight="1">
      <c r="A73" s="36"/>
      <c r="B73" s="65"/>
      <c r="C73" s="36"/>
      <c r="D73" s="36"/>
      <c r="E73" s="472">
        <v>15</v>
      </c>
      <c r="F73" s="36"/>
      <c r="G73" s="36"/>
      <c r="H73" s="36"/>
      <c r="I73" s="36"/>
      <c r="J73" s="36"/>
      <c r="K73" s="36"/>
      <c r="L73" s="36"/>
      <c r="M73" s="36"/>
      <c r="N73" s="36"/>
      <c r="O73" s="36"/>
      <c r="P73" s="36"/>
      <c r="Q73" s="36"/>
      <c r="R73" s="36"/>
      <c r="S73" s="36"/>
      <c r="T73" s="36"/>
      <c r="U73" s="36"/>
      <c r="V73" s="36"/>
      <c r="W73" s="528" t="s">
        <v>399</v>
      </c>
      <c r="X73" s="36"/>
      <c r="Y73" s="36"/>
      <c r="Z73" s="36"/>
      <c r="AA73" s="36"/>
      <c r="AB73" s="485"/>
      <c r="AC73" s="394" t="s">
        <v>1249</v>
      </c>
      <c r="AD73" s="231"/>
      <c r="AE73" s="231"/>
      <c r="AF73" s="232"/>
      <c r="AG73" s="232"/>
      <c r="AH73" s="232"/>
      <c r="AI73" s="232"/>
      <c r="AJ73" s="232"/>
      <c r="AK73" s="232"/>
      <c r="AL73" s="232"/>
      <c r="AM73" s="232"/>
      <c r="AN73" s="232"/>
      <c r="AO73" s="232"/>
      <c r="AP73" s="232"/>
      <c r="AQ73" s="232"/>
      <c r="AR73" s="232"/>
      <c r="AS73" s="232"/>
      <c r="AT73" s="232"/>
      <c r="AU73" s="232"/>
      <c r="AV73" s="232"/>
      <c r="AW73" s="232"/>
      <c r="AX73" s="232"/>
      <c r="AY73" s="232"/>
      <c r="AZ73" s="232"/>
      <c r="BA73" s="232"/>
      <c r="BB73" s="232"/>
      <c r="BC73" s="233"/>
      <c r="BD73" s="36"/>
      <c r="BE73"/>
      <c r="BF73" s="670"/>
      <c r="BG73" s="670"/>
      <c r="BH73" s="670"/>
      <c r="BI73" s="465"/>
      <c r="BJ73" s="465"/>
    </row>
    <row r="74" spans="1:62" ht="10.9" customHeight="1">
      <c r="E74" s="459">
        <v>11.25</v>
      </c>
      <c r="BD74" s="41"/>
      <c r="BE74"/>
      <c r="BF74" s="670"/>
      <c r="BG74" s="670"/>
      <c r="BH74" s="670"/>
      <c r="BI74" s="465"/>
      <c r="BJ74" s="465"/>
    </row>
  </sheetData>
  <sheetProtection formatColumns="0" formatRows="0" insertRows="0" deleteColumns="0" deleteRows="0" sort="0" autoFilter="0"/>
  <mergeCells count="13">
    <mergeCell ref="AB24:AB25"/>
    <mergeCell ref="AC24:AC25"/>
    <mergeCell ref="AD24:AD25"/>
    <mergeCell ref="BC24:BC25"/>
    <mergeCell ref="AB72:BC72"/>
    <mergeCell ref="X27:X40"/>
    <mergeCell ref="Z27:Z40"/>
    <mergeCell ref="AB70:BC70"/>
    <mergeCell ref="AB71:BC71"/>
    <mergeCell ref="X41:X54"/>
    <mergeCell ref="Z41:Z54"/>
    <mergeCell ref="X55:X68"/>
    <mergeCell ref="Z55:Z68"/>
  </mergeCells>
  <dataValidations count="2">
    <dataValidation allowBlank="1" showInputMessage="1" showErrorMessage="1" sqref="AI70:BC65525" xr:uid="{00000000-0002-0000-1500-000000000000}"/>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xr:uid="{00000000-0002-0000-1500-000001000000}">
      <formula1>0</formula1>
      <formula2>9.99999999999999E+23</formula2>
    </dataValidation>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AC18-3A58-A6D3-5928-9FA6314E3F8A}">
  <sheetPr>
    <tabColor rgb="FF002060"/>
    <outlinePr summaryBelow="0" summaryRight="0"/>
    <pageSetUpPr fitToPage="1"/>
  </sheetPr>
  <dimension ref="A1:BH150"/>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cols>
    <col min="1" max="1" width="3.5703125" style="57" hidden="1" customWidth="1"/>
    <col min="2" max="2" width="8.5703125" style="62" hidden="1" customWidth="1"/>
    <col min="3" max="4" width="3.5703125" style="57" hidden="1" customWidth="1"/>
    <col min="5" max="5" width="3.5703125" style="459" hidden="1" customWidth="1"/>
    <col min="6" max="6" width="3.5703125" style="57" hidden="1" customWidth="1"/>
    <col min="7" max="7" width="7.7109375" style="57" hidden="1" customWidth="1"/>
    <col min="8" max="10" width="3.5703125" style="57" hidden="1" customWidth="1"/>
    <col min="11" max="11" width="7.140625" style="57" hidden="1" customWidth="1"/>
    <col min="12" max="18" width="3.5703125" style="57" hidden="1" customWidth="1"/>
    <col min="19" max="19" width="9.28515625" style="57" hidden="1" customWidth="1"/>
    <col min="20" max="20" width="12.140625" style="57" hidden="1" customWidth="1"/>
    <col min="21" max="21" width="5.85546875" style="57" hidden="1" customWidth="1"/>
    <col min="22" max="23" width="6.140625" style="57" hidden="1" customWidth="1"/>
    <col min="24" max="25" width="5.5703125" style="57" hidden="1" customWidth="1"/>
    <col min="26" max="26" width="5.28515625" style="57" hidden="1" customWidth="1"/>
    <col min="27" max="27" width="3" style="57" customWidth="1"/>
    <col min="28" max="28" width="11" style="57" customWidth="1"/>
    <col min="29" max="29" width="54" style="57" customWidth="1"/>
    <col min="30" max="30" width="11.140625" style="57" customWidth="1"/>
    <col min="31" max="31" width="14.140625" style="57" customWidth="1"/>
    <col min="32" max="32" width="12.5703125" style="57" customWidth="1"/>
    <col min="33" max="33" width="14.28515625" style="57" customWidth="1"/>
    <col min="34" max="34" width="14.42578125" style="57" customWidth="1"/>
    <col min="35" max="35" width="14.28515625" style="57" customWidth="1"/>
    <col min="36" max="37" width="12.5703125" style="57" customWidth="1"/>
    <col min="38" max="46" width="12.5703125" style="57" hidden="1" customWidth="1"/>
    <col min="47" max="47" width="12.5703125" style="57" customWidth="1"/>
    <col min="48" max="56" width="12.5703125" style="57" hidden="1" customWidth="1"/>
    <col min="57" max="57" width="20" style="57" customWidth="1"/>
    <col min="58" max="58" width="3" style="57" customWidth="1"/>
    <col min="59" max="59" width="8.85546875" style="57" hidden="1"/>
    <col min="60" max="60" width="8.85546875" style="665" hidden="1"/>
  </cols>
  <sheetData>
    <row r="1" spans="1:60" ht="11.25" hidden="1" customHeight="1">
      <c r="E1" s="57"/>
      <c r="F1" s="57" t="s">
        <v>315</v>
      </c>
      <c r="H1" s="57" t="s">
        <v>326</v>
      </c>
      <c r="T1" s="365" t="s">
        <v>93</v>
      </c>
      <c r="U1" s="365" t="s">
        <v>98</v>
      </c>
      <c r="V1" s="365" t="s">
        <v>94</v>
      </c>
      <c r="W1" s="365" t="s">
        <v>95</v>
      </c>
      <c r="X1" s="365" t="s">
        <v>96</v>
      </c>
      <c r="Y1" s="367" t="s">
        <v>317</v>
      </c>
      <c r="Z1" s="365" t="s">
        <v>100</v>
      </c>
      <c r="AA1" s="366" t="s">
        <v>97</v>
      </c>
      <c r="AB1" s="366" t="s">
        <v>99</v>
      </c>
      <c r="AC1" s="366" t="s">
        <v>99</v>
      </c>
      <c r="BH1" s="665" t="s">
        <v>318</v>
      </c>
    </row>
    <row r="2" spans="1:60" s="62" customFormat="1" ht="11.25" hidden="1" customHeight="1">
      <c r="B2" s="354" t="s">
        <v>19</v>
      </c>
      <c r="AK2" s="354" t="b">
        <f t="shared" ref="AK2:AT2" si="0">AND(AK6&lt;=last_year_vis,isOrgDeclare)</f>
        <v>1</v>
      </c>
      <c r="AL2" s="354" t="b">
        <f t="shared" si="0"/>
        <v>0</v>
      </c>
      <c r="AM2" s="354" t="b">
        <f t="shared" si="0"/>
        <v>0</v>
      </c>
      <c r="AN2" s="354" t="b">
        <f t="shared" si="0"/>
        <v>0</v>
      </c>
      <c r="AO2" s="354" t="b">
        <f t="shared" si="0"/>
        <v>0</v>
      </c>
      <c r="AP2" s="354" t="b">
        <f t="shared" si="0"/>
        <v>0</v>
      </c>
      <c r="AQ2" s="354" t="b">
        <f t="shared" si="0"/>
        <v>0</v>
      </c>
      <c r="AR2" s="354" t="b">
        <f t="shared" si="0"/>
        <v>0</v>
      </c>
      <c r="AS2" s="354" t="b">
        <f t="shared" si="0"/>
        <v>0</v>
      </c>
      <c r="AT2" s="354" t="b">
        <f t="shared" si="0"/>
        <v>0</v>
      </c>
      <c r="AU2" s="354" t="b">
        <f t="shared" ref="AU2:BD2" si="1">AU6&lt;=last_year_vis</f>
        <v>1</v>
      </c>
      <c r="AV2" s="354" t="b">
        <f t="shared" si="1"/>
        <v>0</v>
      </c>
      <c r="AW2" s="354" t="b">
        <f t="shared" si="1"/>
        <v>0</v>
      </c>
      <c r="AX2" s="354" t="b">
        <f t="shared" si="1"/>
        <v>0</v>
      </c>
      <c r="AY2" s="354" t="b">
        <f t="shared" si="1"/>
        <v>0</v>
      </c>
      <c r="AZ2" s="354" t="b">
        <f t="shared" si="1"/>
        <v>0</v>
      </c>
      <c r="BA2" s="354" t="b">
        <f t="shared" si="1"/>
        <v>0</v>
      </c>
      <c r="BB2" s="354" t="b">
        <f t="shared" si="1"/>
        <v>0</v>
      </c>
      <c r="BC2" s="354" t="b">
        <f t="shared" si="1"/>
        <v>0</v>
      </c>
      <c r="BD2" s="354" t="b">
        <f t="shared" si="1"/>
        <v>0</v>
      </c>
      <c r="BH2" s="674"/>
    </row>
    <row r="3" spans="1:60" ht="11.25" hidden="1" customHeight="1">
      <c r="E3" s="57"/>
    </row>
    <row r="4" spans="1:60" ht="11.25" hidden="1" customHeight="1">
      <c r="E4" s="57"/>
    </row>
    <row r="5" spans="1:60" s="459" customFormat="1" ht="11.25" hidden="1" customHeight="1">
      <c r="A5" s="57"/>
      <c r="B5" s="62"/>
      <c r="C5" s="57"/>
      <c r="D5" s="57"/>
      <c r="E5" s="459" t="s">
        <v>20</v>
      </c>
      <c r="AA5" s="459">
        <v>3</v>
      </c>
      <c r="AB5" s="459">
        <v>11</v>
      </c>
      <c r="AC5" s="459">
        <v>54</v>
      </c>
      <c r="AD5" s="459">
        <v>11.14</v>
      </c>
      <c r="AE5" s="459">
        <v>14.14</v>
      </c>
      <c r="AF5" s="459">
        <v>12.57</v>
      </c>
      <c r="AG5" s="459">
        <v>14.29</v>
      </c>
      <c r="AH5" s="459">
        <v>14.43</v>
      </c>
      <c r="AI5" s="459">
        <v>14.29</v>
      </c>
      <c r="AJ5" s="459">
        <v>12.57</v>
      </c>
      <c r="AK5" s="459">
        <v>12.57</v>
      </c>
      <c r="AL5" s="459">
        <v>12.57</v>
      </c>
      <c r="AM5" s="459">
        <v>12.57</v>
      </c>
      <c r="AN5" s="459">
        <v>12.57</v>
      </c>
      <c r="AO5" s="459">
        <v>12.57</v>
      </c>
      <c r="AP5" s="459">
        <v>12.57</v>
      </c>
      <c r="AQ5" s="459">
        <v>12.57</v>
      </c>
      <c r="AR5" s="459">
        <v>12.57</v>
      </c>
      <c r="AS5" s="459">
        <v>12.57</v>
      </c>
      <c r="AT5" s="459">
        <v>12.57</v>
      </c>
      <c r="AU5" s="459">
        <v>12.57</v>
      </c>
      <c r="AV5" s="459">
        <v>12.57</v>
      </c>
      <c r="AW5" s="459">
        <v>12.57</v>
      </c>
      <c r="AX5" s="459">
        <v>12.57</v>
      </c>
      <c r="AY5" s="459">
        <v>12.57</v>
      </c>
      <c r="AZ5" s="459">
        <v>12.57</v>
      </c>
      <c r="BA5" s="459">
        <v>12.57</v>
      </c>
      <c r="BB5" s="459">
        <v>12.57</v>
      </c>
      <c r="BC5" s="459">
        <v>12.57</v>
      </c>
      <c r="BD5" s="459">
        <v>12.57</v>
      </c>
      <c r="BE5" s="459">
        <v>20</v>
      </c>
      <c r="BF5" s="459">
        <v>3</v>
      </c>
      <c r="BH5" s="665"/>
    </row>
    <row r="6" spans="1:60" ht="11.25" hidden="1" customHeight="1">
      <c r="A6" s="57" t="s">
        <v>353</v>
      </c>
      <c r="AE6" s="57">
        <f>god-2</f>
        <v>2024</v>
      </c>
      <c r="AF6" s="57">
        <f>god-2</f>
        <v>2024</v>
      </c>
      <c r="AG6" s="57">
        <f>god-2</f>
        <v>2024</v>
      </c>
      <c r="AH6" s="57">
        <f>god-2</f>
        <v>2024</v>
      </c>
      <c r="AI6" s="57">
        <f>god-1</f>
        <v>2025</v>
      </c>
      <c r="AJ6" s="57">
        <f>god-1</f>
        <v>2025</v>
      </c>
      <c r="AK6" s="36" cm="1">
        <f t="array" ref="AK6">god</f>
        <v>2026</v>
      </c>
      <c r="AL6" s="36">
        <f>god+1</f>
        <v>2027</v>
      </c>
      <c r="AM6" s="36">
        <f>god+2</f>
        <v>2028</v>
      </c>
      <c r="AN6" s="36">
        <f>god+3</f>
        <v>2029</v>
      </c>
      <c r="AO6" s="36">
        <f>god+4</f>
        <v>2030</v>
      </c>
      <c r="AP6" s="36">
        <f>god+5</f>
        <v>2031</v>
      </c>
      <c r="AQ6" s="36">
        <f>god+6</f>
        <v>2032</v>
      </c>
      <c r="AR6" s="36">
        <f>god+7</f>
        <v>2033</v>
      </c>
      <c r="AS6" s="36">
        <f>god+8</f>
        <v>2034</v>
      </c>
      <c r="AT6" s="36">
        <f>god+9</f>
        <v>2035</v>
      </c>
      <c r="AU6" s="36" cm="1">
        <f t="array" ref="AU6">god</f>
        <v>2026</v>
      </c>
      <c r="AV6" s="36">
        <f>god+1</f>
        <v>2027</v>
      </c>
      <c r="AW6" s="36">
        <f>god+2</f>
        <v>2028</v>
      </c>
      <c r="AX6" s="36">
        <f>god+3</f>
        <v>2029</v>
      </c>
      <c r="AY6" s="36">
        <f>god+4</f>
        <v>2030</v>
      </c>
      <c r="AZ6" s="36">
        <f>god+5</f>
        <v>2031</v>
      </c>
      <c r="BA6" s="36">
        <f>god+6</f>
        <v>2032</v>
      </c>
      <c r="BB6" s="36">
        <f>god+7</f>
        <v>2033</v>
      </c>
      <c r="BC6" s="36">
        <f>god+8</f>
        <v>2034</v>
      </c>
      <c r="BD6" s="36">
        <f>god+9</f>
        <v>2035</v>
      </c>
    </row>
    <row r="7" spans="1:60" ht="11.25" hidden="1" customHeight="1">
      <c r="A7" s="57" t="s">
        <v>354</v>
      </c>
      <c r="AE7" s="57" t="str" cm="1">
        <f t="array" ref="AE7">AE27</f>
        <v>Плановый размер финансирования утвержденной инвестиционной программы</v>
      </c>
      <c r="AF7" s="57" t="str" cm="1">
        <f t="array" ref="AF7">AF27</f>
        <v>Принято органом регулирования</v>
      </c>
      <c r="AG7" s="57" t="str" cm="1">
        <f t="array" ref="AG7">AG27</f>
        <v>Объем фактического ввода объектов системы водоснабжения и водоотведения в эксплуатацию по данным организации</v>
      </c>
      <c r="AH7" s="57" t="str" cm="1">
        <f t="array" ref="AH7">AH27</f>
        <v>Объем фактического ввода объектов системы водоснабжения и водоотведения в эксплуатацию, принятый органом регулирования</v>
      </c>
      <c r="AI7" s="57" t="str" cm="1">
        <f t="array" ref="AI7">AI27</f>
        <v>Плановый размер финансирования утвержденной инвестиционной программы</v>
      </c>
      <c r="AJ7" s="57" t="str" cm="1">
        <f t="array" ref="AJ7">AJ27</f>
        <v>Принято органом регулирования</v>
      </c>
      <c r="AK7" s="57" t="str" cm="1">
        <f t="array" ref="AK7">AK27</f>
        <v>Предложение организации</v>
      </c>
      <c r="AL7" s="57" t="str" cm="1">
        <f t="array" ref="AL7">AL27</f>
        <v>Предложение организации</v>
      </c>
      <c r="AM7" s="57" t="str" cm="1">
        <f t="array" ref="AM7">AM27</f>
        <v>Предложение организации</v>
      </c>
      <c r="AN7" s="57" t="str" cm="1">
        <f t="array" ref="AN7">AN27</f>
        <v>Предложение организации</v>
      </c>
      <c r="AO7" s="57" t="str" cm="1">
        <f t="array" ref="AO7">AO27</f>
        <v>Предложение организации</v>
      </c>
      <c r="AP7" s="57" t="str" cm="1">
        <f t="array" ref="AP7">AP27</f>
        <v>Предложение организации</v>
      </c>
      <c r="AQ7" s="57" t="str" cm="1">
        <f t="array" ref="AQ7">AQ27</f>
        <v>Предложение организации</v>
      </c>
      <c r="AR7" s="57" t="str" cm="1">
        <f t="array" ref="AR7">AR27</f>
        <v>Предложение организации</v>
      </c>
      <c r="AS7" s="57" t="str" cm="1">
        <f t="array" ref="AS7">AS27</f>
        <v>Предложение организации</v>
      </c>
      <c r="AT7" s="57" t="str" cm="1">
        <f t="array" ref="AT7">AT27</f>
        <v>Предложение организации</v>
      </c>
      <c r="AU7" s="57" t="str" cm="1">
        <f t="array" ref="AU7">AU27</f>
        <v>Принято органом регулирования</v>
      </c>
      <c r="AV7" s="57" t="str" cm="1">
        <f t="array" ref="AV7">AV27</f>
        <v>Принято органом регулирования</v>
      </c>
      <c r="AW7" s="57" t="str" cm="1">
        <f t="array" ref="AW7">AW27</f>
        <v>Принято органом регулирования</v>
      </c>
      <c r="AX7" s="57" t="str" cm="1">
        <f t="array" ref="AX7">AX27</f>
        <v>Принято органом регулирования</v>
      </c>
      <c r="AY7" s="57" t="str" cm="1">
        <f t="array" ref="AY7">AY27</f>
        <v>Принято органом регулирования</v>
      </c>
      <c r="AZ7" s="57" t="str" cm="1">
        <f t="array" ref="AZ7">AZ27</f>
        <v>Принято органом регулирования</v>
      </c>
      <c r="BA7" s="57" t="str" cm="1">
        <f t="array" ref="BA7">BA27</f>
        <v>Принято органом регулирования</v>
      </c>
      <c r="BB7" s="57" t="str" cm="1">
        <f t="array" ref="BB7">BB27</f>
        <v>Принято органом регулирования</v>
      </c>
      <c r="BC7" s="57" t="str" cm="1">
        <f t="array" ref="BC7">BC27</f>
        <v>Принято органом регулирования</v>
      </c>
      <c r="BD7" s="57" t="str" cm="1">
        <f t="array" ref="BD7">BD27</f>
        <v>Принято органом регулирования</v>
      </c>
    </row>
    <row r="8" spans="1:60" ht="11.25" hidden="1" customHeight="1"/>
    <row r="9" spans="1:60" s="665" customFormat="1" ht="11.25" hidden="1" customHeight="1">
      <c r="A9" s="665" t="s">
        <v>358</v>
      </c>
      <c r="B9" s="674"/>
      <c r="AE9" s="665" cm="1">
        <f t="array" ref="AE9">AE6</f>
        <v>2024</v>
      </c>
      <c r="AF9" s="665" cm="1">
        <f t="array" ref="AF9">AF6</f>
        <v>2024</v>
      </c>
      <c r="AG9" s="665" cm="1">
        <f t="array" ref="AG9">AG6</f>
        <v>2024</v>
      </c>
      <c r="AH9" s="665" cm="1">
        <f t="array" ref="AH9">AH6</f>
        <v>2024</v>
      </c>
      <c r="AI9" s="665" cm="1">
        <f t="array" ref="AI9">AI6</f>
        <v>2025</v>
      </c>
      <c r="AJ9" s="665" cm="1">
        <f t="array" ref="AJ9">AJ6</f>
        <v>2025</v>
      </c>
      <c r="AK9" s="665" cm="1">
        <f t="array" ref="AK9">AK6</f>
        <v>2026</v>
      </c>
      <c r="AL9" s="665" cm="1">
        <f t="array" ref="AL9">AL6</f>
        <v>2027</v>
      </c>
      <c r="AM9" s="665" cm="1">
        <f t="array" ref="AM9">AM6</f>
        <v>2028</v>
      </c>
      <c r="AN9" s="665" cm="1">
        <f t="array" ref="AN9">AN6</f>
        <v>2029</v>
      </c>
      <c r="AO9" s="665" cm="1">
        <f t="array" ref="AO9">AO6</f>
        <v>2030</v>
      </c>
      <c r="AP9" s="665" cm="1">
        <f t="array" ref="AP9">AP6</f>
        <v>2031</v>
      </c>
      <c r="AQ9" s="665" cm="1">
        <f t="array" ref="AQ9">AQ6</f>
        <v>2032</v>
      </c>
      <c r="AR9" s="665" cm="1">
        <f t="array" ref="AR9">AR6</f>
        <v>2033</v>
      </c>
      <c r="AS9" s="665" cm="1">
        <f t="array" ref="AS9">AS6</f>
        <v>2034</v>
      </c>
      <c r="AT9" s="665" cm="1">
        <f t="array" ref="AT9">AT6</f>
        <v>2035</v>
      </c>
      <c r="AU9" s="665" cm="1">
        <f t="array" ref="AU9">AU6</f>
        <v>2026</v>
      </c>
      <c r="AV9" s="665" cm="1">
        <f t="array" ref="AV9">AV6</f>
        <v>2027</v>
      </c>
      <c r="AW9" s="665" cm="1">
        <f t="array" ref="AW9">AW6</f>
        <v>2028</v>
      </c>
      <c r="AX9" s="665" cm="1">
        <f t="array" ref="AX9">AX6</f>
        <v>2029</v>
      </c>
      <c r="AY9" s="665" cm="1">
        <f t="array" ref="AY9">AY6</f>
        <v>2030</v>
      </c>
      <c r="AZ9" s="665" cm="1">
        <f t="array" ref="AZ9">AZ6</f>
        <v>2031</v>
      </c>
      <c r="BA9" s="665" cm="1">
        <f t="array" ref="BA9">BA6</f>
        <v>2032</v>
      </c>
      <c r="BB9" s="665" cm="1">
        <f t="array" ref="BB9">BB6</f>
        <v>2033</v>
      </c>
      <c r="BC9" s="665" cm="1">
        <f t="array" ref="BC9">BC6</f>
        <v>2034</v>
      </c>
      <c r="BD9" s="665" cm="1">
        <f t="array" ref="BD9">BD6</f>
        <v>2035</v>
      </c>
    </row>
    <row r="10" spans="1:60" s="665" customFormat="1" ht="11.25" hidden="1" customHeight="1">
      <c r="A10" s="665" t="s">
        <v>359</v>
      </c>
      <c r="B10" s="674"/>
      <c r="AE10" s="665" t="str" cm="1">
        <f t="array" ref="AE10">AE27</f>
        <v>Плановый размер финансирования утвержденной инвестиционной программы</v>
      </c>
      <c r="AF10" s="665" t="str" cm="1">
        <f t="array" ref="AF10">AF27</f>
        <v>Принято органом регулирования</v>
      </c>
      <c r="AG10" s="665" t="str" cm="1">
        <f t="array" ref="AG10">AG27</f>
        <v>Объем фактического ввода объектов системы водоснабжения и водоотведения в эксплуатацию по данным организации</v>
      </c>
      <c r="AH10" s="665" t="str" cm="1">
        <f t="array" ref="AH10">AH27</f>
        <v>Объем фактического ввода объектов системы водоснабжения и водоотведения в эксплуатацию, принятый органом регулирования</v>
      </c>
      <c r="AI10" s="665" t="str" cm="1">
        <f t="array" ref="AI10">AI27</f>
        <v>Плановый размер финансирования утвержденной инвестиционной программы</v>
      </c>
      <c r="AJ10" s="665" t="str" cm="1">
        <f t="array" ref="AJ10">AJ27</f>
        <v>Принято органом регулирования</v>
      </c>
      <c r="AK10" s="665" t="str" cm="1">
        <f t="array" ref="AK10">AK27</f>
        <v>Предложение организации</v>
      </c>
      <c r="AL10" s="665" t="str" cm="1">
        <f t="array" ref="AL10">AL27</f>
        <v>Предложение организации</v>
      </c>
      <c r="AM10" s="665" t="str" cm="1">
        <f t="array" ref="AM10">AM27</f>
        <v>Предложение организации</v>
      </c>
      <c r="AN10" s="665" t="str" cm="1">
        <f t="array" ref="AN10">AN27</f>
        <v>Предложение организации</v>
      </c>
      <c r="AO10" s="665" t="str" cm="1">
        <f t="array" ref="AO10">AO27</f>
        <v>Предложение организации</v>
      </c>
      <c r="AP10" s="665" t="str" cm="1">
        <f t="array" ref="AP10">AP27</f>
        <v>Предложение организации</v>
      </c>
      <c r="AQ10" s="665" t="str" cm="1">
        <f t="array" ref="AQ10">AQ27</f>
        <v>Предложение организации</v>
      </c>
      <c r="AR10" s="665" t="str" cm="1">
        <f t="array" ref="AR10">AR27</f>
        <v>Предложение организации</v>
      </c>
      <c r="AS10" s="665" t="str" cm="1">
        <f t="array" ref="AS10">AS27</f>
        <v>Предложение организации</v>
      </c>
      <c r="AT10" s="665" t="str" cm="1">
        <f t="array" ref="AT10">AT27</f>
        <v>Предложение организации</v>
      </c>
      <c r="AU10" s="665" t="str" cm="1">
        <f t="array" ref="AU10">AU27</f>
        <v>Принято органом регулирования</v>
      </c>
      <c r="AV10" s="665" t="str" cm="1">
        <f t="array" ref="AV10">AV27</f>
        <v>Принято органом регулирования</v>
      </c>
      <c r="AW10" s="665" t="str" cm="1">
        <f t="array" ref="AW10">AW27</f>
        <v>Принято органом регулирования</v>
      </c>
      <c r="AX10" s="665" t="str" cm="1">
        <f t="array" ref="AX10">AX27</f>
        <v>Принято органом регулирования</v>
      </c>
      <c r="AY10" s="665" t="str" cm="1">
        <f t="array" ref="AY10">AY27</f>
        <v>Принято органом регулирования</v>
      </c>
      <c r="AZ10" s="665" t="str" cm="1">
        <f t="array" ref="AZ10">AZ27</f>
        <v>Принято органом регулирования</v>
      </c>
      <c r="BA10" s="665" t="str" cm="1">
        <f t="array" ref="BA10">BA27</f>
        <v>Принято органом регулирования</v>
      </c>
      <c r="BB10" s="665" t="str" cm="1">
        <f t="array" ref="BB10">BB27</f>
        <v>Принято органом регулирования</v>
      </c>
      <c r="BC10" s="665" t="str" cm="1">
        <f t="array" ref="BC10">BC27</f>
        <v>Принято органом регулирования</v>
      </c>
      <c r="BD10" s="665" t="str" cm="1">
        <f t="array" ref="BD10">BD27</f>
        <v>Принято органом регулирования</v>
      </c>
    </row>
    <row r="11" spans="1:60" s="665" customFormat="1" ht="11.25" hidden="1" customHeight="1">
      <c r="A11" s="665" t="s">
        <v>360</v>
      </c>
      <c r="B11" s="674"/>
      <c r="BE11" s="665" t="str" cm="1">
        <f t="array" ref="BE11">BE26</f>
        <v>Ссылка на правовую норму (основание для принятия показателя в расчет тарифа)</v>
      </c>
    </row>
    <row r="12" spans="1:60" ht="11.25" hidden="1" customHeight="1"/>
    <row r="13" spans="1:60" ht="11.25" hidden="1" customHeight="1">
      <c r="AK13" s="36"/>
      <c r="AL13" s="36"/>
      <c r="AM13" s="36"/>
      <c r="AN13" s="36"/>
      <c r="AO13" s="36"/>
      <c r="AP13" s="36"/>
      <c r="AQ13" s="36"/>
      <c r="AR13" s="36"/>
      <c r="AS13" s="36"/>
      <c r="AT13" s="36"/>
      <c r="AU13" s="36"/>
      <c r="AV13" s="36"/>
      <c r="AW13" s="36"/>
      <c r="AX13" s="36"/>
      <c r="AY13" s="36"/>
      <c r="AZ13" s="36"/>
      <c r="BA13" s="36"/>
      <c r="BB13" s="36"/>
      <c r="BC13" s="36"/>
      <c r="BD13" s="36"/>
    </row>
    <row r="14" spans="1:60" ht="11.25" hidden="1" customHeight="1">
      <c r="AK14" s="36"/>
      <c r="AL14" s="36"/>
      <c r="AM14" s="36"/>
      <c r="AN14" s="36"/>
      <c r="AO14" s="36"/>
      <c r="AP14" s="36"/>
      <c r="AQ14" s="36"/>
      <c r="AR14" s="36"/>
      <c r="AS14" s="36"/>
      <c r="AT14" s="36"/>
      <c r="AU14" s="36"/>
      <c r="AV14" s="36"/>
      <c r="AW14" s="36"/>
      <c r="AX14" s="36"/>
      <c r="AY14" s="36"/>
      <c r="AZ14" s="36"/>
      <c r="BA14" s="36"/>
      <c r="BB14" s="36"/>
      <c r="BC14" s="36"/>
      <c r="BD14" s="36"/>
    </row>
    <row r="15" spans="1:60" ht="11.25" hidden="1" customHeight="1">
      <c r="AK15" s="36"/>
      <c r="AL15" s="36"/>
      <c r="AM15" s="36"/>
      <c r="AN15" s="36"/>
      <c r="AO15" s="36"/>
      <c r="AP15" s="36"/>
      <c r="AQ15" s="36"/>
      <c r="AR15" s="36"/>
      <c r="AS15" s="36"/>
      <c r="AT15" s="36"/>
      <c r="AU15" s="36"/>
      <c r="AV15" s="36"/>
      <c r="AW15" s="36"/>
      <c r="AX15" s="36"/>
      <c r="AY15" s="36"/>
      <c r="AZ15" s="36"/>
      <c r="BA15" s="36"/>
      <c r="BB15" s="36"/>
      <c r="BC15" s="36"/>
      <c r="BD15" s="36"/>
    </row>
    <row r="16" spans="1:60" ht="11.25" hidden="1" customHeight="1">
      <c r="AK16" s="36"/>
      <c r="AL16" s="36"/>
      <c r="AM16" s="36"/>
      <c r="AN16" s="36"/>
      <c r="AO16" s="36"/>
      <c r="AP16" s="36"/>
      <c r="AQ16" s="36"/>
      <c r="AR16" s="36"/>
      <c r="AS16" s="36"/>
      <c r="AT16" s="36"/>
      <c r="AU16" s="36"/>
      <c r="AV16" s="36"/>
      <c r="AW16" s="36"/>
      <c r="AX16" s="36"/>
      <c r="AY16" s="36"/>
      <c r="AZ16" s="36"/>
      <c r="BA16" s="36"/>
      <c r="BB16" s="36"/>
      <c r="BC16" s="36"/>
      <c r="BD16" s="36"/>
    </row>
    <row r="17" spans="1:60" ht="11.25" hidden="1" customHeight="1"/>
    <row r="18" spans="1:60" ht="11.25" hidden="1" customHeight="1"/>
    <row r="19" spans="1:60" ht="11.25" hidden="1" customHeight="1"/>
    <row r="20" spans="1:60" ht="11.25" hidden="1" customHeight="1"/>
    <row r="21" spans="1:60" ht="14.65" customHeight="1">
      <c r="E21" s="459">
        <v>15</v>
      </c>
      <c r="AA21" s="337"/>
      <c r="AC21" s="3" t="str" cm="1">
        <f t="array" ref="AC21">tpl_title</f>
        <v>Кемеровская область / 2026 / ООО "Энергосервис г. Гурьевска" (ИНН:4202049045, КПП:420201001) / ДПР: 2024-2028</v>
      </c>
    </row>
    <row r="22" spans="1:60" ht="19.5" customHeight="1">
      <c r="E22" s="459">
        <v>20</v>
      </c>
      <c r="AB22" s="239" t="s">
        <v>70</v>
      </c>
      <c r="AC22" s="168"/>
      <c r="AD22" s="168"/>
      <c r="AE22" s="168"/>
      <c r="AF22" s="168"/>
      <c r="AG22" s="168"/>
      <c r="AH22" s="168"/>
      <c r="AI22" s="168"/>
      <c r="AJ22" s="168"/>
      <c r="AK22" s="168"/>
      <c r="AL22" s="168"/>
      <c r="AM22" s="168"/>
      <c r="AN22" s="168"/>
      <c r="AO22" s="168"/>
      <c r="AP22" s="168"/>
      <c r="AQ22" s="168"/>
      <c r="AR22" s="168"/>
      <c r="AS22" s="168"/>
      <c r="AT22" s="168"/>
      <c r="AU22" s="168"/>
      <c r="AV22" s="169"/>
      <c r="AW22" s="169"/>
      <c r="AX22" s="169"/>
      <c r="AY22" s="169"/>
      <c r="AZ22" s="169"/>
      <c r="BA22" s="169"/>
      <c r="BB22" s="169"/>
      <c r="BC22" s="169"/>
      <c r="BD22" s="169"/>
      <c r="BE22" s="169"/>
    </row>
    <row r="23" spans="1:60" ht="10.9" customHeight="1">
      <c r="E23" s="459">
        <v>11.25</v>
      </c>
    </row>
    <row r="24" spans="1:60" ht="21.95" customHeight="1">
      <c r="E24" s="459">
        <v>22.5</v>
      </c>
      <c r="AB24" s="1162" t="s">
        <v>1299</v>
      </c>
      <c r="AC24" s="1162"/>
      <c r="AD24" s="265" t="str">
        <f>"нет"</f>
        <v>нет</v>
      </c>
    </row>
    <row r="25" spans="1:60" ht="10.9" customHeight="1">
      <c r="E25" s="459">
        <v>11.25</v>
      </c>
    </row>
    <row r="26" spans="1:60" ht="14.65" customHeight="1">
      <c r="E26" s="459">
        <v>15</v>
      </c>
      <c r="AB26" s="1077" t="s">
        <v>22</v>
      </c>
      <c r="AC26" s="1088" t="s">
        <v>1300</v>
      </c>
      <c r="AD26" s="1088" t="s">
        <v>363</v>
      </c>
      <c r="AE26" s="28" t="str">
        <f>god-2&amp;" год"</f>
        <v>2024 год</v>
      </c>
      <c r="AF26" s="28" t="str">
        <f>god-2&amp;" год"</f>
        <v>2024 год</v>
      </c>
      <c r="AG26" s="739" t="str">
        <f>god-2&amp;" год"</f>
        <v>2024 год</v>
      </c>
      <c r="AH26" s="28" t="str">
        <f>god-2&amp;" год"</f>
        <v>2024 год</v>
      </c>
      <c r="AI26" s="627" t="str">
        <f>god-1&amp;" год"</f>
        <v>2025 год</v>
      </c>
      <c r="AJ26" s="627" t="str">
        <f>god-1&amp;" год"</f>
        <v>2025 год</v>
      </c>
      <c r="AK26" s="735" t="str">
        <f>god&amp;" год"</f>
        <v>2026 год</v>
      </c>
      <c r="AL26" s="735" t="str">
        <f>god+1&amp;" год"</f>
        <v>2027 год</v>
      </c>
      <c r="AM26" s="735" t="str">
        <f>god+2&amp;" год"</f>
        <v>2028 год</v>
      </c>
      <c r="AN26" s="735" t="str">
        <f>god+3&amp;" год"</f>
        <v>2029 год</v>
      </c>
      <c r="AO26" s="735" t="str">
        <f>god+4&amp;" год"</f>
        <v>2030 год</v>
      </c>
      <c r="AP26" s="735" t="str">
        <f>god+5&amp;" год"</f>
        <v>2031 год</v>
      </c>
      <c r="AQ26" s="735" t="str">
        <f>god+6&amp;" год"</f>
        <v>2032 год</v>
      </c>
      <c r="AR26" s="735" t="str">
        <f>god+7&amp;" год"</f>
        <v>2033 год</v>
      </c>
      <c r="AS26" s="735" t="str">
        <f>god+8&amp;" год"</f>
        <v>2034 год</v>
      </c>
      <c r="AT26" s="735" t="str">
        <f>god+9&amp;" год"</f>
        <v>2035 год</v>
      </c>
      <c r="AU26" s="31" t="str">
        <f>god&amp;" год"</f>
        <v>2026 год</v>
      </c>
      <c r="AV26" s="31" t="str">
        <f>god+1&amp;" год"</f>
        <v>2027 год</v>
      </c>
      <c r="AW26" s="31" t="str">
        <f>god+2&amp;" год"</f>
        <v>2028 год</v>
      </c>
      <c r="AX26" s="31" t="str">
        <f>god+3&amp;" год"</f>
        <v>2029 год</v>
      </c>
      <c r="AY26" s="31" t="str">
        <f>god+4&amp;" год"</f>
        <v>2030 год</v>
      </c>
      <c r="AZ26" s="31" t="str">
        <f>god+5&amp;" год"</f>
        <v>2031 год</v>
      </c>
      <c r="BA26" s="31" t="str">
        <f>god+6&amp;" год"</f>
        <v>2032 год</v>
      </c>
      <c r="BB26" s="31" t="str">
        <f>god+7&amp;" год"</f>
        <v>2033 год</v>
      </c>
      <c r="BC26" s="31" t="str">
        <f>god+8&amp;" год"</f>
        <v>2034 год</v>
      </c>
      <c r="BD26" s="31" t="str">
        <f>god+9&amp;" год"</f>
        <v>2035 год</v>
      </c>
      <c r="BE26" s="1088" t="s">
        <v>529</v>
      </c>
    </row>
    <row r="27" spans="1:60" s="81" customFormat="1" ht="122.85" customHeight="1">
      <c r="B27" s="338"/>
      <c r="E27" s="198">
        <v>126</v>
      </c>
      <c r="AB27" s="1077"/>
      <c r="AC27" s="1088"/>
      <c r="AD27" s="1088"/>
      <c r="AE27" s="28" t="s">
        <v>1301</v>
      </c>
      <c r="AF27" s="28" t="s">
        <v>355</v>
      </c>
      <c r="AG27" s="739" t="s">
        <v>1302</v>
      </c>
      <c r="AH27" s="28" t="s">
        <v>1303</v>
      </c>
      <c r="AI27" s="28" t="s">
        <v>1301</v>
      </c>
      <c r="AJ27" s="628" t="s">
        <v>355</v>
      </c>
      <c r="AK27" s="740" t="s">
        <v>356</v>
      </c>
      <c r="AL27" s="740" t="s">
        <v>356</v>
      </c>
      <c r="AM27" s="740" t="s">
        <v>356</v>
      </c>
      <c r="AN27" s="740" t="s">
        <v>356</v>
      </c>
      <c r="AO27" s="740" t="s">
        <v>356</v>
      </c>
      <c r="AP27" s="740" t="s">
        <v>356</v>
      </c>
      <c r="AQ27" s="740" t="s">
        <v>356</v>
      </c>
      <c r="AR27" s="740" t="s">
        <v>356</v>
      </c>
      <c r="AS27" s="740" t="s">
        <v>356</v>
      </c>
      <c r="AT27" s="740" t="s">
        <v>356</v>
      </c>
      <c r="AU27" s="594" t="s">
        <v>355</v>
      </c>
      <c r="AV27" s="594" t="s">
        <v>355</v>
      </c>
      <c r="AW27" s="594" t="s">
        <v>355</v>
      </c>
      <c r="AX27" s="594" t="s">
        <v>355</v>
      </c>
      <c r="AY27" s="594" t="s">
        <v>355</v>
      </c>
      <c r="AZ27" s="594" t="s">
        <v>355</v>
      </c>
      <c r="BA27" s="594" t="s">
        <v>355</v>
      </c>
      <c r="BB27" s="594" t="s">
        <v>355</v>
      </c>
      <c r="BC27" s="594" t="s">
        <v>355</v>
      </c>
      <c r="BD27" s="594" t="s">
        <v>355</v>
      </c>
      <c r="BE27" s="1088"/>
      <c r="BH27" s="687"/>
    </row>
    <row r="28" spans="1:60" ht="14.25" hidden="1" customHeight="1">
      <c r="B28" s="62" t="b">
        <f t="shared" ref="B28:B56" si="2">InvestmentSources_is_one_block="да"</f>
        <v>0</v>
      </c>
      <c r="E28" s="459">
        <v>15</v>
      </c>
      <c r="F28" s="36"/>
      <c r="I28" s="932"/>
      <c r="J28" s="932"/>
      <c r="K28" s="932"/>
      <c r="L28" s="932"/>
      <c r="M28" s="932"/>
      <c r="N28" s="932"/>
      <c r="O28" s="932"/>
      <c r="P28" s="932"/>
      <c r="Q28" s="932"/>
      <c r="R28" s="932"/>
      <c r="S28" s="932"/>
      <c r="T28" s="933"/>
      <c r="U28" s="932"/>
      <c r="V28" s="932"/>
      <c r="W28" s="932"/>
      <c r="X28" s="934"/>
      <c r="Y28" s="932"/>
      <c r="Z28" s="932"/>
      <c r="AA28" s="932"/>
      <c r="AB28" s="174"/>
      <c r="AC28" s="572"/>
      <c r="AD28" s="572"/>
      <c r="AE28" s="572"/>
      <c r="AF28" s="572"/>
      <c r="AG28" s="572"/>
      <c r="AH28" s="572"/>
      <c r="AI28" s="572"/>
      <c r="AJ28" s="572"/>
      <c r="AK28" s="572"/>
      <c r="AL28" s="572"/>
      <c r="AM28" s="572"/>
      <c r="AN28" s="572"/>
      <c r="AO28" s="572"/>
      <c r="AP28" s="572"/>
      <c r="AQ28" s="572"/>
      <c r="AR28" s="572"/>
      <c r="AS28" s="572"/>
      <c r="AT28" s="572"/>
      <c r="AU28" s="572"/>
      <c r="AV28" s="572"/>
      <c r="AW28" s="572"/>
      <c r="AX28" s="572"/>
      <c r="AY28" s="572"/>
      <c r="AZ28" s="572"/>
      <c r="BA28" s="572"/>
      <c r="BB28" s="572"/>
      <c r="BC28" s="572"/>
      <c r="BD28" s="572"/>
      <c r="BE28" s="572"/>
    </row>
    <row r="29" spans="1:60" s="935" customFormat="1" ht="21.75" hidden="1" customHeight="1">
      <c r="A29" s="173"/>
      <c r="B29" s="173" t="b">
        <f t="shared" si="2"/>
        <v>0</v>
      </c>
      <c r="C29" s="173"/>
      <c r="D29" s="173"/>
      <c r="E29" s="512">
        <v>22.5</v>
      </c>
      <c r="F29" s="3"/>
      <c r="G29" s="173"/>
      <c r="H29" s="57" t="s">
        <v>327</v>
      </c>
      <c r="I29" s="936"/>
      <c r="J29" s="936"/>
      <c r="K29" s="936"/>
      <c r="L29" s="936"/>
      <c r="M29" s="936"/>
      <c r="N29" s="936"/>
      <c r="O29" s="936"/>
      <c r="P29" s="936"/>
      <c r="Q29" s="936"/>
      <c r="R29" s="936"/>
      <c r="S29" s="936"/>
      <c r="T29" s="933"/>
      <c r="U29" s="936"/>
      <c r="V29" s="936"/>
      <c r="W29" s="936"/>
      <c r="X29" s="936"/>
      <c r="Y29" s="936"/>
      <c r="Z29" s="936"/>
      <c r="AA29" s="936"/>
      <c r="AB29" s="150">
        <v>1</v>
      </c>
      <c r="AC29" s="144" t="s">
        <v>1304</v>
      </c>
      <c r="AD29" s="143" t="s">
        <v>804</v>
      </c>
      <c r="AE29" s="145">
        <f t="shared" ref="AE29:BD29" si="3">AE30+AE40+AE44+AE48</f>
        <v>0</v>
      </c>
      <c r="AF29" s="145">
        <f t="shared" si="3"/>
        <v>0</v>
      </c>
      <c r="AG29" s="145">
        <f t="shared" si="3"/>
        <v>0</v>
      </c>
      <c r="AH29" s="145">
        <f t="shared" si="3"/>
        <v>0</v>
      </c>
      <c r="AI29" s="145">
        <f t="shared" si="3"/>
        <v>0</v>
      </c>
      <c r="AJ29" s="145">
        <f t="shared" si="3"/>
        <v>0</v>
      </c>
      <c r="AK29" s="145">
        <f t="shared" si="3"/>
        <v>0</v>
      </c>
      <c r="AL29" s="145">
        <f t="shared" si="3"/>
        <v>0</v>
      </c>
      <c r="AM29" s="145">
        <f t="shared" si="3"/>
        <v>0</v>
      </c>
      <c r="AN29" s="145">
        <f t="shared" si="3"/>
        <v>0</v>
      </c>
      <c r="AO29" s="145">
        <f t="shared" si="3"/>
        <v>0</v>
      </c>
      <c r="AP29" s="145">
        <f t="shared" si="3"/>
        <v>0</v>
      </c>
      <c r="AQ29" s="145">
        <f t="shared" si="3"/>
        <v>0</v>
      </c>
      <c r="AR29" s="145">
        <f t="shared" si="3"/>
        <v>0</v>
      </c>
      <c r="AS29" s="145">
        <f t="shared" si="3"/>
        <v>0</v>
      </c>
      <c r="AT29" s="145">
        <f t="shared" si="3"/>
        <v>0</v>
      </c>
      <c r="AU29" s="145">
        <f t="shared" si="3"/>
        <v>0</v>
      </c>
      <c r="AV29" s="145">
        <f t="shared" si="3"/>
        <v>0</v>
      </c>
      <c r="AW29" s="145">
        <f t="shared" si="3"/>
        <v>0</v>
      </c>
      <c r="AX29" s="145">
        <f t="shared" si="3"/>
        <v>0</v>
      </c>
      <c r="AY29" s="145">
        <f t="shared" si="3"/>
        <v>0</v>
      </c>
      <c r="AZ29" s="145">
        <f t="shared" si="3"/>
        <v>0</v>
      </c>
      <c r="BA29" s="145">
        <f t="shared" si="3"/>
        <v>0</v>
      </c>
      <c r="BB29" s="145">
        <f t="shared" si="3"/>
        <v>0</v>
      </c>
      <c r="BC29" s="145">
        <f t="shared" si="3"/>
        <v>0</v>
      </c>
      <c r="BD29" s="145">
        <f t="shared" si="3"/>
        <v>0</v>
      </c>
      <c r="BE29" s="784"/>
      <c r="BF29" s="173"/>
      <c r="BG29" s="173"/>
      <c r="BH29" s="697" t="s">
        <v>1305</v>
      </c>
    </row>
    <row r="30" spans="1:60" ht="14.25" hidden="1" customHeight="1">
      <c r="B30" s="62" t="b">
        <f t="shared" si="2"/>
        <v>0</v>
      </c>
      <c r="E30" s="459">
        <v>15</v>
      </c>
      <c r="F30" s="774"/>
      <c r="H30" s="57" t="s">
        <v>461</v>
      </c>
      <c r="I30" s="932"/>
      <c r="J30" s="932"/>
      <c r="K30" s="932"/>
      <c r="L30" s="932"/>
      <c r="M30" s="932"/>
      <c r="N30" s="932"/>
      <c r="O30" s="932"/>
      <c r="P30" s="932"/>
      <c r="Q30" s="932"/>
      <c r="R30" s="932"/>
      <c r="S30" s="932"/>
      <c r="T30" s="933"/>
      <c r="U30" s="932"/>
      <c r="V30" s="932"/>
      <c r="W30" s="932"/>
      <c r="X30" s="932"/>
      <c r="Y30" s="932"/>
      <c r="Z30" s="932"/>
      <c r="AA30" s="932"/>
      <c r="AB30" s="152" t="s">
        <v>897</v>
      </c>
      <c r="AC30" s="146" t="s">
        <v>1306</v>
      </c>
      <c r="AD30" s="26" t="s">
        <v>804</v>
      </c>
      <c r="AE30" s="190">
        <f t="shared" ref="AE30:BD30" si="4">AE31+AE32+AE33+AE34+AE35</f>
        <v>0</v>
      </c>
      <c r="AF30" s="190">
        <f t="shared" si="4"/>
        <v>0</v>
      </c>
      <c r="AG30" s="190">
        <f t="shared" si="4"/>
        <v>0</v>
      </c>
      <c r="AH30" s="190">
        <f t="shared" si="4"/>
        <v>0</v>
      </c>
      <c r="AI30" s="190">
        <f t="shared" si="4"/>
        <v>0</v>
      </c>
      <c r="AJ30" s="190">
        <f t="shared" si="4"/>
        <v>0</v>
      </c>
      <c r="AK30" s="190">
        <f t="shared" si="4"/>
        <v>0</v>
      </c>
      <c r="AL30" s="190">
        <f t="shared" si="4"/>
        <v>0</v>
      </c>
      <c r="AM30" s="190">
        <f t="shared" si="4"/>
        <v>0</v>
      </c>
      <c r="AN30" s="190">
        <f t="shared" si="4"/>
        <v>0</v>
      </c>
      <c r="AO30" s="190">
        <f t="shared" si="4"/>
        <v>0</v>
      </c>
      <c r="AP30" s="190">
        <f t="shared" si="4"/>
        <v>0</v>
      </c>
      <c r="AQ30" s="190">
        <f t="shared" si="4"/>
        <v>0</v>
      </c>
      <c r="AR30" s="190">
        <f t="shared" si="4"/>
        <v>0</v>
      </c>
      <c r="AS30" s="190">
        <f t="shared" si="4"/>
        <v>0</v>
      </c>
      <c r="AT30" s="190">
        <f t="shared" si="4"/>
        <v>0</v>
      </c>
      <c r="AU30" s="190">
        <f t="shared" si="4"/>
        <v>0</v>
      </c>
      <c r="AV30" s="190">
        <f t="shared" si="4"/>
        <v>0</v>
      </c>
      <c r="AW30" s="190">
        <f t="shared" si="4"/>
        <v>0</v>
      </c>
      <c r="AX30" s="190">
        <f t="shared" si="4"/>
        <v>0</v>
      </c>
      <c r="AY30" s="190">
        <f t="shared" si="4"/>
        <v>0</v>
      </c>
      <c r="AZ30" s="190">
        <f t="shared" si="4"/>
        <v>0</v>
      </c>
      <c r="BA30" s="190">
        <f t="shared" si="4"/>
        <v>0</v>
      </c>
      <c r="BB30" s="190">
        <f t="shared" si="4"/>
        <v>0</v>
      </c>
      <c r="BC30" s="190">
        <f t="shared" si="4"/>
        <v>0</v>
      </c>
      <c r="BD30" s="190">
        <f t="shared" si="4"/>
        <v>0</v>
      </c>
      <c r="BE30" s="784"/>
      <c r="BH30" s="665" t="s">
        <v>1307</v>
      </c>
    </row>
    <row r="31" spans="1:60" ht="14.25" hidden="1" customHeight="1">
      <c r="B31" s="62" t="b">
        <f t="shared" si="2"/>
        <v>0</v>
      </c>
      <c r="E31" s="459">
        <v>15</v>
      </c>
      <c r="F31" s="774"/>
      <c r="H31" s="57" t="s">
        <v>1004</v>
      </c>
      <c r="I31" s="932"/>
      <c r="J31" s="932"/>
      <c r="K31" s="932"/>
      <c r="L31" s="932"/>
      <c r="M31" s="932"/>
      <c r="N31" s="932"/>
      <c r="O31" s="932"/>
      <c r="P31" s="932"/>
      <c r="Q31" s="932"/>
      <c r="R31" s="932"/>
      <c r="S31" s="932"/>
      <c r="T31" s="933"/>
      <c r="U31" s="932"/>
      <c r="V31" s="932"/>
      <c r="W31" s="932"/>
      <c r="X31" s="932"/>
      <c r="Y31" s="932"/>
      <c r="Z31" s="932"/>
      <c r="AA31" s="932"/>
      <c r="AB31" s="152" t="s">
        <v>1005</v>
      </c>
      <c r="AC31" s="153" t="s">
        <v>1308</v>
      </c>
      <c r="AD31" s="26" t="s">
        <v>804</v>
      </c>
      <c r="AE31" s="787"/>
      <c r="AF31" s="787"/>
      <c r="AG31" s="787"/>
      <c r="AH31" s="787"/>
      <c r="AI31" s="787"/>
      <c r="AJ31" s="787"/>
      <c r="AK31" s="147"/>
      <c r="AL31" s="787"/>
      <c r="AM31" s="787"/>
      <c r="AN31" s="787"/>
      <c r="AO31" s="787"/>
      <c r="AP31" s="787"/>
      <c r="AQ31" s="787"/>
      <c r="AR31" s="787"/>
      <c r="AS31" s="787"/>
      <c r="AT31" s="787"/>
      <c r="AU31" s="147"/>
      <c r="AV31" s="787"/>
      <c r="AW31" s="787"/>
      <c r="AX31" s="787"/>
      <c r="AY31" s="787"/>
      <c r="AZ31" s="787"/>
      <c r="BA31" s="787"/>
      <c r="BB31" s="787"/>
      <c r="BC31" s="787"/>
      <c r="BD31" s="787"/>
      <c r="BE31" s="784"/>
      <c r="BH31" s="665" t="s">
        <v>1241</v>
      </c>
    </row>
    <row r="32" spans="1:60" ht="14.25" hidden="1" customHeight="1">
      <c r="B32" s="62" t="b">
        <f t="shared" si="2"/>
        <v>0</v>
      </c>
      <c r="E32" s="459">
        <v>15</v>
      </c>
      <c r="F32" s="774"/>
      <c r="H32" s="57" t="s">
        <v>1008</v>
      </c>
      <c r="I32" s="932"/>
      <c r="J32" s="932"/>
      <c r="K32" s="937"/>
      <c r="L32" s="938"/>
      <c r="M32" s="932"/>
      <c r="N32" s="932"/>
      <c r="O32" s="932"/>
      <c r="P32" s="932"/>
      <c r="Q32" s="932"/>
      <c r="R32" s="932"/>
      <c r="S32" s="932"/>
      <c r="T32" s="933"/>
      <c r="U32" s="932"/>
      <c r="V32" s="932"/>
      <c r="W32" s="932"/>
      <c r="X32" s="932"/>
      <c r="Y32" s="932"/>
      <c r="Z32" s="932"/>
      <c r="AA32" s="932"/>
      <c r="AB32" s="152" t="s">
        <v>1009</v>
      </c>
      <c r="AC32" s="153" t="s">
        <v>1309</v>
      </c>
      <c r="AD32" s="26" t="s">
        <v>804</v>
      </c>
      <c r="AE32" s="787"/>
      <c r="AF32" s="787"/>
      <c r="AG32" s="787"/>
      <c r="AH32" s="787"/>
      <c r="AI32" s="787"/>
      <c r="AJ32" s="787"/>
      <c r="AK32" s="147"/>
      <c r="AL32" s="787"/>
      <c r="AM32" s="787"/>
      <c r="AN32" s="787"/>
      <c r="AO32" s="787"/>
      <c r="AP32" s="787"/>
      <c r="AQ32" s="787"/>
      <c r="AR32" s="787"/>
      <c r="AS32" s="787"/>
      <c r="AT32" s="787"/>
      <c r="AU32" s="147"/>
      <c r="AV32" s="787"/>
      <c r="AW32" s="787"/>
      <c r="AX32" s="787"/>
      <c r="AY32" s="787"/>
      <c r="AZ32" s="787"/>
      <c r="BA32" s="787"/>
      <c r="BB32" s="787"/>
      <c r="BC32" s="787"/>
      <c r="BD32" s="787"/>
      <c r="BE32" s="784"/>
      <c r="BH32" s="665" t="s">
        <v>1310</v>
      </c>
    </row>
    <row r="33" spans="2:60" ht="14.25" hidden="1" customHeight="1">
      <c r="B33" s="62" t="b">
        <f t="shared" si="2"/>
        <v>0</v>
      </c>
      <c r="E33" s="459">
        <v>15</v>
      </c>
      <c r="F33" s="774"/>
      <c r="H33" s="57" t="s">
        <v>1311</v>
      </c>
      <c r="I33" s="932"/>
      <c r="J33" s="932"/>
      <c r="K33" s="932"/>
      <c r="L33" s="932"/>
      <c r="M33" s="932"/>
      <c r="N33" s="932"/>
      <c r="O33" s="932"/>
      <c r="P33" s="932"/>
      <c r="Q33" s="932"/>
      <c r="R33" s="932"/>
      <c r="S33" s="932"/>
      <c r="T33" s="933"/>
      <c r="U33" s="932"/>
      <c r="V33" s="932"/>
      <c r="W33" s="932"/>
      <c r="X33" s="932"/>
      <c r="Y33" s="932"/>
      <c r="Z33" s="932"/>
      <c r="AA33" s="932"/>
      <c r="AB33" s="152" t="s">
        <v>1312</v>
      </c>
      <c r="AC33" s="153" t="s">
        <v>1313</v>
      </c>
      <c r="AD33" s="26" t="s">
        <v>804</v>
      </c>
      <c r="AE33" s="787"/>
      <c r="AF33" s="787"/>
      <c r="AG33" s="787"/>
      <c r="AH33" s="787"/>
      <c r="AI33" s="787"/>
      <c r="AJ33" s="787"/>
      <c r="AK33" s="147"/>
      <c r="AL33" s="787"/>
      <c r="AM33" s="787"/>
      <c r="AN33" s="787"/>
      <c r="AO33" s="787"/>
      <c r="AP33" s="787"/>
      <c r="AQ33" s="787"/>
      <c r="AR33" s="787"/>
      <c r="AS33" s="787"/>
      <c r="AT33" s="787"/>
      <c r="AU33" s="147"/>
      <c r="AV33" s="787"/>
      <c r="AW33" s="787"/>
      <c r="AX33" s="787"/>
      <c r="AY33" s="787"/>
      <c r="AZ33" s="787"/>
      <c r="BA33" s="787"/>
      <c r="BB33" s="787"/>
      <c r="BC33" s="787"/>
      <c r="BD33" s="787"/>
      <c r="BE33" s="784"/>
      <c r="BH33" s="665" t="s">
        <v>1314</v>
      </c>
    </row>
    <row r="34" spans="2:60" ht="14.25" hidden="1" customHeight="1">
      <c r="B34" s="62" t="b">
        <f t="shared" si="2"/>
        <v>0</v>
      </c>
      <c r="E34" s="459">
        <v>15</v>
      </c>
      <c r="F34" s="774"/>
      <c r="H34" s="57" t="s">
        <v>1315</v>
      </c>
      <c r="I34" s="932"/>
      <c r="J34" s="932"/>
      <c r="K34" s="932"/>
      <c r="L34" s="932"/>
      <c r="M34" s="932"/>
      <c r="N34" s="932"/>
      <c r="O34" s="932"/>
      <c r="P34" s="932"/>
      <c r="Q34" s="932"/>
      <c r="R34" s="932"/>
      <c r="S34" s="932"/>
      <c r="T34" s="933"/>
      <c r="U34" s="932"/>
      <c r="V34" s="932"/>
      <c r="W34" s="932"/>
      <c r="X34" s="932"/>
      <c r="Y34" s="932"/>
      <c r="Z34" s="932"/>
      <c r="AA34" s="932"/>
      <c r="AB34" s="152" t="s">
        <v>1316</v>
      </c>
      <c r="AC34" s="153" t="s">
        <v>1317</v>
      </c>
      <c r="AD34" s="26" t="s">
        <v>804</v>
      </c>
      <c r="AE34" s="787"/>
      <c r="AF34" s="787"/>
      <c r="AG34" s="787"/>
      <c r="AH34" s="787"/>
      <c r="AI34" s="787"/>
      <c r="AJ34" s="787"/>
      <c r="AK34" s="147"/>
      <c r="AL34" s="787"/>
      <c r="AM34" s="787"/>
      <c r="AN34" s="787"/>
      <c r="AO34" s="787"/>
      <c r="AP34" s="787"/>
      <c r="AQ34" s="787"/>
      <c r="AR34" s="787"/>
      <c r="AS34" s="787"/>
      <c r="AT34" s="787"/>
      <c r="AU34" s="147"/>
      <c r="AV34" s="787"/>
      <c r="AW34" s="787"/>
      <c r="AX34" s="787"/>
      <c r="AY34" s="787"/>
      <c r="AZ34" s="787"/>
      <c r="BA34" s="787"/>
      <c r="BB34" s="787"/>
      <c r="BC34" s="787"/>
      <c r="BD34" s="787"/>
      <c r="BE34" s="784"/>
      <c r="BH34" s="665" t="s">
        <v>1318</v>
      </c>
    </row>
    <row r="35" spans="2:60" ht="21.75" hidden="1" customHeight="1">
      <c r="B35" s="62" t="b">
        <f t="shared" si="2"/>
        <v>0</v>
      </c>
      <c r="E35" s="459">
        <v>22.5</v>
      </c>
      <c r="F35" s="774"/>
      <c r="I35" s="932"/>
      <c r="J35" s="932"/>
      <c r="K35" s="932"/>
      <c r="L35" s="932"/>
      <c r="M35" s="932"/>
      <c r="N35" s="932"/>
      <c r="O35" s="932"/>
      <c r="P35" s="932"/>
      <c r="Q35" s="932"/>
      <c r="R35" s="932"/>
      <c r="S35" s="932"/>
      <c r="T35" s="933"/>
      <c r="U35" s="932"/>
      <c r="V35" s="932"/>
      <c r="W35" s="932"/>
      <c r="X35" s="932"/>
      <c r="Y35" s="932"/>
      <c r="Z35" s="932"/>
      <c r="AA35" s="932"/>
      <c r="AB35" s="152" t="s">
        <v>1319</v>
      </c>
      <c r="AC35" s="153" t="s">
        <v>1320</v>
      </c>
      <c r="AD35" s="26" t="s">
        <v>804</v>
      </c>
      <c r="AE35" s="787">
        <f t="shared" ref="AE35:BD35" si="5">AE36+AE37+AE38+AE39</f>
        <v>0</v>
      </c>
      <c r="AF35" s="787">
        <f t="shared" si="5"/>
        <v>0</v>
      </c>
      <c r="AG35" s="787">
        <f t="shared" si="5"/>
        <v>0</v>
      </c>
      <c r="AH35" s="787">
        <f t="shared" si="5"/>
        <v>0</v>
      </c>
      <c r="AI35" s="787">
        <f t="shared" si="5"/>
        <v>0</v>
      </c>
      <c r="AJ35" s="787">
        <f t="shared" si="5"/>
        <v>0</v>
      </c>
      <c r="AK35" s="147">
        <f t="shared" si="5"/>
        <v>0</v>
      </c>
      <c r="AL35" s="787">
        <f t="shared" si="5"/>
        <v>0</v>
      </c>
      <c r="AM35" s="787">
        <f t="shared" si="5"/>
        <v>0</v>
      </c>
      <c r="AN35" s="787">
        <f t="shared" si="5"/>
        <v>0</v>
      </c>
      <c r="AO35" s="787">
        <f t="shared" si="5"/>
        <v>0</v>
      </c>
      <c r="AP35" s="787">
        <f t="shared" si="5"/>
        <v>0</v>
      </c>
      <c r="AQ35" s="787">
        <f t="shared" si="5"/>
        <v>0</v>
      </c>
      <c r="AR35" s="787">
        <f t="shared" si="5"/>
        <v>0</v>
      </c>
      <c r="AS35" s="787">
        <f t="shared" si="5"/>
        <v>0</v>
      </c>
      <c r="AT35" s="787">
        <f t="shared" si="5"/>
        <v>0</v>
      </c>
      <c r="AU35" s="147">
        <f t="shared" si="5"/>
        <v>0</v>
      </c>
      <c r="AV35" s="787">
        <f t="shared" si="5"/>
        <v>0</v>
      </c>
      <c r="AW35" s="787">
        <f t="shared" si="5"/>
        <v>0</v>
      </c>
      <c r="AX35" s="787">
        <f t="shared" si="5"/>
        <v>0</v>
      </c>
      <c r="AY35" s="787">
        <f t="shared" si="5"/>
        <v>0</v>
      </c>
      <c r="AZ35" s="787">
        <f t="shared" si="5"/>
        <v>0</v>
      </c>
      <c r="BA35" s="787">
        <f t="shared" si="5"/>
        <v>0</v>
      </c>
      <c r="BB35" s="787">
        <f t="shared" si="5"/>
        <v>0</v>
      </c>
      <c r="BC35" s="787">
        <f t="shared" si="5"/>
        <v>0</v>
      </c>
      <c r="BD35" s="787">
        <f t="shared" si="5"/>
        <v>0</v>
      </c>
      <c r="BE35" s="784"/>
      <c r="BH35" s="665" t="s">
        <v>1321</v>
      </c>
    </row>
    <row r="36" spans="2:60" ht="44.25" hidden="1" customHeight="1">
      <c r="B36" s="62" t="b">
        <f t="shared" si="2"/>
        <v>0</v>
      </c>
      <c r="E36" s="459">
        <v>45.75</v>
      </c>
      <c r="F36" s="774"/>
      <c r="I36" s="932"/>
      <c r="J36" s="932"/>
      <c r="K36" s="932"/>
      <c r="L36" s="932"/>
      <c r="M36" s="932"/>
      <c r="N36" s="932"/>
      <c r="O36" s="932"/>
      <c r="P36" s="932"/>
      <c r="Q36" s="932"/>
      <c r="R36" s="932"/>
      <c r="S36" s="932"/>
      <c r="T36" s="933"/>
      <c r="U36" s="932"/>
      <c r="V36" s="932"/>
      <c r="W36" s="932"/>
      <c r="X36" s="932"/>
      <c r="Y36" s="932"/>
      <c r="Z36" s="932"/>
      <c r="AA36" s="932"/>
      <c r="AB36" s="152" t="s">
        <v>1322</v>
      </c>
      <c r="AC36" s="553" t="s">
        <v>1323</v>
      </c>
      <c r="AD36" s="26" t="s">
        <v>804</v>
      </c>
      <c r="AE36" s="787"/>
      <c r="AF36" s="787"/>
      <c r="AG36" s="787"/>
      <c r="AH36" s="787"/>
      <c r="AI36" s="787"/>
      <c r="AJ36" s="787"/>
      <c r="AK36" s="147"/>
      <c r="AL36" s="787"/>
      <c r="AM36" s="787"/>
      <c r="AN36" s="787"/>
      <c r="AO36" s="787"/>
      <c r="AP36" s="787"/>
      <c r="AQ36" s="787"/>
      <c r="AR36" s="787"/>
      <c r="AS36" s="787"/>
      <c r="AT36" s="787"/>
      <c r="AU36" s="147"/>
      <c r="AV36" s="787"/>
      <c r="AW36" s="787"/>
      <c r="AX36" s="787"/>
      <c r="AY36" s="787"/>
      <c r="AZ36" s="787"/>
      <c r="BA36" s="787"/>
      <c r="BB36" s="787"/>
      <c r="BC36" s="787"/>
      <c r="BD36" s="787"/>
      <c r="BE36" s="784"/>
      <c r="BH36" s="665" t="s">
        <v>1324</v>
      </c>
    </row>
    <row r="37" spans="2:60" ht="44.25" hidden="1" customHeight="1">
      <c r="B37" s="62" t="b">
        <f t="shared" si="2"/>
        <v>0</v>
      </c>
      <c r="E37" s="459">
        <v>45.75</v>
      </c>
      <c r="F37" s="774"/>
      <c r="I37" s="932"/>
      <c r="J37" s="932"/>
      <c r="K37" s="932"/>
      <c r="L37" s="932"/>
      <c r="M37" s="932"/>
      <c r="N37" s="932"/>
      <c r="O37" s="932"/>
      <c r="P37" s="932"/>
      <c r="Q37" s="932"/>
      <c r="R37" s="932"/>
      <c r="S37" s="932"/>
      <c r="T37" s="933"/>
      <c r="U37" s="932"/>
      <c r="V37" s="932"/>
      <c r="W37" s="932"/>
      <c r="X37" s="932"/>
      <c r="Y37" s="932"/>
      <c r="Z37" s="932"/>
      <c r="AA37" s="932"/>
      <c r="AB37" s="152" t="s">
        <v>1325</v>
      </c>
      <c r="AC37" s="553" t="s">
        <v>1326</v>
      </c>
      <c r="AD37" s="26" t="s">
        <v>804</v>
      </c>
      <c r="AE37" s="787"/>
      <c r="AF37" s="787"/>
      <c r="AG37" s="787"/>
      <c r="AH37" s="787"/>
      <c r="AI37" s="787"/>
      <c r="AJ37" s="787"/>
      <c r="AK37" s="147"/>
      <c r="AL37" s="787"/>
      <c r="AM37" s="787"/>
      <c r="AN37" s="787"/>
      <c r="AO37" s="787"/>
      <c r="AP37" s="787"/>
      <c r="AQ37" s="787"/>
      <c r="AR37" s="787"/>
      <c r="AS37" s="787"/>
      <c r="AT37" s="787"/>
      <c r="AU37" s="147"/>
      <c r="AV37" s="787"/>
      <c r="AW37" s="787"/>
      <c r="AX37" s="787"/>
      <c r="AY37" s="787"/>
      <c r="AZ37" s="787"/>
      <c r="BA37" s="787"/>
      <c r="BB37" s="787"/>
      <c r="BC37" s="787"/>
      <c r="BD37" s="787"/>
      <c r="BE37" s="784"/>
      <c r="BH37" s="665" t="s">
        <v>1327</v>
      </c>
    </row>
    <row r="38" spans="2:60" ht="44.25" hidden="1" customHeight="1">
      <c r="B38" s="62" t="b">
        <f t="shared" si="2"/>
        <v>0</v>
      </c>
      <c r="E38" s="459">
        <v>45.75</v>
      </c>
      <c r="F38" s="774"/>
      <c r="I38" s="932"/>
      <c r="J38" s="932"/>
      <c r="K38" s="932"/>
      <c r="L38" s="932"/>
      <c r="M38" s="932"/>
      <c r="N38" s="932"/>
      <c r="O38" s="932"/>
      <c r="P38" s="932"/>
      <c r="Q38" s="932"/>
      <c r="R38" s="932"/>
      <c r="S38" s="932"/>
      <c r="T38" s="933"/>
      <c r="U38" s="932"/>
      <c r="V38" s="932"/>
      <c r="W38" s="932"/>
      <c r="X38" s="932"/>
      <c r="Y38" s="932"/>
      <c r="Z38" s="932"/>
      <c r="AA38" s="932"/>
      <c r="AB38" s="152" t="s">
        <v>1328</v>
      </c>
      <c r="AC38" s="553" t="s">
        <v>1329</v>
      </c>
      <c r="AD38" s="26" t="s">
        <v>804</v>
      </c>
      <c r="AE38" s="787"/>
      <c r="AF38" s="787"/>
      <c r="AG38" s="787"/>
      <c r="AH38" s="787"/>
      <c r="AI38" s="787"/>
      <c r="AJ38" s="787"/>
      <c r="AK38" s="147"/>
      <c r="AL38" s="787"/>
      <c r="AM38" s="787"/>
      <c r="AN38" s="787"/>
      <c r="AO38" s="787"/>
      <c r="AP38" s="787"/>
      <c r="AQ38" s="787"/>
      <c r="AR38" s="787"/>
      <c r="AS38" s="787"/>
      <c r="AT38" s="787"/>
      <c r="AU38" s="147"/>
      <c r="AV38" s="787"/>
      <c r="AW38" s="787"/>
      <c r="AX38" s="787"/>
      <c r="AY38" s="787"/>
      <c r="AZ38" s="787"/>
      <c r="BA38" s="787"/>
      <c r="BB38" s="787"/>
      <c r="BC38" s="787"/>
      <c r="BD38" s="787"/>
      <c r="BE38" s="784"/>
      <c r="BH38" s="665" t="s">
        <v>1330</v>
      </c>
    </row>
    <row r="39" spans="2:60" ht="21.75" hidden="1" customHeight="1">
      <c r="B39" s="62" t="b">
        <f t="shared" si="2"/>
        <v>0</v>
      </c>
      <c r="E39" s="459">
        <v>22.5</v>
      </c>
      <c r="F39" s="774"/>
      <c r="I39" s="932"/>
      <c r="J39" s="932"/>
      <c r="K39" s="932"/>
      <c r="L39" s="932"/>
      <c r="M39" s="932"/>
      <c r="N39" s="932"/>
      <c r="O39" s="932"/>
      <c r="P39" s="932"/>
      <c r="Q39" s="932"/>
      <c r="R39" s="932"/>
      <c r="S39" s="932"/>
      <c r="T39" s="933"/>
      <c r="U39" s="932"/>
      <c r="V39" s="932"/>
      <c r="W39" s="932"/>
      <c r="X39" s="932"/>
      <c r="Y39" s="932"/>
      <c r="Z39" s="932"/>
      <c r="AA39" s="932"/>
      <c r="AB39" s="152" t="s">
        <v>1331</v>
      </c>
      <c r="AC39" s="553" t="s">
        <v>1332</v>
      </c>
      <c r="AD39" s="26" t="s">
        <v>804</v>
      </c>
      <c r="AE39" s="787"/>
      <c r="AF39" s="787"/>
      <c r="AG39" s="787"/>
      <c r="AH39" s="787"/>
      <c r="AI39" s="787"/>
      <c r="AJ39" s="787"/>
      <c r="AK39" s="147"/>
      <c r="AL39" s="787"/>
      <c r="AM39" s="787"/>
      <c r="AN39" s="787"/>
      <c r="AO39" s="787"/>
      <c r="AP39" s="787"/>
      <c r="AQ39" s="787"/>
      <c r="AR39" s="787"/>
      <c r="AS39" s="787"/>
      <c r="AT39" s="787"/>
      <c r="AU39" s="147"/>
      <c r="AV39" s="787"/>
      <c r="AW39" s="787"/>
      <c r="AX39" s="787"/>
      <c r="AY39" s="787"/>
      <c r="AZ39" s="787"/>
      <c r="BA39" s="787"/>
      <c r="BB39" s="787"/>
      <c r="BC39" s="787"/>
      <c r="BD39" s="787"/>
      <c r="BE39" s="784"/>
      <c r="BH39" s="665" t="s">
        <v>1333</v>
      </c>
    </row>
    <row r="40" spans="2:60" ht="14.25" hidden="1" customHeight="1">
      <c r="B40" s="62" t="b">
        <f t="shared" si="2"/>
        <v>0</v>
      </c>
      <c r="E40" s="459">
        <v>15</v>
      </c>
      <c r="F40" s="774"/>
      <c r="H40" s="57" t="s">
        <v>465</v>
      </c>
      <c r="I40" s="932"/>
      <c r="J40" s="932"/>
      <c r="K40" s="932"/>
      <c r="L40" s="932"/>
      <c r="M40" s="932"/>
      <c r="N40" s="932"/>
      <c r="O40" s="932"/>
      <c r="P40" s="932"/>
      <c r="Q40" s="932"/>
      <c r="R40" s="932"/>
      <c r="S40" s="932"/>
      <c r="T40" s="933"/>
      <c r="U40" s="932"/>
      <c r="V40" s="932"/>
      <c r="W40" s="932"/>
      <c r="X40" s="932"/>
      <c r="Y40" s="932"/>
      <c r="Z40" s="932"/>
      <c r="AA40" s="932"/>
      <c r="AB40" s="152" t="s">
        <v>900</v>
      </c>
      <c r="AC40" s="146" t="s">
        <v>1334</v>
      </c>
      <c r="AD40" s="26" t="s">
        <v>804</v>
      </c>
      <c r="AE40" s="190">
        <f t="shared" ref="AE40:BD40" si="6">AE41+AE42+AE43</f>
        <v>0</v>
      </c>
      <c r="AF40" s="190">
        <f t="shared" si="6"/>
        <v>0</v>
      </c>
      <c r="AG40" s="190">
        <f t="shared" si="6"/>
        <v>0</v>
      </c>
      <c r="AH40" s="190">
        <f t="shared" si="6"/>
        <v>0</v>
      </c>
      <c r="AI40" s="190">
        <f t="shared" si="6"/>
        <v>0</v>
      </c>
      <c r="AJ40" s="190">
        <f t="shared" si="6"/>
        <v>0</v>
      </c>
      <c r="AK40" s="190">
        <f t="shared" si="6"/>
        <v>0</v>
      </c>
      <c r="AL40" s="190">
        <f t="shared" si="6"/>
        <v>0</v>
      </c>
      <c r="AM40" s="190">
        <f t="shared" si="6"/>
        <v>0</v>
      </c>
      <c r="AN40" s="190">
        <f t="shared" si="6"/>
        <v>0</v>
      </c>
      <c r="AO40" s="190">
        <f t="shared" si="6"/>
        <v>0</v>
      </c>
      <c r="AP40" s="190">
        <f t="shared" si="6"/>
        <v>0</v>
      </c>
      <c r="AQ40" s="190">
        <f t="shared" si="6"/>
        <v>0</v>
      </c>
      <c r="AR40" s="190">
        <f t="shared" si="6"/>
        <v>0</v>
      </c>
      <c r="AS40" s="190">
        <f t="shared" si="6"/>
        <v>0</v>
      </c>
      <c r="AT40" s="190">
        <f t="shared" si="6"/>
        <v>0</v>
      </c>
      <c r="AU40" s="190">
        <f t="shared" si="6"/>
        <v>0</v>
      </c>
      <c r="AV40" s="190">
        <f t="shared" si="6"/>
        <v>0</v>
      </c>
      <c r="AW40" s="190">
        <f t="shared" si="6"/>
        <v>0</v>
      </c>
      <c r="AX40" s="190">
        <f t="shared" si="6"/>
        <v>0</v>
      </c>
      <c r="AY40" s="190">
        <f t="shared" si="6"/>
        <v>0</v>
      </c>
      <c r="AZ40" s="190">
        <f t="shared" si="6"/>
        <v>0</v>
      </c>
      <c r="BA40" s="190">
        <f t="shared" si="6"/>
        <v>0</v>
      </c>
      <c r="BB40" s="190">
        <f t="shared" si="6"/>
        <v>0</v>
      </c>
      <c r="BC40" s="190">
        <f t="shared" si="6"/>
        <v>0</v>
      </c>
      <c r="BD40" s="190">
        <f t="shared" si="6"/>
        <v>0</v>
      </c>
      <c r="BE40" s="784"/>
      <c r="BH40" s="665" t="s">
        <v>1335</v>
      </c>
    </row>
    <row r="41" spans="2:60" ht="14.25" hidden="1" customHeight="1">
      <c r="B41" s="62" t="b">
        <f t="shared" si="2"/>
        <v>0</v>
      </c>
      <c r="E41" s="459">
        <v>15</v>
      </c>
      <c r="F41" s="774"/>
      <c r="H41" s="57" t="s">
        <v>1336</v>
      </c>
      <c r="I41" s="932"/>
      <c r="J41" s="932"/>
      <c r="K41" s="932"/>
      <c r="L41" s="932"/>
      <c r="M41" s="932"/>
      <c r="N41" s="932"/>
      <c r="O41" s="932"/>
      <c r="P41" s="932"/>
      <c r="Q41" s="932"/>
      <c r="R41" s="932"/>
      <c r="S41" s="932"/>
      <c r="T41" s="933"/>
      <c r="U41" s="932"/>
      <c r="V41" s="932"/>
      <c r="W41" s="932"/>
      <c r="X41" s="932"/>
      <c r="Y41" s="932"/>
      <c r="Z41" s="932"/>
      <c r="AA41" s="932"/>
      <c r="AB41" s="152" t="s">
        <v>1337</v>
      </c>
      <c r="AC41" s="153" t="s">
        <v>1338</v>
      </c>
      <c r="AD41" s="26" t="s">
        <v>804</v>
      </c>
      <c r="AE41" s="787"/>
      <c r="AF41" s="787"/>
      <c r="AG41" s="787"/>
      <c r="AH41" s="787"/>
      <c r="AI41" s="787"/>
      <c r="AJ41" s="787"/>
      <c r="AK41" s="147"/>
      <c r="AL41" s="787"/>
      <c r="AM41" s="787"/>
      <c r="AN41" s="787"/>
      <c r="AO41" s="787"/>
      <c r="AP41" s="787"/>
      <c r="AQ41" s="787"/>
      <c r="AR41" s="787"/>
      <c r="AS41" s="787"/>
      <c r="AT41" s="787"/>
      <c r="AU41" s="147"/>
      <c r="AV41" s="787"/>
      <c r="AW41" s="787"/>
      <c r="AX41" s="787"/>
      <c r="AY41" s="787"/>
      <c r="AZ41" s="787"/>
      <c r="BA41" s="787"/>
      <c r="BB41" s="787"/>
      <c r="BC41" s="787"/>
      <c r="BD41" s="787"/>
      <c r="BE41" s="784"/>
      <c r="BH41" s="665" t="s">
        <v>1262</v>
      </c>
    </row>
    <row r="42" spans="2:60" ht="14.25" hidden="1" customHeight="1">
      <c r="B42" s="62" t="b">
        <f t="shared" si="2"/>
        <v>0</v>
      </c>
      <c r="E42" s="459">
        <v>15</v>
      </c>
      <c r="F42" s="774"/>
      <c r="H42" s="57" t="s">
        <v>1339</v>
      </c>
      <c r="I42" s="932"/>
      <c r="J42" s="932"/>
      <c r="K42" s="932"/>
      <c r="L42" s="932"/>
      <c r="M42" s="932"/>
      <c r="N42" s="932"/>
      <c r="O42" s="932"/>
      <c r="P42" s="932"/>
      <c r="Q42" s="932"/>
      <c r="R42" s="932"/>
      <c r="S42" s="932"/>
      <c r="T42" s="933"/>
      <c r="U42" s="932"/>
      <c r="V42" s="932"/>
      <c r="W42" s="932"/>
      <c r="X42" s="932"/>
      <c r="Y42" s="932"/>
      <c r="Z42" s="932"/>
      <c r="AA42" s="932"/>
      <c r="AB42" s="152" t="s">
        <v>1340</v>
      </c>
      <c r="AC42" s="153" t="s">
        <v>1341</v>
      </c>
      <c r="AD42" s="26" t="s">
        <v>804</v>
      </c>
      <c r="AE42" s="787"/>
      <c r="AF42" s="787"/>
      <c r="AG42" s="787"/>
      <c r="AH42" s="787"/>
      <c r="AI42" s="787"/>
      <c r="AJ42" s="787"/>
      <c r="AK42" s="147"/>
      <c r="AL42" s="787"/>
      <c r="AM42" s="787"/>
      <c r="AN42" s="787"/>
      <c r="AO42" s="787"/>
      <c r="AP42" s="787"/>
      <c r="AQ42" s="787"/>
      <c r="AR42" s="787"/>
      <c r="AS42" s="787"/>
      <c r="AT42" s="787"/>
      <c r="AU42" s="147"/>
      <c r="AV42" s="787"/>
      <c r="AW42" s="787"/>
      <c r="AX42" s="787"/>
      <c r="AY42" s="787"/>
      <c r="AZ42" s="787"/>
      <c r="BA42" s="787"/>
      <c r="BB42" s="787"/>
      <c r="BC42" s="787"/>
      <c r="BD42" s="787"/>
      <c r="BE42" s="784"/>
      <c r="BH42" s="665" t="s">
        <v>1342</v>
      </c>
    </row>
    <row r="43" spans="2:60" ht="14.25" hidden="1" customHeight="1">
      <c r="B43" s="62" t="b">
        <f t="shared" si="2"/>
        <v>0</v>
      </c>
      <c r="E43" s="459">
        <v>15</v>
      </c>
      <c r="F43" s="774"/>
      <c r="H43" s="57" t="s">
        <v>1343</v>
      </c>
      <c r="I43" s="932"/>
      <c r="J43" s="932"/>
      <c r="K43" s="932"/>
      <c r="L43" s="932"/>
      <c r="M43" s="932"/>
      <c r="N43" s="932"/>
      <c r="O43" s="932"/>
      <c r="P43" s="932"/>
      <c r="Q43" s="932"/>
      <c r="R43" s="932"/>
      <c r="S43" s="932"/>
      <c r="T43" s="933"/>
      <c r="U43" s="932"/>
      <c r="V43" s="932"/>
      <c r="W43" s="932"/>
      <c r="X43" s="932"/>
      <c r="Y43" s="932"/>
      <c r="Z43" s="932"/>
      <c r="AA43" s="932"/>
      <c r="AB43" s="152" t="s">
        <v>1344</v>
      </c>
      <c r="AC43" s="153" t="s">
        <v>1345</v>
      </c>
      <c r="AD43" s="26" t="s">
        <v>804</v>
      </c>
      <c r="AE43" s="787"/>
      <c r="AF43" s="787"/>
      <c r="AG43" s="787"/>
      <c r="AH43" s="787"/>
      <c r="AI43" s="787"/>
      <c r="AJ43" s="787"/>
      <c r="AK43" s="147"/>
      <c r="AL43" s="787"/>
      <c r="AM43" s="787"/>
      <c r="AN43" s="787"/>
      <c r="AO43" s="787"/>
      <c r="AP43" s="787"/>
      <c r="AQ43" s="787"/>
      <c r="AR43" s="787"/>
      <c r="AS43" s="787"/>
      <c r="AT43" s="787"/>
      <c r="AU43" s="147"/>
      <c r="AV43" s="787"/>
      <c r="AW43" s="787"/>
      <c r="AX43" s="787"/>
      <c r="AY43" s="787"/>
      <c r="AZ43" s="787"/>
      <c r="BA43" s="787"/>
      <c r="BB43" s="787"/>
      <c r="BC43" s="787"/>
      <c r="BD43" s="787"/>
      <c r="BE43" s="784"/>
      <c r="BH43" s="665" t="s">
        <v>1346</v>
      </c>
    </row>
    <row r="44" spans="2:60" ht="14.25" hidden="1" customHeight="1">
      <c r="B44" s="62" t="b">
        <f t="shared" si="2"/>
        <v>0</v>
      </c>
      <c r="E44" s="459">
        <v>15</v>
      </c>
      <c r="F44" s="774"/>
      <c r="H44" s="57" t="s">
        <v>468</v>
      </c>
      <c r="I44" s="932"/>
      <c r="J44" s="932"/>
      <c r="K44" s="932"/>
      <c r="L44" s="932"/>
      <c r="M44" s="932"/>
      <c r="N44" s="932"/>
      <c r="O44" s="932"/>
      <c r="P44" s="932"/>
      <c r="Q44" s="932"/>
      <c r="R44" s="932"/>
      <c r="S44" s="932"/>
      <c r="T44" s="933"/>
      <c r="U44" s="932"/>
      <c r="V44" s="932"/>
      <c r="W44" s="932"/>
      <c r="X44" s="932"/>
      <c r="Y44" s="932"/>
      <c r="Z44" s="932"/>
      <c r="AA44" s="932"/>
      <c r="AB44" s="152" t="s">
        <v>903</v>
      </c>
      <c r="AC44" s="146" t="s">
        <v>1347</v>
      </c>
      <c r="AD44" s="26" t="s">
        <v>804</v>
      </c>
      <c r="AE44" s="190">
        <f t="shared" ref="AE44:BD44" si="7">AE45+AE46+AE47</f>
        <v>0</v>
      </c>
      <c r="AF44" s="190">
        <f t="shared" si="7"/>
        <v>0</v>
      </c>
      <c r="AG44" s="190">
        <f t="shared" si="7"/>
        <v>0</v>
      </c>
      <c r="AH44" s="190">
        <f t="shared" si="7"/>
        <v>0</v>
      </c>
      <c r="AI44" s="190">
        <f t="shared" si="7"/>
        <v>0</v>
      </c>
      <c r="AJ44" s="190">
        <f t="shared" si="7"/>
        <v>0</v>
      </c>
      <c r="AK44" s="190">
        <f t="shared" si="7"/>
        <v>0</v>
      </c>
      <c r="AL44" s="190">
        <f t="shared" si="7"/>
        <v>0</v>
      </c>
      <c r="AM44" s="190">
        <f t="shared" si="7"/>
        <v>0</v>
      </c>
      <c r="AN44" s="190">
        <f t="shared" si="7"/>
        <v>0</v>
      </c>
      <c r="AO44" s="190">
        <f t="shared" si="7"/>
        <v>0</v>
      </c>
      <c r="AP44" s="190">
        <f t="shared" si="7"/>
        <v>0</v>
      </c>
      <c r="AQ44" s="190">
        <f t="shared" si="7"/>
        <v>0</v>
      </c>
      <c r="AR44" s="190">
        <f t="shared" si="7"/>
        <v>0</v>
      </c>
      <c r="AS44" s="190">
        <f t="shared" si="7"/>
        <v>0</v>
      </c>
      <c r="AT44" s="190">
        <f t="shared" si="7"/>
        <v>0</v>
      </c>
      <c r="AU44" s="190">
        <f t="shared" si="7"/>
        <v>0</v>
      </c>
      <c r="AV44" s="190">
        <f t="shared" si="7"/>
        <v>0</v>
      </c>
      <c r="AW44" s="190">
        <f t="shared" si="7"/>
        <v>0</v>
      </c>
      <c r="AX44" s="190">
        <f t="shared" si="7"/>
        <v>0</v>
      </c>
      <c r="AY44" s="190">
        <f t="shared" si="7"/>
        <v>0</v>
      </c>
      <c r="AZ44" s="190">
        <f t="shared" si="7"/>
        <v>0</v>
      </c>
      <c r="BA44" s="190">
        <f t="shared" si="7"/>
        <v>0</v>
      </c>
      <c r="BB44" s="190">
        <f t="shared" si="7"/>
        <v>0</v>
      </c>
      <c r="BC44" s="190">
        <f t="shared" si="7"/>
        <v>0</v>
      </c>
      <c r="BD44" s="190">
        <f t="shared" si="7"/>
        <v>0</v>
      </c>
      <c r="BE44" s="784"/>
      <c r="BH44" s="665" t="s">
        <v>1348</v>
      </c>
    </row>
    <row r="45" spans="2:60" ht="14.25" hidden="1" customHeight="1">
      <c r="B45" s="62" t="b">
        <f t="shared" si="2"/>
        <v>0</v>
      </c>
      <c r="E45" s="459">
        <v>15</v>
      </c>
      <c r="F45" s="774"/>
      <c r="H45" s="57" t="s">
        <v>1349</v>
      </c>
      <c r="I45" s="932"/>
      <c r="J45" s="932"/>
      <c r="K45" s="932"/>
      <c r="L45" s="932"/>
      <c r="M45" s="932"/>
      <c r="N45" s="932"/>
      <c r="O45" s="932"/>
      <c r="P45" s="932"/>
      <c r="Q45" s="932"/>
      <c r="R45" s="932"/>
      <c r="S45" s="932"/>
      <c r="T45" s="933"/>
      <c r="U45" s="932"/>
      <c r="V45" s="932"/>
      <c r="W45" s="932"/>
      <c r="X45" s="932"/>
      <c r="Y45" s="932"/>
      <c r="Z45" s="932"/>
      <c r="AA45" s="932"/>
      <c r="AB45" s="152" t="s">
        <v>1350</v>
      </c>
      <c r="AC45" s="153" t="s">
        <v>1351</v>
      </c>
      <c r="AD45" s="26" t="s">
        <v>804</v>
      </c>
      <c r="AE45" s="787"/>
      <c r="AF45" s="787"/>
      <c r="AG45" s="787"/>
      <c r="AH45" s="787"/>
      <c r="AI45" s="787"/>
      <c r="AJ45" s="787"/>
      <c r="AK45" s="147"/>
      <c r="AL45" s="787"/>
      <c r="AM45" s="787"/>
      <c r="AN45" s="787"/>
      <c r="AO45" s="787"/>
      <c r="AP45" s="787"/>
      <c r="AQ45" s="787"/>
      <c r="AR45" s="787"/>
      <c r="AS45" s="787"/>
      <c r="AT45" s="787"/>
      <c r="AU45" s="147"/>
      <c r="AV45" s="787"/>
      <c r="AW45" s="787"/>
      <c r="AX45" s="787"/>
      <c r="AY45" s="787"/>
      <c r="AZ45" s="787"/>
      <c r="BA45" s="787"/>
      <c r="BB45" s="787"/>
      <c r="BC45" s="787"/>
      <c r="BD45" s="787"/>
      <c r="BE45" s="784"/>
      <c r="BH45" s="665" t="s">
        <v>1352</v>
      </c>
    </row>
    <row r="46" spans="2:60" ht="14.25" hidden="1" customHeight="1">
      <c r="B46" s="62" t="b">
        <f t="shared" si="2"/>
        <v>0</v>
      </c>
      <c r="E46" s="459">
        <v>15</v>
      </c>
      <c r="F46" s="774"/>
      <c r="H46" s="57" t="s">
        <v>1353</v>
      </c>
      <c r="I46" s="932"/>
      <c r="J46" s="932"/>
      <c r="K46" s="932"/>
      <c r="L46" s="932"/>
      <c r="M46" s="932"/>
      <c r="N46" s="932"/>
      <c r="O46" s="932"/>
      <c r="P46" s="932"/>
      <c r="Q46" s="932"/>
      <c r="R46" s="932"/>
      <c r="S46" s="932"/>
      <c r="T46" s="933"/>
      <c r="U46" s="932"/>
      <c r="V46" s="932"/>
      <c r="W46" s="932"/>
      <c r="X46" s="932"/>
      <c r="Y46" s="932"/>
      <c r="Z46" s="932"/>
      <c r="AA46" s="932"/>
      <c r="AB46" s="152" t="s">
        <v>1354</v>
      </c>
      <c r="AC46" s="153" t="s">
        <v>1355</v>
      </c>
      <c r="AD46" s="26" t="s">
        <v>804</v>
      </c>
      <c r="AE46" s="787"/>
      <c r="AF46" s="787"/>
      <c r="AG46" s="787"/>
      <c r="AH46" s="787"/>
      <c r="AI46" s="787"/>
      <c r="AJ46" s="787"/>
      <c r="AK46" s="147"/>
      <c r="AL46" s="787"/>
      <c r="AM46" s="787"/>
      <c r="AN46" s="787"/>
      <c r="AO46" s="787"/>
      <c r="AP46" s="787"/>
      <c r="AQ46" s="787"/>
      <c r="AR46" s="787"/>
      <c r="AS46" s="787"/>
      <c r="AT46" s="787"/>
      <c r="AU46" s="147"/>
      <c r="AV46" s="787"/>
      <c r="AW46" s="787"/>
      <c r="AX46" s="787"/>
      <c r="AY46" s="787"/>
      <c r="AZ46" s="787"/>
      <c r="BA46" s="787"/>
      <c r="BB46" s="787"/>
      <c r="BC46" s="787"/>
      <c r="BD46" s="787"/>
      <c r="BE46" s="784"/>
      <c r="BH46" s="665" t="s">
        <v>1356</v>
      </c>
    </row>
    <row r="47" spans="2:60" ht="14.25" hidden="1" customHeight="1">
      <c r="B47" s="62" t="b">
        <f t="shared" si="2"/>
        <v>0</v>
      </c>
      <c r="E47" s="459">
        <v>15</v>
      </c>
      <c r="F47" s="774"/>
      <c r="H47" s="57" t="s">
        <v>1357</v>
      </c>
      <c r="I47" s="932"/>
      <c r="J47" s="932"/>
      <c r="K47" s="932"/>
      <c r="L47" s="932"/>
      <c r="M47" s="932"/>
      <c r="N47" s="932"/>
      <c r="O47" s="932"/>
      <c r="P47" s="932"/>
      <c r="Q47" s="932"/>
      <c r="R47" s="932"/>
      <c r="S47" s="932"/>
      <c r="T47" s="933"/>
      <c r="U47" s="932"/>
      <c r="V47" s="932"/>
      <c r="W47" s="932"/>
      <c r="X47" s="932"/>
      <c r="Y47" s="932"/>
      <c r="Z47" s="932"/>
      <c r="AA47" s="932"/>
      <c r="AB47" s="152" t="s">
        <v>1358</v>
      </c>
      <c r="AC47" s="153" t="s">
        <v>1359</v>
      </c>
      <c r="AD47" s="26" t="s">
        <v>804</v>
      </c>
      <c r="AE47" s="787"/>
      <c r="AF47" s="787"/>
      <c r="AG47" s="787"/>
      <c r="AH47" s="787"/>
      <c r="AI47" s="787"/>
      <c r="AJ47" s="787"/>
      <c r="AK47" s="147"/>
      <c r="AL47" s="787"/>
      <c r="AM47" s="787"/>
      <c r="AN47" s="787"/>
      <c r="AO47" s="787"/>
      <c r="AP47" s="787"/>
      <c r="AQ47" s="787"/>
      <c r="AR47" s="787"/>
      <c r="AS47" s="787"/>
      <c r="AT47" s="787"/>
      <c r="AU47" s="147"/>
      <c r="AV47" s="787"/>
      <c r="AW47" s="787"/>
      <c r="AX47" s="787"/>
      <c r="AY47" s="787"/>
      <c r="AZ47" s="787"/>
      <c r="BA47" s="787"/>
      <c r="BB47" s="787"/>
      <c r="BC47" s="787"/>
      <c r="BD47" s="787"/>
      <c r="BE47" s="784"/>
      <c r="BH47" s="665" t="s">
        <v>1360</v>
      </c>
    </row>
    <row r="48" spans="2:60" ht="14.25" hidden="1" customHeight="1">
      <c r="B48" s="62" t="b">
        <f t="shared" si="2"/>
        <v>0</v>
      </c>
      <c r="E48" s="459">
        <v>15</v>
      </c>
      <c r="F48" s="774"/>
      <c r="H48" s="57" t="s">
        <v>472</v>
      </c>
      <c r="I48" s="932"/>
      <c r="J48" s="932"/>
      <c r="K48" s="932"/>
      <c r="L48" s="932"/>
      <c r="M48" s="932"/>
      <c r="N48" s="932"/>
      <c r="O48" s="932"/>
      <c r="P48" s="932"/>
      <c r="Q48" s="932"/>
      <c r="R48" s="932"/>
      <c r="S48" s="932"/>
      <c r="T48" s="933"/>
      <c r="U48" s="932"/>
      <c r="V48" s="932"/>
      <c r="W48" s="932"/>
      <c r="X48" s="932"/>
      <c r="Y48" s="932"/>
      <c r="Z48" s="932"/>
      <c r="AA48" s="932"/>
      <c r="AB48" s="152" t="s">
        <v>906</v>
      </c>
      <c r="AC48" s="146" t="s">
        <v>1361</v>
      </c>
      <c r="AD48" s="26" t="s">
        <v>804</v>
      </c>
      <c r="AE48" s="190">
        <f t="shared" ref="AE48:BD48" si="8">AE49+AE50+AE51+AE52</f>
        <v>0</v>
      </c>
      <c r="AF48" s="190">
        <f t="shared" si="8"/>
        <v>0</v>
      </c>
      <c r="AG48" s="190">
        <f t="shared" si="8"/>
        <v>0</v>
      </c>
      <c r="AH48" s="190">
        <f t="shared" si="8"/>
        <v>0</v>
      </c>
      <c r="AI48" s="190">
        <f t="shared" si="8"/>
        <v>0</v>
      </c>
      <c r="AJ48" s="190">
        <f t="shared" si="8"/>
        <v>0</v>
      </c>
      <c r="AK48" s="190">
        <f t="shared" si="8"/>
        <v>0</v>
      </c>
      <c r="AL48" s="190">
        <f t="shared" si="8"/>
        <v>0</v>
      </c>
      <c r="AM48" s="190">
        <f t="shared" si="8"/>
        <v>0</v>
      </c>
      <c r="AN48" s="190">
        <f t="shared" si="8"/>
        <v>0</v>
      </c>
      <c r="AO48" s="190">
        <f t="shared" si="8"/>
        <v>0</v>
      </c>
      <c r="AP48" s="190">
        <f t="shared" si="8"/>
        <v>0</v>
      </c>
      <c r="AQ48" s="190">
        <f t="shared" si="8"/>
        <v>0</v>
      </c>
      <c r="AR48" s="190">
        <f t="shared" si="8"/>
        <v>0</v>
      </c>
      <c r="AS48" s="190">
        <f t="shared" si="8"/>
        <v>0</v>
      </c>
      <c r="AT48" s="190">
        <f t="shared" si="8"/>
        <v>0</v>
      </c>
      <c r="AU48" s="190">
        <f t="shared" si="8"/>
        <v>0</v>
      </c>
      <c r="AV48" s="190">
        <f t="shared" si="8"/>
        <v>0</v>
      </c>
      <c r="AW48" s="190">
        <f t="shared" si="8"/>
        <v>0</v>
      </c>
      <c r="AX48" s="190">
        <f t="shared" si="8"/>
        <v>0</v>
      </c>
      <c r="AY48" s="190">
        <f t="shared" si="8"/>
        <v>0</v>
      </c>
      <c r="AZ48" s="190">
        <f t="shared" si="8"/>
        <v>0</v>
      </c>
      <c r="BA48" s="190">
        <f t="shared" si="8"/>
        <v>0</v>
      </c>
      <c r="BB48" s="190">
        <f t="shared" si="8"/>
        <v>0</v>
      </c>
      <c r="BC48" s="190">
        <f t="shared" si="8"/>
        <v>0</v>
      </c>
      <c r="BD48" s="190">
        <f t="shared" si="8"/>
        <v>0</v>
      </c>
      <c r="BE48" s="784"/>
      <c r="BH48" s="665" t="s">
        <v>1362</v>
      </c>
    </row>
    <row r="49" spans="1:60" ht="14.25" hidden="1" customHeight="1">
      <c r="B49" s="62" t="b">
        <f t="shared" si="2"/>
        <v>0</v>
      </c>
      <c r="E49" s="459">
        <v>15</v>
      </c>
      <c r="F49" s="774"/>
      <c r="H49" s="57" t="s">
        <v>1363</v>
      </c>
      <c r="I49" s="932"/>
      <c r="J49" s="932"/>
      <c r="K49" s="932"/>
      <c r="L49" s="932"/>
      <c r="M49" s="932"/>
      <c r="N49" s="932"/>
      <c r="O49" s="932"/>
      <c r="P49" s="932"/>
      <c r="Q49" s="932"/>
      <c r="R49" s="932"/>
      <c r="S49" s="932"/>
      <c r="T49" s="933"/>
      <c r="U49" s="932"/>
      <c r="V49" s="932"/>
      <c r="W49" s="932"/>
      <c r="X49" s="932"/>
      <c r="Y49" s="932"/>
      <c r="Z49" s="932"/>
      <c r="AA49" s="932"/>
      <c r="AB49" s="152" t="s">
        <v>1021</v>
      </c>
      <c r="AC49" s="153" t="s">
        <v>1015</v>
      </c>
      <c r="AD49" s="26" t="s">
        <v>804</v>
      </c>
      <c r="AE49" s="787"/>
      <c r="AF49" s="787"/>
      <c r="AG49" s="787"/>
      <c r="AH49" s="787"/>
      <c r="AI49" s="787"/>
      <c r="AJ49" s="787"/>
      <c r="AK49" s="147"/>
      <c r="AL49" s="787"/>
      <c r="AM49" s="787"/>
      <c r="AN49" s="787"/>
      <c r="AO49" s="787"/>
      <c r="AP49" s="787"/>
      <c r="AQ49" s="787"/>
      <c r="AR49" s="787"/>
      <c r="AS49" s="787"/>
      <c r="AT49" s="787"/>
      <c r="AU49" s="147"/>
      <c r="AV49" s="787"/>
      <c r="AW49" s="787"/>
      <c r="AX49" s="787"/>
      <c r="AY49" s="787"/>
      <c r="AZ49" s="787"/>
      <c r="BA49" s="787"/>
      <c r="BB49" s="787"/>
      <c r="BC49" s="787"/>
      <c r="BD49" s="787"/>
      <c r="BE49" s="784"/>
      <c r="BH49" s="665" t="s">
        <v>1017</v>
      </c>
    </row>
    <row r="50" spans="1:60" ht="21.75" hidden="1" customHeight="1">
      <c r="B50" s="62" t="b">
        <f t="shared" si="2"/>
        <v>0</v>
      </c>
      <c r="E50" s="459">
        <v>22.5</v>
      </c>
      <c r="F50" s="774"/>
      <c r="H50" s="57" t="s">
        <v>1364</v>
      </c>
      <c r="I50" s="932"/>
      <c r="J50" s="932"/>
      <c r="K50" s="932"/>
      <c r="L50" s="932"/>
      <c r="M50" s="932"/>
      <c r="N50" s="932"/>
      <c r="O50" s="932"/>
      <c r="P50" s="932"/>
      <c r="Q50" s="932"/>
      <c r="R50" s="932"/>
      <c r="S50" s="932"/>
      <c r="T50" s="933"/>
      <c r="U50" s="932"/>
      <c r="V50" s="932"/>
      <c r="W50" s="932"/>
      <c r="X50" s="932"/>
      <c r="Y50" s="932"/>
      <c r="Z50" s="932"/>
      <c r="AA50" s="932"/>
      <c r="AB50" s="152" t="s">
        <v>1024</v>
      </c>
      <c r="AC50" s="153" t="s">
        <v>1365</v>
      </c>
      <c r="AD50" s="26" t="s">
        <v>804</v>
      </c>
      <c r="AE50" s="787"/>
      <c r="AF50" s="787"/>
      <c r="AG50" s="787"/>
      <c r="AH50" s="787"/>
      <c r="AI50" s="787"/>
      <c r="AJ50" s="787"/>
      <c r="AK50" s="147"/>
      <c r="AL50" s="787"/>
      <c r="AM50" s="787"/>
      <c r="AN50" s="787"/>
      <c r="AO50" s="787"/>
      <c r="AP50" s="787"/>
      <c r="AQ50" s="787"/>
      <c r="AR50" s="787"/>
      <c r="AS50" s="787"/>
      <c r="AT50" s="787"/>
      <c r="AU50" s="147"/>
      <c r="AV50" s="787"/>
      <c r="AW50" s="787"/>
      <c r="AX50" s="787"/>
      <c r="AY50" s="787"/>
      <c r="AZ50" s="787"/>
      <c r="BA50" s="787"/>
      <c r="BB50" s="787"/>
      <c r="BC50" s="787"/>
      <c r="BD50" s="787"/>
      <c r="BE50" s="784"/>
      <c r="BH50" s="665" t="s">
        <v>1366</v>
      </c>
    </row>
    <row r="51" spans="1:60" ht="21.75" hidden="1" customHeight="1">
      <c r="B51" s="62" t="b">
        <f t="shared" si="2"/>
        <v>0</v>
      </c>
      <c r="E51" s="459">
        <v>22.5</v>
      </c>
      <c r="F51" s="774"/>
      <c r="H51" s="57" t="s">
        <v>1367</v>
      </c>
      <c r="I51" s="932"/>
      <c r="J51" s="932"/>
      <c r="K51" s="932"/>
      <c r="L51" s="932"/>
      <c r="M51" s="932"/>
      <c r="N51" s="932"/>
      <c r="O51" s="932"/>
      <c r="P51" s="932"/>
      <c r="Q51" s="932"/>
      <c r="R51" s="932"/>
      <c r="S51" s="932"/>
      <c r="T51" s="933"/>
      <c r="U51" s="932"/>
      <c r="V51" s="932"/>
      <c r="W51" s="932"/>
      <c r="X51" s="932"/>
      <c r="Y51" s="932"/>
      <c r="Z51" s="932"/>
      <c r="AA51" s="932"/>
      <c r="AB51" s="152" t="s">
        <v>1368</v>
      </c>
      <c r="AC51" s="153" t="s">
        <v>1369</v>
      </c>
      <c r="AD51" s="26" t="s">
        <v>804</v>
      </c>
      <c r="AE51" s="787"/>
      <c r="AF51" s="787"/>
      <c r="AG51" s="787"/>
      <c r="AH51" s="787"/>
      <c r="AI51" s="787"/>
      <c r="AJ51" s="787"/>
      <c r="AK51" s="147"/>
      <c r="AL51" s="787"/>
      <c r="AM51" s="787"/>
      <c r="AN51" s="787"/>
      <c r="AO51" s="787"/>
      <c r="AP51" s="787"/>
      <c r="AQ51" s="787"/>
      <c r="AR51" s="787"/>
      <c r="AS51" s="787"/>
      <c r="AT51" s="787"/>
      <c r="AU51" s="147"/>
      <c r="AV51" s="787"/>
      <c r="AW51" s="787"/>
      <c r="AX51" s="787"/>
      <c r="AY51" s="787"/>
      <c r="AZ51" s="787"/>
      <c r="BA51" s="787"/>
      <c r="BB51" s="787"/>
      <c r="BC51" s="787"/>
      <c r="BD51" s="787"/>
      <c r="BE51" s="784"/>
      <c r="BH51" s="665" t="s">
        <v>1370</v>
      </c>
    </row>
    <row r="52" spans="1:60" ht="14.25" hidden="1" customHeight="1">
      <c r="B52" s="62" t="b">
        <f t="shared" si="2"/>
        <v>0</v>
      </c>
      <c r="E52" s="459">
        <v>15</v>
      </c>
      <c r="F52" s="774"/>
      <c r="H52" s="57" t="s">
        <v>1371</v>
      </c>
      <c r="I52" s="932"/>
      <c r="J52" s="932"/>
      <c r="K52" s="932"/>
      <c r="L52" s="932"/>
      <c r="M52" s="932"/>
      <c r="N52" s="932"/>
      <c r="O52" s="932"/>
      <c r="P52" s="932"/>
      <c r="Q52" s="932"/>
      <c r="R52" s="932"/>
      <c r="S52" s="932"/>
      <c r="T52" s="933"/>
      <c r="U52" s="932"/>
      <c r="V52" s="932"/>
      <c r="W52" s="932"/>
      <c r="X52" s="932"/>
      <c r="Y52" s="932"/>
      <c r="Z52" s="932"/>
      <c r="AA52" s="932"/>
      <c r="AB52" s="152" t="s">
        <v>1372</v>
      </c>
      <c r="AC52" s="153" t="s">
        <v>1373</v>
      </c>
      <c r="AD52" s="26" t="s">
        <v>804</v>
      </c>
      <c r="AE52" s="787"/>
      <c r="AF52" s="787"/>
      <c r="AG52" s="787"/>
      <c r="AH52" s="787"/>
      <c r="AI52" s="787"/>
      <c r="AJ52" s="787"/>
      <c r="AK52" s="147"/>
      <c r="AL52" s="787"/>
      <c r="AM52" s="787"/>
      <c r="AN52" s="787"/>
      <c r="AO52" s="787"/>
      <c r="AP52" s="787"/>
      <c r="AQ52" s="787"/>
      <c r="AR52" s="787"/>
      <c r="AS52" s="787"/>
      <c r="AT52" s="787"/>
      <c r="AU52" s="147"/>
      <c r="AV52" s="787"/>
      <c r="AW52" s="787"/>
      <c r="AX52" s="787"/>
      <c r="AY52" s="787"/>
      <c r="AZ52" s="787"/>
      <c r="BA52" s="787"/>
      <c r="BB52" s="787"/>
      <c r="BC52" s="787"/>
      <c r="BD52" s="787"/>
      <c r="BE52" s="784"/>
      <c r="BH52" s="665" t="s">
        <v>1374</v>
      </c>
    </row>
    <row r="53" spans="1:60" s="935" customFormat="1" ht="21.75" hidden="1" customHeight="1">
      <c r="A53" s="173"/>
      <c r="B53" s="173" t="b">
        <f t="shared" si="2"/>
        <v>0</v>
      </c>
      <c r="C53" s="173"/>
      <c r="D53" s="173"/>
      <c r="E53" s="512">
        <v>22.5</v>
      </c>
      <c r="F53" s="3"/>
      <c r="G53" s="173"/>
      <c r="H53" s="57" t="s">
        <v>328</v>
      </c>
      <c r="I53" s="936"/>
      <c r="J53" s="936"/>
      <c r="K53" s="936"/>
      <c r="L53" s="936"/>
      <c r="M53" s="936"/>
      <c r="N53" s="936"/>
      <c r="O53" s="936"/>
      <c r="P53" s="936"/>
      <c r="Q53" s="936"/>
      <c r="R53" s="936"/>
      <c r="S53" s="936"/>
      <c r="T53" s="933"/>
      <c r="U53" s="936"/>
      <c r="V53" s="936"/>
      <c r="W53" s="936"/>
      <c r="X53" s="936"/>
      <c r="Y53" s="936"/>
      <c r="Z53" s="936"/>
      <c r="AA53" s="936"/>
      <c r="AB53" s="150" t="s">
        <v>285</v>
      </c>
      <c r="AC53" s="151" t="s">
        <v>1375</v>
      </c>
      <c r="AD53" s="143" t="s">
        <v>804</v>
      </c>
      <c r="AE53" s="145">
        <f t="shared" ref="AE53:BD53" si="9">AE54+AE55+AE56</f>
        <v>0</v>
      </c>
      <c r="AF53" s="145">
        <f t="shared" si="9"/>
        <v>0</v>
      </c>
      <c r="AG53" s="145">
        <f t="shared" si="9"/>
        <v>0</v>
      </c>
      <c r="AH53" s="145">
        <f t="shared" si="9"/>
        <v>0</v>
      </c>
      <c r="AI53" s="145">
        <f t="shared" si="9"/>
        <v>0</v>
      </c>
      <c r="AJ53" s="145">
        <f t="shared" si="9"/>
        <v>0</v>
      </c>
      <c r="AK53" s="145">
        <f t="shared" si="9"/>
        <v>0</v>
      </c>
      <c r="AL53" s="145">
        <f t="shared" si="9"/>
        <v>0</v>
      </c>
      <c r="AM53" s="145">
        <f t="shared" si="9"/>
        <v>0</v>
      </c>
      <c r="AN53" s="145">
        <f t="shared" si="9"/>
        <v>0</v>
      </c>
      <c r="AO53" s="145">
        <f t="shared" si="9"/>
        <v>0</v>
      </c>
      <c r="AP53" s="145">
        <f t="shared" si="9"/>
        <v>0</v>
      </c>
      <c r="AQ53" s="145">
        <f t="shared" si="9"/>
        <v>0</v>
      </c>
      <c r="AR53" s="145">
        <f t="shared" si="9"/>
        <v>0</v>
      </c>
      <c r="AS53" s="145">
        <f t="shared" si="9"/>
        <v>0</v>
      </c>
      <c r="AT53" s="145">
        <f t="shared" si="9"/>
        <v>0</v>
      </c>
      <c r="AU53" s="145">
        <f t="shared" si="9"/>
        <v>0</v>
      </c>
      <c r="AV53" s="145">
        <f t="shared" si="9"/>
        <v>0</v>
      </c>
      <c r="AW53" s="145">
        <f t="shared" si="9"/>
        <v>0</v>
      </c>
      <c r="AX53" s="145">
        <f t="shared" si="9"/>
        <v>0</v>
      </c>
      <c r="AY53" s="145">
        <f t="shared" si="9"/>
        <v>0</v>
      </c>
      <c r="AZ53" s="145">
        <f t="shared" si="9"/>
        <v>0</v>
      </c>
      <c r="BA53" s="145">
        <f t="shared" si="9"/>
        <v>0</v>
      </c>
      <c r="BB53" s="145">
        <f t="shared" si="9"/>
        <v>0</v>
      </c>
      <c r="BC53" s="145">
        <f t="shared" si="9"/>
        <v>0</v>
      </c>
      <c r="BD53" s="145">
        <f t="shared" si="9"/>
        <v>0</v>
      </c>
      <c r="BE53" s="784"/>
      <c r="BF53" s="173"/>
      <c r="BG53" s="173"/>
      <c r="BH53" s="697" t="s">
        <v>1376</v>
      </c>
    </row>
    <row r="54" spans="1:60" ht="14.25" hidden="1" customHeight="1">
      <c r="B54" s="62" t="b">
        <f t="shared" si="2"/>
        <v>0</v>
      </c>
      <c r="E54" s="459">
        <v>15</v>
      </c>
      <c r="F54" s="774"/>
      <c r="H54" s="57" t="s">
        <v>479</v>
      </c>
      <c r="I54" s="932"/>
      <c r="J54" s="932"/>
      <c r="K54" s="937"/>
      <c r="L54" s="937"/>
      <c r="M54" s="932"/>
      <c r="N54" s="932"/>
      <c r="O54" s="932"/>
      <c r="P54" s="932"/>
      <c r="Q54" s="932"/>
      <c r="R54" s="932"/>
      <c r="S54" s="932"/>
      <c r="T54" s="933"/>
      <c r="U54" s="932"/>
      <c r="V54" s="932"/>
      <c r="W54" s="932"/>
      <c r="X54" s="932"/>
      <c r="Y54" s="932"/>
      <c r="Z54" s="932"/>
      <c r="AA54" s="932"/>
      <c r="AB54" s="152" t="s">
        <v>537</v>
      </c>
      <c r="AC54" s="146" t="s">
        <v>1377</v>
      </c>
      <c r="AD54" s="26" t="s">
        <v>804</v>
      </c>
      <c r="AE54" s="787"/>
      <c r="AF54" s="787"/>
      <c r="AG54" s="787"/>
      <c r="AH54" s="787"/>
      <c r="AI54" s="787"/>
      <c r="AJ54" s="787"/>
      <c r="AK54" s="147"/>
      <c r="AL54" s="787"/>
      <c r="AM54" s="787"/>
      <c r="AN54" s="787"/>
      <c r="AO54" s="787"/>
      <c r="AP54" s="787"/>
      <c r="AQ54" s="787"/>
      <c r="AR54" s="787"/>
      <c r="AS54" s="787"/>
      <c r="AT54" s="787"/>
      <c r="AU54" s="147"/>
      <c r="AV54" s="787"/>
      <c r="AW54" s="787"/>
      <c r="AX54" s="787"/>
      <c r="AY54" s="787"/>
      <c r="AZ54" s="787"/>
      <c r="BA54" s="787"/>
      <c r="BB54" s="787"/>
      <c r="BC54" s="787"/>
      <c r="BD54" s="787"/>
      <c r="BE54" s="784"/>
      <c r="BH54" s="665" t="s">
        <v>1378</v>
      </c>
    </row>
    <row r="55" spans="1:60" ht="14.25" hidden="1" customHeight="1">
      <c r="B55" s="62" t="b">
        <f t="shared" si="2"/>
        <v>0</v>
      </c>
      <c r="E55" s="459">
        <v>15</v>
      </c>
      <c r="F55" s="774"/>
      <c r="H55" s="57" t="s">
        <v>482</v>
      </c>
      <c r="I55" s="932"/>
      <c r="J55" s="932"/>
      <c r="K55" s="937"/>
      <c r="L55" s="937"/>
      <c r="M55" s="932"/>
      <c r="N55" s="932"/>
      <c r="O55" s="932"/>
      <c r="P55" s="932"/>
      <c r="Q55" s="932"/>
      <c r="R55" s="932"/>
      <c r="S55" s="932"/>
      <c r="T55" s="933"/>
      <c r="U55" s="932"/>
      <c r="V55" s="932"/>
      <c r="W55" s="932"/>
      <c r="X55" s="932"/>
      <c r="Y55" s="932"/>
      <c r="Z55" s="932"/>
      <c r="AA55" s="932"/>
      <c r="AB55" s="152" t="s">
        <v>541</v>
      </c>
      <c r="AC55" s="146" t="s">
        <v>1379</v>
      </c>
      <c r="AD55" s="26" t="s">
        <v>804</v>
      </c>
      <c r="AE55" s="787"/>
      <c r="AF55" s="787"/>
      <c r="AG55" s="787"/>
      <c r="AH55" s="787"/>
      <c r="AI55" s="787"/>
      <c r="AJ55" s="787"/>
      <c r="AK55" s="147"/>
      <c r="AL55" s="787"/>
      <c r="AM55" s="787"/>
      <c r="AN55" s="787"/>
      <c r="AO55" s="787"/>
      <c r="AP55" s="787"/>
      <c r="AQ55" s="787"/>
      <c r="AR55" s="787"/>
      <c r="AS55" s="787"/>
      <c r="AT55" s="787"/>
      <c r="AU55" s="147"/>
      <c r="AV55" s="787"/>
      <c r="AW55" s="787"/>
      <c r="AX55" s="787"/>
      <c r="AY55" s="787"/>
      <c r="AZ55" s="787"/>
      <c r="BA55" s="787"/>
      <c r="BB55" s="787"/>
      <c r="BC55" s="787"/>
      <c r="BD55" s="787"/>
      <c r="BE55" s="784"/>
      <c r="BH55" s="665" t="s">
        <v>1380</v>
      </c>
    </row>
    <row r="56" spans="1:60" ht="14.25" hidden="1" customHeight="1">
      <c r="B56" s="62" t="b">
        <f t="shared" si="2"/>
        <v>0</v>
      </c>
      <c r="E56" s="459">
        <v>15</v>
      </c>
      <c r="F56" s="774"/>
      <c r="H56" s="57" t="s">
        <v>917</v>
      </c>
      <c r="I56" s="932"/>
      <c r="J56" s="932"/>
      <c r="K56" s="932"/>
      <c r="L56" s="932"/>
      <c r="M56" s="932"/>
      <c r="N56" s="932"/>
      <c r="O56" s="932"/>
      <c r="P56" s="932"/>
      <c r="Q56" s="932"/>
      <c r="R56" s="932"/>
      <c r="S56" s="932"/>
      <c r="T56" s="933"/>
      <c r="U56" s="932"/>
      <c r="V56" s="932"/>
      <c r="W56" s="932"/>
      <c r="X56" s="932"/>
      <c r="Y56" s="932"/>
      <c r="Z56" s="932"/>
      <c r="AA56" s="932"/>
      <c r="AB56" s="152" t="s">
        <v>545</v>
      </c>
      <c r="AC56" s="146" t="s">
        <v>1381</v>
      </c>
      <c r="AD56" s="26" t="s">
        <v>804</v>
      </c>
      <c r="AE56" s="787"/>
      <c r="AF56" s="787"/>
      <c r="AG56" s="787"/>
      <c r="AH56" s="787"/>
      <c r="AI56" s="787"/>
      <c r="AJ56" s="787"/>
      <c r="AK56" s="147"/>
      <c r="AL56" s="787"/>
      <c r="AM56" s="787"/>
      <c r="AN56" s="787"/>
      <c r="AO56" s="787"/>
      <c r="AP56" s="787"/>
      <c r="AQ56" s="787"/>
      <c r="AR56" s="787"/>
      <c r="AS56" s="787"/>
      <c r="AT56" s="787"/>
      <c r="AU56" s="147"/>
      <c r="AV56" s="787"/>
      <c r="AW56" s="787"/>
      <c r="AX56" s="787"/>
      <c r="AY56" s="787"/>
      <c r="AZ56" s="787"/>
      <c r="BA56" s="787"/>
      <c r="BB56" s="787"/>
      <c r="BC56" s="787"/>
      <c r="BD56" s="787"/>
      <c r="BE56" s="784"/>
      <c r="BH56" s="665" t="s">
        <v>1382</v>
      </c>
    </row>
    <row r="57" spans="1:60" ht="11.25" hidden="1" customHeight="1">
      <c r="A57" s="327"/>
      <c r="B57" s="490"/>
      <c r="C57" s="327"/>
      <c r="D57" s="327"/>
      <c r="E57" s="491">
        <v>0</v>
      </c>
      <c r="F57" s="327"/>
      <c r="G57" s="327"/>
      <c r="H57" s="327"/>
      <c r="I57" s="327"/>
      <c r="J57" s="327"/>
      <c r="K57" s="327"/>
      <c r="L57" s="327"/>
      <c r="M57" s="327"/>
      <c r="N57" s="327"/>
      <c r="O57" s="327"/>
      <c r="P57" s="327"/>
      <c r="Q57" s="327"/>
      <c r="R57" s="327"/>
      <c r="S57" s="327"/>
      <c r="T57" s="327"/>
      <c r="U57" s="327"/>
      <c r="V57" s="327"/>
      <c r="W57" s="327"/>
      <c r="X57" s="327"/>
      <c r="Y57" s="327"/>
      <c r="Z57" s="327"/>
      <c r="AA57"/>
      <c r="AB57"/>
      <c r="AC57" s="327"/>
      <c r="AD57" s="327"/>
      <c r="AE57" s="327"/>
      <c r="AF57" s="327"/>
      <c r="AG57"/>
      <c r="AH57"/>
      <c r="AI57"/>
      <c r="AJ57"/>
      <c r="AK57"/>
      <c r="AL57"/>
      <c r="AM57"/>
      <c r="AN57"/>
      <c r="AO57"/>
      <c r="AP57"/>
      <c r="AQ57"/>
      <c r="AR57"/>
      <c r="AS57"/>
      <c r="AT57"/>
      <c r="AU57"/>
      <c r="AV57"/>
      <c r="AW57"/>
      <c r="AX57"/>
      <c r="AY57"/>
      <c r="AZ57"/>
      <c r="BA57"/>
      <c r="BB57"/>
      <c r="BC57"/>
      <c r="BD57"/>
      <c r="BE57"/>
      <c r="BF57"/>
      <c r="BG57"/>
      <c r="BH57" s="670"/>
    </row>
    <row r="58" spans="1:60" ht="14.65" hidden="1" customHeight="1">
      <c r="B58" s="62" t="b">
        <f t="shared" ref="B58:B89" si="10">InvestmentSources_is_one_block="нет"</f>
        <v>1</v>
      </c>
      <c r="E58" s="459">
        <v>15</v>
      </c>
      <c r="F58" s="36" cm="1">
        <f t="array" ref="F58">X58</f>
        <v>0</v>
      </c>
      <c r="T58" s="365" t="b">
        <f>X58&gt;0</f>
        <v>0</v>
      </c>
      <c r="V58" s="57" t="s">
        <v>264</v>
      </c>
      <c r="X58" s="1075">
        <v>0</v>
      </c>
      <c r="Z58" s="1161"/>
      <c r="AB58" s="174" t="str" cm="1">
        <f t="array" ref="AB58">INDEX('Общие сведения'!$AG$179:$AG$222,MATCH($X58,'Общие сведения'!$Z$179:$Z$222,0))</f>
        <v xml:space="preserve">Тариф 0 () - </v>
      </c>
      <c r="AC58" s="572"/>
      <c r="AD58" s="572"/>
      <c r="AE58" s="572"/>
      <c r="AF58" s="572"/>
      <c r="AG58" s="572"/>
      <c r="AH58" s="572"/>
      <c r="AI58" s="572"/>
      <c r="AJ58" s="572"/>
      <c r="AK58" s="572"/>
      <c r="AL58" s="572"/>
      <c r="AM58" s="572"/>
      <c r="AN58" s="572"/>
      <c r="AO58" s="572"/>
      <c r="AP58" s="572"/>
      <c r="AQ58" s="572"/>
      <c r="AR58" s="572"/>
      <c r="AS58" s="572"/>
      <c r="AT58" s="572"/>
      <c r="AU58" s="572"/>
      <c r="AV58" s="572"/>
      <c r="AW58" s="572"/>
      <c r="AX58" s="572"/>
      <c r="AY58" s="572"/>
      <c r="AZ58" s="572"/>
      <c r="BA58" s="572"/>
      <c r="BB58" s="572"/>
      <c r="BC58" s="572"/>
      <c r="BD58" s="572"/>
      <c r="BE58" s="572"/>
    </row>
    <row r="59" spans="1:60" s="173" customFormat="1" ht="21.95" hidden="1" customHeight="1">
      <c r="B59" s="173" t="b">
        <f t="shared" si="10"/>
        <v>1</v>
      </c>
      <c r="E59" s="512">
        <v>22.5</v>
      </c>
      <c r="F59" s="3" cm="1">
        <f t="array" aca="1" ref="F59" ca="1">OFFSET(E59,-1,1)</f>
        <v>0</v>
      </c>
      <c r="H59" s="57" t="s">
        <v>327</v>
      </c>
      <c r="T59" s="365" t="b" cm="1">
        <f t="array" ref="T59">T58</f>
        <v>0</v>
      </c>
      <c r="X59" s="1160"/>
      <c r="Z59" s="1160"/>
      <c r="AB59" s="150">
        <v>1</v>
      </c>
      <c r="AC59" s="144" t="s">
        <v>1304</v>
      </c>
      <c r="AD59" s="143" t="s">
        <v>804</v>
      </c>
      <c r="AE59" s="145">
        <f t="shared" ref="AE59:BD59" si="11">AE60+AE70+AE74+AE78</f>
        <v>0</v>
      </c>
      <c r="AF59" s="145">
        <f t="shared" si="11"/>
        <v>0</v>
      </c>
      <c r="AG59" s="145">
        <f t="shared" si="11"/>
        <v>0</v>
      </c>
      <c r="AH59" s="145">
        <f t="shared" si="11"/>
        <v>0</v>
      </c>
      <c r="AI59" s="145">
        <f t="shared" si="11"/>
        <v>0</v>
      </c>
      <c r="AJ59" s="145">
        <f t="shared" si="11"/>
        <v>0</v>
      </c>
      <c r="AK59" s="145">
        <f t="shared" si="11"/>
        <v>0</v>
      </c>
      <c r="AL59" s="145">
        <f t="shared" si="11"/>
        <v>0</v>
      </c>
      <c r="AM59" s="145">
        <f t="shared" si="11"/>
        <v>0</v>
      </c>
      <c r="AN59" s="145">
        <f t="shared" si="11"/>
        <v>0</v>
      </c>
      <c r="AO59" s="145">
        <f t="shared" si="11"/>
        <v>0</v>
      </c>
      <c r="AP59" s="145">
        <f t="shared" si="11"/>
        <v>0</v>
      </c>
      <c r="AQ59" s="145">
        <f t="shared" si="11"/>
        <v>0</v>
      </c>
      <c r="AR59" s="145">
        <f t="shared" si="11"/>
        <v>0</v>
      </c>
      <c r="AS59" s="145">
        <f t="shared" si="11"/>
        <v>0</v>
      </c>
      <c r="AT59" s="145">
        <f t="shared" si="11"/>
        <v>0</v>
      </c>
      <c r="AU59" s="145">
        <f t="shared" si="11"/>
        <v>0</v>
      </c>
      <c r="AV59" s="145">
        <f t="shared" si="11"/>
        <v>0</v>
      </c>
      <c r="AW59" s="145">
        <f t="shared" si="11"/>
        <v>0</v>
      </c>
      <c r="AX59" s="145">
        <f t="shared" si="11"/>
        <v>0</v>
      </c>
      <c r="AY59" s="145">
        <f t="shared" si="11"/>
        <v>0</v>
      </c>
      <c r="AZ59" s="145">
        <f t="shared" si="11"/>
        <v>0</v>
      </c>
      <c r="BA59" s="145">
        <f t="shared" si="11"/>
        <v>0</v>
      </c>
      <c r="BB59" s="145">
        <f t="shared" si="11"/>
        <v>0</v>
      </c>
      <c r="BC59" s="145">
        <f t="shared" si="11"/>
        <v>0</v>
      </c>
      <c r="BD59" s="145">
        <f t="shared" si="11"/>
        <v>0</v>
      </c>
      <c r="BE59" s="784"/>
      <c r="BH59" s="697" t="s">
        <v>1305</v>
      </c>
    </row>
    <row r="60" spans="1:60" ht="14.65" hidden="1" customHeight="1">
      <c r="B60" s="62" t="b">
        <f t="shared" si="10"/>
        <v>1</v>
      </c>
      <c r="E60" s="459">
        <v>15</v>
      </c>
      <c r="F60" s="3" cm="1">
        <f t="array" aca="1" ref="F60" ca="1">OFFSET(E60,-1,1)</f>
        <v>0</v>
      </c>
      <c r="H60" s="57" t="s">
        <v>461</v>
      </c>
      <c r="T60" s="365" t="b" cm="1">
        <f t="array" ref="T60">T59</f>
        <v>0</v>
      </c>
      <c r="X60" s="1161"/>
      <c r="Z60" s="1161"/>
      <c r="AB60" s="152" t="s">
        <v>897</v>
      </c>
      <c r="AC60" s="146" t="s">
        <v>1306</v>
      </c>
      <c r="AD60" s="26" t="s">
        <v>804</v>
      </c>
      <c r="AE60" s="190">
        <f t="shared" ref="AE60:BD60" si="12">AE61+AE62+AE63+AE64+AE65</f>
        <v>0</v>
      </c>
      <c r="AF60" s="190">
        <f t="shared" si="12"/>
        <v>0</v>
      </c>
      <c r="AG60" s="190">
        <f t="shared" si="12"/>
        <v>0</v>
      </c>
      <c r="AH60" s="190">
        <f t="shared" si="12"/>
        <v>0</v>
      </c>
      <c r="AI60" s="190">
        <f t="shared" si="12"/>
        <v>0</v>
      </c>
      <c r="AJ60" s="190">
        <f t="shared" si="12"/>
        <v>0</v>
      </c>
      <c r="AK60" s="190">
        <f t="shared" si="12"/>
        <v>0</v>
      </c>
      <c r="AL60" s="190">
        <f t="shared" si="12"/>
        <v>0</v>
      </c>
      <c r="AM60" s="190">
        <f t="shared" si="12"/>
        <v>0</v>
      </c>
      <c r="AN60" s="190">
        <f t="shared" si="12"/>
        <v>0</v>
      </c>
      <c r="AO60" s="190">
        <f t="shared" si="12"/>
        <v>0</v>
      </c>
      <c r="AP60" s="190">
        <f t="shared" si="12"/>
        <v>0</v>
      </c>
      <c r="AQ60" s="190">
        <f t="shared" si="12"/>
        <v>0</v>
      </c>
      <c r="AR60" s="190">
        <f t="shared" si="12"/>
        <v>0</v>
      </c>
      <c r="AS60" s="190">
        <f t="shared" si="12"/>
        <v>0</v>
      </c>
      <c r="AT60" s="190">
        <f t="shared" si="12"/>
        <v>0</v>
      </c>
      <c r="AU60" s="190">
        <f t="shared" si="12"/>
        <v>0</v>
      </c>
      <c r="AV60" s="190">
        <f t="shared" si="12"/>
        <v>0</v>
      </c>
      <c r="AW60" s="190">
        <f t="shared" si="12"/>
        <v>0</v>
      </c>
      <c r="AX60" s="190">
        <f t="shared" si="12"/>
        <v>0</v>
      </c>
      <c r="AY60" s="190">
        <f t="shared" si="12"/>
        <v>0</v>
      </c>
      <c r="AZ60" s="190">
        <f t="shared" si="12"/>
        <v>0</v>
      </c>
      <c r="BA60" s="190">
        <f t="shared" si="12"/>
        <v>0</v>
      </c>
      <c r="BB60" s="190">
        <f t="shared" si="12"/>
        <v>0</v>
      </c>
      <c r="BC60" s="190">
        <f t="shared" si="12"/>
        <v>0</v>
      </c>
      <c r="BD60" s="190">
        <f t="shared" si="12"/>
        <v>0</v>
      </c>
      <c r="BE60" s="784"/>
      <c r="BH60" s="665" t="s">
        <v>1307</v>
      </c>
    </row>
    <row r="61" spans="1:60" ht="14.65" hidden="1" customHeight="1">
      <c r="B61" s="62" t="b">
        <f t="shared" si="10"/>
        <v>1</v>
      </c>
      <c r="E61" s="459">
        <v>15</v>
      </c>
      <c r="F61" s="3" cm="1">
        <f t="array" aca="1" ref="F61" ca="1">OFFSET(E61,-1,1)</f>
        <v>0</v>
      </c>
      <c r="H61" s="57" t="s">
        <v>1004</v>
      </c>
      <c r="T61" s="365" t="b" cm="1">
        <f t="array" ref="T61">T60</f>
        <v>0</v>
      </c>
      <c r="X61" s="1161"/>
      <c r="Z61" s="1161"/>
      <c r="AB61" s="152" t="s">
        <v>1005</v>
      </c>
      <c r="AC61" s="153" t="s">
        <v>1308</v>
      </c>
      <c r="AD61" s="26" t="s">
        <v>804</v>
      </c>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7"/>
      <c r="BC61" s="787"/>
      <c r="BD61" s="787"/>
      <c r="BE61" s="784"/>
      <c r="BH61" s="665" t="s">
        <v>1241</v>
      </c>
    </row>
    <row r="62" spans="1:60" ht="14.65" hidden="1" customHeight="1">
      <c r="B62" s="62" t="b">
        <f t="shared" si="10"/>
        <v>1</v>
      </c>
      <c r="E62" s="459">
        <v>15</v>
      </c>
      <c r="F62" s="3" cm="1">
        <f t="array" aca="1" ref="F62" ca="1">OFFSET(E62,-1,1)</f>
        <v>0</v>
      </c>
      <c r="H62" s="57" t="s">
        <v>1008</v>
      </c>
      <c r="K62" s="59" t="str">
        <f ca="1">F62&amp;"1komm"</f>
        <v>01komm</v>
      </c>
      <c r="L62" s="618" cm="1">
        <f t="array" ref="L62">BE62</f>
        <v>0</v>
      </c>
      <c r="T62" s="365" t="b" cm="1">
        <f t="array" ref="T62">T61</f>
        <v>0</v>
      </c>
      <c r="X62" s="1161"/>
      <c r="Z62" s="1161"/>
      <c r="AB62" s="152" t="s">
        <v>1009</v>
      </c>
      <c r="AC62" s="153" t="s">
        <v>1309</v>
      </c>
      <c r="AD62" s="26" t="s">
        <v>804</v>
      </c>
      <c r="AE62" s="787"/>
      <c r="AF62" s="787"/>
      <c r="AG62" s="787"/>
      <c r="AH62" s="787"/>
      <c r="AI62" s="787"/>
      <c r="AJ62" s="787"/>
      <c r="AK62" s="787"/>
      <c r="AL62" s="787"/>
      <c r="AM62" s="787"/>
      <c r="AN62" s="787"/>
      <c r="AO62" s="787"/>
      <c r="AP62" s="787"/>
      <c r="AQ62" s="787"/>
      <c r="AR62" s="787"/>
      <c r="AS62" s="787"/>
      <c r="AT62" s="787"/>
      <c r="AU62" s="787"/>
      <c r="AV62" s="787"/>
      <c r="AW62" s="787"/>
      <c r="AX62" s="787"/>
      <c r="AY62" s="787"/>
      <c r="AZ62" s="787"/>
      <c r="BA62" s="787"/>
      <c r="BB62" s="787"/>
      <c r="BC62" s="787"/>
      <c r="BD62" s="787"/>
      <c r="BE62" s="784"/>
      <c r="BH62" s="665" t="s">
        <v>1310</v>
      </c>
    </row>
    <row r="63" spans="1:60" ht="14.65" hidden="1" customHeight="1">
      <c r="B63" s="62" t="b">
        <f t="shared" si="10"/>
        <v>1</v>
      </c>
      <c r="E63" s="459">
        <v>15</v>
      </c>
      <c r="F63" s="3" cm="1">
        <f t="array" aca="1" ref="F63" ca="1">OFFSET(E63,-1,1)</f>
        <v>0</v>
      </c>
      <c r="H63" s="57" t="s">
        <v>1311</v>
      </c>
      <c r="T63" s="365" t="b" cm="1">
        <f t="array" ref="T63">T62</f>
        <v>0</v>
      </c>
      <c r="X63" s="1161"/>
      <c r="Z63" s="1161"/>
      <c r="AB63" s="152" t="s">
        <v>1312</v>
      </c>
      <c r="AC63" s="153" t="s">
        <v>1313</v>
      </c>
      <c r="AD63" s="26" t="s">
        <v>804</v>
      </c>
      <c r="AE63" s="787"/>
      <c r="AF63" s="787"/>
      <c r="AG63" s="787"/>
      <c r="AH63" s="787"/>
      <c r="AI63" s="787"/>
      <c r="AJ63" s="787"/>
      <c r="AK63" s="787"/>
      <c r="AL63" s="787"/>
      <c r="AM63" s="787"/>
      <c r="AN63" s="787"/>
      <c r="AO63" s="787"/>
      <c r="AP63" s="787"/>
      <c r="AQ63" s="787"/>
      <c r="AR63" s="787"/>
      <c r="AS63" s="787"/>
      <c r="AT63" s="787"/>
      <c r="AU63" s="787"/>
      <c r="AV63" s="787"/>
      <c r="AW63" s="787"/>
      <c r="AX63" s="787"/>
      <c r="AY63" s="787"/>
      <c r="AZ63" s="787"/>
      <c r="BA63" s="787"/>
      <c r="BB63" s="787"/>
      <c r="BC63" s="787"/>
      <c r="BD63" s="787"/>
      <c r="BE63" s="784"/>
      <c r="BH63" s="665" t="s">
        <v>1314</v>
      </c>
    </row>
    <row r="64" spans="1:60" ht="14.65" hidden="1" customHeight="1">
      <c r="B64" s="62" t="b">
        <f t="shared" si="10"/>
        <v>1</v>
      </c>
      <c r="E64" s="459">
        <v>15</v>
      </c>
      <c r="F64" s="3" cm="1">
        <f t="array" aca="1" ref="F64" ca="1">OFFSET(E64,-1,1)</f>
        <v>0</v>
      </c>
      <c r="H64" s="57" t="s">
        <v>1315</v>
      </c>
      <c r="T64" s="365" t="b" cm="1">
        <f t="array" ref="T64">T63</f>
        <v>0</v>
      </c>
      <c r="X64" s="1161"/>
      <c r="Z64" s="1161"/>
      <c r="AB64" s="152" t="s">
        <v>1316</v>
      </c>
      <c r="AC64" s="153" t="s">
        <v>1317</v>
      </c>
      <c r="AD64" s="26" t="s">
        <v>804</v>
      </c>
      <c r="AE64" s="787"/>
      <c r="AF64" s="787"/>
      <c r="AG64" s="787"/>
      <c r="AH64" s="787"/>
      <c r="AI64" s="787"/>
      <c r="AJ64" s="787"/>
      <c r="AK64" s="787"/>
      <c r="AL64" s="787"/>
      <c r="AM64" s="787"/>
      <c r="AN64" s="787"/>
      <c r="AO64" s="787"/>
      <c r="AP64" s="787"/>
      <c r="AQ64" s="787"/>
      <c r="AR64" s="787"/>
      <c r="AS64" s="787"/>
      <c r="AT64" s="787"/>
      <c r="AU64" s="787"/>
      <c r="AV64" s="787"/>
      <c r="AW64" s="787"/>
      <c r="AX64" s="787"/>
      <c r="AY64" s="787"/>
      <c r="AZ64" s="787"/>
      <c r="BA64" s="787"/>
      <c r="BB64" s="787"/>
      <c r="BC64" s="787"/>
      <c r="BD64" s="787"/>
      <c r="BE64" s="784"/>
      <c r="BH64" s="665" t="s">
        <v>1318</v>
      </c>
    </row>
    <row r="65" spans="2:60" ht="21.95" hidden="1" customHeight="1">
      <c r="B65" s="62" t="b">
        <f t="shared" si="10"/>
        <v>1</v>
      </c>
      <c r="E65" s="459">
        <v>22.5</v>
      </c>
      <c r="F65" s="3" cm="1">
        <f t="array" aca="1" ref="F65" ca="1">OFFSET(E65,-1,1)</f>
        <v>0</v>
      </c>
      <c r="T65" s="365" t="b" cm="1">
        <f t="array" ref="T65">T64</f>
        <v>0</v>
      </c>
      <c r="X65" s="1161"/>
      <c r="Z65" s="1161"/>
      <c r="AB65" s="152" t="s">
        <v>1319</v>
      </c>
      <c r="AC65" s="153" t="s">
        <v>1320</v>
      </c>
      <c r="AD65" s="26" t="s">
        <v>804</v>
      </c>
      <c r="AE65" s="787">
        <f t="shared" ref="AE65:BD65" si="13">AE66+AE67+AE68+AE69</f>
        <v>0</v>
      </c>
      <c r="AF65" s="787">
        <f t="shared" si="13"/>
        <v>0</v>
      </c>
      <c r="AG65" s="787">
        <f t="shared" si="13"/>
        <v>0</v>
      </c>
      <c r="AH65" s="787">
        <f t="shared" si="13"/>
        <v>0</v>
      </c>
      <c r="AI65" s="787">
        <f t="shared" si="13"/>
        <v>0</v>
      </c>
      <c r="AJ65" s="787">
        <f t="shared" si="13"/>
        <v>0</v>
      </c>
      <c r="AK65" s="787">
        <f t="shared" si="13"/>
        <v>0</v>
      </c>
      <c r="AL65" s="787">
        <f t="shared" si="13"/>
        <v>0</v>
      </c>
      <c r="AM65" s="787">
        <f t="shared" si="13"/>
        <v>0</v>
      </c>
      <c r="AN65" s="787">
        <f t="shared" si="13"/>
        <v>0</v>
      </c>
      <c r="AO65" s="787">
        <f t="shared" si="13"/>
        <v>0</v>
      </c>
      <c r="AP65" s="787">
        <f t="shared" si="13"/>
        <v>0</v>
      </c>
      <c r="AQ65" s="787">
        <f t="shared" si="13"/>
        <v>0</v>
      </c>
      <c r="AR65" s="787">
        <f t="shared" si="13"/>
        <v>0</v>
      </c>
      <c r="AS65" s="787">
        <f t="shared" si="13"/>
        <v>0</v>
      </c>
      <c r="AT65" s="787">
        <f t="shared" si="13"/>
        <v>0</v>
      </c>
      <c r="AU65" s="787">
        <f t="shared" si="13"/>
        <v>0</v>
      </c>
      <c r="AV65" s="787">
        <f t="shared" si="13"/>
        <v>0</v>
      </c>
      <c r="AW65" s="787">
        <f t="shared" si="13"/>
        <v>0</v>
      </c>
      <c r="AX65" s="787">
        <f t="shared" si="13"/>
        <v>0</v>
      </c>
      <c r="AY65" s="787">
        <f t="shared" si="13"/>
        <v>0</v>
      </c>
      <c r="AZ65" s="787">
        <f t="shared" si="13"/>
        <v>0</v>
      </c>
      <c r="BA65" s="787">
        <f t="shared" si="13"/>
        <v>0</v>
      </c>
      <c r="BB65" s="787">
        <f t="shared" si="13"/>
        <v>0</v>
      </c>
      <c r="BC65" s="787">
        <f t="shared" si="13"/>
        <v>0</v>
      </c>
      <c r="BD65" s="787">
        <f t="shared" si="13"/>
        <v>0</v>
      </c>
      <c r="BE65" s="784"/>
      <c r="BH65" s="665" t="s">
        <v>1321</v>
      </c>
    </row>
    <row r="66" spans="2:60" ht="44.65" hidden="1" customHeight="1">
      <c r="B66" s="62" t="b">
        <f t="shared" si="10"/>
        <v>1</v>
      </c>
      <c r="E66" s="459">
        <v>45.75</v>
      </c>
      <c r="F66" s="3" cm="1">
        <f t="array" aca="1" ref="F66" ca="1">OFFSET(E66,-1,1)</f>
        <v>0</v>
      </c>
      <c r="T66" s="365" t="b" cm="1">
        <f t="array" ref="T66">T65</f>
        <v>0</v>
      </c>
      <c r="X66" s="1161"/>
      <c r="Z66" s="1161"/>
      <c r="AB66" s="152" t="s">
        <v>1322</v>
      </c>
      <c r="AC66" s="553" t="s">
        <v>1323</v>
      </c>
      <c r="AD66" s="26" t="s">
        <v>804</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787"/>
      <c r="BD66" s="787"/>
      <c r="BE66" s="784"/>
      <c r="BH66" s="665" t="s">
        <v>1324</v>
      </c>
    </row>
    <row r="67" spans="2:60" ht="44.65" hidden="1" customHeight="1">
      <c r="B67" s="62" t="b">
        <f t="shared" si="10"/>
        <v>1</v>
      </c>
      <c r="E67" s="459">
        <v>45.75</v>
      </c>
      <c r="F67" s="3" cm="1">
        <f t="array" aca="1" ref="F67" ca="1">OFFSET(E67,-1,1)</f>
        <v>0</v>
      </c>
      <c r="T67" s="365" t="b" cm="1">
        <f t="array" ref="T67">T66</f>
        <v>0</v>
      </c>
      <c r="X67" s="1161"/>
      <c r="Z67" s="1161"/>
      <c r="AB67" s="152" t="s">
        <v>1325</v>
      </c>
      <c r="AC67" s="553" t="s">
        <v>1326</v>
      </c>
      <c r="AD67" s="26" t="s">
        <v>804</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787"/>
      <c r="BD67" s="787"/>
      <c r="BE67" s="784"/>
      <c r="BH67" s="665" t="s">
        <v>1327</v>
      </c>
    </row>
    <row r="68" spans="2:60" ht="44.65" hidden="1" customHeight="1">
      <c r="B68" s="62" t="b">
        <f t="shared" si="10"/>
        <v>1</v>
      </c>
      <c r="E68" s="459">
        <v>45.75</v>
      </c>
      <c r="F68" s="3" cm="1">
        <f t="array" aca="1" ref="F68" ca="1">OFFSET(E68,-1,1)</f>
        <v>0</v>
      </c>
      <c r="T68" s="365" t="b" cm="1">
        <f t="array" ref="T68">T67</f>
        <v>0</v>
      </c>
      <c r="X68" s="1161"/>
      <c r="Z68" s="1161"/>
      <c r="AB68" s="152" t="s">
        <v>1328</v>
      </c>
      <c r="AC68" s="553" t="s">
        <v>1329</v>
      </c>
      <c r="AD68" s="26" t="s">
        <v>804</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787"/>
      <c r="BD68" s="787"/>
      <c r="BE68" s="784"/>
      <c r="BH68" s="665" t="s">
        <v>1330</v>
      </c>
    </row>
    <row r="69" spans="2:60" ht="21.95" hidden="1" customHeight="1">
      <c r="B69" s="62" t="b">
        <f t="shared" si="10"/>
        <v>1</v>
      </c>
      <c r="E69" s="459">
        <v>22.5</v>
      </c>
      <c r="F69" s="3" cm="1">
        <f t="array" aca="1" ref="F69" ca="1">OFFSET(E69,-1,1)</f>
        <v>0</v>
      </c>
      <c r="T69" s="365" t="b" cm="1">
        <f t="array" ref="T69">T68</f>
        <v>0</v>
      </c>
      <c r="X69" s="1161"/>
      <c r="Z69" s="1161"/>
      <c r="AB69" s="152" t="s">
        <v>1331</v>
      </c>
      <c r="AC69" s="553" t="s">
        <v>1332</v>
      </c>
      <c r="AD69" s="26" t="s">
        <v>804</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787"/>
      <c r="BD69" s="787"/>
      <c r="BE69" s="784"/>
      <c r="BH69" s="665" t="s">
        <v>1333</v>
      </c>
    </row>
    <row r="70" spans="2:60" ht="14.65" hidden="1" customHeight="1">
      <c r="B70" s="62" t="b">
        <f t="shared" si="10"/>
        <v>1</v>
      </c>
      <c r="E70" s="459">
        <v>15</v>
      </c>
      <c r="F70" s="3" cm="1">
        <f t="array" aca="1" ref="F70" ca="1">OFFSET(E70,-1,1)</f>
        <v>0</v>
      </c>
      <c r="H70" s="57" t="s">
        <v>465</v>
      </c>
      <c r="T70" s="365" t="b" cm="1">
        <f t="array" ref="T70">T69</f>
        <v>0</v>
      </c>
      <c r="X70" s="1161"/>
      <c r="Z70" s="1161"/>
      <c r="AB70" s="152" t="s">
        <v>900</v>
      </c>
      <c r="AC70" s="146" t="s">
        <v>1334</v>
      </c>
      <c r="AD70" s="26" t="s">
        <v>804</v>
      </c>
      <c r="AE70" s="190">
        <f t="shared" ref="AE70:BD70" si="14">AE71+AE72+AE73</f>
        <v>0</v>
      </c>
      <c r="AF70" s="190">
        <f t="shared" si="14"/>
        <v>0</v>
      </c>
      <c r="AG70" s="190">
        <f t="shared" si="14"/>
        <v>0</v>
      </c>
      <c r="AH70" s="190">
        <f t="shared" si="14"/>
        <v>0</v>
      </c>
      <c r="AI70" s="190">
        <f t="shared" si="14"/>
        <v>0</v>
      </c>
      <c r="AJ70" s="190">
        <f t="shared" si="14"/>
        <v>0</v>
      </c>
      <c r="AK70" s="190">
        <f t="shared" si="14"/>
        <v>0</v>
      </c>
      <c r="AL70" s="190">
        <f t="shared" si="14"/>
        <v>0</v>
      </c>
      <c r="AM70" s="190">
        <f t="shared" si="14"/>
        <v>0</v>
      </c>
      <c r="AN70" s="190">
        <f t="shared" si="14"/>
        <v>0</v>
      </c>
      <c r="AO70" s="190">
        <f t="shared" si="14"/>
        <v>0</v>
      </c>
      <c r="AP70" s="190">
        <f t="shared" si="14"/>
        <v>0</v>
      </c>
      <c r="AQ70" s="190">
        <f t="shared" si="14"/>
        <v>0</v>
      </c>
      <c r="AR70" s="190">
        <f t="shared" si="14"/>
        <v>0</v>
      </c>
      <c r="AS70" s="190">
        <f t="shared" si="14"/>
        <v>0</v>
      </c>
      <c r="AT70" s="190">
        <f t="shared" si="14"/>
        <v>0</v>
      </c>
      <c r="AU70" s="190">
        <f t="shared" si="14"/>
        <v>0</v>
      </c>
      <c r="AV70" s="190">
        <f t="shared" si="14"/>
        <v>0</v>
      </c>
      <c r="AW70" s="190">
        <f t="shared" si="14"/>
        <v>0</v>
      </c>
      <c r="AX70" s="190">
        <f t="shared" si="14"/>
        <v>0</v>
      </c>
      <c r="AY70" s="190">
        <f t="shared" si="14"/>
        <v>0</v>
      </c>
      <c r="AZ70" s="190">
        <f t="shared" si="14"/>
        <v>0</v>
      </c>
      <c r="BA70" s="190">
        <f t="shared" si="14"/>
        <v>0</v>
      </c>
      <c r="BB70" s="190">
        <f t="shared" si="14"/>
        <v>0</v>
      </c>
      <c r="BC70" s="190">
        <f t="shared" si="14"/>
        <v>0</v>
      </c>
      <c r="BD70" s="190">
        <f t="shared" si="14"/>
        <v>0</v>
      </c>
      <c r="BE70" s="784"/>
      <c r="BH70" s="665" t="s">
        <v>1335</v>
      </c>
    </row>
    <row r="71" spans="2:60" ht="14.65" hidden="1" customHeight="1">
      <c r="B71" s="62" t="b">
        <f t="shared" si="10"/>
        <v>1</v>
      </c>
      <c r="E71" s="459">
        <v>15</v>
      </c>
      <c r="F71" s="3" cm="1">
        <f t="array" aca="1" ref="F71" ca="1">OFFSET(E71,-1,1)</f>
        <v>0</v>
      </c>
      <c r="H71" s="57" t="s">
        <v>1336</v>
      </c>
      <c r="T71" s="365" t="b" cm="1">
        <f t="array" ref="T71">T70</f>
        <v>0</v>
      </c>
      <c r="X71" s="1161"/>
      <c r="Z71" s="1161"/>
      <c r="AB71" s="152" t="s">
        <v>1337</v>
      </c>
      <c r="AC71" s="153" t="s">
        <v>1338</v>
      </c>
      <c r="AD71" s="26" t="s">
        <v>804</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787"/>
      <c r="BD71" s="787"/>
      <c r="BE71" s="784"/>
      <c r="BH71" s="665" t="s">
        <v>1262</v>
      </c>
    </row>
    <row r="72" spans="2:60" ht="14.65" hidden="1" customHeight="1">
      <c r="B72" s="62" t="b">
        <f t="shared" si="10"/>
        <v>1</v>
      </c>
      <c r="E72" s="459">
        <v>15</v>
      </c>
      <c r="F72" s="3" cm="1">
        <f t="array" aca="1" ref="F72" ca="1">OFFSET(E72,-1,1)</f>
        <v>0</v>
      </c>
      <c r="H72" s="57" t="s">
        <v>1339</v>
      </c>
      <c r="T72" s="365" t="b" cm="1">
        <f t="array" ref="T72">T71</f>
        <v>0</v>
      </c>
      <c r="X72" s="1161"/>
      <c r="Z72" s="1161"/>
      <c r="AB72" s="152" t="s">
        <v>1340</v>
      </c>
      <c r="AC72" s="153" t="s">
        <v>1341</v>
      </c>
      <c r="AD72" s="26" t="s">
        <v>804</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787"/>
      <c r="BD72" s="787"/>
      <c r="BE72" s="784"/>
      <c r="BH72" s="665" t="s">
        <v>1342</v>
      </c>
    </row>
    <row r="73" spans="2:60" ht="14.65" hidden="1" customHeight="1">
      <c r="B73" s="62" t="b">
        <f t="shared" si="10"/>
        <v>1</v>
      </c>
      <c r="E73" s="459">
        <v>15</v>
      </c>
      <c r="F73" s="3" cm="1">
        <f t="array" aca="1" ref="F73" ca="1">OFFSET(E73,-1,1)</f>
        <v>0</v>
      </c>
      <c r="H73" s="57" t="s">
        <v>1343</v>
      </c>
      <c r="T73" s="365" t="b" cm="1">
        <f t="array" ref="T73">T72</f>
        <v>0</v>
      </c>
      <c r="X73" s="1161"/>
      <c r="Z73" s="1161"/>
      <c r="AB73" s="152" t="s">
        <v>1344</v>
      </c>
      <c r="AC73" s="153" t="s">
        <v>1345</v>
      </c>
      <c r="AD73" s="26" t="s">
        <v>804</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787"/>
      <c r="BD73" s="787"/>
      <c r="BE73" s="784"/>
      <c r="BH73" s="665" t="s">
        <v>1346</v>
      </c>
    </row>
    <row r="74" spans="2:60" ht="14.65" hidden="1" customHeight="1">
      <c r="B74" s="62" t="b">
        <f t="shared" si="10"/>
        <v>1</v>
      </c>
      <c r="E74" s="459">
        <v>15</v>
      </c>
      <c r="F74" s="3" cm="1">
        <f t="array" aca="1" ref="F74" ca="1">OFFSET(E74,-1,1)</f>
        <v>0</v>
      </c>
      <c r="H74" s="57" t="s">
        <v>468</v>
      </c>
      <c r="T74" s="365" t="b" cm="1">
        <f t="array" ref="T74">T73</f>
        <v>0</v>
      </c>
      <c r="X74" s="1161"/>
      <c r="Z74" s="1161"/>
      <c r="AB74" s="152" t="s">
        <v>903</v>
      </c>
      <c r="AC74" s="146" t="s">
        <v>1347</v>
      </c>
      <c r="AD74" s="26" t="s">
        <v>804</v>
      </c>
      <c r="AE74" s="190">
        <f t="shared" ref="AE74:BD74" si="15">AE75+AE76+AE77</f>
        <v>0</v>
      </c>
      <c r="AF74" s="190">
        <f t="shared" si="15"/>
        <v>0</v>
      </c>
      <c r="AG74" s="190">
        <f t="shared" si="15"/>
        <v>0</v>
      </c>
      <c r="AH74" s="190">
        <f t="shared" si="15"/>
        <v>0</v>
      </c>
      <c r="AI74" s="190">
        <f t="shared" si="15"/>
        <v>0</v>
      </c>
      <c r="AJ74" s="190">
        <f t="shared" si="15"/>
        <v>0</v>
      </c>
      <c r="AK74" s="190">
        <f t="shared" si="15"/>
        <v>0</v>
      </c>
      <c r="AL74" s="190">
        <f t="shared" si="15"/>
        <v>0</v>
      </c>
      <c r="AM74" s="190">
        <f t="shared" si="15"/>
        <v>0</v>
      </c>
      <c r="AN74" s="190">
        <f t="shared" si="15"/>
        <v>0</v>
      </c>
      <c r="AO74" s="190">
        <f t="shared" si="15"/>
        <v>0</v>
      </c>
      <c r="AP74" s="190">
        <f t="shared" si="15"/>
        <v>0</v>
      </c>
      <c r="AQ74" s="190">
        <f t="shared" si="15"/>
        <v>0</v>
      </c>
      <c r="AR74" s="190">
        <f t="shared" si="15"/>
        <v>0</v>
      </c>
      <c r="AS74" s="190">
        <f t="shared" si="15"/>
        <v>0</v>
      </c>
      <c r="AT74" s="190">
        <f t="shared" si="15"/>
        <v>0</v>
      </c>
      <c r="AU74" s="190">
        <f t="shared" si="15"/>
        <v>0</v>
      </c>
      <c r="AV74" s="190">
        <f t="shared" si="15"/>
        <v>0</v>
      </c>
      <c r="AW74" s="190">
        <f t="shared" si="15"/>
        <v>0</v>
      </c>
      <c r="AX74" s="190">
        <f t="shared" si="15"/>
        <v>0</v>
      </c>
      <c r="AY74" s="190">
        <f t="shared" si="15"/>
        <v>0</v>
      </c>
      <c r="AZ74" s="190">
        <f t="shared" si="15"/>
        <v>0</v>
      </c>
      <c r="BA74" s="190">
        <f t="shared" si="15"/>
        <v>0</v>
      </c>
      <c r="BB74" s="190">
        <f t="shared" si="15"/>
        <v>0</v>
      </c>
      <c r="BC74" s="190">
        <f t="shared" si="15"/>
        <v>0</v>
      </c>
      <c r="BD74" s="190">
        <f t="shared" si="15"/>
        <v>0</v>
      </c>
      <c r="BE74" s="784"/>
      <c r="BH74" s="665" t="s">
        <v>1348</v>
      </c>
    </row>
    <row r="75" spans="2:60" ht="14.65" hidden="1" customHeight="1">
      <c r="B75" s="62" t="b">
        <f t="shared" si="10"/>
        <v>1</v>
      </c>
      <c r="E75" s="459">
        <v>15</v>
      </c>
      <c r="F75" s="3" cm="1">
        <f t="array" aca="1" ref="F75" ca="1">OFFSET(E75,-1,1)</f>
        <v>0</v>
      </c>
      <c r="H75" s="57" t="s">
        <v>1349</v>
      </c>
      <c r="T75" s="365" t="b" cm="1">
        <f t="array" ref="T75">T74</f>
        <v>0</v>
      </c>
      <c r="X75" s="1161"/>
      <c r="Z75" s="1161"/>
      <c r="AB75" s="152" t="s">
        <v>1350</v>
      </c>
      <c r="AC75" s="153" t="s">
        <v>1351</v>
      </c>
      <c r="AD75" s="26" t="s">
        <v>804</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787"/>
      <c r="BD75" s="787"/>
      <c r="BE75" s="784"/>
      <c r="BH75" s="665" t="s">
        <v>1352</v>
      </c>
    </row>
    <row r="76" spans="2:60" ht="14.65" hidden="1" customHeight="1">
      <c r="B76" s="62" t="b">
        <f t="shared" si="10"/>
        <v>1</v>
      </c>
      <c r="E76" s="459">
        <v>15</v>
      </c>
      <c r="F76" s="3" cm="1">
        <f t="array" aca="1" ref="F76" ca="1">OFFSET(E76,-1,1)</f>
        <v>0</v>
      </c>
      <c r="H76" s="57" t="s">
        <v>1353</v>
      </c>
      <c r="T76" s="365" t="b" cm="1">
        <f t="array" ref="T76">T75</f>
        <v>0</v>
      </c>
      <c r="X76" s="1161"/>
      <c r="Z76" s="1161"/>
      <c r="AB76" s="152" t="s">
        <v>1354</v>
      </c>
      <c r="AC76" s="153" t="s">
        <v>1355</v>
      </c>
      <c r="AD76" s="26" t="s">
        <v>804</v>
      </c>
      <c r="AE76" s="787"/>
      <c r="AF76" s="787"/>
      <c r="AG76" s="787"/>
      <c r="AH76" s="787"/>
      <c r="AI76" s="787"/>
      <c r="AJ76" s="787"/>
      <c r="AK76" s="787"/>
      <c r="AL76" s="787"/>
      <c r="AM76" s="787"/>
      <c r="AN76" s="787"/>
      <c r="AO76" s="787"/>
      <c r="AP76" s="787"/>
      <c r="AQ76" s="787"/>
      <c r="AR76" s="787"/>
      <c r="AS76" s="787"/>
      <c r="AT76" s="787"/>
      <c r="AU76" s="787"/>
      <c r="AV76" s="787"/>
      <c r="AW76" s="787"/>
      <c r="AX76" s="787"/>
      <c r="AY76" s="787"/>
      <c r="AZ76" s="787"/>
      <c r="BA76" s="787"/>
      <c r="BB76" s="787"/>
      <c r="BC76" s="787"/>
      <c r="BD76" s="787"/>
      <c r="BE76" s="784"/>
      <c r="BH76" s="665" t="s">
        <v>1356</v>
      </c>
    </row>
    <row r="77" spans="2:60" ht="14.65" hidden="1" customHeight="1">
      <c r="B77" s="62" t="b">
        <f t="shared" si="10"/>
        <v>1</v>
      </c>
      <c r="E77" s="459">
        <v>15</v>
      </c>
      <c r="F77" s="3" cm="1">
        <f t="array" aca="1" ref="F77" ca="1">OFFSET(E77,-1,1)</f>
        <v>0</v>
      </c>
      <c r="H77" s="57" t="s">
        <v>1357</v>
      </c>
      <c r="T77" s="365" t="b" cm="1">
        <f t="array" ref="T77">T76</f>
        <v>0</v>
      </c>
      <c r="X77" s="1161"/>
      <c r="Z77" s="1161"/>
      <c r="AB77" s="152" t="s">
        <v>1358</v>
      </c>
      <c r="AC77" s="153" t="s">
        <v>1359</v>
      </c>
      <c r="AD77" s="26" t="s">
        <v>804</v>
      </c>
      <c r="AE77" s="787"/>
      <c r="AF77" s="787"/>
      <c r="AG77" s="787"/>
      <c r="AH77" s="787"/>
      <c r="AI77" s="787"/>
      <c r="AJ77" s="787"/>
      <c r="AK77" s="787"/>
      <c r="AL77" s="787"/>
      <c r="AM77" s="787"/>
      <c r="AN77" s="787"/>
      <c r="AO77" s="787"/>
      <c r="AP77" s="787"/>
      <c r="AQ77" s="787"/>
      <c r="AR77" s="787"/>
      <c r="AS77" s="787"/>
      <c r="AT77" s="787"/>
      <c r="AU77" s="787"/>
      <c r="AV77" s="787"/>
      <c r="AW77" s="787"/>
      <c r="AX77" s="787"/>
      <c r="AY77" s="787"/>
      <c r="AZ77" s="787"/>
      <c r="BA77" s="787"/>
      <c r="BB77" s="787"/>
      <c r="BC77" s="787"/>
      <c r="BD77" s="787"/>
      <c r="BE77" s="784"/>
      <c r="BH77" s="665" t="s">
        <v>1360</v>
      </c>
    </row>
    <row r="78" spans="2:60" ht="14.65" hidden="1" customHeight="1">
      <c r="B78" s="62" t="b">
        <f t="shared" si="10"/>
        <v>1</v>
      </c>
      <c r="E78" s="459">
        <v>15</v>
      </c>
      <c r="F78" s="3" cm="1">
        <f t="array" aca="1" ref="F78" ca="1">OFFSET(E78,-1,1)</f>
        <v>0</v>
      </c>
      <c r="H78" s="57" t="s">
        <v>472</v>
      </c>
      <c r="T78" s="365" t="b" cm="1">
        <f t="array" ref="T78">T77</f>
        <v>0</v>
      </c>
      <c r="X78" s="1161"/>
      <c r="Z78" s="1161"/>
      <c r="AB78" s="152" t="s">
        <v>906</v>
      </c>
      <c r="AC78" s="146" t="s">
        <v>1361</v>
      </c>
      <c r="AD78" s="26" t="s">
        <v>804</v>
      </c>
      <c r="AE78" s="190">
        <f t="shared" ref="AE78:BD78" si="16">AE79+AE80+AE81+AE82</f>
        <v>0</v>
      </c>
      <c r="AF78" s="190">
        <f t="shared" si="16"/>
        <v>0</v>
      </c>
      <c r="AG78" s="190">
        <f t="shared" si="16"/>
        <v>0</v>
      </c>
      <c r="AH78" s="190">
        <f t="shared" si="16"/>
        <v>0</v>
      </c>
      <c r="AI78" s="190">
        <f t="shared" si="16"/>
        <v>0</v>
      </c>
      <c r="AJ78" s="190">
        <f t="shared" si="16"/>
        <v>0</v>
      </c>
      <c r="AK78" s="190">
        <f t="shared" si="16"/>
        <v>0</v>
      </c>
      <c r="AL78" s="190">
        <f t="shared" si="16"/>
        <v>0</v>
      </c>
      <c r="AM78" s="190">
        <f t="shared" si="16"/>
        <v>0</v>
      </c>
      <c r="AN78" s="190">
        <f t="shared" si="16"/>
        <v>0</v>
      </c>
      <c r="AO78" s="190">
        <f t="shared" si="16"/>
        <v>0</v>
      </c>
      <c r="AP78" s="190">
        <f t="shared" si="16"/>
        <v>0</v>
      </c>
      <c r="AQ78" s="190">
        <f t="shared" si="16"/>
        <v>0</v>
      </c>
      <c r="AR78" s="190">
        <f t="shared" si="16"/>
        <v>0</v>
      </c>
      <c r="AS78" s="190">
        <f t="shared" si="16"/>
        <v>0</v>
      </c>
      <c r="AT78" s="190">
        <f t="shared" si="16"/>
        <v>0</v>
      </c>
      <c r="AU78" s="190">
        <f t="shared" si="16"/>
        <v>0</v>
      </c>
      <c r="AV78" s="190">
        <f t="shared" si="16"/>
        <v>0</v>
      </c>
      <c r="AW78" s="190">
        <f t="shared" si="16"/>
        <v>0</v>
      </c>
      <c r="AX78" s="190">
        <f t="shared" si="16"/>
        <v>0</v>
      </c>
      <c r="AY78" s="190">
        <f t="shared" si="16"/>
        <v>0</v>
      </c>
      <c r="AZ78" s="190">
        <f t="shared" si="16"/>
        <v>0</v>
      </c>
      <c r="BA78" s="190">
        <f t="shared" si="16"/>
        <v>0</v>
      </c>
      <c r="BB78" s="190">
        <f t="shared" si="16"/>
        <v>0</v>
      </c>
      <c r="BC78" s="190">
        <f t="shared" si="16"/>
        <v>0</v>
      </c>
      <c r="BD78" s="190">
        <f t="shared" si="16"/>
        <v>0</v>
      </c>
      <c r="BE78" s="784"/>
      <c r="BH78" s="665" t="s">
        <v>1362</v>
      </c>
    </row>
    <row r="79" spans="2:60" ht="14.65" hidden="1" customHeight="1">
      <c r="B79" s="62" t="b">
        <f t="shared" si="10"/>
        <v>1</v>
      </c>
      <c r="E79" s="459">
        <v>15</v>
      </c>
      <c r="F79" s="3" cm="1">
        <f t="array" aca="1" ref="F79" ca="1">OFFSET(E79,-1,1)</f>
        <v>0</v>
      </c>
      <c r="H79" s="57" t="s">
        <v>1363</v>
      </c>
      <c r="T79" s="365" t="b" cm="1">
        <f t="array" ref="T79">T78</f>
        <v>0</v>
      </c>
      <c r="X79" s="1161"/>
      <c r="Z79" s="1161"/>
      <c r="AB79" s="152" t="s">
        <v>1021</v>
      </c>
      <c r="AC79" s="153" t="s">
        <v>1015</v>
      </c>
      <c r="AD79" s="26" t="s">
        <v>804</v>
      </c>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7"/>
      <c r="BA79" s="787"/>
      <c r="BB79" s="787"/>
      <c r="BC79" s="787"/>
      <c r="BD79" s="787"/>
      <c r="BE79" s="784"/>
      <c r="BH79" s="665" t="s">
        <v>1017</v>
      </c>
    </row>
    <row r="80" spans="2:60" ht="21.95" hidden="1" customHeight="1">
      <c r="B80" s="62" t="b">
        <f t="shared" si="10"/>
        <v>1</v>
      </c>
      <c r="E80" s="459">
        <v>22.5</v>
      </c>
      <c r="F80" s="3" cm="1">
        <f t="array" aca="1" ref="F80" ca="1">OFFSET(E80,-1,1)</f>
        <v>0</v>
      </c>
      <c r="H80" s="57" t="s">
        <v>1364</v>
      </c>
      <c r="T80" s="365" t="b" cm="1">
        <f t="array" ref="T80">T79</f>
        <v>0</v>
      </c>
      <c r="X80" s="1161"/>
      <c r="Z80" s="1161"/>
      <c r="AB80" s="152" t="s">
        <v>1024</v>
      </c>
      <c r="AC80" s="153" t="s">
        <v>1365</v>
      </c>
      <c r="AD80" s="26" t="s">
        <v>804</v>
      </c>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7"/>
      <c r="BA80" s="787"/>
      <c r="BB80" s="787"/>
      <c r="BC80" s="787"/>
      <c r="BD80" s="787"/>
      <c r="BE80" s="784"/>
      <c r="BH80" s="665" t="s">
        <v>1366</v>
      </c>
    </row>
    <row r="81" spans="1:60" ht="21.95" hidden="1" customHeight="1">
      <c r="B81" s="62" t="b">
        <f t="shared" si="10"/>
        <v>1</v>
      </c>
      <c r="E81" s="459">
        <v>22.5</v>
      </c>
      <c r="F81" s="3" cm="1">
        <f t="array" aca="1" ref="F81" ca="1">OFFSET(E81,-1,1)</f>
        <v>0</v>
      </c>
      <c r="H81" s="57" t="s">
        <v>1367</v>
      </c>
      <c r="T81" s="365" t="b" cm="1">
        <f t="array" ref="T81">T80</f>
        <v>0</v>
      </c>
      <c r="X81" s="1161"/>
      <c r="Z81" s="1161"/>
      <c r="AB81" s="152" t="s">
        <v>1368</v>
      </c>
      <c r="AC81" s="153" t="s">
        <v>1369</v>
      </c>
      <c r="AD81" s="26" t="s">
        <v>804</v>
      </c>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7"/>
      <c r="BA81" s="787"/>
      <c r="BB81" s="787"/>
      <c r="BC81" s="787"/>
      <c r="BD81" s="787"/>
      <c r="BE81" s="784"/>
      <c r="BH81" s="665" t="s">
        <v>1370</v>
      </c>
    </row>
    <row r="82" spans="1:60" ht="14.65" hidden="1" customHeight="1">
      <c r="B82" s="62" t="b">
        <f t="shared" si="10"/>
        <v>1</v>
      </c>
      <c r="E82" s="459">
        <v>15</v>
      </c>
      <c r="F82" s="3" cm="1">
        <f t="array" aca="1" ref="F82" ca="1">OFFSET(E82,-1,1)</f>
        <v>0</v>
      </c>
      <c r="H82" s="57" t="s">
        <v>1371</v>
      </c>
      <c r="T82" s="365" t="b" cm="1">
        <f t="array" ref="T82">T81</f>
        <v>0</v>
      </c>
      <c r="X82" s="1161"/>
      <c r="Z82" s="1161"/>
      <c r="AB82" s="152" t="s">
        <v>1372</v>
      </c>
      <c r="AC82" s="153" t="s">
        <v>1373</v>
      </c>
      <c r="AD82" s="26" t="s">
        <v>804</v>
      </c>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7"/>
      <c r="BA82" s="787"/>
      <c r="BB82" s="787"/>
      <c r="BC82" s="787"/>
      <c r="BD82" s="787"/>
      <c r="BE82" s="784"/>
      <c r="BH82" s="665" t="s">
        <v>1374</v>
      </c>
    </row>
    <row r="83" spans="1:60" s="173" customFormat="1" ht="21.95" hidden="1" customHeight="1">
      <c r="B83" s="173" t="b">
        <f t="shared" si="10"/>
        <v>1</v>
      </c>
      <c r="E83" s="512">
        <v>22.5</v>
      </c>
      <c r="F83" s="3" cm="1">
        <f t="array" aca="1" ref="F83" ca="1">OFFSET(E83,-1,1)</f>
        <v>0</v>
      </c>
      <c r="H83" s="57" t="s">
        <v>328</v>
      </c>
      <c r="T83" s="365" t="b" cm="1">
        <f t="array" ref="T83">T82</f>
        <v>0</v>
      </c>
      <c r="X83" s="1160"/>
      <c r="Z83" s="1160"/>
      <c r="AB83" s="150" t="s">
        <v>285</v>
      </c>
      <c r="AC83" s="151" t="s">
        <v>1375</v>
      </c>
      <c r="AD83" s="143" t="s">
        <v>804</v>
      </c>
      <c r="AE83" s="145">
        <f t="shared" ref="AE83:BD83" si="17">AE84+AE85+AE86</f>
        <v>0</v>
      </c>
      <c r="AF83" s="145">
        <f t="shared" si="17"/>
        <v>0</v>
      </c>
      <c r="AG83" s="145">
        <f t="shared" si="17"/>
        <v>0</v>
      </c>
      <c r="AH83" s="145">
        <f t="shared" si="17"/>
        <v>0</v>
      </c>
      <c r="AI83" s="145">
        <f t="shared" si="17"/>
        <v>0</v>
      </c>
      <c r="AJ83" s="145">
        <f t="shared" si="17"/>
        <v>0</v>
      </c>
      <c r="AK83" s="145">
        <f t="shared" si="17"/>
        <v>0</v>
      </c>
      <c r="AL83" s="145">
        <f t="shared" si="17"/>
        <v>0</v>
      </c>
      <c r="AM83" s="145">
        <f t="shared" si="17"/>
        <v>0</v>
      </c>
      <c r="AN83" s="145">
        <f t="shared" si="17"/>
        <v>0</v>
      </c>
      <c r="AO83" s="145">
        <f t="shared" si="17"/>
        <v>0</v>
      </c>
      <c r="AP83" s="145">
        <f t="shared" si="17"/>
        <v>0</v>
      </c>
      <c r="AQ83" s="145">
        <f t="shared" si="17"/>
        <v>0</v>
      </c>
      <c r="AR83" s="145">
        <f t="shared" si="17"/>
        <v>0</v>
      </c>
      <c r="AS83" s="145">
        <f t="shared" si="17"/>
        <v>0</v>
      </c>
      <c r="AT83" s="145">
        <f t="shared" si="17"/>
        <v>0</v>
      </c>
      <c r="AU83" s="145">
        <f t="shared" si="17"/>
        <v>0</v>
      </c>
      <c r="AV83" s="145">
        <f t="shared" si="17"/>
        <v>0</v>
      </c>
      <c r="AW83" s="145">
        <f t="shared" si="17"/>
        <v>0</v>
      </c>
      <c r="AX83" s="145">
        <f t="shared" si="17"/>
        <v>0</v>
      </c>
      <c r="AY83" s="145">
        <f t="shared" si="17"/>
        <v>0</v>
      </c>
      <c r="AZ83" s="145">
        <f t="shared" si="17"/>
        <v>0</v>
      </c>
      <c r="BA83" s="145">
        <f t="shared" si="17"/>
        <v>0</v>
      </c>
      <c r="BB83" s="145">
        <f t="shared" si="17"/>
        <v>0</v>
      </c>
      <c r="BC83" s="145">
        <f t="shared" si="17"/>
        <v>0</v>
      </c>
      <c r="BD83" s="145">
        <f t="shared" si="17"/>
        <v>0</v>
      </c>
      <c r="BE83" s="784"/>
      <c r="BH83" s="697" t="s">
        <v>1376</v>
      </c>
    </row>
    <row r="84" spans="1:60" ht="14.65" hidden="1" customHeight="1">
      <c r="B84" s="62" t="b">
        <f t="shared" si="10"/>
        <v>1</v>
      </c>
      <c r="E84" s="459">
        <v>15</v>
      </c>
      <c r="F84" s="3" cm="1">
        <f t="array" aca="1" ref="F84" ca="1">OFFSET(E84,-1,1)</f>
        <v>0</v>
      </c>
      <c r="H84" s="57" t="s">
        <v>479</v>
      </c>
      <c r="K84" s="59" t="str">
        <f ca="1">F84&amp;"2komm"</f>
        <v>02komm</v>
      </c>
      <c r="L84" s="59" cm="1">
        <f t="array" ref="L84">BE84</f>
        <v>0</v>
      </c>
      <c r="T84" s="365" t="b" cm="1">
        <f t="array" ref="T84">T83</f>
        <v>0</v>
      </c>
      <c r="X84" s="1161"/>
      <c r="Z84" s="1161"/>
      <c r="AB84" s="152" t="s">
        <v>537</v>
      </c>
      <c r="AC84" s="146" t="s">
        <v>1377</v>
      </c>
      <c r="AD84" s="26" t="s">
        <v>804</v>
      </c>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7"/>
      <c r="BA84" s="787"/>
      <c r="BB84" s="787"/>
      <c r="BC84" s="787"/>
      <c r="BD84" s="787"/>
      <c r="BE84" s="784"/>
      <c r="BH84" s="665" t="s">
        <v>1378</v>
      </c>
    </row>
    <row r="85" spans="1:60" ht="14.65" hidden="1" customHeight="1">
      <c r="B85" s="62" t="b">
        <f t="shared" si="10"/>
        <v>1</v>
      </c>
      <c r="E85" s="459">
        <v>15</v>
      </c>
      <c r="F85" s="3" cm="1">
        <f t="array" aca="1" ref="F85" ca="1">OFFSET(E85,-1,1)</f>
        <v>0</v>
      </c>
      <c r="H85" s="57" t="s">
        <v>482</v>
      </c>
      <c r="K85" s="59" t="str">
        <f ca="1">F85&amp;"3komm"</f>
        <v>03komm</v>
      </c>
      <c r="L85" s="59" cm="1">
        <f t="array" ref="L85">BE85</f>
        <v>0</v>
      </c>
      <c r="T85" s="365" t="b" cm="1">
        <f t="array" ref="T85">T84</f>
        <v>0</v>
      </c>
      <c r="X85" s="1161"/>
      <c r="Z85" s="1161"/>
      <c r="AB85" s="152" t="s">
        <v>541</v>
      </c>
      <c r="AC85" s="146" t="s">
        <v>1379</v>
      </c>
      <c r="AD85" s="26" t="s">
        <v>804</v>
      </c>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787"/>
      <c r="BE85" s="784"/>
      <c r="BH85" s="665" t="s">
        <v>1380</v>
      </c>
    </row>
    <row r="86" spans="1:60" ht="14.65" hidden="1" customHeight="1">
      <c r="B86" s="62" t="b">
        <f t="shared" si="10"/>
        <v>1</v>
      </c>
      <c r="E86" s="459">
        <v>15</v>
      </c>
      <c r="F86" s="3" cm="1">
        <f t="array" aca="1" ref="F86" ca="1">OFFSET(E86,-1,1)</f>
        <v>0</v>
      </c>
      <c r="H86" s="57" t="s">
        <v>917</v>
      </c>
      <c r="T86" s="365" t="b" cm="1">
        <f t="array" ref="T86">T85</f>
        <v>0</v>
      </c>
      <c r="X86" s="1161"/>
      <c r="Z86" s="1161"/>
      <c r="AB86" s="152" t="s">
        <v>545</v>
      </c>
      <c r="AC86" s="146" t="s">
        <v>1381</v>
      </c>
      <c r="AD86" s="26" t="s">
        <v>804</v>
      </c>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787"/>
      <c r="BE86" s="784"/>
      <c r="BH86" s="665" t="s">
        <v>1382</v>
      </c>
    </row>
    <row r="87" spans="1:60" ht="14.25" customHeight="1">
      <c r="B87" s="57" t="b">
        <f t="shared" si="10"/>
        <v>1</v>
      </c>
      <c r="E87" s="459">
        <v>15</v>
      </c>
      <c r="F87" s="36" t="str" cm="1">
        <f t="array" ref="F87">X87</f>
        <v>1</v>
      </c>
      <c r="T87" s="365" t="b">
        <f>X87&gt;0</f>
        <v>1</v>
      </c>
      <c r="V87" s="57" t="str" cm="1">
        <f t="array" ref="V87">Налоги!$AB$41</f>
        <v>Тариф 1 (Водоснабжение) - тариф на питьевую воду (Доп. признак не требуется)</v>
      </c>
      <c r="X87" s="1075" t="s">
        <v>275</v>
      </c>
      <c r="Z87" s="1065"/>
      <c r="AB87" s="174" t="str" cm="1">
        <f t="array" ref="AB87">Налоги!$AB$41</f>
        <v>Тариф 1 (Водоснабжение) - тариф на питьевую воду (Доп. признак не требуется)</v>
      </c>
      <c r="AC87" s="572"/>
      <c r="AD87" s="572"/>
      <c r="AE87" s="572"/>
      <c r="AF87" s="572"/>
      <c r="AG87" s="572"/>
      <c r="AH87" s="572"/>
      <c r="AI87" s="572"/>
      <c r="AJ87" s="572"/>
      <c r="AK87" s="572"/>
      <c r="AL87" s="572"/>
      <c r="AM87" s="572"/>
      <c r="AN87" s="572"/>
      <c r="AO87" s="572"/>
      <c r="AP87" s="572"/>
      <c r="AQ87" s="572"/>
      <c r="AR87" s="572"/>
      <c r="AS87" s="572"/>
      <c r="AT87" s="572"/>
      <c r="AU87" s="572"/>
      <c r="AV87" s="572"/>
      <c r="AW87" s="572"/>
      <c r="AX87" s="572"/>
      <c r="AY87" s="572"/>
      <c r="AZ87" s="572"/>
      <c r="BA87" s="572"/>
      <c r="BB87" s="572"/>
      <c r="BC87" s="572"/>
      <c r="BD87" s="572"/>
      <c r="BE87" s="572"/>
    </row>
    <row r="88" spans="1:60" s="935" customFormat="1" ht="21.75" customHeight="1">
      <c r="A88" s="173"/>
      <c r="B88" s="57" t="b">
        <f t="shared" si="10"/>
        <v>1</v>
      </c>
      <c r="C88" s="173"/>
      <c r="D88" s="173"/>
      <c r="E88" s="512">
        <v>22.5</v>
      </c>
      <c r="F88" s="3" t="str" cm="1">
        <f t="array" aca="1" ref="F88" ca="1">OFFSET(E88,-1,1)</f>
        <v>1</v>
      </c>
      <c r="G88" s="57"/>
      <c r="H88" s="57" t="s">
        <v>327</v>
      </c>
      <c r="I88" s="173"/>
      <c r="J88" s="173"/>
      <c r="K88" s="173"/>
      <c r="L88" s="173"/>
      <c r="M88" s="173"/>
      <c r="N88" s="173"/>
      <c r="O88" s="173"/>
      <c r="P88" s="173"/>
      <c r="Q88" s="173"/>
      <c r="R88" s="173"/>
      <c r="S88" s="173"/>
      <c r="T88" s="365" t="b" cm="1">
        <f t="array" ref="T88">T87</f>
        <v>1</v>
      </c>
      <c r="U88" s="173"/>
      <c r="V88" s="173"/>
      <c r="W88" s="173"/>
      <c r="X88" s="1075"/>
      <c r="Y88" s="173"/>
      <c r="Z88" s="1065"/>
      <c r="AA88" s="173"/>
      <c r="AB88" s="150">
        <v>1</v>
      </c>
      <c r="AC88" s="144" t="s">
        <v>1304</v>
      </c>
      <c r="AD88" s="143" t="s">
        <v>804</v>
      </c>
      <c r="AE88" s="145">
        <f t="shared" ref="AE88:BD88" si="18">AE89+AE99+AE103+AE107</f>
        <v>0</v>
      </c>
      <c r="AF88" s="145">
        <f t="shared" si="18"/>
        <v>0</v>
      </c>
      <c r="AG88" s="145">
        <f t="shared" si="18"/>
        <v>0</v>
      </c>
      <c r="AH88" s="145">
        <f t="shared" si="18"/>
        <v>0</v>
      </c>
      <c r="AI88" s="145">
        <f t="shared" si="18"/>
        <v>0</v>
      </c>
      <c r="AJ88" s="145">
        <f t="shared" si="18"/>
        <v>0</v>
      </c>
      <c r="AK88" s="145">
        <f t="shared" si="18"/>
        <v>0</v>
      </c>
      <c r="AL88" s="145">
        <f t="shared" si="18"/>
        <v>0</v>
      </c>
      <c r="AM88" s="145">
        <f t="shared" si="18"/>
        <v>0</v>
      </c>
      <c r="AN88" s="145">
        <f t="shared" si="18"/>
        <v>0</v>
      </c>
      <c r="AO88" s="145">
        <f t="shared" si="18"/>
        <v>0</v>
      </c>
      <c r="AP88" s="145">
        <f t="shared" si="18"/>
        <v>0</v>
      </c>
      <c r="AQ88" s="145">
        <f t="shared" si="18"/>
        <v>0</v>
      </c>
      <c r="AR88" s="145">
        <f t="shared" si="18"/>
        <v>0</v>
      </c>
      <c r="AS88" s="145">
        <f t="shared" si="18"/>
        <v>0</v>
      </c>
      <c r="AT88" s="145">
        <f t="shared" si="18"/>
        <v>0</v>
      </c>
      <c r="AU88" s="145">
        <f t="shared" si="18"/>
        <v>0</v>
      </c>
      <c r="AV88" s="145">
        <f t="shared" si="18"/>
        <v>0</v>
      </c>
      <c r="AW88" s="145">
        <f t="shared" si="18"/>
        <v>0</v>
      </c>
      <c r="AX88" s="145">
        <f t="shared" si="18"/>
        <v>0</v>
      </c>
      <c r="AY88" s="145">
        <f t="shared" si="18"/>
        <v>0</v>
      </c>
      <c r="AZ88" s="145">
        <f t="shared" si="18"/>
        <v>0</v>
      </c>
      <c r="BA88" s="145">
        <f t="shared" si="18"/>
        <v>0</v>
      </c>
      <c r="BB88" s="145">
        <f t="shared" si="18"/>
        <v>0</v>
      </c>
      <c r="BC88" s="145">
        <f t="shared" si="18"/>
        <v>0</v>
      </c>
      <c r="BD88" s="145">
        <f t="shared" si="18"/>
        <v>0</v>
      </c>
      <c r="BE88" s="215"/>
      <c r="BF88" s="173"/>
      <c r="BG88" s="173"/>
      <c r="BH88" s="697" t="s">
        <v>1305</v>
      </c>
    </row>
    <row r="89" spans="1:60" ht="14.25" customHeight="1">
      <c r="B89" s="57" t="b">
        <f t="shared" si="10"/>
        <v>1</v>
      </c>
      <c r="E89" s="459">
        <v>15</v>
      </c>
      <c r="F89" s="3" t="str" cm="1">
        <f t="array" aca="1" ref="F89" ca="1">OFFSET(E89,-1,1)</f>
        <v>1</v>
      </c>
      <c r="H89" s="57" t="s">
        <v>461</v>
      </c>
      <c r="T89" s="365" t="b" cm="1">
        <f t="array" ref="T89">T88</f>
        <v>1</v>
      </c>
      <c r="X89" s="1075"/>
      <c r="Z89" s="1065"/>
      <c r="AB89" s="152" t="s">
        <v>897</v>
      </c>
      <c r="AC89" s="146" t="s">
        <v>1306</v>
      </c>
      <c r="AD89" s="26" t="s">
        <v>804</v>
      </c>
      <c r="AE89" s="190">
        <f t="shared" ref="AE89:BD89" si="19">AE90+AE91+AE92+AE93+AE94</f>
        <v>0</v>
      </c>
      <c r="AF89" s="190">
        <f t="shared" si="19"/>
        <v>0</v>
      </c>
      <c r="AG89" s="190">
        <f t="shared" si="19"/>
        <v>0</v>
      </c>
      <c r="AH89" s="190">
        <f t="shared" si="19"/>
        <v>0</v>
      </c>
      <c r="AI89" s="190">
        <f t="shared" si="19"/>
        <v>0</v>
      </c>
      <c r="AJ89" s="190">
        <f t="shared" si="19"/>
        <v>0</v>
      </c>
      <c r="AK89" s="190">
        <f t="shared" si="19"/>
        <v>0</v>
      </c>
      <c r="AL89" s="190">
        <f t="shared" si="19"/>
        <v>0</v>
      </c>
      <c r="AM89" s="190">
        <f t="shared" si="19"/>
        <v>0</v>
      </c>
      <c r="AN89" s="190">
        <f t="shared" si="19"/>
        <v>0</v>
      </c>
      <c r="AO89" s="190">
        <f t="shared" si="19"/>
        <v>0</v>
      </c>
      <c r="AP89" s="190">
        <f t="shared" si="19"/>
        <v>0</v>
      </c>
      <c r="AQ89" s="190">
        <f t="shared" si="19"/>
        <v>0</v>
      </c>
      <c r="AR89" s="190">
        <f t="shared" si="19"/>
        <v>0</v>
      </c>
      <c r="AS89" s="190">
        <f t="shared" si="19"/>
        <v>0</v>
      </c>
      <c r="AT89" s="190">
        <f t="shared" si="19"/>
        <v>0</v>
      </c>
      <c r="AU89" s="190">
        <f t="shared" si="19"/>
        <v>0</v>
      </c>
      <c r="AV89" s="190">
        <f t="shared" si="19"/>
        <v>0</v>
      </c>
      <c r="AW89" s="190">
        <f t="shared" si="19"/>
        <v>0</v>
      </c>
      <c r="AX89" s="190">
        <f t="shared" si="19"/>
        <v>0</v>
      </c>
      <c r="AY89" s="190">
        <f t="shared" si="19"/>
        <v>0</v>
      </c>
      <c r="AZ89" s="190">
        <f t="shared" si="19"/>
        <v>0</v>
      </c>
      <c r="BA89" s="190">
        <f t="shared" si="19"/>
        <v>0</v>
      </c>
      <c r="BB89" s="190">
        <f t="shared" si="19"/>
        <v>0</v>
      </c>
      <c r="BC89" s="190">
        <f t="shared" si="19"/>
        <v>0</v>
      </c>
      <c r="BD89" s="190">
        <f t="shared" si="19"/>
        <v>0</v>
      </c>
      <c r="BE89" s="215"/>
      <c r="BH89" s="665" t="s">
        <v>1307</v>
      </c>
    </row>
    <row r="90" spans="1:60" ht="14.25" customHeight="1">
      <c r="B90" s="57" t="b">
        <f t="shared" ref="B90:B121" si="20">InvestmentSources_is_one_block="нет"</f>
        <v>1</v>
      </c>
      <c r="E90" s="459">
        <v>15</v>
      </c>
      <c r="F90" s="3" t="str" cm="1">
        <f t="array" aca="1" ref="F90" ca="1">OFFSET(E90,-1,1)</f>
        <v>1</v>
      </c>
      <c r="H90" s="57" t="s">
        <v>1004</v>
      </c>
      <c r="T90" s="365" t="b" cm="1">
        <f t="array" ref="T90">T89</f>
        <v>1</v>
      </c>
      <c r="X90" s="1075"/>
      <c r="Z90" s="1065"/>
      <c r="AB90" s="152" t="s">
        <v>1005</v>
      </c>
      <c r="AC90" s="153" t="s">
        <v>1308</v>
      </c>
      <c r="AD90" s="26" t="s">
        <v>804</v>
      </c>
      <c r="AE90" s="147"/>
      <c r="AF90" s="147"/>
      <c r="AG90" s="147"/>
      <c r="AH90" s="147"/>
      <c r="AI90" s="147"/>
      <c r="AJ90" s="147"/>
      <c r="AK90" s="147"/>
      <c r="AL90" s="787"/>
      <c r="AM90" s="787"/>
      <c r="AN90" s="787"/>
      <c r="AO90" s="787"/>
      <c r="AP90" s="787"/>
      <c r="AQ90" s="787"/>
      <c r="AR90" s="787"/>
      <c r="AS90" s="787"/>
      <c r="AT90" s="787"/>
      <c r="AU90" s="147"/>
      <c r="AV90" s="787"/>
      <c r="AW90" s="787"/>
      <c r="AX90" s="787"/>
      <c r="AY90" s="787"/>
      <c r="AZ90" s="787"/>
      <c r="BA90" s="787"/>
      <c r="BB90" s="787"/>
      <c r="BC90" s="787"/>
      <c r="BD90" s="787"/>
      <c r="BE90" s="215"/>
      <c r="BH90" s="665" t="s">
        <v>1241</v>
      </c>
    </row>
    <row r="91" spans="1:60" ht="14.25" customHeight="1">
      <c r="B91" s="57" t="b">
        <f t="shared" si="20"/>
        <v>1</v>
      </c>
      <c r="E91" s="459">
        <v>15</v>
      </c>
      <c r="F91" s="3" t="str" cm="1">
        <f t="array" aca="1" ref="F91" ca="1">OFFSET(E91,-1,1)</f>
        <v>1</v>
      </c>
      <c r="H91" s="57" t="s">
        <v>1008</v>
      </c>
      <c r="K91" s="59" t="str">
        <f ca="1">F91&amp;"1komm"</f>
        <v>11komm</v>
      </c>
      <c r="L91" s="618" cm="1">
        <f t="array" ref="L91">BE91</f>
        <v>0</v>
      </c>
      <c r="T91" s="365" t="b" cm="1">
        <f t="array" ref="T91">T90</f>
        <v>1</v>
      </c>
      <c r="X91" s="1075"/>
      <c r="Z91" s="1065"/>
      <c r="AB91" s="152" t="s">
        <v>1009</v>
      </c>
      <c r="AC91" s="153" t="s">
        <v>1309</v>
      </c>
      <c r="AD91" s="26" t="s">
        <v>804</v>
      </c>
      <c r="AE91" s="147"/>
      <c r="AF91" s="147"/>
      <c r="AG91" s="147"/>
      <c r="AH91" s="147"/>
      <c r="AI91" s="147"/>
      <c r="AJ91" s="147"/>
      <c r="AK91" s="147"/>
      <c r="AL91" s="787"/>
      <c r="AM91" s="787"/>
      <c r="AN91" s="787"/>
      <c r="AO91" s="787"/>
      <c r="AP91" s="787"/>
      <c r="AQ91" s="787"/>
      <c r="AR91" s="787"/>
      <c r="AS91" s="787"/>
      <c r="AT91" s="787"/>
      <c r="AU91" s="147"/>
      <c r="AV91" s="787"/>
      <c r="AW91" s="787"/>
      <c r="AX91" s="787"/>
      <c r="AY91" s="787"/>
      <c r="AZ91" s="787"/>
      <c r="BA91" s="787"/>
      <c r="BB91" s="787"/>
      <c r="BC91" s="787"/>
      <c r="BD91" s="787"/>
      <c r="BE91" s="215"/>
      <c r="BH91" s="665" t="s">
        <v>1310</v>
      </c>
    </row>
    <row r="92" spans="1:60" ht="14.25" customHeight="1">
      <c r="B92" s="57" t="b">
        <f t="shared" si="20"/>
        <v>1</v>
      </c>
      <c r="E92" s="459">
        <v>15</v>
      </c>
      <c r="F92" s="3" t="str" cm="1">
        <f t="array" aca="1" ref="F92" ca="1">OFFSET(E92,-1,1)</f>
        <v>1</v>
      </c>
      <c r="H92" s="57" t="s">
        <v>1311</v>
      </c>
      <c r="T92" s="365" t="b" cm="1">
        <f t="array" ref="T92">T91</f>
        <v>1</v>
      </c>
      <c r="X92" s="1075"/>
      <c r="Z92" s="1065"/>
      <c r="AB92" s="152" t="s">
        <v>1312</v>
      </c>
      <c r="AC92" s="153" t="s">
        <v>1313</v>
      </c>
      <c r="AD92" s="26" t="s">
        <v>804</v>
      </c>
      <c r="AE92" s="147"/>
      <c r="AF92" s="147"/>
      <c r="AG92" s="147"/>
      <c r="AH92" s="147"/>
      <c r="AI92" s="147"/>
      <c r="AJ92" s="147"/>
      <c r="AK92" s="147"/>
      <c r="AL92" s="787"/>
      <c r="AM92" s="787"/>
      <c r="AN92" s="787"/>
      <c r="AO92" s="787"/>
      <c r="AP92" s="787"/>
      <c r="AQ92" s="787"/>
      <c r="AR92" s="787"/>
      <c r="AS92" s="787"/>
      <c r="AT92" s="787"/>
      <c r="AU92" s="147"/>
      <c r="AV92" s="787"/>
      <c r="AW92" s="787"/>
      <c r="AX92" s="787"/>
      <c r="AY92" s="787"/>
      <c r="AZ92" s="787"/>
      <c r="BA92" s="787"/>
      <c r="BB92" s="787"/>
      <c r="BC92" s="787"/>
      <c r="BD92" s="787"/>
      <c r="BE92" s="215"/>
      <c r="BH92" s="665" t="s">
        <v>1314</v>
      </c>
    </row>
    <row r="93" spans="1:60" ht="14.25" customHeight="1">
      <c r="B93" s="57" t="b">
        <f t="shared" si="20"/>
        <v>1</v>
      </c>
      <c r="E93" s="459">
        <v>15</v>
      </c>
      <c r="F93" s="3" t="str" cm="1">
        <f t="array" aca="1" ref="F93" ca="1">OFFSET(E93,-1,1)</f>
        <v>1</v>
      </c>
      <c r="H93" s="57" t="s">
        <v>1315</v>
      </c>
      <c r="T93" s="365" t="b" cm="1">
        <f t="array" ref="T93">T92</f>
        <v>1</v>
      </c>
      <c r="X93" s="1075"/>
      <c r="Z93" s="1065"/>
      <c r="AB93" s="152" t="s">
        <v>1316</v>
      </c>
      <c r="AC93" s="153" t="s">
        <v>1317</v>
      </c>
      <c r="AD93" s="26" t="s">
        <v>804</v>
      </c>
      <c r="AE93" s="147"/>
      <c r="AF93" s="147"/>
      <c r="AG93" s="147"/>
      <c r="AH93" s="147"/>
      <c r="AI93" s="147"/>
      <c r="AJ93" s="147"/>
      <c r="AK93" s="147"/>
      <c r="AL93" s="787"/>
      <c r="AM93" s="787"/>
      <c r="AN93" s="787"/>
      <c r="AO93" s="787"/>
      <c r="AP93" s="787"/>
      <c r="AQ93" s="787"/>
      <c r="AR93" s="787"/>
      <c r="AS93" s="787"/>
      <c r="AT93" s="787"/>
      <c r="AU93" s="147"/>
      <c r="AV93" s="787"/>
      <c r="AW93" s="787"/>
      <c r="AX93" s="787"/>
      <c r="AY93" s="787"/>
      <c r="AZ93" s="787"/>
      <c r="BA93" s="787"/>
      <c r="BB93" s="787"/>
      <c r="BC93" s="787"/>
      <c r="BD93" s="787"/>
      <c r="BE93" s="215"/>
      <c r="BH93" s="665" t="s">
        <v>1318</v>
      </c>
    </row>
    <row r="94" spans="1:60" ht="21.75" customHeight="1">
      <c r="B94" s="57" t="b">
        <f t="shared" si="20"/>
        <v>1</v>
      </c>
      <c r="E94" s="459">
        <v>22.5</v>
      </c>
      <c r="F94" s="3" t="str" cm="1">
        <f t="array" aca="1" ref="F94" ca="1">OFFSET(E94,-1,1)</f>
        <v>1</v>
      </c>
      <c r="T94" s="365" t="b" cm="1">
        <f t="array" ref="T94">T93</f>
        <v>1</v>
      </c>
      <c r="X94" s="1075"/>
      <c r="Z94" s="1065"/>
      <c r="AB94" s="152" t="s">
        <v>1319</v>
      </c>
      <c r="AC94" s="153" t="s">
        <v>1320</v>
      </c>
      <c r="AD94" s="26" t="s">
        <v>804</v>
      </c>
      <c r="AE94" s="147">
        <f t="shared" ref="AE94:BD94" si="21">AE95+AE96+AE97+AE98</f>
        <v>0</v>
      </c>
      <c r="AF94" s="147">
        <f t="shared" si="21"/>
        <v>0</v>
      </c>
      <c r="AG94" s="147">
        <f t="shared" si="21"/>
        <v>0</v>
      </c>
      <c r="AH94" s="147">
        <f t="shared" si="21"/>
        <v>0</v>
      </c>
      <c r="AI94" s="147">
        <f t="shared" si="21"/>
        <v>0</v>
      </c>
      <c r="AJ94" s="147">
        <f t="shared" si="21"/>
        <v>0</v>
      </c>
      <c r="AK94" s="147">
        <f t="shared" si="21"/>
        <v>0</v>
      </c>
      <c r="AL94" s="787">
        <f t="shared" si="21"/>
        <v>0</v>
      </c>
      <c r="AM94" s="787">
        <f t="shared" si="21"/>
        <v>0</v>
      </c>
      <c r="AN94" s="787">
        <f t="shared" si="21"/>
        <v>0</v>
      </c>
      <c r="AO94" s="787">
        <f t="shared" si="21"/>
        <v>0</v>
      </c>
      <c r="AP94" s="787">
        <f t="shared" si="21"/>
        <v>0</v>
      </c>
      <c r="AQ94" s="787">
        <f t="shared" si="21"/>
        <v>0</v>
      </c>
      <c r="AR94" s="787">
        <f t="shared" si="21"/>
        <v>0</v>
      </c>
      <c r="AS94" s="787">
        <f t="shared" si="21"/>
        <v>0</v>
      </c>
      <c r="AT94" s="787">
        <f t="shared" si="21"/>
        <v>0</v>
      </c>
      <c r="AU94" s="147">
        <f t="shared" si="21"/>
        <v>0</v>
      </c>
      <c r="AV94" s="787">
        <f t="shared" si="21"/>
        <v>0</v>
      </c>
      <c r="AW94" s="787">
        <f t="shared" si="21"/>
        <v>0</v>
      </c>
      <c r="AX94" s="787">
        <f t="shared" si="21"/>
        <v>0</v>
      </c>
      <c r="AY94" s="787">
        <f t="shared" si="21"/>
        <v>0</v>
      </c>
      <c r="AZ94" s="787">
        <f t="shared" si="21"/>
        <v>0</v>
      </c>
      <c r="BA94" s="787">
        <f t="shared" si="21"/>
        <v>0</v>
      </c>
      <c r="BB94" s="787">
        <f t="shared" si="21"/>
        <v>0</v>
      </c>
      <c r="BC94" s="787">
        <f t="shared" si="21"/>
        <v>0</v>
      </c>
      <c r="BD94" s="787">
        <f t="shared" si="21"/>
        <v>0</v>
      </c>
      <c r="BE94" s="215"/>
      <c r="BH94" s="665" t="s">
        <v>1321</v>
      </c>
    </row>
    <row r="95" spans="1:60" ht="44.25" customHeight="1">
      <c r="B95" s="57" t="b">
        <f t="shared" si="20"/>
        <v>1</v>
      </c>
      <c r="E95" s="459">
        <v>45.75</v>
      </c>
      <c r="F95" s="3" t="str" cm="1">
        <f t="array" aca="1" ref="F95" ca="1">OFFSET(E95,-1,1)</f>
        <v>1</v>
      </c>
      <c r="T95" s="365" t="b" cm="1">
        <f t="array" ref="T95">T94</f>
        <v>1</v>
      </c>
      <c r="X95" s="1075"/>
      <c r="Z95" s="1065"/>
      <c r="AB95" s="152" t="s">
        <v>1322</v>
      </c>
      <c r="AC95" s="553" t="s">
        <v>1323</v>
      </c>
      <c r="AD95" s="26" t="s">
        <v>804</v>
      </c>
      <c r="AE95" s="147"/>
      <c r="AF95" s="147"/>
      <c r="AG95" s="147"/>
      <c r="AH95" s="147"/>
      <c r="AI95" s="147"/>
      <c r="AJ95" s="147"/>
      <c r="AK95" s="147"/>
      <c r="AL95" s="787"/>
      <c r="AM95" s="787"/>
      <c r="AN95" s="787"/>
      <c r="AO95" s="787"/>
      <c r="AP95" s="787"/>
      <c r="AQ95" s="787"/>
      <c r="AR95" s="787"/>
      <c r="AS95" s="787"/>
      <c r="AT95" s="787"/>
      <c r="AU95" s="147"/>
      <c r="AV95" s="787"/>
      <c r="AW95" s="787"/>
      <c r="AX95" s="787"/>
      <c r="AY95" s="787"/>
      <c r="AZ95" s="787"/>
      <c r="BA95" s="787"/>
      <c r="BB95" s="787"/>
      <c r="BC95" s="787"/>
      <c r="BD95" s="787"/>
      <c r="BE95" s="215"/>
      <c r="BH95" s="665" t="s">
        <v>1324</v>
      </c>
    </row>
    <row r="96" spans="1:60" ht="44.25" customHeight="1">
      <c r="B96" s="57" t="b">
        <f t="shared" si="20"/>
        <v>1</v>
      </c>
      <c r="E96" s="459">
        <v>45.75</v>
      </c>
      <c r="F96" s="3" t="str" cm="1">
        <f t="array" aca="1" ref="F96" ca="1">OFFSET(E96,-1,1)</f>
        <v>1</v>
      </c>
      <c r="T96" s="365" t="b" cm="1">
        <f t="array" ref="T96">T95</f>
        <v>1</v>
      </c>
      <c r="X96" s="1075"/>
      <c r="Z96" s="1065"/>
      <c r="AB96" s="152" t="s">
        <v>1325</v>
      </c>
      <c r="AC96" s="553" t="s">
        <v>1326</v>
      </c>
      <c r="AD96" s="26" t="s">
        <v>804</v>
      </c>
      <c r="AE96" s="147"/>
      <c r="AF96" s="147"/>
      <c r="AG96" s="147"/>
      <c r="AH96" s="147"/>
      <c r="AI96" s="147"/>
      <c r="AJ96" s="147"/>
      <c r="AK96" s="147"/>
      <c r="AL96" s="787"/>
      <c r="AM96" s="787"/>
      <c r="AN96" s="787"/>
      <c r="AO96" s="787"/>
      <c r="AP96" s="787"/>
      <c r="AQ96" s="787"/>
      <c r="AR96" s="787"/>
      <c r="AS96" s="787"/>
      <c r="AT96" s="787"/>
      <c r="AU96" s="147"/>
      <c r="AV96" s="787"/>
      <c r="AW96" s="787"/>
      <c r="AX96" s="787"/>
      <c r="AY96" s="787"/>
      <c r="AZ96" s="787"/>
      <c r="BA96" s="787"/>
      <c r="BB96" s="787"/>
      <c r="BC96" s="787"/>
      <c r="BD96" s="787"/>
      <c r="BE96" s="215"/>
      <c r="BH96" s="665" t="s">
        <v>1327</v>
      </c>
    </row>
    <row r="97" spans="1:60" ht="44.25" customHeight="1">
      <c r="B97" s="57" t="b">
        <f t="shared" si="20"/>
        <v>1</v>
      </c>
      <c r="E97" s="459">
        <v>45.75</v>
      </c>
      <c r="F97" s="3" t="str" cm="1">
        <f t="array" aca="1" ref="F97" ca="1">OFFSET(E97,-1,1)</f>
        <v>1</v>
      </c>
      <c r="T97" s="365" t="b" cm="1">
        <f t="array" ref="T97">T96</f>
        <v>1</v>
      </c>
      <c r="X97" s="1075"/>
      <c r="Z97" s="1065"/>
      <c r="AB97" s="152" t="s">
        <v>1328</v>
      </c>
      <c r="AC97" s="553" t="s">
        <v>1329</v>
      </c>
      <c r="AD97" s="26" t="s">
        <v>804</v>
      </c>
      <c r="AE97" s="147"/>
      <c r="AF97" s="147"/>
      <c r="AG97" s="147"/>
      <c r="AH97" s="147"/>
      <c r="AI97" s="147"/>
      <c r="AJ97" s="147"/>
      <c r="AK97" s="147"/>
      <c r="AL97" s="787"/>
      <c r="AM97" s="787"/>
      <c r="AN97" s="787"/>
      <c r="AO97" s="787"/>
      <c r="AP97" s="787"/>
      <c r="AQ97" s="787"/>
      <c r="AR97" s="787"/>
      <c r="AS97" s="787"/>
      <c r="AT97" s="787"/>
      <c r="AU97" s="147"/>
      <c r="AV97" s="787"/>
      <c r="AW97" s="787"/>
      <c r="AX97" s="787"/>
      <c r="AY97" s="787"/>
      <c r="AZ97" s="787"/>
      <c r="BA97" s="787"/>
      <c r="BB97" s="787"/>
      <c r="BC97" s="787"/>
      <c r="BD97" s="787"/>
      <c r="BE97" s="215"/>
      <c r="BH97" s="665" t="s">
        <v>1330</v>
      </c>
    </row>
    <row r="98" spans="1:60" ht="21.75" customHeight="1">
      <c r="B98" s="57" t="b">
        <f t="shared" si="20"/>
        <v>1</v>
      </c>
      <c r="E98" s="459">
        <v>22.5</v>
      </c>
      <c r="F98" s="3" t="str" cm="1">
        <f t="array" aca="1" ref="F98" ca="1">OFFSET(E98,-1,1)</f>
        <v>1</v>
      </c>
      <c r="T98" s="365" t="b" cm="1">
        <f t="array" ref="T98">T97</f>
        <v>1</v>
      </c>
      <c r="X98" s="1075"/>
      <c r="Z98" s="1065"/>
      <c r="AB98" s="152" t="s">
        <v>1331</v>
      </c>
      <c r="AC98" s="553" t="s">
        <v>1332</v>
      </c>
      <c r="AD98" s="26" t="s">
        <v>804</v>
      </c>
      <c r="AE98" s="147"/>
      <c r="AF98" s="147"/>
      <c r="AG98" s="147"/>
      <c r="AH98" s="147"/>
      <c r="AI98" s="147"/>
      <c r="AJ98" s="147"/>
      <c r="AK98" s="147"/>
      <c r="AL98" s="787"/>
      <c r="AM98" s="787"/>
      <c r="AN98" s="787"/>
      <c r="AO98" s="787"/>
      <c r="AP98" s="787"/>
      <c r="AQ98" s="787"/>
      <c r="AR98" s="787"/>
      <c r="AS98" s="787"/>
      <c r="AT98" s="787"/>
      <c r="AU98" s="147"/>
      <c r="AV98" s="787"/>
      <c r="AW98" s="787"/>
      <c r="AX98" s="787"/>
      <c r="AY98" s="787"/>
      <c r="AZ98" s="787"/>
      <c r="BA98" s="787"/>
      <c r="BB98" s="787"/>
      <c r="BC98" s="787"/>
      <c r="BD98" s="787"/>
      <c r="BE98" s="215"/>
      <c r="BH98" s="665" t="s">
        <v>1333</v>
      </c>
    </row>
    <row r="99" spans="1:60" ht="14.25" customHeight="1">
      <c r="B99" s="57" t="b">
        <f t="shared" si="20"/>
        <v>1</v>
      </c>
      <c r="E99" s="459">
        <v>15</v>
      </c>
      <c r="F99" s="3" t="str" cm="1">
        <f t="array" aca="1" ref="F99" ca="1">OFFSET(E99,-1,1)</f>
        <v>1</v>
      </c>
      <c r="H99" s="57" t="s">
        <v>465</v>
      </c>
      <c r="T99" s="365" t="b" cm="1">
        <f t="array" ref="T99">T98</f>
        <v>1</v>
      </c>
      <c r="X99" s="1075"/>
      <c r="Z99" s="1065"/>
      <c r="AB99" s="152" t="s">
        <v>900</v>
      </c>
      <c r="AC99" s="146" t="s">
        <v>1334</v>
      </c>
      <c r="AD99" s="26" t="s">
        <v>804</v>
      </c>
      <c r="AE99" s="190">
        <f t="shared" ref="AE99:BD99" si="22">AE100+AE101+AE102</f>
        <v>0</v>
      </c>
      <c r="AF99" s="190">
        <f t="shared" si="22"/>
        <v>0</v>
      </c>
      <c r="AG99" s="190">
        <f t="shared" si="22"/>
        <v>0</v>
      </c>
      <c r="AH99" s="190">
        <f t="shared" si="22"/>
        <v>0</v>
      </c>
      <c r="AI99" s="190">
        <f t="shared" si="22"/>
        <v>0</v>
      </c>
      <c r="AJ99" s="190">
        <f t="shared" si="22"/>
        <v>0</v>
      </c>
      <c r="AK99" s="190">
        <f t="shared" si="22"/>
        <v>0</v>
      </c>
      <c r="AL99" s="190">
        <f t="shared" si="22"/>
        <v>0</v>
      </c>
      <c r="AM99" s="190">
        <f t="shared" si="22"/>
        <v>0</v>
      </c>
      <c r="AN99" s="190">
        <f t="shared" si="22"/>
        <v>0</v>
      </c>
      <c r="AO99" s="190">
        <f t="shared" si="22"/>
        <v>0</v>
      </c>
      <c r="AP99" s="190">
        <f t="shared" si="22"/>
        <v>0</v>
      </c>
      <c r="AQ99" s="190">
        <f t="shared" si="22"/>
        <v>0</v>
      </c>
      <c r="AR99" s="190">
        <f t="shared" si="22"/>
        <v>0</v>
      </c>
      <c r="AS99" s="190">
        <f t="shared" si="22"/>
        <v>0</v>
      </c>
      <c r="AT99" s="190">
        <f t="shared" si="22"/>
        <v>0</v>
      </c>
      <c r="AU99" s="190">
        <f t="shared" si="22"/>
        <v>0</v>
      </c>
      <c r="AV99" s="190">
        <f t="shared" si="22"/>
        <v>0</v>
      </c>
      <c r="AW99" s="190">
        <f t="shared" si="22"/>
        <v>0</v>
      </c>
      <c r="AX99" s="190">
        <f t="shared" si="22"/>
        <v>0</v>
      </c>
      <c r="AY99" s="190">
        <f t="shared" si="22"/>
        <v>0</v>
      </c>
      <c r="AZ99" s="190">
        <f t="shared" si="22"/>
        <v>0</v>
      </c>
      <c r="BA99" s="190">
        <f t="shared" si="22"/>
        <v>0</v>
      </c>
      <c r="BB99" s="190">
        <f t="shared" si="22"/>
        <v>0</v>
      </c>
      <c r="BC99" s="190">
        <f t="shared" si="22"/>
        <v>0</v>
      </c>
      <c r="BD99" s="190">
        <f t="shared" si="22"/>
        <v>0</v>
      </c>
      <c r="BE99" s="215"/>
      <c r="BH99" s="665" t="s">
        <v>1335</v>
      </c>
    </row>
    <row r="100" spans="1:60" ht="14.25" customHeight="1">
      <c r="B100" s="57" t="b">
        <f t="shared" si="20"/>
        <v>1</v>
      </c>
      <c r="E100" s="459">
        <v>15</v>
      </c>
      <c r="F100" s="3" t="str" cm="1">
        <f t="array" aca="1" ref="F100" ca="1">OFFSET(E100,-1,1)</f>
        <v>1</v>
      </c>
      <c r="H100" s="57" t="s">
        <v>1336</v>
      </c>
      <c r="T100" s="365" t="b" cm="1">
        <f t="array" ref="T100">T99</f>
        <v>1</v>
      </c>
      <c r="X100" s="1075"/>
      <c r="Z100" s="1065"/>
      <c r="AB100" s="152" t="s">
        <v>1337</v>
      </c>
      <c r="AC100" s="153" t="s">
        <v>1338</v>
      </c>
      <c r="AD100" s="26" t="s">
        <v>804</v>
      </c>
      <c r="AE100" s="147"/>
      <c r="AF100" s="147"/>
      <c r="AG100" s="147"/>
      <c r="AH100" s="147"/>
      <c r="AI100" s="147"/>
      <c r="AJ100" s="147"/>
      <c r="AK100" s="147"/>
      <c r="AL100" s="787"/>
      <c r="AM100" s="787"/>
      <c r="AN100" s="787"/>
      <c r="AO100" s="787"/>
      <c r="AP100" s="787"/>
      <c r="AQ100" s="787"/>
      <c r="AR100" s="787"/>
      <c r="AS100" s="787"/>
      <c r="AT100" s="787"/>
      <c r="AU100" s="147"/>
      <c r="AV100" s="787"/>
      <c r="AW100" s="787"/>
      <c r="AX100" s="787"/>
      <c r="AY100" s="787"/>
      <c r="AZ100" s="787"/>
      <c r="BA100" s="787"/>
      <c r="BB100" s="787"/>
      <c r="BC100" s="787"/>
      <c r="BD100" s="787"/>
      <c r="BE100" s="215"/>
      <c r="BH100" s="665" t="s">
        <v>1262</v>
      </c>
    </row>
    <row r="101" spans="1:60" ht="14.25" customHeight="1">
      <c r="B101" s="57" t="b">
        <f t="shared" si="20"/>
        <v>1</v>
      </c>
      <c r="E101" s="459">
        <v>15</v>
      </c>
      <c r="F101" s="3" t="str" cm="1">
        <f t="array" aca="1" ref="F101" ca="1">OFFSET(E101,-1,1)</f>
        <v>1</v>
      </c>
      <c r="H101" s="57" t="s">
        <v>1339</v>
      </c>
      <c r="T101" s="365" t="b" cm="1">
        <f t="array" ref="T101">T100</f>
        <v>1</v>
      </c>
      <c r="X101" s="1075"/>
      <c r="Z101" s="1065"/>
      <c r="AB101" s="152" t="s">
        <v>1340</v>
      </c>
      <c r="AC101" s="153" t="s">
        <v>1341</v>
      </c>
      <c r="AD101" s="26" t="s">
        <v>804</v>
      </c>
      <c r="AE101" s="147"/>
      <c r="AF101" s="147"/>
      <c r="AG101" s="147"/>
      <c r="AH101" s="147"/>
      <c r="AI101" s="147"/>
      <c r="AJ101" s="147"/>
      <c r="AK101" s="147"/>
      <c r="AL101" s="787"/>
      <c r="AM101" s="787"/>
      <c r="AN101" s="787"/>
      <c r="AO101" s="787"/>
      <c r="AP101" s="787"/>
      <c r="AQ101" s="787"/>
      <c r="AR101" s="787"/>
      <c r="AS101" s="787"/>
      <c r="AT101" s="787"/>
      <c r="AU101" s="147"/>
      <c r="AV101" s="787"/>
      <c r="AW101" s="787"/>
      <c r="AX101" s="787"/>
      <c r="AY101" s="787"/>
      <c r="AZ101" s="787"/>
      <c r="BA101" s="787"/>
      <c r="BB101" s="787"/>
      <c r="BC101" s="787"/>
      <c r="BD101" s="787"/>
      <c r="BE101" s="215"/>
      <c r="BH101" s="665" t="s">
        <v>1342</v>
      </c>
    </row>
    <row r="102" spans="1:60" ht="14.25" customHeight="1">
      <c r="B102" s="57" t="b">
        <f t="shared" si="20"/>
        <v>1</v>
      </c>
      <c r="E102" s="459">
        <v>15</v>
      </c>
      <c r="F102" s="3" t="str" cm="1">
        <f t="array" aca="1" ref="F102" ca="1">OFFSET(E102,-1,1)</f>
        <v>1</v>
      </c>
      <c r="H102" s="57" t="s">
        <v>1343</v>
      </c>
      <c r="T102" s="365" t="b" cm="1">
        <f t="array" ref="T102">T101</f>
        <v>1</v>
      </c>
      <c r="X102" s="1075"/>
      <c r="Z102" s="1065"/>
      <c r="AB102" s="152" t="s">
        <v>1344</v>
      </c>
      <c r="AC102" s="153" t="s">
        <v>1345</v>
      </c>
      <c r="AD102" s="26" t="s">
        <v>804</v>
      </c>
      <c r="AE102" s="147"/>
      <c r="AF102" s="147"/>
      <c r="AG102" s="147"/>
      <c r="AH102" s="147"/>
      <c r="AI102" s="147"/>
      <c r="AJ102" s="147"/>
      <c r="AK102" s="147"/>
      <c r="AL102" s="787"/>
      <c r="AM102" s="787"/>
      <c r="AN102" s="787"/>
      <c r="AO102" s="787"/>
      <c r="AP102" s="787"/>
      <c r="AQ102" s="787"/>
      <c r="AR102" s="787"/>
      <c r="AS102" s="787"/>
      <c r="AT102" s="787"/>
      <c r="AU102" s="147"/>
      <c r="AV102" s="787"/>
      <c r="AW102" s="787"/>
      <c r="AX102" s="787"/>
      <c r="AY102" s="787"/>
      <c r="AZ102" s="787"/>
      <c r="BA102" s="787"/>
      <c r="BB102" s="787"/>
      <c r="BC102" s="787"/>
      <c r="BD102" s="787"/>
      <c r="BE102" s="215"/>
      <c r="BH102" s="665" t="s">
        <v>1346</v>
      </c>
    </row>
    <row r="103" spans="1:60" ht="14.25" customHeight="1">
      <c r="B103" s="57" t="b">
        <f t="shared" si="20"/>
        <v>1</v>
      </c>
      <c r="E103" s="459">
        <v>15</v>
      </c>
      <c r="F103" s="3" t="str" cm="1">
        <f t="array" aca="1" ref="F103" ca="1">OFFSET(E103,-1,1)</f>
        <v>1</v>
      </c>
      <c r="H103" s="57" t="s">
        <v>468</v>
      </c>
      <c r="T103" s="365" t="b" cm="1">
        <f t="array" ref="T103">T102</f>
        <v>1</v>
      </c>
      <c r="X103" s="1075"/>
      <c r="Z103" s="1065"/>
      <c r="AB103" s="152" t="s">
        <v>903</v>
      </c>
      <c r="AC103" s="146" t="s">
        <v>1347</v>
      </c>
      <c r="AD103" s="26" t="s">
        <v>804</v>
      </c>
      <c r="AE103" s="190">
        <f t="shared" ref="AE103:BD103" si="23">AE104+AE105+AE106</f>
        <v>0</v>
      </c>
      <c r="AF103" s="190">
        <f t="shared" si="23"/>
        <v>0</v>
      </c>
      <c r="AG103" s="190">
        <f t="shared" si="23"/>
        <v>0</v>
      </c>
      <c r="AH103" s="190">
        <f t="shared" si="23"/>
        <v>0</v>
      </c>
      <c r="AI103" s="190">
        <f t="shared" si="23"/>
        <v>0</v>
      </c>
      <c r="AJ103" s="190">
        <f t="shared" si="23"/>
        <v>0</v>
      </c>
      <c r="AK103" s="190">
        <f t="shared" si="23"/>
        <v>0</v>
      </c>
      <c r="AL103" s="190">
        <f t="shared" si="23"/>
        <v>0</v>
      </c>
      <c r="AM103" s="190">
        <f t="shared" si="23"/>
        <v>0</v>
      </c>
      <c r="AN103" s="190">
        <f t="shared" si="23"/>
        <v>0</v>
      </c>
      <c r="AO103" s="190">
        <f t="shared" si="23"/>
        <v>0</v>
      </c>
      <c r="AP103" s="190">
        <f t="shared" si="23"/>
        <v>0</v>
      </c>
      <c r="AQ103" s="190">
        <f t="shared" si="23"/>
        <v>0</v>
      </c>
      <c r="AR103" s="190">
        <f t="shared" si="23"/>
        <v>0</v>
      </c>
      <c r="AS103" s="190">
        <f t="shared" si="23"/>
        <v>0</v>
      </c>
      <c r="AT103" s="190">
        <f t="shared" si="23"/>
        <v>0</v>
      </c>
      <c r="AU103" s="190">
        <f t="shared" si="23"/>
        <v>0</v>
      </c>
      <c r="AV103" s="190">
        <f t="shared" si="23"/>
        <v>0</v>
      </c>
      <c r="AW103" s="190">
        <f t="shared" si="23"/>
        <v>0</v>
      </c>
      <c r="AX103" s="190">
        <f t="shared" si="23"/>
        <v>0</v>
      </c>
      <c r="AY103" s="190">
        <f t="shared" si="23"/>
        <v>0</v>
      </c>
      <c r="AZ103" s="190">
        <f t="shared" si="23"/>
        <v>0</v>
      </c>
      <c r="BA103" s="190">
        <f t="shared" si="23"/>
        <v>0</v>
      </c>
      <c r="BB103" s="190">
        <f t="shared" si="23"/>
        <v>0</v>
      </c>
      <c r="BC103" s="190">
        <f t="shared" si="23"/>
        <v>0</v>
      </c>
      <c r="BD103" s="190">
        <f t="shared" si="23"/>
        <v>0</v>
      </c>
      <c r="BE103" s="215"/>
      <c r="BH103" s="665" t="s">
        <v>1348</v>
      </c>
    </row>
    <row r="104" spans="1:60" ht="14.25" customHeight="1">
      <c r="B104" s="57" t="b">
        <f t="shared" si="20"/>
        <v>1</v>
      </c>
      <c r="E104" s="459">
        <v>15</v>
      </c>
      <c r="F104" s="3" t="str" cm="1">
        <f t="array" aca="1" ref="F104" ca="1">OFFSET(E104,-1,1)</f>
        <v>1</v>
      </c>
      <c r="H104" s="57" t="s">
        <v>1349</v>
      </c>
      <c r="T104" s="365" t="b" cm="1">
        <f t="array" ref="T104">T103</f>
        <v>1</v>
      </c>
      <c r="X104" s="1075"/>
      <c r="Z104" s="1065"/>
      <c r="AB104" s="152" t="s">
        <v>1350</v>
      </c>
      <c r="AC104" s="153" t="s">
        <v>1351</v>
      </c>
      <c r="AD104" s="26" t="s">
        <v>804</v>
      </c>
      <c r="AE104" s="147"/>
      <c r="AF104" s="147"/>
      <c r="AG104" s="147"/>
      <c r="AH104" s="147"/>
      <c r="AI104" s="147"/>
      <c r="AJ104" s="147"/>
      <c r="AK104" s="147"/>
      <c r="AL104" s="787"/>
      <c r="AM104" s="787"/>
      <c r="AN104" s="787"/>
      <c r="AO104" s="787"/>
      <c r="AP104" s="787"/>
      <c r="AQ104" s="787"/>
      <c r="AR104" s="787"/>
      <c r="AS104" s="787"/>
      <c r="AT104" s="787"/>
      <c r="AU104" s="147"/>
      <c r="AV104" s="787"/>
      <c r="AW104" s="787"/>
      <c r="AX104" s="787"/>
      <c r="AY104" s="787"/>
      <c r="AZ104" s="787"/>
      <c r="BA104" s="787"/>
      <c r="BB104" s="787"/>
      <c r="BC104" s="787"/>
      <c r="BD104" s="787"/>
      <c r="BE104" s="215"/>
      <c r="BH104" s="665" t="s">
        <v>1352</v>
      </c>
    </row>
    <row r="105" spans="1:60" ht="14.25" customHeight="1">
      <c r="B105" s="57" t="b">
        <f t="shared" si="20"/>
        <v>1</v>
      </c>
      <c r="E105" s="459">
        <v>15</v>
      </c>
      <c r="F105" s="3" t="str" cm="1">
        <f t="array" aca="1" ref="F105" ca="1">OFFSET(E105,-1,1)</f>
        <v>1</v>
      </c>
      <c r="H105" s="57" t="s">
        <v>1353</v>
      </c>
      <c r="T105" s="365" t="b" cm="1">
        <f t="array" ref="T105">T104</f>
        <v>1</v>
      </c>
      <c r="X105" s="1075"/>
      <c r="Z105" s="1065"/>
      <c r="AB105" s="152" t="s">
        <v>1354</v>
      </c>
      <c r="AC105" s="153" t="s">
        <v>1355</v>
      </c>
      <c r="AD105" s="26" t="s">
        <v>804</v>
      </c>
      <c r="AE105" s="147"/>
      <c r="AF105" s="147"/>
      <c r="AG105" s="147"/>
      <c r="AH105" s="147"/>
      <c r="AI105" s="147"/>
      <c r="AJ105" s="147"/>
      <c r="AK105" s="147"/>
      <c r="AL105" s="787"/>
      <c r="AM105" s="787"/>
      <c r="AN105" s="787"/>
      <c r="AO105" s="787"/>
      <c r="AP105" s="787"/>
      <c r="AQ105" s="787"/>
      <c r="AR105" s="787"/>
      <c r="AS105" s="787"/>
      <c r="AT105" s="787"/>
      <c r="AU105" s="147"/>
      <c r="AV105" s="787"/>
      <c r="AW105" s="787"/>
      <c r="AX105" s="787"/>
      <c r="AY105" s="787"/>
      <c r="AZ105" s="787"/>
      <c r="BA105" s="787"/>
      <c r="BB105" s="787"/>
      <c r="BC105" s="787"/>
      <c r="BD105" s="787"/>
      <c r="BE105" s="215"/>
      <c r="BH105" s="665" t="s">
        <v>1356</v>
      </c>
    </row>
    <row r="106" spans="1:60" ht="14.25" customHeight="1">
      <c r="B106" s="57" t="b">
        <f t="shared" si="20"/>
        <v>1</v>
      </c>
      <c r="E106" s="459">
        <v>15</v>
      </c>
      <c r="F106" s="3" t="str" cm="1">
        <f t="array" aca="1" ref="F106" ca="1">OFFSET(E106,-1,1)</f>
        <v>1</v>
      </c>
      <c r="H106" s="57" t="s">
        <v>1357</v>
      </c>
      <c r="T106" s="365" t="b" cm="1">
        <f t="array" ref="T106">T105</f>
        <v>1</v>
      </c>
      <c r="X106" s="1075"/>
      <c r="Z106" s="1065"/>
      <c r="AB106" s="152" t="s">
        <v>1358</v>
      </c>
      <c r="AC106" s="153" t="s">
        <v>1359</v>
      </c>
      <c r="AD106" s="26" t="s">
        <v>804</v>
      </c>
      <c r="AE106" s="147"/>
      <c r="AF106" s="147"/>
      <c r="AG106" s="147"/>
      <c r="AH106" s="147"/>
      <c r="AI106" s="147"/>
      <c r="AJ106" s="147"/>
      <c r="AK106" s="147"/>
      <c r="AL106" s="787"/>
      <c r="AM106" s="787"/>
      <c r="AN106" s="787"/>
      <c r="AO106" s="787"/>
      <c r="AP106" s="787"/>
      <c r="AQ106" s="787"/>
      <c r="AR106" s="787"/>
      <c r="AS106" s="787"/>
      <c r="AT106" s="787"/>
      <c r="AU106" s="147"/>
      <c r="AV106" s="787"/>
      <c r="AW106" s="787"/>
      <c r="AX106" s="787"/>
      <c r="AY106" s="787"/>
      <c r="AZ106" s="787"/>
      <c r="BA106" s="787"/>
      <c r="BB106" s="787"/>
      <c r="BC106" s="787"/>
      <c r="BD106" s="787"/>
      <c r="BE106" s="215"/>
      <c r="BH106" s="665" t="s">
        <v>1360</v>
      </c>
    </row>
    <row r="107" spans="1:60" ht="14.25" customHeight="1">
      <c r="B107" s="57" t="b">
        <f t="shared" si="20"/>
        <v>1</v>
      </c>
      <c r="E107" s="459">
        <v>15</v>
      </c>
      <c r="F107" s="3" t="str" cm="1">
        <f t="array" aca="1" ref="F107" ca="1">OFFSET(E107,-1,1)</f>
        <v>1</v>
      </c>
      <c r="H107" s="57" t="s">
        <v>472</v>
      </c>
      <c r="T107" s="365" t="b" cm="1">
        <f t="array" ref="T107">T106</f>
        <v>1</v>
      </c>
      <c r="X107" s="1075"/>
      <c r="Z107" s="1065"/>
      <c r="AB107" s="152" t="s">
        <v>906</v>
      </c>
      <c r="AC107" s="146" t="s">
        <v>1361</v>
      </c>
      <c r="AD107" s="26" t="s">
        <v>804</v>
      </c>
      <c r="AE107" s="190">
        <f t="shared" ref="AE107:BD107" si="24">AE108+AE109+AE110+AE111</f>
        <v>0</v>
      </c>
      <c r="AF107" s="190">
        <f t="shared" si="24"/>
        <v>0</v>
      </c>
      <c r="AG107" s="190">
        <f t="shared" si="24"/>
        <v>0</v>
      </c>
      <c r="AH107" s="190">
        <f t="shared" si="24"/>
        <v>0</v>
      </c>
      <c r="AI107" s="190">
        <f t="shared" si="24"/>
        <v>0</v>
      </c>
      <c r="AJ107" s="190">
        <f t="shared" si="24"/>
        <v>0</v>
      </c>
      <c r="AK107" s="190">
        <f t="shared" si="24"/>
        <v>0</v>
      </c>
      <c r="AL107" s="190">
        <f t="shared" si="24"/>
        <v>0</v>
      </c>
      <c r="AM107" s="190">
        <f t="shared" si="24"/>
        <v>0</v>
      </c>
      <c r="AN107" s="190">
        <f t="shared" si="24"/>
        <v>0</v>
      </c>
      <c r="AO107" s="190">
        <f t="shared" si="24"/>
        <v>0</v>
      </c>
      <c r="AP107" s="190">
        <f t="shared" si="24"/>
        <v>0</v>
      </c>
      <c r="AQ107" s="190">
        <f t="shared" si="24"/>
        <v>0</v>
      </c>
      <c r="AR107" s="190">
        <f t="shared" si="24"/>
        <v>0</v>
      </c>
      <c r="AS107" s="190">
        <f t="shared" si="24"/>
        <v>0</v>
      </c>
      <c r="AT107" s="190">
        <f t="shared" si="24"/>
        <v>0</v>
      </c>
      <c r="AU107" s="190">
        <f t="shared" si="24"/>
        <v>0</v>
      </c>
      <c r="AV107" s="190">
        <f t="shared" si="24"/>
        <v>0</v>
      </c>
      <c r="AW107" s="190">
        <f t="shared" si="24"/>
        <v>0</v>
      </c>
      <c r="AX107" s="190">
        <f t="shared" si="24"/>
        <v>0</v>
      </c>
      <c r="AY107" s="190">
        <f t="shared" si="24"/>
        <v>0</v>
      </c>
      <c r="AZ107" s="190">
        <f t="shared" si="24"/>
        <v>0</v>
      </c>
      <c r="BA107" s="190">
        <f t="shared" si="24"/>
        <v>0</v>
      </c>
      <c r="BB107" s="190">
        <f t="shared" si="24"/>
        <v>0</v>
      </c>
      <c r="BC107" s="190">
        <f t="shared" si="24"/>
        <v>0</v>
      </c>
      <c r="BD107" s="190">
        <f t="shared" si="24"/>
        <v>0</v>
      </c>
      <c r="BE107" s="215"/>
      <c r="BH107" s="665" t="s">
        <v>1362</v>
      </c>
    </row>
    <row r="108" spans="1:60" ht="14.25" customHeight="1">
      <c r="B108" s="57" t="b">
        <f t="shared" si="20"/>
        <v>1</v>
      </c>
      <c r="E108" s="459">
        <v>15</v>
      </c>
      <c r="F108" s="3" t="str" cm="1">
        <f t="array" aca="1" ref="F108" ca="1">OFFSET(E108,-1,1)</f>
        <v>1</v>
      </c>
      <c r="H108" s="57" t="s">
        <v>1363</v>
      </c>
      <c r="T108" s="365" t="b" cm="1">
        <f t="array" ref="T108">T107</f>
        <v>1</v>
      </c>
      <c r="X108" s="1075"/>
      <c r="Z108" s="1065"/>
      <c r="AB108" s="152" t="s">
        <v>1021</v>
      </c>
      <c r="AC108" s="153" t="s">
        <v>1015</v>
      </c>
      <c r="AD108" s="26" t="s">
        <v>804</v>
      </c>
      <c r="AE108" s="147"/>
      <c r="AF108" s="147"/>
      <c r="AG108" s="147"/>
      <c r="AH108" s="147"/>
      <c r="AI108" s="147"/>
      <c r="AJ108" s="147"/>
      <c r="AK108" s="147"/>
      <c r="AL108" s="787"/>
      <c r="AM108" s="787"/>
      <c r="AN108" s="787"/>
      <c r="AO108" s="787"/>
      <c r="AP108" s="787"/>
      <c r="AQ108" s="787"/>
      <c r="AR108" s="787"/>
      <c r="AS108" s="787"/>
      <c r="AT108" s="787"/>
      <c r="AU108" s="147"/>
      <c r="AV108" s="787"/>
      <c r="AW108" s="787"/>
      <c r="AX108" s="787"/>
      <c r="AY108" s="787"/>
      <c r="AZ108" s="787"/>
      <c r="BA108" s="787"/>
      <c r="BB108" s="787"/>
      <c r="BC108" s="787"/>
      <c r="BD108" s="787"/>
      <c r="BE108" s="215"/>
      <c r="BH108" s="665" t="s">
        <v>1017</v>
      </c>
    </row>
    <row r="109" spans="1:60" ht="21.75" customHeight="1">
      <c r="B109" s="57" t="b">
        <f t="shared" si="20"/>
        <v>1</v>
      </c>
      <c r="E109" s="459">
        <v>22.5</v>
      </c>
      <c r="F109" s="3" t="str" cm="1">
        <f t="array" aca="1" ref="F109" ca="1">OFFSET(E109,-1,1)</f>
        <v>1</v>
      </c>
      <c r="H109" s="57" t="s">
        <v>1364</v>
      </c>
      <c r="T109" s="365" t="b" cm="1">
        <f t="array" ref="T109">T108</f>
        <v>1</v>
      </c>
      <c r="X109" s="1075"/>
      <c r="Z109" s="1065"/>
      <c r="AB109" s="152" t="s">
        <v>1024</v>
      </c>
      <c r="AC109" s="153" t="s">
        <v>1365</v>
      </c>
      <c r="AD109" s="26" t="s">
        <v>804</v>
      </c>
      <c r="AE109" s="147"/>
      <c r="AF109" s="147"/>
      <c r="AG109" s="147"/>
      <c r="AH109" s="147"/>
      <c r="AI109" s="147"/>
      <c r="AJ109" s="147"/>
      <c r="AK109" s="147"/>
      <c r="AL109" s="787"/>
      <c r="AM109" s="787"/>
      <c r="AN109" s="787"/>
      <c r="AO109" s="787"/>
      <c r="AP109" s="787"/>
      <c r="AQ109" s="787"/>
      <c r="AR109" s="787"/>
      <c r="AS109" s="787"/>
      <c r="AT109" s="787"/>
      <c r="AU109" s="147"/>
      <c r="AV109" s="787"/>
      <c r="AW109" s="787"/>
      <c r="AX109" s="787"/>
      <c r="AY109" s="787"/>
      <c r="AZ109" s="787"/>
      <c r="BA109" s="787"/>
      <c r="BB109" s="787"/>
      <c r="BC109" s="787"/>
      <c r="BD109" s="787"/>
      <c r="BE109" s="215"/>
      <c r="BH109" s="665" t="s">
        <v>1366</v>
      </c>
    </row>
    <row r="110" spans="1:60" ht="21.75" customHeight="1">
      <c r="B110" s="57" t="b">
        <f t="shared" si="20"/>
        <v>1</v>
      </c>
      <c r="E110" s="459">
        <v>22.5</v>
      </c>
      <c r="F110" s="3" t="str" cm="1">
        <f t="array" aca="1" ref="F110" ca="1">OFFSET(E110,-1,1)</f>
        <v>1</v>
      </c>
      <c r="H110" s="57" t="s">
        <v>1367</v>
      </c>
      <c r="T110" s="365" t="b" cm="1">
        <f t="array" ref="T110">T109</f>
        <v>1</v>
      </c>
      <c r="X110" s="1075"/>
      <c r="Z110" s="1065"/>
      <c r="AB110" s="152" t="s">
        <v>1368</v>
      </c>
      <c r="AC110" s="153" t="s">
        <v>1369</v>
      </c>
      <c r="AD110" s="26" t="s">
        <v>804</v>
      </c>
      <c r="AE110" s="147"/>
      <c r="AF110" s="147"/>
      <c r="AG110" s="147"/>
      <c r="AH110" s="147"/>
      <c r="AI110" s="147"/>
      <c r="AJ110" s="147"/>
      <c r="AK110" s="147"/>
      <c r="AL110" s="787"/>
      <c r="AM110" s="787"/>
      <c r="AN110" s="787"/>
      <c r="AO110" s="787"/>
      <c r="AP110" s="787"/>
      <c r="AQ110" s="787"/>
      <c r="AR110" s="787"/>
      <c r="AS110" s="787"/>
      <c r="AT110" s="787"/>
      <c r="AU110" s="147"/>
      <c r="AV110" s="787"/>
      <c r="AW110" s="787"/>
      <c r="AX110" s="787"/>
      <c r="AY110" s="787"/>
      <c r="AZ110" s="787"/>
      <c r="BA110" s="787"/>
      <c r="BB110" s="787"/>
      <c r="BC110" s="787"/>
      <c r="BD110" s="787"/>
      <c r="BE110" s="215"/>
      <c r="BH110" s="665" t="s">
        <v>1370</v>
      </c>
    </row>
    <row r="111" spans="1:60" ht="14.25" customHeight="1">
      <c r="B111" s="57" t="b">
        <f t="shared" si="20"/>
        <v>1</v>
      </c>
      <c r="E111" s="459">
        <v>15</v>
      </c>
      <c r="F111" s="3" t="str" cm="1">
        <f t="array" aca="1" ref="F111" ca="1">OFFSET(E111,-1,1)</f>
        <v>1</v>
      </c>
      <c r="H111" s="57" t="s">
        <v>1371</v>
      </c>
      <c r="T111" s="365" t="b" cm="1">
        <f t="array" ref="T111">T110</f>
        <v>1</v>
      </c>
      <c r="X111" s="1075"/>
      <c r="Z111" s="1065"/>
      <c r="AB111" s="152" t="s">
        <v>1372</v>
      </c>
      <c r="AC111" s="153" t="s">
        <v>1373</v>
      </c>
      <c r="AD111" s="26" t="s">
        <v>804</v>
      </c>
      <c r="AE111" s="147"/>
      <c r="AF111" s="147"/>
      <c r="AG111" s="147"/>
      <c r="AH111" s="147"/>
      <c r="AI111" s="147"/>
      <c r="AJ111" s="147"/>
      <c r="AK111" s="147"/>
      <c r="AL111" s="787"/>
      <c r="AM111" s="787"/>
      <c r="AN111" s="787"/>
      <c r="AO111" s="787"/>
      <c r="AP111" s="787"/>
      <c r="AQ111" s="787"/>
      <c r="AR111" s="787"/>
      <c r="AS111" s="787"/>
      <c r="AT111" s="787"/>
      <c r="AU111" s="147"/>
      <c r="AV111" s="787"/>
      <c r="AW111" s="787"/>
      <c r="AX111" s="787"/>
      <c r="AY111" s="787"/>
      <c r="AZ111" s="787"/>
      <c r="BA111" s="787"/>
      <c r="BB111" s="787"/>
      <c r="BC111" s="787"/>
      <c r="BD111" s="787"/>
      <c r="BE111" s="215"/>
      <c r="BH111" s="665" t="s">
        <v>1374</v>
      </c>
    </row>
    <row r="112" spans="1:60" s="935" customFormat="1" ht="21.75" customHeight="1">
      <c r="A112" s="173"/>
      <c r="B112" s="57" t="b">
        <f t="shared" si="20"/>
        <v>1</v>
      </c>
      <c r="C112" s="173"/>
      <c r="D112" s="173"/>
      <c r="E112" s="512">
        <v>22.5</v>
      </c>
      <c r="F112" s="3" t="str" cm="1">
        <f t="array" aca="1" ref="F112" ca="1">OFFSET(E112,-1,1)</f>
        <v>1</v>
      </c>
      <c r="G112" s="57"/>
      <c r="H112" s="57" t="s">
        <v>328</v>
      </c>
      <c r="I112" s="173"/>
      <c r="J112" s="173"/>
      <c r="K112" s="173"/>
      <c r="L112" s="173"/>
      <c r="M112" s="173"/>
      <c r="N112" s="173"/>
      <c r="O112" s="173"/>
      <c r="P112" s="173"/>
      <c r="Q112" s="173"/>
      <c r="R112" s="173"/>
      <c r="S112" s="173"/>
      <c r="T112" s="365" t="b" cm="1">
        <f t="array" ref="T112">T111</f>
        <v>1</v>
      </c>
      <c r="U112" s="173"/>
      <c r="V112" s="173"/>
      <c r="W112" s="173"/>
      <c r="X112" s="1075"/>
      <c r="Y112" s="173"/>
      <c r="Z112" s="1065"/>
      <c r="AA112" s="173"/>
      <c r="AB112" s="150" t="s">
        <v>285</v>
      </c>
      <c r="AC112" s="151" t="s">
        <v>1375</v>
      </c>
      <c r="AD112" s="143" t="s">
        <v>804</v>
      </c>
      <c r="AE112" s="145">
        <f t="shared" ref="AE112:BD112" si="25">AE113+AE114+AE115</f>
        <v>0</v>
      </c>
      <c r="AF112" s="145">
        <f t="shared" si="25"/>
        <v>0</v>
      </c>
      <c r="AG112" s="145">
        <f t="shared" si="25"/>
        <v>0</v>
      </c>
      <c r="AH112" s="145">
        <f t="shared" si="25"/>
        <v>0</v>
      </c>
      <c r="AI112" s="145">
        <f t="shared" si="25"/>
        <v>0</v>
      </c>
      <c r="AJ112" s="145">
        <f t="shared" si="25"/>
        <v>0</v>
      </c>
      <c r="AK112" s="145">
        <f t="shared" si="25"/>
        <v>0</v>
      </c>
      <c r="AL112" s="145">
        <f t="shared" si="25"/>
        <v>0</v>
      </c>
      <c r="AM112" s="145">
        <f t="shared" si="25"/>
        <v>0</v>
      </c>
      <c r="AN112" s="145">
        <f t="shared" si="25"/>
        <v>0</v>
      </c>
      <c r="AO112" s="145">
        <f t="shared" si="25"/>
        <v>0</v>
      </c>
      <c r="AP112" s="145">
        <f t="shared" si="25"/>
        <v>0</v>
      </c>
      <c r="AQ112" s="145">
        <f t="shared" si="25"/>
        <v>0</v>
      </c>
      <c r="AR112" s="145">
        <f t="shared" si="25"/>
        <v>0</v>
      </c>
      <c r="AS112" s="145">
        <f t="shared" si="25"/>
        <v>0</v>
      </c>
      <c r="AT112" s="145">
        <f t="shared" si="25"/>
        <v>0</v>
      </c>
      <c r="AU112" s="145">
        <f t="shared" si="25"/>
        <v>0</v>
      </c>
      <c r="AV112" s="145">
        <f t="shared" si="25"/>
        <v>0</v>
      </c>
      <c r="AW112" s="145">
        <f t="shared" si="25"/>
        <v>0</v>
      </c>
      <c r="AX112" s="145">
        <f t="shared" si="25"/>
        <v>0</v>
      </c>
      <c r="AY112" s="145">
        <f t="shared" si="25"/>
        <v>0</v>
      </c>
      <c r="AZ112" s="145">
        <f t="shared" si="25"/>
        <v>0</v>
      </c>
      <c r="BA112" s="145">
        <f t="shared" si="25"/>
        <v>0</v>
      </c>
      <c r="BB112" s="145">
        <f t="shared" si="25"/>
        <v>0</v>
      </c>
      <c r="BC112" s="145">
        <f t="shared" si="25"/>
        <v>0</v>
      </c>
      <c r="BD112" s="145">
        <f t="shared" si="25"/>
        <v>0</v>
      </c>
      <c r="BE112" s="215"/>
      <c r="BF112" s="173"/>
      <c r="BG112" s="173"/>
      <c r="BH112" s="697" t="s">
        <v>1376</v>
      </c>
    </row>
    <row r="113" spans="1:60" ht="14.25" customHeight="1">
      <c r="B113" s="57" t="b">
        <f t="shared" si="20"/>
        <v>1</v>
      </c>
      <c r="E113" s="459">
        <v>15</v>
      </c>
      <c r="F113" s="3" t="str" cm="1">
        <f t="array" aca="1" ref="F113" ca="1">OFFSET(E113,-1,1)</f>
        <v>1</v>
      </c>
      <c r="H113" s="57" t="s">
        <v>479</v>
      </c>
      <c r="K113" s="59" t="str">
        <f ca="1">F113&amp;"2komm"</f>
        <v>12komm</v>
      </c>
      <c r="L113" s="59" cm="1">
        <f t="array" ref="L113">BE113</f>
        <v>0</v>
      </c>
      <c r="T113" s="365" t="b" cm="1">
        <f t="array" ref="T113">T112</f>
        <v>1</v>
      </c>
      <c r="X113" s="1075"/>
      <c r="Z113" s="1065"/>
      <c r="AB113" s="152" t="s">
        <v>537</v>
      </c>
      <c r="AC113" s="146" t="s">
        <v>1377</v>
      </c>
      <c r="AD113" s="26" t="s">
        <v>804</v>
      </c>
      <c r="AE113" s="147"/>
      <c r="AF113" s="147"/>
      <c r="AG113" s="147"/>
      <c r="AH113" s="147"/>
      <c r="AI113" s="147"/>
      <c r="AJ113" s="147"/>
      <c r="AK113" s="147"/>
      <c r="AL113" s="787"/>
      <c r="AM113" s="787"/>
      <c r="AN113" s="787"/>
      <c r="AO113" s="787"/>
      <c r="AP113" s="787"/>
      <c r="AQ113" s="787"/>
      <c r="AR113" s="787"/>
      <c r="AS113" s="787"/>
      <c r="AT113" s="787"/>
      <c r="AU113" s="147"/>
      <c r="AV113" s="787"/>
      <c r="AW113" s="787"/>
      <c r="AX113" s="787"/>
      <c r="AY113" s="787"/>
      <c r="AZ113" s="787"/>
      <c r="BA113" s="787"/>
      <c r="BB113" s="787"/>
      <c r="BC113" s="787"/>
      <c r="BD113" s="787"/>
      <c r="BE113" s="215"/>
      <c r="BH113" s="665" t="s">
        <v>1378</v>
      </c>
    </row>
    <row r="114" spans="1:60" ht="14.25" customHeight="1">
      <c r="B114" s="57" t="b">
        <f t="shared" si="20"/>
        <v>1</v>
      </c>
      <c r="E114" s="459">
        <v>15</v>
      </c>
      <c r="F114" s="3" t="str" cm="1">
        <f t="array" aca="1" ref="F114" ca="1">OFFSET(E114,-1,1)</f>
        <v>1</v>
      </c>
      <c r="H114" s="57" t="s">
        <v>482</v>
      </c>
      <c r="K114" s="59" t="str">
        <f ca="1">F114&amp;"3komm"</f>
        <v>13komm</v>
      </c>
      <c r="L114" s="59" cm="1">
        <f t="array" ref="L114">BE114</f>
        <v>0</v>
      </c>
      <c r="T114" s="365" t="b" cm="1">
        <f t="array" ref="T114">T113</f>
        <v>1</v>
      </c>
      <c r="X114" s="1075"/>
      <c r="Z114" s="1065"/>
      <c r="AB114" s="152" t="s">
        <v>541</v>
      </c>
      <c r="AC114" s="146" t="s">
        <v>1379</v>
      </c>
      <c r="AD114" s="26" t="s">
        <v>804</v>
      </c>
      <c r="AE114" s="147"/>
      <c r="AF114" s="147"/>
      <c r="AG114" s="147"/>
      <c r="AH114" s="147"/>
      <c r="AI114" s="147"/>
      <c r="AJ114" s="147"/>
      <c r="AK114" s="147"/>
      <c r="AL114" s="787"/>
      <c r="AM114" s="787"/>
      <c r="AN114" s="787"/>
      <c r="AO114" s="787"/>
      <c r="AP114" s="787"/>
      <c r="AQ114" s="787"/>
      <c r="AR114" s="787"/>
      <c r="AS114" s="787"/>
      <c r="AT114" s="787"/>
      <c r="AU114" s="147"/>
      <c r="AV114" s="787"/>
      <c r="AW114" s="787"/>
      <c r="AX114" s="787"/>
      <c r="AY114" s="787"/>
      <c r="AZ114" s="787"/>
      <c r="BA114" s="787"/>
      <c r="BB114" s="787"/>
      <c r="BC114" s="787"/>
      <c r="BD114" s="787"/>
      <c r="BE114" s="215"/>
      <c r="BH114" s="665" t="s">
        <v>1380</v>
      </c>
    </row>
    <row r="115" spans="1:60" ht="14.25" customHeight="1">
      <c r="B115" s="57" t="b">
        <f t="shared" si="20"/>
        <v>1</v>
      </c>
      <c r="E115" s="459">
        <v>15</v>
      </c>
      <c r="F115" s="3" t="str" cm="1">
        <f t="array" aca="1" ref="F115" ca="1">OFFSET(E115,-1,1)</f>
        <v>1</v>
      </c>
      <c r="H115" s="57" t="s">
        <v>917</v>
      </c>
      <c r="T115" s="365" t="b" cm="1">
        <f t="array" ref="T115">T114</f>
        <v>1</v>
      </c>
      <c r="X115" s="1075"/>
      <c r="Z115" s="1065"/>
      <c r="AB115" s="152" t="s">
        <v>545</v>
      </c>
      <c r="AC115" s="146" t="s">
        <v>1381</v>
      </c>
      <c r="AD115" s="26" t="s">
        <v>804</v>
      </c>
      <c r="AE115" s="147"/>
      <c r="AF115" s="147"/>
      <c r="AG115" s="147"/>
      <c r="AH115" s="147"/>
      <c r="AI115" s="147"/>
      <c r="AJ115" s="147"/>
      <c r="AK115" s="147"/>
      <c r="AL115" s="787"/>
      <c r="AM115" s="787"/>
      <c r="AN115" s="787"/>
      <c r="AO115" s="787"/>
      <c r="AP115" s="787"/>
      <c r="AQ115" s="787"/>
      <c r="AR115" s="787"/>
      <c r="AS115" s="787"/>
      <c r="AT115" s="787"/>
      <c r="AU115" s="147"/>
      <c r="AV115" s="787"/>
      <c r="AW115" s="787"/>
      <c r="AX115" s="787"/>
      <c r="AY115" s="787"/>
      <c r="AZ115" s="787"/>
      <c r="BA115" s="787"/>
      <c r="BB115" s="787"/>
      <c r="BC115" s="787"/>
      <c r="BD115" s="787"/>
      <c r="BE115" s="215"/>
      <c r="BH115" s="665" t="s">
        <v>1382</v>
      </c>
    </row>
    <row r="116" spans="1:60" ht="14.25" customHeight="1">
      <c r="B116" s="57" t="b">
        <f t="shared" si="20"/>
        <v>1</v>
      </c>
      <c r="E116" s="459">
        <v>15</v>
      </c>
      <c r="F116" s="36" t="str" cm="1">
        <f t="array" ref="F116">X116</f>
        <v>2</v>
      </c>
      <c r="T116" s="365" t="b">
        <f>X116&gt;0</f>
        <v>1</v>
      </c>
      <c r="V116" s="57" t="str" cm="1">
        <f t="array" ref="V116">Налоги!$AB$55</f>
        <v>Тариф 2 (Водоотведение) - тариф на водоотведение (Доп. признак не требуется)</v>
      </c>
      <c r="X116" s="1075" t="s">
        <v>285</v>
      </c>
      <c r="Z116" s="1065"/>
      <c r="AB116" s="174" t="str" cm="1">
        <f t="array" ref="AB116">Налоги!$AB$55</f>
        <v>Тариф 2 (Водоотведение) - тариф на водоотведение (Доп. признак не требуется)</v>
      </c>
      <c r="AC116" s="572"/>
      <c r="AD116" s="572"/>
      <c r="AE116" s="572"/>
      <c r="AF116" s="572"/>
      <c r="AG116" s="572"/>
      <c r="AH116" s="572"/>
      <c r="AI116" s="572"/>
      <c r="AJ116" s="572"/>
      <c r="AK116" s="572"/>
      <c r="AL116" s="572"/>
      <c r="AM116" s="572"/>
      <c r="AN116" s="572"/>
      <c r="AO116" s="572"/>
      <c r="AP116" s="572"/>
      <c r="AQ116" s="572"/>
      <c r="AR116" s="572"/>
      <c r="AS116" s="572"/>
      <c r="AT116" s="572"/>
      <c r="AU116" s="572"/>
      <c r="AV116" s="572"/>
      <c r="AW116" s="572"/>
      <c r="AX116" s="572"/>
      <c r="AY116" s="572"/>
      <c r="AZ116" s="572"/>
      <c r="BA116" s="572"/>
      <c r="BB116" s="572"/>
      <c r="BC116" s="572"/>
      <c r="BD116" s="572"/>
      <c r="BE116" s="572"/>
    </row>
    <row r="117" spans="1:60" s="935" customFormat="1" ht="21.75" customHeight="1">
      <c r="A117" s="173"/>
      <c r="B117" s="57" t="b">
        <f t="shared" si="20"/>
        <v>1</v>
      </c>
      <c r="C117" s="173"/>
      <c r="D117" s="173"/>
      <c r="E117" s="512">
        <v>22.5</v>
      </c>
      <c r="F117" s="3" t="str" cm="1">
        <f t="array" aca="1" ref="F117" ca="1">OFFSET(E117,-1,1)</f>
        <v>2</v>
      </c>
      <c r="G117" s="57"/>
      <c r="H117" s="57" t="s">
        <v>327</v>
      </c>
      <c r="I117" s="173"/>
      <c r="J117" s="173"/>
      <c r="K117" s="173"/>
      <c r="L117" s="173"/>
      <c r="M117" s="173"/>
      <c r="N117" s="173"/>
      <c r="O117" s="173"/>
      <c r="P117" s="173"/>
      <c r="Q117" s="173"/>
      <c r="R117" s="173"/>
      <c r="S117" s="173"/>
      <c r="T117" s="365" t="b" cm="1">
        <f t="array" ref="T117">T116</f>
        <v>1</v>
      </c>
      <c r="U117" s="173"/>
      <c r="V117" s="173"/>
      <c r="W117" s="173"/>
      <c r="X117" s="1075"/>
      <c r="Y117" s="173"/>
      <c r="Z117" s="1065"/>
      <c r="AA117" s="173"/>
      <c r="AB117" s="150">
        <v>1</v>
      </c>
      <c r="AC117" s="144" t="s">
        <v>1304</v>
      </c>
      <c r="AD117" s="143" t="s">
        <v>804</v>
      </c>
      <c r="AE117" s="145">
        <f t="shared" ref="AE117:BD117" si="26">AE118+AE128+AE132+AE136</f>
        <v>0</v>
      </c>
      <c r="AF117" s="145">
        <f t="shared" si="26"/>
        <v>0</v>
      </c>
      <c r="AG117" s="145">
        <f t="shared" si="26"/>
        <v>0</v>
      </c>
      <c r="AH117" s="145">
        <f t="shared" si="26"/>
        <v>0</v>
      </c>
      <c r="AI117" s="145">
        <f t="shared" si="26"/>
        <v>0</v>
      </c>
      <c r="AJ117" s="145">
        <f t="shared" si="26"/>
        <v>0</v>
      </c>
      <c r="AK117" s="145">
        <f t="shared" si="26"/>
        <v>0</v>
      </c>
      <c r="AL117" s="145">
        <f t="shared" si="26"/>
        <v>0</v>
      </c>
      <c r="AM117" s="145">
        <f t="shared" si="26"/>
        <v>0</v>
      </c>
      <c r="AN117" s="145">
        <f t="shared" si="26"/>
        <v>0</v>
      </c>
      <c r="AO117" s="145">
        <f t="shared" si="26"/>
        <v>0</v>
      </c>
      <c r="AP117" s="145">
        <f t="shared" si="26"/>
        <v>0</v>
      </c>
      <c r="AQ117" s="145">
        <f t="shared" si="26"/>
        <v>0</v>
      </c>
      <c r="AR117" s="145">
        <f t="shared" si="26"/>
        <v>0</v>
      </c>
      <c r="AS117" s="145">
        <f t="shared" si="26"/>
        <v>0</v>
      </c>
      <c r="AT117" s="145">
        <f t="shared" si="26"/>
        <v>0</v>
      </c>
      <c r="AU117" s="145">
        <f t="shared" si="26"/>
        <v>0</v>
      </c>
      <c r="AV117" s="145">
        <f t="shared" si="26"/>
        <v>0</v>
      </c>
      <c r="AW117" s="145">
        <f t="shared" si="26"/>
        <v>0</v>
      </c>
      <c r="AX117" s="145">
        <f t="shared" si="26"/>
        <v>0</v>
      </c>
      <c r="AY117" s="145">
        <f t="shared" si="26"/>
        <v>0</v>
      </c>
      <c r="AZ117" s="145">
        <f t="shared" si="26"/>
        <v>0</v>
      </c>
      <c r="BA117" s="145">
        <f t="shared" si="26"/>
        <v>0</v>
      </c>
      <c r="BB117" s="145">
        <f t="shared" si="26"/>
        <v>0</v>
      </c>
      <c r="BC117" s="145">
        <f t="shared" si="26"/>
        <v>0</v>
      </c>
      <c r="BD117" s="145">
        <f t="shared" si="26"/>
        <v>0</v>
      </c>
      <c r="BE117" s="215"/>
      <c r="BF117" s="173"/>
      <c r="BG117" s="173"/>
      <c r="BH117" s="697" t="s">
        <v>1305</v>
      </c>
    </row>
    <row r="118" spans="1:60" ht="14.25" customHeight="1">
      <c r="B118" s="57" t="b">
        <f t="shared" si="20"/>
        <v>1</v>
      </c>
      <c r="E118" s="459">
        <v>15</v>
      </c>
      <c r="F118" s="3" t="str" cm="1">
        <f t="array" aca="1" ref="F118" ca="1">OFFSET(E118,-1,1)</f>
        <v>2</v>
      </c>
      <c r="H118" s="57" t="s">
        <v>461</v>
      </c>
      <c r="T118" s="365" t="b" cm="1">
        <f t="array" ref="T118">T117</f>
        <v>1</v>
      </c>
      <c r="X118" s="1075"/>
      <c r="Z118" s="1065"/>
      <c r="AB118" s="152" t="s">
        <v>897</v>
      </c>
      <c r="AC118" s="146" t="s">
        <v>1306</v>
      </c>
      <c r="AD118" s="26" t="s">
        <v>804</v>
      </c>
      <c r="AE118" s="190">
        <f t="shared" ref="AE118:BD118" si="27">AE119+AE120+AE121+AE122+AE123</f>
        <v>0</v>
      </c>
      <c r="AF118" s="190">
        <f t="shared" si="27"/>
        <v>0</v>
      </c>
      <c r="AG118" s="190">
        <f t="shared" si="27"/>
        <v>0</v>
      </c>
      <c r="AH118" s="190">
        <f t="shared" si="27"/>
        <v>0</v>
      </c>
      <c r="AI118" s="190">
        <f t="shared" si="27"/>
        <v>0</v>
      </c>
      <c r="AJ118" s="190">
        <f t="shared" si="27"/>
        <v>0</v>
      </c>
      <c r="AK118" s="190">
        <f t="shared" si="27"/>
        <v>0</v>
      </c>
      <c r="AL118" s="190">
        <f t="shared" si="27"/>
        <v>0</v>
      </c>
      <c r="AM118" s="190">
        <f t="shared" si="27"/>
        <v>0</v>
      </c>
      <c r="AN118" s="190">
        <f t="shared" si="27"/>
        <v>0</v>
      </c>
      <c r="AO118" s="190">
        <f t="shared" si="27"/>
        <v>0</v>
      </c>
      <c r="AP118" s="190">
        <f t="shared" si="27"/>
        <v>0</v>
      </c>
      <c r="AQ118" s="190">
        <f t="shared" si="27"/>
        <v>0</v>
      </c>
      <c r="AR118" s="190">
        <f t="shared" si="27"/>
        <v>0</v>
      </c>
      <c r="AS118" s="190">
        <f t="shared" si="27"/>
        <v>0</v>
      </c>
      <c r="AT118" s="190">
        <f t="shared" si="27"/>
        <v>0</v>
      </c>
      <c r="AU118" s="190">
        <f t="shared" si="27"/>
        <v>0</v>
      </c>
      <c r="AV118" s="190">
        <f t="shared" si="27"/>
        <v>0</v>
      </c>
      <c r="AW118" s="190">
        <f t="shared" si="27"/>
        <v>0</v>
      </c>
      <c r="AX118" s="190">
        <f t="shared" si="27"/>
        <v>0</v>
      </c>
      <c r="AY118" s="190">
        <f t="shared" si="27"/>
        <v>0</v>
      </c>
      <c r="AZ118" s="190">
        <f t="shared" si="27"/>
        <v>0</v>
      </c>
      <c r="BA118" s="190">
        <f t="shared" si="27"/>
        <v>0</v>
      </c>
      <c r="BB118" s="190">
        <f t="shared" si="27"/>
        <v>0</v>
      </c>
      <c r="BC118" s="190">
        <f t="shared" si="27"/>
        <v>0</v>
      </c>
      <c r="BD118" s="190">
        <f t="shared" si="27"/>
        <v>0</v>
      </c>
      <c r="BE118" s="215"/>
      <c r="BH118" s="665" t="s">
        <v>1307</v>
      </c>
    </row>
    <row r="119" spans="1:60" ht="14.25" customHeight="1">
      <c r="B119" s="57" t="b">
        <f t="shared" si="20"/>
        <v>1</v>
      </c>
      <c r="E119" s="459">
        <v>15</v>
      </c>
      <c r="F119" s="3" t="str" cm="1">
        <f t="array" aca="1" ref="F119" ca="1">OFFSET(E119,-1,1)</f>
        <v>2</v>
      </c>
      <c r="H119" s="57" t="s">
        <v>1004</v>
      </c>
      <c r="T119" s="365" t="b" cm="1">
        <f t="array" ref="T119">T118</f>
        <v>1</v>
      </c>
      <c r="X119" s="1075"/>
      <c r="Z119" s="1065"/>
      <c r="AB119" s="152" t="s">
        <v>1005</v>
      </c>
      <c r="AC119" s="153" t="s">
        <v>1308</v>
      </c>
      <c r="AD119" s="26" t="s">
        <v>804</v>
      </c>
      <c r="AE119" s="147"/>
      <c r="AF119" s="147"/>
      <c r="AG119" s="147"/>
      <c r="AH119" s="147"/>
      <c r="AI119" s="147"/>
      <c r="AJ119" s="147"/>
      <c r="AK119" s="147"/>
      <c r="AL119" s="787"/>
      <c r="AM119" s="787"/>
      <c r="AN119" s="787"/>
      <c r="AO119" s="787"/>
      <c r="AP119" s="787"/>
      <c r="AQ119" s="787"/>
      <c r="AR119" s="787"/>
      <c r="AS119" s="787"/>
      <c r="AT119" s="787"/>
      <c r="AU119" s="147"/>
      <c r="AV119" s="787"/>
      <c r="AW119" s="787"/>
      <c r="AX119" s="787"/>
      <c r="AY119" s="787"/>
      <c r="AZ119" s="787"/>
      <c r="BA119" s="787"/>
      <c r="BB119" s="787"/>
      <c r="BC119" s="787"/>
      <c r="BD119" s="787"/>
      <c r="BE119" s="215"/>
      <c r="BH119" s="665" t="s">
        <v>1241</v>
      </c>
    </row>
    <row r="120" spans="1:60" ht="14.25" customHeight="1">
      <c r="B120" s="57" t="b">
        <f t="shared" si="20"/>
        <v>1</v>
      </c>
      <c r="E120" s="459">
        <v>15</v>
      </c>
      <c r="F120" s="3" t="str" cm="1">
        <f t="array" aca="1" ref="F120" ca="1">OFFSET(E120,-1,1)</f>
        <v>2</v>
      </c>
      <c r="H120" s="57" t="s">
        <v>1008</v>
      </c>
      <c r="K120" s="59" t="str">
        <f ca="1">F120&amp;"1komm"</f>
        <v>21komm</v>
      </c>
      <c r="L120" s="618" cm="1">
        <f t="array" ref="L120">BE120</f>
        <v>0</v>
      </c>
      <c r="T120" s="365" t="b" cm="1">
        <f t="array" ref="T120">T119</f>
        <v>1</v>
      </c>
      <c r="X120" s="1075"/>
      <c r="Z120" s="1065"/>
      <c r="AB120" s="152" t="s">
        <v>1009</v>
      </c>
      <c r="AC120" s="153" t="s">
        <v>1309</v>
      </c>
      <c r="AD120" s="26" t="s">
        <v>804</v>
      </c>
      <c r="AE120" s="147"/>
      <c r="AF120" s="147"/>
      <c r="AG120" s="147"/>
      <c r="AH120" s="147"/>
      <c r="AI120" s="147"/>
      <c r="AJ120" s="147"/>
      <c r="AK120" s="147"/>
      <c r="AL120" s="787"/>
      <c r="AM120" s="787"/>
      <c r="AN120" s="787"/>
      <c r="AO120" s="787"/>
      <c r="AP120" s="787"/>
      <c r="AQ120" s="787"/>
      <c r="AR120" s="787"/>
      <c r="AS120" s="787"/>
      <c r="AT120" s="787"/>
      <c r="AU120" s="147"/>
      <c r="AV120" s="787"/>
      <c r="AW120" s="787"/>
      <c r="AX120" s="787"/>
      <c r="AY120" s="787"/>
      <c r="AZ120" s="787"/>
      <c r="BA120" s="787"/>
      <c r="BB120" s="787"/>
      <c r="BC120" s="787"/>
      <c r="BD120" s="787"/>
      <c r="BE120" s="215"/>
      <c r="BH120" s="665" t="s">
        <v>1310</v>
      </c>
    </row>
    <row r="121" spans="1:60" ht="14.25" customHeight="1">
      <c r="B121" s="57" t="b">
        <f t="shared" si="20"/>
        <v>1</v>
      </c>
      <c r="E121" s="459">
        <v>15</v>
      </c>
      <c r="F121" s="3" t="str" cm="1">
        <f t="array" aca="1" ref="F121" ca="1">OFFSET(E121,-1,1)</f>
        <v>2</v>
      </c>
      <c r="H121" s="57" t="s">
        <v>1311</v>
      </c>
      <c r="T121" s="365" t="b" cm="1">
        <f t="array" ref="T121">T120</f>
        <v>1</v>
      </c>
      <c r="X121" s="1075"/>
      <c r="Z121" s="1065"/>
      <c r="AB121" s="152" t="s">
        <v>1312</v>
      </c>
      <c r="AC121" s="153" t="s">
        <v>1313</v>
      </c>
      <c r="AD121" s="26" t="s">
        <v>804</v>
      </c>
      <c r="AE121" s="147"/>
      <c r="AF121" s="147"/>
      <c r="AG121" s="147"/>
      <c r="AH121" s="147"/>
      <c r="AI121" s="147"/>
      <c r="AJ121" s="147"/>
      <c r="AK121" s="147"/>
      <c r="AL121" s="787"/>
      <c r="AM121" s="787"/>
      <c r="AN121" s="787"/>
      <c r="AO121" s="787"/>
      <c r="AP121" s="787"/>
      <c r="AQ121" s="787"/>
      <c r="AR121" s="787"/>
      <c r="AS121" s="787"/>
      <c r="AT121" s="787"/>
      <c r="AU121" s="147"/>
      <c r="AV121" s="787"/>
      <c r="AW121" s="787"/>
      <c r="AX121" s="787"/>
      <c r="AY121" s="787"/>
      <c r="AZ121" s="787"/>
      <c r="BA121" s="787"/>
      <c r="BB121" s="787"/>
      <c r="BC121" s="787"/>
      <c r="BD121" s="787"/>
      <c r="BE121" s="215"/>
      <c r="BH121" s="665" t="s">
        <v>1314</v>
      </c>
    </row>
    <row r="122" spans="1:60" ht="14.25" customHeight="1">
      <c r="B122" s="57" t="b">
        <f t="shared" ref="B122:B144" si="28">InvestmentSources_is_one_block="нет"</f>
        <v>1</v>
      </c>
      <c r="E122" s="459">
        <v>15</v>
      </c>
      <c r="F122" s="3" t="str" cm="1">
        <f t="array" aca="1" ref="F122" ca="1">OFFSET(E122,-1,1)</f>
        <v>2</v>
      </c>
      <c r="H122" s="57" t="s">
        <v>1315</v>
      </c>
      <c r="T122" s="365" t="b" cm="1">
        <f t="array" ref="T122">T121</f>
        <v>1</v>
      </c>
      <c r="X122" s="1075"/>
      <c r="Z122" s="1065"/>
      <c r="AB122" s="152" t="s">
        <v>1316</v>
      </c>
      <c r="AC122" s="153" t="s">
        <v>1317</v>
      </c>
      <c r="AD122" s="26" t="s">
        <v>804</v>
      </c>
      <c r="AE122" s="147"/>
      <c r="AF122" s="147"/>
      <c r="AG122" s="147"/>
      <c r="AH122" s="147"/>
      <c r="AI122" s="147"/>
      <c r="AJ122" s="147"/>
      <c r="AK122" s="147"/>
      <c r="AL122" s="787"/>
      <c r="AM122" s="787"/>
      <c r="AN122" s="787"/>
      <c r="AO122" s="787"/>
      <c r="AP122" s="787"/>
      <c r="AQ122" s="787"/>
      <c r="AR122" s="787"/>
      <c r="AS122" s="787"/>
      <c r="AT122" s="787"/>
      <c r="AU122" s="147"/>
      <c r="AV122" s="787"/>
      <c r="AW122" s="787"/>
      <c r="AX122" s="787"/>
      <c r="AY122" s="787"/>
      <c r="AZ122" s="787"/>
      <c r="BA122" s="787"/>
      <c r="BB122" s="787"/>
      <c r="BC122" s="787"/>
      <c r="BD122" s="787"/>
      <c r="BE122" s="215"/>
      <c r="BH122" s="665" t="s">
        <v>1318</v>
      </c>
    </row>
    <row r="123" spans="1:60" ht="21.75" customHeight="1">
      <c r="B123" s="57" t="b">
        <f t="shared" si="28"/>
        <v>1</v>
      </c>
      <c r="E123" s="459">
        <v>22.5</v>
      </c>
      <c r="F123" s="3" t="str" cm="1">
        <f t="array" aca="1" ref="F123" ca="1">OFFSET(E123,-1,1)</f>
        <v>2</v>
      </c>
      <c r="T123" s="365" t="b" cm="1">
        <f t="array" ref="T123">T122</f>
        <v>1</v>
      </c>
      <c r="X123" s="1075"/>
      <c r="Z123" s="1065"/>
      <c r="AB123" s="152" t="s">
        <v>1319</v>
      </c>
      <c r="AC123" s="153" t="s">
        <v>1320</v>
      </c>
      <c r="AD123" s="26" t="s">
        <v>804</v>
      </c>
      <c r="AE123" s="147">
        <f t="shared" ref="AE123:BD123" si="29">AE124+AE125+AE126+AE127</f>
        <v>0</v>
      </c>
      <c r="AF123" s="147">
        <f t="shared" si="29"/>
        <v>0</v>
      </c>
      <c r="AG123" s="147">
        <f t="shared" si="29"/>
        <v>0</v>
      </c>
      <c r="AH123" s="147">
        <f t="shared" si="29"/>
        <v>0</v>
      </c>
      <c r="AI123" s="147">
        <f t="shared" si="29"/>
        <v>0</v>
      </c>
      <c r="AJ123" s="147">
        <f t="shared" si="29"/>
        <v>0</v>
      </c>
      <c r="AK123" s="147">
        <f t="shared" si="29"/>
        <v>0</v>
      </c>
      <c r="AL123" s="787">
        <f t="shared" si="29"/>
        <v>0</v>
      </c>
      <c r="AM123" s="787">
        <f t="shared" si="29"/>
        <v>0</v>
      </c>
      <c r="AN123" s="787">
        <f t="shared" si="29"/>
        <v>0</v>
      </c>
      <c r="AO123" s="787">
        <f t="shared" si="29"/>
        <v>0</v>
      </c>
      <c r="AP123" s="787">
        <f t="shared" si="29"/>
        <v>0</v>
      </c>
      <c r="AQ123" s="787">
        <f t="shared" si="29"/>
        <v>0</v>
      </c>
      <c r="AR123" s="787">
        <f t="shared" si="29"/>
        <v>0</v>
      </c>
      <c r="AS123" s="787">
        <f t="shared" si="29"/>
        <v>0</v>
      </c>
      <c r="AT123" s="787">
        <f t="shared" si="29"/>
        <v>0</v>
      </c>
      <c r="AU123" s="147">
        <f t="shared" si="29"/>
        <v>0</v>
      </c>
      <c r="AV123" s="787">
        <f t="shared" si="29"/>
        <v>0</v>
      </c>
      <c r="AW123" s="787">
        <f t="shared" si="29"/>
        <v>0</v>
      </c>
      <c r="AX123" s="787">
        <f t="shared" si="29"/>
        <v>0</v>
      </c>
      <c r="AY123" s="787">
        <f t="shared" si="29"/>
        <v>0</v>
      </c>
      <c r="AZ123" s="787">
        <f t="shared" si="29"/>
        <v>0</v>
      </c>
      <c r="BA123" s="787">
        <f t="shared" si="29"/>
        <v>0</v>
      </c>
      <c r="BB123" s="787">
        <f t="shared" si="29"/>
        <v>0</v>
      </c>
      <c r="BC123" s="787">
        <f t="shared" si="29"/>
        <v>0</v>
      </c>
      <c r="BD123" s="787">
        <f t="shared" si="29"/>
        <v>0</v>
      </c>
      <c r="BE123" s="215"/>
      <c r="BH123" s="665" t="s">
        <v>1321</v>
      </c>
    </row>
    <row r="124" spans="1:60" ht="44.25" customHeight="1">
      <c r="B124" s="57" t="b">
        <f t="shared" si="28"/>
        <v>1</v>
      </c>
      <c r="E124" s="459">
        <v>45.75</v>
      </c>
      <c r="F124" s="3" t="str" cm="1">
        <f t="array" aca="1" ref="F124" ca="1">OFFSET(E124,-1,1)</f>
        <v>2</v>
      </c>
      <c r="T124" s="365" t="b" cm="1">
        <f t="array" ref="T124">T123</f>
        <v>1</v>
      </c>
      <c r="X124" s="1075"/>
      <c r="Z124" s="1065"/>
      <c r="AB124" s="152" t="s">
        <v>1322</v>
      </c>
      <c r="AC124" s="553" t="s">
        <v>1323</v>
      </c>
      <c r="AD124" s="26" t="s">
        <v>804</v>
      </c>
      <c r="AE124" s="147"/>
      <c r="AF124" s="147"/>
      <c r="AG124" s="147"/>
      <c r="AH124" s="147"/>
      <c r="AI124" s="147"/>
      <c r="AJ124" s="147"/>
      <c r="AK124" s="147"/>
      <c r="AL124" s="787"/>
      <c r="AM124" s="787"/>
      <c r="AN124" s="787"/>
      <c r="AO124" s="787"/>
      <c r="AP124" s="787"/>
      <c r="AQ124" s="787"/>
      <c r="AR124" s="787"/>
      <c r="AS124" s="787"/>
      <c r="AT124" s="787"/>
      <c r="AU124" s="147"/>
      <c r="AV124" s="787"/>
      <c r="AW124" s="787"/>
      <c r="AX124" s="787"/>
      <c r="AY124" s="787"/>
      <c r="AZ124" s="787"/>
      <c r="BA124" s="787"/>
      <c r="BB124" s="787"/>
      <c r="BC124" s="787"/>
      <c r="BD124" s="787"/>
      <c r="BE124" s="215"/>
      <c r="BH124" s="665" t="s">
        <v>1324</v>
      </c>
    </row>
    <row r="125" spans="1:60" ht="44.25" customHeight="1">
      <c r="B125" s="57" t="b">
        <f t="shared" si="28"/>
        <v>1</v>
      </c>
      <c r="E125" s="459">
        <v>45.75</v>
      </c>
      <c r="F125" s="3" t="str" cm="1">
        <f t="array" aca="1" ref="F125" ca="1">OFFSET(E125,-1,1)</f>
        <v>2</v>
      </c>
      <c r="T125" s="365" t="b" cm="1">
        <f t="array" ref="T125">T124</f>
        <v>1</v>
      </c>
      <c r="X125" s="1075"/>
      <c r="Z125" s="1065"/>
      <c r="AB125" s="152" t="s">
        <v>1325</v>
      </c>
      <c r="AC125" s="553" t="s">
        <v>1326</v>
      </c>
      <c r="AD125" s="26" t="s">
        <v>804</v>
      </c>
      <c r="AE125" s="147"/>
      <c r="AF125" s="147"/>
      <c r="AG125" s="147"/>
      <c r="AH125" s="147"/>
      <c r="AI125" s="147"/>
      <c r="AJ125" s="147"/>
      <c r="AK125" s="147"/>
      <c r="AL125" s="787"/>
      <c r="AM125" s="787"/>
      <c r="AN125" s="787"/>
      <c r="AO125" s="787"/>
      <c r="AP125" s="787"/>
      <c r="AQ125" s="787"/>
      <c r="AR125" s="787"/>
      <c r="AS125" s="787"/>
      <c r="AT125" s="787"/>
      <c r="AU125" s="147"/>
      <c r="AV125" s="787"/>
      <c r="AW125" s="787"/>
      <c r="AX125" s="787"/>
      <c r="AY125" s="787"/>
      <c r="AZ125" s="787"/>
      <c r="BA125" s="787"/>
      <c r="BB125" s="787"/>
      <c r="BC125" s="787"/>
      <c r="BD125" s="787"/>
      <c r="BE125" s="215"/>
      <c r="BH125" s="665" t="s">
        <v>1327</v>
      </c>
    </row>
    <row r="126" spans="1:60" ht="44.25" customHeight="1">
      <c r="B126" s="57" t="b">
        <f t="shared" si="28"/>
        <v>1</v>
      </c>
      <c r="E126" s="459">
        <v>45.75</v>
      </c>
      <c r="F126" s="3" t="str" cm="1">
        <f t="array" aca="1" ref="F126" ca="1">OFFSET(E126,-1,1)</f>
        <v>2</v>
      </c>
      <c r="T126" s="365" t="b" cm="1">
        <f t="array" ref="T126">T125</f>
        <v>1</v>
      </c>
      <c r="X126" s="1075"/>
      <c r="Z126" s="1065"/>
      <c r="AB126" s="152" t="s">
        <v>1328</v>
      </c>
      <c r="AC126" s="553" t="s">
        <v>1329</v>
      </c>
      <c r="AD126" s="26" t="s">
        <v>804</v>
      </c>
      <c r="AE126" s="147"/>
      <c r="AF126" s="147"/>
      <c r="AG126" s="147"/>
      <c r="AH126" s="147"/>
      <c r="AI126" s="147"/>
      <c r="AJ126" s="147"/>
      <c r="AK126" s="147"/>
      <c r="AL126" s="787"/>
      <c r="AM126" s="787"/>
      <c r="AN126" s="787"/>
      <c r="AO126" s="787"/>
      <c r="AP126" s="787"/>
      <c r="AQ126" s="787"/>
      <c r="AR126" s="787"/>
      <c r="AS126" s="787"/>
      <c r="AT126" s="787"/>
      <c r="AU126" s="147"/>
      <c r="AV126" s="787"/>
      <c r="AW126" s="787"/>
      <c r="AX126" s="787"/>
      <c r="AY126" s="787"/>
      <c r="AZ126" s="787"/>
      <c r="BA126" s="787"/>
      <c r="BB126" s="787"/>
      <c r="BC126" s="787"/>
      <c r="BD126" s="787"/>
      <c r="BE126" s="215"/>
      <c r="BH126" s="665" t="s">
        <v>1330</v>
      </c>
    </row>
    <row r="127" spans="1:60" ht="21.75" customHeight="1">
      <c r="B127" s="57" t="b">
        <f t="shared" si="28"/>
        <v>1</v>
      </c>
      <c r="E127" s="459">
        <v>22.5</v>
      </c>
      <c r="F127" s="3" t="str" cm="1">
        <f t="array" aca="1" ref="F127" ca="1">OFFSET(E127,-1,1)</f>
        <v>2</v>
      </c>
      <c r="T127" s="365" t="b" cm="1">
        <f t="array" ref="T127">T126</f>
        <v>1</v>
      </c>
      <c r="X127" s="1075"/>
      <c r="Z127" s="1065"/>
      <c r="AB127" s="152" t="s">
        <v>1331</v>
      </c>
      <c r="AC127" s="553" t="s">
        <v>1332</v>
      </c>
      <c r="AD127" s="26" t="s">
        <v>804</v>
      </c>
      <c r="AE127" s="147"/>
      <c r="AF127" s="147"/>
      <c r="AG127" s="147"/>
      <c r="AH127" s="147"/>
      <c r="AI127" s="147"/>
      <c r="AJ127" s="147"/>
      <c r="AK127" s="147"/>
      <c r="AL127" s="787"/>
      <c r="AM127" s="787"/>
      <c r="AN127" s="787"/>
      <c r="AO127" s="787"/>
      <c r="AP127" s="787"/>
      <c r="AQ127" s="787"/>
      <c r="AR127" s="787"/>
      <c r="AS127" s="787"/>
      <c r="AT127" s="787"/>
      <c r="AU127" s="147"/>
      <c r="AV127" s="787"/>
      <c r="AW127" s="787"/>
      <c r="AX127" s="787"/>
      <c r="AY127" s="787"/>
      <c r="AZ127" s="787"/>
      <c r="BA127" s="787"/>
      <c r="BB127" s="787"/>
      <c r="BC127" s="787"/>
      <c r="BD127" s="787"/>
      <c r="BE127" s="215"/>
      <c r="BH127" s="665" t="s">
        <v>1333</v>
      </c>
    </row>
    <row r="128" spans="1:60" ht="14.25" customHeight="1">
      <c r="B128" s="57" t="b">
        <f t="shared" si="28"/>
        <v>1</v>
      </c>
      <c r="E128" s="459">
        <v>15</v>
      </c>
      <c r="F128" s="3" t="str" cm="1">
        <f t="array" aca="1" ref="F128" ca="1">OFFSET(E128,-1,1)</f>
        <v>2</v>
      </c>
      <c r="H128" s="57" t="s">
        <v>465</v>
      </c>
      <c r="T128" s="365" t="b" cm="1">
        <f t="array" ref="T128">T127</f>
        <v>1</v>
      </c>
      <c r="X128" s="1075"/>
      <c r="Z128" s="1065"/>
      <c r="AB128" s="152" t="s">
        <v>900</v>
      </c>
      <c r="AC128" s="146" t="s">
        <v>1334</v>
      </c>
      <c r="AD128" s="26" t="s">
        <v>804</v>
      </c>
      <c r="AE128" s="190">
        <f t="shared" ref="AE128:BD128" si="30">AE129+AE130+AE131</f>
        <v>0</v>
      </c>
      <c r="AF128" s="190">
        <f t="shared" si="30"/>
        <v>0</v>
      </c>
      <c r="AG128" s="190">
        <f t="shared" si="30"/>
        <v>0</v>
      </c>
      <c r="AH128" s="190">
        <f t="shared" si="30"/>
        <v>0</v>
      </c>
      <c r="AI128" s="190">
        <f t="shared" si="30"/>
        <v>0</v>
      </c>
      <c r="AJ128" s="190">
        <f t="shared" si="30"/>
        <v>0</v>
      </c>
      <c r="AK128" s="190">
        <f t="shared" si="30"/>
        <v>0</v>
      </c>
      <c r="AL128" s="190">
        <f t="shared" si="30"/>
        <v>0</v>
      </c>
      <c r="AM128" s="190">
        <f t="shared" si="30"/>
        <v>0</v>
      </c>
      <c r="AN128" s="190">
        <f t="shared" si="30"/>
        <v>0</v>
      </c>
      <c r="AO128" s="190">
        <f t="shared" si="30"/>
        <v>0</v>
      </c>
      <c r="AP128" s="190">
        <f t="shared" si="30"/>
        <v>0</v>
      </c>
      <c r="AQ128" s="190">
        <f t="shared" si="30"/>
        <v>0</v>
      </c>
      <c r="AR128" s="190">
        <f t="shared" si="30"/>
        <v>0</v>
      </c>
      <c r="AS128" s="190">
        <f t="shared" si="30"/>
        <v>0</v>
      </c>
      <c r="AT128" s="190">
        <f t="shared" si="30"/>
        <v>0</v>
      </c>
      <c r="AU128" s="190">
        <f t="shared" si="30"/>
        <v>0</v>
      </c>
      <c r="AV128" s="190">
        <f t="shared" si="30"/>
        <v>0</v>
      </c>
      <c r="AW128" s="190">
        <f t="shared" si="30"/>
        <v>0</v>
      </c>
      <c r="AX128" s="190">
        <f t="shared" si="30"/>
        <v>0</v>
      </c>
      <c r="AY128" s="190">
        <f t="shared" si="30"/>
        <v>0</v>
      </c>
      <c r="AZ128" s="190">
        <f t="shared" si="30"/>
        <v>0</v>
      </c>
      <c r="BA128" s="190">
        <f t="shared" si="30"/>
        <v>0</v>
      </c>
      <c r="BB128" s="190">
        <f t="shared" si="30"/>
        <v>0</v>
      </c>
      <c r="BC128" s="190">
        <f t="shared" si="30"/>
        <v>0</v>
      </c>
      <c r="BD128" s="190">
        <f t="shared" si="30"/>
        <v>0</v>
      </c>
      <c r="BE128" s="215"/>
      <c r="BH128" s="665" t="s">
        <v>1335</v>
      </c>
    </row>
    <row r="129" spans="1:60" ht="14.25" customHeight="1">
      <c r="B129" s="57" t="b">
        <f t="shared" si="28"/>
        <v>1</v>
      </c>
      <c r="E129" s="459">
        <v>15</v>
      </c>
      <c r="F129" s="3" t="str" cm="1">
        <f t="array" aca="1" ref="F129" ca="1">OFFSET(E129,-1,1)</f>
        <v>2</v>
      </c>
      <c r="H129" s="57" t="s">
        <v>1336</v>
      </c>
      <c r="T129" s="365" t="b" cm="1">
        <f t="array" ref="T129">T128</f>
        <v>1</v>
      </c>
      <c r="X129" s="1075"/>
      <c r="Z129" s="1065"/>
      <c r="AB129" s="152" t="s">
        <v>1337</v>
      </c>
      <c r="AC129" s="153" t="s">
        <v>1338</v>
      </c>
      <c r="AD129" s="26" t="s">
        <v>804</v>
      </c>
      <c r="AE129" s="147"/>
      <c r="AF129" s="147"/>
      <c r="AG129" s="147"/>
      <c r="AH129" s="147"/>
      <c r="AI129" s="147"/>
      <c r="AJ129" s="147"/>
      <c r="AK129" s="147"/>
      <c r="AL129" s="787"/>
      <c r="AM129" s="787"/>
      <c r="AN129" s="787"/>
      <c r="AO129" s="787"/>
      <c r="AP129" s="787"/>
      <c r="AQ129" s="787"/>
      <c r="AR129" s="787"/>
      <c r="AS129" s="787"/>
      <c r="AT129" s="787"/>
      <c r="AU129" s="147"/>
      <c r="AV129" s="787"/>
      <c r="AW129" s="787"/>
      <c r="AX129" s="787"/>
      <c r="AY129" s="787"/>
      <c r="AZ129" s="787"/>
      <c r="BA129" s="787"/>
      <c r="BB129" s="787"/>
      <c r="BC129" s="787"/>
      <c r="BD129" s="787"/>
      <c r="BE129" s="215"/>
      <c r="BH129" s="665" t="s">
        <v>1262</v>
      </c>
    </row>
    <row r="130" spans="1:60" ht="14.25" customHeight="1">
      <c r="B130" s="57" t="b">
        <f t="shared" si="28"/>
        <v>1</v>
      </c>
      <c r="E130" s="459">
        <v>15</v>
      </c>
      <c r="F130" s="3" t="str" cm="1">
        <f t="array" aca="1" ref="F130" ca="1">OFFSET(E130,-1,1)</f>
        <v>2</v>
      </c>
      <c r="H130" s="57" t="s">
        <v>1339</v>
      </c>
      <c r="T130" s="365" t="b" cm="1">
        <f t="array" ref="T130">T129</f>
        <v>1</v>
      </c>
      <c r="X130" s="1075"/>
      <c r="Z130" s="1065"/>
      <c r="AB130" s="152" t="s">
        <v>1340</v>
      </c>
      <c r="AC130" s="153" t="s">
        <v>1341</v>
      </c>
      <c r="AD130" s="26" t="s">
        <v>804</v>
      </c>
      <c r="AE130" s="147"/>
      <c r="AF130" s="147"/>
      <c r="AG130" s="147"/>
      <c r="AH130" s="147"/>
      <c r="AI130" s="147"/>
      <c r="AJ130" s="147"/>
      <c r="AK130" s="147"/>
      <c r="AL130" s="787"/>
      <c r="AM130" s="787"/>
      <c r="AN130" s="787"/>
      <c r="AO130" s="787"/>
      <c r="AP130" s="787"/>
      <c r="AQ130" s="787"/>
      <c r="AR130" s="787"/>
      <c r="AS130" s="787"/>
      <c r="AT130" s="787"/>
      <c r="AU130" s="147"/>
      <c r="AV130" s="787"/>
      <c r="AW130" s="787"/>
      <c r="AX130" s="787"/>
      <c r="AY130" s="787"/>
      <c r="AZ130" s="787"/>
      <c r="BA130" s="787"/>
      <c r="BB130" s="787"/>
      <c r="BC130" s="787"/>
      <c r="BD130" s="787"/>
      <c r="BE130" s="215"/>
      <c r="BH130" s="665" t="s">
        <v>1342</v>
      </c>
    </row>
    <row r="131" spans="1:60" ht="14.25" customHeight="1">
      <c r="B131" s="57" t="b">
        <f t="shared" si="28"/>
        <v>1</v>
      </c>
      <c r="E131" s="459">
        <v>15</v>
      </c>
      <c r="F131" s="3" t="str" cm="1">
        <f t="array" aca="1" ref="F131" ca="1">OFFSET(E131,-1,1)</f>
        <v>2</v>
      </c>
      <c r="H131" s="57" t="s">
        <v>1343</v>
      </c>
      <c r="T131" s="365" t="b" cm="1">
        <f t="array" ref="T131">T130</f>
        <v>1</v>
      </c>
      <c r="X131" s="1075"/>
      <c r="Z131" s="1065"/>
      <c r="AB131" s="152" t="s">
        <v>1344</v>
      </c>
      <c r="AC131" s="153" t="s">
        <v>1345</v>
      </c>
      <c r="AD131" s="26" t="s">
        <v>804</v>
      </c>
      <c r="AE131" s="147"/>
      <c r="AF131" s="147"/>
      <c r="AG131" s="147"/>
      <c r="AH131" s="147"/>
      <c r="AI131" s="147"/>
      <c r="AJ131" s="147"/>
      <c r="AK131" s="147"/>
      <c r="AL131" s="787"/>
      <c r="AM131" s="787"/>
      <c r="AN131" s="787"/>
      <c r="AO131" s="787"/>
      <c r="AP131" s="787"/>
      <c r="AQ131" s="787"/>
      <c r="AR131" s="787"/>
      <c r="AS131" s="787"/>
      <c r="AT131" s="787"/>
      <c r="AU131" s="147"/>
      <c r="AV131" s="787"/>
      <c r="AW131" s="787"/>
      <c r="AX131" s="787"/>
      <c r="AY131" s="787"/>
      <c r="AZ131" s="787"/>
      <c r="BA131" s="787"/>
      <c r="BB131" s="787"/>
      <c r="BC131" s="787"/>
      <c r="BD131" s="787"/>
      <c r="BE131" s="215"/>
      <c r="BH131" s="665" t="s">
        <v>1346</v>
      </c>
    </row>
    <row r="132" spans="1:60" ht="14.25" customHeight="1">
      <c r="B132" s="57" t="b">
        <f t="shared" si="28"/>
        <v>1</v>
      </c>
      <c r="E132" s="459">
        <v>15</v>
      </c>
      <c r="F132" s="3" t="str" cm="1">
        <f t="array" aca="1" ref="F132" ca="1">OFFSET(E132,-1,1)</f>
        <v>2</v>
      </c>
      <c r="H132" s="57" t="s">
        <v>468</v>
      </c>
      <c r="T132" s="365" t="b" cm="1">
        <f t="array" ref="T132">T131</f>
        <v>1</v>
      </c>
      <c r="X132" s="1075"/>
      <c r="Z132" s="1065"/>
      <c r="AB132" s="152" t="s">
        <v>903</v>
      </c>
      <c r="AC132" s="146" t="s">
        <v>1347</v>
      </c>
      <c r="AD132" s="26" t="s">
        <v>804</v>
      </c>
      <c r="AE132" s="190">
        <f t="shared" ref="AE132:BD132" si="31">AE133+AE134+AE135</f>
        <v>0</v>
      </c>
      <c r="AF132" s="190">
        <f t="shared" si="31"/>
        <v>0</v>
      </c>
      <c r="AG132" s="190">
        <f t="shared" si="31"/>
        <v>0</v>
      </c>
      <c r="AH132" s="190">
        <f t="shared" si="31"/>
        <v>0</v>
      </c>
      <c r="AI132" s="190">
        <f t="shared" si="31"/>
        <v>0</v>
      </c>
      <c r="AJ132" s="190">
        <f t="shared" si="31"/>
        <v>0</v>
      </c>
      <c r="AK132" s="190">
        <f t="shared" si="31"/>
        <v>0</v>
      </c>
      <c r="AL132" s="190">
        <f t="shared" si="31"/>
        <v>0</v>
      </c>
      <c r="AM132" s="190">
        <f t="shared" si="31"/>
        <v>0</v>
      </c>
      <c r="AN132" s="190">
        <f t="shared" si="31"/>
        <v>0</v>
      </c>
      <c r="AO132" s="190">
        <f t="shared" si="31"/>
        <v>0</v>
      </c>
      <c r="AP132" s="190">
        <f t="shared" si="31"/>
        <v>0</v>
      </c>
      <c r="AQ132" s="190">
        <f t="shared" si="31"/>
        <v>0</v>
      </c>
      <c r="AR132" s="190">
        <f t="shared" si="31"/>
        <v>0</v>
      </c>
      <c r="AS132" s="190">
        <f t="shared" si="31"/>
        <v>0</v>
      </c>
      <c r="AT132" s="190">
        <f t="shared" si="31"/>
        <v>0</v>
      </c>
      <c r="AU132" s="190">
        <f t="shared" si="31"/>
        <v>0</v>
      </c>
      <c r="AV132" s="190">
        <f t="shared" si="31"/>
        <v>0</v>
      </c>
      <c r="AW132" s="190">
        <f t="shared" si="31"/>
        <v>0</v>
      </c>
      <c r="AX132" s="190">
        <f t="shared" si="31"/>
        <v>0</v>
      </c>
      <c r="AY132" s="190">
        <f t="shared" si="31"/>
        <v>0</v>
      </c>
      <c r="AZ132" s="190">
        <f t="shared" si="31"/>
        <v>0</v>
      </c>
      <c r="BA132" s="190">
        <f t="shared" si="31"/>
        <v>0</v>
      </c>
      <c r="BB132" s="190">
        <f t="shared" si="31"/>
        <v>0</v>
      </c>
      <c r="BC132" s="190">
        <f t="shared" si="31"/>
        <v>0</v>
      </c>
      <c r="BD132" s="190">
        <f t="shared" si="31"/>
        <v>0</v>
      </c>
      <c r="BE132" s="215"/>
      <c r="BH132" s="665" t="s">
        <v>1348</v>
      </c>
    </row>
    <row r="133" spans="1:60" ht="14.25" customHeight="1">
      <c r="B133" s="57" t="b">
        <f t="shared" si="28"/>
        <v>1</v>
      </c>
      <c r="E133" s="459">
        <v>15</v>
      </c>
      <c r="F133" s="3" t="str" cm="1">
        <f t="array" aca="1" ref="F133" ca="1">OFFSET(E133,-1,1)</f>
        <v>2</v>
      </c>
      <c r="H133" s="57" t="s">
        <v>1349</v>
      </c>
      <c r="T133" s="365" t="b" cm="1">
        <f t="array" ref="T133">T132</f>
        <v>1</v>
      </c>
      <c r="X133" s="1075"/>
      <c r="Z133" s="1065"/>
      <c r="AB133" s="152" t="s">
        <v>1350</v>
      </c>
      <c r="AC133" s="153" t="s">
        <v>1351</v>
      </c>
      <c r="AD133" s="26" t="s">
        <v>804</v>
      </c>
      <c r="AE133" s="147"/>
      <c r="AF133" s="147"/>
      <c r="AG133" s="147"/>
      <c r="AH133" s="147"/>
      <c r="AI133" s="147"/>
      <c r="AJ133" s="147"/>
      <c r="AK133" s="147"/>
      <c r="AL133" s="787"/>
      <c r="AM133" s="787"/>
      <c r="AN133" s="787"/>
      <c r="AO133" s="787"/>
      <c r="AP133" s="787"/>
      <c r="AQ133" s="787"/>
      <c r="AR133" s="787"/>
      <c r="AS133" s="787"/>
      <c r="AT133" s="787"/>
      <c r="AU133" s="147"/>
      <c r="AV133" s="787"/>
      <c r="AW133" s="787"/>
      <c r="AX133" s="787"/>
      <c r="AY133" s="787"/>
      <c r="AZ133" s="787"/>
      <c r="BA133" s="787"/>
      <c r="BB133" s="787"/>
      <c r="BC133" s="787"/>
      <c r="BD133" s="787"/>
      <c r="BE133" s="215"/>
      <c r="BH133" s="665" t="s">
        <v>1352</v>
      </c>
    </row>
    <row r="134" spans="1:60" ht="14.25" customHeight="1">
      <c r="B134" s="57" t="b">
        <f t="shared" si="28"/>
        <v>1</v>
      </c>
      <c r="E134" s="459">
        <v>15</v>
      </c>
      <c r="F134" s="3" t="str" cm="1">
        <f t="array" aca="1" ref="F134" ca="1">OFFSET(E134,-1,1)</f>
        <v>2</v>
      </c>
      <c r="H134" s="57" t="s">
        <v>1353</v>
      </c>
      <c r="T134" s="365" t="b" cm="1">
        <f t="array" ref="T134">T133</f>
        <v>1</v>
      </c>
      <c r="X134" s="1075"/>
      <c r="Z134" s="1065"/>
      <c r="AB134" s="152" t="s">
        <v>1354</v>
      </c>
      <c r="AC134" s="153" t="s">
        <v>1355</v>
      </c>
      <c r="AD134" s="26" t="s">
        <v>804</v>
      </c>
      <c r="AE134" s="147"/>
      <c r="AF134" s="147"/>
      <c r="AG134" s="147"/>
      <c r="AH134" s="147"/>
      <c r="AI134" s="147"/>
      <c r="AJ134" s="147"/>
      <c r="AK134" s="147"/>
      <c r="AL134" s="787"/>
      <c r="AM134" s="787"/>
      <c r="AN134" s="787"/>
      <c r="AO134" s="787"/>
      <c r="AP134" s="787"/>
      <c r="AQ134" s="787"/>
      <c r="AR134" s="787"/>
      <c r="AS134" s="787"/>
      <c r="AT134" s="787"/>
      <c r="AU134" s="147"/>
      <c r="AV134" s="787"/>
      <c r="AW134" s="787"/>
      <c r="AX134" s="787"/>
      <c r="AY134" s="787"/>
      <c r="AZ134" s="787"/>
      <c r="BA134" s="787"/>
      <c r="BB134" s="787"/>
      <c r="BC134" s="787"/>
      <c r="BD134" s="787"/>
      <c r="BE134" s="215"/>
      <c r="BH134" s="665" t="s">
        <v>1356</v>
      </c>
    </row>
    <row r="135" spans="1:60" ht="14.25" customHeight="1">
      <c r="B135" s="57" t="b">
        <f t="shared" si="28"/>
        <v>1</v>
      </c>
      <c r="E135" s="459">
        <v>15</v>
      </c>
      <c r="F135" s="3" t="str" cm="1">
        <f t="array" aca="1" ref="F135" ca="1">OFFSET(E135,-1,1)</f>
        <v>2</v>
      </c>
      <c r="H135" s="57" t="s">
        <v>1357</v>
      </c>
      <c r="T135" s="365" t="b" cm="1">
        <f t="array" ref="T135">T134</f>
        <v>1</v>
      </c>
      <c r="X135" s="1075"/>
      <c r="Z135" s="1065"/>
      <c r="AB135" s="152" t="s">
        <v>1358</v>
      </c>
      <c r="AC135" s="153" t="s">
        <v>1359</v>
      </c>
      <c r="AD135" s="26" t="s">
        <v>804</v>
      </c>
      <c r="AE135" s="147"/>
      <c r="AF135" s="147"/>
      <c r="AG135" s="147"/>
      <c r="AH135" s="147"/>
      <c r="AI135" s="147"/>
      <c r="AJ135" s="147"/>
      <c r="AK135" s="147"/>
      <c r="AL135" s="787"/>
      <c r="AM135" s="787"/>
      <c r="AN135" s="787"/>
      <c r="AO135" s="787"/>
      <c r="AP135" s="787"/>
      <c r="AQ135" s="787"/>
      <c r="AR135" s="787"/>
      <c r="AS135" s="787"/>
      <c r="AT135" s="787"/>
      <c r="AU135" s="147"/>
      <c r="AV135" s="787"/>
      <c r="AW135" s="787"/>
      <c r="AX135" s="787"/>
      <c r="AY135" s="787"/>
      <c r="AZ135" s="787"/>
      <c r="BA135" s="787"/>
      <c r="BB135" s="787"/>
      <c r="BC135" s="787"/>
      <c r="BD135" s="787"/>
      <c r="BE135" s="215"/>
      <c r="BH135" s="665" t="s">
        <v>1360</v>
      </c>
    </row>
    <row r="136" spans="1:60" ht="14.25" customHeight="1">
      <c r="B136" s="57" t="b">
        <f t="shared" si="28"/>
        <v>1</v>
      </c>
      <c r="E136" s="459">
        <v>15</v>
      </c>
      <c r="F136" s="3" t="str" cm="1">
        <f t="array" aca="1" ref="F136" ca="1">OFFSET(E136,-1,1)</f>
        <v>2</v>
      </c>
      <c r="H136" s="57" t="s">
        <v>472</v>
      </c>
      <c r="T136" s="365" t="b" cm="1">
        <f t="array" ref="T136">T135</f>
        <v>1</v>
      </c>
      <c r="X136" s="1075"/>
      <c r="Z136" s="1065"/>
      <c r="AB136" s="152" t="s">
        <v>906</v>
      </c>
      <c r="AC136" s="146" t="s">
        <v>1361</v>
      </c>
      <c r="AD136" s="26" t="s">
        <v>804</v>
      </c>
      <c r="AE136" s="190">
        <f t="shared" ref="AE136:BD136" si="32">AE137+AE138+AE139+AE140</f>
        <v>0</v>
      </c>
      <c r="AF136" s="190">
        <f t="shared" si="32"/>
        <v>0</v>
      </c>
      <c r="AG136" s="190">
        <f t="shared" si="32"/>
        <v>0</v>
      </c>
      <c r="AH136" s="190">
        <f t="shared" si="32"/>
        <v>0</v>
      </c>
      <c r="AI136" s="190">
        <f t="shared" si="32"/>
        <v>0</v>
      </c>
      <c r="AJ136" s="190">
        <f t="shared" si="32"/>
        <v>0</v>
      </c>
      <c r="AK136" s="190">
        <f t="shared" si="32"/>
        <v>0</v>
      </c>
      <c r="AL136" s="190">
        <f t="shared" si="32"/>
        <v>0</v>
      </c>
      <c r="AM136" s="190">
        <f t="shared" si="32"/>
        <v>0</v>
      </c>
      <c r="AN136" s="190">
        <f t="shared" si="32"/>
        <v>0</v>
      </c>
      <c r="AO136" s="190">
        <f t="shared" si="32"/>
        <v>0</v>
      </c>
      <c r="AP136" s="190">
        <f t="shared" si="32"/>
        <v>0</v>
      </c>
      <c r="AQ136" s="190">
        <f t="shared" si="32"/>
        <v>0</v>
      </c>
      <c r="AR136" s="190">
        <f t="shared" si="32"/>
        <v>0</v>
      </c>
      <c r="AS136" s="190">
        <f t="shared" si="32"/>
        <v>0</v>
      </c>
      <c r="AT136" s="190">
        <f t="shared" si="32"/>
        <v>0</v>
      </c>
      <c r="AU136" s="190">
        <f t="shared" si="32"/>
        <v>0</v>
      </c>
      <c r="AV136" s="190">
        <f t="shared" si="32"/>
        <v>0</v>
      </c>
      <c r="AW136" s="190">
        <f t="shared" si="32"/>
        <v>0</v>
      </c>
      <c r="AX136" s="190">
        <f t="shared" si="32"/>
        <v>0</v>
      </c>
      <c r="AY136" s="190">
        <f t="shared" si="32"/>
        <v>0</v>
      </c>
      <c r="AZ136" s="190">
        <f t="shared" si="32"/>
        <v>0</v>
      </c>
      <c r="BA136" s="190">
        <f t="shared" si="32"/>
        <v>0</v>
      </c>
      <c r="BB136" s="190">
        <f t="shared" si="32"/>
        <v>0</v>
      </c>
      <c r="BC136" s="190">
        <f t="shared" si="32"/>
        <v>0</v>
      </c>
      <c r="BD136" s="190">
        <f t="shared" si="32"/>
        <v>0</v>
      </c>
      <c r="BE136" s="215"/>
      <c r="BH136" s="665" t="s">
        <v>1362</v>
      </c>
    </row>
    <row r="137" spans="1:60" ht="14.25" customHeight="1">
      <c r="B137" s="57" t="b">
        <f t="shared" si="28"/>
        <v>1</v>
      </c>
      <c r="E137" s="459">
        <v>15</v>
      </c>
      <c r="F137" s="3" t="str" cm="1">
        <f t="array" aca="1" ref="F137" ca="1">OFFSET(E137,-1,1)</f>
        <v>2</v>
      </c>
      <c r="H137" s="57" t="s">
        <v>1363</v>
      </c>
      <c r="T137" s="365" t="b" cm="1">
        <f t="array" ref="T137">T136</f>
        <v>1</v>
      </c>
      <c r="X137" s="1075"/>
      <c r="Z137" s="1065"/>
      <c r="AB137" s="152" t="s">
        <v>1021</v>
      </c>
      <c r="AC137" s="153" t="s">
        <v>1015</v>
      </c>
      <c r="AD137" s="26" t="s">
        <v>804</v>
      </c>
      <c r="AE137" s="147"/>
      <c r="AF137" s="147"/>
      <c r="AG137" s="147"/>
      <c r="AH137" s="147"/>
      <c r="AI137" s="147"/>
      <c r="AJ137" s="147"/>
      <c r="AK137" s="147"/>
      <c r="AL137" s="787"/>
      <c r="AM137" s="787"/>
      <c r="AN137" s="787"/>
      <c r="AO137" s="787"/>
      <c r="AP137" s="787"/>
      <c r="AQ137" s="787"/>
      <c r="AR137" s="787"/>
      <c r="AS137" s="787"/>
      <c r="AT137" s="787"/>
      <c r="AU137" s="147"/>
      <c r="AV137" s="787"/>
      <c r="AW137" s="787"/>
      <c r="AX137" s="787"/>
      <c r="AY137" s="787"/>
      <c r="AZ137" s="787"/>
      <c r="BA137" s="787"/>
      <c r="BB137" s="787"/>
      <c r="BC137" s="787"/>
      <c r="BD137" s="787"/>
      <c r="BE137" s="215"/>
      <c r="BH137" s="665" t="s">
        <v>1017</v>
      </c>
    </row>
    <row r="138" spans="1:60" ht="21.75" customHeight="1">
      <c r="B138" s="57" t="b">
        <f t="shared" si="28"/>
        <v>1</v>
      </c>
      <c r="E138" s="459">
        <v>22.5</v>
      </c>
      <c r="F138" s="3" t="str" cm="1">
        <f t="array" aca="1" ref="F138" ca="1">OFFSET(E138,-1,1)</f>
        <v>2</v>
      </c>
      <c r="H138" s="57" t="s">
        <v>1364</v>
      </c>
      <c r="T138" s="365" t="b" cm="1">
        <f t="array" ref="T138">T137</f>
        <v>1</v>
      </c>
      <c r="X138" s="1075"/>
      <c r="Z138" s="1065"/>
      <c r="AB138" s="152" t="s">
        <v>1024</v>
      </c>
      <c r="AC138" s="153" t="s">
        <v>1365</v>
      </c>
      <c r="AD138" s="26" t="s">
        <v>804</v>
      </c>
      <c r="AE138" s="147"/>
      <c r="AF138" s="147"/>
      <c r="AG138" s="147"/>
      <c r="AH138" s="147"/>
      <c r="AI138" s="147"/>
      <c r="AJ138" s="147"/>
      <c r="AK138" s="147"/>
      <c r="AL138" s="787"/>
      <c r="AM138" s="787"/>
      <c r="AN138" s="787"/>
      <c r="AO138" s="787"/>
      <c r="AP138" s="787"/>
      <c r="AQ138" s="787"/>
      <c r="AR138" s="787"/>
      <c r="AS138" s="787"/>
      <c r="AT138" s="787"/>
      <c r="AU138" s="147"/>
      <c r="AV138" s="787"/>
      <c r="AW138" s="787"/>
      <c r="AX138" s="787"/>
      <c r="AY138" s="787"/>
      <c r="AZ138" s="787"/>
      <c r="BA138" s="787"/>
      <c r="BB138" s="787"/>
      <c r="BC138" s="787"/>
      <c r="BD138" s="787"/>
      <c r="BE138" s="215"/>
      <c r="BH138" s="665" t="s">
        <v>1366</v>
      </c>
    </row>
    <row r="139" spans="1:60" ht="21.75" customHeight="1">
      <c r="B139" s="57" t="b">
        <f t="shared" si="28"/>
        <v>1</v>
      </c>
      <c r="E139" s="459">
        <v>22.5</v>
      </c>
      <c r="F139" s="3" t="str" cm="1">
        <f t="array" aca="1" ref="F139" ca="1">OFFSET(E139,-1,1)</f>
        <v>2</v>
      </c>
      <c r="H139" s="57" t="s">
        <v>1367</v>
      </c>
      <c r="T139" s="365" t="b" cm="1">
        <f t="array" ref="T139">T138</f>
        <v>1</v>
      </c>
      <c r="X139" s="1075"/>
      <c r="Z139" s="1065"/>
      <c r="AB139" s="152" t="s">
        <v>1368</v>
      </c>
      <c r="AC139" s="153" t="s">
        <v>1369</v>
      </c>
      <c r="AD139" s="26" t="s">
        <v>804</v>
      </c>
      <c r="AE139" s="147"/>
      <c r="AF139" s="147"/>
      <c r="AG139" s="147"/>
      <c r="AH139" s="147"/>
      <c r="AI139" s="147"/>
      <c r="AJ139" s="147"/>
      <c r="AK139" s="147"/>
      <c r="AL139" s="787"/>
      <c r="AM139" s="787"/>
      <c r="AN139" s="787"/>
      <c r="AO139" s="787"/>
      <c r="AP139" s="787"/>
      <c r="AQ139" s="787"/>
      <c r="AR139" s="787"/>
      <c r="AS139" s="787"/>
      <c r="AT139" s="787"/>
      <c r="AU139" s="147"/>
      <c r="AV139" s="787"/>
      <c r="AW139" s="787"/>
      <c r="AX139" s="787"/>
      <c r="AY139" s="787"/>
      <c r="AZ139" s="787"/>
      <c r="BA139" s="787"/>
      <c r="BB139" s="787"/>
      <c r="BC139" s="787"/>
      <c r="BD139" s="787"/>
      <c r="BE139" s="215"/>
      <c r="BH139" s="665" t="s">
        <v>1370</v>
      </c>
    </row>
    <row r="140" spans="1:60" ht="14.25" customHeight="1">
      <c r="B140" s="57" t="b">
        <f t="shared" si="28"/>
        <v>1</v>
      </c>
      <c r="E140" s="459">
        <v>15</v>
      </c>
      <c r="F140" s="3" t="str" cm="1">
        <f t="array" aca="1" ref="F140" ca="1">OFFSET(E140,-1,1)</f>
        <v>2</v>
      </c>
      <c r="H140" s="57" t="s">
        <v>1371</v>
      </c>
      <c r="T140" s="365" t="b" cm="1">
        <f t="array" ref="T140">T139</f>
        <v>1</v>
      </c>
      <c r="X140" s="1075"/>
      <c r="Z140" s="1065"/>
      <c r="AB140" s="152" t="s">
        <v>1372</v>
      </c>
      <c r="AC140" s="153" t="s">
        <v>1373</v>
      </c>
      <c r="AD140" s="26" t="s">
        <v>804</v>
      </c>
      <c r="AE140" s="147"/>
      <c r="AF140" s="147"/>
      <c r="AG140" s="147"/>
      <c r="AH140" s="147"/>
      <c r="AI140" s="147"/>
      <c r="AJ140" s="147"/>
      <c r="AK140" s="147"/>
      <c r="AL140" s="787"/>
      <c r="AM140" s="787"/>
      <c r="AN140" s="787"/>
      <c r="AO140" s="787"/>
      <c r="AP140" s="787"/>
      <c r="AQ140" s="787"/>
      <c r="AR140" s="787"/>
      <c r="AS140" s="787"/>
      <c r="AT140" s="787"/>
      <c r="AU140" s="147"/>
      <c r="AV140" s="787"/>
      <c r="AW140" s="787"/>
      <c r="AX140" s="787"/>
      <c r="AY140" s="787"/>
      <c r="AZ140" s="787"/>
      <c r="BA140" s="787"/>
      <c r="BB140" s="787"/>
      <c r="BC140" s="787"/>
      <c r="BD140" s="787"/>
      <c r="BE140" s="215"/>
      <c r="BH140" s="665" t="s">
        <v>1374</v>
      </c>
    </row>
    <row r="141" spans="1:60" s="935" customFormat="1" ht="21.75" customHeight="1">
      <c r="A141" s="173"/>
      <c r="B141" s="57" t="b">
        <f t="shared" si="28"/>
        <v>1</v>
      </c>
      <c r="C141" s="173"/>
      <c r="D141" s="173"/>
      <c r="E141" s="512">
        <v>22.5</v>
      </c>
      <c r="F141" s="3" t="str" cm="1">
        <f t="array" aca="1" ref="F141" ca="1">OFFSET(E141,-1,1)</f>
        <v>2</v>
      </c>
      <c r="G141" s="57"/>
      <c r="H141" s="57" t="s">
        <v>328</v>
      </c>
      <c r="I141" s="173"/>
      <c r="J141" s="173"/>
      <c r="K141" s="173"/>
      <c r="L141" s="173"/>
      <c r="M141" s="173"/>
      <c r="N141" s="173"/>
      <c r="O141" s="173"/>
      <c r="P141" s="173"/>
      <c r="Q141" s="173"/>
      <c r="R141" s="173"/>
      <c r="S141" s="173"/>
      <c r="T141" s="365" t="b" cm="1">
        <f t="array" ref="T141">T140</f>
        <v>1</v>
      </c>
      <c r="U141" s="173"/>
      <c r="V141" s="173"/>
      <c r="W141" s="173"/>
      <c r="X141" s="1075"/>
      <c r="Y141" s="173"/>
      <c r="Z141" s="1065"/>
      <c r="AA141" s="173"/>
      <c r="AB141" s="150" t="s">
        <v>285</v>
      </c>
      <c r="AC141" s="151" t="s">
        <v>1375</v>
      </c>
      <c r="AD141" s="143" t="s">
        <v>804</v>
      </c>
      <c r="AE141" s="145">
        <f t="shared" ref="AE141:BD141" si="33">AE142+AE143+AE144</f>
        <v>0</v>
      </c>
      <c r="AF141" s="145">
        <f t="shared" si="33"/>
        <v>0</v>
      </c>
      <c r="AG141" s="145">
        <f t="shared" si="33"/>
        <v>0</v>
      </c>
      <c r="AH141" s="145">
        <f t="shared" si="33"/>
        <v>0</v>
      </c>
      <c r="AI141" s="145">
        <f t="shared" si="33"/>
        <v>0</v>
      </c>
      <c r="AJ141" s="145">
        <f t="shared" si="33"/>
        <v>0</v>
      </c>
      <c r="AK141" s="145">
        <f t="shared" si="33"/>
        <v>0</v>
      </c>
      <c r="AL141" s="145">
        <f t="shared" si="33"/>
        <v>0</v>
      </c>
      <c r="AM141" s="145">
        <f t="shared" si="33"/>
        <v>0</v>
      </c>
      <c r="AN141" s="145">
        <f t="shared" si="33"/>
        <v>0</v>
      </c>
      <c r="AO141" s="145">
        <f t="shared" si="33"/>
        <v>0</v>
      </c>
      <c r="AP141" s="145">
        <f t="shared" si="33"/>
        <v>0</v>
      </c>
      <c r="AQ141" s="145">
        <f t="shared" si="33"/>
        <v>0</v>
      </c>
      <c r="AR141" s="145">
        <f t="shared" si="33"/>
        <v>0</v>
      </c>
      <c r="AS141" s="145">
        <f t="shared" si="33"/>
        <v>0</v>
      </c>
      <c r="AT141" s="145">
        <f t="shared" si="33"/>
        <v>0</v>
      </c>
      <c r="AU141" s="145">
        <f t="shared" si="33"/>
        <v>0</v>
      </c>
      <c r="AV141" s="145">
        <f t="shared" si="33"/>
        <v>0</v>
      </c>
      <c r="AW141" s="145">
        <f t="shared" si="33"/>
        <v>0</v>
      </c>
      <c r="AX141" s="145">
        <f t="shared" si="33"/>
        <v>0</v>
      </c>
      <c r="AY141" s="145">
        <f t="shared" si="33"/>
        <v>0</v>
      </c>
      <c r="AZ141" s="145">
        <f t="shared" si="33"/>
        <v>0</v>
      </c>
      <c r="BA141" s="145">
        <f t="shared" si="33"/>
        <v>0</v>
      </c>
      <c r="BB141" s="145">
        <f t="shared" si="33"/>
        <v>0</v>
      </c>
      <c r="BC141" s="145">
        <f t="shared" si="33"/>
        <v>0</v>
      </c>
      <c r="BD141" s="145">
        <f t="shared" si="33"/>
        <v>0</v>
      </c>
      <c r="BE141" s="215"/>
      <c r="BF141" s="173"/>
      <c r="BG141" s="173"/>
      <c r="BH141" s="697" t="s">
        <v>1376</v>
      </c>
    </row>
    <row r="142" spans="1:60" ht="14.25" customHeight="1">
      <c r="B142" s="57" t="b">
        <f t="shared" si="28"/>
        <v>1</v>
      </c>
      <c r="E142" s="459">
        <v>15</v>
      </c>
      <c r="F142" s="3" t="str" cm="1">
        <f t="array" aca="1" ref="F142" ca="1">OFFSET(E142,-1,1)</f>
        <v>2</v>
      </c>
      <c r="H142" s="57" t="s">
        <v>479</v>
      </c>
      <c r="K142" s="59" t="str">
        <f ca="1">F142&amp;"2komm"</f>
        <v>22komm</v>
      </c>
      <c r="L142" s="59" cm="1">
        <f t="array" ref="L142">BE142</f>
        <v>0</v>
      </c>
      <c r="T142" s="365" t="b" cm="1">
        <f t="array" ref="T142">T141</f>
        <v>1</v>
      </c>
      <c r="X142" s="1075"/>
      <c r="Z142" s="1065"/>
      <c r="AB142" s="152" t="s">
        <v>537</v>
      </c>
      <c r="AC142" s="146" t="s">
        <v>1377</v>
      </c>
      <c r="AD142" s="26" t="s">
        <v>804</v>
      </c>
      <c r="AE142" s="147"/>
      <c r="AF142" s="147"/>
      <c r="AG142" s="147"/>
      <c r="AH142" s="147"/>
      <c r="AI142" s="147"/>
      <c r="AJ142" s="147"/>
      <c r="AK142" s="147"/>
      <c r="AL142" s="787"/>
      <c r="AM142" s="787"/>
      <c r="AN142" s="787"/>
      <c r="AO142" s="787"/>
      <c r="AP142" s="787"/>
      <c r="AQ142" s="787"/>
      <c r="AR142" s="787"/>
      <c r="AS142" s="787"/>
      <c r="AT142" s="787"/>
      <c r="AU142" s="147"/>
      <c r="AV142" s="787"/>
      <c r="AW142" s="787"/>
      <c r="AX142" s="787"/>
      <c r="AY142" s="787"/>
      <c r="AZ142" s="787"/>
      <c r="BA142" s="787"/>
      <c r="BB142" s="787"/>
      <c r="BC142" s="787"/>
      <c r="BD142" s="787"/>
      <c r="BE142" s="215"/>
      <c r="BH142" s="665" t="s">
        <v>1378</v>
      </c>
    </row>
    <row r="143" spans="1:60" ht="14.25" customHeight="1">
      <c r="B143" s="57" t="b">
        <f t="shared" si="28"/>
        <v>1</v>
      </c>
      <c r="E143" s="459">
        <v>15</v>
      </c>
      <c r="F143" s="3" t="str" cm="1">
        <f t="array" aca="1" ref="F143" ca="1">OFFSET(E143,-1,1)</f>
        <v>2</v>
      </c>
      <c r="H143" s="57" t="s">
        <v>482</v>
      </c>
      <c r="K143" s="59" t="str">
        <f ca="1">F143&amp;"3komm"</f>
        <v>23komm</v>
      </c>
      <c r="L143" s="59" cm="1">
        <f t="array" ref="L143">BE143</f>
        <v>0</v>
      </c>
      <c r="T143" s="365" t="b" cm="1">
        <f t="array" ref="T143">T142</f>
        <v>1</v>
      </c>
      <c r="X143" s="1075"/>
      <c r="Z143" s="1065"/>
      <c r="AB143" s="152" t="s">
        <v>541</v>
      </c>
      <c r="AC143" s="146" t="s">
        <v>1379</v>
      </c>
      <c r="AD143" s="26" t="s">
        <v>804</v>
      </c>
      <c r="AE143" s="147"/>
      <c r="AF143" s="147"/>
      <c r="AG143" s="147"/>
      <c r="AH143" s="147"/>
      <c r="AI143" s="147"/>
      <c r="AJ143" s="147"/>
      <c r="AK143" s="147"/>
      <c r="AL143" s="787"/>
      <c r="AM143" s="787"/>
      <c r="AN143" s="787"/>
      <c r="AO143" s="787"/>
      <c r="AP143" s="787"/>
      <c r="AQ143" s="787"/>
      <c r="AR143" s="787"/>
      <c r="AS143" s="787"/>
      <c r="AT143" s="787"/>
      <c r="AU143" s="147"/>
      <c r="AV143" s="787"/>
      <c r="AW143" s="787"/>
      <c r="AX143" s="787"/>
      <c r="AY143" s="787"/>
      <c r="AZ143" s="787"/>
      <c r="BA143" s="787"/>
      <c r="BB143" s="787"/>
      <c r="BC143" s="787"/>
      <c r="BD143" s="787"/>
      <c r="BE143" s="215"/>
      <c r="BH143" s="665" t="s">
        <v>1380</v>
      </c>
    </row>
    <row r="144" spans="1:60" ht="14.25" customHeight="1">
      <c r="B144" s="57" t="b">
        <f t="shared" si="28"/>
        <v>1</v>
      </c>
      <c r="E144" s="459">
        <v>15</v>
      </c>
      <c r="F144" s="3" t="str" cm="1">
        <f t="array" aca="1" ref="F144" ca="1">OFFSET(E144,-1,1)</f>
        <v>2</v>
      </c>
      <c r="H144" s="57" t="s">
        <v>917</v>
      </c>
      <c r="T144" s="365" t="b" cm="1">
        <f t="array" ref="T144">T143</f>
        <v>1</v>
      </c>
      <c r="X144" s="1075"/>
      <c r="Z144" s="1065"/>
      <c r="AB144" s="152" t="s">
        <v>545</v>
      </c>
      <c r="AC144" s="146" t="s">
        <v>1381</v>
      </c>
      <c r="AD144" s="26" t="s">
        <v>804</v>
      </c>
      <c r="AE144" s="147"/>
      <c r="AF144" s="147"/>
      <c r="AG144" s="147"/>
      <c r="AH144" s="147"/>
      <c r="AI144" s="147"/>
      <c r="AJ144" s="147"/>
      <c r="AK144" s="147"/>
      <c r="AL144" s="787"/>
      <c r="AM144" s="787"/>
      <c r="AN144" s="787"/>
      <c r="AO144" s="787"/>
      <c r="AP144" s="787"/>
      <c r="AQ144" s="787"/>
      <c r="AR144" s="787"/>
      <c r="AS144" s="787"/>
      <c r="AT144" s="787"/>
      <c r="AU144" s="147"/>
      <c r="AV144" s="787"/>
      <c r="AW144" s="787"/>
      <c r="AX144" s="787"/>
      <c r="AY144" s="787"/>
      <c r="AZ144" s="787"/>
      <c r="BA144" s="787"/>
      <c r="BB144" s="787"/>
      <c r="BC144" s="787"/>
      <c r="BD144" s="787"/>
      <c r="BE144" s="215"/>
      <c r="BH144" s="665" t="s">
        <v>1382</v>
      </c>
    </row>
    <row r="145" spans="1:60" ht="25.35" customHeight="1">
      <c r="A145" s="327"/>
      <c r="B145" s="490"/>
      <c r="C145" s="327"/>
      <c r="D145" s="327"/>
      <c r="E145" s="491">
        <v>26</v>
      </c>
      <c r="F145" s="327"/>
      <c r="G145" s="327"/>
      <c r="H145" s="327"/>
      <c r="I145" s="327"/>
      <c r="J145" s="327"/>
      <c r="K145" s="327"/>
      <c r="L145" s="327"/>
      <c r="M145" s="327"/>
      <c r="N145" s="327"/>
      <c r="O145" s="327"/>
      <c r="P145" s="327"/>
      <c r="Q145" s="266"/>
      <c r="R145" s="327"/>
      <c r="S145" s="327"/>
      <c r="T145" s="327"/>
      <c r="U145" s="327" t="s">
        <v>177</v>
      </c>
      <c r="V145" s="75" t="s">
        <v>1383</v>
      </c>
      <c r="W145" s="327"/>
      <c r="X145" s="327"/>
      <c r="Y145" s="327"/>
      <c r="Z145" s="327"/>
      <c r="AC145" s="36" t="s">
        <v>1384</v>
      </c>
      <c r="BG145"/>
      <c r="BH145" s="670"/>
    </row>
    <row r="146" spans="1:60" ht="14.65" customHeight="1">
      <c r="E146" s="459">
        <v>15</v>
      </c>
      <c r="AB146" s="1088" t="s">
        <v>398</v>
      </c>
      <c r="AC146" s="1163"/>
      <c r="AD146" s="1163"/>
      <c r="AE146" s="1163"/>
      <c r="AF146" s="1163"/>
      <c r="AG146" s="1163"/>
      <c r="AH146" s="1163"/>
      <c r="AI146" s="1163"/>
      <c r="AJ146" s="1163"/>
      <c r="AK146" s="1163"/>
      <c r="AL146" s="1163"/>
      <c r="AM146" s="1163"/>
      <c r="AN146" s="1163"/>
      <c r="AO146" s="1163"/>
      <c r="AP146" s="1163"/>
      <c r="AQ146" s="1163"/>
      <c r="AR146" s="1163"/>
      <c r="AS146" s="1163"/>
      <c r="AT146" s="1163"/>
      <c r="AU146" s="1163"/>
      <c r="AV146" s="1163"/>
      <c r="AW146" s="1163"/>
      <c r="AX146" s="1163"/>
      <c r="AY146" s="1163"/>
      <c r="AZ146" s="1163"/>
      <c r="BA146" s="1163"/>
      <c r="BB146" s="1163"/>
      <c r="BC146" s="1163"/>
      <c r="BD146" s="1163"/>
      <c r="BE146" s="1163"/>
    </row>
    <row r="147" spans="1:60" ht="14.65" customHeight="1">
      <c r="E147" s="459">
        <v>15</v>
      </c>
      <c r="AA147" s="106"/>
      <c r="AB147" s="1158"/>
      <c r="AC147" s="1158"/>
      <c r="AD147" s="1158"/>
      <c r="AE147" s="1158"/>
      <c r="AF147" s="1158"/>
      <c r="AG147" s="1158"/>
      <c r="AH147" s="1158"/>
      <c r="AI147" s="1158"/>
      <c r="AJ147" s="1158"/>
      <c r="AK147" s="1158"/>
      <c r="AL147" s="1159"/>
      <c r="AM147" s="1159"/>
      <c r="AN147" s="1159"/>
      <c r="AO147" s="1159"/>
      <c r="AP147" s="1159"/>
      <c r="AQ147" s="1159"/>
      <c r="AR147" s="1159"/>
      <c r="AS147" s="1159"/>
      <c r="AT147" s="1159"/>
      <c r="AU147" s="1158"/>
      <c r="AV147" s="1159"/>
      <c r="AW147" s="1159"/>
      <c r="AX147" s="1159"/>
      <c r="AY147" s="1159"/>
      <c r="AZ147" s="1159"/>
      <c r="BA147" s="1159"/>
      <c r="BB147" s="1159"/>
      <c r="BC147" s="1159"/>
      <c r="BD147" s="1159"/>
      <c r="BE147" s="1158"/>
    </row>
    <row r="148" spans="1:60" ht="14.65" hidden="1" customHeight="1">
      <c r="E148" s="459">
        <v>15</v>
      </c>
      <c r="T148" s="365" t="b">
        <f>ROW(W148)&gt;ROW(W$148)</f>
        <v>0</v>
      </c>
      <c r="W148" s="528" t="s">
        <v>173</v>
      </c>
      <c r="AA148" s="332" t="s">
        <v>174</v>
      </c>
      <c r="AB148" s="1159" t="s">
        <v>225</v>
      </c>
      <c r="AC148" s="1159"/>
      <c r="AD148" s="1159"/>
      <c r="AE148" s="1159"/>
      <c r="AF148" s="1159"/>
      <c r="AG148" s="1159"/>
      <c r="AH148" s="1159"/>
      <c r="AI148" s="1159"/>
      <c r="AJ148" s="1159"/>
      <c r="AK148" s="1158"/>
      <c r="AL148" s="1159"/>
      <c r="AM148" s="1159"/>
      <c r="AN148" s="1159"/>
      <c r="AO148" s="1159"/>
      <c r="AP148" s="1159"/>
      <c r="AQ148" s="1159"/>
      <c r="AR148" s="1159"/>
      <c r="AS148" s="1159"/>
      <c r="AT148" s="1159"/>
      <c r="AU148" s="1158"/>
      <c r="AV148" s="1159"/>
      <c r="AW148" s="1159"/>
      <c r="AX148" s="1159"/>
      <c r="AY148" s="1159"/>
      <c r="AZ148" s="1159"/>
      <c r="BA148" s="1159"/>
      <c r="BB148" s="1159"/>
      <c r="BC148" s="1159"/>
      <c r="BD148" s="1159"/>
      <c r="BE148" s="1159"/>
    </row>
    <row r="149" spans="1:60" ht="14.65" customHeight="1">
      <c r="E149" s="459">
        <v>15</v>
      </c>
      <c r="W149" s="528" t="s">
        <v>399</v>
      </c>
      <c r="AB149" s="485"/>
      <c r="AC149" s="394" t="s">
        <v>400</v>
      </c>
      <c r="AD149" s="231"/>
      <c r="AE149" s="231"/>
      <c r="AF149" s="231"/>
      <c r="AG149" s="231"/>
      <c r="AH149" s="231"/>
      <c r="AI149" s="231"/>
      <c r="AJ149" s="231"/>
      <c r="AK149" s="231"/>
      <c r="AL149" s="231"/>
      <c r="AM149" s="231"/>
      <c r="AN149" s="231"/>
      <c r="AO149" s="231"/>
      <c r="AP149" s="231"/>
      <c r="AQ149" s="231"/>
      <c r="AR149" s="231"/>
      <c r="AS149" s="231"/>
      <c r="AT149" s="231"/>
      <c r="AU149" s="231"/>
      <c r="AV149" s="231"/>
      <c r="AW149" s="231"/>
      <c r="AX149" s="231"/>
      <c r="AY149" s="231"/>
      <c r="AZ149" s="231"/>
      <c r="BA149" s="231"/>
      <c r="BB149" s="231"/>
      <c r="BC149" s="231"/>
      <c r="BD149" s="231"/>
      <c r="BE149" s="206"/>
    </row>
    <row r="150" spans="1:60" ht="10.7" customHeight="1">
      <c r="E150" s="459">
        <v>11</v>
      </c>
      <c r="BF150" s="41"/>
    </row>
  </sheetData>
  <sheetProtection formatColumns="0" formatRows="0" insertRows="0" deleteColumns="0" deleteRows="0" sort="0" autoFilter="0"/>
  <mergeCells count="14">
    <mergeCell ref="X58:X86"/>
    <mergeCell ref="Z58:Z86"/>
    <mergeCell ref="AB24:AC24"/>
    <mergeCell ref="BE26:BE27"/>
    <mergeCell ref="AB146:BE146"/>
    <mergeCell ref="X87:X115"/>
    <mergeCell ref="Z87:Z115"/>
    <mergeCell ref="X116:X144"/>
    <mergeCell ref="Z116:Z144"/>
    <mergeCell ref="AB147:BE147"/>
    <mergeCell ref="AB26:AB27"/>
    <mergeCell ref="AC26:AC27"/>
    <mergeCell ref="AD26:AD27"/>
    <mergeCell ref="AB148:BE148"/>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0698-B4A8-8FA8-A248-2D55AB443838}">
  <sheetPr>
    <tabColor rgb="FF002060"/>
    <outlinePr summaryBelow="0" summaryRight="0"/>
  </sheetPr>
  <dimension ref="A1:BB56"/>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cols>
    <col min="1" max="1" width="3.5703125" style="57" hidden="1" customWidth="1"/>
    <col min="2" max="2" width="8.5703125" style="62" hidden="1" customWidth="1"/>
    <col min="3" max="4" width="3.5703125" style="57" hidden="1" customWidth="1"/>
    <col min="5" max="5" width="3.5703125" style="459" hidden="1" customWidth="1"/>
    <col min="6" max="19" width="3.5703125" style="57" hidden="1" customWidth="1"/>
    <col min="20" max="20" width="8.42578125" style="57" hidden="1" customWidth="1"/>
    <col min="21" max="21" width="5.85546875" style="57" hidden="1" customWidth="1"/>
    <col min="22" max="23" width="6.140625" style="57" hidden="1" customWidth="1"/>
    <col min="24" max="25" width="5.5703125" style="57" hidden="1" customWidth="1"/>
    <col min="26" max="26" width="5.28515625" style="57" hidden="1" customWidth="1"/>
    <col min="27" max="27" width="3" style="57" customWidth="1"/>
    <col min="28" max="28" width="11" style="57" customWidth="1"/>
    <col min="29" max="29" width="50" style="57" customWidth="1"/>
    <col min="30" max="30" width="10" style="57" customWidth="1"/>
    <col min="31" max="31" width="12.5703125" style="57" customWidth="1"/>
    <col min="32" max="40" width="12.5703125" style="57" hidden="1" customWidth="1"/>
    <col min="41" max="41" width="12.5703125" style="57" customWidth="1"/>
    <col min="42" max="50" width="12.5703125" style="57" hidden="1" customWidth="1"/>
    <col min="51" max="51" width="20" style="57" customWidth="1"/>
    <col min="52" max="52" width="3" style="57" customWidth="1"/>
    <col min="53" max="53" width="9.140625" style="57" hidden="1"/>
    <col min="54" max="54" width="9.140625" style="665" hidden="1"/>
  </cols>
  <sheetData>
    <row r="1" spans="1:54" ht="11.25" hidden="1" customHeight="1">
      <c r="E1" s="57"/>
      <c r="F1" s="57" t="s">
        <v>315</v>
      </c>
      <c r="G1" s="57" t="s">
        <v>326</v>
      </c>
      <c r="T1" s="365" t="s">
        <v>93</v>
      </c>
      <c r="U1" s="365" t="s">
        <v>98</v>
      </c>
      <c r="V1" s="365" t="s">
        <v>94</v>
      </c>
      <c r="W1" s="365" t="s">
        <v>95</v>
      </c>
      <c r="X1" s="365" t="s">
        <v>96</v>
      </c>
      <c r="Y1" s="367" t="s">
        <v>317</v>
      </c>
      <c r="Z1" s="365" t="s">
        <v>100</v>
      </c>
      <c r="AA1" s="366" t="s">
        <v>97</v>
      </c>
      <c r="AB1" s="23"/>
      <c r="AC1" s="366" t="s">
        <v>99</v>
      </c>
      <c r="BB1" s="665" t="s">
        <v>318</v>
      </c>
    </row>
    <row r="2" spans="1:54" s="62" customFormat="1" ht="11.25" hidden="1" customHeight="1">
      <c r="B2" s="354" t="s">
        <v>19</v>
      </c>
      <c r="AE2" s="354" t="b">
        <f t="shared" ref="AE2:AX2" si="0">AE6&lt;=last_year_vis</f>
        <v>1</v>
      </c>
      <c r="AF2" s="354" t="b">
        <f t="shared" si="0"/>
        <v>0</v>
      </c>
      <c r="AG2" s="354" t="b">
        <f t="shared" si="0"/>
        <v>0</v>
      </c>
      <c r="AH2" s="354" t="b">
        <f t="shared" si="0"/>
        <v>0</v>
      </c>
      <c r="AI2" s="354" t="b">
        <f t="shared" si="0"/>
        <v>0</v>
      </c>
      <c r="AJ2" s="354" t="b">
        <f t="shared" si="0"/>
        <v>0</v>
      </c>
      <c r="AK2" s="354" t="b">
        <f t="shared" si="0"/>
        <v>0</v>
      </c>
      <c r="AL2" s="354" t="b">
        <f t="shared" si="0"/>
        <v>0</v>
      </c>
      <c r="AM2" s="354" t="b">
        <f t="shared" si="0"/>
        <v>0</v>
      </c>
      <c r="AN2" s="354" t="b">
        <f t="shared" si="0"/>
        <v>0</v>
      </c>
      <c r="AO2" s="354" t="b">
        <f t="shared" si="0"/>
        <v>1</v>
      </c>
      <c r="AP2" s="354" t="b">
        <f t="shared" si="0"/>
        <v>0</v>
      </c>
      <c r="AQ2" s="354" t="b">
        <f t="shared" si="0"/>
        <v>0</v>
      </c>
      <c r="AR2" s="354" t="b">
        <f t="shared" si="0"/>
        <v>0</v>
      </c>
      <c r="AS2" s="354" t="b">
        <f t="shared" si="0"/>
        <v>0</v>
      </c>
      <c r="AT2" s="354" t="b">
        <f t="shared" si="0"/>
        <v>0</v>
      </c>
      <c r="AU2" s="354" t="b">
        <f t="shared" si="0"/>
        <v>0</v>
      </c>
      <c r="AV2" s="354" t="b">
        <f t="shared" si="0"/>
        <v>0</v>
      </c>
      <c r="AW2" s="354" t="b">
        <f t="shared" si="0"/>
        <v>0</v>
      </c>
      <c r="AX2" s="354" t="b">
        <f t="shared" si="0"/>
        <v>0</v>
      </c>
      <c r="BB2" s="674"/>
    </row>
    <row r="3" spans="1:54" ht="11.25" hidden="1" customHeight="1">
      <c r="E3" s="57"/>
    </row>
    <row r="4" spans="1:54" ht="11.25" hidden="1" customHeight="1">
      <c r="E4" s="57"/>
    </row>
    <row r="5" spans="1:54" s="459" customFormat="1" ht="11.25" hidden="1" customHeight="1">
      <c r="A5" s="57"/>
      <c r="B5" s="62"/>
      <c r="C5" s="57"/>
      <c r="D5" s="57"/>
      <c r="E5" s="459" t="s">
        <v>20</v>
      </c>
      <c r="AA5" s="459">
        <v>3</v>
      </c>
      <c r="AB5" s="459">
        <v>11</v>
      </c>
      <c r="AC5" s="459">
        <v>50</v>
      </c>
      <c r="AD5" s="459">
        <v>10</v>
      </c>
      <c r="AE5" s="459">
        <v>12.57</v>
      </c>
      <c r="AF5" s="459">
        <v>12.57</v>
      </c>
      <c r="AG5" s="459">
        <v>12.57</v>
      </c>
      <c r="AH5" s="459">
        <v>12.57</v>
      </c>
      <c r="AI5" s="459">
        <v>12.57</v>
      </c>
      <c r="AJ5" s="459">
        <v>12.57</v>
      </c>
      <c r="AK5" s="459">
        <v>12.57</v>
      </c>
      <c r="AL5" s="459">
        <v>12.57</v>
      </c>
      <c r="AM5" s="459">
        <v>12.57</v>
      </c>
      <c r="AN5" s="459">
        <v>12.57</v>
      </c>
      <c r="AO5" s="459">
        <v>12.57</v>
      </c>
      <c r="AP5" s="459">
        <v>12.57</v>
      </c>
      <c r="AQ5" s="459">
        <v>12.57</v>
      </c>
      <c r="AR5" s="459">
        <v>12.57</v>
      </c>
      <c r="AS5" s="459">
        <v>12.57</v>
      </c>
      <c r="AT5" s="459">
        <v>12.57</v>
      </c>
      <c r="AU5" s="459">
        <v>12.57</v>
      </c>
      <c r="AV5" s="459">
        <v>12.57</v>
      </c>
      <c r="AW5" s="459">
        <v>12.57</v>
      </c>
      <c r="AX5" s="459">
        <v>12.57</v>
      </c>
      <c r="AY5" s="459">
        <v>20</v>
      </c>
      <c r="AZ5" s="459">
        <v>3</v>
      </c>
      <c r="BB5" s="665"/>
    </row>
    <row r="6" spans="1:54" ht="11.25" hidden="1" customHeight="1">
      <c r="A6" s="57" t="s">
        <v>353</v>
      </c>
      <c r="AE6" s="36" cm="1">
        <f t="array" ref="AE6">god</f>
        <v>2026</v>
      </c>
      <c r="AF6" s="36">
        <f>god+1</f>
        <v>2027</v>
      </c>
      <c r="AG6" s="36">
        <f>god+2</f>
        <v>2028</v>
      </c>
      <c r="AH6" s="36">
        <f>god+3</f>
        <v>2029</v>
      </c>
      <c r="AI6" s="36">
        <f>god+4</f>
        <v>2030</v>
      </c>
      <c r="AJ6" s="36">
        <f>god+5</f>
        <v>2031</v>
      </c>
      <c r="AK6" s="36">
        <f>god+6</f>
        <v>2032</v>
      </c>
      <c r="AL6" s="36">
        <f>god+7</f>
        <v>2033</v>
      </c>
      <c r="AM6" s="36">
        <f>god+8</f>
        <v>2034</v>
      </c>
      <c r="AN6" s="36">
        <f>god+9</f>
        <v>2035</v>
      </c>
      <c r="AO6" s="36" cm="1">
        <f t="array" ref="AO6">god</f>
        <v>2026</v>
      </c>
      <c r="AP6" s="36">
        <f>god+1</f>
        <v>2027</v>
      </c>
      <c r="AQ6" s="36">
        <f>god+2</f>
        <v>2028</v>
      </c>
      <c r="AR6" s="36">
        <f>god+3</f>
        <v>2029</v>
      </c>
      <c r="AS6" s="36">
        <f>god+4</f>
        <v>2030</v>
      </c>
      <c r="AT6" s="36">
        <f>god+5</f>
        <v>2031</v>
      </c>
      <c r="AU6" s="36">
        <f>god+6</f>
        <v>2032</v>
      </c>
      <c r="AV6" s="36">
        <f>god+7</f>
        <v>2033</v>
      </c>
      <c r="AW6" s="36">
        <f>god+8</f>
        <v>2034</v>
      </c>
      <c r="AX6" s="36">
        <f>god+9</f>
        <v>2035</v>
      </c>
    </row>
    <row r="7" spans="1:54" ht="11.25" hidden="1" customHeight="1">
      <c r="A7" s="57" t="s">
        <v>354</v>
      </c>
      <c r="AE7" s="36" t="str" cm="1">
        <f t="array" ref="AE7">AE25</f>
        <v>Предложения организации</v>
      </c>
      <c r="AF7" s="36" t="str" cm="1">
        <f t="array" ref="AF7">AF25</f>
        <v>Предложения организации</v>
      </c>
      <c r="AG7" s="36" t="str" cm="1">
        <f t="array" ref="AG7">AG25</f>
        <v>Предложения организации</v>
      </c>
      <c r="AH7" s="36" t="str" cm="1">
        <f t="array" ref="AH7">AH25</f>
        <v>Предложения организации</v>
      </c>
      <c r="AI7" s="36" t="str" cm="1">
        <f t="array" ref="AI7">AI25</f>
        <v>Предложения организации</v>
      </c>
      <c r="AJ7" s="36" t="str" cm="1">
        <f t="array" ref="AJ7">AJ25</f>
        <v>Предложения организации</v>
      </c>
      <c r="AK7" s="36" t="str" cm="1">
        <f t="array" ref="AK7">AK25</f>
        <v>Предложения организации</v>
      </c>
      <c r="AL7" s="36" t="str" cm="1">
        <f t="array" ref="AL7">AL25</f>
        <v>Предложения организации</v>
      </c>
      <c r="AM7" s="36" t="str" cm="1">
        <f t="array" ref="AM7">AM25</f>
        <v>Предложения организации</v>
      </c>
      <c r="AN7" s="36" t="str" cm="1">
        <f t="array" ref="AN7">AN25</f>
        <v>Предложения организации</v>
      </c>
      <c r="AO7" s="36" t="str" cm="1">
        <f t="array" ref="AO7">AO25</f>
        <v>Принято органом регулирования</v>
      </c>
      <c r="AP7" s="36" t="str" cm="1">
        <f t="array" ref="AP7">AP25</f>
        <v>Принято органом регулирования</v>
      </c>
      <c r="AQ7" s="36" t="str" cm="1">
        <f t="array" ref="AQ7">AQ25</f>
        <v>Принято органом регулирования</v>
      </c>
      <c r="AR7" s="36" t="str" cm="1">
        <f t="array" ref="AR7">AR25</f>
        <v>Принято органом регулирования</v>
      </c>
      <c r="AS7" s="36" t="str" cm="1">
        <f t="array" ref="AS7">AS25</f>
        <v>Принято органом регулирования</v>
      </c>
      <c r="AT7" s="36" t="str" cm="1">
        <f t="array" ref="AT7">AT25</f>
        <v>Принято органом регулирования</v>
      </c>
      <c r="AU7" s="36" t="str" cm="1">
        <f t="array" ref="AU7">AU25</f>
        <v>Принято органом регулирования</v>
      </c>
      <c r="AV7" s="36" t="str" cm="1">
        <f t="array" ref="AV7">AV25</f>
        <v>Принято органом регулирования</v>
      </c>
      <c r="AW7" s="36" t="str" cm="1">
        <f t="array" ref="AW7">AW25</f>
        <v>Принято органом регулирования</v>
      </c>
      <c r="AX7" s="36" t="str" cm="1">
        <f t="array" ref="AX7">AX25</f>
        <v>Принято органом регулирования</v>
      </c>
    </row>
    <row r="8" spans="1:54" ht="11.25" hidden="1" customHeight="1"/>
    <row r="9" spans="1:54" s="665" customFormat="1" ht="11.25" hidden="1" customHeight="1">
      <c r="A9" s="665" t="s">
        <v>358</v>
      </c>
      <c r="B9" s="674"/>
      <c r="AE9" s="665" cm="1">
        <f t="array" ref="AE9">AE6</f>
        <v>2026</v>
      </c>
      <c r="AF9" s="665" cm="1">
        <f t="array" ref="AF9">AF6</f>
        <v>2027</v>
      </c>
      <c r="AG9" s="665" cm="1">
        <f t="array" ref="AG9">AG6</f>
        <v>2028</v>
      </c>
      <c r="AH9" s="665" cm="1">
        <f t="array" ref="AH9">AH6</f>
        <v>2029</v>
      </c>
      <c r="AI9" s="665" cm="1">
        <f t="array" ref="AI9">AI6</f>
        <v>2030</v>
      </c>
      <c r="AJ9" s="665" cm="1">
        <f t="array" ref="AJ9">AJ6</f>
        <v>2031</v>
      </c>
      <c r="AK9" s="665" cm="1">
        <f t="array" ref="AK9">AK6</f>
        <v>2032</v>
      </c>
      <c r="AL9" s="665" cm="1">
        <f t="array" ref="AL9">AL6</f>
        <v>2033</v>
      </c>
      <c r="AM9" s="665" cm="1">
        <f t="array" ref="AM9">AM6</f>
        <v>2034</v>
      </c>
      <c r="AN9" s="665" cm="1">
        <f t="array" ref="AN9">AN6</f>
        <v>2035</v>
      </c>
      <c r="AO9" s="665" cm="1">
        <f t="array" ref="AO9">AO6</f>
        <v>2026</v>
      </c>
      <c r="AP9" s="665" cm="1">
        <f t="array" ref="AP9">AP6</f>
        <v>2027</v>
      </c>
      <c r="AQ9" s="665" cm="1">
        <f t="array" ref="AQ9">AQ6</f>
        <v>2028</v>
      </c>
      <c r="AR9" s="665" cm="1">
        <f t="array" ref="AR9">AR6</f>
        <v>2029</v>
      </c>
      <c r="AS9" s="665" cm="1">
        <f t="array" ref="AS9">AS6</f>
        <v>2030</v>
      </c>
      <c r="AT9" s="665" cm="1">
        <f t="array" ref="AT9">AT6</f>
        <v>2031</v>
      </c>
      <c r="AU9" s="665" cm="1">
        <f t="array" ref="AU9">AU6</f>
        <v>2032</v>
      </c>
      <c r="AV9" s="665" cm="1">
        <f t="array" ref="AV9">AV6</f>
        <v>2033</v>
      </c>
      <c r="AW9" s="665" cm="1">
        <f t="array" ref="AW9">AW6</f>
        <v>2034</v>
      </c>
      <c r="AX9" s="665" cm="1">
        <f t="array" ref="AX9">AX6</f>
        <v>2035</v>
      </c>
    </row>
    <row r="10" spans="1:54" s="665" customFormat="1" ht="11.25" hidden="1" customHeight="1">
      <c r="A10" s="665" t="s">
        <v>359</v>
      </c>
      <c r="B10" s="674"/>
      <c r="AE10" s="665" t="str" cm="1">
        <f t="array" ref="AE10">AE25</f>
        <v>Предложения организации</v>
      </c>
      <c r="AF10" s="665" t="str" cm="1">
        <f t="array" ref="AF10">AF25</f>
        <v>Предложения организации</v>
      </c>
      <c r="AG10" s="665" t="str" cm="1">
        <f t="array" ref="AG10">AG25</f>
        <v>Предложения организации</v>
      </c>
      <c r="AH10" s="665" t="str" cm="1">
        <f t="array" ref="AH10">AH25</f>
        <v>Предложения организации</v>
      </c>
      <c r="AI10" s="665" t="str" cm="1">
        <f t="array" ref="AI10">AI25</f>
        <v>Предложения организации</v>
      </c>
      <c r="AJ10" s="665" t="str" cm="1">
        <f t="array" ref="AJ10">AJ25</f>
        <v>Предложения организации</v>
      </c>
      <c r="AK10" s="665" t="str" cm="1">
        <f t="array" ref="AK10">AK25</f>
        <v>Предложения организации</v>
      </c>
      <c r="AL10" s="665" t="str" cm="1">
        <f t="array" ref="AL10">AL25</f>
        <v>Предложения организации</v>
      </c>
      <c r="AM10" s="665" t="str" cm="1">
        <f t="array" ref="AM10">AM25</f>
        <v>Предложения организации</v>
      </c>
      <c r="AN10" s="665" t="str" cm="1">
        <f t="array" ref="AN10">AN25</f>
        <v>Предложения организации</v>
      </c>
      <c r="AO10" s="665" t="str" cm="1">
        <f t="array" ref="AO10">AO25</f>
        <v>Принято органом регулирования</v>
      </c>
      <c r="AP10" s="665" t="str" cm="1">
        <f t="array" ref="AP10">AP25</f>
        <v>Принято органом регулирования</v>
      </c>
      <c r="AQ10" s="665" t="str" cm="1">
        <f t="array" ref="AQ10">AQ25</f>
        <v>Принято органом регулирования</v>
      </c>
      <c r="AR10" s="665" t="str" cm="1">
        <f t="array" ref="AR10">AR25</f>
        <v>Принято органом регулирования</v>
      </c>
      <c r="AS10" s="665" t="str" cm="1">
        <f t="array" ref="AS10">AS25</f>
        <v>Принято органом регулирования</v>
      </c>
      <c r="AT10" s="665" t="str" cm="1">
        <f t="array" ref="AT10">AT25</f>
        <v>Принято органом регулирования</v>
      </c>
      <c r="AU10" s="665" t="str" cm="1">
        <f t="array" ref="AU10">AU25</f>
        <v>Принято органом регулирования</v>
      </c>
      <c r="AV10" s="665" t="str" cm="1">
        <f t="array" ref="AV10">AV25</f>
        <v>Принято органом регулирования</v>
      </c>
      <c r="AW10" s="665" t="str" cm="1">
        <f t="array" ref="AW10">AW25</f>
        <v>Принято органом регулирования</v>
      </c>
      <c r="AX10" s="665" t="str" cm="1">
        <f t="array" ref="AX10">AX25</f>
        <v>Принято органом регулирования</v>
      </c>
    </row>
    <row r="11" spans="1:54" s="665" customFormat="1" ht="11.25" hidden="1" customHeight="1">
      <c r="A11" s="665" t="s">
        <v>360</v>
      </c>
      <c r="B11" s="674"/>
      <c r="AY11" s="665" t="str" cm="1">
        <f t="array" ref="AY11">AY24</f>
        <v>Ссылка на правовую норму (основание для принятия показателя в расчет тарифа)</v>
      </c>
    </row>
    <row r="12" spans="1:54" ht="11.25" hidden="1" customHeight="1"/>
    <row r="13" spans="1:54" ht="11.25" hidden="1" customHeight="1">
      <c r="AE13" s="36"/>
      <c r="AF13" s="36"/>
      <c r="AG13" s="36"/>
      <c r="AH13" s="36"/>
      <c r="AI13" s="36"/>
      <c r="AJ13" s="36"/>
      <c r="AK13" s="36"/>
      <c r="AL13" s="36"/>
      <c r="AM13" s="36"/>
      <c r="AN13" s="36"/>
      <c r="AO13" s="36"/>
      <c r="AP13" s="36"/>
      <c r="AQ13" s="36"/>
      <c r="AR13" s="36"/>
      <c r="AS13" s="36"/>
      <c r="AT13" s="36"/>
      <c r="AU13" s="36"/>
      <c r="AV13" s="36"/>
      <c r="AW13" s="36"/>
      <c r="AX13" s="36"/>
    </row>
    <row r="14" spans="1:54" ht="11.25" hidden="1" customHeight="1">
      <c r="AE14" s="36"/>
      <c r="AF14" s="36"/>
      <c r="AG14" s="36"/>
      <c r="AH14" s="36"/>
      <c r="AI14" s="36"/>
      <c r="AJ14" s="36"/>
      <c r="AK14" s="36"/>
      <c r="AL14" s="36"/>
      <c r="AM14" s="36"/>
      <c r="AN14" s="36"/>
      <c r="AO14" s="36"/>
      <c r="AP14" s="36"/>
      <c r="AQ14" s="36"/>
      <c r="AR14" s="36"/>
      <c r="AS14" s="36"/>
      <c r="AT14" s="36"/>
      <c r="AU14" s="36"/>
      <c r="AV14" s="36"/>
      <c r="AW14" s="36"/>
      <c r="AX14" s="36"/>
    </row>
    <row r="15" spans="1:54" ht="11.25" hidden="1" customHeight="1">
      <c r="AE15" s="36"/>
      <c r="AF15" s="36"/>
      <c r="AG15" s="36"/>
      <c r="AH15" s="36"/>
      <c r="AI15" s="36"/>
      <c r="AJ15" s="36"/>
      <c r="AK15" s="36"/>
      <c r="AL15" s="36"/>
      <c r="AM15" s="36"/>
      <c r="AN15" s="36"/>
      <c r="AO15" s="36"/>
      <c r="AP15" s="36"/>
      <c r="AQ15" s="36"/>
      <c r="AR15" s="36"/>
      <c r="AS15" s="36"/>
      <c r="AT15" s="36"/>
      <c r="AU15" s="36"/>
      <c r="AV15" s="36"/>
      <c r="AW15" s="36"/>
      <c r="AX15" s="36"/>
    </row>
    <row r="16" spans="1:54" ht="11.25" hidden="1" customHeight="1">
      <c r="AE16" s="36"/>
      <c r="AF16" s="36"/>
      <c r="AG16" s="36"/>
      <c r="AH16" s="36"/>
      <c r="AI16" s="36"/>
      <c r="AJ16" s="36"/>
      <c r="AK16" s="36"/>
      <c r="AL16" s="36"/>
      <c r="AM16" s="36"/>
      <c r="AN16" s="36"/>
      <c r="AO16" s="36"/>
      <c r="AP16" s="36"/>
      <c r="AQ16" s="36"/>
      <c r="AR16" s="36"/>
      <c r="AS16" s="36"/>
      <c r="AT16" s="36"/>
      <c r="AU16" s="36"/>
      <c r="AV16" s="36"/>
      <c r="AW16" s="36"/>
      <c r="AX16" s="36"/>
    </row>
    <row r="17" spans="1:54" ht="11.25" hidden="1" customHeight="1"/>
    <row r="18" spans="1:54" ht="11.25" hidden="1" customHeight="1"/>
    <row r="19" spans="1:54" ht="11.25" hidden="1" customHeight="1"/>
    <row r="20" spans="1:54" ht="11.25" hidden="1" customHeight="1"/>
    <row r="21" spans="1:54" ht="14.65" customHeight="1">
      <c r="E21" s="459">
        <v>15</v>
      </c>
      <c r="AA21" s="337"/>
      <c r="AB21" s="89"/>
      <c r="AC21" s="3" t="str" cm="1">
        <f t="array" ref="AC21">tpl_title</f>
        <v>Кемеровская область / 2026 / ООО "Энергосервис г. Гурьевска" (ИНН:4202049045, КПП:420201001) / ДПР: 2024-2028</v>
      </c>
      <c r="AD21" s="89"/>
      <c r="AE21" s="89"/>
      <c r="AF21" s="89"/>
      <c r="AG21" s="89"/>
      <c r="AH21" s="89"/>
      <c r="AI21" s="89"/>
      <c r="AJ21" s="89"/>
      <c r="AK21" s="89"/>
      <c r="AL21" s="89"/>
      <c r="AM21" s="89"/>
      <c r="AN21" s="89"/>
      <c r="AO21" s="89"/>
      <c r="AP21" s="89"/>
      <c r="AQ21" s="89"/>
      <c r="AR21" s="89"/>
      <c r="AS21" s="89"/>
      <c r="AT21" s="89"/>
      <c r="AU21" s="89"/>
      <c r="AV21" s="89"/>
      <c r="AW21" s="89"/>
      <c r="AX21" s="89"/>
    </row>
    <row r="22" spans="1:54" ht="19.5" customHeight="1">
      <c r="E22" s="459">
        <v>20</v>
      </c>
      <c r="AB22" s="239" t="s">
        <v>72</v>
      </c>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8"/>
      <c r="AY22" s="138"/>
    </row>
    <row r="23" spans="1:54" ht="10.9" customHeight="1">
      <c r="E23" s="459">
        <v>11.25</v>
      </c>
      <c r="AB23" s="89"/>
      <c r="AC23" s="89"/>
      <c r="AD23" s="89"/>
      <c r="AE23" s="89"/>
      <c r="AF23" s="89"/>
      <c r="AG23" s="89"/>
      <c r="AH23" s="89"/>
      <c r="AI23" s="89"/>
      <c r="AJ23" s="89"/>
      <c r="AK23" s="89"/>
      <c r="AL23" s="89"/>
      <c r="AM23" s="89"/>
      <c r="AN23" s="89"/>
      <c r="AO23" s="89"/>
      <c r="AP23" s="89"/>
      <c r="AQ23" s="89"/>
      <c r="AR23" s="89"/>
      <c r="AS23" s="89"/>
      <c r="AT23" s="89"/>
      <c r="AU23" s="89"/>
      <c r="AV23" s="89"/>
      <c r="AW23" s="89"/>
      <c r="AX23" s="89"/>
    </row>
    <row r="24" spans="1:54" ht="21" customHeight="1">
      <c r="E24" s="459">
        <v>21.5</v>
      </c>
      <c r="AB24" s="1077" t="s">
        <v>22</v>
      </c>
      <c r="AC24" s="1166" t="s">
        <v>1385</v>
      </c>
      <c r="AD24" s="1166" t="s">
        <v>363</v>
      </c>
      <c r="AE24" s="734" t="str">
        <f>god&amp;" год"</f>
        <v>2026 год</v>
      </c>
      <c r="AF24" s="734" t="str">
        <f>god+1&amp;" год"</f>
        <v>2027 год</v>
      </c>
      <c r="AG24" s="734" t="str">
        <f>god+2&amp;" год"</f>
        <v>2028 год</v>
      </c>
      <c r="AH24" s="734" t="str">
        <f>god+3&amp;" год"</f>
        <v>2029 год</v>
      </c>
      <c r="AI24" s="734" t="str">
        <f>god+4&amp;" год"</f>
        <v>2030 год</v>
      </c>
      <c r="AJ24" s="734" t="str">
        <f>god+5&amp;" год"</f>
        <v>2031 год</v>
      </c>
      <c r="AK24" s="734" t="str">
        <f>god+6&amp;" год"</f>
        <v>2032 год</v>
      </c>
      <c r="AL24" s="734" t="str">
        <f>god+7&amp;" год"</f>
        <v>2033 год</v>
      </c>
      <c r="AM24" s="734" t="str">
        <f>god+8&amp;" год"</f>
        <v>2034 год</v>
      </c>
      <c r="AN24" s="734" t="str">
        <f>god+9&amp;" год"</f>
        <v>2035 год</v>
      </c>
      <c r="AO24" s="30" t="str">
        <f>god&amp;" год"</f>
        <v>2026 год</v>
      </c>
      <c r="AP24" s="30" t="str">
        <f>god+1&amp;" год"</f>
        <v>2027 год</v>
      </c>
      <c r="AQ24" s="30" t="str">
        <f>god+2&amp;" год"</f>
        <v>2028 год</v>
      </c>
      <c r="AR24" s="30" t="str">
        <f>god+3&amp;" год"</f>
        <v>2029 год</v>
      </c>
      <c r="AS24" s="30" t="str">
        <f>god+4&amp;" год"</f>
        <v>2030 год</v>
      </c>
      <c r="AT24" s="30" t="str">
        <f>god+5&amp;" год"</f>
        <v>2031 год</v>
      </c>
      <c r="AU24" s="30" t="str">
        <f>god+6&amp;" год"</f>
        <v>2032 год</v>
      </c>
      <c r="AV24" s="30" t="str">
        <f>god+7&amp;" год"</f>
        <v>2033 год</v>
      </c>
      <c r="AW24" s="30" t="str">
        <f>god+8&amp;" год"</f>
        <v>2034 год</v>
      </c>
      <c r="AX24" s="30" t="str">
        <f>god+9&amp;" год"</f>
        <v>2035 год</v>
      </c>
      <c r="AY24" s="1156" t="s">
        <v>529</v>
      </c>
    </row>
    <row r="25" spans="1:54" ht="56.25" customHeight="1">
      <c r="E25" s="459">
        <v>57.75</v>
      </c>
      <c r="F25" s="41"/>
      <c r="G25" s="41"/>
      <c r="H25" s="41"/>
      <c r="I25" s="41"/>
      <c r="J25" s="41"/>
      <c r="AB25" s="1077"/>
      <c r="AC25" s="1166"/>
      <c r="AD25" s="1166"/>
      <c r="AE25" s="736" t="s">
        <v>1386</v>
      </c>
      <c r="AF25" s="736" t="s">
        <v>1386</v>
      </c>
      <c r="AG25" s="736" t="s">
        <v>1386</v>
      </c>
      <c r="AH25" s="736" t="s">
        <v>1386</v>
      </c>
      <c r="AI25" s="736" t="s">
        <v>1386</v>
      </c>
      <c r="AJ25" s="736" t="s">
        <v>1386</v>
      </c>
      <c r="AK25" s="736" t="s">
        <v>1386</v>
      </c>
      <c r="AL25" s="736" t="s">
        <v>1386</v>
      </c>
      <c r="AM25" s="736" t="s">
        <v>1386</v>
      </c>
      <c r="AN25" s="736" t="s">
        <v>1386</v>
      </c>
      <c r="AO25" s="29" t="s">
        <v>355</v>
      </c>
      <c r="AP25" s="29" t="s">
        <v>355</v>
      </c>
      <c r="AQ25" s="29" t="s">
        <v>355</v>
      </c>
      <c r="AR25" s="29" t="s">
        <v>355</v>
      </c>
      <c r="AS25" s="29" t="s">
        <v>355</v>
      </c>
      <c r="AT25" s="29" t="s">
        <v>355</v>
      </c>
      <c r="AU25" s="29" t="s">
        <v>355</v>
      </c>
      <c r="AV25" s="29" t="s">
        <v>355</v>
      </c>
      <c r="AW25" s="29" t="s">
        <v>355</v>
      </c>
      <c r="AX25" s="29" t="s">
        <v>355</v>
      </c>
      <c r="AY25" s="1156"/>
    </row>
    <row r="26" spans="1:54" ht="11.25" hidden="1" customHeight="1">
      <c r="A26"/>
      <c r="B26" s="339"/>
      <c r="C26"/>
      <c r="D26"/>
      <c r="E26" s="459">
        <v>0</v>
      </c>
      <c r="F26" s="23"/>
      <c r="G26"/>
      <c r="H26"/>
      <c r="I26"/>
      <c r="J26"/>
      <c r="K26"/>
      <c r="L26"/>
      <c r="M26"/>
      <c r="N26"/>
      <c r="O26"/>
      <c r="P26"/>
      <c r="Q26"/>
      <c r="R26"/>
      <c r="S26"/>
      <c r="T26"/>
      <c r="U26"/>
      <c r="V26"/>
      <c r="W26"/>
      <c r="X26"/>
      <c r="Y26"/>
      <c r="Z26"/>
      <c r="AA26"/>
      <c r="AB26"/>
      <c r="AC26" s="37"/>
      <c r="AD26" s="37"/>
      <c r="AE26" s="37"/>
      <c r="AF26" s="37"/>
      <c r="AG26"/>
      <c r="AH26"/>
      <c r="AI26"/>
      <c r="AJ26"/>
      <c r="AK26"/>
      <c r="AL26"/>
      <c r="AM26"/>
      <c r="AN26"/>
      <c r="AO26"/>
      <c r="AP26"/>
      <c r="AQ26" s="38"/>
      <c r="AR26"/>
      <c r="AS26"/>
      <c r="AT26"/>
      <c r="AU26"/>
      <c r="AV26"/>
      <c r="AW26"/>
      <c r="AX26"/>
      <c r="AY26"/>
      <c r="AZ26"/>
    </row>
    <row r="27" spans="1:54" ht="14.65" hidden="1" customHeight="1">
      <c r="E27" s="459">
        <v>15</v>
      </c>
      <c r="F27" s="78" cm="1">
        <f t="array" ref="F27">X27</f>
        <v>0</v>
      </c>
      <c r="G27" s="41"/>
      <c r="H27" s="41"/>
      <c r="I27" s="41"/>
      <c r="J27" s="41"/>
      <c r="T27" s="365" t="b">
        <f>X27&gt;0</f>
        <v>0</v>
      </c>
      <c r="V27" s="57" t="s">
        <v>264</v>
      </c>
      <c r="X27" s="1075">
        <v>0</v>
      </c>
      <c r="Y27" s="41"/>
      <c r="Z27" s="1095"/>
      <c r="AA27" s="41"/>
      <c r="AB27" s="174" t="str" cm="1">
        <f t="array" ref="AB27">INDEX('Общие сведения'!$AG$179:$AG$222,MATCH($X27,'Общие сведения'!$Z$179:$Z$222,0))</f>
        <v xml:space="preserve">Тариф 0 () - </v>
      </c>
      <c r="AC27" s="572"/>
      <c r="AD27" s="572"/>
      <c r="AE27" s="572"/>
      <c r="AF27" s="572"/>
      <c r="AG27" s="572"/>
      <c r="AH27" s="572"/>
      <c r="AI27" s="572"/>
      <c r="AJ27" s="572"/>
      <c r="AK27" s="572"/>
      <c r="AL27" s="572"/>
      <c r="AM27" s="572"/>
      <c r="AN27" s="572"/>
      <c r="AO27" s="572"/>
      <c r="AP27" s="572"/>
      <c r="AQ27" s="572"/>
      <c r="AR27" s="572"/>
      <c r="AS27" s="572"/>
      <c r="AT27" s="572"/>
      <c r="AU27" s="572"/>
      <c r="AV27" s="572"/>
      <c r="AW27" s="572"/>
      <c r="AX27" s="572"/>
      <c r="AY27" s="572"/>
      <c r="AZ27" s="41"/>
    </row>
    <row r="28" spans="1:54" ht="14.65" hidden="1" customHeight="1">
      <c r="A28" s="173"/>
      <c r="B28" s="340"/>
      <c r="C28" s="173"/>
      <c r="D28" s="173"/>
      <c r="E28" s="512">
        <v>15</v>
      </c>
      <c r="F28" s="3" cm="1">
        <f t="array" aca="1" ref="F28" ca="1">OFFSET(E28,-1,1)</f>
        <v>0</v>
      </c>
      <c r="G28" s="41" t="s">
        <v>327</v>
      </c>
      <c r="H28" s="82"/>
      <c r="I28" s="82"/>
      <c r="J28" s="82"/>
      <c r="K28" s="173"/>
      <c r="L28" s="173"/>
      <c r="M28" s="173"/>
      <c r="N28" s="173"/>
      <c r="O28" s="173"/>
      <c r="P28" s="173"/>
      <c r="Q28" s="173"/>
      <c r="R28" s="173"/>
      <c r="S28" s="173"/>
      <c r="T28" s="365" t="b" cm="1">
        <f t="array" ref="T28">T27</f>
        <v>0</v>
      </c>
      <c r="U28" s="173"/>
      <c r="V28" s="173"/>
      <c r="W28" s="173"/>
      <c r="X28" s="1075"/>
      <c r="Y28" s="82"/>
      <c r="Z28" s="1095"/>
      <c r="AA28" s="82"/>
      <c r="AB28" s="179" t="s">
        <v>275</v>
      </c>
      <c r="AC28" s="178" t="s">
        <v>1387</v>
      </c>
      <c r="AD28" s="179" t="s">
        <v>804</v>
      </c>
      <c r="AE28" s="579">
        <f t="shared" ref="AE28:AX28" si="1">AE29+AE30+AE31</f>
        <v>0</v>
      </c>
      <c r="AF28" s="579">
        <f t="shared" si="1"/>
        <v>0</v>
      </c>
      <c r="AG28" s="579">
        <f t="shared" si="1"/>
        <v>0</v>
      </c>
      <c r="AH28" s="579">
        <f t="shared" si="1"/>
        <v>0</v>
      </c>
      <c r="AI28" s="579">
        <f t="shared" si="1"/>
        <v>0</v>
      </c>
      <c r="AJ28" s="579">
        <f t="shared" si="1"/>
        <v>0</v>
      </c>
      <c r="AK28" s="579">
        <f t="shared" si="1"/>
        <v>0</v>
      </c>
      <c r="AL28" s="579">
        <f t="shared" si="1"/>
        <v>0</v>
      </c>
      <c r="AM28" s="579">
        <f t="shared" si="1"/>
        <v>0</v>
      </c>
      <c r="AN28" s="579">
        <f t="shared" si="1"/>
        <v>0</v>
      </c>
      <c r="AO28" s="579">
        <f t="shared" si="1"/>
        <v>0</v>
      </c>
      <c r="AP28" s="579">
        <f t="shared" si="1"/>
        <v>0</v>
      </c>
      <c r="AQ28" s="579">
        <f t="shared" si="1"/>
        <v>0</v>
      </c>
      <c r="AR28" s="579">
        <f t="shared" si="1"/>
        <v>0</v>
      </c>
      <c r="AS28" s="579">
        <f t="shared" si="1"/>
        <v>0</v>
      </c>
      <c r="AT28" s="579">
        <f t="shared" si="1"/>
        <v>0</v>
      </c>
      <c r="AU28" s="579">
        <f t="shared" si="1"/>
        <v>0</v>
      </c>
      <c r="AV28" s="579">
        <f t="shared" si="1"/>
        <v>0</v>
      </c>
      <c r="AW28" s="579">
        <f t="shared" si="1"/>
        <v>0</v>
      </c>
      <c r="AX28" s="579">
        <f t="shared" si="1"/>
        <v>0</v>
      </c>
      <c r="AY28" s="784"/>
      <c r="AZ28" s="82"/>
      <c r="BB28" s="665" t="s">
        <v>1321</v>
      </c>
    </row>
    <row r="29" spans="1:54" ht="14.65" hidden="1" customHeight="1">
      <c r="E29" s="459">
        <v>15</v>
      </c>
      <c r="F29" s="3" cm="1">
        <f t="array" aca="1" ref="F29" ca="1">OFFSET(E29,-1,1)</f>
        <v>0</v>
      </c>
      <c r="G29" s="41" t="s">
        <v>461</v>
      </c>
      <c r="H29" s="41"/>
      <c r="I29" s="41"/>
      <c r="J29" s="41"/>
      <c r="T29" s="365" t="b" cm="1">
        <f t="array" ref="T29">T28</f>
        <v>0</v>
      </c>
      <c r="X29" s="1075"/>
      <c r="Y29" s="41"/>
      <c r="Z29" s="1095"/>
      <c r="AA29" s="41"/>
      <c r="AB29" s="24" t="s">
        <v>897</v>
      </c>
      <c r="AC29" s="582" t="s">
        <v>1388</v>
      </c>
      <c r="AD29" s="24" t="s">
        <v>804</v>
      </c>
      <c r="AE29" s="790"/>
      <c r="AF29" s="790"/>
      <c r="AG29" s="790"/>
      <c r="AH29" s="790"/>
      <c r="AI29" s="790"/>
      <c r="AJ29" s="790"/>
      <c r="AK29" s="790"/>
      <c r="AL29" s="790"/>
      <c r="AM29" s="790"/>
      <c r="AN29" s="790"/>
      <c r="AO29" s="790"/>
      <c r="AP29" s="790"/>
      <c r="AQ29" s="790"/>
      <c r="AR29" s="790"/>
      <c r="AS29" s="790"/>
      <c r="AT29" s="790"/>
      <c r="AU29" s="790"/>
      <c r="AV29" s="790"/>
      <c r="AW29" s="790"/>
      <c r="AX29" s="790"/>
      <c r="AY29" s="784"/>
      <c r="AZ29" s="41"/>
      <c r="BB29" s="665" t="s">
        <v>1389</v>
      </c>
    </row>
    <row r="30" spans="1:54" ht="23.45" hidden="1" customHeight="1">
      <c r="E30" s="459">
        <v>24</v>
      </c>
      <c r="F30" s="3" cm="1">
        <f t="array" aca="1" ref="F30" ca="1">OFFSET(E30,-1,1)</f>
        <v>0</v>
      </c>
      <c r="G30" s="41" t="s">
        <v>465</v>
      </c>
      <c r="H30" s="41"/>
      <c r="I30" s="41"/>
      <c r="J30" s="41"/>
      <c r="T30" s="365" t="b" cm="1">
        <f t="array" ref="T30">T29</f>
        <v>0</v>
      </c>
      <c r="X30" s="1075"/>
      <c r="Y30" s="41"/>
      <c r="Z30" s="1095"/>
      <c r="AA30" s="41"/>
      <c r="AB30" s="24" t="s">
        <v>900</v>
      </c>
      <c r="AC30" s="582" t="s">
        <v>1390</v>
      </c>
      <c r="AD30" s="24" t="s">
        <v>804</v>
      </c>
      <c r="AE30" s="790"/>
      <c r="AF30" s="790"/>
      <c r="AG30" s="790"/>
      <c r="AH30" s="790"/>
      <c r="AI30" s="790"/>
      <c r="AJ30" s="790"/>
      <c r="AK30" s="790"/>
      <c r="AL30" s="790"/>
      <c r="AM30" s="790"/>
      <c r="AN30" s="790"/>
      <c r="AO30" s="790"/>
      <c r="AP30" s="790"/>
      <c r="AQ30" s="790"/>
      <c r="AR30" s="790"/>
      <c r="AS30" s="790"/>
      <c r="AT30" s="790"/>
      <c r="AU30" s="790"/>
      <c r="AV30" s="790"/>
      <c r="AW30" s="790"/>
      <c r="AX30" s="790"/>
      <c r="AY30" s="784"/>
      <c r="AZ30" s="41"/>
      <c r="BB30" s="665" t="s">
        <v>1391</v>
      </c>
    </row>
    <row r="31" spans="1:54" ht="33.4" hidden="1" customHeight="1">
      <c r="E31" s="459">
        <v>34.200000000000003</v>
      </c>
      <c r="F31" s="774" cm="1">
        <f t="array" aca="1" ref="F31" ca="1">OFFSET(E31,-1,1)</f>
        <v>0</v>
      </c>
      <c r="G31" s="41" t="s">
        <v>468</v>
      </c>
      <c r="H31" s="41"/>
      <c r="I31" s="41"/>
      <c r="J31" s="41"/>
      <c r="T31" s="365" t="b" cm="1">
        <f t="array" ref="T31">T30</f>
        <v>0</v>
      </c>
      <c r="X31" s="1075"/>
      <c r="Y31" s="41"/>
      <c r="Z31" s="1095"/>
      <c r="AA31" s="41"/>
      <c r="AB31" s="24" t="s">
        <v>903</v>
      </c>
      <c r="AC31" s="582" t="s">
        <v>1392</v>
      </c>
      <c r="AD31" s="24" t="s">
        <v>804</v>
      </c>
      <c r="AE31" s="790"/>
      <c r="AF31" s="790"/>
      <c r="AG31" s="790"/>
      <c r="AH31" s="790"/>
      <c r="AI31" s="790"/>
      <c r="AJ31" s="790"/>
      <c r="AK31" s="790"/>
      <c r="AL31" s="790"/>
      <c r="AM31" s="790"/>
      <c r="AN31" s="790"/>
      <c r="AO31" s="790"/>
      <c r="AP31" s="790"/>
      <c r="AQ31" s="790"/>
      <c r="AR31" s="790"/>
      <c r="AS31" s="790"/>
      <c r="AT31" s="790"/>
      <c r="AU31" s="790"/>
      <c r="AV31" s="790"/>
      <c r="AW31" s="790"/>
      <c r="AX31" s="790"/>
      <c r="AY31" s="784"/>
      <c r="AZ31" s="41"/>
      <c r="BA31"/>
      <c r="BB31" s="670" t="s">
        <v>1393</v>
      </c>
    </row>
    <row r="32" spans="1:54" ht="14.65" hidden="1" customHeight="1">
      <c r="E32" s="459">
        <v>15</v>
      </c>
      <c r="F32" s="3" cm="1">
        <f t="array" aca="1" ref="F32" ca="1">OFFSET(E32,-1,1)</f>
        <v>0</v>
      </c>
      <c r="G32" s="41" t="s">
        <v>328</v>
      </c>
      <c r="H32" s="41"/>
      <c r="I32" s="41"/>
      <c r="J32" s="41"/>
      <c r="T32" s="365" t="b" cm="1">
        <f t="array" ref="T32">T31</f>
        <v>0</v>
      </c>
      <c r="X32" s="1075"/>
      <c r="Y32" s="41"/>
      <c r="Z32" s="1095"/>
      <c r="AA32" s="41"/>
      <c r="AB32" s="24" t="s">
        <v>285</v>
      </c>
      <c r="AC32" s="176" t="s">
        <v>1394</v>
      </c>
      <c r="AD32" s="24" t="s">
        <v>456</v>
      </c>
      <c r="AE32" s="583">
        <f ca="1">SUMIFS(Сценарии!AJ$25:AJ$109,Сценарии!$F$25:$F$109,$F32,Сценарии!$AC$25:$AC$109,"Индекс потребительских цен")</f>
        <v>0</v>
      </c>
      <c r="AF32" s="583">
        <f ca="1">SUMIFS(Сценарии!AO$25:AO$109,Сценарии!$F$25:$F$109,$F32,Сценарии!$AC$25:$AC$109,"Индекс потребительских цен")</f>
        <v>0</v>
      </c>
      <c r="AG32" s="583">
        <f ca="1">SUMIFS(Сценарии!AP$25:AP$109,Сценарии!$F$25:$F$109,$F32,Сценарии!$AC$25:$AC$109,"Индекс потребительских цен")</f>
        <v>0</v>
      </c>
      <c r="AH32" s="583">
        <f ca="1">SUMIFS(Сценарии!AQ$25:AQ$109,Сценарии!$F$25:$F$109,$F32,Сценарии!$AC$25:$AC$109,"Индекс потребительских цен")</f>
        <v>0</v>
      </c>
      <c r="AI32" s="583">
        <f ca="1">SUMIFS(Сценарии!AR$25:AR$109,Сценарии!$F$25:$F$109,$F32,Сценарии!$AC$25:$AC$109,"Индекс потребительских цен")</f>
        <v>0</v>
      </c>
      <c r="AJ32" s="583">
        <f ca="1">SUMIFS(Сценарии!AS$25:AS$109,Сценарии!$F$25:$F$109,$F32,Сценарии!$AC$25:$AC$109,"Индекс потребительских цен")</f>
        <v>0</v>
      </c>
      <c r="AK32" s="583">
        <f ca="1">SUMIFS(Сценарии!AT$25:AT$109,Сценарии!$F$25:$F$109,$F32,Сценарии!$AC$25:$AC$109,"Индекс потребительских цен")</f>
        <v>0</v>
      </c>
      <c r="AL32" s="583">
        <f ca="1">SUMIFS(Сценарии!AU$25:AU$109,Сценарии!$F$25:$F$109,$F32,Сценарии!$AC$25:$AC$109,"Индекс потребительских цен")</f>
        <v>0</v>
      </c>
      <c r="AM32" s="583">
        <f ca="1">SUMIFS(Сценарии!AV$25:AV$109,Сценарии!$F$25:$F$109,$F32,Сценарии!$AC$25:$AC$109,"Индекс потребительских цен")</f>
        <v>0</v>
      </c>
      <c r="AN32" s="583">
        <f ca="1">SUMIFS(Сценарии!AW$25:AW$109,Сценарии!$F$25:$F$109,$F32,Сценарии!$AC$25:$AC$109,"Индекс потребительских цен")</f>
        <v>0</v>
      </c>
      <c r="AO32" s="583">
        <f ca="1">SUMIFS(Сценарии!AK$25:AK$109,Сценарии!$F$25:$F$109,$F32,Сценарии!$AC$25:$AC$109,"Индекс потребительских цен")</f>
        <v>0</v>
      </c>
      <c r="AP32" s="583">
        <f ca="1">SUMIFS(Сценарии!AX$25:AX$109,Сценарии!$F$25:$F$109,$F32,Сценарии!$AC$25:$AC$109,"Индекс потребительских цен")</f>
        <v>0</v>
      </c>
      <c r="AQ32" s="583">
        <f ca="1">SUMIFS(Сценарии!AY$25:AY$109,Сценарии!$F$25:$F$109,$F32,Сценарии!$AC$25:$AC$109,"Индекс потребительских цен")</f>
        <v>0</v>
      </c>
      <c r="AR32" s="583">
        <f ca="1">SUMIFS(Сценарии!AZ$25:AZ$109,Сценарии!$F$25:$F$109,$F32,Сценарии!$AC$25:$AC$109,"Индекс потребительских цен")</f>
        <v>0</v>
      </c>
      <c r="AS32" s="583">
        <f ca="1">SUMIFS(Сценарии!BA$25:BA$109,Сценарии!$F$25:$F$109,$F32,Сценарии!$AC$25:$AC$109,"Индекс потребительских цен")</f>
        <v>0</v>
      </c>
      <c r="AT32" s="583">
        <f ca="1">SUMIFS(Сценарии!BB$25:BB$109,Сценарии!$F$25:$F$109,$F32,Сценарии!$AC$25:$AC$109,"Индекс потребительских цен")</f>
        <v>0</v>
      </c>
      <c r="AU32" s="583">
        <f ca="1">SUMIFS(Сценарии!BC$25:BC$109,Сценарии!$F$25:$F$109,$F32,Сценарии!$AC$25:$AC$109,"Индекс потребительских цен")</f>
        <v>0</v>
      </c>
      <c r="AV32" s="583">
        <f ca="1">SUMIFS(Сценарии!BD$25:BD$109,Сценарии!$F$25:$F$109,$F32,Сценарии!$AC$25:$AC$109,"Индекс потребительских цен")</f>
        <v>0</v>
      </c>
      <c r="AW32" s="583">
        <f ca="1">SUMIFS(Сценарии!BE$25:BE$109,Сценарии!$F$25:$F$109,$F32,Сценарии!$AC$25:$AC$109,"Индекс потребительских цен")</f>
        <v>0</v>
      </c>
      <c r="AX32" s="583">
        <f ca="1">SUMIFS(Сценарии!BF$25:BF$109,Сценарии!$F$25:$F$109,$F32,Сценарии!$AC$25:$AC$109,"Индекс потребительских цен")</f>
        <v>0</v>
      </c>
      <c r="AY32" s="784"/>
      <c r="AZ32" s="41"/>
      <c r="BB32" s="665" t="s">
        <v>1395</v>
      </c>
    </row>
    <row r="33" spans="1:54" s="173" customFormat="1" ht="14.65" hidden="1" customHeight="1">
      <c r="A33" s="57"/>
      <c r="B33" s="62"/>
      <c r="C33" s="57"/>
      <c r="D33" s="57"/>
      <c r="E33" s="459">
        <v>15</v>
      </c>
      <c r="F33" s="3" cm="1">
        <f t="array" aca="1" ref="F33" ca="1">OFFSET(E33,-1,1)</f>
        <v>0</v>
      </c>
      <c r="G33" s="41" t="s">
        <v>329</v>
      </c>
      <c r="H33" s="41"/>
      <c r="I33" s="41"/>
      <c r="J33" s="41"/>
      <c r="K33" s="57"/>
      <c r="L33" s="57"/>
      <c r="M33" s="57"/>
      <c r="N33" s="57"/>
      <c r="O33" s="57"/>
      <c r="P33" s="57"/>
      <c r="Q33" s="57"/>
      <c r="R33" s="57"/>
      <c r="S33" s="57"/>
      <c r="T33" s="365" t="b" cm="1">
        <f t="array" ref="T33">T32</f>
        <v>0</v>
      </c>
      <c r="U33" s="57"/>
      <c r="V33" s="57"/>
      <c r="W33" s="57"/>
      <c r="X33" s="1075"/>
      <c r="Y33" s="41"/>
      <c r="Z33" s="1095"/>
      <c r="AA33" s="41"/>
      <c r="AB33" s="28">
        <v>3</v>
      </c>
      <c r="AC33" s="176" t="s">
        <v>1396</v>
      </c>
      <c r="AD33" s="24" t="s">
        <v>456</v>
      </c>
      <c r="AE33" s="939" cm="1">
        <f t="array" aca="1" ref="AE33" ca="1">AE32</f>
        <v>0</v>
      </c>
      <c r="AF33" s="939">
        <f t="shared" ref="AF33:AX33" ca="1" si="2">AE33*AF32/100</f>
        <v>0</v>
      </c>
      <c r="AG33" s="939">
        <f t="shared" ca="1" si="2"/>
        <v>0</v>
      </c>
      <c r="AH33" s="939">
        <f t="shared" ca="1" si="2"/>
        <v>0</v>
      </c>
      <c r="AI33" s="939">
        <f t="shared" ca="1" si="2"/>
        <v>0</v>
      </c>
      <c r="AJ33" s="939">
        <f t="shared" ca="1" si="2"/>
        <v>0</v>
      </c>
      <c r="AK33" s="939">
        <f t="shared" ca="1" si="2"/>
        <v>0</v>
      </c>
      <c r="AL33" s="939">
        <f t="shared" ca="1" si="2"/>
        <v>0</v>
      </c>
      <c r="AM33" s="939">
        <f t="shared" ca="1" si="2"/>
        <v>0</v>
      </c>
      <c r="AN33" s="939">
        <f t="shared" ca="1" si="2"/>
        <v>0</v>
      </c>
      <c r="AO33" s="939">
        <f t="shared" ca="1" si="2"/>
        <v>0</v>
      </c>
      <c r="AP33" s="939">
        <f t="shared" ca="1" si="2"/>
        <v>0</v>
      </c>
      <c r="AQ33" s="939">
        <f t="shared" ca="1" si="2"/>
        <v>0</v>
      </c>
      <c r="AR33" s="939">
        <f t="shared" ca="1" si="2"/>
        <v>0</v>
      </c>
      <c r="AS33" s="939">
        <f t="shared" ca="1" si="2"/>
        <v>0</v>
      </c>
      <c r="AT33" s="939">
        <f t="shared" ca="1" si="2"/>
        <v>0</v>
      </c>
      <c r="AU33" s="939">
        <f t="shared" ca="1" si="2"/>
        <v>0</v>
      </c>
      <c r="AV33" s="939">
        <f t="shared" ca="1" si="2"/>
        <v>0</v>
      </c>
      <c r="AW33" s="939">
        <f t="shared" ca="1" si="2"/>
        <v>0</v>
      </c>
      <c r="AX33" s="939">
        <f t="shared" ca="1" si="2"/>
        <v>0</v>
      </c>
      <c r="AY33" s="784"/>
      <c r="AZ33" s="41"/>
      <c r="BB33" s="697" t="s">
        <v>1397</v>
      </c>
    </row>
    <row r="34" spans="1:54" ht="14.65" hidden="1" customHeight="1">
      <c r="A34" s="173"/>
      <c r="B34" s="340"/>
      <c r="C34" s="173"/>
      <c r="D34" s="173"/>
      <c r="E34" s="512">
        <v>15</v>
      </c>
      <c r="F34" s="3" cm="1">
        <f t="array" aca="1" ref="F34" ca="1">OFFSET(E34,-1,1)</f>
        <v>0</v>
      </c>
      <c r="G34" s="41" t="s">
        <v>331</v>
      </c>
      <c r="H34" s="41" t="s">
        <v>1398</v>
      </c>
      <c r="I34" s="82"/>
      <c r="J34" s="82"/>
      <c r="K34" s="173"/>
      <c r="L34" s="173"/>
      <c r="M34" s="173"/>
      <c r="N34" s="173"/>
      <c r="O34" s="173"/>
      <c r="P34" s="173"/>
      <c r="Q34" s="173"/>
      <c r="R34" s="173"/>
      <c r="S34" s="173"/>
      <c r="T34" s="365" t="b" cm="1">
        <f t="array" ref="T34">T33</f>
        <v>0</v>
      </c>
      <c r="U34" s="173"/>
      <c r="V34" s="173"/>
      <c r="W34" s="173"/>
      <c r="X34" s="1075"/>
      <c r="Y34" s="82"/>
      <c r="Z34" s="1095"/>
      <c r="AA34" s="82"/>
      <c r="AB34" s="179" t="s">
        <v>433</v>
      </c>
      <c r="AC34" s="178" t="s">
        <v>1399</v>
      </c>
      <c r="AD34" s="179" t="s">
        <v>804</v>
      </c>
      <c r="AE34" s="579">
        <f t="shared" ref="AE34:AX34" ca="1" si="3">AE28*AE33/100</f>
        <v>0</v>
      </c>
      <c r="AF34" s="579">
        <f t="shared" ca="1" si="3"/>
        <v>0</v>
      </c>
      <c r="AG34" s="579">
        <f t="shared" ca="1" si="3"/>
        <v>0</v>
      </c>
      <c r="AH34" s="579">
        <f t="shared" ca="1" si="3"/>
        <v>0</v>
      </c>
      <c r="AI34" s="579">
        <f t="shared" ca="1" si="3"/>
        <v>0</v>
      </c>
      <c r="AJ34" s="579">
        <f t="shared" ca="1" si="3"/>
        <v>0</v>
      </c>
      <c r="AK34" s="579">
        <f t="shared" ca="1" si="3"/>
        <v>0</v>
      </c>
      <c r="AL34" s="579">
        <f t="shared" ca="1" si="3"/>
        <v>0</v>
      </c>
      <c r="AM34" s="579">
        <f t="shared" ca="1" si="3"/>
        <v>0</v>
      </c>
      <c r="AN34" s="579">
        <f t="shared" ca="1" si="3"/>
        <v>0</v>
      </c>
      <c r="AO34" s="579">
        <f t="shared" ca="1" si="3"/>
        <v>0</v>
      </c>
      <c r="AP34" s="579">
        <f t="shared" ca="1" si="3"/>
        <v>0</v>
      </c>
      <c r="AQ34" s="579">
        <f t="shared" ca="1" si="3"/>
        <v>0</v>
      </c>
      <c r="AR34" s="579">
        <f t="shared" ca="1" si="3"/>
        <v>0</v>
      </c>
      <c r="AS34" s="579">
        <f t="shared" ca="1" si="3"/>
        <v>0</v>
      </c>
      <c r="AT34" s="579">
        <f t="shared" ca="1" si="3"/>
        <v>0</v>
      </c>
      <c r="AU34" s="579">
        <f t="shared" ca="1" si="3"/>
        <v>0</v>
      </c>
      <c r="AV34" s="579">
        <f t="shared" ca="1" si="3"/>
        <v>0</v>
      </c>
      <c r="AW34" s="579">
        <f t="shared" ca="1" si="3"/>
        <v>0</v>
      </c>
      <c r="AX34" s="579">
        <f t="shared" ca="1" si="3"/>
        <v>0</v>
      </c>
      <c r="AY34" s="784"/>
      <c r="AZ34" s="82"/>
      <c r="BB34" s="665" t="s">
        <v>1400</v>
      </c>
    </row>
    <row r="35" spans="1:54" ht="14.25" customHeight="1">
      <c r="E35" s="459">
        <v>15</v>
      </c>
      <c r="F35" s="78" t="str" cm="1">
        <f t="array" ref="F35">X35</f>
        <v>1</v>
      </c>
      <c r="G35" s="41"/>
      <c r="H35" s="41"/>
      <c r="I35" s="41"/>
      <c r="J35" s="41"/>
      <c r="T35" s="365" t="b">
        <f>X35&gt;0</f>
        <v>1</v>
      </c>
      <c r="V35" s="57" t="str" cm="1">
        <f t="array" ref="V35">'ИП + источники'!$AB$87</f>
        <v>Тариф 1 (Водоснабжение) - тариф на питьевую воду (Доп. признак не требуется)</v>
      </c>
      <c r="X35" s="1075" t="s">
        <v>275</v>
      </c>
      <c r="Y35" s="41"/>
      <c r="Z35" s="1095"/>
      <c r="AA35" s="41"/>
      <c r="AB35" s="174" t="str" cm="1">
        <f t="array" ref="AB35">'ИП + источники'!$AB$87</f>
        <v>Тариф 1 (Водоснабжение) - тариф на питьевую воду (Доп. признак не требуется)</v>
      </c>
      <c r="AC35" s="572"/>
      <c r="AD35" s="572"/>
      <c r="AE35" s="572"/>
      <c r="AF35" s="572"/>
      <c r="AG35" s="572"/>
      <c r="AH35" s="572"/>
      <c r="AI35" s="572"/>
      <c r="AJ35" s="572"/>
      <c r="AK35" s="572"/>
      <c r="AL35" s="572"/>
      <c r="AM35" s="572"/>
      <c r="AN35" s="572"/>
      <c r="AO35" s="572"/>
      <c r="AP35" s="572"/>
      <c r="AQ35" s="572"/>
      <c r="AR35" s="572"/>
      <c r="AS35" s="572"/>
      <c r="AT35" s="572"/>
      <c r="AU35" s="572"/>
      <c r="AV35" s="572"/>
      <c r="AW35" s="572"/>
      <c r="AX35" s="572"/>
      <c r="AY35" s="572"/>
      <c r="AZ35" s="41"/>
    </row>
    <row r="36" spans="1:54" ht="14.25" customHeight="1">
      <c r="A36" s="173"/>
      <c r="B36" s="340"/>
      <c r="C36" s="173"/>
      <c r="D36" s="173"/>
      <c r="E36" s="512">
        <v>15</v>
      </c>
      <c r="F36" s="3" t="str" cm="1">
        <f t="array" aca="1" ref="F36" ca="1">OFFSET(E36,-1,1)</f>
        <v>1</v>
      </c>
      <c r="G36" s="41" t="s">
        <v>327</v>
      </c>
      <c r="H36" s="82"/>
      <c r="I36" s="82"/>
      <c r="J36" s="82"/>
      <c r="K36" s="173"/>
      <c r="L36" s="173"/>
      <c r="M36" s="173"/>
      <c r="N36" s="173"/>
      <c r="O36" s="173"/>
      <c r="P36" s="173"/>
      <c r="Q36" s="173"/>
      <c r="R36" s="173"/>
      <c r="S36" s="173"/>
      <c r="T36" s="365" t="b" cm="1">
        <f t="array" ref="T36">T35</f>
        <v>1</v>
      </c>
      <c r="U36" s="173"/>
      <c r="V36" s="173"/>
      <c r="W36" s="173"/>
      <c r="X36" s="1075"/>
      <c r="Y36" s="82"/>
      <c r="Z36" s="1095"/>
      <c r="AA36" s="82"/>
      <c r="AB36" s="179" t="s">
        <v>275</v>
      </c>
      <c r="AC36" s="178" t="s">
        <v>1387</v>
      </c>
      <c r="AD36" s="179" t="s">
        <v>804</v>
      </c>
      <c r="AE36" s="579">
        <f t="shared" ref="AE36:AX36" si="4">AE37+AE38+AE39</f>
        <v>0</v>
      </c>
      <c r="AF36" s="579">
        <f t="shared" si="4"/>
        <v>0</v>
      </c>
      <c r="AG36" s="579">
        <f t="shared" si="4"/>
        <v>0</v>
      </c>
      <c r="AH36" s="579">
        <f t="shared" si="4"/>
        <v>0</v>
      </c>
      <c r="AI36" s="579">
        <f t="shared" si="4"/>
        <v>0</v>
      </c>
      <c r="AJ36" s="579">
        <f t="shared" si="4"/>
        <v>0</v>
      </c>
      <c r="AK36" s="579">
        <f t="shared" si="4"/>
        <v>0</v>
      </c>
      <c r="AL36" s="579">
        <f t="shared" si="4"/>
        <v>0</v>
      </c>
      <c r="AM36" s="579">
        <f t="shared" si="4"/>
        <v>0</v>
      </c>
      <c r="AN36" s="579">
        <f t="shared" si="4"/>
        <v>0</v>
      </c>
      <c r="AO36" s="579">
        <f t="shared" si="4"/>
        <v>0</v>
      </c>
      <c r="AP36" s="579">
        <f t="shared" si="4"/>
        <v>0</v>
      </c>
      <c r="AQ36" s="579">
        <f t="shared" si="4"/>
        <v>0</v>
      </c>
      <c r="AR36" s="579">
        <f t="shared" si="4"/>
        <v>0</v>
      </c>
      <c r="AS36" s="579">
        <f t="shared" si="4"/>
        <v>0</v>
      </c>
      <c r="AT36" s="579">
        <f t="shared" si="4"/>
        <v>0</v>
      </c>
      <c r="AU36" s="579">
        <f t="shared" si="4"/>
        <v>0</v>
      </c>
      <c r="AV36" s="579">
        <f t="shared" si="4"/>
        <v>0</v>
      </c>
      <c r="AW36" s="579">
        <f t="shared" si="4"/>
        <v>0</v>
      </c>
      <c r="AX36" s="579">
        <f t="shared" si="4"/>
        <v>0</v>
      </c>
      <c r="AY36" s="215"/>
      <c r="AZ36" s="82"/>
      <c r="BB36" s="665" t="s">
        <v>1321</v>
      </c>
    </row>
    <row r="37" spans="1:54" ht="14.25" customHeight="1">
      <c r="E37" s="459">
        <v>15</v>
      </c>
      <c r="F37" s="3" t="str" cm="1">
        <f t="array" aca="1" ref="F37" ca="1">OFFSET(E37,-1,1)</f>
        <v>1</v>
      </c>
      <c r="G37" s="41" t="s">
        <v>461</v>
      </c>
      <c r="H37" s="41"/>
      <c r="I37" s="41"/>
      <c r="J37" s="41"/>
      <c r="T37" s="365" t="b" cm="1">
        <f t="array" ref="T37">T36</f>
        <v>1</v>
      </c>
      <c r="X37" s="1075"/>
      <c r="Y37" s="41"/>
      <c r="Z37" s="1095"/>
      <c r="AA37" s="41"/>
      <c r="AB37" s="24" t="s">
        <v>897</v>
      </c>
      <c r="AC37" s="582" t="s">
        <v>1388</v>
      </c>
      <c r="AD37" s="24" t="s">
        <v>804</v>
      </c>
      <c r="AE37" s="160"/>
      <c r="AF37" s="790"/>
      <c r="AG37" s="790"/>
      <c r="AH37" s="790"/>
      <c r="AI37" s="790"/>
      <c r="AJ37" s="790"/>
      <c r="AK37" s="790"/>
      <c r="AL37" s="790"/>
      <c r="AM37" s="790"/>
      <c r="AN37" s="790"/>
      <c r="AO37" s="160"/>
      <c r="AP37" s="790"/>
      <c r="AQ37" s="790"/>
      <c r="AR37" s="790"/>
      <c r="AS37" s="790"/>
      <c r="AT37" s="790"/>
      <c r="AU37" s="790"/>
      <c r="AV37" s="790"/>
      <c r="AW37" s="790"/>
      <c r="AX37" s="790"/>
      <c r="AY37" s="215"/>
      <c r="AZ37" s="41"/>
      <c r="BB37" s="665" t="s">
        <v>1389</v>
      </c>
    </row>
    <row r="38" spans="1:54" ht="23.25" customHeight="1">
      <c r="E38" s="459">
        <v>24</v>
      </c>
      <c r="F38" s="3" t="str" cm="1">
        <f t="array" aca="1" ref="F38" ca="1">OFFSET(E38,-1,1)</f>
        <v>1</v>
      </c>
      <c r="G38" s="41" t="s">
        <v>465</v>
      </c>
      <c r="H38" s="41"/>
      <c r="I38" s="41"/>
      <c r="J38" s="41"/>
      <c r="T38" s="365" t="b" cm="1">
        <f t="array" ref="T38">T37</f>
        <v>1</v>
      </c>
      <c r="X38" s="1075"/>
      <c r="Y38" s="41"/>
      <c r="Z38" s="1095"/>
      <c r="AA38" s="41"/>
      <c r="AB38" s="24" t="s">
        <v>900</v>
      </c>
      <c r="AC38" s="582" t="s">
        <v>1390</v>
      </c>
      <c r="AD38" s="24" t="s">
        <v>804</v>
      </c>
      <c r="AE38" s="160"/>
      <c r="AF38" s="790"/>
      <c r="AG38" s="790"/>
      <c r="AH38" s="790"/>
      <c r="AI38" s="790"/>
      <c r="AJ38" s="790"/>
      <c r="AK38" s="790"/>
      <c r="AL38" s="790"/>
      <c r="AM38" s="790"/>
      <c r="AN38" s="790"/>
      <c r="AO38" s="160"/>
      <c r="AP38" s="790"/>
      <c r="AQ38" s="790"/>
      <c r="AR38" s="790"/>
      <c r="AS38" s="790"/>
      <c r="AT38" s="790"/>
      <c r="AU38" s="790"/>
      <c r="AV38" s="790"/>
      <c r="AW38" s="790"/>
      <c r="AX38" s="790"/>
      <c r="AY38" s="215"/>
      <c r="AZ38" s="41"/>
      <c r="BB38" s="665" t="s">
        <v>1391</v>
      </c>
    </row>
    <row r="39" spans="1:54" ht="33" customHeight="1">
      <c r="E39" s="459">
        <v>34.200000000000003</v>
      </c>
      <c r="F39" s="774" t="str" cm="1">
        <f t="array" aca="1" ref="F39" ca="1">OFFSET(E39,-1,1)</f>
        <v>1</v>
      </c>
      <c r="G39" s="41" t="s">
        <v>468</v>
      </c>
      <c r="H39" s="41"/>
      <c r="I39" s="41"/>
      <c r="J39" s="41"/>
      <c r="T39" s="365" t="b" cm="1">
        <f t="array" ref="T39">T38</f>
        <v>1</v>
      </c>
      <c r="X39" s="1075"/>
      <c r="Y39" s="41"/>
      <c r="Z39" s="1095"/>
      <c r="AA39" s="41"/>
      <c r="AB39" s="24" t="s">
        <v>903</v>
      </c>
      <c r="AC39" s="582" t="s">
        <v>1392</v>
      </c>
      <c r="AD39" s="24" t="s">
        <v>804</v>
      </c>
      <c r="AE39" s="160"/>
      <c r="AF39" s="790"/>
      <c r="AG39" s="790"/>
      <c r="AH39" s="790"/>
      <c r="AI39" s="790"/>
      <c r="AJ39" s="790"/>
      <c r="AK39" s="790"/>
      <c r="AL39" s="790"/>
      <c r="AM39" s="790"/>
      <c r="AN39" s="790"/>
      <c r="AO39" s="160"/>
      <c r="AP39" s="790"/>
      <c r="AQ39" s="790"/>
      <c r="AR39" s="790"/>
      <c r="AS39" s="790"/>
      <c r="AT39" s="790"/>
      <c r="AU39" s="790"/>
      <c r="AV39" s="790"/>
      <c r="AW39" s="790"/>
      <c r="AX39" s="790"/>
      <c r="AY39" s="215"/>
      <c r="AZ39" s="41"/>
      <c r="BA39"/>
      <c r="BB39" s="670" t="s">
        <v>1393</v>
      </c>
    </row>
    <row r="40" spans="1:54" ht="14.25" customHeight="1">
      <c r="E40" s="459">
        <v>15</v>
      </c>
      <c r="F40" s="3" t="str" cm="1">
        <f t="array" aca="1" ref="F40" ca="1">OFFSET(E40,-1,1)</f>
        <v>1</v>
      </c>
      <c r="G40" s="41" t="s">
        <v>328</v>
      </c>
      <c r="H40" s="41"/>
      <c r="I40" s="41"/>
      <c r="J40" s="41"/>
      <c r="T40" s="365" t="b" cm="1">
        <f t="array" ref="T40">T39</f>
        <v>1</v>
      </c>
      <c r="X40" s="1075"/>
      <c r="Y40" s="41"/>
      <c r="Z40" s="1095"/>
      <c r="AA40" s="41"/>
      <c r="AB40" s="24" t="s">
        <v>285</v>
      </c>
      <c r="AC40" s="176" t="s">
        <v>1394</v>
      </c>
      <c r="AD40" s="24" t="s">
        <v>456</v>
      </c>
      <c r="AE40" s="583">
        <f ca="1">SUMIFS(Сценарии!AJ$25:AJ$109,Сценарии!$F$25:$F$109,$F40,Сценарии!$AC$25:$AC$109,"Индекс потребительских цен")</f>
        <v>8</v>
      </c>
      <c r="AF40" s="583">
        <f ca="1">SUMIFS(Сценарии!AO$25:AO$109,Сценарии!$F$25:$F$109,$F40,Сценарии!$AC$25:$AC$109,"Индекс потребительских цен")</f>
        <v>0</v>
      </c>
      <c r="AG40" s="583">
        <f ca="1">SUMIFS(Сценарии!AP$25:AP$109,Сценарии!$F$25:$F$109,$F40,Сценарии!$AC$25:$AC$109,"Индекс потребительских цен")</f>
        <v>0</v>
      </c>
      <c r="AH40" s="583">
        <f ca="1">SUMIFS(Сценарии!AQ$25:AQ$109,Сценарии!$F$25:$F$109,$F40,Сценарии!$AC$25:$AC$109,"Индекс потребительских цен")</f>
        <v>0</v>
      </c>
      <c r="AI40" s="583">
        <f ca="1">SUMIFS(Сценарии!AR$25:AR$109,Сценарии!$F$25:$F$109,$F40,Сценарии!$AC$25:$AC$109,"Индекс потребительских цен")</f>
        <v>0</v>
      </c>
      <c r="AJ40" s="583">
        <f ca="1">SUMIFS(Сценарии!AS$25:AS$109,Сценарии!$F$25:$F$109,$F40,Сценарии!$AC$25:$AC$109,"Индекс потребительских цен")</f>
        <v>0</v>
      </c>
      <c r="AK40" s="583">
        <f ca="1">SUMIFS(Сценарии!AT$25:AT$109,Сценарии!$F$25:$F$109,$F40,Сценарии!$AC$25:$AC$109,"Индекс потребительских цен")</f>
        <v>0</v>
      </c>
      <c r="AL40" s="583">
        <f ca="1">SUMIFS(Сценарии!AU$25:AU$109,Сценарии!$F$25:$F$109,$F40,Сценарии!$AC$25:$AC$109,"Индекс потребительских цен")</f>
        <v>0</v>
      </c>
      <c r="AM40" s="583">
        <f ca="1">SUMIFS(Сценарии!AV$25:AV$109,Сценарии!$F$25:$F$109,$F40,Сценарии!$AC$25:$AC$109,"Индекс потребительских цен")</f>
        <v>0</v>
      </c>
      <c r="AN40" s="583">
        <f ca="1">SUMIFS(Сценарии!AW$25:AW$109,Сценарии!$F$25:$F$109,$F40,Сценарии!$AC$25:$AC$109,"Индекс потребительских цен")</f>
        <v>0</v>
      </c>
      <c r="AO40" s="583">
        <f ca="1">SUMIFS(Сценарии!AK$25:AK$109,Сценарии!$F$25:$F$109,$F40,Сценарии!$AC$25:$AC$109,"Индекс потребительских цен")</f>
        <v>5.0999999999999996</v>
      </c>
      <c r="AP40" s="583">
        <f ca="1">SUMIFS(Сценарии!AX$25:AX$109,Сценарии!$F$25:$F$109,$F40,Сценарии!$AC$25:$AC$109,"Индекс потребительских цен")</f>
        <v>0</v>
      </c>
      <c r="AQ40" s="583">
        <f ca="1">SUMIFS(Сценарии!AY$25:AY$109,Сценарии!$F$25:$F$109,$F40,Сценарии!$AC$25:$AC$109,"Индекс потребительских цен")</f>
        <v>0</v>
      </c>
      <c r="AR40" s="583">
        <f ca="1">SUMIFS(Сценарии!AZ$25:AZ$109,Сценарии!$F$25:$F$109,$F40,Сценарии!$AC$25:$AC$109,"Индекс потребительских цен")</f>
        <v>0</v>
      </c>
      <c r="AS40" s="583">
        <f ca="1">SUMIFS(Сценарии!BA$25:BA$109,Сценарии!$F$25:$F$109,$F40,Сценарии!$AC$25:$AC$109,"Индекс потребительских цен")</f>
        <v>0</v>
      </c>
      <c r="AT40" s="583">
        <f ca="1">SUMIFS(Сценарии!BB$25:BB$109,Сценарии!$F$25:$F$109,$F40,Сценарии!$AC$25:$AC$109,"Индекс потребительских цен")</f>
        <v>0</v>
      </c>
      <c r="AU40" s="583">
        <f ca="1">SUMIFS(Сценарии!BC$25:BC$109,Сценарии!$F$25:$F$109,$F40,Сценарии!$AC$25:$AC$109,"Индекс потребительских цен")</f>
        <v>0</v>
      </c>
      <c r="AV40" s="583">
        <f ca="1">SUMIFS(Сценарии!BD$25:BD$109,Сценарии!$F$25:$F$109,$F40,Сценарии!$AC$25:$AC$109,"Индекс потребительских цен")</f>
        <v>0</v>
      </c>
      <c r="AW40" s="583">
        <f ca="1">SUMIFS(Сценарии!BE$25:BE$109,Сценарии!$F$25:$F$109,$F40,Сценарии!$AC$25:$AC$109,"Индекс потребительских цен")</f>
        <v>0</v>
      </c>
      <c r="AX40" s="583">
        <f ca="1">SUMIFS(Сценарии!BF$25:BF$109,Сценарии!$F$25:$F$109,$F40,Сценарии!$AC$25:$AC$109,"Индекс потребительских цен")</f>
        <v>0</v>
      </c>
      <c r="AY40" s="215"/>
      <c r="AZ40" s="41"/>
      <c r="BB40" s="665" t="s">
        <v>1395</v>
      </c>
    </row>
    <row r="41" spans="1:54" s="935" customFormat="1" ht="14.25" customHeight="1">
      <c r="A41" s="57"/>
      <c r="B41" s="62"/>
      <c r="C41" s="57"/>
      <c r="D41" s="57"/>
      <c r="E41" s="459">
        <v>15</v>
      </c>
      <c r="F41" s="3" t="str" cm="1">
        <f t="array" aca="1" ref="F41" ca="1">OFFSET(E41,-1,1)</f>
        <v>1</v>
      </c>
      <c r="G41" s="41" t="s">
        <v>329</v>
      </c>
      <c r="H41" s="41"/>
      <c r="I41" s="41"/>
      <c r="J41" s="41"/>
      <c r="K41" s="57"/>
      <c r="L41" s="57"/>
      <c r="M41" s="57"/>
      <c r="N41" s="57"/>
      <c r="O41" s="57"/>
      <c r="P41" s="57"/>
      <c r="Q41" s="57"/>
      <c r="R41" s="57"/>
      <c r="S41" s="57"/>
      <c r="T41" s="365" t="b" cm="1">
        <f t="array" ref="T41">T40</f>
        <v>1</v>
      </c>
      <c r="U41" s="57"/>
      <c r="V41" s="57"/>
      <c r="W41" s="57"/>
      <c r="X41" s="1075"/>
      <c r="Y41" s="41"/>
      <c r="Z41" s="1095"/>
      <c r="AA41" s="41"/>
      <c r="AB41" s="28">
        <v>3</v>
      </c>
      <c r="AC41" s="176" t="s">
        <v>1396</v>
      </c>
      <c r="AD41" s="24" t="s">
        <v>456</v>
      </c>
      <c r="AE41" s="584" cm="1">
        <f t="array" aca="1" ref="AE41" ca="1">AE40</f>
        <v>8</v>
      </c>
      <c r="AF41" s="939">
        <f t="shared" ref="AF41:AX41" ca="1" si="5">AE41*AF40/100</f>
        <v>0</v>
      </c>
      <c r="AG41" s="939">
        <f t="shared" ca="1" si="5"/>
        <v>0</v>
      </c>
      <c r="AH41" s="939">
        <f t="shared" ca="1" si="5"/>
        <v>0</v>
      </c>
      <c r="AI41" s="939">
        <f t="shared" ca="1" si="5"/>
        <v>0</v>
      </c>
      <c r="AJ41" s="939">
        <f t="shared" ca="1" si="5"/>
        <v>0</v>
      </c>
      <c r="AK41" s="939">
        <f t="shared" ca="1" si="5"/>
        <v>0</v>
      </c>
      <c r="AL41" s="939">
        <f t="shared" ca="1" si="5"/>
        <v>0</v>
      </c>
      <c r="AM41" s="939">
        <f t="shared" ca="1" si="5"/>
        <v>0</v>
      </c>
      <c r="AN41" s="939">
        <f t="shared" ca="1" si="5"/>
        <v>0</v>
      </c>
      <c r="AO41" s="584">
        <f t="shared" ca="1" si="5"/>
        <v>0</v>
      </c>
      <c r="AP41" s="939">
        <f t="shared" ca="1" si="5"/>
        <v>0</v>
      </c>
      <c r="AQ41" s="939">
        <f t="shared" ca="1" si="5"/>
        <v>0</v>
      </c>
      <c r="AR41" s="939">
        <f t="shared" ca="1" si="5"/>
        <v>0</v>
      </c>
      <c r="AS41" s="939">
        <f t="shared" ca="1" si="5"/>
        <v>0</v>
      </c>
      <c r="AT41" s="939">
        <f t="shared" ca="1" si="5"/>
        <v>0</v>
      </c>
      <c r="AU41" s="939">
        <f t="shared" ca="1" si="5"/>
        <v>0</v>
      </c>
      <c r="AV41" s="939">
        <f t="shared" ca="1" si="5"/>
        <v>0</v>
      </c>
      <c r="AW41" s="939">
        <f t="shared" ca="1" si="5"/>
        <v>0</v>
      </c>
      <c r="AX41" s="939">
        <f t="shared" ca="1" si="5"/>
        <v>0</v>
      </c>
      <c r="AY41" s="215"/>
      <c r="AZ41" s="41"/>
      <c r="BA41" s="173"/>
      <c r="BB41" s="697" t="s">
        <v>1397</v>
      </c>
    </row>
    <row r="42" spans="1:54" ht="14.25" customHeight="1">
      <c r="A42" s="173"/>
      <c r="B42" s="340"/>
      <c r="C42" s="173"/>
      <c r="D42" s="173"/>
      <c r="E42" s="512">
        <v>15</v>
      </c>
      <c r="F42" s="3" t="str" cm="1">
        <f t="array" aca="1" ref="F42" ca="1">OFFSET(E42,-1,1)</f>
        <v>1</v>
      </c>
      <c r="G42" s="41" t="s">
        <v>331</v>
      </c>
      <c r="H42" s="41" t="s">
        <v>1398</v>
      </c>
      <c r="I42" s="82"/>
      <c r="J42" s="82"/>
      <c r="K42" s="173"/>
      <c r="L42" s="173"/>
      <c r="M42" s="173"/>
      <c r="N42" s="173"/>
      <c r="O42" s="173"/>
      <c r="P42" s="173"/>
      <c r="Q42" s="173"/>
      <c r="R42" s="173"/>
      <c r="S42" s="173"/>
      <c r="T42" s="365" t="b" cm="1">
        <f t="array" ref="T42">T41</f>
        <v>1</v>
      </c>
      <c r="U42" s="173"/>
      <c r="V42" s="173"/>
      <c r="W42" s="173"/>
      <c r="X42" s="1075"/>
      <c r="Y42" s="82"/>
      <c r="Z42" s="1095"/>
      <c r="AA42" s="82"/>
      <c r="AB42" s="179" t="s">
        <v>433</v>
      </c>
      <c r="AC42" s="178" t="s">
        <v>1399</v>
      </c>
      <c r="AD42" s="179" t="s">
        <v>804</v>
      </c>
      <c r="AE42" s="579">
        <f t="shared" ref="AE42:AX42" ca="1" si="6">AE36*AE41/100</f>
        <v>0</v>
      </c>
      <c r="AF42" s="579">
        <f t="shared" ca="1" si="6"/>
        <v>0</v>
      </c>
      <c r="AG42" s="579">
        <f t="shared" ca="1" si="6"/>
        <v>0</v>
      </c>
      <c r="AH42" s="579">
        <f t="shared" ca="1" si="6"/>
        <v>0</v>
      </c>
      <c r="AI42" s="579">
        <f t="shared" ca="1" si="6"/>
        <v>0</v>
      </c>
      <c r="AJ42" s="579">
        <f t="shared" ca="1" si="6"/>
        <v>0</v>
      </c>
      <c r="AK42" s="579">
        <f t="shared" ca="1" si="6"/>
        <v>0</v>
      </c>
      <c r="AL42" s="579">
        <f t="shared" ca="1" si="6"/>
        <v>0</v>
      </c>
      <c r="AM42" s="579">
        <f t="shared" ca="1" si="6"/>
        <v>0</v>
      </c>
      <c r="AN42" s="579">
        <f t="shared" ca="1" si="6"/>
        <v>0</v>
      </c>
      <c r="AO42" s="579">
        <f t="shared" ca="1" si="6"/>
        <v>0</v>
      </c>
      <c r="AP42" s="579">
        <f t="shared" ca="1" si="6"/>
        <v>0</v>
      </c>
      <c r="AQ42" s="579">
        <f t="shared" ca="1" si="6"/>
        <v>0</v>
      </c>
      <c r="AR42" s="579">
        <f t="shared" ca="1" si="6"/>
        <v>0</v>
      </c>
      <c r="AS42" s="579">
        <f t="shared" ca="1" si="6"/>
        <v>0</v>
      </c>
      <c r="AT42" s="579">
        <f t="shared" ca="1" si="6"/>
        <v>0</v>
      </c>
      <c r="AU42" s="579">
        <f t="shared" ca="1" si="6"/>
        <v>0</v>
      </c>
      <c r="AV42" s="579">
        <f t="shared" ca="1" si="6"/>
        <v>0</v>
      </c>
      <c r="AW42" s="579">
        <f t="shared" ca="1" si="6"/>
        <v>0</v>
      </c>
      <c r="AX42" s="579">
        <f t="shared" ca="1" si="6"/>
        <v>0</v>
      </c>
      <c r="AY42" s="215"/>
      <c r="AZ42" s="82"/>
      <c r="BB42" s="665" t="s">
        <v>1400</v>
      </c>
    </row>
    <row r="43" spans="1:54" ht="14.25" customHeight="1">
      <c r="E43" s="459">
        <v>15</v>
      </c>
      <c r="F43" s="78" t="str" cm="1">
        <f t="array" ref="F43">X43</f>
        <v>2</v>
      </c>
      <c r="G43" s="41"/>
      <c r="H43" s="41"/>
      <c r="I43" s="41"/>
      <c r="J43" s="41"/>
      <c r="T43" s="365" t="b">
        <f>X43&gt;0</f>
        <v>1</v>
      </c>
      <c r="V43" s="57" t="str" cm="1">
        <f t="array" ref="V43">'ИП + источники'!$AB$116</f>
        <v>Тариф 2 (Водоотведение) - тариф на водоотведение (Доп. признак не требуется)</v>
      </c>
      <c r="X43" s="1075" t="s">
        <v>285</v>
      </c>
      <c r="Y43" s="41"/>
      <c r="Z43" s="1095"/>
      <c r="AA43" s="41"/>
      <c r="AB43" s="174" t="str" cm="1">
        <f t="array" ref="AB43">'ИП + источники'!$AB$116</f>
        <v>Тариф 2 (Водоотведение) - тариф на водоотведение (Доп. признак не требуется)</v>
      </c>
      <c r="AC43" s="572"/>
      <c r="AD43" s="572"/>
      <c r="AE43" s="572"/>
      <c r="AF43" s="572"/>
      <c r="AG43" s="572"/>
      <c r="AH43" s="572"/>
      <c r="AI43" s="572"/>
      <c r="AJ43" s="572"/>
      <c r="AK43" s="572"/>
      <c r="AL43" s="572"/>
      <c r="AM43" s="572"/>
      <c r="AN43" s="572"/>
      <c r="AO43" s="572"/>
      <c r="AP43" s="572"/>
      <c r="AQ43" s="572"/>
      <c r="AR43" s="572"/>
      <c r="AS43" s="572"/>
      <c r="AT43" s="572"/>
      <c r="AU43" s="572"/>
      <c r="AV43" s="572"/>
      <c r="AW43" s="572"/>
      <c r="AX43" s="572"/>
      <c r="AY43" s="572"/>
      <c r="AZ43" s="41"/>
    </row>
    <row r="44" spans="1:54" ht="14.25" customHeight="1">
      <c r="A44" s="173"/>
      <c r="B44" s="340"/>
      <c r="C44" s="173"/>
      <c r="D44" s="173"/>
      <c r="E44" s="512">
        <v>15</v>
      </c>
      <c r="F44" s="3" t="str" cm="1">
        <f t="array" aca="1" ref="F44" ca="1">OFFSET(E44,-1,1)</f>
        <v>2</v>
      </c>
      <c r="G44" s="41" t="s">
        <v>327</v>
      </c>
      <c r="H44" s="82"/>
      <c r="I44" s="82"/>
      <c r="J44" s="82"/>
      <c r="K44" s="173"/>
      <c r="L44" s="173"/>
      <c r="M44" s="173"/>
      <c r="N44" s="173"/>
      <c r="O44" s="173"/>
      <c r="P44" s="173"/>
      <c r="Q44" s="173"/>
      <c r="R44" s="173"/>
      <c r="S44" s="173"/>
      <c r="T44" s="365" t="b" cm="1">
        <f t="array" ref="T44">T43</f>
        <v>1</v>
      </c>
      <c r="U44" s="173"/>
      <c r="V44" s="173"/>
      <c r="W44" s="173"/>
      <c r="X44" s="1075"/>
      <c r="Y44" s="82"/>
      <c r="Z44" s="1095"/>
      <c r="AA44" s="82"/>
      <c r="AB44" s="179" t="s">
        <v>275</v>
      </c>
      <c r="AC44" s="178" t="s">
        <v>1387</v>
      </c>
      <c r="AD44" s="179" t="s">
        <v>804</v>
      </c>
      <c r="AE44" s="579">
        <f t="shared" ref="AE44:AX44" si="7">AE45+AE46+AE47</f>
        <v>0</v>
      </c>
      <c r="AF44" s="579">
        <f t="shared" si="7"/>
        <v>0</v>
      </c>
      <c r="AG44" s="579">
        <f t="shared" si="7"/>
        <v>0</v>
      </c>
      <c r="AH44" s="579">
        <f t="shared" si="7"/>
        <v>0</v>
      </c>
      <c r="AI44" s="579">
        <f t="shared" si="7"/>
        <v>0</v>
      </c>
      <c r="AJ44" s="579">
        <f t="shared" si="7"/>
        <v>0</v>
      </c>
      <c r="AK44" s="579">
        <f t="shared" si="7"/>
        <v>0</v>
      </c>
      <c r="AL44" s="579">
        <f t="shared" si="7"/>
        <v>0</v>
      </c>
      <c r="AM44" s="579">
        <f t="shared" si="7"/>
        <v>0</v>
      </c>
      <c r="AN44" s="579">
        <f t="shared" si="7"/>
        <v>0</v>
      </c>
      <c r="AO44" s="579">
        <f t="shared" si="7"/>
        <v>0</v>
      </c>
      <c r="AP44" s="579">
        <f t="shared" si="7"/>
        <v>0</v>
      </c>
      <c r="AQ44" s="579">
        <f t="shared" si="7"/>
        <v>0</v>
      </c>
      <c r="AR44" s="579">
        <f t="shared" si="7"/>
        <v>0</v>
      </c>
      <c r="AS44" s="579">
        <f t="shared" si="7"/>
        <v>0</v>
      </c>
      <c r="AT44" s="579">
        <f t="shared" si="7"/>
        <v>0</v>
      </c>
      <c r="AU44" s="579">
        <f t="shared" si="7"/>
        <v>0</v>
      </c>
      <c r="AV44" s="579">
        <f t="shared" si="7"/>
        <v>0</v>
      </c>
      <c r="AW44" s="579">
        <f t="shared" si="7"/>
        <v>0</v>
      </c>
      <c r="AX44" s="579">
        <f t="shared" si="7"/>
        <v>0</v>
      </c>
      <c r="AY44" s="215"/>
      <c r="AZ44" s="82"/>
      <c r="BB44" s="665" t="s">
        <v>1321</v>
      </c>
    </row>
    <row r="45" spans="1:54" ht="14.25" customHeight="1">
      <c r="E45" s="459">
        <v>15</v>
      </c>
      <c r="F45" s="3" t="str" cm="1">
        <f t="array" aca="1" ref="F45" ca="1">OFFSET(E45,-1,1)</f>
        <v>2</v>
      </c>
      <c r="G45" s="41" t="s">
        <v>461</v>
      </c>
      <c r="H45" s="41"/>
      <c r="I45" s="41"/>
      <c r="J45" s="41"/>
      <c r="T45" s="365" t="b" cm="1">
        <f t="array" ref="T45">T44</f>
        <v>1</v>
      </c>
      <c r="X45" s="1075"/>
      <c r="Y45" s="41"/>
      <c r="Z45" s="1095"/>
      <c r="AA45" s="41"/>
      <c r="AB45" s="24" t="s">
        <v>897</v>
      </c>
      <c r="AC45" s="582" t="s">
        <v>1388</v>
      </c>
      <c r="AD45" s="24" t="s">
        <v>804</v>
      </c>
      <c r="AE45" s="160"/>
      <c r="AF45" s="790"/>
      <c r="AG45" s="790"/>
      <c r="AH45" s="790"/>
      <c r="AI45" s="790"/>
      <c r="AJ45" s="790"/>
      <c r="AK45" s="790"/>
      <c r="AL45" s="790"/>
      <c r="AM45" s="790"/>
      <c r="AN45" s="790"/>
      <c r="AO45" s="160"/>
      <c r="AP45" s="790"/>
      <c r="AQ45" s="790"/>
      <c r="AR45" s="790"/>
      <c r="AS45" s="790"/>
      <c r="AT45" s="790"/>
      <c r="AU45" s="790"/>
      <c r="AV45" s="790"/>
      <c r="AW45" s="790"/>
      <c r="AX45" s="790"/>
      <c r="AY45" s="215"/>
      <c r="AZ45" s="41"/>
      <c r="BB45" s="665" t="s">
        <v>1389</v>
      </c>
    </row>
    <row r="46" spans="1:54" ht="23.25" customHeight="1">
      <c r="E46" s="459">
        <v>24</v>
      </c>
      <c r="F46" s="3" t="str" cm="1">
        <f t="array" aca="1" ref="F46" ca="1">OFFSET(E46,-1,1)</f>
        <v>2</v>
      </c>
      <c r="G46" s="41" t="s">
        <v>465</v>
      </c>
      <c r="H46" s="41"/>
      <c r="I46" s="41"/>
      <c r="J46" s="41"/>
      <c r="T46" s="365" t="b" cm="1">
        <f t="array" ref="T46">T45</f>
        <v>1</v>
      </c>
      <c r="X46" s="1075"/>
      <c r="Y46" s="41"/>
      <c r="Z46" s="1095"/>
      <c r="AA46" s="41"/>
      <c r="AB46" s="24" t="s">
        <v>900</v>
      </c>
      <c r="AC46" s="582" t="s">
        <v>1390</v>
      </c>
      <c r="AD46" s="24" t="s">
        <v>804</v>
      </c>
      <c r="AE46" s="160"/>
      <c r="AF46" s="790"/>
      <c r="AG46" s="790"/>
      <c r="AH46" s="790"/>
      <c r="AI46" s="790"/>
      <c r="AJ46" s="790"/>
      <c r="AK46" s="790"/>
      <c r="AL46" s="790"/>
      <c r="AM46" s="790"/>
      <c r="AN46" s="790"/>
      <c r="AO46" s="160"/>
      <c r="AP46" s="790"/>
      <c r="AQ46" s="790"/>
      <c r="AR46" s="790"/>
      <c r="AS46" s="790"/>
      <c r="AT46" s="790"/>
      <c r="AU46" s="790"/>
      <c r="AV46" s="790"/>
      <c r="AW46" s="790"/>
      <c r="AX46" s="790"/>
      <c r="AY46" s="215"/>
      <c r="AZ46" s="41"/>
      <c r="BB46" s="665" t="s">
        <v>1391</v>
      </c>
    </row>
    <row r="47" spans="1:54" ht="33" customHeight="1">
      <c r="E47" s="459">
        <v>34.200000000000003</v>
      </c>
      <c r="F47" s="774" t="str" cm="1">
        <f t="array" aca="1" ref="F47" ca="1">OFFSET(E47,-1,1)</f>
        <v>2</v>
      </c>
      <c r="G47" s="41" t="s">
        <v>468</v>
      </c>
      <c r="H47" s="41"/>
      <c r="I47" s="41"/>
      <c r="J47" s="41"/>
      <c r="T47" s="365" t="b" cm="1">
        <f t="array" ref="T47">T46</f>
        <v>1</v>
      </c>
      <c r="X47" s="1075"/>
      <c r="Y47" s="41"/>
      <c r="Z47" s="1095"/>
      <c r="AA47" s="41"/>
      <c r="AB47" s="24" t="s">
        <v>903</v>
      </c>
      <c r="AC47" s="582" t="s">
        <v>1392</v>
      </c>
      <c r="AD47" s="24" t="s">
        <v>804</v>
      </c>
      <c r="AE47" s="160"/>
      <c r="AF47" s="790"/>
      <c r="AG47" s="790"/>
      <c r="AH47" s="790"/>
      <c r="AI47" s="790"/>
      <c r="AJ47" s="790"/>
      <c r="AK47" s="790"/>
      <c r="AL47" s="790"/>
      <c r="AM47" s="790"/>
      <c r="AN47" s="790"/>
      <c r="AO47" s="160"/>
      <c r="AP47" s="790"/>
      <c r="AQ47" s="790"/>
      <c r="AR47" s="790"/>
      <c r="AS47" s="790"/>
      <c r="AT47" s="790"/>
      <c r="AU47" s="790"/>
      <c r="AV47" s="790"/>
      <c r="AW47" s="790"/>
      <c r="AX47" s="790"/>
      <c r="AY47" s="215"/>
      <c r="AZ47" s="41"/>
      <c r="BA47"/>
      <c r="BB47" s="670" t="s">
        <v>1393</v>
      </c>
    </row>
    <row r="48" spans="1:54" ht="14.25" customHeight="1">
      <c r="E48" s="459">
        <v>15</v>
      </c>
      <c r="F48" s="3" t="str" cm="1">
        <f t="array" aca="1" ref="F48" ca="1">OFFSET(E48,-1,1)</f>
        <v>2</v>
      </c>
      <c r="G48" s="41" t="s">
        <v>328</v>
      </c>
      <c r="H48" s="41"/>
      <c r="I48" s="41"/>
      <c r="J48" s="41"/>
      <c r="T48" s="365" t="b" cm="1">
        <f t="array" ref="T48">T47</f>
        <v>1</v>
      </c>
      <c r="X48" s="1075"/>
      <c r="Y48" s="41"/>
      <c r="Z48" s="1095"/>
      <c r="AA48" s="41"/>
      <c r="AB48" s="24" t="s">
        <v>285</v>
      </c>
      <c r="AC48" s="176" t="s">
        <v>1394</v>
      </c>
      <c r="AD48" s="24" t="s">
        <v>456</v>
      </c>
      <c r="AE48" s="583">
        <f ca="1">SUMIFS(Сценарии!AJ$25:AJ$109,Сценарии!$F$25:$F$109,$F48,Сценарии!$AC$25:$AC$109,"Индекс потребительских цен")</f>
        <v>8</v>
      </c>
      <c r="AF48" s="583">
        <f ca="1">SUMIFS(Сценарии!AO$25:AO$109,Сценарии!$F$25:$F$109,$F48,Сценарии!$AC$25:$AC$109,"Индекс потребительских цен")</f>
        <v>0</v>
      </c>
      <c r="AG48" s="583">
        <f ca="1">SUMIFS(Сценарии!AP$25:AP$109,Сценарии!$F$25:$F$109,$F48,Сценарии!$AC$25:$AC$109,"Индекс потребительских цен")</f>
        <v>0</v>
      </c>
      <c r="AH48" s="583">
        <f ca="1">SUMIFS(Сценарии!AQ$25:AQ$109,Сценарии!$F$25:$F$109,$F48,Сценарии!$AC$25:$AC$109,"Индекс потребительских цен")</f>
        <v>0</v>
      </c>
      <c r="AI48" s="583">
        <f ca="1">SUMIFS(Сценарии!AR$25:AR$109,Сценарии!$F$25:$F$109,$F48,Сценарии!$AC$25:$AC$109,"Индекс потребительских цен")</f>
        <v>0</v>
      </c>
      <c r="AJ48" s="583">
        <f ca="1">SUMIFS(Сценарии!AS$25:AS$109,Сценарии!$F$25:$F$109,$F48,Сценарии!$AC$25:$AC$109,"Индекс потребительских цен")</f>
        <v>0</v>
      </c>
      <c r="AK48" s="583">
        <f ca="1">SUMIFS(Сценарии!AT$25:AT$109,Сценарии!$F$25:$F$109,$F48,Сценарии!$AC$25:$AC$109,"Индекс потребительских цен")</f>
        <v>0</v>
      </c>
      <c r="AL48" s="583">
        <f ca="1">SUMIFS(Сценарии!AU$25:AU$109,Сценарии!$F$25:$F$109,$F48,Сценарии!$AC$25:$AC$109,"Индекс потребительских цен")</f>
        <v>0</v>
      </c>
      <c r="AM48" s="583">
        <f ca="1">SUMIFS(Сценарии!AV$25:AV$109,Сценарии!$F$25:$F$109,$F48,Сценарии!$AC$25:$AC$109,"Индекс потребительских цен")</f>
        <v>0</v>
      </c>
      <c r="AN48" s="583">
        <f ca="1">SUMIFS(Сценарии!AW$25:AW$109,Сценарии!$F$25:$F$109,$F48,Сценарии!$AC$25:$AC$109,"Индекс потребительских цен")</f>
        <v>0</v>
      </c>
      <c r="AO48" s="583">
        <f ca="1">SUMIFS(Сценарии!AK$25:AK$109,Сценарии!$F$25:$F$109,$F48,Сценарии!$AC$25:$AC$109,"Индекс потребительских цен")</f>
        <v>5.0999999999999996</v>
      </c>
      <c r="AP48" s="583">
        <f ca="1">SUMIFS(Сценарии!AX$25:AX$109,Сценарии!$F$25:$F$109,$F48,Сценарии!$AC$25:$AC$109,"Индекс потребительских цен")</f>
        <v>0</v>
      </c>
      <c r="AQ48" s="583">
        <f ca="1">SUMIFS(Сценарии!AY$25:AY$109,Сценарии!$F$25:$F$109,$F48,Сценарии!$AC$25:$AC$109,"Индекс потребительских цен")</f>
        <v>0</v>
      </c>
      <c r="AR48" s="583">
        <f ca="1">SUMIFS(Сценарии!AZ$25:AZ$109,Сценарии!$F$25:$F$109,$F48,Сценарии!$AC$25:$AC$109,"Индекс потребительских цен")</f>
        <v>0</v>
      </c>
      <c r="AS48" s="583">
        <f ca="1">SUMIFS(Сценарии!BA$25:BA$109,Сценарии!$F$25:$F$109,$F48,Сценарии!$AC$25:$AC$109,"Индекс потребительских цен")</f>
        <v>0</v>
      </c>
      <c r="AT48" s="583">
        <f ca="1">SUMIFS(Сценарии!BB$25:BB$109,Сценарии!$F$25:$F$109,$F48,Сценарии!$AC$25:$AC$109,"Индекс потребительских цен")</f>
        <v>0</v>
      </c>
      <c r="AU48" s="583">
        <f ca="1">SUMIFS(Сценарии!BC$25:BC$109,Сценарии!$F$25:$F$109,$F48,Сценарии!$AC$25:$AC$109,"Индекс потребительских цен")</f>
        <v>0</v>
      </c>
      <c r="AV48" s="583">
        <f ca="1">SUMIFS(Сценарии!BD$25:BD$109,Сценарии!$F$25:$F$109,$F48,Сценарии!$AC$25:$AC$109,"Индекс потребительских цен")</f>
        <v>0</v>
      </c>
      <c r="AW48" s="583">
        <f ca="1">SUMIFS(Сценарии!BE$25:BE$109,Сценарии!$F$25:$F$109,$F48,Сценарии!$AC$25:$AC$109,"Индекс потребительских цен")</f>
        <v>0</v>
      </c>
      <c r="AX48" s="583">
        <f ca="1">SUMIFS(Сценарии!BF$25:BF$109,Сценарии!$F$25:$F$109,$F48,Сценарии!$AC$25:$AC$109,"Индекс потребительских цен")</f>
        <v>0</v>
      </c>
      <c r="AY48" s="215"/>
      <c r="AZ48" s="41"/>
      <c r="BB48" s="665" t="s">
        <v>1395</v>
      </c>
    </row>
    <row r="49" spans="1:54" s="935" customFormat="1" ht="14.25" customHeight="1">
      <c r="A49" s="57"/>
      <c r="B49" s="62"/>
      <c r="C49" s="57"/>
      <c r="D49" s="57"/>
      <c r="E49" s="459">
        <v>15</v>
      </c>
      <c r="F49" s="3" t="str" cm="1">
        <f t="array" aca="1" ref="F49" ca="1">OFFSET(E49,-1,1)</f>
        <v>2</v>
      </c>
      <c r="G49" s="41" t="s">
        <v>329</v>
      </c>
      <c r="H49" s="41"/>
      <c r="I49" s="41"/>
      <c r="J49" s="41"/>
      <c r="K49" s="57"/>
      <c r="L49" s="57"/>
      <c r="M49" s="57"/>
      <c r="N49" s="57"/>
      <c r="O49" s="57"/>
      <c r="P49" s="57"/>
      <c r="Q49" s="57"/>
      <c r="R49" s="57"/>
      <c r="S49" s="57"/>
      <c r="T49" s="365" t="b" cm="1">
        <f t="array" ref="T49">T48</f>
        <v>1</v>
      </c>
      <c r="U49" s="57"/>
      <c r="V49" s="57"/>
      <c r="W49" s="57"/>
      <c r="X49" s="1075"/>
      <c r="Y49" s="41"/>
      <c r="Z49" s="1095"/>
      <c r="AA49" s="41"/>
      <c r="AB49" s="28">
        <v>3</v>
      </c>
      <c r="AC49" s="176" t="s">
        <v>1396</v>
      </c>
      <c r="AD49" s="24" t="s">
        <v>456</v>
      </c>
      <c r="AE49" s="584" cm="1">
        <f t="array" aca="1" ref="AE49" ca="1">AE48</f>
        <v>8</v>
      </c>
      <c r="AF49" s="939">
        <f t="shared" ref="AF49:AX49" ca="1" si="8">AE49*AF48/100</f>
        <v>0</v>
      </c>
      <c r="AG49" s="939">
        <f t="shared" ca="1" si="8"/>
        <v>0</v>
      </c>
      <c r="AH49" s="939">
        <f t="shared" ca="1" si="8"/>
        <v>0</v>
      </c>
      <c r="AI49" s="939">
        <f t="shared" ca="1" si="8"/>
        <v>0</v>
      </c>
      <c r="AJ49" s="939">
        <f t="shared" ca="1" si="8"/>
        <v>0</v>
      </c>
      <c r="AK49" s="939">
        <f t="shared" ca="1" si="8"/>
        <v>0</v>
      </c>
      <c r="AL49" s="939">
        <f t="shared" ca="1" si="8"/>
        <v>0</v>
      </c>
      <c r="AM49" s="939">
        <f t="shared" ca="1" si="8"/>
        <v>0</v>
      </c>
      <c r="AN49" s="939">
        <f t="shared" ca="1" si="8"/>
        <v>0</v>
      </c>
      <c r="AO49" s="584">
        <f t="shared" ca="1" si="8"/>
        <v>0</v>
      </c>
      <c r="AP49" s="939">
        <f t="shared" ca="1" si="8"/>
        <v>0</v>
      </c>
      <c r="AQ49" s="939">
        <f t="shared" ca="1" si="8"/>
        <v>0</v>
      </c>
      <c r="AR49" s="939">
        <f t="shared" ca="1" si="8"/>
        <v>0</v>
      </c>
      <c r="AS49" s="939">
        <f t="shared" ca="1" si="8"/>
        <v>0</v>
      </c>
      <c r="AT49" s="939">
        <f t="shared" ca="1" si="8"/>
        <v>0</v>
      </c>
      <c r="AU49" s="939">
        <f t="shared" ca="1" si="8"/>
        <v>0</v>
      </c>
      <c r="AV49" s="939">
        <f t="shared" ca="1" si="8"/>
        <v>0</v>
      </c>
      <c r="AW49" s="939">
        <f t="shared" ca="1" si="8"/>
        <v>0</v>
      </c>
      <c r="AX49" s="939">
        <f t="shared" ca="1" si="8"/>
        <v>0</v>
      </c>
      <c r="AY49" s="215"/>
      <c r="AZ49" s="41"/>
      <c r="BA49" s="173"/>
      <c r="BB49" s="697" t="s">
        <v>1397</v>
      </c>
    </row>
    <row r="50" spans="1:54" ht="14.25" customHeight="1">
      <c r="A50" s="173"/>
      <c r="B50" s="340"/>
      <c r="C50" s="173"/>
      <c r="D50" s="173"/>
      <c r="E50" s="512">
        <v>15</v>
      </c>
      <c r="F50" s="3" t="str" cm="1">
        <f t="array" aca="1" ref="F50" ca="1">OFFSET(E50,-1,1)</f>
        <v>2</v>
      </c>
      <c r="G50" s="41" t="s">
        <v>331</v>
      </c>
      <c r="H50" s="41" t="s">
        <v>1398</v>
      </c>
      <c r="I50" s="82"/>
      <c r="J50" s="82"/>
      <c r="K50" s="173"/>
      <c r="L50" s="173"/>
      <c r="M50" s="173"/>
      <c r="N50" s="173"/>
      <c r="O50" s="173"/>
      <c r="P50" s="173"/>
      <c r="Q50" s="173"/>
      <c r="R50" s="173"/>
      <c r="S50" s="173"/>
      <c r="T50" s="365" t="b" cm="1">
        <f t="array" ref="T50">T49</f>
        <v>1</v>
      </c>
      <c r="U50" s="173"/>
      <c r="V50" s="173"/>
      <c r="W50" s="173"/>
      <c r="X50" s="1075"/>
      <c r="Y50" s="82"/>
      <c r="Z50" s="1095"/>
      <c r="AA50" s="82"/>
      <c r="AB50" s="179" t="s">
        <v>433</v>
      </c>
      <c r="AC50" s="178" t="s">
        <v>1399</v>
      </c>
      <c r="AD50" s="179" t="s">
        <v>804</v>
      </c>
      <c r="AE50" s="579">
        <f t="shared" ref="AE50:AX50" ca="1" si="9">AE44*AE49/100</f>
        <v>0</v>
      </c>
      <c r="AF50" s="579">
        <f t="shared" ca="1" si="9"/>
        <v>0</v>
      </c>
      <c r="AG50" s="579">
        <f t="shared" ca="1" si="9"/>
        <v>0</v>
      </c>
      <c r="AH50" s="579">
        <f t="shared" ca="1" si="9"/>
        <v>0</v>
      </c>
      <c r="AI50" s="579">
        <f t="shared" ca="1" si="9"/>
        <v>0</v>
      </c>
      <c r="AJ50" s="579">
        <f t="shared" ca="1" si="9"/>
        <v>0</v>
      </c>
      <c r="AK50" s="579">
        <f t="shared" ca="1" si="9"/>
        <v>0</v>
      </c>
      <c r="AL50" s="579">
        <f t="shared" ca="1" si="9"/>
        <v>0</v>
      </c>
      <c r="AM50" s="579">
        <f t="shared" ca="1" si="9"/>
        <v>0</v>
      </c>
      <c r="AN50" s="579">
        <f t="shared" ca="1" si="9"/>
        <v>0</v>
      </c>
      <c r="AO50" s="579">
        <f t="shared" ca="1" si="9"/>
        <v>0</v>
      </c>
      <c r="AP50" s="579">
        <f t="shared" ca="1" si="9"/>
        <v>0</v>
      </c>
      <c r="AQ50" s="579">
        <f t="shared" ca="1" si="9"/>
        <v>0</v>
      </c>
      <c r="AR50" s="579">
        <f t="shared" ca="1" si="9"/>
        <v>0</v>
      </c>
      <c r="AS50" s="579">
        <f t="shared" ca="1" si="9"/>
        <v>0</v>
      </c>
      <c r="AT50" s="579">
        <f t="shared" ca="1" si="9"/>
        <v>0</v>
      </c>
      <c r="AU50" s="579">
        <f t="shared" ca="1" si="9"/>
        <v>0</v>
      </c>
      <c r="AV50" s="579">
        <f t="shared" ca="1" si="9"/>
        <v>0</v>
      </c>
      <c r="AW50" s="579">
        <f t="shared" ca="1" si="9"/>
        <v>0</v>
      </c>
      <c r="AX50" s="579">
        <f t="shared" ca="1" si="9"/>
        <v>0</v>
      </c>
      <c r="AY50" s="215"/>
      <c r="AZ50" s="82"/>
      <c r="BB50" s="665" t="s">
        <v>1400</v>
      </c>
    </row>
    <row r="51" spans="1:54" ht="10.9" customHeight="1">
      <c r="A51"/>
      <c r="B51" s="339"/>
      <c r="C51"/>
      <c r="D51"/>
      <c r="E51" s="465">
        <v>11.25</v>
      </c>
      <c r="F51"/>
      <c r="G51"/>
      <c r="H51"/>
      <c r="I51"/>
      <c r="J51"/>
      <c r="K51"/>
      <c r="L51"/>
      <c r="M51"/>
      <c r="N51"/>
      <c r="O51"/>
      <c r="P51"/>
      <c r="Q51"/>
      <c r="R51"/>
      <c r="S51"/>
      <c r="T51"/>
      <c r="U51" s="327" t="s">
        <v>177</v>
      </c>
      <c r="V51" s="75" t="s">
        <v>1401</v>
      </c>
      <c r="W51"/>
      <c r="X51"/>
      <c r="Y51"/>
      <c r="Z51"/>
      <c r="AA51"/>
      <c r="AB51"/>
      <c r="AC51" s="37"/>
      <c r="AD51" s="37"/>
      <c r="AE51" s="37"/>
      <c r="AF51" s="37"/>
      <c r="AG51"/>
      <c r="AH51"/>
      <c r="AI51"/>
      <c r="AJ51"/>
      <c r="AK51"/>
      <c r="AL51"/>
      <c r="AM51"/>
      <c r="AN51"/>
      <c r="AO51"/>
      <c r="AP51"/>
      <c r="AQ51" s="38"/>
      <c r="AR51"/>
      <c r="AS51"/>
      <c r="AT51"/>
      <c r="AU51"/>
      <c r="AV51"/>
      <c r="AW51"/>
      <c r="AX51"/>
      <c r="AY51"/>
      <c r="AZ51"/>
    </row>
    <row r="52" spans="1:54" ht="14.65" customHeight="1">
      <c r="E52" s="459">
        <v>15</v>
      </c>
      <c r="F52" s="41"/>
      <c r="G52" s="41"/>
      <c r="H52" s="41"/>
      <c r="I52" s="41"/>
      <c r="J52" s="41"/>
      <c r="AB52" s="1088" t="s">
        <v>398</v>
      </c>
      <c r="AC52" s="1088"/>
      <c r="AD52" s="1088"/>
      <c r="AE52" s="1088"/>
      <c r="AF52" s="1088"/>
      <c r="AG52" s="1088"/>
      <c r="AH52" s="1088"/>
      <c r="AI52" s="1088"/>
      <c r="AJ52" s="1088"/>
      <c r="AK52" s="1088"/>
      <c r="AL52" s="1088"/>
      <c r="AM52" s="1088"/>
      <c r="AN52" s="1088"/>
      <c r="AO52" s="1088"/>
      <c r="AP52" s="1088"/>
      <c r="AQ52" s="1088"/>
      <c r="AR52" s="1088"/>
      <c r="AS52" s="1088"/>
      <c r="AT52" s="1088"/>
      <c r="AU52" s="1088"/>
      <c r="AV52" s="1088"/>
      <c r="AW52" s="1088"/>
      <c r="AX52" s="1096"/>
      <c r="AY52" s="1096"/>
    </row>
    <row r="53" spans="1:54" ht="14.65" customHeight="1">
      <c r="E53" s="459">
        <v>15</v>
      </c>
      <c r="F53" s="41"/>
      <c r="G53" s="41"/>
      <c r="H53" s="41"/>
      <c r="I53" s="41"/>
      <c r="J53" s="41"/>
      <c r="AA53" s="106"/>
      <c r="AB53" s="1158"/>
      <c r="AC53" s="1164"/>
      <c r="AD53" s="1164"/>
      <c r="AE53" s="1164"/>
      <c r="AF53" s="1164"/>
      <c r="AG53" s="1164"/>
      <c r="AH53" s="1164"/>
      <c r="AI53" s="1164"/>
      <c r="AJ53" s="1164"/>
      <c r="AK53" s="1164"/>
      <c r="AL53" s="1164"/>
      <c r="AM53" s="1164"/>
      <c r="AN53" s="1164"/>
      <c r="AO53" s="1164"/>
      <c r="AP53" s="1164"/>
      <c r="AQ53" s="1164"/>
      <c r="AR53" s="1164"/>
      <c r="AS53" s="1164"/>
      <c r="AT53" s="1164"/>
      <c r="AU53" s="1164"/>
      <c r="AV53" s="1164"/>
      <c r="AW53" s="1164"/>
      <c r="AX53" s="1165"/>
      <c r="AY53" s="1165"/>
    </row>
    <row r="54" spans="1:54" ht="14.65" hidden="1" customHeight="1">
      <c r="E54" s="459">
        <v>15</v>
      </c>
      <c r="T54" s="365" t="b">
        <f>ROW(W54)&gt;ROW(W$54)</f>
        <v>0</v>
      </c>
      <c r="W54" s="528" t="s">
        <v>173</v>
      </c>
      <c r="AA54" s="332" t="s">
        <v>174</v>
      </c>
      <c r="AB54" s="1159" t="s">
        <v>225</v>
      </c>
      <c r="AC54" s="1164"/>
      <c r="AD54" s="1164"/>
      <c r="AE54" s="1164"/>
      <c r="AF54" s="1164"/>
      <c r="AG54" s="1164"/>
      <c r="AH54" s="1164"/>
      <c r="AI54" s="1164"/>
      <c r="AJ54" s="1164"/>
      <c r="AK54" s="1164"/>
      <c r="AL54" s="1164"/>
      <c r="AM54" s="1164"/>
      <c r="AN54" s="1164"/>
      <c r="AO54" s="1164"/>
      <c r="AP54" s="1164"/>
      <c r="AQ54" s="1164"/>
      <c r="AR54" s="1164"/>
      <c r="AS54" s="1164"/>
      <c r="AT54" s="1164"/>
      <c r="AU54" s="1164"/>
      <c r="AV54" s="1164"/>
      <c r="AW54" s="1164"/>
      <c r="AX54" s="1165"/>
      <c r="AY54" s="1165"/>
    </row>
    <row r="55" spans="1:54" s="173" customFormat="1" ht="14.65" customHeight="1">
      <c r="A55" s="57"/>
      <c r="B55" s="62"/>
      <c r="C55" s="57"/>
      <c r="D55" s="57"/>
      <c r="E55" s="459">
        <v>15</v>
      </c>
      <c r="F55" s="57"/>
      <c r="G55" s="57"/>
      <c r="H55" s="57"/>
      <c r="I55" s="57"/>
      <c r="J55" s="57"/>
      <c r="K55" s="57"/>
      <c r="L55" s="57"/>
      <c r="M55" s="57"/>
      <c r="N55" s="57"/>
      <c r="O55" s="57"/>
      <c r="P55" s="57"/>
      <c r="Q55" s="57"/>
      <c r="R55" s="57"/>
      <c r="S55" s="57"/>
      <c r="T55" s="57"/>
      <c r="U55" s="57"/>
      <c r="V55" s="57"/>
      <c r="W55" s="528" t="s">
        <v>399</v>
      </c>
      <c r="X55" s="57"/>
      <c r="Y55" s="57"/>
      <c r="Z55" s="57"/>
      <c r="AA55" s="57"/>
      <c r="AB55" s="485"/>
      <c r="AC55" s="394" t="s">
        <v>400</v>
      </c>
      <c r="AD55" s="231"/>
      <c r="AE55" s="231"/>
      <c r="AF55" s="231"/>
      <c r="AG55" s="231"/>
      <c r="AH55" s="231"/>
      <c r="AI55" s="231"/>
      <c r="AJ55" s="231"/>
      <c r="AK55" s="231"/>
      <c r="AL55" s="231"/>
      <c r="AM55" s="231"/>
      <c r="AN55" s="231"/>
      <c r="AO55" s="231"/>
      <c r="AP55" s="231"/>
      <c r="AQ55" s="231"/>
      <c r="AR55" s="231"/>
      <c r="AS55" s="231"/>
      <c r="AT55" s="231"/>
      <c r="AU55" s="231"/>
      <c r="AV55" s="231"/>
      <c r="AW55" s="231"/>
      <c r="AX55" s="231"/>
      <c r="AY55" s="206"/>
      <c r="AZ55" s="57"/>
      <c r="BB55" s="697"/>
    </row>
    <row r="56" spans="1:54" ht="10.7" customHeight="1">
      <c r="E56" s="459">
        <v>11</v>
      </c>
      <c r="AZ56" s="41"/>
      <c r="BA56"/>
      <c r="BB56" s="670"/>
    </row>
  </sheetData>
  <sheetProtection formatColumns="0" formatRows="0" insertRows="0" deleteColumns="0" deleteRows="0" sort="0" autoFilter="0"/>
  <mergeCells count="13">
    <mergeCell ref="AB24:AB25"/>
    <mergeCell ref="AC24:AC25"/>
    <mergeCell ref="AD24:AD25"/>
    <mergeCell ref="AY24:AY25"/>
    <mergeCell ref="AB54:AY54"/>
    <mergeCell ref="X27:X34"/>
    <mergeCell ref="Z27:Z34"/>
    <mergeCell ref="AB52:AY52"/>
    <mergeCell ref="AB53:AY53"/>
    <mergeCell ref="X35:X42"/>
    <mergeCell ref="Z35:Z42"/>
    <mergeCell ref="X43:X50"/>
    <mergeCell ref="Z43:Z50"/>
  </mergeCells>
  <dataValidations count="1">
    <dataValidation allowBlank="1" showInputMessage="1" showErrorMessage="1" sqref="AY52:AY54"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109D8-C94C-4218-54C8-88BD7DD0FDB8}">
  <sheetPr>
    <tabColor rgb="FF002060"/>
  </sheetPr>
  <dimension ref="A1:AQ40"/>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cols>
    <col min="1" max="1" width="3.5703125" style="57" hidden="1" customWidth="1"/>
    <col min="2" max="2" width="8.5703125" style="62" hidden="1" customWidth="1"/>
    <col min="3" max="4" width="3.5703125" style="57" hidden="1" customWidth="1"/>
    <col min="5" max="5" width="3.5703125" style="459" hidden="1" customWidth="1"/>
    <col min="6" max="6" width="3.5703125" style="288" hidden="1" customWidth="1"/>
    <col min="7" max="19" width="3.5703125" style="57" hidden="1" customWidth="1"/>
    <col min="20" max="20" width="10.42578125" style="57" hidden="1" customWidth="1"/>
    <col min="21" max="21" width="5.85546875" style="57" hidden="1" customWidth="1"/>
    <col min="22" max="23" width="6.140625" style="57" hidden="1" customWidth="1"/>
    <col min="24" max="25" width="5.5703125" style="57" hidden="1" customWidth="1"/>
    <col min="26" max="26" width="5.28515625" style="57" hidden="1" customWidth="1"/>
    <col min="27" max="27" width="3" style="57" customWidth="1"/>
    <col min="28" max="28" width="11" style="57" customWidth="1"/>
    <col min="29" max="29" width="50" style="57" customWidth="1"/>
    <col min="30" max="30" width="10" style="57" customWidth="1"/>
    <col min="31" max="31" width="15" style="57" customWidth="1"/>
    <col min="32" max="32" width="16.5703125" style="57" customWidth="1"/>
    <col min="33" max="33" width="18.7109375" style="57" customWidth="1"/>
    <col min="34" max="34" width="25.85546875" style="57" customWidth="1"/>
    <col min="35" max="35" width="18.42578125" style="57" customWidth="1"/>
    <col min="36" max="36" width="29.140625" style="57" customWidth="1"/>
    <col min="37" max="37" width="18.42578125" style="57" customWidth="1"/>
    <col min="38" max="38" width="15" style="57" customWidth="1"/>
    <col min="39" max="39" width="3" style="57" customWidth="1"/>
    <col min="40" max="40" width="9.140625" style="57" hidden="1"/>
    <col min="41" max="41" width="9.140625" style="665" hidden="1"/>
    <col min="42" max="43" width="9.140625" style="57" hidden="1"/>
  </cols>
  <sheetData>
    <row r="1" spans="1:41" ht="11.25" hidden="1" customHeight="1">
      <c r="E1" s="57"/>
      <c r="F1" s="288" t="s">
        <v>315</v>
      </c>
      <c r="G1" s="57" t="s">
        <v>326</v>
      </c>
      <c r="T1" s="365" t="s">
        <v>93</v>
      </c>
      <c r="U1" s="365" t="s">
        <v>98</v>
      </c>
      <c r="V1" s="365" t="s">
        <v>94</v>
      </c>
      <c r="W1" s="365" t="s">
        <v>95</v>
      </c>
      <c r="X1" s="365" t="s">
        <v>96</v>
      </c>
      <c r="Y1" s="367" t="s">
        <v>317</v>
      </c>
      <c r="Z1" s="365" t="s">
        <v>100</v>
      </c>
      <c r="AA1" s="366" t="s">
        <v>97</v>
      </c>
      <c r="AB1" s="23"/>
      <c r="AC1" s="366" t="s">
        <v>99</v>
      </c>
      <c r="AO1" s="665" t="s">
        <v>318</v>
      </c>
    </row>
    <row r="2" spans="1:41" s="62" customFormat="1" ht="11.25" hidden="1" customHeight="1">
      <c r="B2" s="354" t="s">
        <v>19</v>
      </c>
      <c r="F2" s="546"/>
      <c r="AO2" s="674"/>
    </row>
    <row r="3" spans="1:41" ht="11.25" hidden="1" customHeight="1">
      <c r="E3" s="57"/>
    </row>
    <row r="4" spans="1:41" ht="11.25" hidden="1" customHeight="1">
      <c r="E4" s="57"/>
    </row>
    <row r="5" spans="1:41" s="459" customFormat="1" ht="11.25" hidden="1" customHeight="1">
      <c r="A5" s="57"/>
      <c r="B5" s="62"/>
      <c r="C5" s="57"/>
      <c r="D5" s="57"/>
      <c r="E5" s="459" t="s">
        <v>20</v>
      </c>
      <c r="F5" s="547"/>
      <c r="AA5" s="459">
        <v>3</v>
      </c>
      <c r="AB5" s="459">
        <v>11</v>
      </c>
      <c r="AC5" s="459">
        <v>50</v>
      </c>
      <c r="AD5" s="459">
        <v>10</v>
      </c>
      <c r="AE5" s="459">
        <v>15</v>
      </c>
      <c r="AF5" s="459">
        <v>16.57</v>
      </c>
      <c r="AG5" s="459">
        <v>18.71</v>
      </c>
      <c r="AH5" s="459">
        <v>25.86</v>
      </c>
      <c r="AI5" s="459">
        <v>18.43</v>
      </c>
      <c r="AJ5" s="459">
        <v>29.14</v>
      </c>
      <c r="AK5" s="459">
        <v>18.43</v>
      </c>
      <c r="AL5" s="459">
        <v>15</v>
      </c>
      <c r="AM5" s="459">
        <v>3</v>
      </c>
      <c r="AO5" s="665"/>
    </row>
    <row r="6" spans="1:41" ht="11.25" hidden="1" customHeight="1">
      <c r="A6" s="57" t="s">
        <v>350</v>
      </c>
      <c r="AE6" s="57" t="str" cm="1">
        <f t="array" ref="AE6">AE24</f>
        <v>Начислено в соответствии с пунктом 26(1) Основ ценообразования в сфере водоснабжения и водоотведения</v>
      </c>
      <c r="AF6" s="57" t="str" cm="1">
        <f t="array" ref="AF6">AF24</f>
        <v>Направлено на внесение платы за негативное воздействие на окружающую среду</v>
      </c>
      <c r="AG6" s="57" t="str" cm="1">
        <f t="array" ref="AG6">AG24</f>
        <v>Направлено на компенсацию вреда, причиненного водному объекту</v>
      </c>
      <c r="AH6" s="5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57" t="str" cm="1">
        <f t="array" ref="AI6">AI24</f>
        <v>Предусмотрено на финансирование мероприятий производственной программы регулируемой организации</v>
      </c>
      <c r="AJ6" s="5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57" t="str" cm="1">
        <f t="array" ref="AK6">AK24</f>
        <v>Налог на прибыль</v>
      </c>
      <c r="AL6" s="57" t="str" cm="1">
        <f t="array" ref="AL6">AL24</f>
        <v>Подлежит к исключению</v>
      </c>
    </row>
    <row r="7" spans="1:41" ht="11.25" hidden="1" customHeight="1"/>
    <row r="8" spans="1:41" ht="11.25" hidden="1" customHeight="1"/>
    <row r="9" spans="1:41" s="665" customFormat="1" ht="11.25" hidden="1" customHeight="1">
      <c r="A9" s="665" t="s">
        <v>360</v>
      </c>
      <c r="B9" s="674"/>
      <c r="F9" s="675"/>
      <c r="AE9" s="665" t="str" cm="1">
        <f t="array" ref="AE9">AE24</f>
        <v>Начислено в соответствии с пунктом 26(1) Основ ценообразования в сфере водоснабжения и водоотведения</v>
      </c>
      <c r="AF9" s="665" t="str" cm="1">
        <f t="array" ref="AF9">AF24</f>
        <v>Направлено на внесение платы за негативное воздействие на окружающую среду</v>
      </c>
      <c r="AG9" s="665" t="str" cm="1">
        <f t="array" ref="AG9">AG24</f>
        <v>Направлено на компенсацию вреда, причиненного водному объекту</v>
      </c>
      <c r="AH9" s="665"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5" t="str" cm="1">
        <f t="array" ref="AI9">AI24</f>
        <v>Предусмотрено на финансирование мероприятий производственной программы регулируемой организации</v>
      </c>
      <c r="AJ9" s="665"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5" t="str" cm="1">
        <f t="array" ref="AK9">AK24</f>
        <v>Налог на прибыль</v>
      </c>
      <c r="AL9" s="665" t="str" cm="1">
        <f t="array" ref="AL9">AL24</f>
        <v>Подлежит к исключению</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0.9" customHeight="1">
      <c r="E21" s="459">
        <v>11.25</v>
      </c>
      <c r="AA21" s="337"/>
      <c r="AB21" s="89"/>
      <c r="AC21" s="89"/>
      <c r="AD21" s="89"/>
      <c r="AE21" s="89"/>
      <c r="AF21" s="89"/>
      <c r="AG21" s="89"/>
      <c r="AH21" s="89"/>
      <c r="AI21" s="89"/>
      <c r="AJ21" s="89"/>
      <c r="AK21" s="89"/>
      <c r="AL21" s="89"/>
    </row>
    <row r="22" spans="1:43" ht="19.5" customHeight="1">
      <c r="E22" s="459">
        <v>20</v>
      </c>
      <c r="AB22" s="239" t="s">
        <v>1402</v>
      </c>
      <c r="AC22" s="168"/>
      <c r="AD22" s="168"/>
      <c r="AE22" s="168"/>
      <c r="AF22" s="168"/>
      <c r="AG22" s="181"/>
      <c r="AH22" s="181"/>
      <c r="AI22" s="181"/>
      <c r="AJ22" s="181"/>
      <c r="AK22" s="181"/>
      <c r="AL22" s="181"/>
    </row>
    <row r="23" spans="1:43" ht="10.9" customHeight="1">
      <c r="E23" s="459">
        <v>11.25</v>
      </c>
      <c r="AB23" s="89"/>
      <c r="AC23" s="89"/>
      <c r="AD23" s="89"/>
      <c r="AE23" s="89"/>
      <c r="AF23" s="89"/>
      <c r="AG23" s="89"/>
      <c r="AH23" s="89"/>
      <c r="AI23" s="89"/>
      <c r="AJ23" s="89"/>
      <c r="AK23" s="89"/>
      <c r="AL23" s="89"/>
    </row>
    <row r="24" spans="1:43" ht="108.95" customHeight="1">
      <c r="E24" s="459">
        <v>111.75</v>
      </c>
      <c r="AB24" s="177" t="s">
        <v>1403</v>
      </c>
      <c r="AC24" s="24" t="s">
        <v>1385</v>
      </c>
      <c r="AD24" s="24" t="s">
        <v>363</v>
      </c>
      <c r="AE24" s="29" t="s">
        <v>1404</v>
      </c>
      <c r="AF24" s="29" t="s">
        <v>1405</v>
      </c>
      <c r="AG24" s="29" t="s">
        <v>1406</v>
      </c>
      <c r="AH24" s="29" t="s">
        <v>1407</v>
      </c>
      <c r="AI24" s="29" t="s">
        <v>1408</v>
      </c>
      <c r="AJ24" s="29" t="s">
        <v>1409</v>
      </c>
      <c r="AK24" s="29" t="s">
        <v>1285</v>
      </c>
      <c r="AL24" s="29" t="s">
        <v>1410</v>
      </c>
    </row>
    <row r="25" spans="1:43" ht="11.25" customHeight="1">
      <c r="A25"/>
      <c r="B25" s="339"/>
      <c r="C25"/>
      <c r="D25"/>
      <c r="E25" s="465" t="s">
        <v>366</v>
      </c>
      <c r="F25" s="719"/>
      <c r="G25"/>
      <c r="H25"/>
      <c r="I25"/>
      <c r="J25"/>
      <c r="K25"/>
      <c r="L25"/>
      <c r="M25"/>
      <c r="N25"/>
      <c r="O25"/>
      <c r="P25"/>
      <c r="Q25"/>
      <c r="R25"/>
      <c r="S25"/>
      <c r="T25"/>
      <c r="U25"/>
      <c r="V25"/>
      <c r="W25"/>
      <c r="X25"/>
      <c r="Y25"/>
      <c r="Z25"/>
      <c r="AA25"/>
      <c r="AB25"/>
      <c r="AC25" s="37"/>
      <c r="AD25" s="37"/>
      <c r="AE25" s="37"/>
      <c r="AF25" s="37"/>
      <c r="AG25"/>
      <c r="AH25"/>
      <c r="AI25"/>
      <c r="AJ25"/>
      <c r="AK25"/>
      <c r="AL25"/>
      <c r="AM25"/>
      <c r="AN25"/>
      <c r="AO25" s="670"/>
      <c r="AP25"/>
      <c r="AQ25" s="38"/>
    </row>
    <row r="26" spans="1:43" ht="14.65" hidden="1" customHeight="1">
      <c r="E26" s="459">
        <v>15</v>
      </c>
      <c r="F26" s="266" cm="1">
        <f t="array" ref="F26">X26</f>
        <v>0</v>
      </c>
      <c r="T26" s="365" t="b">
        <f>X26&gt;0</f>
        <v>0</v>
      </c>
      <c r="V26" s="57" t="s">
        <v>264</v>
      </c>
      <c r="X26" s="1075">
        <v>0</v>
      </c>
      <c r="Z26" s="1065"/>
      <c r="AB26" s="174" t="str" cm="1">
        <f t="array" ref="AB26">INDEX('Общие сведения'!$AG$179:$AG$222,MATCH($X26,'Общие сведения'!$Z$179:$Z$222,0))</f>
        <v xml:space="preserve">Тариф 0 () - </v>
      </c>
      <c r="AC26" s="175"/>
      <c r="AD26" s="175"/>
      <c r="AE26" s="204">
        <f t="shared" ref="AE26:AL26" si="0">AE27+AE28</f>
        <v>0</v>
      </c>
      <c r="AF26" s="204">
        <f t="shared" si="0"/>
        <v>0</v>
      </c>
      <c r="AG26" s="204">
        <f t="shared" si="0"/>
        <v>0</v>
      </c>
      <c r="AH26" s="204">
        <f t="shared" si="0"/>
        <v>0</v>
      </c>
      <c r="AI26" s="204">
        <f t="shared" si="0"/>
        <v>0</v>
      </c>
      <c r="AJ26" s="204">
        <f t="shared" si="0"/>
        <v>0</v>
      </c>
      <c r="AK26" s="204">
        <f t="shared" si="0"/>
        <v>0</v>
      </c>
      <c r="AL26" s="204">
        <f t="shared" si="0"/>
        <v>0</v>
      </c>
    </row>
    <row r="27" spans="1:43" ht="33.4" hidden="1" customHeight="1">
      <c r="B27" s="354" t="b">
        <f>IFERROR(IF(SEARCH("Водоотведение",AB26),TRUE,FALSE),FALSE)</f>
        <v>0</v>
      </c>
      <c r="E27" s="459">
        <v>34.25</v>
      </c>
      <c r="F27" s="3" cm="1">
        <f t="array" aca="1" ref="F27" ca="1">OFFSET(E27,-1,1)</f>
        <v>0</v>
      </c>
      <c r="G27" s="59">
        <v>1</v>
      </c>
      <c r="T27" s="365" t="b" cm="1">
        <f t="array" ref="T27">T26</f>
        <v>0</v>
      </c>
      <c r="X27" s="1075"/>
      <c r="Z27" s="1065"/>
      <c r="AB27" s="24" t="s">
        <v>275</v>
      </c>
      <c r="AC27" s="176" t="s">
        <v>1411</v>
      </c>
      <c r="AD27" s="24" t="s">
        <v>804</v>
      </c>
      <c r="AE27" s="929"/>
      <c r="AF27" s="860"/>
      <c r="AG27" s="860"/>
      <c r="AH27" s="860"/>
      <c r="AI27" s="860"/>
      <c r="AJ27" s="860"/>
      <c r="AK27" s="860"/>
      <c r="AL27" s="860">
        <f>IF(AE27-AF27-AG27-AH27-AI27-AJ27-AK27&lt;0,0,AE27-AF27-AG27-AH27-AI27-AJ27-AK27)</f>
        <v>0</v>
      </c>
      <c r="AO27" s="665" t="s">
        <v>1366</v>
      </c>
    </row>
    <row r="28" spans="1:43" ht="33.4" hidden="1" customHeight="1">
      <c r="B28" s="354" t="b" cm="1">
        <f t="array" ref="B28">B27</f>
        <v>0</v>
      </c>
      <c r="E28" s="459">
        <v>34.25</v>
      </c>
      <c r="F28" s="3" cm="1">
        <f t="array" aca="1" ref="F28" ca="1">OFFSET(E28,-1,1)</f>
        <v>0</v>
      </c>
      <c r="G28" s="59">
        <v>2</v>
      </c>
      <c r="T28" s="365" t="b" cm="1">
        <f t="array" ref="T28">T27</f>
        <v>0</v>
      </c>
      <c r="X28" s="1075"/>
      <c r="Z28" s="1065"/>
      <c r="AB28" s="24" t="s">
        <v>285</v>
      </c>
      <c r="AC28" s="176" t="s">
        <v>1412</v>
      </c>
      <c r="AD28" s="24" t="s">
        <v>804</v>
      </c>
      <c r="AE28" s="929"/>
      <c r="AF28" s="860"/>
      <c r="AG28" s="860"/>
      <c r="AH28" s="860"/>
      <c r="AI28" s="860"/>
      <c r="AJ28" s="860"/>
      <c r="AK28" s="860"/>
      <c r="AL28" s="860">
        <f>IF(AE28-AF28-AG28-AH28-AI28-AJ28-AK28&lt;0,0,AE28-AF28-AG28-AH28-AI28-AJ28-AK28)</f>
        <v>0</v>
      </c>
      <c r="AO28" s="665" t="s">
        <v>1370</v>
      </c>
    </row>
    <row r="29" spans="1:43" ht="14.25" customHeight="1">
      <c r="E29" s="459">
        <v>15</v>
      </c>
      <c r="F29" s="266" t="str" cm="1">
        <f t="array" ref="F29">X29</f>
        <v>1</v>
      </c>
      <c r="T29" s="365" t="b">
        <f>X29&gt;0</f>
        <v>1</v>
      </c>
      <c r="V29" s="57" t="str" cm="1">
        <f t="array" ref="V29">Экономия_корр!$AB$35</f>
        <v>Тариф 1 (Водоснабжение) - тариф на питьевую воду (Доп. признак не требуется)</v>
      </c>
      <c r="X29" s="1075" t="s">
        <v>275</v>
      </c>
      <c r="Z29" s="1065"/>
      <c r="AB29" s="174" t="str" cm="1">
        <f t="array" ref="AB29">Экономия_корр!$AB$35</f>
        <v>Тариф 1 (Водоснабжение) - тариф на питьевую воду (Доп. признак не требуется)</v>
      </c>
      <c r="AC29" s="175"/>
      <c r="AD29" s="175"/>
      <c r="AE29" s="204">
        <f t="shared" ref="AE29:AL29" si="1">AE30+AE31</f>
        <v>0</v>
      </c>
      <c r="AF29" s="204">
        <f t="shared" si="1"/>
        <v>0</v>
      </c>
      <c r="AG29" s="204">
        <f t="shared" si="1"/>
        <v>0</v>
      </c>
      <c r="AH29" s="204">
        <f t="shared" si="1"/>
        <v>0</v>
      </c>
      <c r="AI29" s="204">
        <f t="shared" si="1"/>
        <v>0</v>
      </c>
      <c r="AJ29" s="204">
        <f t="shared" si="1"/>
        <v>0</v>
      </c>
      <c r="AK29" s="204">
        <f t="shared" si="1"/>
        <v>0</v>
      </c>
      <c r="AL29" s="204">
        <f t="shared" si="1"/>
        <v>0</v>
      </c>
    </row>
    <row r="30" spans="1:43" ht="33" hidden="1" customHeight="1">
      <c r="B30" s="354" t="b">
        <f>IFERROR(IF(SEARCH("Водоотведение",AB29),TRUE,FALSE),FALSE)</f>
        <v>0</v>
      </c>
      <c r="E30" s="459">
        <v>34.25</v>
      </c>
      <c r="F30" s="3" t="str" cm="1">
        <f t="array" aca="1" ref="F30" ca="1">OFFSET(E30,-1,1)</f>
        <v>1</v>
      </c>
      <c r="G30" s="59">
        <v>1</v>
      </c>
      <c r="T30" s="365" t="b" cm="1">
        <f t="array" ref="T30">T29</f>
        <v>1</v>
      </c>
      <c r="X30" s="1075"/>
      <c r="Z30" s="1065"/>
      <c r="AB30" s="24" t="s">
        <v>275</v>
      </c>
      <c r="AC30" s="176" t="s">
        <v>1411</v>
      </c>
      <c r="AD30" s="24" t="s">
        <v>804</v>
      </c>
      <c r="AE30" s="929"/>
      <c r="AF30" s="860"/>
      <c r="AG30" s="860"/>
      <c r="AH30" s="860"/>
      <c r="AI30" s="860"/>
      <c r="AJ30" s="860"/>
      <c r="AK30" s="860"/>
      <c r="AL30" s="860">
        <f>IF(AE30-AF30-AG30-AH30-AI30-AJ30-AK30&lt;0,0,AE30-AF30-AG30-AH30-AI30-AJ30-AK30)</f>
        <v>0</v>
      </c>
      <c r="AO30" s="665" t="s">
        <v>1366</v>
      </c>
    </row>
    <row r="31" spans="1:43" ht="33" hidden="1" customHeight="1">
      <c r="B31" s="354" t="b" cm="1">
        <f t="array" ref="B31">B30</f>
        <v>0</v>
      </c>
      <c r="E31" s="459">
        <v>34.25</v>
      </c>
      <c r="F31" s="3" t="str" cm="1">
        <f t="array" aca="1" ref="F31" ca="1">OFFSET(E31,-1,1)</f>
        <v>1</v>
      </c>
      <c r="G31" s="59">
        <v>2</v>
      </c>
      <c r="T31" s="365" t="b" cm="1">
        <f t="array" ref="T31">T30</f>
        <v>1</v>
      </c>
      <c r="X31" s="1075"/>
      <c r="Z31" s="1065"/>
      <c r="AB31" s="24" t="s">
        <v>285</v>
      </c>
      <c r="AC31" s="176" t="s">
        <v>1412</v>
      </c>
      <c r="AD31" s="24" t="s">
        <v>804</v>
      </c>
      <c r="AE31" s="929"/>
      <c r="AF31" s="860"/>
      <c r="AG31" s="860"/>
      <c r="AH31" s="860"/>
      <c r="AI31" s="860"/>
      <c r="AJ31" s="860"/>
      <c r="AK31" s="860"/>
      <c r="AL31" s="860">
        <f>IF(AE31-AF31-AG31-AH31-AI31-AJ31-AK31&lt;0,0,AE31-AF31-AG31-AH31-AI31-AJ31-AK31)</f>
        <v>0</v>
      </c>
      <c r="AO31" s="665" t="s">
        <v>1370</v>
      </c>
    </row>
    <row r="32" spans="1:43" ht="14.25" customHeight="1">
      <c r="E32" s="459">
        <v>15</v>
      </c>
      <c r="F32" s="266" t="str" cm="1">
        <f t="array" ref="F32">X32</f>
        <v>2</v>
      </c>
      <c r="T32" s="365" t="b">
        <f>X32&gt;0</f>
        <v>1</v>
      </c>
      <c r="V32" s="57" t="str" cm="1">
        <f t="array" ref="V32">Экономия_корр!$AB$43</f>
        <v>Тариф 2 (Водоотведение) - тариф на водоотведение (Доп. признак не требуется)</v>
      </c>
      <c r="X32" s="1075" t="s">
        <v>285</v>
      </c>
      <c r="Z32" s="1065"/>
      <c r="AB32" s="174" t="str" cm="1">
        <f t="array" ref="AB32">Экономия_корр!$AB$43</f>
        <v>Тариф 2 (Водоотведение) - тариф на водоотведение (Доп. признак не требуется)</v>
      </c>
      <c r="AC32" s="175"/>
      <c r="AD32" s="175"/>
      <c r="AE32" s="204">
        <f t="shared" ref="AE32:AL32" si="2">AE33+AE34</f>
        <v>0</v>
      </c>
      <c r="AF32" s="204">
        <f t="shared" si="2"/>
        <v>0</v>
      </c>
      <c r="AG32" s="204">
        <f t="shared" si="2"/>
        <v>0</v>
      </c>
      <c r="AH32" s="204">
        <f t="shared" si="2"/>
        <v>0</v>
      </c>
      <c r="AI32" s="204">
        <f t="shared" si="2"/>
        <v>0</v>
      </c>
      <c r="AJ32" s="204">
        <f t="shared" si="2"/>
        <v>0</v>
      </c>
      <c r="AK32" s="204">
        <f t="shared" si="2"/>
        <v>0</v>
      </c>
      <c r="AL32" s="204">
        <f t="shared" si="2"/>
        <v>0</v>
      </c>
    </row>
    <row r="33" spans="1:43" ht="33" customHeight="1">
      <c r="B33" s="354" t="b">
        <f>IFERROR(IF(SEARCH("Водоотведение",AB32),TRUE,FALSE),FALSE)</f>
        <v>1</v>
      </c>
      <c r="E33" s="459">
        <v>34.25</v>
      </c>
      <c r="F33" s="3" t="str" cm="1">
        <f t="array" aca="1" ref="F33" ca="1">OFFSET(E33,-1,1)</f>
        <v>2</v>
      </c>
      <c r="G33" s="59">
        <v>1</v>
      </c>
      <c r="T33" s="365" t="b" cm="1">
        <f t="array" ref="T33">T32</f>
        <v>1</v>
      </c>
      <c r="X33" s="1075"/>
      <c r="Z33" s="1065"/>
      <c r="AB33" s="24" t="s">
        <v>275</v>
      </c>
      <c r="AC33" s="176" t="s">
        <v>1411</v>
      </c>
      <c r="AD33" s="24" t="s">
        <v>804</v>
      </c>
      <c r="AE33" s="161"/>
      <c r="AF33" s="180"/>
      <c r="AG33" s="180"/>
      <c r="AH33" s="180"/>
      <c r="AI33" s="180"/>
      <c r="AJ33" s="180"/>
      <c r="AK33" s="180"/>
      <c r="AL33" s="180">
        <f>IF(AE33-AF33-AG33-AH33-AI33-AJ33-AK33&lt;0,0,AE33-AF33-AG33-AH33-AI33-AJ33-AK33)</f>
        <v>0</v>
      </c>
      <c r="AO33" s="665" t="s">
        <v>1366</v>
      </c>
    </row>
    <row r="34" spans="1:43" ht="33" customHeight="1">
      <c r="B34" s="354" t="b" cm="1">
        <f t="array" ref="B34">B33</f>
        <v>1</v>
      </c>
      <c r="E34" s="459">
        <v>34.25</v>
      </c>
      <c r="F34" s="3" t="str" cm="1">
        <f t="array" aca="1" ref="F34" ca="1">OFFSET(E34,-1,1)</f>
        <v>2</v>
      </c>
      <c r="G34" s="59">
        <v>2</v>
      </c>
      <c r="T34" s="365" t="b" cm="1">
        <f t="array" ref="T34">T33</f>
        <v>1</v>
      </c>
      <c r="X34" s="1075"/>
      <c r="Z34" s="1065"/>
      <c r="AB34" s="24" t="s">
        <v>285</v>
      </c>
      <c r="AC34" s="176" t="s">
        <v>1412</v>
      </c>
      <c r="AD34" s="24" t="s">
        <v>804</v>
      </c>
      <c r="AE34" s="161"/>
      <c r="AF34" s="180"/>
      <c r="AG34" s="180"/>
      <c r="AH34" s="180"/>
      <c r="AI34" s="180"/>
      <c r="AJ34" s="180"/>
      <c r="AK34" s="180"/>
      <c r="AL34" s="180">
        <f>IF(AE34-AF34-AG34-AH34-AI34-AJ34-AK34&lt;0,0,AE34-AF34-AG34-AH34-AI34-AJ34-AK34)</f>
        <v>0</v>
      </c>
      <c r="AO34" s="665" t="s">
        <v>1370</v>
      </c>
    </row>
    <row r="35" spans="1:43" ht="10.9" customHeight="1">
      <c r="A35"/>
      <c r="B35" s="339"/>
      <c r="C35"/>
      <c r="D35"/>
      <c r="E35" s="465">
        <v>11.25</v>
      </c>
      <c r="F35" s="719"/>
      <c r="G35"/>
      <c r="H35"/>
      <c r="I35"/>
      <c r="J35"/>
      <c r="K35"/>
      <c r="L35"/>
      <c r="M35"/>
      <c r="N35"/>
      <c r="O35"/>
      <c r="P35"/>
      <c r="Q35"/>
      <c r="R35"/>
      <c r="S35"/>
      <c r="T35"/>
      <c r="U35" s="327" t="s">
        <v>177</v>
      </c>
      <c r="V35" s="75" t="s">
        <v>1413</v>
      </c>
      <c r="W35"/>
      <c r="X35"/>
      <c r="Y35"/>
      <c r="Z35"/>
      <c r="AA35"/>
      <c r="AB35"/>
      <c r="AC35" s="37"/>
      <c r="AD35" s="37"/>
      <c r="AE35" s="37"/>
      <c r="AF35" s="37"/>
      <c r="AG35"/>
      <c r="AH35"/>
      <c r="AI35"/>
      <c r="AJ35"/>
      <c r="AK35"/>
      <c r="AL35"/>
      <c r="AM35"/>
      <c r="AN35"/>
      <c r="AO35" s="670"/>
      <c r="AP35"/>
      <c r="AQ35" s="38"/>
    </row>
    <row r="36" spans="1:43" ht="14.65" customHeight="1">
      <c r="E36" s="459">
        <v>15</v>
      </c>
      <c r="AB36" s="1088" t="s">
        <v>398</v>
      </c>
      <c r="AC36" s="1088"/>
      <c r="AD36" s="1088"/>
      <c r="AE36" s="1088"/>
      <c r="AF36" s="1088"/>
      <c r="AG36" s="1088"/>
      <c r="AH36" s="1088"/>
      <c r="AI36" s="1088"/>
      <c r="AJ36" s="1088"/>
      <c r="AK36" s="1088"/>
      <c r="AL36" s="1096"/>
    </row>
    <row r="37" spans="1:43" ht="14.65" customHeight="1">
      <c r="E37" s="459">
        <v>15</v>
      </c>
      <c r="AA37" s="106"/>
      <c r="AB37" s="1158"/>
      <c r="AC37" s="1158"/>
      <c r="AD37" s="1158"/>
      <c r="AE37" s="1158"/>
      <c r="AF37" s="1158"/>
      <c r="AG37" s="1158"/>
      <c r="AH37" s="1158"/>
      <c r="AI37" s="1158"/>
      <c r="AJ37" s="1158"/>
      <c r="AK37" s="1158"/>
      <c r="AL37" s="1167"/>
    </row>
    <row r="38" spans="1:43" ht="14.65" hidden="1" customHeight="1">
      <c r="E38" s="459">
        <v>15</v>
      </c>
      <c r="T38" s="365" t="b">
        <f>ROW(W38)&gt;ROW(W$38)</f>
        <v>0</v>
      </c>
      <c r="W38" s="528" t="s">
        <v>173</v>
      </c>
      <c r="AA38" s="332" t="s">
        <v>174</v>
      </c>
      <c r="AB38" s="1159" t="s">
        <v>225</v>
      </c>
      <c r="AC38" s="1159"/>
      <c r="AD38" s="1159"/>
      <c r="AE38" s="1159"/>
      <c r="AF38" s="1159"/>
      <c r="AG38" s="1159"/>
      <c r="AH38" s="1159"/>
      <c r="AI38" s="1159"/>
      <c r="AJ38" s="1159"/>
      <c r="AK38" s="1159"/>
      <c r="AL38" s="1168"/>
    </row>
    <row r="39" spans="1:43" ht="14.65" customHeight="1">
      <c r="E39" s="459">
        <v>15</v>
      </c>
      <c r="W39" s="528" t="s">
        <v>399</v>
      </c>
      <c r="AB39" s="485"/>
      <c r="AC39" s="394" t="s">
        <v>400</v>
      </c>
      <c r="AD39" s="231"/>
      <c r="AE39" s="231"/>
      <c r="AF39" s="231"/>
      <c r="AG39" s="231"/>
      <c r="AH39" s="231"/>
      <c r="AI39" s="231"/>
      <c r="AJ39" s="231"/>
      <c r="AK39" s="231"/>
      <c r="AL39" s="206"/>
    </row>
    <row r="40" spans="1:43" ht="10.9" customHeight="1">
      <c r="E40" s="459">
        <v>11.25</v>
      </c>
      <c r="AM40" s="41"/>
    </row>
  </sheetData>
  <sheetProtection formatColumns="0" formatRows="0" insertRows="0" deleteColumns="0" deleteRows="0" sort="0" autoFilter="0"/>
  <mergeCells count="9">
    <mergeCell ref="AB36:AL36"/>
    <mergeCell ref="AB37:AL37"/>
    <mergeCell ref="AB38:AL38"/>
    <mergeCell ref="X26:X28"/>
    <mergeCell ref="Z26:Z28"/>
    <mergeCell ref="X29:X31"/>
    <mergeCell ref="Z29:Z31"/>
    <mergeCell ref="X32:X34"/>
    <mergeCell ref="Z32:Z34"/>
  </mergeCells>
  <dataValidations count="1">
    <dataValidation type="decimal" allowBlank="1" showErrorMessage="1" errorTitle="Ошибка" error="Допускается ввод только неотрицательных чисел!" sqref="AL28 AL30:AL31 AL33:AL34 AK28 AK31 AK34 AJ28 AJ31 AJ34 AI28 AI31 AI34 AH28 AH30:AH31 AH33:AH34 AF27:AH27 AL27 AF30 AG30 AF33 AG33"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C628-EAE8-B75E-C268-DCFFFCFA8EDC}">
  <sheetPr>
    <tabColor rgb="FF002060"/>
    <outlinePr summaryBelow="0" summaryRight="0"/>
    <pageSetUpPr fitToPage="1"/>
  </sheetPr>
  <dimension ref="A1:AQ186"/>
  <sheetViews>
    <sheetView showGridLines="0" workbookViewId="0">
      <pane xSplit="31" ySplit="25" topLeftCell="AF173" activePane="bottomRight" state="frozen"/>
      <selection pane="topRight" activeCell="AF1" sqref="AF1"/>
      <selection pane="bottomLeft" activeCell="A26" sqref="A26"/>
      <selection pane="bottomRight" activeCell="AF130" sqref="AF130"/>
    </sheetView>
  </sheetViews>
  <sheetFormatPr defaultColWidth="9.140625" defaultRowHeight="11.25" customHeight="1"/>
  <cols>
    <col min="1" max="1" width="3.5703125" style="57" hidden="1" customWidth="1"/>
    <col min="2" max="2" width="8.5703125" style="62" hidden="1" customWidth="1"/>
    <col min="3" max="4" width="3.5703125" style="57" hidden="1" customWidth="1"/>
    <col min="5" max="5" width="3.5703125" style="459" hidden="1" customWidth="1"/>
    <col min="6" max="6" width="3.5703125" style="57" hidden="1" customWidth="1"/>
    <col min="7" max="7" width="12.42578125" style="59" hidden="1" customWidth="1"/>
    <col min="8" max="8" width="15.140625" style="57" hidden="1" customWidth="1"/>
    <col min="9" max="18" width="3.5703125" style="57" hidden="1" customWidth="1"/>
    <col min="19" max="19" width="6.42578125" style="23" hidden="1" customWidth="1"/>
    <col min="20" max="20" width="8.42578125" style="57" hidden="1" customWidth="1"/>
    <col min="21" max="26" width="4.42578125" style="57" hidden="1" customWidth="1"/>
    <col min="27" max="27" width="3" style="57" customWidth="1"/>
    <col min="28" max="28" width="11" style="36" customWidth="1"/>
    <col min="29" max="29" width="58.85546875" style="57" customWidth="1"/>
    <col min="30" max="31" width="12" style="57" customWidth="1"/>
    <col min="32" max="33" width="15" style="57" customWidth="1"/>
    <col min="34" max="34" width="54" style="57" customWidth="1"/>
    <col min="35" max="35" width="3" style="57" customWidth="1"/>
    <col min="36" max="37" width="9.140625" style="57" hidden="1"/>
    <col min="38" max="38" width="9.140625" style="665" hidden="1"/>
    <col min="39" max="43" width="9.140625" style="57" hidden="1"/>
  </cols>
  <sheetData>
    <row r="1" spans="1:38" ht="11.25" hidden="1" customHeight="1">
      <c r="E1" s="57"/>
      <c r="F1" s="57" t="s">
        <v>315</v>
      </c>
      <c r="I1" s="57" t="s">
        <v>326</v>
      </c>
      <c r="T1" s="365" t="s">
        <v>93</v>
      </c>
      <c r="U1" s="365" t="s">
        <v>98</v>
      </c>
      <c r="V1" s="365" t="s">
        <v>94</v>
      </c>
      <c r="W1" s="365" t="s">
        <v>95</v>
      </c>
      <c r="X1" s="365" t="s">
        <v>96</v>
      </c>
      <c r="Y1" s="367" t="s">
        <v>317</v>
      </c>
      <c r="Z1" s="365" t="s">
        <v>100</v>
      </c>
      <c r="AA1" s="366" t="s">
        <v>97</v>
      </c>
      <c r="AC1" s="366" t="s">
        <v>99</v>
      </c>
      <c r="AL1" s="665" t="s">
        <v>318</v>
      </c>
    </row>
    <row r="2" spans="1:38" s="62" customFormat="1" ht="11.25" hidden="1" customHeight="1">
      <c r="B2" s="354" t="s">
        <v>19</v>
      </c>
      <c r="G2" s="386"/>
      <c r="S2" s="339"/>
      <c r="AB2" s="65"/>
      <c r="AF2" s="62" t="b" cm="1">
        <f t="array" ref="AF2">isOrgDeclare</f>
        <v>1</v>
      </c>
      <c r="AL2" s="674"/>
    </row>
    <row r="3" spans="1:38" ht="11.25" hidden="1" customHeight="1">
      <c r="E3" s="57"/>
    </row>
    <row r="4" spans="1:38" ht="11.25" hidden="1" customHeight="1">
      <c r="E4" s="57"/>
    </row>
    <row r="5" spans="1:38" s="459" customFormat="1" ht="11.25" hidden="1" customHeight="1">
      <c r="A5" s="57"/>
      <c r="B5" s="62"/>
      <c r="C5" s="57"/>
      <c r="D5" s="57"/>
      <c r="E5" s="459" t="s">
        <v>20</v>
      </c>
      <c r="G5" s="513"/>
      <c r="S5" s="465"/>
      <c r="AA5" s="459">
        <v>3</v>
      </c>
      <c r="AB5" s="472">
        <v>11</v>
      </c>
      <c r="AC5" s="459">
        <v>72.290000000000006</v>
      </c>
      <c r="AD5" s="459">
        <v>12</v>
      </c>
      <c r="AE5" s="459">
        <v>12</v>
      </c>
      <c r="AF5" s="459">
        <v>15</v>
      </c>
      <c r="AG5" s="459">
        <v>15</v>
      </c>
      <c r="AH5" s="459">
        <v>20</v>
      </c>
      <c r="AI5" s="459">
        <v>3</v>
      </c>
      <c r="AL5" s="665"/>
    </row>
    <row r="6" spans="1:38" ht="11.25" hidden="1" customHeight="1">
      <c r="AF6" s="57">
        <f>god-2</f>
        <v>2024</v>
      </c>
      <c r="AG6" s="57">
        <f>god-2</f>
        <v>2024</v>
      </c>
    </row>
    <row r="7" spans="1:38" ht="11.25" hidden="1" customHeight="1">
      <c r="A7" s="57" t="s">
        <v>354</v>
      </c>
      <c r="AF7" s="57" t="str" cm="1">
        <f t="array" ref="AF7">AF25</f>
        <v>Факт по данным организации</v>
      </c>
      <c r="AG7" s="57" t="str" cm="1">
        <f t="array" ref="AG7">AG25</f>
        <v>Принято органом регулирования</v>
      </c>
    </row>
    <row r="8" spans="1:38" ht="11.25" hidden="1" customHeight="1"/>
    <row r="9" spans="1:38" s="665" customFormat="1" ht="11.25" hidden="1" customHeight="1">
      <c r="A9" s="665" t="s">
        <v>358</v>
      </c>
      <c r="B9" s="674"/>
      <c r="AF9" s="665" cm="1">
        <f t="array" ref="AF9">AF6</f>
        <v>2024</v>
      </c>
      <c r="AG9" s="665" cm="1">
        <f t="array" ref="AG9">AG6</f>
        <v>2024</v>
      </c>
    </row>
    <row r="10" spans="1:38" s="665" customFormat="1" ht="11.25" hidden="1" customHeight="1">
      <c r="A10" s="665" t="s">
        <v>359</v>
      </c>
      <c r="B10" s="674"/>
      <c r="AF10" s="665" t="str" cm="1">
        <f t="array" ref="AF10">AF25</f>
        <v>Факт по данным организации</v>
      </c>
      <c r="AG10" s="665" t="str" cm="1">
        <f t="array" ref="AG10">AG25</f>
        <v>Принято органом регулирования</v>
      </c>
    </row>
    <row r="11" spans="1:38" s="665" customFormat="1" ht="11.25" hidden="1" customHeight="1">
      <c r="A11" s="665" t="s">
        <v>360</v>
      </c>
      <c r="B11" s="674"/>
      <c r="AH11" s="665" t="str" cm="1">
        <f t="array" ref="AH11">AH24</f>
        <v>Комментарии</v>
      </c>
    </row>
    <row r="12" spans="1:38" ht="11.25" hidden="1" customHeight="1"/>
    <row r="13" spans="1:38" ht="11.25" hidden="1" customHeight="1"/>
    <row r="14" spans="1:38" ht="11.25" hidden="1" customHeight="1"/>
    <row r="15" spans="1:38" ht="11.25" hidden="1" customHeight="1"/>
    <row r="16" spans="1:38" ht="11.25" hidden="1" customHeight="1"/>
    <row r="17" spans="1:43" ht="11.25" hidden="1" customHeight="1"/>
    <row r="18" spans="1:43" ht="11.25" hidden="1" customHeight="1"/>
    <row r="19" spans="1:43" ht="11.25" hidden="1" customHeight="1"/>
    <row r="20" spans="1:43" ht="11.25" hidden="1" customHeight="1"/>
    <row r="21" spans="1:43" ht="14.65" customHeight="1">
      <c r="E21" s="459">
        <v>15</v>
      </c>
      <c r="AA21" s="337"/>
      <c r="AB21" s="182"/>
      <c r="AC21" s="3" t="str" cm="1">
        <f t="array" ref="AC21">tpl_title</f>
        <v>Кемеровская область / 2026 / ООО "Энергосервис г. Гурьевска" (ИНН:4202049045, КПП:420201001) / ДПР: 2024-2028</v>
      </c>
      <c r="AD21" s="89"/>
      <c r="AE21" s="89"/>
      <c r="AF21" s="89"/>
      <c r="AG21" s="89"/>
    </row>
    <row r="22" spans="1:43" ht="21.95" customHeight="1">
      <c r="E22" s="459">
        <v>22.5</v>
      </c>
      <c r="AB22" s="239" t="s">
        <v>76</v>
      </c>
      <c r="AC22" s="158"/>
      <c r="AD22" s="158"/>
      <c r="AE22" s="158"/>
      <c r="AF22" s="158"/>
      <c r="AG22" s="169"/>
      <c r="AH22" s="169"/>
    </row>
    <row r="23" spans="1:43" ht="10.9" customHeight="1">
      <c r="E23" s="459">
        <v>11.25</v>
      </c>
      <c r="AB23" s="182"/>
      <c r="AC23" s="89"/>
      <c r="AD23" s="89"/>
      <c r="AE23" s="89"/>
      <c r="AF23" s="89"/>
      <c r="AG23" s="89"/>
    </row>
    <row r="24" spans="1:43" ht="19.350000000000001" customHeight="1">
      <c r="E24" s="459">
        <v>19.75</v>
      </c>
      <c r="AB24" s="1088" t="s">
        <v>22</v>
      </c>
      <c r="AC24" s="1099" t="s">
        <v>362</v>
      </c>
      <c r="AD24" s="1088" t="s">
        <v>1414</v>
      </c>
      <c r="AE24" s="1099" t="s">
        <v>997</v>
      </c>
      <c r="AF24" s="739" t="str">
        <f>god-2&amp;" год"</f>
        <v>2024 год</v>
      </c>
      <c r="AG24" s="28" t="str">
        <f>god-2&amp;" год"</f>
        <v>2024 год</v>
      </c>
      <c r="AH24" s="1099" t="s">
        <v>364</v>
      </c>
    </row>
    <row r="25" spans="1:43" ht="31.35" customHeight="1">
      <c r="E25" s="459">
        <v>32.25</v>
      </c>
      <c r="AB25" s="1088"/>
      <c r="AC25" s="1099"/>
      <c r="AD25" s="1088"/>
      <c r="AE25" s="1099"/>
      <c r="AF25" s="739" t="s">
        <v>450</v>
      </c>
      <c r="AG25" s="28" t="s">
        <v>355</v>
      </c>
      <c r="AH25" s="1099"/>
      <c r="AK25" s="57" t="s">
        <v>1403</v>
      </c>
    </row>
    <row r="26" spans="1:43" ht="11.25" customHeight="1">
      <c r="A26"/>
      <c r="B26" s="339"/>
      <c r="C26"/>
      <c r="D26"/>
      <c r="E26" s="465" t="s">
        <v>366</v>
      </c>
      <c r="F26" s="105" t="s">
        <v>1415</v>
      </c>
      <c r="G26" s="380"/>
      <c r="H26"/>
      <c r="I26"/>
      <c r="J26"/>
      <c r="K26"/>
      <c r="L26"/>
      <c r="M26"/>
      <c r="N26"/>
      <c r="O26"/>
      <c r="P26"/>
      <c r="Q26"/>
      <c r="R26"/>
      <c r="S26" t="s">
        <v>1416</v>
      </c>
      <c r="T26"/>
      <c r="U26"/>
      <c r="V26"/>
      <c r="W26"/>
      <c r="X26"/>
      <c r="Y26"/>
      <c r="Z26"/>
      <c r="AA26"/>
      <c r="AB26"/>
      <c r="AC26" s="37"/>
      <c r="AD26" s="37"/>
      <c r="AE26" s="37"/>
      <c r="AF26" s="37"/>
      <c r="AG26"/>
      <c r="AH26"/>
      <c r="AI26"/>
      <c r="AJ26"/>
      <c r="AK26"/>
      <c r="AL26" s="670"/>
      <c r="AM26"/>
      <c r="AN26"/>
      <c r="AO26"/>
      <c r="AP26"/>
      <c r="AQ26" s="38"/>
    </row>
    <row r="27" spans="1:43" ht="14.65" hidden="1" customHeight="1">
      <c r="E27" s="459">
        <v>15</v>
      </c>
      <c r="F27" s="36" cm="1">
        <f t="array" ref="F27">X27</f>
        <v>0</v>
      </c>
      <c r="G27" s="78"/>
      <c r="H27" s="23"/>
      <c r="S27" s="327" cm="1">
        <f t="array" ref="S27">INDEX('Общие сведения'!$AE$179:$AE$222,MATCH($X27,'Общие сведения'!$Z$179:$Z$222,0))</f>
        <v>0</v>
      </c>
      <c r="T27" s="365" t="b">
        <f>X27&gt;0</f>
        <v>0</v>
      </c>
      <c r="V27" s="57" t="s">
        <v>264</v>
      </c>
      <c r="X27" s="1075">
        <v>0</v>
      </c>
      <c r="Z27" s="1065"/>
      <c r="AB27" s="293" t="str" cm="1">
        <f t="array" ref="AB27">INDEX('Общие сведения'!$AG$179:$AG$222,MATCH($X27,'Общие сведения'!$Z$179:$Z$222,0))</f>
        <v xml:space="preserve">Тариф 0 () - </v>
      </c>
      <c r="AC27" s="293"/>
      <c r="AD27" s="293"/>
      <c r="AE27" s="293"/>
      <c r="AF27" s="293"/>
      <c r="AG27" s="293"/>
      <c r="AH27" s="293"/>
    </row>
    <row r="28" spans="1:43" s="173" customFormat="1" ht="43.9" hidden="1" customHeight="1">
      <c r="B28" s="340"/>
      <c r="E28" s="512">
        <v>45</v>
      </c>
      <c r="F28" s="3" cm="1">
        <f t="array" aca="1" ref="F28" ca="1">OFFSET(E28,-1,1)</f>
        <v>0</v>
      </c>
      <c r="G28" s="387"/>
      <c r="I28" s="57" t="s">
        <v>327</v>
      </c>
      <c r="K28" s="59"/>
      <c r="L28" s="621"/>
      <c r="M28" s="387"/>
      <c r="T28" s="365" t="b" cm="1">
        <f t="array" ref="T28">T27</f>
        <v>0</v>
      </c>
      <c r="X28" s="1075"/>
      <c r="Z28" s="1065"/>
      <c r="AB28" s="576" t="s">
        <v>1417</v>
      </c>
      <c r="AC28" s="577" t="s">
        <v>1418</v>
      </c>
      <c r="AD28" s="576" t="s">
        <v>1419</v>
      </c>
      <c r="AE28" s="578" t="s">
        <v>804</v>
      </c>
      <c r="AF28" s="579">
        <f ca="1">AF30-AF29</f>
        <v>0</v>
      </c>
      <c r="AG28" s="579">
        <f ca="1">AG30-AG29</f>
        <v>0</v>
      </c>
      <c r="AH28" s="940"/>
      <c r="AL28" s="697" t="s">
        <v>1420</v>
      </c>
    </row>
    <row r="29" spans="1:43" s="173" customFormat="1" ht="14.65" hidden="1" customHeight="1">
      <c r="B29" s="340"/>
      <c r="E29" s="512">
        <v>15</v>
      </c>
      <c r="F29" s="3" cm="1">
        <f t="array" aca="1" ref="F29" ca="1">OFFSET(E29,-1,1)</f>
        <v>0</v>
      </c>
      <c r="G29" s="387"/>
      <c r="I29" s="57" t="s">
        <v>461</v>
      </c>
      <c r="K29" s="387"/>
      <c r="L29" s="387"/>
      <c r="M29" s="387"/>
      <c r="T29" s="365" t="b" cm="1">
        <f t="array" ref="T29">T28</f>
        <v>0</v>
      </c>
      <c r="X29" s="1075"/>
      <c r="Z29" s="1065"/>
      <c r="AB29" s="150" t="s">
        <v>275</v>
      </c>
      <c r="AC29" s="151" t="s">
        <v>1421</v>
      </c>
      <c r="AD29" s="143" t="s">
        <v>1422</v>
      </c>
      <c r="AE29" s="166" t="s">
        <v>804</v>
      </c>
      <c r="AF29" s="941"/>
      <c r="AG29" s="941"/>
      <c r="AH29" s="940"/>
      <c r="AL29" s="697" t="s">
        <v>1423</v>
      </c>
    </row>
    <row r="30" spans="1:43" s="173" customFormat="1" ht="14.65" hidden="1" customHeight="1">
      <c r="B30" s="340"/>
      <c r="E30" s="512">
        <v>15</v>
      </c>
      <c r="F30" s="3" cm="1">
        <f t="array" aca="1" ref="F30" ca="1">OFFSET(E30,-1,1)</f>
        <v>0</v>
      </c>
      <c r="G30" s="82"/>
      <c r="H30" s="82"/>
      <c r="I30" s="41" t="s">
        <v>465</v>
      </c>
      <c r="K30" s="387"/>
      <c r="L30" s="387"/>
      <c r="M30" s="387"/>
      <c r="T30" s="365" t="b" cm="1">
        <f t="array" ref="T30">T29</f>
        <v>0</v>
      </c>
      <c r="X30" s="1075"/>
      <c r="Z30" s="1065"/>
      <c r="AB30" s="150" t="s">
        <v>285</v>
      </c>
      <c r="AC30" s="144" t="s">
        <v>1424</v>
      </c>
      <c r="AD30" s="143" t="s">
        <v>1425</v>
      </c>
      <c r="AE30" s="166" t="s">
        <v>804</v>
      </c>
      <c r="AF30" s="579">
        <f ca="1">AF31+AF32+AF44+AF48+AF49+AF50+AF51+AF55+AF56+AF57+AF58+AF61+AF62</f>
        <v>0</v>
      </c>
      <c r="AG30" s="579">
        <f ca="1">AG31+AG32+AG44+AG48+AG49+AG50+AG51+AG55+AG56+AG57+AG58+AG61+AG62</f>
        <v>0</v>
      </c>
      <c r="AH30" s="940"/>
      <c r="AL30" s="697" t="s">
        <v>1426</v>
      </c>
    </row>
    <row r="31" spans="1:43" ht="21.95" hidden="1" customHeight="1">
      <c r="E31" s="459">
        <v>22.5</v>
      </c>
      <c r="F31" s="3" cm="1">
        <f t="array" aca="1" ref="F31" ca="1">OFFSET(E31,-1,1)</f>
        <v>0</v>
      </c>
      <c r="G31" s="41" t="s">
        <v>1427</v>
      </c>
      <c r="H31" s="23"/>
      <c r="I31" s="41" t="s">
        <v>1336</v>
      </c>
      <c r="K31" s="59"/>
      <c r="L31" s="59"/>
      <c r="M31" s="59"/>
      <c r="T31" s="365" t="b" cm="1">
        <f t="array" ref="T31">T30</f>
        <v>0</v>
      </c>
      <c r="X31" s="1075"/>
      <c r="Z31" s="1065"/>
      <c r="AB31" s="152" t="s">
        <v>537</v>
      </c>
      <c r="AC31" s="146" t="s">
        <v>1428</v>
      </c>
      <c r="AD31" s="26" t="s">
        <v>1429</v>
      </c>
      <c r="AE31" s="28" t="s">
        <v>804</v>
      </c>
      <c r="AF31" s="790"/>
      <c r="AG31" s="790"/>
      <c r="AH31" s="832"/>
      <c r="AL31" s="665" t="s">
        <v>1430</v>
      </c>
    </row>
    <row r="32" spans="1:43" ht="21.95" hidden="1" customHeight="1">
      <c r="E32" s="459">
        <v>22.5</v>
      </c>
      <c r="F32" s="3" cm="1">
        <f t="array" aca="1" ref="F32" ca="1">OFFSET(E32,-1,1)</f>
        <v>0</v>
      </c>
      <c r="G32" s="41"/>
      <c r="H32" s="23"/>
      <c r="I32" s="41" t="s">
        <v>1339</v>
      </c>
      <c r="K32" s="59"/>
      <c r="L32" s="59"/>
      <c r="M32" s="59"/>
      <c r="T32" s="365" t="b" cm="1">
        <f t="array" ref="T32">T31</f>
        <v>0</v>
      </c>
      <c r="X32" s="1075"/>
      <c r="Z32" s="1065"/>
      <c r="AB32" s="152" t="s">
        <v>541</v>
      </c>
      <c r="AC32" s="146" t="s">
        <v>1431</v>
      </c>
      <c r="AD32" s="26" t="s">
        <v>1432</v>
      </c>
      <c r="AE32" s="28" t="s">
        <v>804</v>
      </c>
      <c r="AF32" s="629">
        <f ca="1">SUM(AF33:AF43)</f>
        <v>0</v>
      </c>
      <c r="AG32" s="629">
        <f ca="1">SUM(AG33:AG43)</f>
        <v>0</v>
      </c>
      <c r="AH32" s="832"/>
      <c r="AL32" s="665" t="s">
        <v>1433</v>
      </c>
    </row>
    <row r="33" spans="5:38" ht="21.95" hidden="1" customHeight="1">
      <c r="E33" s="459">
        <v>22.5</v>
      </c>
      <c r="F33" s="3" cm="1">
        <f t="array" aca="1" ref="F33" ca="1">OFFSET(E33,-1,1)</f>
        <v>0</v>
      </c>
      <c r="G33" s="41"/>
      <c r="H33" s="23"/>
      <c r="I33" s="41" t="s">
        <v>1434</v>
      </c>
      <c r="K33" s="59"/>
      <c r="L33" s="59"/>
      <c r="M33" s="59"/>
      <c r="T33" s="365" t="b" cm="1">
        <f t="array" ref="T33">T32</f>
        <v>0</v>
      </c>
      <c r="X33" s="1075"/>
      <c r="Z33" s="1065"/>
      <c r="AB33" s="561" t="s">
        <v>493</v>
      </c>
      <c r="AC33" s="559" t="s">
        <v>1435</v>
      </c>
      <c r="AD33" s="28"/>
      <c r="AE33" s="28" t="s">
        <v>804</v>
      </c>
      <c r="AF33" s="790">
        <f ca="1">SUMIFS(Покупка!$AF$25:$AF$254,Покупка!$F$25:$F$254,$F33,Покупка!$I$25:$I$254,"Итого_пок_усл")</f>
        <v>0</v>
      </c>
      <c r="AG33" s="790">
        <f ca="1">SUMIFS(Покупка!$AG$25:$AG$254,Покупка!$F$25:$F$254,$F33,Покупка!$I$25:$I$254,"Итого_пок_усл")</f>
        <v>0</v>
      </c>
      <c r="AH33" s="832"/>
      <c r="AL33" s="665" t="s">
        <v>1436</v>
      </c>
    </row>
    <row r="34" spans="5:38" ht="14.65" hidden="1" customHeight="1">
      <c r="E34" s="459">
        <v>15</v>
      </c>
      <c r="F34" s="3" cm="1">
        <f t="array" aca="1" ref="F34" ca="1">OFFSET(E34,-1,1)</f>
        <v>0</v>
      </c>
      <c r="G34" s="41"/>
      <c r="H34" s="23"/>
      <c r="I34" s="41" t="s">
        <v>1437</v>
      </c>
      <c r="K34" s="59"/>
      <c r="L34" s="59"/>
      <c r="M34" s="59"/>
      <c r="T34" s="365" t="b" cm="1">
        <f t="array" ref="T34">T33</f>
        <v>0</v>
      </c>
      <c r="X34" s="1075"/>
      <c r="Z34" s="1065"/>
      <c r="AB34" s="561" t="s">
        <v>1438</v>
      </c>
      <c r="AC34" s="559" t="s">
        <v>1439</v>
      </c>
      <c r="AD34" s="28"/>
      <c r="AE34" s="28" t="s">
        <v>804</v>
      </c>
      <c r="AF34" s="790"/>
      <c r="AG34" s="790">
        <f ca="1">SUMIFS('Сырье и материалы'!AG$25:AG$97,'Сырье и материалы'!$F$25:$F$97,$F34,'Сырье и материалы'!$AC$25:$AC$97,"Всего по тарифу")</f>
        <v>0</v>
      </c>
      <c r="AH34" s="832"/>
      <c r="AL34" s="665" t="s">
        <v>1440</v>
      </c>
    </row>
    <row r="35" spans="5:38" ht="14.65" hidden="1" customHeight="1">
      <c r="E35" s="459">
        <v>15</v>
      </c>
      <c r="F35" s="3" cm="1">
        <f t="array" aca="1" ref="F35" ca="1">OFFSET(E35,-1,1)</f>
        <v>0</v>
      </c>
      <c r="G35" s="41"/>
      <c r="H35" s="23"/>
      <c r="I35" s="41" t="s">
        <v>1441</v>
      </c>
      <c r="K35" s="59"/>
      <c r="L35" s="59"/>
      <c r="M35" s="59"/>
      <c r="T35" s="365" t="b" cm="1">
        <f t="array" ref="T35">T34</f>
        <v>0</v>
      </c>
      <c r="X35" s="1075"/>
      <c r="Z35" s="1065"/>
      <c r="AB35" s="561" t="s">
        <v>1442</v>
      </c>
      <c r="AC35" s="559" t="s">
        <v>1443</v>
      </c>
      <c r="AD35" s="28"/>
      <c r="AE35" s="28" t="s">
        <v>804</v>
      </c>
      <c r="AF35" s="790">
        <f ca="1">SUMIFS(Налоги!AF$25:AF$69,Налоги!$F$25:$F$69,$F35,Налоги!$AB$25:$AB$69,"0")</f>
        <v>0</v>
      </c>
      <c r="AG35" s="790">
        <f ca="1">SUMIFS(Налоги!AG$25:AG$69,Налоги!$F$25:$F$69,$F35,Налоги!$AB$25:$AB$69,"0")</f>
        <v>0</v>
      </c>
      <c r="AH35" s="832"/>
      <c r="AL35" s="665" t="s">
        <v>1444</v>
      </c>
    </row>
    <row r="36" spans="5:38" ht="65.849999999999994" hidden="1" customHeight="1">
      <c r="E36" s="459">
        <v>67.5</v>
      </c>
      <c r="F36" s="3" cm="1">
        <f t="array" aca="1" ref="F36" ca="1">OFFSET(E36,-1,1)</f>
        <v>0</v>
      </c>
      <c r="G36" s="44" t="s">
        <v>1445</v>
      </c>
      <c r="H36" s="23"/>
      <c r="I36" s="78" t="s">
        <v>1446</v>
      </c>
      <c r="K36" s="59"/>
      <c r="L36" s="59"/>
      <c r="M36" s="59"/>
      <c r="T36" s="365" t="b" cm="1">
        <f t="array" ref="T36">T35</f>
        <v>0</v>
      </c>
      <c r="X36" s="1075"/>
      <c r="Z36" s="1065"/>
      <c r="AB36" s="561" t="s">
        <v>1447</v>
      </c>
      <c r="AC36" s="559" t="s">
        <v>1448</v>
      </c>
      <c r="AD36" s="28"/>
      <c r="AE36" s="28" t="s">
        <v>804</v>
      </c>
      <c r="AF36" s="790"/>
      <c r="AG36" s="790">
        <f ca="1">IF(AND(method_reg="Метод индексации",first_year=god),SUMIFS('Калькуляция (МИ)'!$AG$25:$AG$459,'Калькуляция (МИ)'!$F$25:$F$459,$F36,'Калькуляция (МИ)'!$G$25:$G$459,$G36),SUMIFS('Калькуляция (МИ корр)'!$AG$25:$AG$459,'Калькуляция (МИ корр)'!$F$25:$F$459,$F36,'Калькуляция (МИ корр)'!$G$25:$G$459,$G36))</f>
        <v>0</v>
      </c>
      <c r="AH36" s="832"/>
      <c r="AL36" s="665" t="s">
        <v>1449</v>
      </c>
    </row>
    <row r="37" spans="5:38" ht="14.65" hidden="1" customHeight="1">
      <c r="E37" s="459">
        <v>15</v>
      </c>
      <c r="F37" s="3" cm="1">
        <f t="array" aca="1" ref="F37" ca="1">OFFSET(E37,-1,1)</f>
        <v>0</v>
      </c>
      <c r="G37" s="44" t="s">
        <v>999</v>
      </c>
      <c r="H37" s="23"/>
      <c r="I37" s="78" t="s">
        <v>1450</v>
      </c>
      <c r="K37" s="59"/>
      <c r="L37" s="59"/>
      <c r="M37" s="59"/>
      <c r="T37" s="365" t="b" cm="1">
        <f t="array" ref="T37">T36</f>
        <v>0</v>
      </c>
      <c r="X37" s="1075"/>
      <c r="Z37" s="1065"/>
      <c r="AB37" s="561" t="s">
        <v>1451</v>
      </c>
      <c r="AC37" s="559" t="s">
        <v>1452</v>
      </c>
      <c r="AD37" s="28"/>
      <c r="AE37" s="28" t="s">
        <v>804</v>
      </c>
      <c r="AF37" s="790"/>
      <c r="AG37" s="790">
        <f ca="1">IF(AND(method_reg="Метод индексации",first_year=god),SUMIFS('Калькуляция (МИ)'!$AG$25:$AG$459,'Калькуляция (МИ)'!$F$25:$F$459,$F37,'Калькуляция (МИ)'!$G$25:$G$459,$G37),SUMIFS('Калькуляция (МИ корр)'!$AG$25:$AG$459,'Калькуляция (МИ корр)'!$F$25:$F$459,$F37,'Калькуляция (МИ корр)'!$G$25:$G$459,$G37))</f>
        <v>0</v>
      </c>
      <c r="AH37" s="832"/>
      <c r="AL37" s="665" t="s">
        <v>1453</v>
      </c>
    </row>
    <row r="38" spans="5:38" ht="14.65" hidden="1" customHeight="1">
      <c r="E38" s="459">
        <v>15</v>
      </c>
      <c r="F38" s="3" cm="1">
        <f t="array" aca="1" ref="F38" ca="1">OFFSET(E38,-1,1)</f>
        <v>0</v>
      </c>
      <c r="G38" s="44" t="s">
        <v>1454</v>
      </c>
      <c r="H38" s="23"/>
      <c r="I38" s="78" t="s">
        <v>1455</v>
      </c>
      <c r="K38" s="59"/>
      <c r="L38" s="59"/>
      <c r="M38" s="59"/>
      <c r="T38" s="365" t="b" cm="1">
        <f t="array" ref="T38">T37</f>
        <v>0</v>
      </c>
      <c r="X38" s="1075"/>
      <c r="Z38" s="1065"/>
      <c r="AB38" s="561" t="s">
        <v>1456</v>
      </c>
      <c r="AC38" s="559" t="s">
        <v>1457</v>
      </c>
      <c r="AD38" s="28"/>
      <c r="AE38" s="28" t="s">
        <v>804</v>
      </c>
      <c r="AF38" s="790"/>
      <c r="AG38" s="790">
        <f ca="1">IF(AND(method_reg="Метод индексации",first_year=god),SUMIFS('Калькуляция (МИ)'!$AG$25:$AG$459,'Калькуляция (МИ)'!$F$25:$F$459,$F38,'Калькуляция (МИ)'!$G$25:$G$459,$G38),SUMIFS('Калькуляция (МИ корр)'!$AG$25:$AG$459,'Калькуляция (МИ корр)'!$F$25:$F$459,$F38,'Калькуляция (МИ корр)'!$G$25:$G$459,$G38))</f>
        <v>0</v>
      </c>
      <c r="AH38" s="832"/>
      <c r="AL38" s="665" t="s">
        <v>1458</v>
      </c>
    </row>
    <row r="39" spans="5:38" ht="21.95" hidden="1" customHeight="1">
      <c r="E39" s="459">
        <v>22.5</v>
      </c>
      <c r="F39" s="3" cm="1">
        <f t="array" aca="1" ref="F39" ca="1">OFFSET(E39,-1,1)</f>
        <v>0</v>
      </c>
      <c r="G39" s="44" t="s">
        <v>1459</v>
      </c>
      <c r="H39" s="23"/>
      <c r="I39" s="78" t="s">
        <v>1460</v>
      </c>
      <c r="K39" s="59"/>
      <c r="L39" s="59"/>
      <c r="M39" s="59"/>
      <c r="T39" s="365" t="b" cm="1">
        <f t="array" ref="T39">T38</f>
        <v>0</v>
      </c>
      <c r="X39" s="1075"/>
      <c r="Z39" s="1065"/>
      <c r="AB39" s="561" t="s">
        <v>1461</v>
      </c>
      <c r="AC39" s="559" t="s">
        <v>1462</v>
      </c>
      <c r="AD39" s="28"/>
      <c r="AE39" s="28" t="s">
        <v>804</v>
      </c>
      <c r="AF39" s="790"/>
      <c r="AG39" s="790">
        <f ca="1">IF(AND(method_reg="Метод индексации",first_year=god),SUMIFS('Калькуляция (МИ)'!$AG$25:$AG$459,'Калькуляция (МИ)'!$F$25:$F$459,$F39,'Калькуляция (МИ)'!$G$25:$G$459,$G39),SUMIFS('Калькуляция (МИ корр)'!$AG$25:$AG$459,'Калькуляция (МИ корр)'!$F$25:$F$459,$F39,'Калькуляция (МИ корр)'!$G$25:$G$459,$G39))</f>
        <v>0</v>
      </c>
      <c r="AH39" s="832"/>
      <c r="AL39" s="665" t="s">
        <v>1463</v>
      </c>
    </row>
    <row r="40" spans="5:38" ht="21.95" hidden="1" customHeight="1">
      <c r="E40" s="459">
        <v>22.5</v>
      </c>
      <c r="F40" s="3" cm="1">
        <f t="array" aca="1" ref="F40" ca="1">OFFSET(E40,-1,1)</f>
        <v>0</v>
      </c>
      <c r="G40" s="44" t="s">
        <v>1464</v>
      </c>
      <c r="H40" s="23"/>
      <c r="I40" s="78" t="s">
        <v>1465</v>
      </c>
      <c r="K40" s="59"/>
      <c r="L40" s="59"/>
      <c r="M40" s="59"/>
      <c r="T40" s="365" t="b" cm="1">
        <f t="array" ref="T40">T39</f>
        <v>0</v>
      </c>
      <c r="X40" s="1075"/>
      <c r="Z40" s="1065"/>
      <c r="AB40" s="561" t="s">
        <v>1466</v>
      </c>
      <c r="AC40" s="559" t="s">
        <v>1467</v>
      </c>
      <c r="AD40" s="630"/>
      <c r="AE40" s="28" t="s">
        <v>804</v>
      </c>
      <c r="AF40" s="790"/>
      <c r="AG40" s="790">
        <f ca="1">IF(AND(method_reg="Метод индексации",first_year=god),SUMIFS('Калькуляция (МИ)'!$AG$25:$AG$459,'Калькуляция (МИ)'!$F$25:$F$459,$F40,'Калькуляция (МИ)'!$G$25:$G$459,$G40),SUMIFS('Калькуляция (МИ корр)'!$AG$25:$AG$459,'Калькуляция (МИ корр)'!$F$25:$F$459,$F40,'Калькуляция (МИ корр)'!$G$25:$G$459,$G40))</f>
        <v>0</v>
      </c>
      <c r="AH40" s="832"/>
      <c r="AL40" s="665" t="s">
        <v>1468</v>
      </c>
    </row>
    <row r="41" spans="5:38" ht="21.95" hidden="1" customHeight="1">
      <c r="E41" s="459">
        <v>22.5</v>
      </c>
      <c r="F41" s="3" cm="1">
        <f t="array" aca="1" ref="F41" ca="1">OFFSET(E41,-1,1)</f>
        <v>0</v>
      </c>
      <c r="G41" s="44" t="s">
        <v>1469</v>
      </c>
      <c r="H41" s="23"/>
      <c r="I41" s="78" t="s">
        <v>1470</v>
      </c>
      <c r="K41" s="59"/>
      <c r="L41" s="59"/>
      <c r="M41" s="59"/>
      <c r="T41" s="365" t="b" cm="1">
        <f t="array" ref="T41">T40</f>
        <v>0</v>
      </c>
      <c r="X41" s="1075"/>
      <c r="Z41" s="1065"/>
      <c r="AB41" s="561" t="s">
        <v>1471</v>
      </c>
      <c r="AC41" s="559" t="s">
        <v>1472</v>
      </c>
      <c r="AD41" s="630"/>
      <c r="AE41" s="28" t="s">
        <v>804</v>
      </c>
      <c r="AF41" s="790"/>
      <c r="AG41" s="790">
        <f ca="1">IF(AND(method_reg="Метод индексации",first_year=god),SUMIFS('Калькуляция (МИ)'!$AG$25:$AG$459,'Калькуляция (МИ)'!$F$25:$F$459,$F41,'Калькуляция (МИ)'!$G$25:$G$459,$G41),SUMIFS('Калькуляция (МИ корр)'!$AG$25:$AG$459,'Калькуляция (МИ корр)'!$F$25:$F$459,$F41,'Калькуляция (МИ корр)'!$G$25:$G$459,$G41))</f>
        <v>0</v>
      </c>
      <c r="AH41" s="832"/>
      <c r="AL41" s="665" t="s">
        <v>1473</v>
      </c>
    </row>
    <row r="42" spans="5:38" ht="14.65" hidden="1" customHeight="1">
      <c r="E42" s="459">
        <v>15</v>
      </c>
      <c r="F42" s="3" cm="1">
        <f t="array" aca="1" ref="F42" ca="1">OFFSET(E42,-1,1)</f>
        <v>0</v>
      </c>
      <c r="G42" s="44" t="s">
        <v>1474</v>
      </c>
      <c r="H42" s="23"/>
      <c r="I42" s="78" t="s">
        <v>1475</v>
      </c>
      <c r="K42" s="59"/>
      <c r="L42" s="59"/>
      <c r="M42" s="59"/>
      <c r="T42" s="365" t="b" cm="1">
        <f t="array" ref="T42">T41</f>
        <v>0</v>
      </c>
      <c r="X42" s="1075"/>
      <c r="Z42" s="1065"/>
      <c r="AB42" s="561" t="s">
        <v>1476</v>
      </c>
      <c r="AC42" s="559" t="s">
        <v>1477</v>
      </c>
      <c r="AD42" s="630"/>
      <c r="AE42" s="28" t="s">
        <v>804</v>
      </c>
      <c r="AF42" s="790"/>
      <c r="AG42" s="790">
        <f ca="1">IF(AND(method_reg="Метод индексации",first_year=god),SUMIFS('Калькуляция (МИ)'!$AG$25:$AG$459,'Калькуляция (МИ)'!$F$25:$F$459,$F42,'Калькуляция (МИ)'!$G$25:$G$459,$G42),SUMIFS('Калькуляция (МИ корр)'!$AG$25:$AG$459,'Калькуляция (МИ корр)'!$F$25:$F$459,$F42,'Калькуляция (МИ корр)'!$G$25:$G$459,$G42))</f>
        <v>0</v>
      </c>
      <c r="AH42" s="832"/>
      <c r="AL42" s="665" t="s">
        <v>1478</v>
      </c>
    </row>
    <row r="43" spans="5:38" ht="21.95" hidden="1" customHeight="1">
      <c r="E43" s="459">
        <v>22.5</v>
      </c>
      <c r="F43" s="3" cm="1">
        <f t="array" aca="1" ref="F43" ca="1">OFFSET(E43,-1,1)</f>
        <v>0</v>
      </c>
      <c r="G43" s="44" t="s">
        <v>1479</v>
      </c>
      <c r="H43" s="23"/>
      <c r="I43" s="78" t="s">
        <v>1480</v>
      </c>
      <c r="K43" s="59"/>
      <c r="L43" s="59"/>
      <c r="M43" s="59"/>
      <c r="T43" s="365" t="b" cm="1">
        <f t="array" ref="T43">T42</f>
        <v>0</v>
      </c>
      <c r="X43" s="1075"/>
      <c r="Z43" s="1065"/>
      <c r="AB43" s="561" t="s">
        <v>1481</v>
      </c>
      <c r="AC43" s="559" t="s">
        <v>1482</v>
      </c>
      <c r="AD43" s="630"/>
      <c r="AE43" s="28" t="s">
        <v>804</v>
      </c>
      <c r="AF43" s="790"/>
      <c r="AG43" s="790">
        <f ca="1">IF(AND(method_reg="Метод индексации",first_year=god),SUMIFS('Калькуляция (МИ)'!$AG$25:$AG$459,'Калькуляция (МИ)'!$F$25:$F$459,$F43,'Калькуляция (МИ)'!$G$25:$G$459,$G43),SUMIFS('Калькуляция (МИ корр)'!$AG$25:$AG$459,'Калькуляция (МИ корр)'!$F$25:$F$459,$F43,'Калькуляция (МИ корр)'!$G$25:$G$459,$G43))</f>
        <v>0</v>
      </c>
      <c r="AH43" s="832"/>
      <c r="AL43" s="665" t="s">
        <v>1483</v>
      </c>
    </row>
    <row r="44" spans="5:38" ht="14.65" hidden="1" customHeight="1">
      <c r="E44" s="459">
        <v>15</v>
      </c>
      <c r="F44" s="3" cm="1">
        <f t="array" aca="1" ref="F44" ca="1">OFFSET(E44,-1,1)</f>
        <v>0</v>
      </c>
      <c r="G44" s="41"/>
      <c r="H44" s="23"/>
      <c r="I44" s="41" t="s">
        <v>1343</v>
      </c>
      <c r="K44" s="59"/>
      <c r="L44" s="59"/>
      <c r="M44" s="59"/>
      <c r="T44" s="365" t="b" cm="1">
        <f t="array" ref="T44">T43</f>
        <v>0</v>
      </c>
      <c r="X44" s="1075"/>
      <c r="Z44" s="1065"/>
      <c r="AB44" s="152" t="s">
        <v>545</v>
      </c>
      <c r="AC44" s="146" t="s">
        <v>1484</v>
      </c>
      <c r="AD44" s="26" t="s">
        <v>1485</v>
      </c>
      <c r="AE44" s="28" t="s">
        <v>804</v>
      </c>
      <c r="AF44" s="790">
        <f>AF45*AF46*AF47</f>
        <v>0</v>
      </c>
      <c r="AG44" s="790">
        <f ca="1">AG45*AG46*AG47</f>
        <v>0</v>
      </c>
      <c r="AH44" s="832"/>
      <c r="AL44" s="665" t="s">
        <v>1486</v>
      </c>
    </row>
    <row r="45" spans="5:38" ht="21.95" hidden="1" customHeight="1">
      <c r="E45" s="459">
        <v>22.5</v>
      </c>
      <c r="F45" s="3" cm="1">
        <f t="array" aca="1" ref="F45" ca="1">OFFSET(E45,-1,1)</f>
        <v>0</v>
      </c>
      <c r="G45" s="41"/>
      <c r="H45" s="23"/>
      <c r="I45" s="41" t="s">
        <v>1487</v>
      </c>
      <c r="K45" s="59"/>
      <c r="L45" s="59"/>
      <c r="M45" s="59"/>
      <c r="T45" s="365" t="b" cm="1">
        <f t="array" ref="T45">T44</f>
        <v>0</v>
      </c>
      <c r="X45" s="1075"/>
      <c r="Z45" s="1065"/>
      <c r="AB45" s="152" t="s">
        <v>498</v>
      </c>
      <c r="AC45" s="153" t="s">
        <v>1488</v>
      </c>
      <c r="AD45" s="26" t="s">
        <v>1489</v>
      </c>
      <c r="AE45" s="28" t="s">
        <v>853</v>
      </c>
      <c r="AF45" s="790"/>
      <c r="AG45" s="790">
        <f ca="1">SUMIFS(ЭЭ!AG$25:AG$109,ЭЭ!$F$25:$F$109,$F45,ЭЭ!$AC$25:$AC$109,"Удельный расход электроэнергии")</f>
        <v>0</v>
      </c>
      <c r="AH45" s="832"/>
      <c r="AL45" s="665" t="s">
        <v>1490</v>
      </c>
    </row>
    <row r="46" spans="5:38" ht="14.65" hidden="1" customHeight="1">
      <c r="E46" s="459">
        <v>15</v>
      </c>
      <c r="F46" s="3" cm="1">
        <f t="array" aca="1" ref="F46" ca="1">OFFSET(E46,-1,1)</f>
        <v>0</v>
      </c>
      <c r="G46" s="41"/>
      <c r="H46" s="23"/>
      <c r="I46" s="41" t="s">
        <v>1491</v>
      </c>
      <c r="K46" s="59"/>
      <c r="L46" s="59"/>
      <c r="M46" s="59"/>
      <c r="T46" s="365" t="b" cm="1">
        <f t="array" ref="T46">T45</f>
        <v>0</v>
      </c>
      <c r="X46" s="1075"/>
      <c r="Z46" s="1065"/>
      <c r="AB46" s="152" t="s">
        <v>1492</v>
      </c>
      <c r="AC46" s="153" t="s">
        <v>1493</v>
      </c>
      <c r="AD46" s="26" t="s">
        <v>1494</v>
      </c>
      <c r="AE46" s="28" t="s">
        <v>847</v>
      </c>
      <c r="AF46" s="790"/>
      <c r="AG46" s="790">
        <f ca="1">SUMIFS(ЭЭ!AG$25:AG$109,ЭЭ!$F$25:$F$109,$F45,ЭЭ!$AC$25:$AC$109,"Объём воды/сточных вод")</f>
        <v>0</v>
      </c>
      <c r="AH46" s="832"/>
      <c r="AL46" s="665" t="s">
        <v>1495</v>
      </c>
    </row>
    <row r="47" spans="5:38" ht="21.95" hidden="1" customHeight="1">
      <c r="E47" s="459">
        <v>22.5</v>
      </c>
      <c r="F47" s="3" cm="1">
        <f t="array" aca="1" ref="F47" ca="1">OFFSET(E47,-1,1)</f>
        <v>0</v>
      </c>
      <c r="G47" s="41"/>
      <c r="H47" s="23"/>
      <c r="I47" s="41" t="s">
        <v>1496</v>
      </c>
      <c r="K47" s="59"/>
      <c r="L47" s="59"/>
      <c r="M47" s="59"/>
      <c r="T47" s="365" t="b" cm="1">
        <f t="array" ref="T47">T46</f>
        <v>0</v>
      </c>
      <c r="X47" s="1075"/>
      <c r="Z47" s="1065"/>
      <c r="AB47" s="152" t="s">
        <v>1497</v>
      </c>
      <c r="AC47" s="153" t="s">
        <v>1498</v>
      </c>
      <c r="AD47" s="26" t="s">
        <v>1499</v>
      </c>
      <c r="AE47" s="28" t="s">
        <v>850</v>
      </c>
      <c r="AF47" s="790"/>
      <c r="AG47" s="790">
        <f ca="1">SUMIFS(ЭЭ!AG$25:AG$109,ЭЭ!$F$25:$F$109,$F45,ЭЭ!$AC$25:$AC$109,"Средний (расчетный) тариф")</f>
        <v>0</v>
      </c>
      <c r="AH47" s="832"/>
      <c r="AL47" s="665" t="s">
        <v>1500</v>
      </c>
    </row>
    <row r="48" spans="5:38" ht="21.95" hidden="1" customHeight="1">
      <c r="E48" s="459">
        <v>22.5</v>
      </c>
      <c r="F48" s="3" cm="1">
        <f t="array" aca="1" ref="F48" ca="1">OFFSET(E48,-1,1)</f>
        <v>0</v>
      </c>
      <c r="G48" s="41" t="s">
        <v>1501</v>
      </c>
      <c r="H48" s="23"/>
      <c r="I48" s="41" t="s">
        <v>1502</v>
      </c>
      <c r="K48" s="59"/>
      <c r="L48" s="59"/>
      <c r="M48" s="59"/>
      <c r="T48" s="365" t="b" cm="1">
        <f t="array" ref="T48">T47</f>
        <v>0</v>
      </c>
      <c r="X48" s="1075"/>
      <c r="Z48" s="1065"/>
      <c r="AB48" s="152" t="s">
        <v>920</v>
      </c>
      <c r="AC48" s="146" t="s">
        <v>1503</v>
      </c>
      <c r="AD48" s="26" t="s">
        <v>1504</v>
      </c>
      <c r="AE48" s="28" t="s">
        <v>804</v>
      </c>
      <c r="AF48" s="790"/>
      <c r="AG48" s="790">
        <f ca="1">IF(AND(method_reg="Метод индексации",first_year=god),SUMIFS('Калькуляция (МИ)'!$AG$25:$AG$459,'Калькуляция (МИ)'!$F$25:$F$459,$F48,'Калькуляция (МИ)'!$G$25:$G$459,$G48),SUMIFS('Калькуляция (МИ корр)'!$AG$25:$AG$459,'Калькуляция (МИ корр)'!$F$25:$F$459,$F48,'Калькуляция (МИ корр)'!$G$25:$G$459,$G48))</f>
        <v>0</v>
      </c>
      <c r="AH48" s="832"/>
      <c r="AL48" s="665" t="s">
        <v>1241</v>
      </c>
    </row>
    <row r="49" spans="2:38" ht="14.65" hidden="1" customHeight="1">
      <c r="E49" s="459">
        <v>15</v>
      </c>
      <c r="F49" s="3" cm="1">
        <f t="array" aca="1" ref="F49" ca="1">OFFSET(E49,-1,1)</f>
        <v>0</v>
      </c>
      <c r="G49" s="41" t="s">
        <v>1505</v>
      </c>
      <c r="H49" s="23"/>
      <c r="I49" s="41" t="s">
        <v>1506</v>
      </c>
      <c r="K49" s="59"/>
      <c r="L49" s="59"/>
      <c r="M49" s="59"/>
      <c r="T49" s="365" t="b" cm="1">
        <f t="array" ref="T49">T48</f>
        <v>0</v>
      </c>
      <c r="X49" s="1075"/>
      <c r="Z49" s="1065"/>
      <c r="AB49" s="152" t="s">
        <v>923</v>
      </c>
      <c r="AC49" s="631" t="s">
        <v>1507</v>
      </c>
      <c r="AD49" s="26" t="s">
        <v>1508</v>
      </c>
      <c r="AE49" s="28" t="s">
        <v>804</v>
      </c>
      <c r="AF49" s="790"/>
      <c r="AG49" s="790">
        <f ca="1">IF(AND(method_reg="Метод индексации",first_year=god),SUMIFS('Калькуляция (МИ)'!$AE$25:$AE$459,'Калькуляция (МИ)'!$F$25:$F$459,$F49,'Калькуляция (МИ)'!$G$25:$G$459,"Нормативная прибыль")-SUMIFS('Калькуляция (МИ)'!$AE$25:$AE$459,'Калькуляция (МИ)'!$F$25:$F$459,$F49,'Калькуляция (МИ)'!$G$25:$G$459,"иные экономически обоснованные расходы на социальные нужды")+SUMIFS('Калькуляция (МИ)'!$AG$25:$AG$459,'Калькуляция (МИ)'!$F$25:$F$459,$F49,'Калькуляция (МИ)'!$G$25:$G$459,"иные экономически обоснованные расходы на социальные нужды"),SUMIFS('Калькуляция (МИ корр)'!$AE$25:$AE$459,'Калькуляция (МИ корр)'!$F$25:$F$459,$F49,'Калькуляция (МИ корр)'!$G$25:$G$459,"Нормативная прибыль")-SUMIFS('Калькуляция (МИ корр)'!$AE$25:$AE$459,'Калькуляция (МИ корр)'!$F$25:$F$459,$F49,'Калькуляция (МИ корр)'!$G$25:$G$459,"иные экономически обоснованные расходы на социальные нужды")+SUMIFS('Калькуляция (МИ корр)'!$AG$25:$AG$459,'Калькуляция (МИ корр)'!$F$25:$F$459,$F49,'Калькуляция (МИ корр)'!$G$25:$G$459,"иные экономически обоснованные расходы на социальные нужды"))</f>
        <v>0</v>
      </c>
      <c r="AH49" s="832"/>
      <c r="AL49" s="665" t="s">
        <v>1509</v>
      </c>
    </row>
    <row r="50" spans="2:38" ht="14.65" hidden="1" customHeight="1">
      <c r="E50" s="459">
        <v>15</v>
      </c>
      <c r="F50" s="3" cm="1">
        <f t="array" aca="1" ref="F50" ca="1">OFFSET(E50,-1,1)</f>
        <v>0</v>
      </c>
      <c r="G50" s="44" t="s">
        <v>1510</v>
      </c>
      <c r="H50" s="23"/>
      <c r="I50" s="78" t="s">
        <v>1511</v>
      </c>
      <c r="K50" s="59"/>
      <c r="L50" s="59"/>
      <c r="M50" s="59"/>
      <c r="T50" s="365" t="b" cm="1">
        <f t="array" ref="T50">T49</f>
        <v>0</v>
      </c>
      <c r="X50" s="1075"/>
      <c r="Z50" s="1065"/>
      <c r="AB50" s="152" t="s">
        <v>1512</v>
      </c>
      <c r="AC50" s="146" t="s">
        <v>1513</v>
      </c>
      <c r="AD50" s="26" t="s">
        <v>1514</v>
      </c>
      <c r="AE50" s="28" t="s">
        <v>804</v>
      </c>
      <c r="AF50" s="790"/>
      <c r="AG50" s="790">
        <f ca="1">IF(AND(method_reg="Метод индексации",first_year=god),SUMIFS('Калькуляция (МИ)'!$AG$25:$AG$459,'Калькуляция (МИ)'!$F$25:$F$459,$F50,'Калькуляция (МИ)'!$G$25:$G$459,$G50),SUMIFS('Калькуляция (МИ корр)'!$AG$25:$AG$459,'Калькуляция (МИ корр)'!$F$25:$F$459,$F50,'Калькуляция (МИ корр)'!$G$25:$G$459,$G50))</f>
        <v>0</v>
      </c>
      <c r="AH50" s="832"/>
      <c r="AL50" s="665" t="s">
        <v>1515</v>
      </c>
    </row>
    <row r="51" spans="2:38" ht="21.95" hidden="1" customHeight="1">
      <c r="E51" s="459">
        <v>22.5</v>
      </c>
      <c r="F51" s="3" cm="1">
        <f t="array" aca="1" ref="F51" ca="1">OFFSET(E51,-1,1)</f>
        <v>0</v>
      </c>
      <c r="G51" s="44"/>
      <c r="H51" s="23"/>
      <c r="I51" s="41" t="s">
        <v>1516</v>
      </c>
      <c r="K51" s="59"/>
      <c r="L51" s="59"/>
      <c r="M51" s="59"/>
      <c r="T51" s="365" t="b" cm="1">
        <f t="array" ref="T51">T50</f>
        <v>0</v>
      </c>
      <c r="X51" s="1075"/>
      <c r="Z51" s="1065"/>
      <c r="AB51" s="152" t="s">
        <v>1517</v>
      </c>
      <c r="AC51" s="146" t="s">
        <v>1518</v>
      </c>
      <c r="AD51" s="26"/>
      <c r="AE51" s="28" t="s">
        <v>804</v>
      </c>
      <c r="AF51" s="790">
        <f>AF52+AF53+AF54</f>
        <v>0</v>
      </c>
      <c r="AG51" s="790">
        <f>AG52+AG53+AG54</f>
        <v>0</v>
      </c>
      <c r="AH51" s="832"/>
      <c r="AL51" s="665" t="s">
        <v>1519</v>
      </c>
    </row>
    <row r="52" spans="2:38" ht="21.95" hidden="1" customHeight="1">
      <c r="E52" s="459">
        <v>22.5</v>
      </c>
      <c r="F52" s="3" cm="1">
        <f t="array" aca="1" ref="F52" ca="1">OFFSET(E52,-1,1)</f>
        <v>0</v>
      </c>
      <c r="G52" s="41"/>
      <c r="H52" s="23"/>
      <c r="I52" s="41" t="s">
        <v>1520</v>
      </c>
      <c r="K52" s="59"/>
      <c r="L52" s="59"/>
      <c r="M52" s="59"/>
      <c r="T52" s="365" t="b" cm="1">
        <f t="array" ref="T52">T51</f>
        <v>0</v>
      </c>
      <c r="X52" s="1075"/>
      <c r="Z52" s="1065"/>
      <c r="AB52" s="152" t="s">
        <v>1521</v>
      </c>
      <c r="AC52" s="153" t="s">
        <v>1522</v>
      </c>
      <c r="AD52" s="26" t="s">
        <v>1523</v>
      </c>
      <c r="AE52" s="28" t="s">
        <v>804</v>
      </c>
      <c r="AF52" s="790"/>
      <c r="AG52" s="790"/>
      <c r="AH52" s="832"/>
      <c r="AL52" s="665" t="s">
        <v>1524</v>
      </c>
    </row>
    <row r="53" spans="2:38" ht="14.65" hidden="1" customHeight="1">
      <c r="E53" s="459">
        <v>15</v>
      </c>
      <c r="F53" s="3" cm="1">
        <f t="array" aca="1" ref="F53" ca="1">OFFSET(E53,-1,1)</f>
        <v>0</v>
      </c>
      <c r="G53" s="41"/>
      <c r="H53" s="23"/>
      <c r="I53" s="41" t="s">
        <v>1525</v>
      </c>
      <c r="K53" s="59"/>
      <c r="L53" s="59"/>
      <c r="M53" s="59"/>
      <c r="T53" s="365" t="b" cm="1">
        <f t="array" ref="T53">T52</f>
        <v>0</v>
      </c>
      <c r="X53" s="1075"/>
      <c r="Z53" s="1065"/>
      <c r="AB53" s="152" t="s">
        <v>1526</v>
      </c>
      <c r="AC53" s="153" t="s">
        <v>1527</v>
      </c>
      <c r="AD53" s="26" t="s">
        <v>1528</v>
      </c>
      <c r="AE53" s="28" t="s">
        <v>804</v>
      </c>
      <c r="AF53" s="790"/>
      <c r="AG53" s="790"/>
      <c r="AH53" s="832"/>
      <c r="AL53" s="665" t="s">
        <v>1529</v>
      </c>
    </row>
    <row r="54" spans="2:38" ht="43.9" hidden="1" customHeight="1">
      <c r="E54" s="459">
        <v>45</v>
      </c>
      <c r="F54" s="3" cm="1">
        <f t="array" aca="1" ref="F54" ca="1">OFFSET(E54,-1,1)</f>
        <v>0</v>
      </c>
      <c r="G54" s="41"/>
      <c r="H54" s="23"/>
      <c r="I54" s="41" t="s">
        <v>1530</v>
      </c>
      <c r="K54" s="59"/>
      <c r="L54" s="59"/>
      <c r="M54" s="59"/>
      <c r="T54" s="365" t="b" cm="1">
        <f t="array" ref="T54">T53</f>
        <v>0</v>
      </c>
      <c r="X54" s="1075"/>
      <c r="Z54" s="1065"/>
      <c r="AB54" s="152" t="s">
        <v>1531</v>
      </c>
      <c r="AC54" s="153" t="s">
        <v>1532</v>
      </c>
      <c r="AD54" s="28" t="s">
        <v>1533</v>
      </c>
      <c r="AE54" s="28" t="s">
        <v>804</v>
      </c>
      <c r="AF54" s="790"/>
      <c r="AG54" s="790"/>
      <c r="AH54" s="832"/>
      <c r="AL54" s="665" t="s">
        <v>1534</v>
      </c>
    </row>
    <row r="55" spans="2:38" ht="21.95" hidden="1" customHeight="1">
      <c r="E55" s="459">
        <v>22.5</v>
      </c>
      <c r="F55" s="3" cm="1">
        <f t="array" aca="1" ref="F55" ca="1">OFFSET(E55,-1,1)</f>
        <v>0</v>
      </c>
      <c r="G55" s="41"/>
      <c r="H55" s="23"/>
      <c r="I55" s="41" t="s">
        <v>1535</v>
      </c>
      <c r="K55" s="59"/>
      <c r="L55" s="59"/>
      <c r="M55" s="59"/>
      <c r="T55" s="365" t="b" cm="1">
        <f t="array" ref="T55">T54</f>
        <v>0</v>
      </c>
      <c r="X55" s="1075"/>
      <c r="Z55" s="1065"/>
      <c r="AB55" s="152" t="s">
        <v>1536</v>
      </c>
      <c r="AC55" s="146" t="s">
        <v>1537</v>
      </c>
      <c r="AD55" s="28" t="s">
        <v>1538</v>
      </c>
      <c r="AE55" s="28" t="s">
        <v>804</v>
      </c>
      <c r="AF55" s="790"/>
      <c r="AG55" s="790"/>
      <c r="AH55" s="832"/>
      <c r="AL55" s="665" t="s">
        <v>1539</v>
      </c>
    </row>
    <row r="56" spans="2:38" ht="76.7" hidden="1" customHeight="1">
      <c r="B56" s="62" t="b">
        <f>S27="Водоотведение"</f>
        <v>0</v>
      </c>
      <c r="E56" s="459">
        <v>78.75</v>
      </c>
      <c r="F56" s="3" cm="1">
        <f t="array" aca="1" ref="F56" ca="1">OFFSET(E56,-1,1)</f>
        <v>0</v>
      </c>
      <c r="G56" s="41"/>
      <c r="H56" s="23"/>
      <c r="I56" s="41"/>
      <c r="K56" s="59"/>
      <c r="L56" s="59"/>
      <c r="M56" s="59"/>
      <c r="T56" s="365" t="b" cm="1">
        <f t="array" ref="T56">T55</f>
        <v>0</v>
      </c>
      <c r="X56" s="1075"/>
      <c r="Z56" s="1065"/>
      <c r="AB56" s="152" t="s">
        <v>1540</v>
      </c>
      <c r="AC56" s="146" t="s">
        <v>1541</v>
      </c>
      <c r="AD56" s="28"/>
      <c r="AE56" s="28" t="s">
        <v>804</v>
      </c>
      <c r="AF56" s="790"/>
      <c r="AG56" s="790"/>
      <c r="AH56" s="832"/>
      <c r="AL56" s="665" t="s">
        <v>1542</v>
      </c>
    </row>
    <row r="57" spans="2:38" ht="54.75" hidden="1" customHeight="1">
      <c r="B57" s="62" t="b" cm="1">
        <f t="array" ref="B57">B56</f>
        <v>0</v>
      </c>
      <c r="E57" s="459">
        <v>56.25</v>
      </c>
      <c r="F57" s="3" cm="1">
        <f t="array" aca="1" ref="F57" ca="1">OFFSET(E57,-1,1)</f>
        <v>0</v>
      </c>
      <c r="G57" s="41"/>
      <c r="H57" s="23"/>
      <c r="I57" s="41"/>
      <c r="K57" s="59"/>
      <c r="L57" s="59"/>
      <c r="M57" s="59"/>
      <c r="T57" s="365" t="b" cm="1">
        <f t="array" ref="T57">T56</f>
        <v>0</v>
      </c>
      <c r="X57" s="1075"/>
      <c r="Z57" s="1065"/>
      <c r="AB57" s="152" t="s">
        <v>1543</v>
      </c>
      <c r="AC57" s="146" t="s">
        <v>1544</v>
      </c>
      <c r="AD57" s="28"/>
      <c r="AE57" s="28" t="s">
        <v>804</v>
      </c>
      <c r="AF57" s="790"/>
      <c r="AG57" s="790"/>
      <c r="AH57" s="832"/>
      <c r="AL57" s="665" t="s">
        <v>1370</v>
      </c>
    </row>
    <row r="58" spans="2:38" ht="14.65" hidden="1" customHeight="1">
      <c r="E58" s="459">
        <v>15</v>
      </c>
      <c r="F58" s="3" cm="1">
        <f t="array" aca="1" ref="F58" ca="1">OFFSET(E58,-1,1)</f>
        <v>0</v>
      </c>
      <c r="G58" s="41"/>
      <c r="H58" s="23"/>
      <c r="I58" s="41"/>
      <c r="K58" s="59"/>
      <c r="L58" s="59"/>
      <c r="M58" s="59"/>
      <c r="T58" s="365" t="b" cm="1">
        <f t="array" ref="T58">T57</f>
        <v>0</v>
      </c>
      <c r="X58" s="1075"/>
      <c r="Z58" s="1065"/>
      <c r="AB58" s="26" t="str">
        <f>IF(B57,"2.12","2.10")</f>
        <v>2.10</v>
      </c>
      <c r="AC58" s="146" t="s">
        <v>1545</v>
      </c>
      <c r="AD58" s="28" t="s">
        <v>1546</v>
      </c>
      <c r="AE58" s="28" t="s">
        <v>804</v>
      </c>
      <c r="AF58" s="790">
        <f>AF59+AF60</f>
        <v>0</v>
      </c>
      <c r="AG58" s="790">
        <f>AG59+AG60</f>
        <v>0</v>
      </c>
      <c r="AH58" s="832"/>
      <c r="AL58" s="665" t="s">
        <v>1547</v>
      </c>
    </row>
    <row r="59" spans="2:38" ht="21.95" hidden="1" customHeight="1">
      <c r="E59" s="459">
        <v>22.5</v>
      </c>
      <c r="F59" s="3" cm="1">
        <f t="array" aca="1" ref="F59" ca="1">OFFSET(E59,-1,1)</f>
        <v>0</v>
      </c>
      <c r="G59" s="41"/>
      <c r="H59" s="23"/>
      <c r="I59" s="41"/>
      <c r="K59" s="59"/>
      <c r="L59" s="59"/>
      <c r="M59" s="59"/>
      <c r="T59" s="365" t="b" cm="1">
        <f t="array" ref="T59">T58</f>
        <v>0</v>
      </c>
      <c r="X59" s="1075"/>
      <c r="Z59" s="1065"/>
      <c r="AB59" s="26" t="str">
        <f>AB58&amp;".1"</f>
        <v>2.10.1</v>
      </c>
      <c r="AC59" s="146" t="s">
        <v>1548</v>
      </c>
      <c r="AD59" s="28" t="s">
        <v>1546</v>
      </c>
      <c r="AE59" s="28" t="s">
        <v>804</v>
      </c>
      <c r="AF59" s="790"/>
      <c r="AG59" s="790"/>
      <c r="AH59" s="832"/>
      <c r="AL59" s="665" t="s">
        <v>1549</v>
      </c>
    </row>
    <row r="60" spans="2:38" ht="21.95" hidden="1" customHeight="1">
      <c r="E60" s="459">
        <v>22.5</v>
      </c>
      <c r="F60" s="3" cm="1">
        <f t="array" aca="1" ref="F60" ca="1">OFFSET(E60,-1,1)</f>
        <v>0</v>
      </c>
      <c r="G60" s="41"/>
      <c r="H60" s="23"/>
      <c r="I60" s="41"/>
      <c r="K60" s="59"/>
      <c r="L60" s="59"/>
      <c r="M60" s="59"/>
      <c r="T60" s="365" t="b" cm="1">
        <f t="array" ref="T60">T59</f>
        <v>0</v>
      </c>
      <c r="X60" s="1075"/>
      <c r="Z60" s="1065"/>
      <c r="AB60" s="26" t="str">
        <f>AB58&amp;".2"</f>
        <v>2.10.2</v>
      </c>
      <c r="AC60" s="146" t="s">
        <v>1550</v>
      </c>
      <c r="AD60" s="28" t="s">
        <v>1546</v>
      </c>
      <c r="AE60" s="28" t="s">
        <v>804</v>
      </c>
      <c r="AF60" s="790"/>
      <c r="AG60" s="790"/>
      <c r="AH60" s="832"/>
      <c r="AL60" s="665" t="s">
        <v>1551</v>
      </c>
    </row>
    <row r="61" spans="2:38" ht="14.65" hidden="1" customHeight="1">
      <c r="E61" s="459">
        <v>15</v>
      </c>
      <c r="F61" s="3" cm="1">
        <f t="array" aca="1" ref="F61" ca="1">OFFSET(E61,-1,1)</f>
        <v>0</v>
      </c>
      <c r="G61" s="41"/>
      <c r="H61" s="23"/>
      <c r="I61" s="41"/>
      <c r="K61" s="59"/>
      <c r="L61" s="59"/>
      <c r="M61" s="59"/>
      <c r="T61" s="365" t="b" cm="1">
        <f t="array" ref="T61">T60</f>
        <v>0</v>
      </c>
      <c r="X61" s="1075"/>
      <c r="Z61" s="1065"/>
      <c r="AB61" s="26" t="str">
        <f>IF(B57,"2.13","2.11")</f>
        <v>2.11</v>
      </c>
      <c r="AC61" s="146" t="s">
        <v>1552</v>
      </c>
      <c r="AD61" s="28" t="s">
        <v>1546</v>
      </c>
      <c r="AE61" s="28" t="s">
        <v>804</v>
      </c>
      <c r="AF61" s="790"/>
      <c r="AG61" s="790"/>
      <c r="AH61" s="832"/>
      <c r="AL61" s="665" t="s">
        <v>1553</v>
      </c>
    </row>
    <row r="62" spans="2:38" ht="14.65" hidden="1" customHeight="1">
      <c r="E62" s="459">
        <v>15</v>
      </c>
      <c r="F62" s="3" cm="1">
        <f t="array" aca="1" ref="F62" ca="1">OFFSET(E62,-1,1)</f>
        <v>0</v>
      </c>
      <c r="G62" s="41"/>
      <c r="H62" s="23"/>
      <c r="I62" s="41"/>
      <c r="K62" s="59"/>
      <c r="L62" s="59"/>
      <c r="M62" s="59"/>
      <c r="T62" s="365" t="b" cm="1">
        <f t="array" ref="T62">T61</f>
        <v>0</v>
      </c>
      <c r="X62" s="1075"/>
      <c r="Z62" s="1065"/>
      <c r="AB62" s="26" t="str">
        <f>IF(B57,"2.14","2.12")</f>
        <v>2.12</v>
      </c>
      <c r="AC62" s="146" t="s">
        <v>1554</v>
      </c>
      <c r="AD62" s="28" t="s">
        <v>1546</v>
      </c>
      <c r="AE62" s="28" t="s">
        <v>804</v>
      </c>
      <c r="AF62" s="790"/>
      <c r="AG62" s="790"/>
      <c r="AH62" s="832"/>
      <c r="AL62" s="665" t="s">
        <v>1555</v>
      </c>
    </row>
    <row r="63" spans="2:38" s="173" customFormat="1" ht="21.95" hidden="1" customHeight="1">
      <c r="B63" s="340"/>
      <c r="E63" s="512">
        <v>22.5</v>
      </c>
      <c r="F63" s="3" cm="1">
        <f t="array" aca="1" ref="F63" ca="1">OFFSET(E63,-1,1)</f>
        <v>0</v>
      </c>
      <c r="G63" s="82"/>
      <c r="H63" s="82"/>
      <c r="I63" s="41" t="s">
        <v>328</v>
      </c>
      <c r="K63" s="387"/>
      <c r="L63" s="387"/>
      <c r="M63" s="387"/>
      <c r="T63" s="365" t="b" cm="1">
        <f t="array" ref="T63">T62</f>
        <v>0</v>
      </c>
      <c r="X63" s="1075"/>
      <c r="Z63" s="1065"/>
      <c r="AB63" s="143" t="s">
        <v>1556</v>
      </c>
      <c r="AC63" s="144" t="s">
        <v>1557</v>
      </c>
      <c r="AD63" s="143" t="s">
        <v>1419</v>
      </c>
      <c r="AE63" s="166" t="s">
        <v>804</v>
      </c>
      <c r="AF63" s="579" cm="1">
        <f t="array" ref="AF63">AF64</f>
        <v>0</v>
      </c>
      <c r="AG63" s="579" cm="1">
        <f t="array" ref="AG63">AG64</f>
        <v>0</v>
      </c>
      <c r="AH63" s="940"/>
      <c r="AL63" s="697" t="s">
        <v>1558</v>
      </c>
    </row>
    <row r="64" spans="2:38" ht="32.85" hidden="1" customHeight="1">
      <c r="E64" s="459">
        <v>33.75</v>
      </c>
      <c r="F64" s="3" cm="1">
        <f t="array" aca="1" ref="F64" ca="1">OFFSET(E64,-1,1)</f>
        <v>0</v>
      </c>
      <c r="G64" s="41"/>
      <c r="H64" s="23"/>
      <c r="I64" s="41" t="s">
        <v>479</v>
      </c>
      <c r="K64" s="59"/>
      <c r="L64" s="59"/>
      <c r="M64" s="59"/>
      <c r="T64" s="365" t="b" cm="1">
        <f t="array" ref="T64">T63</f>
        <v>0</v>
      </c>
      <c r="X64" s="1075"/>
      <c r="Z64" s="1065"/>
      <c r="AB64" s="152" t="s">
        <v>275</v>
      </c>
      <c r="AC64" s="358" t="s">
        <v>1559</v>
      </c>
      <c r="AD64" s="26" t="s">
        <v>1560</v>
      </c>
      <c r="AE64" s="28" t="s">
        <v>804</v>
      </c>
      <c r="AF64" s="629">
        <f>AF65+AF66</f>
        <v>0</v>
      </c>
      <c r="AG64" s="629">
        <f>AG65+AG66</f>
        <v>0</v>
      </c>
      <c r="AH64" s="832"/>
      <c r="AL64" s="665" t="s">
        <v>1561</v>
      </c>
    </row>
    <row r="65" spans="1:43" ht="43.9" hidden="1" customHeight="1">
      <c r="E65" s="459">
        <v>45</v>
      </c>
      <c r="F65" s="3" cm="1">
        <f t="array" aca="1" ref="F65" ca="1">OFFSET(E65,-1,1)</f>
        <v>0</v>
      </c>
      <c r="G65" s="41"/>
      <c r="H65" s="23"/>
      <c r="I65" s="41" t="s">
        <v>1562</v>
      </c>
      <c r="K65" s="59"/>
      <c r="L65" s="59"/>
      <c r="M65" s="59"/>
      <c r="T65" s="365" t="b" cm="1">
        <f t="array" ref="T65">T64</f>
        <v>0</v>
      </c>
      <c r="X65" s="1075"/>
      <c r="Z65" s="1065"/>
      <c r="AB65" s="152" t="s">
        <v>897</v>
      </c>
      <c r="AC65" s="146" t="s">
        <v>1563</v>
      </c>
      <c r="AD65" s="26" t="s">
        <v>1564</v>
      </c>
      <c r="AE65" s="28" t="s">
        <v>804</v>
      </c>
      <c r="AF65" s="790"/>
      <c r="AG65" s="790"/>
      <c r="AH65" s="832"/>
      <c r="AL65" s="665" t="s">
        <v>1565</v>
      </c>
    </row>
    <row r="66" spans="1:43" ht="32.85" hidden="1" customHeight="1">
      <c r="E66" s="459">
        <v>33.75</v>
      </c>
      <c r="F66" s="3" cm="1">
        <f t="array" aca="1" ref="F66" ca="1">OFFSET(E66,-1,1)</f>
        <v>0</v>
      </c>
      <c r="G66" s="41"/>
      <c r="H66" s="23"/>
      <c r="I66" s="41" t="s">
        <v>1566</v>
      </c>
      <c r="K66" s="59"/>
      <c r="L66" s="59"/>
      <c r="M66" s="59"/>
      <c r="T66" s="365" t="b" cm="1">
        <f t="array" ref="T66">T65</f>
        <v>0</v>
      </c>
      <c r="X66" s="1075"/>
      <c r="Z66" s="1065"/>
      <c r="AB66" s="152" t="s">
        <v>900</v>
      </c>
      <c r="AC66" s="146" t="s">
        <v>1567</v>
      </c>
      <c r="AD66" s="26" t="s">
        <v>1568</v>
      </c>
      <c r="AE66" s="28" t="s">
        <v>804</v>
      </c>
      <c r="AF66" s="790"/>
      <c r="AG66" s="790"/>
      <c r="AH66" s="832"/>
      <c r="AL66" s="665" t="s">
        <v>1569</v>
      </c>
    </row>
    <row r="67" spans="1:43" ht="34.15" hidden="1" customHeight="1">
      <c r="E67" s="459">
        <v>35</v>
      </c>
      <c r="F67" s="3" cm="1">
        <f t="array" aca="1" ref="F67" ca="1">OFFSET(E67,-1,1)</f>
        <v>0</v>
      </c>
      <c r="G67" s="41"/>
      <c r="H67" s="23"/>
      <c r="I67" s="41" t="s">
        <v>329</v>
      </c>
      <c r="K67" s="59" t="str">
        <f ca="1">F67&amp;"1komm"</f>
        <v>01komm</v>
      </c>
      <c r="L67" s="618" cm="1">
        <f t="array" ref="L67">AH67</f>
        <v>0</v>
      </c>
      <c r="M67" s="59"/>
      <c r="T67" s="365" t="b" cm="1">
        <f t="array" ref="T67">T66</f>
        <v>0</v>
      </c>
      <c r="X67" s="1075"/>
      <c r="Z67" s="1065"/>
      <c r="AB67" s="166" t="s">
        <v>1570</v>
      </c>
      <c r="AC67" s="144" t="s">
        <v>1571</v>
      </c>
      <c r="AD67" s="143" t="s">
        <v>1572</v>
      </c>
      <c r="AE67" s="166" t="s">
        <v>804</v>
      </c>
      <c r="AF67" s="941"/>
      <c r="AG67" s="941"/>
      <c r="AH67" s="832"/>
      <c r="AL67" s="665" t="s">
        <v>1573</v>
      </c>
    </row>
    <row r="68" spans="1:43" ht="107.25" hidden="1" customHeight="1">
      <c r="E68" s="459">
        <v>110</v>
      </c>
      <c r="F68" s="3" cm="1">
        <f t="array" aca="1" ref="F68" ca="1">OFFSET(E68,-1,1)</f>
        <v>0</v>
      </c>
      <c r="G68" s="41"/>
      <c r="H68" s="23"/>
      <c r="I68" s="41" t="s">
        <v>331</v>
      </c>
      <c r="K68" s="59" t="str">
        <f ca="1">F68&amp;"2komm"</f>
        <v>02komm</v>
      </c>
      <c r="L68" s="618" cm="1">
        <f t="array" ref="L68">AH68</f>
        <v>0</v>
      </c>
      <c r="M68" s="59"/>
      <c r="T68" s="365" t="b" cm="1">
        <f t="array" ref="T68">T67</f>
        <v>0</v>
      </c>
      <c r="X68" s="1075"/>
      <c r="Z68" s="1065"/>
      <c r="AB68" s="166" t="s">
        <v>1574</v>
      </c>
      <c r="AC68" s="144" t="s">
        <v>1575</v>
      </c>
      <c r="AD68" s="143" t="s">
        <v>1576</v>
      </c>
      <c r="AE68" s="166" t="s">
        <v>804</v>
      </c>
      <c r="AF68" s="941"/>
      <c r="AG68" s="941"/>
      <c r="AH68" s="832"/>
      <c r="AL68" s="665" t="s">
        <v>1014</v>
      </c>
    </row>
    <row r="69" spans="1:43" ht="76.7" hidden="1" customHeight="1">
      <c r="B69" s="62" t="b">
        <f>S27="Водоотведение"</f>
        <v>0</v>
      </c>
      <c r="E69" s="459">
        <v>78.75</v>
      </c>
      <c r="F69" s="3" cm="1">
        <f t="array" aca="1" ref="F69" ca="1">OFFSET(E69,-1,1)</f>
        <v>0</v>
      </c>
      <c r="H69" s="2"/>
      <c r="I69" s="57" t="s">
        <v>330</v>
      </c>
      <c r="K69" s="59" t="str">
        <f ca="1">F69&amp;"3komm"</f>
        <v>03komm</v>
      </c>
      <c r="L69" s="618" cm="1">
        <f t="array" ref="L69">AH69</f>
        <v>0</v>
      </c>
      <c r="M69" s="59"/>
      <c r="T69" s="365" t="b" cm="1">
        <f t="array" ref="T69">T68</f>
        <v>0</v>
      </c>
      <c r="X69" s="1075"/>
      <c r="Z69" s="1065"/>
      <c r="AB69" s="166" t="s">
        <v>1577</v>
      </c>
      <c r="AC69" s="144" t="s">
        <v>1578</v>
      </c>
      <c r="AD69" s="143"/>
      <c r="AE69" s="166" t="s">
        <v>804</v>
      </c>
      <c r="AF69" s="941"/>
      <c r="AG69" s="783">
        <f ca="1">IFERROR(SUMIFS('Плата за негативное возд'!$AL$24:$AL$35,'Плата за негативное возд'!$F$24:$F$35,F69,'Плата за негативное возд'!$AB$24:$AB$35,"1"),0)</f>
        <v>0</v>
      </c>
      <c r="AH69" s="832"/>
      <c r="AL69" s="665" t="s">
        <v>1579</v>
      </c>
    </row>
    <row r="70" spans="1:43" ht="54.75" hidden="1" customHeight="1">
      <c r="B70" s="62" t="b" cm="1">
        <f t="array" ref="B70">B69</f>
        <v>0</v>
      </c>
      <c r="E70" s="459">
        <v>56.25</v>
      </c>
      <c r="F70" s="3" cm="1">
        <f t="array" aca="1" ref="F70" ca="1">OFFSET(E70,-1,1)</f>
        <v>0</v>
      </c>
      <c r="H70" s="2"/>
      <c r="I70" s="57" t="s">
        <v>511</v>
      </c>
      <c r="K70" s="59" t="str">
        <f ca="1">F70&amp;"4komm"</f>
        <v>04komm</v>
      </c>
      <c r="L70" s="618" cm="1">
        <f t="array" ref="L70">AH70</f>
        <v>0</v>
      </c>
      <c r="M70" s="59"/>
      <c r="T70" s="365" t="b" cm="1">
        <f t="array" ref="T70">T69</f>
        <v>0</v>
      </c>
      <c r="X70" s="1075"/>
      <c r="Z70" s="1065"/>
      <c r="AB70" s="166" t="s">
        <v>1580</v>
      </c>
      <c r="AC70" s="144" t="s">
        <v>1581</v>
      </c>
      <c r="AD70" s="143"/>
      <c r="AE70" s="166" t="s">
        <v>804</v>
      </c>
      <c r="AF70" s="941"/>
      <c r="AG70" s="783">
        <f ca="1">IFERROR(SUMIFS('Плата за негативное возд'!$AL$24:$AL$35,'Плата за негативное возд'!$F$24:$F$35,F70,'Плата за негативное возд'!$AB$24:$AB$35,"2"),0)</f>
        <v>0</v>
      </c>
      <c r="AH70" s="832"/>
      <c r="AL70" s="665" t="s">
        <v>1582</v>
      </c>
    </row>
    <row r="71" spans="1:43" ht="14.65" hidden="1" customHeight="1">
      <c r="E71" s="459">
        <v>15</v>
      </c>
      <c r="F71" s="3" cm="1">
        <f t="array" aca="1" ref="F71" ca="1">OFFSET(E71,-1,1)</f>
        <v>0</v>
      </c>
      <c r="H71" s="23"/>
      <c r="I71" s="57" t="s">
        <v>514</v>
      </c>
      <c r="K71" s="59" t="str">
        <f ca="1">F71&amp;"5komm"</f>
        <v>05komm</v>
      </c>
      <c r="L71" s="618" cm="1">
        <f t="array" ref="L71">AH71</f>
        <v>0</v>
      </c>
      <c r="M71" s="59"/>
      <c r="T71" s="365" t="b" cm="1">
        <f t="array" ref="T71">T70</f>
        <v>0</v>
      </c>
      <c r="X71" s="1075"/>
      <c r="Z71" s="1065"/>
      <c r="AB71" s="166" t="str">
        <f>IF(B70,"VII","V")</f>
        <v>V</v>
      </c>
      <c r="AC71" s="144" t="s">
        <v>1583</v>
      </c>
      <c r="AD71" s="143"/>
      <c r="AE71" s="166" t="s">
        <v>804</v>
      </c>
      <c r="AF71" s="941"/>
      <c r="AG71" s="941"/>
      <c r="AH71" s="832"/>
      <c r="AL71" s="665" t="s">
        <v>1584</v>
      </c>
    </row>
    <row r="72" spans="1:43" s="173" customFormat="1" ht="14.65" hidden="1" customHeight="1">
      <c r="B72" s="340"/>
      <c r="E72" s="512">
        <v>15</v>
      </c>
      <c r="F72" s="3" cm="1">
        <f t="array" aca="1" ref="F72" ca="1">OFFSET(E72,-1,1)</f>
        <v>0</v>
      </c>
      <c r="G72" s="387"/>
      <c r="I72" s="173" t="s">
        <v>562</v>
      </c>
      <c r="K72" s="59" t="str">
        <f ca="1">F72&amp;"6komm"</f>
        <v>06komm</v>
      </c>
      <c r="L72" s="618" cm="1">
        <f t="array" ref="L72">AH72</f>
        <v>0</v>
      </c>
      <c r="M72" s="387"/>
      <c r="T72" s="365" t="b" cm="1">
        <f t="array" ref="T72">T71</f>
        <v>0</v>
      </c>
      <c r="X72" s="1075"/>
      <c r="Z72" s="1065"/>
      <c r="AB72" s="166" t="str">
        <f>IF(B70,"VIII","VI")</f>
        <v>VI</v>
      </c>
      <c r="AC72" s="144" t="s">
        <v>1545</v>
      </c>
      <c r="AD72" s="143"/>
      <c r="AE72" s="166" t="s">
        <v>804</v>
      </c>
      <c r="AF72" s="941">
        <f>AF73+AF74</f>
        <v>0</v>
      </c>
      <c r="AG72" s="941">
        <f>AG73+AG74</f>
        <v>0</v>
      </c>
      <c r="AH72" s="832"/>
      <c r="AL72" s="697" t="s">
        <v>1585</v>
      </c>
    </row>
    <row r="73" spans="1:43" ht="21.95" hidden="1" customHeight="1">
      <c r="E73" s="459">
        <v>22.5</v>
      </c>
      <c r="F73" s="3" cm="1">
        <f t="array" aca="1" ref="F73" ca="1">OFFSET(E73,-1,1)</f>
        <v>0</v>
      </c>
      <c r="H73" s="23"/>
      <c r="I73" s="57" t="s">
        <v>565</v>
      </c>
      <c r="K73" s="59" t="str">
        <f ca="1">F73&amp;"7komm"</f>
        <v>07komm</v>
      </c>
      <c r="L73" s="618" cm="1">
        <f t="array" ref="L73">AH73</f>
        <v>0</v>
      </c>
      <c r="M73" s="59"/>
      <c r="T73" s="365" t="b" cm="1">
        <f t="array" ref="T73">T72</f>
        <v>0</v>
      </c>
      <c r="X73" s="1075"/>
      <c r="Z73" s="1065"/>
      <c r="AB73" s="28">
        <v>1</v>
      </c>
      <c r="AC73" s="146" t="s">
        <v>1548</v>
      </c>
      <c r="AD73" s="26"/>
      <c r="AE73" s="28" t="s">
        <v>804</v>
      </c>
      <c r="AF73" s="790"/>
      <c r="AG73" s="790"/>
      <c r="AH73" s="832"/>
      <c r="AL73" s="665" t="s">
        <v>1586</v>
      </c>
    </row>
    <row r="74" spans="1:43" ht="21.95" hidden="1" customHeight="1">
      <c r="E74" s="459">
        <v>22.5</v>
      </c>
      <c r="F74" s="3" cm="1">
        <f t="array" aca="1" ref="F74" ca="1">OFFSET(E74,-1,1)</f>
        <v>0</v>
      </c>
      <c r="H74" s="23"/>
      <c r="I74" s="57" t="s">
        <v>569</v>
      </c>
      <c r="K74" s="59" t="str">
        <f ca="1">F74&amp;"8komm"</f>
        <v>08komm</v>
      </c>
      <c r="L74" s="618" cm="1">
        <f t="array" ref="L74">AH74</f>
        <v>0</v>
      </c>
      <c r="M74" s="59"/>
      <c r="T74" s="365" t="b" cm="1">
        <f t="array" ref="T74">T73</f>
        <v>0</v>
      </c>
      <c r="X74" s="1075"/>
      <c r="Z74" s="1065"/>
      <c r="AB74" s="28">
        <v>2</v>
      </c>
      <c r="AC74" s="146" t="s">
        <v>1550</v>
      </c>
      <c r="AD74" s="26"/>
      <c r="AE74" s="28" t="s">
        <v>804</v>
      </c>
      <c r="AF74" s="790"/>
      <c r="AG74" s="790"/>
      <c r="AH74" s="832"/>
      <c r="AL74" s="665" t="s">
        <v>1587</v>
      </c>
    </row>
    <row r="75" spans="1:43" ht="14.65" hidden="1" customHeight="1">
      <c r="E75" s="459">
        <v>15</v>
      </c>
      <c r="F75" s="3" cm="1">
        <f t="array" aca="1" ref="F75" ca="1">OFFSET(E75,-1,1)</f>
        <v>0</v>
      </c>
      <c r="H75" s="23"/>
      <c r="I75" s="57" t="s">
        <v>577</v>
      </c>
      <c r="K75" s="59" t="str">
        <f ca="1">F75&amp;"9komm"</f>
        <v>09komm</v>
      </c>
      <c r="L75" s="618" cm="1">
        <f t="array" ref="L75">AH75</f>
        <v>0</v>
      </c>
      <c r="M75" s="59"/>
      <c r="T75" s="365" t="b" cm="1">
        <f t="array" ref="T75">T74</f>
        <v>0</v>
      </c>
      <c r="X75" s="1075"/>
      <c r="Z75" s="1065"/>
      <c r="AB75" s="166" t="str">
        <f>IF(B70,"IX","VIII")</f>
        <v>VIII</v>
      </c>
      <c r="AC75" s="144" t="s">
        <v>1552</v>
      </c>
      <c r="AD75" s="143"/>
      <c r="AE75" s="166" t="s">
        <v>804</v>
      </c>
      <c r="AF75" s="941"/>
      <c r="AG75" s="941"/>
      <c r="AH75" s="832"/>
      <c r="AL75" s="665" t="s">
        <v>1588</v>
      </c>
    </row>
    <row r="76" spans="1:43" ht="14.65" hidden="1" customHeight="1">
      <c r="E76" s="459">
        <v>15</v>
      </c>
      <c r="F76" s="3" cm="1">
        <f t="array" aca="1" ref="F76" ca="1">OFFSET(E76,-1,1)</f>
        <v>0</v>
      </c>
      <c r="H76" s="23"/>
      <c r="I76" s="57" t="s">
        <v>585</v>
      </c>
      <c r="K76" s="59" t="str">
        <f ca="1">F76&amp;"10komm"</f>
        <v>010komm</v>
      </c>
      <c r="L76" s="618" cm="1">
        <f t="array" ref="L76">AH76</f>
        <v>0</v>
      </c>
      <c r="M76" s="59"/>
      <c r="T76" s="365" t="b" cm="1">
        <f t="array" ref="T76">T75</f>
        <v>0</v>
      </c>
      <c r="X76" s="1075"/>
      <c r="Z76" s="1065"/>
      <c r="AB76" s="166" t="str">
        <f>IF(B70,"X","IX")</f>
        <v>IX</v>
      </c>
      <c r="AC76" s="144" t="s">
        <v>1554</v>
      </c>
      <c r="AD76" s="143"/>
      <c r="AE76" s="166" t="s">
        <v>804</v>
      </c>
      <c r="AF76" s="941"/>
      <c r="AG76" s="941"/>
      <c r="AH76" s="832"/>
      <c r="AL76" s="665" t="s">
        <v>1589</v>
      </c>
    </row>
    <row r="77" spans="1:43" s="173" customFormat="1" ht="14.65" hidden="1" customHeight="1">
      <c r="B77" s="340"/>
      <c r="E77" s="512">
        <v>15</v>
      </c>
      <c r="F77" s="3" cm="1">
        <f t="array" aca="1" ref="F77" ca="1">OFFSET(E77,-1,1)</f>
        <v>0</v>
      </c>
      <c r="G77" s="387"/>
      <c r="I77" s="173" t="s">
        <v>743</v>
      </c>
      <c r="K77" s="59" t="str">
        <f ca="1">F77&amp;"11komm"</f>
        <v>011komm</v>
      </c>
      <c r="L77" s="618" cm="1">
        <f t="array" ref="L77">AH77</f>
        <v>0</v>
      </c>
      <c r="M77" s="387"/>
      <c r="T77" s="365" t="b" cm="1">
        <f t="array" ref="T77">T76</f>
        <v>0</v>
      </c>
      <c r="X77" s="1075"/>
      <c r="Z77" s="1065"/>
      <c r="AB77" s="166" t="str">
        <f>IF(B70,"XI","X")</f>
        <v>X</v>
      </c>
      <c r="AC77" s="151" t="s">
        <v>1590</v>
      </c>
      <c r="AD77" s="143"/>
      <c r="AE77" s="166" t="s">
        <v>804</v>
      </c>
      <c r="AF77" s="579">
        <f ca="1">AF28+AF63+AF67+AF68+AF69+AF70+AF71+AF72+AF75+AF76</f>
        <v>0</v>
      </c>
      <c r="AG77" s="579">
        <f ca="1">AG28+AG63+AG67+AG68+AG69+AG70+AG71+AG72+AG75+AG76</f>
        <v>0</v>
      </c>
      <c r="AH77" s="832"/>
      <c r="AL77" s="697" t="s">
        <v>1591</v>
      </c>
    </row>
    <row r="78" spans="1:43" ht="14.25" customHeight="1">
      <c r="E78" s="459">
        <v>15</v>
      </c>
      <c r="F78" s="36" t="str" cm="1">
        <f t="array" ref="F78">X78</f>
        <v>1</v>
      </c>
      <c r="G78" s="78"/>
      <c r="H78" s="23"/>
      <c r="S78" s="327" t="str" cm="1">
        <f t="array" ref="S78">INDEX('Общие сведения'!$AE$179:$AE$222,MATCH($X78,'Общие сведения'!$Z$179:$Z$222,0))</f>
        <v>Водоснабжение</v>
      </c>
      <c r="T78" s="365" t="b">
        <f>X78&gt;0</f>
        <v>1</v>
      </c>
      <c r="V78" s="57" t="str" cm="1">
        <f t="array" ref="V78">'Плата за негативное возд'!$AB$29</f>
        <v>Тариф 1 (Водоснабжение) - тариф на питьевую воду (Доп. признак не требуется)</v>
      </c>
      <c r="X78" s="1075" t="s">
        <v>275</v>
      </c>
      <c r="Z78" s="1065"/>
      <c r="AB78" s="293" t="str" cm="1">
        <f t="array" ref="AB78">'Плата за негативное возд'!$AB$29</f>
        <v>Тариф 1 (Водоснабжение) - тариф на питьевую воду (Доп. признак не требуется)</v>
      </c>
      <c r="AC78" s="293"/>
      <c r="AD78" s="293"/>
      <c r="AE78" s="293"/>
      <c r="AF78" s="293"/>
      <c r="AG78" s="293"/>
      <c r="AH78" s="293"/>
    </row>
    <row r="79" spans="1:43" s="935" customFormat="1" ht="86.25" customHeight="1">
      <c r="A79" s="173"/>
      <c r="B79" s="340"/>
      <c r="C79" s="173"/>
      <c r="D79" s="173"/>
      <c r="E79" s="512">
        <v>45</v>
      </c>
      <c r="F79" s="3" t="str" cm="1">
        <f t="array" aca="1" ref="F79" ca="1">OFFSET(E79,-1,1)</f>
        <v>1</v>
      </c>
      <c r="G79" s="387"/>
      <c r="H79" s="173"/>
      <c r="I79" s="57" t="s">
        <v>327</v>
      </c>
      <c r="J79" s="173"/>
      <c r="K79" s="59"/>
      <c r="L79" s="621"/>
      <c r="M79" s="387"/>
      <c r="N79" s="173"/>
      <c r="O79" s="173"/>
      <c r="P79" s="173"/>
      <c r="Q79" s="173"/>
      <c r="R79" s="173"/>
      <c r="S79" s="173"/>
      <c r="T79" s="365" t="b" cm="1">
        <f t="array" ref="T79">T78</f>
        <v>1</v>
      </c>
      <c r="U79" s="173"/>
      <c r="V79" s="173"/>
      <c r="W79" s="173"/>
      <c r="X79" s="1075"/>
      <c r="Y79" s="173"/>
      <c r="Z79" s="1065"/>
      <c r="AA79" s="173"/>
      <c r="AB79" s="576" t="s">
        <v>1417</v>
      </c>
      <c r="AC79" s="577" t="s">
        <v>1418</v>
      </c>
      <c r="AD79" s="576" t="s">
        <v>1419</v>
      </c>
      <c r="AE79" s="578" t="s">
        <v>804</v>
      </c>
      <c r="AF79" s="579">
        <f>AF81-AF80</f>
        <v>9767.9760000000097</v>
      </c>
      <c r="AG79" s="579">
        <f ca="1">AG81-AG80</f>
        <v>2223.2257599999939</v>
      </c>
      <c r="AH79" s="580" t="s">
        <v>1592</v>
      </c>
      <c r="AI79" s="173"/>
      <c r="AJ79" s="173"/>
      <c r="AK79" s="173"/>
      <c r="AL79" s="697" t="s">
        <v>1420</v>
      </c>
      <c r="AM79" s="173"/>
      <c r="AN79" s="173"/>
      <c r="AO79" s="173"/>
      <c r="AP79" s="173"/>
      <c r="AQ79" s="173"/>
    </row>
    <row r="80" spans="1:43" s="935" customFormat="1" ht="33.75" customHeight="1">
      <c r="A80" s="173"/>
      <c r="B80" s="340"/>
      <c r="C80" s="173"/>
      <c r="D80" s="173"/>
      <c r="E80" s="512">
        <v>15</v>
      </c>
      <c r="F80" s="3" t="str" cm="1">
        <f t="array" aca="1" ref="F80" ca="1">OFFSET(E80,-1,1)</f>
        <v>1</v>
      </c>
      <c r="G80" s="387"/>
      <c r="H80" s="173"/>
      <c r="I80" s="57" t="s">
        <v>461</v>
      </c>
      <c r="J80" s="173"/>
      <c r="K80" s="387"/>
      <c r="L80" s="387"/>
      <c r="M80" s="387"/>
      <c r="N80" s="173"/>
      <c r="O80" s="173"/>
      <c r="P80" s="173"/>
      <c r="Q80" s="173"/>
      <c r="R80" s="173"/>
      <c r="S80" s="173"/>
      <c r="T80" s="365" t="b" cm="1">
        <f t="array" ref="T80">T79</f>
        <v>1</v>
      </c>
      <c r="U80" s="173"/>
      <c r="V80" s="173"/>
      <c r="W80" s="173"/>
      <c r="X80" s="1075"/>
      <c r="Y80" s="173"/>
      <c r="Z80" s="1065"/>
      <c r="AA80" s="173"/>
      <c r="AB80" s="150" t="s">
        <v>275</v>
      </c>
      <c r="AC80" s="151" t="s">
        <v>1421</v>
      </c>
      <c r="AD80" s="143" t="s">
        <v>1422</v>
      </c>
      <c r="AE80" s="166" t="s">
        <v>804</v>
      </c>
      <c r="AF80" s="294">
        <v>37033.906999999999</v>
      </c>
      <c r="AG80" s="294">
        <v>37035.800000000003</v>
      </c>
      <c r="AH80" s="580" t="s">
        <v>1593</v>
      </c>
      <c r="AI80" s="173"/>
      <c r="AJ80" s="173"/>
      <c r="AK80" s="173"/>
      <c r="AL80" s="697" t="s">
        <v>1423</v>
      </c>
      <c r="AM80" s="173"/>
      <c r="AN80" s="173"/>
      <c r="AO80" s="173"/>
      <c r="AP80" s="173"/>
      <c r="AQ80" s="173"/>
    </row>
    <row r="81" spans="1:43" s="935" customFormat="1" ht="23.25" customHeight="1">
      <c r="A81" s="173"/>
      <c r="B81" s="340"/>
      <c r="C81" s="173"/>
      <c r="D81" s="173"/>
      <c r="E81" s="512">
        <v>15</v>
      </c>
      <c r="F81" s="3" t="str" cm="1">
        <f t="array" aca="1" ref="F81" ca="1">OFFSET(E81,-1,1)</f>
        <v>1</v>
      </c>
      <c r="G81" s="82"/>
      <c r="H81" s="82"/>
      <c r="I81" s="41" t="s">
        <v>465</v>
      </c>
      <c r="J81" s="173"/>
      <c r="K81" s="387"/>
      <c r="L81" s="387"/>
      <c r="M81" s="387"/>
      <c r="N81" s="173"/>
      <c r="O81" s="173"/>
      <c r="P81" s="173"/>
      <c r="Q81" s="173"/>
      <c r="R81" s="173"/>
      <c r="S81" s="173"/>
      <c r="T81" s="365" t="b" cm="1">
        <f t="array" ref="T81">T80</f>
        <v>1</v>
      </c>
      <c r="U81" s="173"/>
      <c r="V81" s="173"/>
      <c r="W81" s="173"/>
      <c r="X81" s="1075"/>
      <c r="Y81" s="173"/>
      <c r="Z81" s="1065"/>
      <c r="AA81" s="173"/>
      <c r="AB81" s="150" t="s">
        <v>285</v>
      </c>
      <c r="AC81" s="144" t="s">
        <v>1424</v>
      </c>
      <c r="AD81" s="143" t="s">
        <v>1425</v>
      </c>
      <c r="AE81" s="166" t="s">
        <v>804</v>
      </c>
      <c r="AF81" s="579">
        <f>AF82+AF83+AF95+AF99+AF100+AF101+AF102+AF106+AF107+AF108+AF109+AF112+AF113</f>
        <v>46801.883000000009</v>
      </c>
      <c r="AG81" s="579">
        <f ca="1">AG82+AG83+AG95+AG99+AG100+AG101+AG102+AG106+AG107+AG108+AG109+AG112+AG113</f>
        <v>39259.025759999997</v>
      </c>
      <c r="AH81" s="580"/>
      <c r="AI81" s="173"/>
      <c r="AJ81" s="173"/>
      <c r="AK81" s="173"/>
      <c r="AL81" s="697" t="s">
        <v>1426</v>
      </c>
      <c r="AM81" s="173"/>
      <c r="AN81" s="173"/>
      <c r="AO81" s="173"/>
      <c r="AP81" s="173"/>
      <c r="AQ81" s="173"/>
    </row>
    <row r="82" spans="1:43" ht="23.25" customHeight="1">
      <c r="E82" s="459">
        <v>22.5</v>
      </c>
      <c r="F82" s="3" t="str" cm="1">
        <f t="array" aca="1" ref="F82" ca="1">OFFSET(E82,-1,1)</f>
        <v>1</v>
      </c>
      <c r="G82" s="41" t="s">
        <v>1427</v>
      </c>
      <c r="H82" s="23"/>
      <c r="I82" s="41" t="s">
        <v>1336</v>
      </c>
      <c r="K82" s="59"/>
      <c r="L82" s="59"/>
      <c r="M82" s="59"/>
      <c r="T82" s="365" t="b" cm="1">
        <f t="array" ref="T82">T81</f>
        <v>1</v>
      </c>
      <c r="X82" s="1075"/>
      <c r="Z82" s="1065"/>
      <c r="AB82" s="152" t="s">
        <v>537</v>
      </c>
      <c r="AC82" s="146" t="s">
        <v>1428</v>
      </c>
      <c r="AD82" s="26" t="s">
        <v>1429</v>
      </c>
      <c r="AE82" s="28" t="s">
        <v>804</v>
      </c>
      <c r="AF82" s="160">
        <v>29320.720000000001</v>
      </c>
      <c r="AG82" s="160">
        <v>27976.11</v>
      </c>
      <c r="AH82" s="122" t="s">
        <v>1594</v>
      </c>
      <c r="AL82" s="665" t="s">
        <v>1430</v>
      </c>
    </row>
    <row r="83" spans="1:43" ht="21.75" customHeight="1">
      <c r="E83" s="459">
        <v>22.5</v>
      </c>
      <c r="F83" s="3" t="str" cm="1">
        <f t="array" aca="1" ref="F83" ca="1">OFFSET(E83,-1,1)</f>
        <v>1</v>
      </c>
      <c r="G83" s="41"/>
      <c r="H83" s="23"/>
      <c r="I83" s="41" t="s">
        <v>1339</v>
      </c>
      <c r="K83" s="59"/>
      <c r="L83" s="59"/>
      <c r="M83" s="59"/>
      <c r="T83" s="365" t="b" cm="1">
        <f t="array" ref="T83">T82</f>
        <v>1</v>
      </c>
      <c r="X83" s="1075"/>
      <c r="Z83" s="1065"/>
      <c r="AB83" s="152" t="s">
        <v>541</v>
      </c>
      <c r="AC83" s="146" t="s">
        <v>1431</v>
      </c>
      <c r="AD83" s="26" t="s">
        <v>1432</v>
      </c>
      <c r="AE83" s="28" t="s">
        <v>804</v>
      </c>
      <c r="AF83" s="629">
        <f>SUM(AF84:AF94)</f>
        <v>5343.5059999999994</v>
      </c>
      <c r="AG83" s="629">
        <f ca="1">SUM(AG84:AG94)</f>
        <v>4892.8107599999994</v>
      </c>
      <c r="AH83" s="122"/>
      <c r="AL83" s="665" t="s">
        <v>1433</v>
      </c>
    </row>
    <row r="84" spans="1:43" ht="33.75" customHeight="1">
      <c r="E84" s="459">
        <v>22.5</v>
      </c>
      <c r="F84" s="3" t="str" cm="1">
        <f t="array" aca="1" ref="F84" ca="1">OFFSET(E84,-1,1)</f>
        <v>1</v>
      </c>
      <c r="G84" s="41"/>
      <c r="H84" s="23"/>
      <c r="I84" s="41" t="s">
        <v>1434</v>
      </c>
      <c r="K84" s="59"/>
      <c r="L84" s="59"/>
      <c r="M84" s="59"/>
      <c r="T84" s="365" t="b" cm="1">
        <f t="array" ref="T84">T83</f>
        <v>1</v>
      </c>
      <c r="X84" s="1075"/>
      <c r="Z84" s="1065"/>
      <c r="AB84" s="561" t="s">
        <v>493</v>
      </c>
      <c r="AC84" s="559" t="s">
        <v>1435</v>
      </c>
      <c r="AD84" s="28"/>
      <c r="AE84" s="28" t="s">
        <v>804</v>
      </c>
      <c r="AF84" s="160">
        <v>3750.7779999999998</v>
      </c>
      <c r="AG84" s="160" cm="1">
        <f t="array" ref="AG84">Покупка!AG95</f>
        <v>3750.7807599999996</v>
      </c>
      <c r="AH84" s="122" t="s">
        <v>1595</v>
      </c>
      <c r="AL84" s="665" t="s">
        <v>1436</v>
      </c>
    </row>
    <row r="85" spans="1:43" ht="14.65" customHeight="1">
      <c r="E85" s="459">
        <v>15</v>
      </c>
      <c r="F85" s="3" t="str" cm="1">
        <f t="array" aca="1" ref="F85" ca="1">OFFSET(E85,-1,1)</f>
        <v>1</v>
      </c>
      <c r="G85" s="41"/>
      <c r="H85" s="23"/>
      <c r="I85" s="41" t="s">
        <v>1437</v>
      </c>
      <c r="K85" s="59"/>
      <c r="L85" s="59"/>
      <c r="M85" s="59"/>
      <c r="T85" s="365" t="b" cm="1">
        <f t="array" ref="T85">T84</f>
        <v>1</v>
      </c>
      <c r="X85" s="1075"/>
      <c r="Z85" s="1065"/>
      <c r="AB85" s="561" t="s">
        <v>1438</v>
      </c>
      <c r="AC85" s="559" t="s">
        <v>1439</v>
      </c>
      <c r="AD85" s="28"/>
      <c r="AE85" s="28" t="s">
        <v>804</v>
      </c>
      <c r="AF85" s="160" cm="1">
        <f t="array" ref="AF85">'Сырье и материалы'!AF54</f>
        <v>174.23</v>
      </c>
      <c r="AG85" s="160">
        <f ca="1">SUMIFS('Сырье и материалы'!AG$25:AG$97,'Сырье и материалы'!$F$25:$F$97,$F85,'Сырье и материалы'!$AC$25:$AC$97,"Всего по тарифу")</f>
        <v>174.23</v>
      </c>
      <c r="AH85" s="122"/>
      <c r="AL85" s="665" t="s">
        <v>1440</v>
      </c>
    </row>
    <row r="86" spans="1:43" ht="33.75" customHeight="1">
      <c r="E86" s="459">
        <v>15</v>
      </c>
      <c r="F86" s="3" t="str" cm="1">
        <f t="array" aca="1" ref="F86" ca="1">OFFSET(E86,-1,1)</f>
        <v>1</v>
      </c>
      <c r="G86" s="41"/>
      <c r="H86" s="23"/>
      <c r="I86" s="41" t="s">
        <v>1441</v>
      </c>
      <c r="K86" s="59"/>
      <c r="L86" s="59"/>
      <c r="M86" s="59"/>
      <c r="T86" s="365" t="b" cm="1">
        <f t="array" ref="T86">T85</f>
        <v>1</v>
      </c>
      <c r="X86" s="1075"/>
      <c r="Z86" s="1065"/>
      <c r="AB86" s="561" t="s">
        <v>1442</v>
      </c>
      <c r="AC86" s="559" t="s">
        <v>1443</v>
      </c>
      <c r="AD86" s="28"/>
      <c r="AE86" s="28" t="s">
        <v>804</v>
      </c>
      <c r="AF86" s="160">
        <v>862.55799999999999</v>
      </c>
      <c r="AG86" s="160" cm="1">
        <f t="array" ref="AG86">Налоги!AG42</f>
        <v>840.05</v>
      </c>
      <c r="AH86" s="122" t="s">
        <v>1596</v>
      </c>
      <c r="AL86" s="665" t="s">
        <v>1444</v>
      </c>
    </row>
    <row r="87" spans="1:43" ht="0" hidden="1" customHeight="1">
      <c r="E87" s="459">
        <v>67.5</v>
      </c>
      <c r="F87" s="3" t="str" cm="1">
        <f t="array" aca="1" ref="F87" ca="1">OFFSET(E87,-1,1)</f>
        <v>1</v>
      </c>
      <c r="G87" s="44" t="s">
        <v>1445</v>
      </c>
      <c r="H87" s="23"/>
      <c r="I87" s="78" t="s">
        <v>1446</v>
      </c>
      <c r="K87" s="59"/>
      <c r="L87" s="59"/>
      <c r="M87" s="59"/>
      <c r="T87" s="365" t="b" cm="1">
        <f t="array" ref="T87">T86</f>
        <v>1</v>
      </c>
      <c r="X87" s="1075"/>
      <c r="Z87" s="1065"/>
      <c r="AB87" s="561" t="s">
        <v>1447</v>
      </c>
      <c r="AC87" s="559" t="s">
        <v>1448</v>
      </c>
      <c r="AD87" s="28"/>
      <c r="AE87" s="28" t="s">
        <v>804</v>
      </c>
      <c r="AF87" s="160"/>
      <c r="AG87" s="160">
        <f ca="1">IF(AND(method_reg="Метод индексации",first_year=god),SUMIFS('Калькуляция (МИ)'!$AG$25:$AG$459,'Калькуляция (МИ)'!$F$25:$F$459,$F87,'Калькуляция (МИ)'!$G$25:$G$459,$G87),SUMIFS('Калькуляция (МИ корр)'!$AG$25:$AG$459,'Калькуляция (МИ корр)'!$F$25:$F$459,$F87,'Калькуляция (МИ корр)'!$G$25:$G$459,$G87))</f>
        <v>0</v>
      </c>
      <c r="AH87" s="122"/>
      <c r="AL87" s="665" t="s">
        <v>1449</v>
      </c>
    </row>
    <row r="88" spans="1:43" ht="33.75" customHeight="1">
      <c r="E88" s="459">
        <v>15</v>
      </c>
      <c r="F88" s="3" t="str" cm="1">
        <f t="array" aca="1" ref="F88" ca="1">OFFSET(E88,-1,1)</f>
        <v>1</v>
      </c>
      <c r="G88" s="44" t="s">
        <v>999</v>
      </c>
      <c r="H88" s="23"/>
      <c r="I88" s="78" t="s">
        <v>1450</v>
      </c>
      <c r="K88" s="59"/>
      <c r="L88" s="59"/>
      <c r="M88" s="59"/>
      <c r="T88" s="365" t="b" cm="1">
        <f t="array" ref="T88">T87</f>
        <v>1</v>
      </c>
      <c r="X88" s="1075"/>
      <c r="Z88" s="1065"/>
      <c r="AB88" s="561" t="s">
        <v>1451</v>
      </c>
      <c r="AC88" s="559" t="s">
        <v>1452</v>
      </c>
      <c r="AD88" s="28"/>
      <c r="AE88" s="28" t="s">
        <v>804</v>
      </c>
      <c r="AF88" s="160" cm="1">
        <f t="array" ref="AF88">Аренда!AF38</f>
        <v>555.94000000000005</v>
      </c>
      <c r="AG88" s="160" cm="1">
        <f t="array" ref="AG88">Аренда!AG38</f>
        <v>127.75</v>
      </c>
      <c r="AH88" s="122" t="s">
        <v>1597</v>
      </c>
      <c r="AL88" s="665" t="s">
        <v>1453</v>
      </c>
    </row>
    <row r="89" spans="1:43" ht="0" hidden="1" customHeight="1">
      <c r="E89" s="459">
        <v>15</v>
      </c>
      <c r="F89" s="3" t="str" cm="1">
        <f t="array" aca="1" ref="F89" ca="1">OFFSET(E89,-1,1)</f>
        <v>1</v>
      </c>
      <c r="G89" s="44" t="s">
        <v>1454</v>
      </c>
      <c r="H89" s="23"/>
      <c r="I89" s="78" t="s">
        <v>1455</v>
      </c>
      <c r="K89" s="59"/>
      <c r="L89" s="59"/>
      <c r="M89" s="59"/>
      <c r="T89" s="365" t="b" cm="1">
        <f t="array" ref="T89">T88</f>
        <v>1</v>
      </c>
      <c r="X89" s="1075"/>
      <c r="Z89" s="1065"/>
      <c r="AB89" s="561" t="s">
        <v>1456</v>
      </c>
      <c r="AC89" s="559" t="s">
        <v>1457</v>
      </c>
      <c r="AD89" s="28"/>
      <c r="AE89" s="28" t="s">
        <v>804</v>
      </c>
      <c r="AF89" s="160"/>
      <c r="AG89" s="160">
        <f ca="1">IF(AND(method_reg="Метод индексации",first_year=god),SUMIFS('Калькуляция (МИ)'!$AG$25:$AG$459,'Калькуляция (МИ)'!$F$25:$F$459,$F89,'Калькуляция (МИ)'!$G$25:$G$459,$G89),SUMIFS('Калькуляция (МИ корр)'!$AG$25:$AG$459,'Калькуляция (МИ корр)'!$F$25:$F$459,$F89,'Калькуляция (МИ корр)'!$G$25:$G$459,$G89))</f>
        <v>0</v>
      </c>
      <c r="AH89" s="122"/>
      <c r="AL89" s="665" t="s">
        <v>1458</v>
      </c>
    </row>
    <row r="90" spans="1:43" ht="0" hidden="1" customHeight="1">
      <c r="E90" s="459">
        <v>22.5</v>
      </c>
      <c r="F90" s="3" t="str" cm="1">
        <f t="array" aca="1" ref="F90" ca="1">OFFSET(E90,-1,1)</f>
        <v>1</v>
      </c>
      <c r="G90" s="44" t="s">
        <v>1459</v>
      </c>
      <c r="H90" s="23"/>
      <c r="I90" s="78" t="s">
        <v>1460</v>
      </c>
      <c r="K90" s="59"/>
      <c r="L90" s="59"/>
      <c r="M90" s="59"/>
      <c r="T90" s="365" t="b" cm="1">
        <f t="array" ref="T90">T89</f>
        <v>1</v>
      </c>
      <c r="X90" s="1075"/>
      <c r="Z90" s="1065"/>
      <c r="AB90" s="561" t="s">
        <v>1461</v>
      </c>
      <c r="AC90" s="559" t="s">
        <v>1462</v>
      </c>
      <c r="AD90" s="28"/>
      <c r="AE90" s="28" t="s">
        <v>804</v>
      </c>
      <c r="AF90" s="160"/>
      <c r="AG90" s="160">
        <f ca="1">IF(AND(method_reg="Метод индексации",first_year=god),SUMIFS('Калькуляция (МИ)'!$AG$25:$AG$459,'Калькуляция (МИ)'!$F$25:$F$459,$F90,'Калькуляция (МИ)'!$G$25:$G$459,$G90),SUMIFS('Калькуляция (МИ корр)'!$AG$25:$AG$459,'Калькуляция (МИ корр)'!$F$25:$F$459,$F90,'Калькуляция (МИ корр)'!$G$25:$G$459,$G90))</f>
        <v>0</v>
      </c>
      <c r="AH90" s="122"/>
      <c r="AL90" s="665" t="s">
        <v>1463</v>
      </c>
    </row>
    <row r="91" spans="1:43" ht="0" hidden="1" customHeight="1">
      <c r="E91" s="459">
        <v>22.5</v>
      </c>
      <c r="F91" s="3" t="str" cm="1">
        <f t="array" aca="1" ref="F91" ca="1">OFFSET(E91,-1,1)</f>
        <v>1</v>
      </c>
      <c r="G91" s="44" t="s">
        <v>1464</v>
      </c>
      <c r="H91" s="23"/>
      <c r="I91" s="78" t="s">
        <v>1465</v>
      </c>
      <c r="K91" s="59"/>
      <c r="L91" s="59"/>
      <c r="M91" s="59"/>
      <c r="T91" s="365" t="b" cm="1">
        <f t="array" ref="T91">T90</f>
        <v>1</v>
      </c>
      <c r="X91" s="1075"/>
      <c r="Z91" s="1065"/>
      <c r="AB91" s="561" t="s">
        <v>1466</v>
      </c>
      <c r="AC91" s="559" t="s">
        <v>1467</v>
      </c>
      <c r="AD91" s="630"/>
      <c r="AE91" s="28" t="s">
        <v>804</v>
      </c>
      <c r="AF91" s="160"/>
      <c r="AG91" s="160">
        <f ca="1">IF(AND(method_reg="Метод индексации",first_year=god),SUMIFS('Калькуляция (МИ)'!$AG$25:$AG$459,'Калькуляция (МИ)'!$F$25:$F$459,$F91,'Калькуляция (МИ)'!$G$25:$G$459,$G91),SUMIFS('Калькуляция (МИ корр)'!$AG$25:$AG$459,'Калькуляция (МИ корр)'!$F$25:$F$459,$F91,'Калькуляция (МИ корр)'!$G$25:$G$459,$G91))</f>
        <v>0</v>
      </c>
      <c r="AH91" s="122"/>
      <c r="AL91" s="665" t="s">
        <v>1468</v>
      </c>
    </row>
    <row r="92" spans="1:43" ht="0" hidden="1" customHeight="1">
      <c r="E92" s="459">
        <v>22.5</v>
      </c>
      <c r="F92" s="3" t="str" cm="1">
        <f t="array" aca="1" ref="F92" ca="1">OFFSET(E92,-1,1)</f>
        <v>1</v>
      </c>
      <c r="G92" s="44" t="s">
        <v>1469</v>
      </c>
      <c r="H92" s="23"/>
      <c r="I92" s="78" t="s">
        <v>1470</v>
      </c>
      <c r="K92" s="59"/>
      <c r="L92" s="59"/>
      <c r="M92" s="59"/>
      <c r="T92" s="365" t="b" cm="1">
        <f t="array" ref="T92">T91</f>
        <v>1</v>
      </c>
      <c r="X92" s="1075"/>
      <c r="Z92" s="1065"/>
      <c r="AB92" s="561" t="s">
        <v>1471</v>
      </c>
      <c r="AC92" s="559" t="s">
        <v>1472</v>
      </c>
      <c r="AD92" s="630"/>
      <c r="AE92" s="28" t="s">
        <v>804</v>
      </c>
      <c r="AF92" s="160"/>
      <c r="AG92" s="160">
        <f ca="1">IF(AND(method_reg="Метод индексации",first_year=god),SUMIFS('Калькуляция (МИ)'!$AG$25:$AG$459,'Калькуляция (МИ)'!$F$25:$F$459,$F92,'Калькуляция (МИ)'!$G$25:$G$459,$G92),SUMIFS('Калькуляция (МИ корр)'!$AG$25:$AG$459,'Калькуляция (МИ корр)'!$F$25:$F$459,$F92,'Калькуляция (МИ корр)'!$G$25:$G$459,$G92))</f>
        <v>0</v>
      </c>
      <c r="AH92" s="122"/>
      <c r="AL92" s="665" t="s">
        <v>1473</v>
      </c>
    </row>
    <row r="93" spans="1:43" ht="0" hidden="1" customHeight="1">
      <c r="E93" s="459">
        <v>15</v>
      </c>
      <c r="F93" s="3" t="str" cm="1">
        <f t="array" aca="1" ref="F93" ca="1">OFFSET(E93,-1,1)</f>
        <v>1</v>
      </c>
      <c r="G93" s="44" t="s">
        <v>1474</v>
      </c>
      <c r="H93" s="23"/>
      <c r="I93" s="78" t="s">
        <v>1475</v>
      </c>
      <c r="K93" s="59"/>
      <c r="L93" s="59"/>
      <c r="M93" s="59"/>
      <c r="T93" s="365" t="b" cm="1">
        <f t="array" ref="T93">T92</f>
        <v>1</v>
      </c>
      <c r="X93" s="1075"/>
      <c r="Z93" s="1065"/>
      <c r="AB93" s="561" t="s">
        <v>1476</v>
      </c>
      <c r="AC93" s="559" t="s">
        <v>1477</v>
      </c>
      <c r="AD93" s="630"/>
      <c r="AE93" s="28" t="s">
        <v>804</v>
      </c>
      <c r="AF93" s="160"/>
      <c r="AG93" s="160">
        <f ca="1">IF(AND(method_reg="Метод индексации",first_year=god),SUMIFS('Калькуляция (МИ)'!$AG$25:$AG$459,'Калькуляция (МИ)'!$F$25:$F$459,$F93,'Калькуляция (МИ)'!$G$25:$G$459,$G93),SUMIFS('Калькуляция (МИ корр)'!$AG$25:$AG$459,'Калькуляция (МИ корр)'!$F$25:$F$459,$F93,'Калькуляция (МИ корр)'!$G$25:$G$459,$G93))</f>
        <v>0</v>
      </c>
      <c r="AH93" s="122"/>
      <c r="AL93" s="665" t="s">
        <v>1478</v>
      </c>
    </row>
    <row r="94" spans="1:43" ht="0" hidden="1" customHeight="1">
      <c r="E94" s="459">
        <v>22.5</v>
      </c>
      <c r="F94" s="3" t="str" cm="1">
        <f t="array" aca="1" ref="F94" ca="1">OFFSET(E94,-1,1)</f>
        <v>1</v>
      </c>
      <c r="G94" s="44" t="s">
        <v>1479</v>
      </c>
      <c r="H94" s="23"/>
      <c r="I94" s="78" t="s">
        <v>1480</v>
      </c>
      <c r="K94" s="59"/>
      <c r="L94" s="59"/>
      <c r="M94" s="59"/>
      <c r="T94" s="365" t="b" cm="1">
        <f t="array" ref="T94">T93</f>
        <v>1</v>
      </c>
      <c r="X94" s="1075"/>
      <c r="Z94" s="1065"/>
      <c r="AB94" s="561" t="s">
        <v>1481</v>
      </c>
      <c r="AC94" s="559" t="s">
        <v>1482</v>
      </c>
      <c r="AD94" s="630"/>
      <c r="AE94" s="28" t="s">
        <v>804</v>
      </c>
      <c r="AF94" s="160"/>
      <c r="AG94" s="160">
        <f ca="1">IF(AND(method_reg="Метод индексации",first_year=god),SUMIFS('Калькуляция (МИ)'!$AG$25:$AG$459,'Калькуляция (МИ)'!$F$25:$F$459,$F94,'Калькуляция (МИ)'!$G$25:$G$459,$G94),SUMIFS('Калькуляция (МИ корр)'!$AG$25:$AG$459,'Калькуляция (МИ корр)'!$F$25:$F$459,$F94,'Калькуляция (МИ корр)'!$G$25:$G$459,$G94))</f>
        <v>0</v>
      </c>
      <c r="AH94" s="122"/>
      <c r="AL94" s="665" t="s">
        <v>1483</v>
      </c>
    </row>
    <row r="95" spans="1:43" ht="15.75" customHeight="1">
      <c r="E95" s="459">
        <v>15</v>
      </c>
      <c r="F95" s="3" t="str" cm="1">
        <f t="array" aca="1" ref="F95" ca="1">OFFSET(E95,-1,1)</f>
        <v>1</v>
      </c>
      <c r="G95" s="41"/>
      <c r="H95" s="23"/>
      <c r="I95" s="41" t="s">
        <v>1343</v>
      </c>
      <c r="K95" s="59"/>
      <c r="L95" s="59"/>
      <c r="M95" s="59"/>
      <c r="T95" s="365" t="b" cm="1">
        <f t="array" ref="T95">T94</f>
        <v>1</v>
      </c>
      <c r="X95" s="1075"/>
      <c r="Z95" s="1065"/>
      <c r="AB95" s="152" t="s">
        <v>545</v>
      </c>
      <c r="AC95" s="146" t="s">
        <v>1484</v>
      </c>
      <c r="AD95" s="26" t="s">
        <v>1485</v>
      </c>
      <c r="AE95" s="28" t="s">
        <v>804</v>
      </c>
      <c r="AF95" s="160">
        <v>8020.5209999999997</v>
      </c>
      <c r="AG95" s="160" cm="1">
        <f t="array" ref="AG95">ЭЭ!AG50</f>
        <v>7740.74</v>
      </c>
      <c r="AH95" s="122" t="s">
        <v>1598</v>
      </c>
      <c r="AL95" s="665" t="s">
        <v>1486</v>
      </c>
    </row>
    <row r="96" spans="1:43" ht="23.25" customHeight="1">
      <c r="E96" s="459">
        <v>22.5</v>
      </c>
      <c r="F96" s="3" t="str" cm="1">
        <f t="array" aca="1" ref="F96" ca="1">OFFSET(E96,-1,1)</f>
        <v>1</v>
      </c>
      <c r="G96" s="41"/>
      <c r="H96" s="23"/>
      <c r="I96" s="41" t="s">
        <v>1487</v>
      </c>
      <c r="K96" s="59"/>
      <c r="L96" s="59"/>
      <c r="M96" s="59"/>
      <c r="T96" s="365" t="b" cm="1">
        <f t="array" ref="T96">T95</f>
        <v>1</v>
      </c>
      <c r="X96" s="1075"/>
      <c r="Z96" s="1065"/>
      <c r="AB96" s="152" t="s">
        <v>498</v>
      </c>
      <c r="AC96" s="153" t="s">
        <v>1488</v>
      </c>
      <c r="AD96" s="26" t="s">
        <v>1489</v>
      </c>
      <c r="AE96" s="28" t="s">
        <v>853</v>
      </c>
      <c r="AF96" s="160" cm="1">
        <f t="array" ref="AF96">ЭЭ!AF54</f>
        <v>0.71057324597793226</v>
      </c>
      <c r="AG96" s="160" cm="1">
        <f t="array" ref="AG96">ЭЭ!AG54</f>
        <v>0.68104379622704236</v>
      </c>
      <c r="AH96" s="122" t="s">
        <v>1599</v>
      </c>
      <c r="AL96" s="665" t="s">
        <v>1490</v>
      </c>
    </row>
    <row r="97" spans="2:38" ht="14.65" customHeight="1">
      <c r="E97" s="459">
        <v>15</v>
      </c>
      <c r="F97" s="3" t="str" cm="1">
        <f t="array" aca="1" ref="F97" ca="1">OFFSET(E97,-1,1)</f>
        <v>1</v>
      </c>
      <c r="G97" s="41"/>
      <c r="H97" s="23"/>
      <c r="I97" s="41" t="s">
        <v>1491</v>
      </c>
      <c r="K97" s="59"/>
      <c r="L97" s="59"/>
      <c r="M97" s="59"/>
      <c r="T97" s="365" t="b" cm="1">
        <f t="array" ref="T97">T96</f>
        <v>1</v>
      </c>
      <c r="X97" s="1075"/>
      <c r="Z97" s="1065"/>
      <c r="AB97" s="152" t="s">
        <v>1492</v>
      </c>
      <c r="AC97" s="153" t="s">
        <v>1493</v>
      </c>
      <c r="AD97" s="26" t="s">
        <v>1494</v>
      </c>
      <c r="AE97" s="28" t="s">
        <v>847</v>
      </c>
      <c r="AF97" s="160" cm="1">
        <f t="array" ref="AF97">ЭЭ!AF52</f>
        <v>1468.0259999999998</v>
      </c>
      <c r="AG97" s="160" cm="1">
        <f t="array" ref="AG97">ЭЭ!AG52</f>
        <v>1468.0259999999998</v>
      </c>
      <c r="AH97" s="122" t="s">
        <v>1148</v>
      </c>
      <c r="AL97" s="665" t="s">
        <v>1495</v>
      </c>
    </row>
    <row r="98" spans="2:38" ht="23.25" customHeight="1">
      <c r="E98" s="459">
        <v>22.5</v>
      </c>
      <c r="F98" s="3" t="str" cm="1">
        <f t="array" aca="1" ref="F98" ca="1">OFFSET(E98,-1,1)</f>
        <v>1</v>
      </c>
      <c r="G98" s="41"/>
      <c r="H98" s="23"/>
      <c r="I98" s="41" t="s">
        <v>1496</v>
      </c>
      <c r="K98" s="59"/>
      <c r="L98" s="59"/>
      <c r="M98" s="59"/>
      <c r="T98" s="365" t="b" cm="1">
        <f t="array" ref="T98">T97</f>
        <v>1</v>
      </c>
      <c r="X98" s="1075"/>
      <c r="Z98" s="1065"/>
      <c r="AB98" s="152" t="s">
        <v>1497</v>
      </c>
      <c r="AC98" s="153" t="s">
        <v>1498</v>
      </c>
      <c r="AD98" s="26" t="s">
        <v>1499</v>
      </c>
      <c r="AE98" s="28" t="s">
        <v>850</v>
      </c>
      <c r="AF98" s="160" cm="1">
        <f t="array" ref="AF98">ЭЭ!AF53</f>
        <v>7.688824127154553</v>
      </c>
      <c r="AG98" s="160" cm="1">
        <f t="array" ref="AG98">ЭЭ!AG53</f>
        <v>7.7423658968383364</v>
      </c>
      <c r="AH98" s="122" t="s">
        <v>1600</v>
      </c>
      <c r="AL98" s="665" t="s">
        <v>1500</v>
      </c>
    </row>
    <row r="99" spans="2:38" ht="23.25" customHeight="1">
      <c r="E99" s="459">
        <v>22.5</v>
      </c>
      <c r="F99" s="3" t="str" cm="1">
        <f t="array" aca="1" ref="F99" ca="1">OFFSET(E99,-1,1)</f>
        <v>1</v>
      </c>
      <c r="G99" s="41" t="s">
        <v>1501</v>
      </c>
      <c r="H99" s="23"/>
      <c r="I99" s="41" t="s">
        <v>1502</v>
      </c>
      <c r="K99" s="59"/>
      <c r="L99" s="59"/>
      <c r="M99" s="59"/>
      <c r="T99" s="365" t="b" cm="1">
        <f t="array" ref="T99">T98</f>
        <v>1</v>
      </c>
      <c r="X99" s="1075"/>
      <c r="Z99" s="1065"/>
      <c r="AB99" s="152" t="s">
        <v>920</v>
      </c>
      <c r="AC99" s="146" t="s">
        <v>1503</v>
      </c>
      <c r="AD99" s="26" t="s">
        <v>1504</v>
      </c>
      <c r="AE99" s="28" t="s">
        <v>804</v>
      </c>
      <c r="AF99" s="160">
        <v>533.18799999999999</v>
      </c>
      <c r="AG99" s="160" cm="1">
        <f t="array" ref="AG99">Амортизация!AG118</f>
        <v>533.19000000000005</v>
      </c>
      <c r="AH99" s="122" t="s">
        <v>1148</v>
      </c>
      <c r="AL99" s="665" t="s">
        <v>1241</v>
      </c>
    </row>
    <row r="100" spans="2:38" ht="44.25" customHeight="1">
      <c r="E100" s="459">
        <v>15</v>
      </c>
      <c r="F100" s="3" t="str" cm="1">
        <f t="array" aca="1" ref="F100" ca="1">OFFSET(E100,-1,1)</f>
        <v>1</v>
      </c>
      <c r="G100" s="41" t="s">
        <v>1505</v>
      </c>
      <c r="H100" s="23"/>
      <c r="I100" s="41" t="s">
        <v>1506</v>
      </c>
      <c r="K100" s="59"/>
      <c r="L100" s="59"/>
      <c r="M100" s="59"/>
      <c r="T100" s="365" t="b" cm="1">
        <f t="array" ref="T100">T99</f>
        <v>1</v>
      </c>
      <c r="X100" s="1075"/>
      <c r="Z100" s="1065"/>
      <c r="AB100" s="152" t="s">
        <v>923</v>
      </c>
      <c r="AC100" s="631" t="s">
        <v>1507</v>
      </c>
      <c r="AD100" s="26" t="s">
        <v>1508</v>
      </c>
      <c r="AE100" s="28" t="s">
        <v>804</v>
      </c>
      <c r="AF100" s="160">
        <v>1423.048</v>
      </c>
      <c r="AG100" s="160">
        <v>0</v>
      </c>
      <c r="AH100" s="122" t="s">
        <v>1601</v>
      </c>
      <c r="AL100" s="665" t="s">
        <v>1509</v>
      </c>
    </row>
    <row r="101" spans="2:38" ht="33.75" customHeight="1">
      <c r="E101" s="459">
        <v>15</v>
      </c>
      <c r="F101" s="3" t="str" cm="1">
        <f t="array" aca="1" ref="F101" ca="1">OFFSET(E101,-1,1)</f>
        <v>1</v>
      </c>
      <c r="G101" s="44" t="s">
        <v>1510</v>
      </c>
      <c r="H101" s="23"/>
      <c r="I101" s="78" t="s">
        <v>1511</v>
      </c>
      <c r="K101" s="59"/>
      <c r="L101" s="59"/>
      <c r="M101" s="59"/>
      <c r="T101" s="365" t="b" cm="1">
        <f t="array" ref="T101">T100</f>
        <v>1</v>
      </c>
      <c r="X101" s="1075"/>
      <c r="Z101" s="1065"/>
      <c r="AB101" s="152" t="s">
        <v>1512</v>
      </c>
      <c r="AC101" s="146" t="s">
        <v>1513</v>
      </c>
      <c r="AD101" s="26" t="s">
        <v>1514</v>
      </c>
      <c r="AE101" s="28" t="s">
        <v>804</v>
      </c>
      <c r="AF101" s="160">
        <v>2160.9</v>
      </c>
      <c r="AG101" s="160">
        <v>1964.2670000000001</v>
      </c>
      <c r="AH101" s="122" t="s">
        <v>1602</v>
      </c>
      <c r="AL101" s="665" t="s">
        <v>1515</v>
      </c>
    </row>
    <row r="102" spans="2:38" ht="23.25" customHeight="1">
      <c r="E102" s="459">
        <v>22.5</v>
      </c>
      <c r="F102" s="3" t="str" cm="1">
        <f t="array" aca="1" ref="F102" ca="1">OFFSET(E102,-1,1)</f>
        <v>1</v>
      </c>
      <c r="G102" s="44"/>
      <c r="H102" s="23"/>
      <c r="I102" s="41" t="s">
        <v>1516</v>
      </c>
      <c r="K102" s="59"/>
      <c r="L102" s="59"/>
      <c r="M102" s="59"/>
      <c r="T102" s="365" t="b" cm="1">
        <f t="array" ref="T102">T101</f>
        <v>1</v>
      </c>
      <c r="X102" s="1075"/>
      <c r="Z102" s="1065"/>
      <c r="AB102" s="152" t="s">
        <v>1517</v>
      </c>
      <c r="AC102" s="146" t="s">
        <v>1518</v>
      </c>
      <c r="AD102" s="26"/>
      <c r="AE102" s="28" t="s">
        <v>804</v>
      </c>
      <c r="AF102" s="160">
        <f>AF103+AF104+AF105</f>
        <v>0</v>
      </c>
      <c r="AG102" s="160">
        <f>AG103+AG104+AG105</f>
        <v>0</v>
      </c>
      <c r="AH102" s="122"/>
      <c r="AL102" s="665" t="s">
        <v>1519</v>
      </c>
    </row>
    <row r="103" spans="2:38" ht="0" hidden="1" customHeight="1">
      <c r="E103" s="459">
        <v>22.5</v>
      </c>
      <c r="F103" s="3" t="str" cm="1">
        <f t="array" aca="1" ref="F103" ca="1">OFFSET(E103,-1,1)</f>
        <v>1</v>
      </c>
      <c r="G103" s="41"/>
      <c r="H103" s="23"/>
      <c r="I103" s="41" t="s">
        <v>1520</v>
      </c>
      <c r="K103" s="59"/>
      <c r="L103" s="59"/>
      <c r="M103" s="59"/>
      <c r="T103" s="365" t="b" cm="1">
        <f t="array" ref="T103">T102</f>
        <v>1</v>
      </c>
      <c r="X103" s="1075"/>
      <c r="Z103" s="1065"/>
      <c r="AB103" s="152" t="s">
        <v>1521</v>
      </c>
      <c r="AC103" s="153" t="s">
        <v>1522</v>
      </c>
      <c r="AD103" s="26" t="s">
        <v>1523</v>
      </c>
      <c r="AE103" s="28" t="s">
        <v>804</v>
      </c>
      <c r="AF103" s="160"/>
      <c r="AG103" s="160"/>
      <c r="AH103" s="122"/>
      <c r="AL103" s="665" t="s">
        <v>1524</v>
      </c>
    </row>
    <row r="104" spans="2:38" ht="44.25" customHeight="1">
      <c r="E104" s="459">
        <v>15</v>
      </c>
      <c r="F104" s="3" t="str" cm="1">
        <f t="array" aca="1" ref="F104" ca="1">OFFSET(E104,-1,1)</f>
        <v>1</v>
      </c>
      <c r="G104" s="41"/>
      <c r="H104" s="23"/>
      <c r="I104" s="41" t="s">
        <v>1525</v>
      </c>
      <c r="K104" s="59"/>
      <c r="L104" s="59"/>
      <c r="M104" s="59"/>
      <c r="T104" s="365" t="b" cm="1">
        <f t="array" ref="T104">T103</f>
        <v>1</v>
      </c>
      <c r="X104" s="1075"/>
      <c r="Z104" s="1065"/>
      <c r="AB104" s="152" t="s">
        <v>1526</v>
      </c>
      <c r="AC104" s="153" t="s">
        <v>1527</v>
      </c>
      <c r="AD104" s="26" t="s">
        <v>1528</v>
      </c>
      <c r="AE104" s="28" t="s">
        <v>804</v>
      </c>
      <c r="AF104" s="160">
        <v>0</v>
      </c>
      <c r="AG104" s="160">
        <v>0</v>
      </c>
      <c r="AH104" s="122" t="s">
        <v>1603</v>
      </c>
      <c r="AL104" s="665" t="s">
        <v>1529</v>
      </c>
    </row>
    <row r="105" spans="2:38" ht="44.25" customHeight="1">
      <c r="E105" s="459">
        <v>45</v>
      </c>
      <c r="F105" s="3" t="str" cm="1">
        <f t="array" aca="1" ref="F105" ca="1">OFFSET(E105,-1,1)</f>
        <v>1</v>
      </c>
      <c r="G105" s="41"/>
      <c r="H105" s="23"/>
      <c r="I105" s="41" t="s">
        <v>1530</v>
      </c>
      <c r="K105" s="59"/>
      <c r="L105" s="59"/>
      <c r="M105" s="59"/>
      <c r="T105" s="365" t="b" cm="1">
        <f t="array" ref="T105">T104</f>
        <v>1</v>
      </c>
      <c r="X105" s="1075"/>
      <c r="Z105" s="1065"/>
      <c r="AB105" s="152" t="s">
        <v>1531</v>
      </c>
      <c r="AC105" s="153" t="s">
        <v>1532</v>
      </c>
      <c r="AD105" s="28" t="s">
        <v>1533</v>
      </c>
      <c r="AE105" s="28" t="s">
        <v>804</v>
      </c>
      <c r="AF105" s="160"/>
      <c r="AG105" s="160"/>
      <c r="AH105" s="122"/>
      <c r="AL105" s="665" t="s">
        <v>1534</v>
      </c>
    </row>
    <row r="106" spans="2:38" ht="23.25" customHeight="1">
      <c r="E106" s="459">
        <v>22.5</v>
      </c>
      <c r="F106" s="3" t="str" cm="1">
        <f t="array" aca="1" ref="F106" ca="1">OFFSET(E106,-1,1)</f>
        <v>1</v>
      </c>
      <c r="G106" s="41"/>
      <c r="H106" s="23"/>
      <c r="I106" s="41" t="s">
        <v>1535</v>
      </c>
      <c r="K106" s="59"/>
      <c r="L106" s="59"/>
      <c r="M106" s="59"/>
      <c r="T106" s="365" t="b" cm="1">
        <f t="array" ref="T106">T105</f>
        <v>1</v>
      </c>
      <c r="X106" s="1075"/>
      <c r="Z106" s="1065"/>
      <c r="AB106" s="152" t="s">
        <v>1536</v>
      </c>
      <c r="AC106" s="146" t="s">
        <v>1537</v>
      </c>
      <c r="AD106" s="28" t="s">
        <v>1538</v>
      </c>
      <c r="AE106" s="28" t="s">
        <v>804</v>
      </c>
      <c r="AF106" s="160"/>
      <c r="AG106" s="160">
        <v>-3645.9</v>
      </c>
      <c r="AH106" s="122" t="s">
        <v>1604</v>
      </c>
      <c r="AL106" s="665" t="s">
        <v>1539</v>
      </c>
    </row>
    <row r="107" spans="2:38" ht="76.5" hidden="1" customHeight="1">
      <c r="B107" s="62" t="b">
        <f>S78="Водоотведение"</f>
        <v>0</v>
      </c>
      <c r="E107" s="459">
        <v>78.75</v>
      </c>
      <c r="F107" s="3" t="str" cm="1">
        <f t="array" aca="1" ref="F107" ca="1">OFFSET(E107,-1,1)</f>
        <v>1</v>
      </c>
      <c r="G107" s="41"/>
      <c r="H107" s="23"/>
      <c r="I107" s="41"/>
      <c r="K107" s="59"/>
      <c r="L107" s="59"/>
      <c r="M107" s="59"/>
      <c r="T107" s="365" t="b" cm="1">
        <f t="array" ref="T107">T106</f>
        <v>1</v>
      </c>
      <c r="X107" s="1075"/>
      <c r="Z107" s="1065"/>
      <c r="AB107" s="152" t="s">
        <v>1540</v>
      </c>
      <c r="AC107" s="146" t="s">
        <v>1541</v>
      </c>
      <c r="AD107" s="28"/>
      <c r="AE107" s="28" t="s">
        <v>804</v>
      </c>
      <c r="AF107" s="790"/>
      <c r="AG107" s="790"/>
      <c r="AH107" s="832"/>
      <c r="AL107" s="665" t="s">
        <v>1542</v>
      </c>
    </row>
    <row r="108" spans="2:38" ht="54.75" hidden="1" customHeight="1">
      <c r="B108" s="62" t="b" cm="1">
        <f t="array" ref="B108">B107</f>
        <v>0</v>
      </c>
      <c r="E108" s="459">
        <v>56.25</v>
      </c>
      <c r="F108" s="3" t="str" cm="1">
        <f t="array" aca="1" ref="F108" ca="1">OFFSET(E108,-1,1)</f>
        <v>1</v>
      </c>
      <c r="G108" s="41"/>
      <c r="H108" s="23"/>
      <c r="I108" s="41"/>
      <c r="K108" s="59"/>
      <c r="L108" s="59"/>
      <c r="M108" s="59"/>
      <c r="T108" s="365" t="b" cm="1">
        <f t="array" ref="T108">T107</f>
        <v>1</v>
      </c>
      <c r="X108" s="1075"/>
      <c r="Z108" s="1065"/>
      <c r="AB108" s="152" t="s">
        <v>1543</v>
      </c>
      <c r="AC108" s="146" t="s">
        <v>1544</v>
      </c>
      <c r="AD108" s="28"/>
      <c r="AE108" s="28" t="s">
        <v>804</v>
      </c>
      <c r="AF108" s="790"/>
      <c r="AG108" s="790"/>
      <c r="AH108" s="832"/>
      <c r="AL108" s="665" t="s">
        <v>1370</v>
      </c>
    </row>
    <row r="109" spans="2:38" ht="14.25" customHeight="1">
      <c r="E109" s="459">
        <v>15</v>
      </c>
      <c r="F109" s="3" t="str" cm="1">
        <f t="array" aca="1" ref="F109" ca="1">OFFSET(E109,-1,1)</f>
        <v>1</v>
      </c>
      <c r="G109" s="41"/>
      <c r="H109" s="23"/>
      <c r="I109" s="41"/>
      <c r="K109" s="59"/>
      <c r="L109" s="59"/>
      <c r="M109" s="59"/>
      <c r="T109" s="365" t="b" cm="1">
        <f t="array" ref="T109">T108</f>
        <v>1</v>
      </c>
      <c r="X109" s="1075"/>
      <c r="Z109" s="1065"/>
      <c r="AB109" s="26" t="str">
        <f>IF(B108,"2.12","2.10")</f>
        <v>2.10</v>
      </c>
      <c r="AC109" s="146" t="s">
        <v>1545</v>
      </c>
      <c r="AD109" s="28" t="s">
        <v>1546</v>
      </c>
      <c r="AE109" s="28" t="s">
        <v>804</v>
      </c>
      <c r="AF109" s="160">
        <f>AF110+AF111</f>
        <v>0</v>
      </c>
      <c r="AG109" s="160">
        <f>AG110+AG111</f>
        <v>-202.19200000000001</v>
      </c>
      <c r="AH109" s="122"/>
      <c r="AL109" s="665" t="s">
        <v>1547</v>
      </c>
    </row>
    <row r="110" spans="2:38" ht="21.75" customHeight="1">
      <c r="E110" s="459">
        <v>22.5</v>
      </c>
      <c r="F110" s="3" t="str" cm="1">
        <f t="array" aca="1" ref="F110" ca="1">OFFSET(E110,-1,1)</f>
        <v>1</v>
      </c>
      <c r="G110" s="41"/>
      <c r="H110" s="23"/>
      <c r="I110" s="41"/>
      <c r="K110" s="59"/>
      <c r="L110" s="59"/>
      <c r="M110" s="59"/>
      <c r="T110" s="365" t="b" cm="1">
        <f t="array" ref="T110">T109</f>
        <v>1</v>
      </c>
      <c r="X110" s="1075"/>
      <c r="Z110" s="1065"/>
      <c r="AB110" s="26" t="str">
        <f>AB109&amp;".1"</f>
        <v>2.10.1</v>
      </c>
      <c r="AC110" s="146" t="s">
        <v>1548</v>
      </c>
      <c r="AD110" s="28" t="s">
        <v>1546</v>
      </c>
      <c r="AE110" s="28" t="s">
        <v>804</v>
      </c>
      <c r="AF110" s="160"/>
      <c r="AG110" s="160">
        <v>-202.19200000000001</v>
      </c>
      <c r="AH110" s="122" t="s">
        <v>1604</v>
      </c>
      <c r="AL110" s="665" t="s">
        <v>1549</v>
      </c>
    </row>
    <row r="111" spans="2:38" ht="21.75" customHeight="1">
      <c r="E111" s="459">
        <v>22.5</v>
      </c>
      <c r="F111" s="3" t="str" cm="1">
        <f t="array" aca="1" ref="F111" ca="1">OFFSET(E111,-1,1)</f>
        <v>1</v>
      </c>
      <c r="G111" s="41"/>
      <c r="H111" s="23"/>
      <c r="I111" s="41"/>
      <c r="K111" s="59"/>
      <c r="L111" s="59"/>
      <c r="M111" s="59"/>
      <c r="T111" s="365" t="b" cm="1">
        <f t="array" ref="T111">T110</f>
        <v>1</v>
      </c>
      <c r="X111" s="1075"/>
      <c r="Z111" s="1065"/>
      <c r="AB111" s="26" t="str">
        <f>AB109&amp;".2"</f>
        <v>2.10.2</v>
      </c>
      <c r="AC111" s="146" t="s">
        <v>1550</v>
      </c>
      <c r="AD111" s="28" t="s">
        <v>1546</v>
      </c>
      <c r="AE111" s="28" t="s">
        <v>804</v>
      </c>
      <c r="AF111" s="160"/>
      <c r="AG111" s="160"/>
      <c r="AH111" s="122"/>
      <c r="AL111" s="665" t="s">
        <v>1551</v>
      </c>
    </row>
    <row r="112" spans="2:38" ht="14.25" customHeight="1">
      <c r="E112" s="459">
        <v>15</v>
      </c>
      <c r="F112" s="3" t="str" cm="1">
        <f t="array" aca="1" ref="F112" ca="1">OFFSET(E112,-1,1)</f>
        <v>1</v>
      </c>
      <c r="G112" s="41"/>
      <c r="H112" s="23"/>
      <c r="I112" s="41"/>
      <c r="K112" s="59"/>
      <c r="L112" s="59"/>
      <c r="M112" s="59"/>
      <c r="T112" s="365" t="b" cm="1">
        <f t="array" ref="T112">T111</f>
        <v>1</v>
      </c>
      <c r="X112" s="1075"/>
      <c r="Z112" s="1065"/>
      <c r="AB112" s="26" t="str">
        <f>IF(B108,"2.13","2.11")</f>
        <v>2.11</v>
      </c>
      <c r="AC112" s="146" t="s">
        <v>1552</v>
      </c>
      <c r="AD112" s="28" t="s">
        <v>1546</v>
      </c>
      <c r="AE112" s="28" t="s">
        <v>804</v>
      </c>
      <c r="AF112" s="160"/>
      <c r="AG112" s="160"/>
      <c r="AH112" s="122"/>
      <c r="AL112" s="665" t="s">
        <v>1553</v>
      </c>
    </row>
    <row r="113" spans="1:43" ht="14.25" customHeight="1">
      <c r="E113" s="459">
        <v>15</v>
      </c>
      <c r="F113" s="3" t="str" cm="1">
        <f t="array" aca="1" ref="F113" ca="1">OFFSET(E113,-1,1)</f>
        <v>1</v>
      </c>
      <c r="G113" s="41"/>
      <c r="H113" s="23"/>
      <c r="I113" s="41"/>
      <c r="K113" s="59"/>
      <c r="L113" s="59"/>
      <c r="M113" s="59"/>
      <c r="T113" s="365" t="b" cm="1">
        <f t="array" ref="T113">T112</f>
        <v>1</v>
      </c>
      <c r="X113" s="1075"/>
      <c r="Z113" s="1065"/>
      <c r="AB113" s="26" t="str">
        <f>IF(B108,"2.14","2.12")</f>
        <v>2.12</v>
      </c>
      <c r="AC113" s="146" t="s">
        <v>1554</v>
      </c>
      <c r="AD113" s="28" t="s">
        <v>1546</v>
      </c>
      <c r="AE113" s="28" t="s">
        <v>804</v>
      </c>
      <c r="AF113" s="160"/>
      <c r="AG113" s="160"/>
      <c r="AH113" s="122"/>
      <c r="AL113" s="665" t="s">
        <v>1555</v>
      </c>
    </row>
    <row r="114" spans="1:43" s="935" customFormat="1" ht="0" hidden="1" customHeight="1">
      <c r="A114" s="173"/>
      <c r="B114" s="340"/>
      <c r="C114" s="173"/>
      <c r="D114" s="173"/>
      <c r="E114" s="512">
        <v>22.5</v>
      </c>
      <c r="F114" s="3" t="str" cm="1">
        <f t="array" aca="1" ref="F114" ca="1">OFFSET(E114,-1,1)</f>
        <v>1</v>
      </c>
      <c r="G114" s="82"/>
      <c r="H114" s="82"/>
      <c r="I114" s="41" t="s">
        <v>328</v>
      </c>
      <c r="J114" s="173"/>
      <c r="K114" s="387"/>
      <c r="L114" s="387"/>
      <c r="M114" s="387"/>
      <c r="N114" s="173"/>
      <c r="O114" s="173"/>
      <c r="P114" s="173"/>
      <c r="Q114" s="173"/>
      <c r="R114" s="173"/>
      <c r="S114" s="173"/>
      <c r="T114" s="365" t="b" cm="1">
        <f t="array" ref="T114">T113</f>
        <v>1</v>
      </c>
      <c r="U114" s="173"/>
      <c r="V114" s="173"/>
      <c r="W114" s="173"/>
      <c r="X114" s="1075"/>
      <c r="Y114" s="173"/>
      <c r="Z114" s="1065"/>
      <c r="AA114" s="173"/>
      <c r="AB114" s="143" t="s">
        <v>1556</v>
      </c>
      <c r="AC114" s="144" t="s">
        <v>1557</v>
      </c>
      <c r="AD114" s="143" t="s">
        <v>1419</v>
      </c>
      <c r="AE114" s="166" t="s">
        <v>804</v>
      </c>
      <c r="AF114" s="579" cm="1">
        <f t="array" ref="AF114">AF115</f>
        <v>0</v>
      </c>
      <c r="AG114" s="579" cm="1">
        <f t="array" ref="AG114">AG115</f>
        <v>0</v>
      </c>
      <c r="AH114" s="580"/>
      <c r="AI114" s="173"/>
      <c r="AJ114" s="173"/>
      <c r="AK114" s="173"/>
      <c r="AL114" s="697" t="s">
        <v>1558</v>
      </c>
      <c r="AM114" s="173"/>
      <c r="AN114" s="173"/>
      <c r="AO114" s="173"/>
      <c r="AP114" s="173"/>
      <c r="AQ114" s="173"/>
    </row>
    <row r="115" spans="1:43" ht="0" hidden="1" customHeight="1">
      <c r="E115" s="459">
        <v>33.75</v>
      </c>
      <c r="F115" s="3" t="str" cm="1">
        <f t="array" aca="1" ref="F115" ca="1">OFFSET(E115,-1,1)</f>
        <v>1</v>
      </c>
      <c r="G115" s="41"/>
      <c r="H115" s="23"/>
      <c r="I115" s="41" t="s">
        <v>479</v>
      </c>
      <c r="K115" s="59"/>
      <c r="L115" s="59"/>
      <c r="M115" s="59"/>
      <c r="T115" s="365" t="b" cm="1">
        <f t="array" ref="T115">T114</f>
        <v>1</v>
      </c>
      <c r="X115" s="1075"/>
      <c r="Z115" s="1065"/>
      <c r="AB115" s="152" t="s">
        <v>275</v>
      </c>
      <c r="AC115" s="358" t="s">
        <v>1559</v>
      </c>
      <c r="AD115" s="26" t="s">
        <v>1560</v>
      </c>
      <c r="AE115" s="28" t="s">
        <v>804</v>
      </c>
      <c r="AF115" s="629">
        <f>AF116+AF117</f>
        <v>0</v>
      </c>
      <c r="AG115" s="629">
        <f>AG116+AG117</f>
        <v>0</v>
      </c>
      <c r="AH115" s="122"/>
      <c r="AL115" s="665" t="s">
        <v>1561</v>
      </c>
    </row>
    <row r="116" spans="1:43" ht="0" hidden="1" customHeight="1">
      <c r="E116" s="459">
        <v>45</v>
      </c>
      <c r="F116" s="3" t="str" cm="1">
        <f t="array" aca="1" ref="F116" ca="1">OFFSET(E116,-1,1)</f>
        <v>1</v>
      </c>
      <c r="G116" s="41"/>
      <c r="H116" s="23"/>
      <c r="I116" s="41" t="s">
        <v>1562</v>
      </c>
      <c r="K116" s="59"/>
      <c r="L116" s="59"/>
      <c r="M116" s="59"/>
      <c r="T116" s="365" t="b" cm="1">
        <f t="array" ref="T116">T115</f>
        <v>1</v>
      </c>
      <c r="X116" s="1075"/>
      <c r="Z116" s="1065"/>
      <c r="AB116" s="152" t="s">
        <v>897</v>
      </c>
      <c r="AC116" s="146" t="s">
        <v>1563</v>
      </c>
      <c r="AD116" s="26" t="s">
        <v>1564</v>
      </c>
      <c r="AE116" s="28" t="s">
        <v>804</v>
      </c>
      <c r="AF116" s="160"/>
      <c r="AG116" s="160"/>
      <c r="AH116" s="122"/>
      <c r="AL116" s="665" t="s">
        <v>1565</v>
      </c>
    </row>
    <row r="117" spans="1:43" ht="0" hidden="1" customHeight="1">
      <c r="E117" s="459">
        <v>33.75</v>
      </c>
      <c r="F117" s="3" t="str" cm="1">
        <f t="array" aca="1" ref="F117" ca="1">OFFSET(E117,-1,1)</f>
        <v>1</v>
      </c>
      <c r="G117" s="41"/>
      <c r="H117" s="23"/>
      <c r="I117" s="41" t="s">
        <v>1566</v>
      </c>
      <c r="K117" s="59"/>
      <c r="L117" s="59"/>
      <c r="M117" s="59"/>
      <c r="T117" s="365" t="b" cm="1">
        <f t="array" ref="T117">T116</f>
        <v>1</v>
      </c>
      <c r="X117" s="1075"/>
      <c r="Z117" s="1065"/>
      <c r="AB117" s="152" t="s">
        <v>900</v>
      </c>
      <c r="AC117" s="146" t="s">
        <v>1567</v>
      </c>
      <c r="AD117" s="26" t="s">
        <v>1568</v>
      </c>
      <c r="AE117" s="28" t="s">
        <v>804</v>
      </c>
      <c r="AF117" s="160"/>
      <c r="AG117" s="160"/>
      <c r="AH117" s="122"/>
      <c r="AL117" s="665" t="s">
        <v>1569</v>
      </c>
    </row>
    <row r="118" spans="1:43" ht="33.75" customHeight="1">
      <c r="E118" s="459">
        <v>35</v>
      </c>
      <c r="F118" s="3" t="str" cm="1">
        <f t="array" aca="1" ref="F118" ca="1">OFFSET(E118,-1,1)</f>
        <v>1</v>
      </c>
      <c r="G118" s="41"/>
      <c r="H118" s="23"/>
      <c r="I118" s="41" t="s">
        <v>329</v>
      </c>
      <c r="K118" s="59" t="str">
        <f ca="1">F118&amp;"1komm"</f>
        <v>11komm</v>
      </c>
      <c r="L118" s="618" cm="1">
        <f t="array" ref="L118">AH118</f>
        <v>0</v>
      </c>
      <c r="M118" s="59"/>
      <c r="T118" s="365" t="b" cm="1">
        <f t="array" ref="T118">T117</f>
        <v>1</v>
      </c>
      <c r="X118" s="1075"/>
      <c r="Z118" s="1065"/>
      <c r="AB118" s="166" t="s">
        <v>1570</v>
      </c>
      <c r="AC118" s="144" t="s">
        <v>1571</v>
      </c>
      <c r="AD118" s="143" t="s">
        <v>1572</v>
      </c>
      <c r="AE118" s="166" t="s">
        <v>804</v>
      </c>
      <c r="AF118" s="294"/>
      <c r="AG118" s="294"/>
      <c r="AH118" s="122"/>
      <c r="AL118" s="665" t="s">
        <v>1573</v>
      </c>
    </row>
    <row r="119" spans="1:43" ht="138.75" customHeight="1">
      <c r="E119" s="459">
        <v>110</v>
      </c>
      <c r="F119" s="3" t="str" cm="1">
        <f t="array" aca="1" ref="F119" ca="1">OFFSET(E119,-1,1)</f>
        <v>1</v>
      </c>
      <c r="G119" s="41"/>
      <c r="H119" s="23"/>
      <c r="I119" s="41" t="s">
        <v>331</v>
      </c>
      <c r="K119" s="59" t="str">
        <f ca="1">F119&amp;"2komm"</f>
        <v>12komm</v>
      </c>
      <c r="L119" s="618" cm="1">
        <f t="array" ref="L119">AH119</f>
        <v>0</v>
      </c>
      <c r="M119" s="59"/>
      <c r="T119" s="365" t="b" cm="1">
        <f t="array" ref="T119">T118</f>
        <v>1</v>
      </c>
      <c r="X119" s="1075"/>
      <c r="Z119" s="1065"/>
      <c r="AB119" s="166" t="s">
        <v>1574</v>
      </c>
      <c r="AC119" s="144" t="s">
        <v>1575</v>
      </c>
      <c r="AD119" s="143" t="s">
        <v>1576</v>
      </c>
      <c r="AE119" s="166" t="s">
        <v>804</v>
      </c>
      <c r="AF119" s="294"/>
      <c r="AG119" s="294"/>
      <c r="AH119" s="122"/>
      <c r="AL119" s="665" t="s">
        <v>1014</v>
      </c>
    </row>
    <row r="120" spans="1:43" ht="76.5" hidden="1" customHeight="1">
      <c r="B120" s="62" t="b">
        <f>S78="Водоотведение"</f>
        <v>0</v>
      </c>
      <c r="E120" s="459">
        <v>78.75</v>
      </c>
      <c r="F120" s="3" t="str" cm="1">
        <f t="array" aca="1" ref="F120" ca="1">OFFSET(E120,-1,1)</f>
        <v>1</v>
      </c>
      <c r="H120" s="2"/>
      <c r="I120" s="57" t="s">
        <v>330</v>
      </c>
      <c r="K120" s="59" t="str">
        <f ca="1">F120&amp;"3komm"</f>
        <v>13komm</v>
      </c>
      <c r="L120" s="618" cm="1">
        <f t="array" ref="L120">AH120</f>
        <v>0</v>
      </c>
      <c r="M120" s="59"/>
      <c r="T120" s="365" t="b" cm="1">
        <f t="array" ref="T120">T119</f>
        <v>1</v>
      </c>
      <c r="X120" s="1075"/>
      <c r="Z120" s="1065"/>
      <c r="AB120" s="166" t="s">
        <v>1577</v>
      </c>
      <c r="AC120" s="144" t="s">
        <v>1578</v>
      </c>
      <c r="AD120" s="143"/>
      <c r="AE120" s="166" t="s">
        <v>804</v>
      </c>
      <c r="AF120" s="941"/>
      <c r="AG120" s="783">
        <f ca="1">IFERROR(SUMIFS('Плата за негативное возд'!$AL$24:$AL$35,'Плата за негативное возд'!$F$24:$F$35,F120,'Плата за негативное возд'!$AB$24:$AB$35,"1"),0)</f>
        <v>0</v>
      </c>
      <c r="AH120" s="832"/>
      <c r="AL120" s="665" t="s">
        <v>1579</v>
      </c>
    </row>
    <row r="121" spans="1:43" ht="54.75" hidden="1" customHeight="1">
      <c r="B121" s="62" t="b" cm="1">
        <f t="array" ref="B121">B120</f>
        <v>0</v>
      </c>
      <c r="E121" s="459">
        <v>56.25</v>
      </c>
      <c r="F121" s="3" t="str" cm="1">
        <f t="array" aca="1" ref="F121" ca="1">OFFSET(E121,-1,1)</f>
        <v>1</v>
      </c>
      <c r="H121" s="2"/>
      <c r="I121" s="57" t="s">
        <v>511</v>
      </c>
      <c r="K121" s="59" t="str">
        <f ca="1">F121&amp;"4komm"</f>
        <v>14komm</v>
      </c>
      <c r="L121" s="618" cm="1">
        <f t="array" ref="L121">AH121</f>
        <v>0</v>
      </c>
      <c r="M121" s="59"/>
      <c r="T121" s="365" t="b" cm="1">
        <f t="array" ref="T121">T120</f>
        <v>1</v>
      </c>
      <c r="X121" s="1075"/>
      <c r="Z121" s="1065"/>
      <c r="AB121" s="166" t="s">
        <v>1580</v>
      </c>
      <c r="AC121" s="144" t="s">
        <v>1581</v>
      </c>
      <c r="AD121" s="143"/>
      <c r="AE121" s="166" t="s">
        <v>804</v>
      </c>
      <c r="AF121" s="941"/>
      <c r="AG121" s="783">
        <f ca="1">IFERROR(SUMIFS('Плата за негативное возд'!$AL$24:$AL$35,'Плата за негативное возд'!$F$24:$F$35,F121,'Плата за негативное возд'!$AB$24:$AB$35,"2"),0)</f>
        <v>0</v>
      </c>
      <c r="AH121" s="832"/>
      <c r="AL121" s="665" t="s">
        <v>1582</v>
      </c>
    </row>
    <row r="122" spans="1:43" ht="12.75" customHeight="1">
      <c r="E122" s="459">
        <v>15</v>
      </c>
      <c r="F122" s="3" t="str" cm="1">
        <f t="array" aca="1" ref="F122" ca="1">OFFSET(E122,-1,1)</f>
        <v>1</v>
      </c>
      <c r="H122" s="23"/>
      <c r="I122" s="57" t="s">
        <v>514</v>
      </c>
      <c r="K122" s="59" t="str">
        <f ca="1">F122&amp;"5komm"</f>
        <v>15komm</v>
      </c>
      <c r="L122" s="618" cm="1">
        <f t="array" ref="L122">AH122</f>
        <v>0</v>
      </c>
      <c r="M122" s="59"/>
      <c r="T122" s="365" t="b" cm="1">
        <f t="array" ref="T122">T121</f>
        <v>1</v>
      </c>
      <c r="X122" s="1075"/>
      <c r="Z122" s="1065"/>
      <c r="AB122" s="166" t="str">
        <f>IF(B121,"VII","V")</f>
        <v>V</v>
      </c>
      <c r="AC122" s="144" t="s">
        <v>1583</v>
      </c>
      <c r="AD122" s="143"/>
      <c r="AE122" s="166" t="s">
        <v>804</v>
      </c>
      <c r="AF122" s="294"/>
      <c r="AG122" s="294"/>
      <c r="AH122" s="122"/>
      <c r="AL122" s="665" t="s">
        <v>1584</v>
      </c>
    </row>
    <row r="123" spans="1:43" s="935" customFormat="1" ht="23.25" customHeight="1">
      <c r="A123" s="173"/>
      <c r="B123" s="340"/>
      <c r="C123" s="173"/>
      <c r="D123" s="173"/>
      <c r="E123" s="512">
        <v>15</v>
      </c>
      <c r="F123" s="3" t="str" cm="1">
        <f t="array" aca="1" ref="F123" ca="1">OFFSET(E123,-1,1)</f>
        <v>1</v>
      </c>
      <c r="G123" s="387"/>
      <c r="H123" s="173"/>
      <c r="I123" s="173" t="s">
        <v>562</v>
      </c>
      <c r="J123" s="173"/>
      <c r="K123" s="59" t="str">
        <f ca="1">F123&amp;"6komm"</f>
        <v>16komm</v>
      </c>
      <c r="L123" s="618" cm="1">
        <f t="array" ref="L123">AH123</f>
        <v>0</v>
      </c>
      <c r="M123" s="387"/>
      <c r="N123" s="173"/>
      <c r="O123" s="173"/>
      <c r="P123" s="173"/>
      <c r="Q123" s="173"/>
      <c r="R123" s="173"/>
      <c r="S123" s="173"/>
      <c r="T123" s="365" t="b" cm="1">
        <f t="array" ref="T123">T122</f>
        <v>1</v>
      </c>
      <c r="U123" s="173"/>
      <c r="V123" s="173"/>
      <c r="W123" s="173"/>
      <c r="X123" s="1075"/>
      <c r="Y123" s="173"/>
      <c r="Z123" s="1065"/>
      <c r="AA123" s="173"/>
      <c r="AB123" s="166" t="str">
        <f>IF(B121,"VIII","VI")</f>
        <v>VI</v>
      </c>
      <c r="AC123" s="144" t="s">
        <v>1545</v>
      </c>
      <c r="AD123" s="143"/>
      <c r="AE123" s="166" t="s">
        <v>804</v>
      </c>
      <c r="AF123" s="294">
        <f>AF124+AF125</f>
        <v>-569.77300000000002</v>
      </c>
      <c r="AG123" s="294" cm="1">
        <f t="array" ref="AG123">AG124</f>
        <v>-432.06299999999999</v>
      </c>
      <c r="AH123" s="122"/>
      <c r="AI123" s="173"/>
      <c r="AJ123" s="173"/>
      <c r="AK123" s="173"/>
      <c r="AL123" s="697" t="s">
        <v>1585</v>
      </c>
      <c r="AM123" s="173"/>
      <c r="AN123" s="173"/>
      <c r="AO123" s="173"/>
      <c r="AP123" s="173"/>
      <c r="AQ123" s="173"/>
    </row>
    <row r="124" spans="1:43" ht="33.75" customHeight="1">
      <c r="E124" s="459">
        <v>22.5</v>
      </c>
      <c r="F124" s="3" t="str" cm="1">
        <f t="array" aca="1" ref="F124" ca="1">OFFSET(E124,-1,1)</f>
        <v>1</v>
      </c>
      <c r="H124" s="23"/>
      <c r="I124" s="57" t="s">
        <v>565</v>
      </c>
      <c r="K124" s="59" t="str">
        <f ca="1">F124&amp;"7komm"</f>
        <v>17komm</v>
      </c>
      <c r="L124" s="618" t="str" cm="1">
        <f t="array" ref="L124">AH124</f>
        <v>На уровне плановой сметы. Организацией рассчитано по разнице от плановой выручке 37603,677 т.р. и фактической выручкой 37033,907 т.р.</v>
      </c>
      <c r="M124" s="59"/>
      <c r="T124" s="365" t="b" cm="1">
        <f t="array" ref="T124">T123</f>
        <v>1</v>
      </c>
      <c r="X124" s="1075"/>
      <c r="Z124" s="1065"/>
      <c r="AB124" s="28">
        <v>1</v>
      </c>
      <c r="AC124" s="146" t="s">
        <v>1548</v>
      </c>
      <c r="AD124" s="26"/>
      <c r="AE124" s="28" t="s">
        <v>804</v>
      </c>
      <c r="AF124" s="160">
        <v>-569.77300000000002</v>
      </c>
      <c r="AG124" s="160">
        <v>-432.06299999999999</v>
      </c>
      <c r="AH124" s="122" t="s">
        <v>1605</v>
      </c>
      <c r="AL124" s="665" t="s">
        <v>1586</v>
      </c>
    </row>
    <row r="125" spans="1:43" ht="21.75" customHeight="1">
      <c r="E125" s="459">
        <v>22.5</v>
      </c>
      <c r="F125" s="3" t="str" cm="1">
        <f t="array" aca="1" ref="F125" ca="1">OFFSET(E125,-1,1)</f>
        <v>1</v>
      </c>
      <c r="H125" s="23"/>
      <c r="I125" s="57" t="s">
        <v>569</v>
      </c>
      <c r="K125" s="59" t="str">
        <f ca="1">F125&amp;"8komm"</f>
        <v>18komm</v>
      </c>
      <c r="L125" s="618" cm="1">
        <f t="array" ref="L125">AH125</f>
        <v>0</v>
      </c>
      <c r="M125" s="59"/>
      <c r="T125" s="365" t="b" cm="1">
        <f t="array" ref="T125">T124</f>
        <v>1</v>
      </c>
      <c r="X125" s="1075"/>
      <c r="Z125" s="1065"/>
      <c r="AB125" s="28">
        <v>2</v>
      </c>
      <c r="AC125" s="146" t="s">
        <v>1550</v>
      </c>
      <c r="AD125" s="26"/>
      <c r="AE125" s="28" t="s">
        <v>804</v>
      </c>
      <c r="AF125" s="160"/>
      <c r="AG125" s="160"/>
      <c r="AH125" s="122"/>
      <c r="AL125" s="665" t="s">
        <v>1587</v>
      </c>
    </row>
    <row r="126" spans="1:43" ht="23.25" customHeight="1">
      <c r="E126" s="459">
        <v>15</v>
      </c>
      <c r="F126" s="3" t="str" cm="1">
        <f t="array" aca="1" ref="F126" ca="1">OFFSET(E126,-1,1)</f>
        <v>1</v>
      </c>
      <c r="H126" s="23"/>
      <c r="I126" s="57" t="s">
        <v>577</v>
      </c>
      <c r="K126" s="59" t="str">
        <f ca="1">F126&amp;"9komm"</f>
        <v>19komm</v>
      </c>
      <c r="L126" s="618" cm="1">
        <f t="array" ref="L126">AH126</f>
        <v>0</v>
      </c>
      <c r="M126" s="59"/>
      <c r="T126" s="365" t="b" cm="1">
        <f t="array" ref="T126">T125</f>
        <v>1</v>
      </c>
      <c r="X126" s="1075"/>
      <c r="Z126" s="1065"/>
      <c r="AB126" s="166" t="str">
        <f>IF(B121,"IX","VIII")</f>
        <v>VIII</v>
      </c>
      <c r="AC126" s="144" t="s">
        <v>1552</v>
      </c>
      <c r="AD126" s="143"/>
      <c r="AE126" s="166" t="s">
        <v>804</v>
      </c>
      <c r="AF126" s="294"/>
      <c r="AG126" s="294"/>
      <c r="AH126" s="122"/>
      <c r="AL126" s="665" t="s">
        <v>1588</v>
      </c>
    </row>
    <row r="127" spans="1:43" ht="23.25" customHeight="1">
      <c r="E127" s="459">
        <v>15</v>
      </c>
      <c r="F127" s="3" t="str" cm="1">
        <f t="array" aca="1" ref="F127" ca="1">OFFSET(E127,-1,1)</f>
        <v>1</v>
      </c>
      <c r="H127" s="23"/>
      <c r="I127" s="57" t="s">
        <v>585</v>
      </c>
      <c r="K127" s="59" t="str">
        <f ca="1">F127&amp;"10komm"</f>
        <v>110komm</v>
      </c>
      <c r="L127" s="618" cm="1">
        <f t="array" ref="L127">AH127</f>
        <v>0</v>
      </c>
      <c r="M127" s="59"/>
      <c r="T127" s="365" t="b" cm="1">
        <f t="array" ref="T127">T126</f>
        <v>1</v>
      </c>
      <c r="X127" s="1075"/>
      <c r="Z127" s="1065"/>
      <c r="AB127" s="166" t="str">
        <f>IF(B121,"X","IX")</f>
        <v>IX</v>
      </c>
      <c r="AC127" s="144" t="s">
        <v>1554</v>
      </c>
      <c r="AD127" s="143"/>
      <c r="AE127" s="166" t="s">
        <v>804</v>
      </c>
      <c r="AF127" s="294"/>
      <c r="AG127" s="294"/>
      <c r="AH127" s="122"/>
      <c r="AL127" s="665" t="s">
        <v>1589</v>
      </c>
    </row>
    <row r="128" spans="1:43" s="935" customFormat="1" ht="14.25" customHeight="1">
      <c r="A128" s="173"/>
      <c r="B128" s="340"/>
      <c r="C128" s="173"/>
      <c r="D128" s="173"/>
      <c r="E128" s="512">
        <v>15</v>
      </c>
      <c r="F128" s="3" t="str" cm="1">
        <f t="array" aca="1" ref="F128" ca="1">OFFSET(E128,-1,1)</f>
        <v>1</v>
      </c>
      <c r="G128" s="387"/>
      <c r="H128" s="173"/>
      <c r="I128" s="173" t="s">
        <v>743</v>
      </c>
      <c r="J128" s="173"/>
      <c r="K128" s="59" t="str">
        <f ca="1">F128&amp;"11komm"</f>
        <v>111komm</v>
      </c>
      <c r="L128" s="618" cm="1">
        <f t="array" ref="L128">AH128</f>
        <v>0</v>
      </c>
      <c r="M128" s="387"/>
      <c r="N128" s="173"/>
      <c r="O128" s="173"/>
      <c r="P128" s="173"/>
      <c r="Q128" s="173"/>
      <c r="R128" s="173"/>
      <c r="S128" s="173"/>
      <c r="T128" s="365" t="b" cm="1">
        <f t="array" ref="T128">T127</f>
        <v>1</v>
      </c>
      <c r="U128" s="173"/>
      <c r="V128" s="173"/>
      <c r="W128" s="173"/>
      <c r="X128" s="1075"/>
      <c r="Y128" s="173"/>
      <c r="Z128" s="1065"/>
      <c r="AA128" s="173"/>
      <c r="AB128" s="166" t="str">
        <f>IF(B121,"XI","X")</f>
        <v>X</v>
      </c>
      <c r="AC128" s="151" t="s">
        <v>1590</v>
      </c>
      <c r="AD128" s="143"/>
      <c r="AE128" s="166" t="s">
        <v>804</v>
      </c>
      <c r="AF128" s="579">
        <f>AF79+AF114+AF118+AF119+AF120+AF121+AF122+AF123+AF126+AF127</f>
        <v>9198.2030000000104</v>
      </c>
      <c r="AG128" s="579">
        <f ca="1">AG79+AG114+AG118+AG119+AG120+AG121+AG122+AG123+AG126+AG127</f>
        <v>1791.1627599999938</v>
      </c>
      <c r="AH128" s="122"/>
      <c r="AI128" s="173"/>
      <c r="AJ128" s="173"/>
      <c r="AK128" s="173"/>
      <c r="AL128" s="697" t="s">
        <v>1591</v>
      </c>
      <c r="AM128" s="173"/>
      <c r="AN128" s="173"/>
      <c r="AO128" s="173"/>
      <c r="AP128" s="173"/>
      <c r="AQ128" s="173"/>
    </row>
    <row r="129" spans="1:43" ht="14.25" customHeight="1">
      <c r="E129" s="459">
        <v>15</v>
      </c>
      <c r="F129" s="36" t="str" cm="1">
        <f t="array" ref="F129">X129</f>
        <v>2</v>
      </c>
      <c r="G129" s="78"/>
      <c r="H129" s="23"/>
      <c r="S129" s="327" t="str" cm="1">
        <f t="array" ref="S129">INDEX('Общие сведения'!$AE$179:$AE$222,MATCH($X129,'Общие сведения'!$Z$179:$Z$222,0))</f>
        <v>Водоотведение</v>
      </c>
      <c r="T129" s="365" t="b">
        <f>X129&gt;0</f>
        <v>1</v>
      </c>
      <c r="V129" s="57" t="str" cm="1">
        <f t="array" ref="V129">'Плата за негативное возд'!$AB$32</f>
        <v>Тариф 2 (Водоотведение) - тариф на водоотведение (Доп. признак не требуется)</v>
      </c>
      <c r="X129" s="1075" t="s">
        <v>285</v>
      </c>
      <c r="Z129" s="1065"/>
      <c r="AB129" s="293" t="str" cm="1">
        <f t="array" ref="AB129">'Плата за негативное возд'!$AB$32</f>
        <v>Тариф 2 (Водоотведение) - тариф на водоотведение (Доп. признак не требуется)</v>
      </c>
      <c r="AC129" s="293"/>
      <c r="AD129" s="293"/>
      <c r="AE129" s="293"/>
      <c r="AF129" s="293"/>
      <c r="AG129" s="293"/>
      <c r="AH129" s="293"/>
    </row>
    <row r="130" spans="1:43" s="935" customFormat="1" ht="86.25" customHeight="1">
      <c r="A130" s="173"/>
      <c r="B130" s="340"/>
      <c r="C130" s="173"/>
      <c r="D130" s="173"/>
      <c r="E130" s="512">
        <v>45</v>
      </c>
      <c r="F130" s="3" t="str" cm="1">
        <f t="array" aca="1" ref="F130" ca="1">OFFSET(E130,-1,1)</f>
        <v>2</v>
      </c>
      <c r="G130" s="387"/>
      <c r="H130" s="173"/>
      <c r="I130" s="57" t="s">
        <v>327</v>
      </c>
      <c r="J130" s="173"/>
      <c r="K130" s="59"/>
      <c r="L130" s="621"/>
      <c r="M130" s="387"/>
      <c r="N130" s="173"/>
      <c r="O130" s="173"/>
      <c r="P130" s="173"/>
      <c r="Q130" s="173"/>
      <c r="R130" s="173"/>
      <c r="S130" s="173"/>
      <c r="T130" s="365" t="b" cm="1">
        <f t="array" ref="T130">T129</f>
        <v>1</v>
      </c>
      <c r="U130" s="173"/>
      <c r="V130" s="173"/>
      <c r="W130" s="173"/>
      <c r="X130" s="1075"/>
      <c r="Y130" s="173"/>
      <c r="Z130" s="1065"/>
      <c r="AA130" s="173"/>
      <c r="AB130" s="576" t="s">
        <v>1417</v>
      </c>
      <c r="AC130" s="577" t="s">
        <v>1418</v>
      </c>
      <c r="AD130" s="576" t="s">
        <v>1419</v>
      </c>
      <c r="AE130" s="578" t="s">
        <v>804</v>
      </c>
      <c r="AF130" s="579">
        <f>AF132-AF131</f>
        <v>5039.9004600000044</v>
      </c>
      <c r="AG130" s="579">
        <f ca="1">AG132-AG131</f>
        <v>-113.44453999999678</v>
      </c>
      <c r="AH130" s="580" t="s">
        <v>1592</v>
      </c>
      <c r="AI130" s="173"/>
      <c r="AJ130" s="173"/>
      <c r="AK130" s="173"/>
      <c r="AL130" s="697" t="s">
        <v>1420</v>
      </c>
      <c r="AM130" s="173"/>
      <c r="AN130" s="173"/>
      <c r="AO130" s="173"/>
      <c r="AP130" s="173"/>
      <c r="AQ130" s="173"/>
    </row>
    <row r="131" spans="1:43" s="935" customFormat="1" ht="33.75" customHeight="1">
      <c r="A131" s="173"/>
      <c r="B131" s="340"/>
      <c r="C131" s="173"/>
      <c r="D131" s="173"/>
      <c r="E131" s="512">
        <v>15</v>
      </c>
      <c r="F131" s="3" t="str" cm="1">
        <f t="array" aca="1" ref="F131" ca="1">OFFSET(E131,-1,1)</f>
        <v>2</v>
      </c>
      <c r="G131" s="387"/>
      <c r="H131" s="173"/>
      <c r="I131" s="57" t="s">
        <v>461</v>
      </c>
      <c r="J131" s="173"/>
      <c r="K131" s="387"/>
      <c r="L131" s="387"/>
      <c r="M131" s="387"/>
      <c r="N131" s="173"/>
      <c r="O131" s="173"/>
      <c r="P131" s="173"/>
      <c r="Q131" s="173"/>
      <c r="R131" s="173"/>
      <c r="S131" s="173"/>
      <c r="T131" s="365" t="b" cm="1">
        <f t="array" ref="T131">T130</f>
        <v>1</v>
      </c>
      <c r="U131" s="173"/>
      <c r="V131" s="173"/>
      <c r="W131" s="173"/>
      <c r="X131" s="1075"/>
      <c r="Y131" s="173"/>
      <c r="Z131" s="1065"/>
      <c r="AA131" s="173"/>
      <c r="AB131" s="150" t="s">
        <v>275</v>
      </c>
      <c r="AC131" s="151" t="s">
        <v>1421</v>
      </c>
      <c r="AD131" s="143" t="s">
        <v>1422</v>
      </c>
      <c r="AE131" s="166" t="s">
        <v>804</v>
      </c>
      <c r="AF131" s="294">
        <v>32899.019999999997</v>
      </c>
      <c r="AG131" s="294">
        <v>33024.519999999997</v>
      </c>
      <c r="AH131" s="580" t="s">
        <v>1593</v>
      </c>
      <c r="AI131" s="173"/>
      <c r="AJ131" s="173"/>
      <c r="AK131" s="173"/>
      <c r="AL131" s="697" t="s">
        <v>1423</v>
      </c>
      <c r="AM131" s="173"/>
      <c r="AN131" s="173"/>
      <c r="AO131" s="173"/>
      <c r="AP131" s="173"/>
      <c r="AQ131" s="173"/>
    </row>
    <row r="132" spans="1:43" s="935" customFormat="1" ht="23.25" customHeight="1">
      <c r="A132" s="173"/>
      <c r="B132" s="340"/>
      <c r="C132" s="173"/>
      <c r="D132" s="173"/>
      <c r="E132" s="512">
        <v>15</v>
      </c>
      <c r="F132" s="3" t="str" cm="1">
        <f t="array" aca="1" ref="F132" ca="1">OFFSET(E132,-1,1)</f>
        <v>2</v>
      </c>
      <c r="G132" s="82"/>
      <c r="H132" s="82"/>
      <c r="I132" s="41" t="s">
        <v>465</v>
      </c>
      <c r="J132" s="173"/>
      <c r="K132" s="387"/>
      <c r="L132" s="387"/>
      <c r="M132" s="387"/>
      <c r="N132" s="173"/>
      <c r="O132" s="173"/>
      <c r="P132" s="173"/>
      <c r="Q132" s="173"/>
      <c r="R132" s="173"/>
      <c r="S132" s="173"/>
      <c r="T132" s="365" t="b" cm="1">
        <f t="array" ref="T132">T131</f>
        <v>1</v>
      </c>
      <c r="U132" s="173"/>
      <c r="V132" s="173"/>
      <c r="W132" s="173"/>
      <c r="X132" s="1075"/>
      <c r="Y132" s="173"/>
      <c r="Z132" s="1065"/>
      <c r="AA132" s="173"/>
      <c r="AB132" s="150" t="s">
        <v>285</v>
      </c>
      <c r="AC132" s="144" t="s">
        <v>1424</v>
      </c>
      <c r="AD132" s="143" t="s">
        <v>1425</v>
      </c>
      <c r="AE132" s="166" t="s">
        <v>804</v>
      </c>
      <c r="AF132" s="579">
        <f>AF133+AF134+AF146+AF150+AF151+AF152+AF153+AF157+AF158+AF159+AF160+AF163+AF164</f>
        <v>37938.920460000001</v>
      </c>
      <c r="AG132" s="579">
        <f ca="1">AG133+AG134+AG146+AG150+AG151+AG152+AG153+AG157+AG158+AG159+AG160+AG163+AG164</f>
        <v>32911.07546</v>
      </c>
      <c r="AH132" s="580"/>
      <c r="AI132" s="173"/>
      <c r="AJ132" s="173"/>
      <c r="AK132" s="173"/>
      <c r="AL132" s="697" t="s">
        <v>1426</v>
      </c>
      <c r="AM132" s="173"/>
      <c r="AN132" s="173"/>
      <c r="AO132" s="173"/>
      <c r="AP132" s="173"/>
      <c r="AQ132" s="173"/>
    </row>
    <row r="133" spans="1:43" ht="23.25" customHeight="1">
      <c r="E133" s="459">
        <v>22.5</v>
      </c>
      <c r="F133" s="3" t="str" cm="1">
        <f t="array" aca="1" ref="F133" ca="1">OFFSET(E133,-1,1)</f>
        <v>2</v>
      </c>
      <c r="G133" s="41" t="s">
        <v>1427</v>
      </c>
      <c r="H133" s="23"/>
      <c r="I133" s="41" t="s">
        <v>1336</v>
      </c>
      <c r="K133" s="59"/>
      <c r="L133" s="59"/>
      <c r="M133" s="59"/>
      <c r="T133" s="365" t="b" cm="1">
        <f t="array" ref="T133">T132</f>
        <v>1</v>
      </c>
      <c r="X133" s="1075"/>
      <c r="Z133" s="1065"/>
      <c r="AB133" s="152" t="s">
        <v>537</v>
      </c>
      <c r="AC133" s="146" t="s">
        <v>1428</v>
      </c>
      <c r="AD133" s="26" t="s">
        <v>1429</v>
      </c>
      <c r="AE133" s="28" t="s">
        <v>804</v>
      </c>
      <c r="AF133" s="160">
        <v>30613.67</v>
      </c>
      <c r="AG133" s="160">
        <v>30616.18</v>
      </c>
      <c r="AH133" s="122" t="s">
        <v>1594</v>
      </c>
      <c r="AL133" s="665" t="s">
        <v>1430</v>
      </c>
    </row>
    <row r="134" spans="1:43" ht="21.75" customHeight="1">
      <c r="E134" s="459">
        <v>22.5</v>
      </c>
      <c r="F134" s="3" t="str" cm="1">
        <f t="array" aca="1" ref="F134" ca="1">OFFSET(E134,-1,1)</f>
        <v>2</v>
      </c>
      <c r="G134" s="41"/>
      <c r="H134" s="23"/>
      <c r="I134" s="41" t="s">
        <v>1339</v>
      </c>
      <c r="K134" s="59"/>
      <c r="L134" s="59"/>
      <c r="M134" s="59"/>
      <c r="T134" s="365" t="b" cm="1">
        <f t="array" ref="T134">T133</f>
        <v>1</v>
      </c>
      <c r="X134" s="1075"/>
      <c r="Z134" s="1065"/>
      <c r="AB134" s="152" t="s">
        <v>541</v>
      </c>
      <c r="AC134" s="146" t="s">
        <v>1431</v>
      </c>
      <c r="AD134" s="26" t="s">
        <v>1432</v>
      </c>
      <c r="AE134" s="28" t="s">
        <v>804</v>
      </c>
      <c r="AF134" s="629">
        <f>SUM(AF135:AF145)</f>
        <v>1932.4654599999999</v>
      </c>
      <c r="AG134" s="629">
        <f ca="1">SUM(AG135:AG145)</f>
        <v>1361.60546</v>
      </c>
      <c r="AH134" s="122"/>
      <c r="AL134" s="665" t="s">
        <v>1433</v>
      </c>
    </row>
    <row r="135" spans="1:43" ht="33.75" customHeight="1">
      <c r="E135" s="459">
        <v>22.5</v>
      </c>
      <c r="F135" s="3" t="str" cm="1">
        <f t="array" aca="1" ref="F135" ca="1">OFFSET(E135,-1,1)</f>
        <v>2</v>
      </c>
      <c r="G135" s="41"/>
      <c r="H135" s="23"/>
      <c r="I135" s="41" t="s">
        <v>1434</v>
      </c>
      <c r="K135" s="59"/>
      <c r="L135" s="59"/>
      <c r="M135" s="59"/>
      <c r="T135" s="365" t="b" cm="1">
        <f t="array" ref="T135">T134</f>
        <v>1</v>
      </c>
      <c r="X135" s="1075"/>
      <c r="Z135" s="1065"/>
      <c r="AB135" s="561" t="s">
        <v>493</v>
      </c>
      <c r="AC135" s="559" t="s">
        <v>1435</v>
      </c>
      <c r="AD135" s="28"/>
      <c r="AE135" s="28" t="s">
        <v>804</v>
      </c>
      <c r="AF135" s="160" cm="1">
        <f t="array" ref="AF135">Покупка!AF177</f>
        <v>929.87545999999998</v>
      </c>
      <c r="AG135" s="160" cm="1">
        <f t="array" ref="AG135">Покупка!AG213</f>
        <v>929.87545999999998</v>
      </c>
      <c r="AH135" s="122" t="s">
        <v>1595</v>
      </c>
      <c r="AL135" s="665" t="s">
        <v>1436</v>
      </c>
    </row>
    <row r="136" spans="1:43" ht="14.25" customHeight="1">
      <c r="E136" s="459">
        <v>15</v>
      </c>
      <c r="F136" s="3" t="str" cm="1">
        <f t="array" aca="1" ref="F136" ca="1">OFFSET(E136,-1,1)</f>
        <v>2</v>
      </c>
      <c r="G136" s="41"/>
      <c r="H136" s="23"/>
      <c r="I136" s="41" t="s">
        <v>1437</v>
      </c>
      <c r="K136" s="59"/>
      <c r="L136" s="59"/>
      <c r="M136" s="59"/>
      <c r="T136" s="365" t="b" cm="1">
        <f t="array" ref="T136">T135</f>
        <v>1</v>
      </c>
      <c r="X136" s="1075"/>
      <c r="Z136" s="1065"/>
      <c r="AB136" s="561" t="s">
        <v>1438</v>
      </c>
      <c r="AC136" s="559" t="s">
        <v>1439</v>
      </c>
      <c r="AD136" s="28"/>
      <c r="AE136" s="28" t="s">
        <v>804</v>
      </c>
      <c r="AF136" s="160" cm="1">
        <f t="array" ref="AF136">'Сырье и материалы'!AF78</f>
        <v>93.92</v>
      </c>
      <c r="AG136" s="160" cm="1">
        <f t="array" ref="AG136">'Сырье и материалы'!AG78</f>
        <v>93.92</v>
      </c>
      <c r="AH136" s="122"/>
      <c r="AL136" s="665" t="s">
        <v>1440</v>
      </c>
    </row>
    <row r="137" spans="1:43" ht="44.25" customHeight="1">
      <c r="E137" s="459">
        <v>15</v>
      </c>
      <c r="F137" s="3" t="str" cm="1">
        <f t="array" aca="1" ref="F137" ca="1">OFFSET(E137,-1,1)</f>
        <v>2</v>
      </c>
      <c r="G137" s="41"/>
      <c r="H137" s="23"/>
      <c r="I137" s="41" t="s">
        <v>1441</v>
      </c>
      <c r="K137" s="59"/>
      <c r="L137" s="59"/>
      <c r="M137" s="59"/>
      <c r="T137" s="365" t="b" cm="1">
        <f t="array" ref="T137">T136</f>
        <v>1</v>
      </c>
      <c r="X137" s="1075"/>
      <c r="Z137" s="1065"/>
      <c r="AB137" s="561" t="s">
        <v>1442</v>
      </c>
      <c r="AC137" s="559" t="s">
        <v>1443</v>
      </c>
      <c r="AD137" s="28"/>
      <c r="AE137" s="28" t="s">
        <v>804</v>
      </c>
      <c r="AF137" s="160" cm="1">
        <f t="array" ref="AF137">Налоги!AF56</f>
        <v>422.54</v>
      </c>
      <c r="AG137" s="160" cm="1">
        <f t="array" ref="AG137">Налоги!AG56</f>
        <v>335.32</v>
      </c>
      <c r="AH137" s="122" t="s">
        <v>1606</v>
      </c>
      <c r="AL137" s="665" t="s">
        <v>1444</v>
      </c>
    </row>
    <row r="138" spans="1:43" ht="65.25" customHeight="1">
      <c r="E138" s="459">
        <v>67.5</v>
      </c>
      <c r="F138" s="3" t="str" cm="1">
        <f t="array" aca="1" ref="F138" ca="1">OFFSET(E138,-1,1)</f>
        <v>2</v>
      </c>
      <c r="G138" s="44" t="s">
        <v>1445</v>
      </c>
      <c r="H138" s="23"/>
      <c r="I138" s="78" t="s">
        <v>1446</v>
      </c>
      <c r="K138" s="59"/>
      <c r="L138" s="59"/>
      <c r="M138" s="59"/>
      <c r="T138" s="365" t="b" cm="1">
        <f t="array" ref="T138">T137</f>
        <v>1</v>
      </c>
      <c r="X138" s="1075"/>
      <c r="Z138" s="1065"/>
      <c r="AB138" s="561" t="s">
        <v>1447</v>
      </c>
      <c r="AC138" s="559" t="s">
        <v>1448</v>
      </c>
      <c r="AD138" s="28"/>
      <c r="AE138" s="28" t="s">
        <v>804</v>
      </c>
      <c r="AF138" s="160"/>
      <c r="AG138" s="160"/>
      <c r="AH138" s="122"/>
      <c r="AL138" s="665" t="s">
        <v>1449</v>
      </c>
    </row>
    <row r="139" spans="1:43" ht="14.65" customHeight="1">
      <c r="E139" s="459">
        <v>15</v>
      </c>
      <c r="F139" s="3" t="str" cm="1">
        <f t="array" aca="1" ref="F139" ca="1">OFFSET(E139,-1,1)</f>
        <v>2</v>
      </c>
      <c r="G139" s="44" t="s">
        <v>999</v>
      </c>
      <c r="H139" s="23"/>
      <c r="I139" s="78" t="s">
        <v>1450</v>
      </c>
      <c r="K139" s="59"/>
      <c r="L139" s="59"/>
      <c r="M139" s="59"/>
      <c r="T139" s="365" t="b" cm="1">
        <f t="array" ref="T139">T138</f>
        <v>1</v>
      </c>
      <c r="X139" s="1075"/>
      <c r="Z139" s="1065"/>
      <c r="AB139" s="561" t="s">
        <v>1451</v>
      </c>
      <c r="AC139" s="559" t="s">
        <v>1452</v>
      </c>
      <c r="AD139" s="28"/>
      <c r="AE139" s="28" t="s">
        <v>804</v>
      </c>
      <c r="AF139" s="160" cm="1">
        <f t="array" ref="AF139">Аренда!AF48</f>
        <v>486.13</v>
      </c>
      <c r="AG139" s="160">
        <v>2.4900000000000002</v>
      </c>
      <c r="AH139" s="122" t="s">
        <v>1607</v>
      </c>
      <c r="AL139" s="665" t="s">
        <v>1453</v>
      </c>
    </row>
    <row r="140" spans="1:43" ht="14.25" customHeight="1">
      <c r="E140" s="459">
        <v>15</v>
      </c>
      <c r="F140" s="3" t="str" cm="1">
        <f t="array" aca="1" ref="F140" ca="1">OFFSET(E140,-1,1)</f>
        <v>2</v>
      </c>
      <c r="G140" s="44" t="s">
        <v>1454</v>
      </c>
      <c r="H140" s="23"/>
      <c r="I140" s="78" t="s">
        <v>1455</v>
      </c>
      <c r="K140" s="59"/>
      <c r="L140" s="59"/>
      <c r="M140" s="59"/>
      <c r="T140" s="365" t="b" cm="1">
        <f t="array" ref="T140">T139</f>
        <v>1</v>
      </c>
      <c r="X140" s="1075"/>
      <c r="Z140" s="1065"/>
      <c r="AB140" s="561" t="s">
        <v>1456</v>
      </c>
      <c r="AC140" s="559" t="s">
        <v>1457</v>
      </c>
      <c r="AD140" s="28"/>
      <c r="AE140" s="28" t="s">
        <v>804</v>
      </c>
      <c r="AF140" s="160"/>
      <c r="AG140" s="160">
        <f ca="1">IF(AND(method_reg="Метод индексации",first_year=god),SUMIFS('Калькуляция (МИ)'!$AG$25:$AG$459,'Калькуляция (МИ)'!$F$25:$F$459,$F140,'Калькуляция (МИ)'!$G$25:$G$459,$G140),SUMIFS('Калькуляция (МИ корр)'!$AG$25:$AG$459,'Калькуляция (МИ корр)'!$F$25:$F$459,$F140,'Калькуляция (МИ корр)'!$G$25:$G$459,$G140))</f>
        <v>0</v>
      </c>
      <c r="AH140" s="122"/>
      <c r="AL140" s="665" t="s">
        <v>1458</v>
      </c>
    </row>
    <row r="141" spans="1:43" ht="21.75" customHeight="1">
      <c r="E141" s="459">
        <v>22.5</v>
      </c>
      <c r="F141" s="3" t="str" cm="1">
        <f t="array" aca="1" ref="F141" ca="1">OFFSET(E141,-1,1)</f>
        <v>2</v>
      </c>
      <c r="G141" s="44" t="s">
        <v>1459</v>
      </c>
      <c r="H141" s="23"/>
      <c r="I141" s="78" t="s">
        <v>1460</v>
      </c>
      <c r="K141" s="59"/>
      <c r="L141" s="59"/>
      <c r="M141" s="59"/>
      <c r="T141" s="365" t="b" cm="1">
        <f t="array" ref="T141">T140</f>
        <v>1</v>
      </c>
      <c r="X141" s="1075"/>
      <c r="Z141" s="1065"/>
      <c r="AB141" s="561" t="s">
        <v>1461</v>
      </c>
      <c r="AC141" s="559" t="s">
        <v>1462</v>
      </c>
      <c r="AD141" s="28"/>
      <c r="AE141" s="28" t="s">
        <v>804</v>
      </c>
      <c r="AF141" s="160"/>
      <c r="AG141" s="160">
        <f ca="1">IF(AND(method_reg="Метод индексации",first_year=god),SUMIFS('Калькуляция (МИ)'!$AG$25:$AG$459,'Калькуляция (МИ)'!$F$25:$F$459,$F141,'Калькуляция (МИ)'!$G$25:$G$459,$G141),SUMIFS('Калькуляция (МИ корр)'!$AG$25:$AG$459,'Калькуляция (МИ корр)'!$F$25:$F$459,$F141,'Калькуляция (МИ корр)'!$G$25:$G$459,$G141))</f>
        <v>0</v>
      </c>
      <c r="AH141" s="122"/>
      <c r="AL141" s="665" t="s">
        <v>1463</v>
      </c>
    </row>
    <row r="142" spans="1:43" ht="21.75" customHeight="1">
      <c r="E142" s="459">
        <v>22.5</v>
      </c>
      <c r="F142" s="3" t="str" cm="1">
        <f t="array" aca="1" ref="F142" ca="1">OFFSET(E142,-1,1)</f>
        <v>2</v>
      </c>
      <c r="G142" s="44" t="s">
        <v>1464</v>
      </c>
      <c r="H142" s="23"/>
      <c r="I142" s="78" t="s">
        <v>1465</v>
      </c>
      <c r="K142" s="59"/>
      <c r="L142" s="59"/>
      <c r="M142" s="59"/>
      <c r="T142" s="365" t="b" cm="1">
        <f t="array" ref="T142">T141</f>
        <v>1</v>
      </c>
      <c r="X142" s="1075"/>
      <c r="Z142" s="1065"/>
      <c r="AB142" s="561" t="s">
        <v>1466</v>
      </c>
      <c r="AC142" s="559" t="s">
        <v>1467</v>
      </c>
      <c r="AD142" s="630"/>
      <c r="AE142" s="28" t="s">
        <v>804</v>
      </c>
      <c r="AF142" s="160"/>
      <c r="AG142" s="160">
        <f ca="1">IF(AND(method_reg="Метод индексации",first_year=god),SUMIFS('Калькуляция (МИ)'!$AG$25:$AG$459,'Калькуляция (МИ)'!$F$25:$F$459,$F142,'Калькуляция (МИ)'!$G$25:$G$459,$G142),SUMIFS('Калькуляция (МИ корр)'!$AG$25:$AG$459,'Калькуляция (МИ корр)'!$F$25:$F$459,$F142,'Калькуляция (МИ корр)'!$G$25:$G$459,$G142))</f>
        <v>0</v>
      </c>
      <c r="AH142" s="122"/>
      <c r="AL142" s="665" t="s">
        <v>1468</v>
      </c>
    </row>
    <row r="143" spans="1:43" ht="21.75" customHeight="1">
      <c r="E143" s="459">
        <v>22.5</v>
      </c>
      <c r="F143" s="3" t="str" cm="1">
        <f t="array" aca="1" ref="F143" ca="1">OFFSET(E143,-1,1)</f>
        <v>2</v>
      </c>
      <c r="G143" s="44" t="s">
        <v>1469</v>
      </c>
      <c r="H143" s="23"/>
      <c r="I143" s="78" t="s">
        <v>1470</v>
      </c>
      <c r="K143" s="59"/>
      <c r="L143" s="59"/>
      <c r="M143" s="59"/>
      <c r="T143" s="365" t="b" cm="1">
        <f t="array" ref="T143">T142</f>
        <v>1</v>
      </c>
      <c r="X143" s="1075"/>
      <c r="Z143" s="1065"/>
      <c r="AB143" s="561" t="s">
        <v>1471</v>
      </c>
      <c r="AC143" s="559" t="s">
        <v>1472</v>
      </c>
      <c r="AD143" s="630"/>
      <c r="AE143" s="28" t="s">
        <v>804</v>
      </c>
      <c r="AF143" s="160"/>
      <c r="AG143" s="160">
        <f ca="1">IF(AND(method_reg="Метод индексации",first_year=god),SUMIFS('Калькуляция (МИ)'!$AG$25:$AG$459,'Калькуляция (МИ)'!$F$25:$F$459,$F143,'Калькуляция (МИ)'!$G$25:$G$459,$G143),SUMIFS('Калькуляция (МИ корр)'!$AG$25:$AG$459,'Калькуляция (МИ корр)'!$F$25:$F$459,$F143,'Калькуляция (МИ корр)'!$G$25:$G$459,$G143))</f>
        <v>0</v>
      </c>
      <c r="AH143" s="122"/>
      <c r="AL143" s="665" t="s">
        <v>1473</v>
      </c>
    </row>
    <row r="144" spans="1:43" ht="14.25" customHeight="1">
      <c r="E144" s="459">
        <v>15</v>
      </c>
      <c r="F144" s="3" t="str" cm="1">
        <f t="array" aca="1" ref="F144" ca="1">OFFSET(E144,-1,1)</f>
        <v>2</v>
      </c>
      <c r="G144" s="44" t="s">
        <v>1474</v>
      </c>
      <c r="H144" s="23"/>
      <c r="I144" s="78" t="s">
        <v>1475</v>
      </c>
      <c r="K144" s="59"/>
      <c r="L144" s="59"/>
      <c r="M144" s="59"/>
      <c r="T144" s="365" t="b" cm="1">
        <f t="array" ref="T144">T143</f>
        <v>1</v>
      </c>
      <c r="X144" s="1075"/>
      <c r="Z144" s="1065"/>
      <c r="AB144" s="561" t="s">
        <v>1476</v>
      </c>
      <c r="AC144" s="559" t="s">
        <v>1477</v>
      </c>
      <c r="AD144" s="630"/>
      <c r="AE144" s="28" t="s">
        <v>804</v>
      </c>
      <c r="AF144" s="160"/>
      <c r="AG144" s="160">
        <f ca="1">IF(AND(method_reg="Метод индексации",first_year=god),SUMIFS('Калькуляция (МИ)'!$AG$25:$AG$459,'Калькуляция (МИ)'!$F$25:$F$459,$F144,'Калькуляция (МИ)'!$G$25:$G$459,$G144),SUMIFS('Калькуляция (МИ корр)'!$AG$25:$AG$459,'Калькуляция (МИ корр)'!$F$25:$F$459,$F144,'Калькуляция (МИ корр)'!$G$25:$G$459,$G144))</f>
        <v>0</v>
      </c>
      <c r="AH144" s="122"/>
      <c r="AL144" s="665" t="s">
        <v>1478</v>
      </c>
    </row>
    <row r="145" spans="2:38" ht="21.75" customHeight="1">
      <c r="E145" s="459">
        <v>22.5</v>
      </c>
      <c r="F145" s="3" t="str" cm="1">
        <f t="array" aca="1" ref="F145" ca="1">OFFSET(E145,-1,1)</f>
        <v>2</v>
      </c>
      <c r="G145" s="44" t="s">
        <v>1479</v>
      </c>
      <c r="H145" s="23"/>
      <c r="I145" s="78" t="s">
        <v>1480</v>
      </c>
      <c r="K145" s="59"/>
      <c r="L145" s="59"/>
      <c r="M145" s="59"/>
      <c r="T145" s="365" t="b" cm="1">
        <f t="array" ref="T145">T144</f>
        <v>1</v>
      </c>
      <c r="X145" s="1075"/>
      <c r="Z145" s="1065"/>
      <c r="AB145" s="561" t="s">
        <v>1481</v>
      </c>
      <c r="AC145" s="559" t="s">
        <v>1482</v>
      </c>
      <c r="AD145" s="630"/>
      <c r="AE145" s="28" t="s">
        <v>804</v>
      </c>
      <c r="AF145" s="160"/>
      <c r="AG145" s="160">
        <f ca="1">IF(AND(method_reg="Метод индексации",first_year=god),SUMIFS('Калькуляция (МИ)'!$AG$25:$AG$459,'Калькуляция (МИ)'!$F$25:$F$459,$F145,'Калькуляция (МИ)'!$G$25:$G$459,$G145),SUMIFS('Калькуляция (МИ корр)'!$AG$25:$AG$459,'Калькуляция (МИ корр)'!$F$25:$F$459,$F145,'Калькуляция (МИ корр)'!$G$25:$G$459,$G145))</f>
        <v>0</v>
      </c>
      <c r="AH145" s="122"/>
      <c r="AL145" s="665" t="s">
        <v>1483</v>
      </c>
    </row>
    <row r="146" spans="2:38" ht="44.25" customHeight="1">
      <c r="E146" s="459">
        <v>15</v>
      </c>
      <c r="F146" s="3" t="str" cm="1">
        <f t="array" aca="1" ref="F146" ca="1">OFFSET(E146,-1,1)</f>
        <v>2</v>
      </c>
      <c r="G146" s="41"/>
      <c r="H146" s="23"/>
      <c r="I146" s="41" t="s">
        <v>1343</v>
      </c>
      <c r="K146" s="59"/>
      <c r="L146" s="59"/>
      <c r="M146" s="59"/>
      <c r="T146" s="365" t="b" cm="1">
        <f t="array" ref="T146">T145</f>
        <v>1</v>
      </c>
      <c r="X146" s="1075"/>
      <c r="Z146" s="1065"/>
      <c r="AB146" s="152" t="s">
        <v>545</v>
      </c>
      <c r="AC146" s="146" t="s">
        <v>1484</v>
      </c>
      <c r="AD146" s="26" t="s">
        <v>1485</v>
      </c>
      <c r="AE146" s="28" t="s">
        <v>804</v>
      </c>
      <c r="AF146" s="160" cm="1">
        <f t="array" ref="AF146">ЭЭ!AF80</f>
        <v>3180.1200000000003</v>
      </c>
      <c r="AG146" s="160">
        <v>3180.12</v>
      </c>
      <c r="AH146" s="122" t="s">
        <v>1608</v>
      </c>
      <c r="AL146" s="665" t="s">
        <v>1486</v>
      </c>
    </row>
    <row r="147" spans="2:38" ht="23.25" customHeight="1">
      <c r="E147" s="459">
        <v>22.5</v>
      </c>
      <c r="F147" s="3" t="str" cm="1">
        <f t="array" aca="1" ref="F147" ca="1">OFFSET(E147,-1,1)</f>
        <v>2</v>
      </c>
      <c r="G147" s="41"/>
      <c r="H147" s="23"/>
      <c r="I147" s="41" t="s">
        <v>1487</v>
      </c>
      <c r="K147" s="59"/>
      <c r="L147" s="59"/>
      <c r="M147" s="59"/>
      <c r="T147" s="365" t="b" cm="1">
        <f t="array" ref="T147">T146</f>
        <v>1</v>
      </c>
      <c r="X147" s="1075"/>
      <c r="Z147" s="1065"/>
      <c r="AB147" s="152" t="s">
        <v>498</v>
      </c>
      <c r="AC147" s="153" t="s">
        <v>1488</v>
      </c>
      <c r="AD147" s="26" t="s">
        <v>1489</v>
      </c>
      <c r="AE147" s="28" t="s">
        <v>853</v>
      </c>
      <c r="AF147" s="160" cm="1">
        <f t="array" ref="AF147">ЭЭ!AF84</f>
        <v>0.45378273566886707</v>
      </c>
      <c r="AG147" s="160" cm="1">
        <f t="array" ref="AG147">ЭЭ!AG84</f>
        <v>0.45378273566886707</v>
      </c>
      <c r="AH147" s="122" t="s">
        <v>1609</v>
      </c>
      <c r="AL147" s="665" t="s">
        <v>1490</v>
      </c>
    </row>
    <row r="148" spans="2:38" ht="23.25" customHeight="1">
      <c r="E148" s="459">
        <v>15</v>
      </c>
      <c r="F148" s="3" t="str" cm="1">
        <f t="array" aca="1" ref="F148" ca="1">OFFSET(E148,-1,1)</f>
        <v>2</v>
      </c>
      <c r="G148" s="41"/>
      <c r="H148" s="23"/>
      <c r="I148" s="41" t="s">
        <v>1491</v>
      </c>
      <c r="K148" s="59"/>
      <c r="L148" s="59"/>
      <c r="M148" s="59"/>
      <c r="T148" s="365" t="b" cm="1">
        <f t="array" ref="T148">T147</f>
        <v>1</v>
      </c>
      <c r="X148" s="1075"/>
      <c r="Z148" s="1065"/>
      <c r="AB148" s="152" t="s">
        <v>1492</v>
      </c>
      <c r="AC148" s="153" t="s">
        <v>1493</v>
      </c>
      <c r="AD148" s="26" t="s">
        <v>1494</v>
      </c>
      <c r="AE148" s="28" t="s">
        <v>847</v>
      </c>
      <c r="AF148" s="160" cm="1">
        <f t="array" ref="AF148">ЭЭ!AF82</f>
        <v>948.16300000000001</v>
      </c>
      <c r="AG148" s="160" cm="1">
        <f t="array" ref="AG148">ЭЭ!AG82</f>
        <v>948.16300000000001</v>
      </c>
      <c r="AH148" s="122" t="s">
        <v>1610</v>
      </c>
      <c r="AL148" s="665" t="s">
        <v>1495</v>
      </c>
    </row>
    <row r="149" spans="2:38" ht="23.25" customHeight="1">
      <c r="E149" s="459">
        <v>22.5</v>
      </c>
      <c r="F149" s="3" t="str" cm="1">
        <f t="array" aca="1" ref="F149" ca="1">OFFSET(E149,-1,1)</f>
        <v>2</v>
      </c>
      <c r="G149" s="41"/>
      <c r="H149" s="23"/>
      <c r="I149" s="41" t="s">
        <v>1496</v>
      </c>
      <c r="K149" s="59"/>
      <c r="L149" s="59"/>
      <c r="M149" s="59"/>
      <c r="T149" s="365" t="b" cm="1">
        <f t="array" ref="T149">T148</f>
        <v>1</v>
      </c>
      <c r="X149" s="1075"/>
      <c r="Z149" s="1065"/>
      <c r="AB149" s="152" t="s">
        <v>1497</v>
      </c>
      <c r="AC149" s="153" t="s">
        <v>1498</v>
      </c>
      <c r="AD149" s="26" t="s">
        <v>1499</v>
      </c>
      <c r="AE149" s="28" t="s">
        <v>850</v>
      </c>
      <c r="AF149" s="160" cm="1">
        <f t="array" ref="AF149">ЭЭ!AF83</f>
        <v>7.3911588341932797</v>
      </c>
      <c r="AG149" s="160">
        <v>7.1667710752999998</v>
      </c>
      <c r="AH149" s="122" t="s">
        <v>1600</v>
      </c>
      <c r="AL149" s="665" t="s">
        <v>1500</v>
      </c>
    </row>
    <row r="150" spans="2:38" ht="23.25" customHeight="1">
      <c r="E150" s="459">
        <v>22.5</v>
      </c>
      <c r="F150" s="3" t="str" cm="1">
        <f t="array" aca="1" ref="F150" ca="1">OFFSET(E150,-1,1)</f>
        <v>2</v>
      </c>
      <c r="G150" s="41" t="s">
        <v>1501</v>
      </c>
      <c r="H150" s="23"/>
      <c r="I150" s="41" t="s">
        <v>1502</v>
      </c>
      <c r="K150" s="59"/>
      <c r="L150" s="59"/>
      <c r="M150" s="59"/>
      <c r="T150" s="365" t="b" cm="1">
        <f t="array" ref="T150">T149</f>
        <v>1</v>
      </c>
      <c r="X150" s="1075"/>
      <c r="Z150" s="1065"/>
      <c r="AB150" s="152" t="s">
        <v>920</v>
      </c>
      <c r="AC150" s="146" t="s">
        <v>1503</v>
      </c>
      <c r="AD150" s="26" t="s">
        <v>1504</v>
      </c>
      <c r="AE150" s="28" t="s">
        <v>804</v>
      </c>
      <c r="AF150" s="160">
        <v>406.04199999999997</v>
      </c>
      <c r="AG150" s="160" cm="1">
        <f t="array" ref="AG150">Амортизация!AG167</f>
        <v>398.82</v>
      </c>
      <c r="AH150" s="122" t="s">
        <v>1148</v>
      </c>
      <c r="AL150" s="665" t="s">
        <v>1241</v>
      </c>
    </row>
    <row r="151" spans="2:38" ht="14.25" customHeight="1">
      <c r="E151" s="459">
        <v>15</v>
      </c>
      <c r="F151" s="3" t="str" cm="1">
        <f t="array" aca="1" ref="F151" ca="1">OFFSET(E151,-1,1)</f>
        <v>2</v>
      </c>
      <c r="G151" s="41" t="s">
        <v>1505</v>
      </c>
      <c r="H151" s="23"/>
      <c r="I151" s="41" t="s">
        <v>1506</v>
      </c>
      <c r="K151" s="59"/>
      <c r="L151" s="59"/>
      <c r="M151" s="59"/>
      <c r="T151" s="365" t="b" cm="1">
        <f t="array" ref="T151">T150</f>
        <v>1</v>
      </c>
      <c r="X151" s="1075"/>
      <c r="Z151" s="1065"/>
      <c r="AB151" s="152" t="s">
        <v>923</v>
      </c>
      <c r="AC151" s="631" t="s">
        <v>1507</v>
      </c>
      <c r="AD151" s="26" t="s">
        <v>1508</v>
      </c>
      <c r="AE151" s="28" t="s">
        <v>804</v>
      </c>
      <c r="AF151" s="160"/>
      <c r="AG151" s="160">
        <f ca="1">IF(AND(method_reg="Метод индексации",first_year=god),SUMIFS('Калькуляция (МИ)'!$AE$25:$AE$459,'Калькуляция (МИ)'!$F$25:$F$459,$F151,'Калькуляция (МИ)'!$G$25:$G$459,"Нормативная прибыль")-SUMIFS('Калькуляция (МИ)'!$AE$25:$AE$459,'Калькуляция (МИ)'!$F$25:$F$459,$F151,'Калькуляция (МИ)'!$G$25:$G$459,"иные экономически обоснованные расходы на социальные нужды")+SUMIFS('Калькуляция (МИ)'!$AG$25:$AG$459,'Калькуляция (МИ)'!$F$25:$F$459,$F151,'Калькуляция (МИ)'!$G$25:$G$459,"иные экономически обоснованные расходы на социальные нужды"),SUMIFS('Калькуляция (МИ корр)'!$AE$25:$AE$459,'Калькуляция (МИ корр)'!$F$25:$F$459,$F151,'Калькуляция (МИ корр)'!$G$25:$G$459,"Нормативная прибыль")-SUMIFS('Калькуляция (МИ корр)'!$AE$25:$AE$459,'Калькуляция (МИ корр)'!$F$25:$F$459,$F151,'Калькуляция (МИ корр)'!$G$25:$G$459,"иные экономически обоснованные расходы на социальные нужды")+SUMIFS('Калькуляция (МИ корр)'!$AG$25:$AG$459,'Калькуляция (МИ корр)'!$F$25:$F$459,$F151,'Калькуляция (МИ корр)'!$G$25:$G$459,"иные экономически обоснованные расходы на социальные нужды"))</f>
        <v>0</v>
      </c>
      <c r="AH151" s="122"/>
      <c r="AL151" s="665" t="s">
        <v>1509</v>
      </c>
    </row>
    <row r="152" spans="2:38" ht="14.25" customHeight="1">
      <c r="E152" s="459">
        <v>15</v>
      </c>
      <c r="F152" s="3" t="str" cm="1">
        <f t="array" aca="1" ref="F152" ca="1">OFFSET(E152,-1,1)</f>
        <v>2</v>
      </c>
      <c r="G152" s="44" t="s">
        <v>1510</v>
      </c>
      <c r="H152" s="23"/>
      <c r="I152" s="78" t="s">
        <v>1511</v>
      </c>
      <c r="K152" s="59"/>
      <c r="L152" s="59"/>
      <c r="M152" s="59"/>
      <c r="T152" s="365" t="b" cm="1">
        <f t="array" ref="T152">T151</f>
        <v>1</v>
      </c>
      <c r="X152" s="1075"/>
      <c r="Z152" s="1065"/>
      <c r="AB152" s="152" t="s">
        <v>1512</v>
      </c>
      <c r="AC152" s="146" t="s">
        <v>1513</v>
      </c>
      <c r="AD152" s="26" t="s">
        <v>1514</v>
      </c>
      <c r="AE152" s="28" t="s">
        <v>804</v>
      </c>
      <c r="AF152" s="160">
        <v>1806.623</v>
      </c>
      <c r="AG152" s="160">
        <v>1779.45</v>
      </c>
      <c r="AH152" s="122" t="s">
        <v>1602</v>
      </c>
      <c r="AL152" s="665" t="s">
        <v>1515</v>
      </c>
    </row>
    <row r="153" spans="2:38" ht="23.25" customHeight="1">
      <c r="E153" s="459">
        <v>22.5</v>
      </c>
      <c r="F153" s="3" t="str" cm="1">
        <f t="array" aca="1" ref="F153" ca="1">OFFSET(E153,-1,1)</f>
        <v>2</v>
      </c>
      <c r="G153" s="44"/>
      <c r="H153" s="23"/>
      <c r="I153" s="41" t="s">
        <v>1516</v>
      </c>
      <c r="K153" s="59"/>
      <c r="L153" s="59"/>
      <c r="M153" s="59"/>
      <c r="T153" s="365" t="b" cm="1">
        <f t="array" ref="T153">T152</f>
        <v>1</v>
      </c>
      <c r="X153" s="1075"/>
      <c r="Z153" s="1065"/>
      <c r="AB153" s="152" t="s">
        <v>1517</v>
      </c>
      <c r="AC153" s="146" t="s">
        <v>1518</v>
      </c>
      <c r="AD153" s="26"/>
      <c r="AE153" s="28" t="s">
        <v>804</v>
      </c>
      <c r="AF153" s="160"/>
      <c r="AG153" s="160"/>
      <c r="AH153" s="122"/>
      <c r="AL153" s="665" t="s">
        <v>1519</v>
      </c>
    </row>
    <row r="154" spans="2:38" ht="21.75" customHeight="1">
      <c r="E154" s="459">
        <v>22.5</v>
      </c>
      <c r="F154" s="3" t="str" cm="1">
        <f t="array" aca="1" ref="F154" ca="1">OFFSET(E154,-1,1)</f>
        <v>2</v>
      </c>
      <c r="G154" s="41"/>
      <c r="H154" s="23"/>
      <c r="I154" s="41" t="s">
        <v>1520</v>
      </c>
      <c r="K154" s="59"/>
      <c r="L154" s="59"/>
      <c r="M154" s="59"/>
      <c r="T154" s="365" t="b" cm="1">
        <f t="array" ref="T154">T153</f>
        <v>1</v>
      </c>
      <c r="X154" s="1075"/>
      <c r="Z154" s="1065"/>
      <c r="AB154" s="152" t="s">
        <v>1521</v>
      </c>
      <c r="AC154" s="153" t="s">
        <v>1522</v>
      </c>
      <c r="AD154" s="26" t="s">
        <v>1523</v>
      </c>
      <c r="AE154" s="28" t="s">
        <v>804</v>
      </c>
      <c r="AF154" s="160"/>
      <c r="AG154" s="160"/>
      <c r="AH154" s="122"/>
      <c r="AL154" s="665" t="s">
        <v>1524</v>
      </c>
    </row>
    <row r="155" spans="2:38" ht="44.25" customHeight="1">
      <c r="E155" s="459">
        <v>15</v>
      </c>
      <c r="F155" s="3" t="str" cm="1">
        <f t="array" aca="1" ref="F155" ca="1">OFFSET(E155,-1,1)</f>
        <v>2</v>
      </c>
      <c r="G155" s="41"/>
      <c r="H155" s="23"/>
      <c r="I155" s="41" t="s">
        <v>1525</v>
      </c>
      <c r="K155" s="59"/>
      <c r="L155" s="59"/>
      <c r="M155" s="59"/>
      <c r="T155" s="365" t="b" cm="1">
        <f t="array" ref="T155">T154</f>
        <v>1</v>
      </c>
      <c r="X155" s="1075"/>
      <c r="Z155" s="1065"/>
      <c r="AB155" s="152" t="s">
        <v>1526</v>
      </c>
      <c r="AC155" s="153" t="s">
        <v>1527</v>
      </c>
      <c r="AD155" s="26" t="s">
        <v>1528</v>
      </c>
      <c r="AE155" s="28" t="s">
        <v>804</v>
      </c>
      <c r="AF155" s="160">
        <v>0</v>
      </c>
      <c r="AG155" s="160">
        <v>0</v>
      </c>
      <c r="AH155" s="122" t="s">
        <v>1611</v>
      </c>
      <c r="AL155" s="665" t="s">
        <v>1529</v>
      </c>
    </row>
    <row r="156" spans="2:38" ht="44.25" customHeight="1">
      <c r="E156" s="459">
        <v>45</v>
      </c>
      <c r="F156" s="3" t="str" cm="1">
        <f t="array" aca="1" ref="F156" ca="1">OFFSET(E156,-1,1)</f>
        <v>2</v>
      </c>
      <c r="G156" s="41"/>
      <c r="H156" s="23"/>
      <c r="I156" s="41" t="s">
        <v>1530</v>
      </c>
      <c r="K156" s="59"/>
      <c r="L156" s="59"/>
      <c r="M156" s="59"/>
      <c r="T156" s="365" t="b" cm="1">
        <f t="array" ref="T156">T155</f>
        <v>1</v>
      </c>
      <c r="X156" s="1075"/>
      <c r="Z156" s="1065"/>
      <c r="AB156" s="152" t="s">
        <v>1531</v>
      </c>
      <c r="AC156" s="153" t="s">
        <v>1532</v>
      </c>
      <c r="AD156" s="28" t="s">
        <v>1533</v>
      </c>
      <c r="AE156" s="28" t="s">
        <v>804</v>
      </c>
      <c r="AF156" s="160"/>
      <c r="AG156" s="160"/>
      <c r="AH156" s="122"/>
      <c r="AL156" s="665" t="s">
        <v>1534</v>
      </c>
    </row>
    <row r="157" spans="2:38" ht="23.25" customHeight="1">
      <c r="E157" s="459">
        <v>22.5</v>
      </c>
      <c r="F157" s="3" t="str" cm="1">
        <f t="array" aca="1" ref="F157" ca="1">OFFSET(E157,-1,1)</f>
        <v>2</v>
      </c>
      <c r="G157" s="41"/>
      <c r="H157" s="23"/>
      <c r="I157" s="41" t="s">
        <v>1535</v>
      </c>
      <c r="K157" s="59"/>
      <c r="L157" s="59"/>
      <c r="M157" s="59"/>
      <c r="T157" s="365" t="b" cm="1">
        <f t="array" ref="T157">T156</f>
        <v>1</v>
      </c>
      <c r="X157" s="1075"/>
      <c r="Z157" s="1065"/>
      <c r="AB157" s="152" t="s">
        <v>1536</v>
      </c>
      <c r="AC157" s="146" t="s">
        <v>1537</v>
      </c>
      <c r="AD157" s="28" t="s">
        <v>1538</v>
      </c>
      <c r="AE157" s="28" t="s">
        <v>804</v>
      </c>
      <c r="AF157" s="160"/>
      <c r="AG157" s="160">
        <v>-4425.1000000000004</v>
      </c>
      <c r="AH157" s="122" t="s">
        <v>1604</v>
      </c>
      <c r="AL157" s="665" t="s">
        <v>1539</v>
      </c>
    </row>
    <row r="158" spans="2:38" ht="86.25" customHeight="1">
      <c r="B158" s="62" t="b">
        <f>S129="Водоотведение"</f>
        <v>1</v>
      </c>
      <c r="E158" s="459">
        <v>78.75</v>
      </c>
      <c r="F158" s="3" t="str" cm="1">
        <f t="array" aca="1" ref="F158" ca="1">OFFSET(E158,-1,1)</f>
        <v>2</v>
      </c>
      <c r="G158" s="41"/>
      <c r="H158" s="23"/>
      <c r="I158" s="41"/>
      <c r="K158" s="59"/>
      <c r="L158" s="59"/>
      <c r="M158" s="59"/>
      <c r="T158" s="365" t="b" cm="1">
        <f t="array" ref="T158">T157</f>
        <v>1</v>
      </c>
      <c r="X158" s="1075"/>
      <c r="Z158" s="1065"/>
      <c r="AB158" s="152" t="s">
        <v>1540</v>
      </c>
      <c r="AC158" s="146" t="s">
        <v>1541</v>
      </c>
      <c r="AD158" s="28"/>
      <c r="AE158" s="28" t="s">
        <v>804</v>
      </c>
      <c r="AF158" s="160"/>
      <c r="AG158" s="160"/>
      <c r="AH158" s="122"/>
      <c r="AL158" s="665" t="s">
        <v>1542</v>
      </c>
    </row>
    <row r="159" spans="2:38" ht="65.25" customHeight="1">
      <c r="B159" s="62" t="b" cm="1">
        <f t="array" ref="B159">B158</f>
        <v>1</v>
      </c>
      <c r="E159" s="459">
        <v>56.25</v>
      </c>
      <c r="F159" s="3" t="str" cm="1">
        <f t="array" aca="1" ref="F159" ca="1">OFFSET(E159,-1,1)</f>
        <v>2</v>
      </c>
      <c r="G159" s="41"/>
      <c r="H159" s="23"/>
      <c r="I159" s="41"/>
      <c r="K159" s="59"/>
      <c r="L159" s="59"/>
      <c r="M159" s="59"/>
      <c r="T159" s="365" t="b" cm="1">
        <f t="array" ref="T159">T158</f>
        <v>1</v>
      </c>
      <c r="X159" s="1075"/>
      <c r="Z159" s="1065"/>
      <c r="AB159" s="152" t="s">
        <v>1543</v>
      </c>
      <c r="AC159" s="146" t="s">
        <v>1544</v>
      </c>
      <c r="AD159" s="28"/>
      <c r="AE159" s="28" t="s">
        <v>804</v>
      </c>
      <c r="AF159" s="160"/>
      <c r="AG159" s="160"/>
      <c r="AH159" s="122"/>
      <c r="AL159" s="665" t="s">
        <v>1370</v>
      </c>
    </row>
    <row r="160" spans="2:38" ht="14.25" customHeight="1">
      <c r="E160" s="459">
        <v>15</v>
      </c>
      <c r="F160" s="3" t="str" cm="1">
        <f t="array" aca="1" ref="F160" ca="1">OFFSET(E160,-1,1)</f>
        <v>2</v>
      </c>
      <c r="G160" s="41"/>
      <c r="H160" s="23"/>
      <c r="I160" s="41"/>
      <c r="K160" s="59"/>
      <c r="L160" s="59"/>
      <c r="M160" s="59"/>
      <c r="T160" s="365" t="b" cm="1">
        <f t="array" ref="T160">T159</f>
        <v>1</v>
      </c>
      <c r="X160" s="1075"/>
      <c r="Z160" s="1065"/>
      <c r="AB160" s="26" t="str">
        <f>IF(B159,"2.12","2.10")</f>
        <v>2.12</v>
      </c>
      <c r="AC160" s="146" t="s">
        <v>1545</v>
      </c>
      <c r="AD160" s="28" t="s">
        <v>1546</v>
      </c>
      <c r="AE160" s="28" t="s">
        <v>804</v>
      </c>
      <c r="AF160" s="160">
        <f>AF161+AF162</f>
        <v>0</v>
      </c>
      <c r="AG160" s="160">
        <f>AG161+AG162</f>
        <v>0</v>
      </c>
      <c r="AH160" s="122"/>
      <c r="AL160" s="665" t="s">
        <v>1547</v>
      </c>
    </row>
    <row r="161" spans="1:43" ht="21.75" customHeight="1">
      <c r="E161" s="459">
        <v>22.5</v>
      </c>
      <c r="F161" s="3" t="str" cm="1">
        <f t="array" aca="1" ref="F161" ca="1">OFFSET(E161,-1,1)</f>
        <v>2</v>
      </c>
      <c r="G161" s="41"/>
      <c r="H161" s="23"/>
      <c r="I161" s="41"/>
      <c r="K161" s="59"/>
      <c r="L161" s="59"/>
      <c r="M161" s="59"/>
      <c r="T161" s="365" t="b" cm="1">
        <f t="array" ref="T161">T160</f>
        <v>1</v>
      </c>
      <c r="X161" s="1075"/>
      <c r="Z161" s="1065"/>
      <c r="AB161" s="26" t="str">
        <f>AB160&amp;".1"</f>
        <v>2.12.1</v>
      </c>
      <c r="AC161" s="146" t="s">
        <v>1548</v>
      </c>
      <c r="AD161" s="28" t="s">
        <v>1546</v>
      </c>
      <c r="AE161" s="28" t="s">
        <v>804</v>
      </c>
      <c r="AF161" s="160"/>
      <c r="AG161" s="160"/>
      <c r="AH161" s="122"/>
      <c r="AL161" s="665" t="s">
        <v>1549</v>
      </c>
    </row>
    <row r="162" spans="1:43" ht="21.75" customHeight="1">
      <c r="E162" s="459">
        <v>22.5</v>
      </c>
      <c r="F162" s="3" t="str" cm="1">
        <f t="array" aca="1" ref="F162" ca="1">OFFSET(E162,-1,1)</f>
        <v>2</v>
      </c>
      <c r="G162" s="41"/>
      <c r="H162" s="23"/>
      <c r="I162" s="41"/>
      <c r="K162" s="59"/>
      <c r="L162" s="59"/>
      <c r="M162" s="59"/>
      <c r="T162" s="365" t="b" cm="1">
        <f t="array" ref="T162">T161</f>
        <v>1</v>
      </c>
      <c r="X162" s="1075"/>
      <c r="Z162" s="1065"/>
      <c r="AB162" s="26" t="str">
        <f>AB160&amp;".2"</f>
        <v>2.12.2</v>
      </c>
      <c r="AC162" s="146" t="s">
        <v>1550</v>
      </c>
      <c r="AD162" s="28" t="s">
        <v>1546</v>
      </c>
      <c r="AE162" s="28" t="s">
        <v>804</v>
      </c>
      <c r="AF162" s="160"/>
      <c r="AG162" s="160"/>
      <c r="AH162" s="122"/>
      <c r="AL162" s="665" t="s">
        <v>1551</v>
      </c>
    </row>
    <row r="163" spans="1:43" ht="14.25" customHeight="1">
      <c r="E163" s="459">
        <v>15</v>
      </c>
      <c r="F163" s="3" t="str" cm="1">
        <f t="array" aca="1" ref="F163" ca="1">OFFSET(E163,-1,1)</f>
        <v>2</v>
      </c>
      <c r="G163" s="41"/>
      <c r="H163" s="23"/>
      <c r="I163" s="41"/>
      <c r="K163" s="59"/>
      <c r="L163" s="59"/>
      <c r="M163" s="59"/>
      <c r="T163" s="365" t="b" cm="1">
        <f t="array" ref="T163">T162</f>
        <v>1</v>
      </c>
      <c r="X163" s="1075"/>
      <c r="Z163" s="1065"/>
      <c r="AB163" s="26" t="str">
        <f>IF(B159,"2.13","2.11")</f>
        <v>2.13</v>
      </c>
      <c r="AC163" s="146" t="s">
        <v>1552</v>
      </c>
      <c r="AD163" s="28" t="s">
        <v>1546</v>
      </c>
      <c r="AE163" s="28" t="s">
        <v>804</v>
      </c>
      <c r="AF163" s="160"/>
      <c r="AG163" s="160"/>
      <c r="AH163" s="122"/>
      <c r="AL163" s="665" t="s">
        <v>1553</v>
      </c>
    </row>
    <row r="164" spans="1:43" ht="14.25" customHeight="1">
      <c r="E164" s="459">
        <v>15</v>
      </c>
      <c r="F164" s="3" t="str" cm="1">
        <f t="array" aca="1" ref="F164" ca="1">OFFSET(E164,-1,1)</f>
        <v>2</v>
      </c>
      <c r="G164" s="41"/>
      <c r="H164" s="23"/>
      <c r="I164" s="41"/>
      <c r="K164" s="59"/>
      <c r="L164" s="59"/>
      <c r="M164" s="59"/>
      <c r="T164" s="365" t="b" cm="1">
        <f t="array" ref="T164">T163</f>
        <v>1</v>
      </c>
      <c r="X164" s="1075"/>
      <c r="Z164" s="1065"/>
      <c r="AB164" s="26" t="str">
        <f>IF(B159,"2.14","2.12")</f>
        <v>2.14</v>
      </c>
      <c r="AC164" s="146" t="s">
        <v>1554</v>
      </c>
      <c r="AD164" s="28" t="s">
        <v>1546</v>
      </c>
      <c r="AE164" s="28" t="s">
        <v>804</v>
      </c>
      <c r="AF164" s="160"/>
      <c r="AG164" s="160"/>
      <c r="AH164" s="122"/>
      <c r="AL164" s="665" t="s">
        <v>1555</v>
      </c>
    </row>
    <row r="165" spans="1:43" s="935" customFormat="1" ht="0" hidden="1" customHeight="1">
      <c r="A165" s="173"/>
      <c r="B165" s="340"/>
      <c r="C165" s="173"/>
      <c r="D165" s="173"/>
      <c r="E165" s="512">
        <v>22.5</v>
      </c>
      <c r="F165" s="3" t="str" cm="1">
        <f t="array" aca="1" ref="F165" ca="1">OFFSET(E165,-1,1)</f>
        <v>2</v>
      </c>
      <c r="G165" s="82"/>
      <c r="H165" s="82"/>
      <c r="I165" s="41" t="s">
        <v>328</v>
      </c>
      <c r="J165" s="173"/>
      <c r="K165" s="387"/>
      <c r="L165" s="387"/>
      <c r="M165" s="387"/>
      <c r="N165" s="173"/>
      <c r="O165" s="173"/>
      <c r="P165" s="173"/>
      <c r="Q165" s="173"/>
      <c r="R165" s="173"/>
      <c r="S165" s="173"/>
      <c r="T165" s="365" t="b" cm="1">
        <f t="array" ref="T165">T164</f>
        <v>1</v>
      </c>
      <c r="U165" s="173"/>
      <c r="V165" s="173"/>
      <c r="W165" s="173"/>
      <c r="X165" s="1075"/>
      <c r="Y165" s="173"/>
      <c r="Z165" s="1065"/>
      <c r="AA165" s="173"/>
      <c r="AB165" s="143" t="s">
        <v>1556</v>
      </c>
      <c r="AC165" s="144" t="s">
        <v>1557</v>
      </c>
      <c r="AD165" s="143" t="s">
        <v>1419</v>
      </c>
      <c r="AE165" s="166" t="s">
        <v>804</v>
      </c>
      <c r="AF165" s="579" cm="1">
        <f t="array" ref="AF165">AF166</f>
        <v>0</v>
      </c>
      <c r="AG165" s="579" cm="1">
        <f t="array" ref="AG165">AG166</f>
        <v>0</v>
      </c>
      <c r="AH165" s="580"/>
      <c r="AI165" s="173"/>
      <c r="AJ165" s="173"/>
      <c r="AK165" s="173"/>
      <c r="AL165" s="697" t="s">
        <v>1558</v>
      </c>
      <c r="AM165" s="173"/>
      <c r="AN165" s="173"/>
      <c r="AO165" s="173"/>
      <c r="AP165" s="173"/>
      <c r="AQ165" s="173"/>
    </row>
    <row r="166" spans="1:43" ht="0" hidden="1" customHeight="1">
      <c r="E166" s="459">
        <v>33.75</v>
      </c>
      <c r="F166" s="3" t="str" cm="1">
        <f t="array" aca="1" ref="F166" ca="1">OFFSET(E166,-1,1)</f>
        <v>2</v>
      </c>
      <c r="G166" s="41"/>
      <c r="H166" s="23"/>
      <c r="I166" s="41" t="s">
        <v>479</v>
      </c>
      <c r="K166" s="59"/>
      <c r="L166" s="59"/>
      <c r="M166" s="59"/>
      <c r="T166" s="365" t="b" cm="1">
        <f t="array" ref="T166">T165</f>
        <v>1</v>
      </c>
      <c r="X166" s="1075"/>
      <c r="Z166" s="1065"/>
      <c r="AB166" s="152" t="s">
        <v>275</v>
      </c>
      <c r="AC166" s="358" t="s">
        <v>1559</v>
      </c>
      <c r="AD166" s="26" t="s">
        <v>1560</v>
      </c>
      <c r="AE166" s="28" t="s">
        <v>804</v>
      </c>
      <c r="AF166" s="629">
        <f>AF167+AF168</f>
        <v>0</v>
      </c>
      <c r="AG166" s="629">
        <f>AG167+AG168</f>
        <v>0</v>
      </c>
      <c r="AH166" s="122"/>
      <c r="AL166" s="665" t="s">
        <v>1561</v>
      </c>
    </row>
    <row r="167" spans="1:43" ht="0" hidden="1" customHeight="1">
      <c r="E167" s="459">
        <v>45</v>
      </c>
      <c r="F167" s="3" t="str" cm="1">
        <f t="array" aca="1" ref="F167" ca="1">OFFSET(E167,-1,1)</f>
        <v>2</v>
      </c>
      <c r="G167" s="41"/>
      <c r="H167" s="23"/>
      <c r="I167" s="41" t="s">
        <v>1562</v>
      </c>
      <c r="K167" s="59"/>
      <c r="L167" s="59"/>
      <c r="M167" s="59"/>
      <c r="T167" s="365" t="b" cm="1">
        <f t="array" ref="T167">T166</f>
        <v>1</v>
      </c>
      <c r="X167" s="1075"/>
      <c r="Z167" s="1065"/>
      <c r="AB167" s="152" t="s">
        <v>897</v>
      </c>
      <c r="AC167" s="146" t="s">
        <v>1563</v>
      </c>
      <c r="AD167" s="26" t="s">
        <v>1564</v>
      </c>
      <c r="AE167" s="28" t="s">
        <v>804</v>
      </c>
      <c r="AF167" s="160"/>
      <c r="AG167" s="160"/>
      <c r="AH167" s="122"/>
      <c r="AL167" s="665" t="s">
        <v>1565</v>
      </c>
    </row>
    <row r="168" spans="1:43" ht="0" hidden="1" customHeight="1">
      <c r="E168" s="459">
        <v>33.75</v>
      </c>
      <c r="F168" s="3" t="str" cm="1">
        <f t="array" aca="1" ref="F168" ca="1">OFFSET(E168,-1,1)</f>
        <v>2</v>
      </c>
      <c r="G168" s="41"/>
      <c r="H168" s="23"/>
      <c r="I168" s="41" t="s">
        <v>1566</v>
      </c>
      <c r="K168" s="59"/>
      <c r="L168" s="59"/>
      <c r="M168" s="59"/>
      <c r="T168" s="365" t="b" cm="1">
        <f t="array" ref="T168">T167</f>
        <v>1</v>
      </c>
      <c r="X168" s="1075"/>
      <c r="Z168" s="1065"/>
      <c r="AB168" s="152" t="s">
        <v>900</v>
      </c>
      <c r="AC168" s="146" t="s">
        <v>1567</v>
      </c>
      <c r="AD168" s="26" t="s">
        <v>1568</v>
      </c>
      <c r="AE168" s="28" t="s">
        <v>804</v>
      </c>
      <c r="AF168" s="160"/>
      <c r="AG168" s="160"/>
      <c r="AH168" s="122"/>
      <c r="AL168" s="665" t="s">
        <v>1569</v>
      </c>
    </row>
    <row r="169" spans="1:43" ht="33.75" customHeight="1">
      <c r="E169" s="459">
        <v>35</v>
      </c>
      <c r="F169" s="3" t="str" cm="1">
        <f t="array" aca="1" ref="F169" ca="1">OFFSET(E169,-1,1)</f>
        <v>2</v>
      </c>
      <c r="G169" s="41"/>
      <c r="H169" s="23"/>
      <c r="I169" s="41" t="s">
        <v>329</v>
      </c>
      <c r="K169" s="59" t="str">
        <f ca="1">F169&amp;"1komm"</f>
        <v>21komm</v>
      </c>
      <c r="L169" s="618" cm="1">
        <f t="array" ref="L169">AH169</f>
        <v>0</v>
      </c>
      <c r="M169" s="59"/>
      <c r="T169" s="365" t="b" cm="1">
        <f t="array" ref="T169">T168</f>
        <v>1</v>
      </c>
      <c r="X169" s="1075"/>
      <c r="Z169" s="1065"/>
      <c r="AB169" s="166" t="s">
        <v>1570</v>
      </c>
      <c r="AC169" s="144" t="s">
        <v>1571</v>
      </c>
      <c r="AD169" s="143" t="s">
        <v>1572</v>
      </c>
      <c r="AE169" s="166" t="s">
        <v>804</v>
      </c>
      <c r="AF169" s="294"/>
      <c r="AG169" s="294"/>
      <c r="AH169" s="122"/>
      <c r="AL169" s="665" t="s">
        <v>1573</v>
      </c>
    </row>
    <row r="170" spans="1:43" ht="107.25" customHeight="1">
      <c r="E170" s="459">
        <v>110</v>
      </c>
      <c r="F170" s="3" t="str" cm="1">
        <f t="array" aca="1" ref="F170" ca="1">OFFSET(E170,-1,1)</f>
        <v>2</v>
      </c>
      <c r="G170" s="41"/>
      <c r="H170" s="23"/>
      <c r="I170" s="41" t="s">
        <v>331</v>
      </c>
      <c r="K170" s="59" t="str">
        <f ca="1">F170&amp;"2komm"</f>
        <v>22komm</v>
      </c>
      <c r="L170" s="618" cm="1">
        <f t="array" ref="L170">AH170</f>
        <v>0</v>
      </c>
      <c r="M170" s="59"/>
      <c r="T170" s="365" t="b" cm="1">
        <f t="array" ref="T170">T169</f>
        <v>1</v>
      </c>
      <c r="X170" s="1075"/>
      <c r="Z170" s="1065"/>
      <c r="AB170" s="166" t="s">
        <v>1574</v>
      </c>
      <c r="AC170" s="144" t="s">
        <v>1575</v>
      </c>
      <c r="AD170" s="143" t="s">
        <v>1576</v>
      </c>
      <c r="AE170" s="166" t="s">
        <v>804</v>
      </c>
      <c r="AF170" s="294"/>
      <c r="AG170" s="294"/>
      <c r="AH170" s="122"/>
      <c r="AL170" s="665" t="s">
        <v>1014</v>
      </c>
    </row>
    <row r="171" spans="1:43" ht="76.5" customHeight="1">
      <c r="B171" s="62" t="b">
        <f>S129="Водоотведение"</f>
        <v>1</v>
      </c>
      <c r="E171" s="459">
        <v>78.75</v>
      </c>
      <c r="F171" s="3" t="str" cm="1">
        <f t="array" aca="1" ref="F171" ca="1">OFFSET(E171,-1,1)</f>
        <v>2</v>
      </c>
      <c r="H171" s="2"/>
      <c r="I171" s="57" t="s">
        <v>330</v>
      </c>
      <c r="K171" s="59" t="str">
        <f ca="1">F171&amp;"3komm"</f>
        <v>23komm</v>
      </c>
      <c r="L171" s="618" cm="1">
        <f t="array" ref="L171">AH171</f>
        <v>0</v>
      </c>
      <c r="M171" s="59"/>
      <c r="T171" s="365" t="b" cm="1">
        <f t="array" ref="T171">T170</f>
        <v>1</v>
      </c>
      <c r="X171" s="1075"/>
      <c r="Z171" s="1065"/>
      <c r="AB171" s="166" t="s">
        <v>1577</v>
      </c>
      <c r="AC171" s="144" t="s">
        <v>1578</v>
      </c>
      <c r="AD171" s="143"/>
      <c r="AE171" s="166" t="s">
        <v>804</v>
      </c>
      <c r="AF171" s="294"/>
      <c r="AG171" s="157">
        <f ca="1">IFERROR(SUMIFS('Плата за негативное возд'!$AL$24:$AL$35,'Плата за негативное возд'!$F$24:$F$35,F171,'Плата за негативное возд'!$AB$24:$AB$35,"1"),0)</f>
        <v>0</v>
      </c>
      <c r="AH171" s="122"/>
      <c r="AL171" s="665" t="s">
        <v>1579</v>
      </c>
    </row>
    <row r="172" spans="1:43" ht="65.25" customHeight="1">
      <c r="B172" s="62" t="b" cm="1">
        <f t="array" ref="B172">B171</f>
        <v>1</v>
      </c>
      <c r="E172" s="459">
        <v>56.25</v>
      </c>
      <c r="F172" s="3" t="str" cm="1">
        <f t="array" aca="1" ref="F172" ca="1">OFFSET(E172,-1,1)</f>
        <v>2</v>
      </c>
      <c r="H172" s="2"/>
      <c r="I172" s="57" t="s">
        <v>511</v>
      </c>
      <c r="K172" s="59" t="str">
        <f ca="1">F172&amp;"4komm"</f>
        <v>24komm</v>
      </c>
      <c r="L172" s="618" cm="1">
        <f t="array" ref="L172">AH172</f>
        <v>0</v>
      </c>
      <c r="M172" s="59"/>
      <c r="T172" s="365" t="b" cm="1">
        <f t="array" ref="T172">T171</f>
        <v>1</v>
      </c>
      <c r="X172" s="1075"/>
      <c r="Z172" s="1065"/>
      <c r="AB172" s="166" t="s">
        <v>1580</v>
      </c>
      <c r="AC172" s="144" t="s">
        <v>1581</v>
      </c>
      <c r="AD172" s="143"/>
      <c r="AE172" s="166" t="s">
        <v>804</v>
      </c>
      <c r="AF172" s="294"/>
      <c r="AG172" s="157">
        <f ca="1">IFERROR(SUMIFS('Плата за негативное возд'!$AL$24:$AL$35,'Плата за негативное возд'!$F$24:$F$35,F172,'Плата за негативное возд'!$AB$24:$AB$35,"2"),0)</f>
        <v>0</v>
      </c>
      <c r="AH172" s="122"/>
      <c r="AL172" s="665" t="s">
        <v>1582</v>
      </c>
    </row>
    <row r="173" spans="1:43" ht="14.25" customHeight="1">
      <c r="E173" s="459">
        <v>15</v>
      </c>
      <c r="F173" s="3" t="str" cm="1">
        <f t="array" aca="1" ref="F173" ca="1">OFFSET(E173,-1,1)</f>
        <v>2</v>
      </c>
      <c r="H173" s="23"/>
      <c r="I173" s="57" t="s">
        <v>514</v>
      </c>
      <c r="K173" s="59" t="str">
        <f ca="1">F173&amp;"5komm"</f>
        <v>25komm</v>
      </c>
      <c r="L173" s="618" cm="1">
        <f t="array" ref="L173">AH173</f>
        <v>0</v>
      </c>
      <c r="M173" s="59"/>
      <c r="T173" s="365" t="b" cm="1">
        <f t="array" ref="T173">T172</f>
        <v>1</v>
      </c>
      <c r="X173" s="1075"/>
      <c r="Z173" s="1065"/>
      <c r="AB173" s="166" t="str">
        <f>IF(B172,"VII","V")</f>
        <v>VII</v>
      </c>
      <c r="AC173" s="144" t="s">
        <v>1583</v>
      </c>
      <c r="AD173" s="143"/>
      <c r="AE173" s="166" t="s">
        <v>804</v>
      </c>
      <c r="AF173" s="294"/>
      <c r="AG173" s="294"/>
      <c r="AH173" s="122"/>
      <c r="AL173" s="665" t="s">
        <v>1584</v>
      </c>
    </row>
    <row r="174" spans="1:43" s="935" customFormat="1" ht="23.25" customHeight="1">
      <c r="A174" s="173"/>
      <c r="B174" s="340"/>
      <c r="C174" s="173"/>
      <c r="D174" s="173"/>
      <c r="E174" s="512">
        <v>15</v>
      </c>
      <c r="F174" s="3" t="str" cm="1">
        <f t="array" aca="1" ref="F174" ca="1">OFFSET(E174,-1,1)</f>
        <v>2</v>
      </c>
      <c r="G174" s="387"/>
      <c r="H174" s="173"/>
      <c r="I174" s="173" t="s">
        <v>562</v>
      </c>
      <c r="J174" s="173"/>
      <c r="K174" s="59" t="str">
        <f ca="1">F174&amp;"6komm"</f>
        <v>26komm</v>
      </c>
      <c r="L174" s="618" cm="1">
        <f t="array" ref="L174">AH174</f>
        <v>0</v>
      </c>
      <c r="M174" s="387"/>
      <c r="N174" s="173"/>
      <c r="O174" s="173"/>
      <c r="P174" s="173"/>
      <c r="Q174" s="173"/>
      <c r="R174" s="173"/>
      <c r="S174" s="173"/>
      <c r="T174" s="365" t="b" cm="1">
        <f t="array" ref="T174">T173</f>
        <v>1</v>
      </c>
      <c r="U174" s="173"/>
      <c r="V174" s="173"/>
      <c r="W174" s="173"/>
      <c r="X174" s="1075"/>
      <c r="Y174" s="173"/>
      <c r="Z174" s="1065"/>
      <c r="AA174" s="173"/>
      <c r="AB174" s="166" t="str">
        <f>IF(B172,"VIII","VI")</f>
        <v>VIII</v>
      </c>
      <c r="AC174" s="144" t="s">
        <v>1545</v>
      </c>
      <c r="AD174" s="143"/>
      <c r="AE174" s="166" t="s">
        <v>804</v>
      </c>
      <c r="AF174" s="294">
        <f>AF175+AF176</f>
        <v>0</v>
      </c>
      <c r="AG174" s="294">
        <f>AG175+AG176</f>
        <v>-307.85000000000002</v>
      </c>
      <c r="AH174" s="122"/>
      <c r="AI174" s="173"/>
      <c r="AJ174" s="173"/>
      <c r="AK174" s="173"/>
      <c r="AL174" s="697" t="s">
        <v>1585</v>
      </c>
      <c r="AM174" s="173"/>
      <c r="AN174" s="173"/>
      <c r="AO174" s="173"/>
      <c r="AP174" s="173"/>
      <c r="AQ174" s="173"/>
    </row>
    <row r="175" spans="1:43" ht="21.75" customHeight="1">
      <c r="E175" s="459">
        <v>22.5</v>
      </c>
      <c r="F175" s="3" t="str" cm="1">
        <f t="array" aca="1" ref="F175" ca="1">OFFSET(E175,-1,1)</f>
        <v>2</v>
      </c>
      <c r="H175" s="23"/>
      <c r="I175" s="57" t="s">
        <v>565</v>
      </c>
      <c r="K175" s="59" t="str">
        <f ca="1">F175&amp;"7komm"</f>
        <v>27komm</v>
      </c>
      <c r="L175" s="618" t="str" cm="1">
        <f t="array" ref="L175">AH175</f>
        <v>на уровне плановой сметы.</v>
      </c>
      <c r="M175" s="59"/>
      <c r="T175" s="365" t="b" cm="1">
        <f t="array" ref="T175">T174</f>
        <v>1</v>
      </c>
      <c r="X175" s="1075"/>
      <c r="Z175" s="1065"/>
      <c r="AB175" s="28">
        <v>1</v>
      </c>
      <c r="AC175" s="146" t="s">
        <v>1548</v>
      </c>
      <c r="AD175" s="26"/>
      <c r="AE175" s="28" t="s">
        <v>804</v>
      </c>
      <c r="AF175" s="160"/>
      <c r="AG175" s="160">
        <v>-307.85000000000002</v>
      </c>
      <c r="AH175" s="122" t="s">
        <v>1604</v>
      </c>
      <c r="AL175" s="665" t="s">
        <v>1586</v>
      </c>
    </row>
    <row r="176" spans="1:43" ht="21.75" customHeight="1">
      <c r="E176" s="459">
        <v>22.5</v>
      </c>
      <c r="F176" s="3" t="str" cm="1">
        <f t="array" aca="1" ref="F176" ca="1">OFFSET(E176,-1,1)</f>
        <v>2</v>
      </c>
      <c r="H176" s="23"/>
      <c r="I176" s="57" t="s">
        <v>569</v>
      </c>
      <c r="K176" s="59" t="str">
        <f ca="1">F176&amp;"8komm"</f>
        <v>28komm</v>
      </c>
      <c r="L176" s="618" cm="1">
        <f t="array" ref="L176">AH176</f>
        <v>0</v>
      </c>
      <c r="M176" s="59"/>
      <c r="T176" s="365" t="b" cm="1">
        <f t="array" ref="T176">T175</f>
        <v>1</v>
      </c>
      <c r="X176" s="1075"/>
      <c r="Z176" s="1065"/>
      <c r="AB176" s="28">
        <v>2</v>
      </c>
      <c r="AC176" s="146" t="s">
        <v>1550</v>
      </c>
      <c r="AD176" s="26"/>
      <c r="AE176" s="28" t="s">
        <v>804</v>
      </c>
      <c r="AF176" s="160"/>
      <c r="AG176" s="160"/>
      <c r="AH176" s="122"/>
      <c r="AL176" s="665" t="s">
        <v>1587</v>
      </c>
    </row>
    <row r="177" spans="1:43" ht="23.25" customHeight="1">
      <c r="E177" s="459">
        <v>15</v>
      </c>
      <c r="F177" s="3" t="str" cm="1">
        <f t="array" aca="1" ref="F177" ca="1">OFFSET(E177,-1,1)</f>
        <v>2</v>
      </c>
      <c r="H177" s="23"/>
      <c r="I177" s="57" t="s">
        <v>577</v>
      </c>
      <c r="K177" s="59" t="str">
        <f ca="1">F177&amp;"9komm"</f>
        <v>29komm</v>
      </c>
      <c r="L177" s="618" cm="1">
        <f t="array" ref="L177">AH177</f>
        <v>0</v>
      </c>
      <c r="M177" s="59"/>
      <c r="T177" s="365" t="b" cm="1">
        <f t="array" ref="T177">T176</f>
        <v>1</v>
      </c>
      <c r="X177" s="1075"/>
      <c r="Z177" s="1065"/>
      <c r="AB177" s="166" t="str">
        <f>IF(B172,"IX","VIII")</f>
        <v>IX</v>
      </c>
      <c r="AC177" s="144" t="s">
        <v>1552</v>
      </c>
      <c r="AD177" s="143"/>
      <c r="AE177" s="166" t="s">
        <v>804</v>
      </c>
      <c r="AF177" s="294"/>
      <c r="AG177" s="294"/>
      <c r="AH177" s="122"/>
      <c r="AL177" s="665" t="s">
        <v>1588</v>
      </c>
    </row>
    <row r="178" spans="1:43" ht="23.25" customHeight="1">
      <c r="E178" s="459">
        <v>15</v>
      </c>
      <c r="F178" s="3" t="str" cm="1">
        <f t="array" aca="1" ref="F178" ca="1">OFFSET(E178,-1,1)</f>
        <v>2</v>
      </c>
      <c r="H178" s="23"/>
      <c r="I178" s="57" t="s">
        <v>585</v>
      </c>
      <c r="K178" s="59" t="str">
        <f ca="1">F178&amp;"10komm"</f>
        <v>210komm</v>
      </c>
      <c r="L178" s="618" cm="1">
        <f t="array" ref="L178">AH178</f>
        <v>0</v>
      </c>
      <c r="M178" s="59"/>
      <c r="T178" s="365" t="b" cm="1">
        <f t="array" ref="T178">T177</f>
        <v>1</v>
      </c>
      <c r="X178" s="1075"/>
      <c r="Z178" s="1065"/>
      <c r="AB178" s="166" t="str">
        <f>IF(B172,"X","IX")</f>
        <v>X</v>
      </c>
      <c r="AC178" s="144" t="s">
        <v>1554</v>
      </c>
      <c r="AD178" s="143"/>
      <c r="AE178" s="166" t="s">
        <v>804</v>
      </c>
      <c r="AF178" s="294"/>
      <c r="AG178" s="294"/>
      <c r="AH178" s="122"/>
      <c r="AL178" s="665" t="s">
        <v>1589</v>
      </c>
    </row>
    <row r="179" spans="1:43" s="935" customFormat="1" ht="14.25" customHeight="1">
      <c r="A179" s="173"/>
      <c r="B179" s="340"/>
      <c r="C179" s="173"/>
      <c r="D179" s="173"/>
      <c r="E179" s="512">
        <v>15</v>
      </c>
      <c r="F179" s="3" t="str" cm="1">
        <f t="array" aca="1" ref="F179" ca="1">OFFSET(E179,-1,1)</f>
        <v>2</v>
      </c>
      <c r="G179" s="387"/>
      <c r="H179" s="173"/>
      <c r="I179" s="173" t="s">
        <v>743</v>
      </c>
      <c r="J179" s="173"/>
      <c r="K179" s="59" t="str">
        <f ca="1">F179&amp;"11komm"</f>
        <v>211komm</v>
      </c>
      <c r="L179" s="618" cm="1">
        <f t="array" ref="L179">AH179</f>
        <v>0</v>
      </c>
      <c r="M179" s="387"/>
      <c r="N179" s="173"/>
      <c r="O179" s="173"/>
      <c r="P179" s="173"/>
      <c r="Q179" s="173"/>
      <c r="R179" s="173"/>
      <c r="S179" s="173"/>
      <c r="T179" s="365" t="b" cm="1">
        <f t="array" ref="T179">T178</f>
        <v>1</v>
      </c>
      <c r="U179" s="173"/>
      <c r="V179" s="173"/>
      <c r="W179" s="173"/>
      <c r="X179" s="1075"/>
      <c r="Y179" s="173"/>
      <c r="Z179" s="1065"/>
      <c r="AA179" s="173"/>
      <c r="AB179" s="166" t="str">
        <f>IF(B172,"XI","X")</f>
        <v>XI</v>
      </c>
      <c r="AC179" s="151" t="s">
        <v>1590</v>
      </c>
      <c r="AD179" s="143"/>
      <c r="AE179" s="166" t="s">
        <v>804</v>
      </c>
      <c r="AF179" s="579">
        <f>AF130+AF165+AF169+AF170+AF171+AF172+AF173+AF174+AF177+AF178</f>
        <v>5039.9004600000044</v>
      </c>
      <c r="AG179" s="579">
        <f ca="1">AG130+AG165+AG169+AG170+AG171+AG172+AG173+AG174+AG177+AG178</f>
        <v>-421.2945399999968</v>
      </c>
      <c r="AH179" s="122"/>
      <c r="AI179" s="173"/>
      <c r="AJ179" s="173"/>
      <c r="AK179" s="173"/>
      <c r="AL179" s="697" t="s">
        <v>1591</v>
      </c>
      <c r="AM179" s="173"/>
      <c r="AN179" s="173"/>
      <c r="AO179" s="173"/>
      <c r="AP179" s="173"/>
      <c r="AQ179" s="173"/>
    </row>
    <row r="180" spans="1:43" ht="10.9" customHeight="1">
      <c r="A180"/>
      <c r="B180" s="339"/>
      <c r="C180"/>
      <c r="D180"/>
      <c r="E180" s="465">
        <v>11.25</v>
      </c>
      <c r="F180"/>
      <c r="G180" s="380"/>
      <c r="H180"/>
      <c r="I180"/>
      <c r="J180"/>
      <c r="K180" s="59"/>
      <c r="L180" s="618"/>
      <c r="M180" s="380"/>
      <c r="N180"/>
      <c r="O180"/>
      <c r="P180"/>
      <c r="Q180"/>
      <c r="R180"/>
      <c r="S180"/>
      <c r="T180"/>
      <c r="U180" s="327" t="s">
        <v>177</v>
      </c>
      <c r="V180" s="75" t="s">
        <v>1612</v>
      </c>
      <c r="W180"/>
      <c r="X180"/>
      <c r="Y180"/>
      <c r="Z180"/>
      <c r="AA180"/>
      <c r="AB180"/>
      <c r="AC180" s="327"/>
      <c r="AD180" s="327"/>
      <c r="AE180" s="327"/>
      <c r="AF180" s="327"/>
      <c r="AG180"/>
      <c r="AH180"/>
      <c r="AI180"/>
      <c r="AJ180"/>
      <c r="AK180"/>
      <c r="AL180" s="670"/>
      <c r="AM180"/>
      <c r="AN180"/>
      <c r="AO180"/>
      <c r="AP180"/>
      <c r="AQ180" s="38"/>
    </row>
    <row r="181" spans="1:43" ht="14.65" customHeight="1">
      <c r="E181" s="459">
        <v>15</v>
      </c>
      <c r="AB181" s="1088" t="s">
        <v>398</v>
      </c>
      <c r="AC181" s="1088"/>
      <c r="AD181" s="1088"/>
      <c r="AE181" s="1088"/>
      <c r="AF181" s="1088"/>
      <c r="AG181" s="1088"/>
      <c r="AH181" s="1088"/>
    </row>
    <row r="182" spans="1:43" ht="14.65" customHeight="1">
      <c r="E182" s="459">
        <v>15</v>
      </c>
      <c r="AA182" s="106"/>
      <c r="AB182" s="1158"/>
      <c r="AC182" s="1158"/>
      <c r="AD182" s="1158"/>
      <c r="AE182" s="1158"/>
      <c r="AF182" s="1158"/>
      <c r="AG182" s="1158"/>
      <c r="AH182" s="1158"/>
    </row>
    <row r="183" spans="1:43" ht="14.65" hidden="1" customHeight="1">
      <c r="E183" s="459">
        <v>15</v>
      </c>
      <c r="T183" s="365" t="b">
        <f>ROW(W183)&gt;ROW(W$183)</f>
        <v>0</v>
      </c>
      <c r="W183" s="528" t="s">
        <v>173</v>
      </c>
      <c r="AA183" s="332" t="s">
        <v>174</v>
      </c>
      <c r="AB183" s="1159" t="s">
        <v>225</v>
      </c>
      <c r="AC183" s="1159"/>
      <c r="AD183" s="1159"/>
      <c r="AE183" s="1159"/>
      <c r="AF183" s="1159"/>
      <c r="AG183" s="1159"/>
      <c r="AH183" s="1159"/>
    </row>
    <row r="184" spans="1:43" ht="14.65" customHeight="1">
      <c r="E184" s="459">
        <v>15</v>
      </c>
      <c r="W184" s="528" t="s">
        <v>399</v>
      </c>
      <c r="AB184" s="485"/>
      <c r="AC184" s="394" t="s">
        <v>400</v>
      </c>
      <c r="AD184" s="231"/>
      <c r="AE184" s="231"/>
      <c r="AF184" s="231"/>
      <c r="AG184" s="231"/>
      <c r="AH184" s="295"/>
    </row>
    <row r="185" spans="1:43" ht="10.7" customHeight="1">
      <c r="E185" s="459">
        <v>11</v>
      </c>
      <c r="AI185" s="41"/>
    </row>
    <row r="186" spans="1:43" ht="10.7" hidden="1" customHeight="1">
      <c r="E186" s="459">
        <v>11</v>
      </c>
      <c r="AB186" s="78" t="s">
        <v>1613</v>
      </c>
    </row>
  </sheetData>
  <sheetProtection formatColumns="0" formatRows="0" insertRows="0" deleteColumns="0" deleteRows="0" sort="0" autoFilter="0"/>
  <mergeCells count="14">
    <mergeCell ref="AH24:AH25"/>
    <mergeCell ref="AB24:AB25"/>
    <mergeCell ref="AC24:AC25"/>
    <mergeCell ref="AD24:AD25"/>
    <mergeCell ref="AE24:AE25"/>
    <mergeCell ref="AB181:AH181"/>
    <mergeCell ref="AB182:AH182"/>
    <mergeCell ref="AB183:AH183"/>
    <mergeCell ref="X27:X77"/>
    <mergeCell ref="Z27:Z77"/>
    <mergeCell ref="X78:X128"/>
    <mergeCell ref="Z78:Z128"/>
    <mergeCell ref="X129:X179"/>
    <mergeCell ref="Z129:Z179"/>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74D8-FA28-A3A8-6208-74B27CCC3AF6}">
  <sheetPr>
    <tabColor rgb="FF002060"/>
    <outlinePr summaryBelow="0" summaryRight="0"/>
  </sheetPr>
  <dimension ref="A1:GD223"/>
  <sheetViews>
    <sheetView showGridLines="0" workbookViewId="0">
      <pane xSplit="29" ySplit="26" topLeftCell="AD108" activePane="bottomRight" state="frozen"/>
      <selection pane="topRight" activeCell="AD1" sqref="AD1"/>
      <selection pane="bottomLeft" activeCell="A27" sqref="A27"/>
      <selection pane="bottomRight" activeCell="AE97" sqref="AE97"/>
    </sheetView>
  </sheetViews>
  <sheetFormatPr defaultColWidth="9.140625" defaultRowHeight="11.25" customHeight="1"/>
  <cols>
    <col min="1" max="1" width="3.5703125" style="36" hidden="1" customWidth="1"/>
    <col min="2" max="2" width="8.5703125" style="396" hidden="1" customWidth="1"/>
    <col min="3" max="4" width="3.5703125" style="36" hidden="1" customWidth="1"/>
    <col min="5" max="5" width="3.5703125" style="472" hidden="1" customWidth="1"/>
    <col min="6" max="6" width="5.42578125" style="384" hidden="1" customWidth="1"/>
    <col min="7" max="7" width="19.42578125" style="36" hidden="1" customWidth="1"/>
    <col min="8" max="10" width="3.5703125" style="36" hidden="1" customWidth="1"/>
    <col min="11" max="11" width="6.42578125" style="36" hidden="1" customWidth="1"/>
    <col min="12" max="12" width="8.5703125" style="36" hidden="1" customWidth="1"/>
    <col min="13" max="16" width="3.5703125" style="36" hidden="1" customWidth="1"/>
    <col min="17" max="17" width="18.85546875" style="36" hidden="1" customWidth="1"/>
    <col min="18" max="18" width="17.7109375" style="36" hidden="1" customWidth="1"/>
    <col min="19" max="19" width="11.85546875" style="36" hidden="1" customWidth="1"/>
    <col min="20" max="20" width="9.42578125" style="36" hidden="1" customWidth="1"/>
    <col min="21" max="21" width="5.85546875" style="36" hidden="1" customWidth="1"/>
    <col min="22" max="23" width="6.140625" style="36" hidden="1" customWidth="1"/>
    <col min="24" max="25" width="5.5703125" style="36" hidden="1" customWidth="1"/>
    <col min="26" max="26" width="5.28515625" style="36" hidden="1" customWidth="1"/>
    <col min="27" max="27" width="3" style="36" customWidth="1"/>
    <col min="28" max="28" width="56" style="139" customWidth="1"/>
    <col min="29" max="29" width="12.5703125" style="79" customWidth="1"/>
    <col min="30" max="32" width="14.140625" style="36" customWidth="1"/>
    <col min="33" max="179" width="14.140625" style="36" hidden="1" customWidth="1"/>
    <col min="180" max="180" width="3" style="36" customWidth="1"/>
    <col min="181" max="181" width="9.140625" style="36" hidden="1"/>
    <col min="182" max="182" width="31.7109375" style="680" hidden="1" customWidth="1"/>
    <col min="183" max="184" width="9.140625" style="680" hidden="1"/>
    <col min="185" max="186" width="9.140625" style="472" hidden="1"/>
  </cols>
  <sheetData>
    <row r="1" spans="1:186" ht="11.25" hidden="1" customHeight="1">
      <c r="E1" s="36"/>
      <c r="F1" s="384" t="s">
        <v>315</v>
      </c>
      <c r="H1" s="36" t="s">
        <v>326</v>
      </c>
      <c r="I1" s="36" t="s">
        <v>350</v>
      </c>
      <c r="T1" s="365" t="s">
        <v>93</v>
      </c>
      <c r="U1" s="365" t="s">
        <v>98</v>
      </c>
      <c r="V1" s="365" t="s">
        <v>94</v>
      </c>
      <c r="W1" s="365" t="s">
        <v>95</v>
      </c>
      <c r="X1" s="365" t="s">
        <v>96</v>
      </c>
      <c r="Y1" s="367" t="s">
        <v>317</v>
      </c>
      <c r="Z1" s="365" t="s">
        <v>100</v>
      </c>
      <c r="AA1" s="367" t="s">
        <v>97</v>
      </c>
      <c r="AB1" s="366" t="s">
        <v>99</v>
      </c>
      <c r="FZ1" s="680" t="s">
        <v>318</v>
      </c>
      <c r="GA1" s="680" t="s">
        <v>319</v>
      </c>
      <c r="GB1" s="680" t="s">
        <v>320</v>
      </c>
      <c r="GC1" s="472" t="s">
        <v>323</v>
      </c>
      <c r="GD1" s="472" t="s">
        <v>324</v>
      </c>
    </row>
    <row r="2" spans="1:186" s="65" customFormat="1" ht="11.25" hidden="1" customHeight="1">
      <c r="B2" s="622" t="s">
        <v>19</v>
      </c>
      <c r="F2" s="384"/>
      <c r="AB2" s="338"/>
      <c r="AC2" s="338"/>
      <c r="AD2" s="65" t="b" cm="1">
        <f t="array" ref="AD2">isOrgDeclare</f>
        <v>1</v>
      </c>
      <c r="AF2" s="65" t="b" cm="1">
        <f t="array" ref="AF2">isOrgDeclare</f>
        <v>1</v>
      </c>
      <c r="AG2" s="389" t="b">
        <f>AND(AG6&lt;=last_year_vis,isOrgDeclare)</f>
        <v>0</v>
      </c>
      <c r="AH2" s="389" t="b">
        <f>AH6&lt;=last_year_vis</f>
        <v>0</v>
      </c>
      <c r="AI2" s="389" t="b">
        <f>AND(AI6&lt;=last_year_vis,isOrgDeclare)</f>
        <v>0</v>
      </c>
      <c r="AJ2" s="389" t="b">
        <f>AND(AJ6&lt;=last_year_vis,isOrgDeclare)</f>
        <v>0</v>
      </c>
      <c r="AK2" s="389" t="b">
        <f>AK6&lt;=last_year_vis</f>
        <v>0</v>
      </c>
      <c r="AL2" s="389" t="b">
        <f>AND(AL6&lt;=last_year_vis,isOrgDeclare)</f>
        <v>0</v>
      </c>
      <c r="AM2" s="389" t="b">
        <f>AND(AM6&lt;=last_year_vis,isOrgDeclare)</f>
        <v>0</v>
      </c>
      <c r="AN2" s="389" t="b">
        <f>AN6&lt;=last_year_vis</f>
        <v>0</v>
      </c>
      <c r="AO2" s="389" t="b">
        <f>AND(AO6&lt;=last_year_vis,isOrgDeclare)</f>
        <v>0</v>
      </c>
      <c r="AP2" s="389" t="b">
        <f>AND(AP6&lt;=last_year_vis,isOrgDeclare)</f>
        <v>0</v>
      </c>
      <c r="AQ2" s="389" t="b">
        <f>AQ6&lt;=last_year_vis</f>
        <v>0</v>
      </c>
      <c r="AR2" s="389" t="b">
        <f>AND(AR6&lt;=last_year_vis,isOrgDeclare)</f>
        <v>0</v>
      </c>
      <c r="AS2" s="389" t="b">
        <f>AND(AS6&lt;=last_year_vis,isOrgDeclare)</f>
        <v>0</v>
      </c>
      <c r="AT2" s="389" t="b">
        <f>AT6&lt;=last_year_vis</f>
        <v>0</v>
      </c>
      <c r="AU2" s="389" t="b">
        <f>AND(AU6&lt;=last_year_vis,isOrgDeclare)</f>
        <v>0</v>
      </c>
      <c r="AV2" s="389" t="b">
        <f>AND(AV6&lt;=last_year_vis,isOrgDeclare)</f>
        <v>0</v>
      </c>
      <c r="AW2" s="389" t="b">
        <f>AW6&lt;=last_year_vis</f>
        <v>0</v>
      </c>
      <c r="AX2" s="389" t="b">
        <f>AND(AX6&lt;=last_year_vis,isOrgDeclare)</f>
        <v>0</v>
      </c>
      <c r="AY2" s="389" t="b">
        <f>AND(AY6&lt;=last_year_vis,isOrgDeclare)</f>
        <v>0</v>
      </c>
      <c r="AZ2" s="389" t="b">
        <f>AZ6&lt;=last_year_vis</f>
        <v>0</v>
      </c>
      <c r="BA2" s="389" t="b">
        <f>AND(BA6&lt;=last_year_vis,isOrgDeclare)</f>
        <v>0</v>
      </c>
      <c r="BB2" s="389" t="b">
        <f>AND(BB6&lt;=last_year_vis,isOrgDeclare)</f>
        <v>0</v>
      </c>
      <c r="BC2" s="389" t="b">
        <f>BC6&lt;=last_year_vis</f>
        <v>0</v>
      </c>
      <c r="BD2" s="389" t="b">
        <f>AND(BD6&lt;=last_year_vis,isOrgDeclare)</f>
        <v>0</v>
      </c>
      <c r="BE2" s="389" t="b">
        <f>AND(BE6&lt;=last_year_vis,isOrgDeclare)</f>
        <v>0</v>
      </c>
      <c r="BF2" s="389" t="b">
        <f>BF6&lt;=last_year_vis</f>
        <v>0</v>
      </c>
      <c r="BG2" s="389" t="b">
        <f>AND(BG6&lt;=last_year_vis,isOrgDeclare)</f>
        <v>0</v>
      </c>
      <c r="BH2" s="389" t="b">
        <f>AND(BH6&lt;=last_year_vis,isOrgDeclare)</f>
        <v>0</v>
      </c>
      <c r="BI2" s="389" t="b">
        <f>BI6&lt;=last_year_vis</f>
        <v>0</v>
      </c>
      <c r="BJ2" s="389" t="b">
        <f>AND(BJ6&lt;=last_year_vis,isOrgDeclare)</f>
        <v>0</v>
      </c>
      <c r="BK2" s="389" t="b">
        <f>AND(BK6&lt;=last_year_vis,isOrgDeclare)</f>
        <v>0</v>
      </c>
      <c r="BL2" s="389" t="b">
        <f>BL6&lt;=last_year_vis</f>
        <v>0</v>
      </c>
      <c r="BM2" s="389" t="b">
        <f>AND(BM6&lt;=last_year_vis,isOrgDeclare)</f>
        <v>0</v>
      </c>
      <c r="BN2" s="389" t="b">
        <f>AND(BN6&lt;=last_year_vis,isOrgDeclare)</f>
        <v>0</v>
      </c>
      <c r="BO2" s="389" t="b">
        <f>BO6&lt;=last_year_vis</f>
        <v>0</v>
      </c>
      <c r="BP2" s="389" t="b">
        <f>AND(BP6&lt;=last_year_vis,isOrgDeclare)</f>
        <v>0</v>
      </c>
      <c r="BQ2" s="389" t="b">
        <f>AND(BQ6&lt;=last_year_vis,isOrgDeclare)</f>
        <v>0</v>
      </c>
      <c r="BR2" s="389" t="b">
        <f>BR6&lt;=last_year_vis</f>
        <v>0</v>
      </c>
      <c r="BS2" s="389" t="b">
        <f>AND(BS6&lt;=last_year_vis,isOrgDeclare)</f>
        <v>0</v>
      </c>
      <c r="BT2" s="389" t="b">
        <f>AND(BT6&lt;=last_year_vis,isOrgDeclare)</f>
        <v>0</v>
      </c>
      <c r="BU2" s="389" t="b">
        <f>BU6&lt;=last_year_vis</f>
        <v>0</v>
      </c>
      <c r="BV2" s="389" t="b">
        <f>AND(BV6&lt;=last_year_vis,isOrgDeclare)</f>
        <v>0</v>
      </c>
      <c r="BW2" s="389" t="b">
        <f>AND(BW6&lt;=last_year_vis,isOrgDeclare)</f>
        <v>0</v>
      </c>
      <c r="BX2" s="389" t="b">
        <f>BX6&lt;=last_year_vis</f>
        <v>0</v>
      </c>
      <c r="BY2" s="389" t="b">
        <f>AND(BY6&lt;=last_year_vis,isOrgDeclare)</f>
        <v>0</v>
      </c>
      <c r="BZ2" s="389" t="b">
        <f>AND(BZ6&lt;=last_year_vis,isOrgDeclare)</f>
        <v>0</v>
      </c>
      <c r="CA2" s="389" t="b">
        <f>CA6&lt;=last_year_vis</f>
        <v>0</v>
      </c>
      <c r="CB2" s="389" t="b">
        <f>AND(CB6&lt;=last_year_vis,isOrgDeclare)</f>
        <v>0</v>
      </c>
      <c r="CC2" s="389" t="b">
        <f>AND(CC6&lt;=last_year_vis,isOrgDeclare)</f>
        <v>0</v>
      </c>
      <c r="CD2" s="389" t="b">
        <f>CD6&lt;=last_year_vis</f>
        <v>0</v>
      </c>
      <c r="CE2" s="389" t="b">
        <f>AND(CE6&lt;=last_year_vis,isOrgDeclare)</f>
        <v>0</v>
      </c>
      <c r="CF2" s="389" t="b">
        <f>AND(CF6&lt;=last_year_vis,isOrgDeclare)</f>
        <v>0</v>
      </c>
      <c r="CG2" s="389" t="b">
        <f>CG6&lt;=last_year_vis</f>
        <v>0</v>
      </c>
      <c r="CH2" s="389" t="b">
        <f>AND(CH6&lt;=last_year_vis,isOrgDeclare)</f>
        <v>0</v>
      </c>
      <c r="CI2" s="389" t="b">
        <f>AND(CI6&lt;=last_year_vis,isOrgDeclare)</f>
        <v>0</v>
      </c>
      <c r="CJ2" s="389" t="b">
        <f>CJ6&lt;=last_year_vis</f>
        <v>0</v>
      </c>
      <c r="CK2" s="389" t="b">
        <f>AND(CK6&lt;=last_year_vis,isOrgDeclare)</f>
        <v>0</v>
      </c>
      <c r="CL2" s="389" t="b">
        <f>AND(CL6&lt;=last_year_vis,isOrgDeclare)</f>
        <v>0</v>
      </c>
      <c r="CM2" s="389" t="b">
        <f>CM6&lt;=last_year_vis</f>
        <v>0</v>
      </c>
      <c r="CN2" s="389" t="b">
        <f>AND(CN6&lt;=last_year_vis,isOrgDeclare)</f>
        <v>0</v>
      </c>
      <c r="CO2" s="389" t="b">
        <f>AND(CO6&lt;=last_year_vis,isOrgDeclare)</f>
        <v>0</v>
      </c>
      <c r="CP2" s="389" t="b">
        <f>CP6&lt;=last_year_vis</f>
        <v>0</v>
      </c>
      <c r="CQ2" s="389" t="b">
        <f>AND(CQ6&lt;=last_year_vis,isOrgDeclare)</f>
        <v>0</v>
      </c>
      <c r="CR2" s="389" t="b">
        <f>AND(CR6&lt;=last_year_vis,isOrgDeclare)</f>
        <v>0</v>
      </c>
      <c r="CS2" s="389" t="b">
        <f>CS6&lt;=last_year_vis</f>
        <v>0</v>
      </c>
      <c r="CT2" s="389" t="b">
        <f>AND(CT6&lt;=last_year_vis,isOrgDeclare)</f>
        <v>0</v>
      </c>
      <c r="CU2" s="389" t="b">
        <f>AND(CU6&lt;=last_year_vis,isOrgDeclare)</f>
        <v>0</v>
      </c>
      <c r="CV2" s="389" t="b">
        <f>CV6&lt;=last_year_vis</f>
        <v>0</v>
      </c>
      <c r="CW2" s="389" t="b">
        <f>AND(CW6&lt;=last_year_vis,isOrgDeclare)</f>
        <v>0</v>
      </c>
      <c r="CX2" s="389" t="b">
        <f>AND(CX6&lt;=last_year_vis,isOrgDeclare)</f>
        <v>0</v>
      </c>
      <c r="CY2" s="389" t="b">
        <f>CY6&lt;=last_year_vis</f>
        <v>0</v>
      </c>
      <c r="CZ2" s="389" t="b">
        <f>AND(CZ6&lt;=last_year_vis,isOrgDeclare)</f>
        <v>0</v>
      </c>
      <c r="DA2" s="389" t="b">
        <f>AND(DA6&lt;=last_year_vis,isOrgDeclare)</f>
        <v>0</v>
      </c>
      <c r="DB2" s="389" t="b">
        <f>DB6&lt;=last_year_vis</f>
        <v>0</v>
      </c>
      <c r="DC2" s="389" t="b">
        <f>AND(DC6&lt;=last_year_vis,isOrgDeclare)</f>
        <v>0</v>
      </c>
      <c r="DD2" s="389" t="b">
        <f>AND(DD6&lt;=last_year_vis,isOrgDeclare)</f>
        <v>0</v>
      </c>
      <c r="DE2" s="389" t="b">
        <f>DE6&lt;=last_year_vis</f>
        <v>0</v>
      </c>
      <c r="DF2" s="389" t="b">
        <f>AND(DF6&lt;=last_year_vis,isOrgDeclare)</f>
        <v>0</v>
      </c>
      <c r="DG2" s="389" t="b">
        <f>AND(DG6&lt;=last_year_vis,isOrgDeclare)</f>
        <v>0</v>
      </c>
      <c r="DH2" s="389" t="b">
        <f>DH6&lt;=last_year_vis</f>
        <v>0</v>
      </c>
      <c r="DI2" s="389" t="b">
        <f>AND(DI6&lt;=last_year_vis,isOrgDeclare)</f>
        <v>0</v>
      </c>
      <c r="DJ2" s="389" t="b">
        <f>AND(DJ6&lt;=last_year_vis,isOrgDeclare)</f>
        <v>0</v>
      </c>
      <c r="DK2" s="389" t="b">
        <f>DK6&lt;=last_year_vis</f>
        <v>0</v>
      </c>
      <c r="DL2" s="389" t="b">
        <f>AND(DL6&lt;=last_year_vis,isOrgDeclare)</f>
        <v>0</v>
      </c>
      <c r="DM2" s="389" t="b">
        <f>AND(DM6&lt;=last_year_vis,isOrgDeclare)</f>
        <v>0</v>
      </c>
      <c r="DN2" s="389" t="b">
        <f>DN6&lt;=last_year_vis</f>
        <v>0</v>
      </c>
      <c r="DO2" s="389" t="b">
        <f>AND(DO6&lt;=last_year_vis,isOrgDeclare)</f>
        <v>0</v>
      </c>
      <c r="DP2" s="389" t="b">
        <f>AND(DP6&lt;=last_year_vis,isOrgDeclare)</f>
        <v>0</v>
      </c>
      <c r="DQ2" s="389" t="b">
        <f>DQ6&lt;=last_year_vis</f>
        <v>0</v>
      </c>
      <c r="DR2" s="389" t="b">
        <f>AND(DR6&lt;=last_year_vis,isOrgDeclare)</f>
        <v>0</v>
      </c>
      <c r="DS2" s="389" t="b">
        <f>AND(DS6&lt;=last_year_vis,isOrgDeclare)</f>
        <v>0</v>
      </c>
      <c r="DT2" s="389" t="b">
        <f>DT6&lt;=last_year_vis</f>
        <v>0</v>
      </c>
      <c r="DU2" s="389" t="b">
        <f>AND(DU6&lt;=last_year_vis,isOrgDeclare)</f>
        <v>0</v>
      </c>
      <c r="DV2" s="389" t="b">
        <f>AND(DV6&lt;=last_year_vis,isOrgDeclare)</f>
        <v>0</v>
      </c>
      <c r="DW2" s="389" t="b">
        <f>DW6&lt;=last_year_vis</f>
        <v>0</v>
      </c>
      <c r="DX2" s="389" t="b">
        <f>AND(DX6&lt;=last_year_vis,isOrgDeclare)</f>
        <v>0</v>
      </c>
      <c r="DY2" s="389" t="b">
        <f>AND(DY6&lt;=last_year_vis,isOrgDeclare)</f>
        <v>0</v>
      </c>
      <c r="DZ2" s="389" t="b">
        <f>DZ6&lt;=last_year_vis</f>
        <v>0</v>
      </c>
      <c r="EA2" s="389" t="b">
        <f>AND(EA6&lt;=last_year_vis,isOrgDeclare)</f>
        <v>0</v>
      </c>
      <c r="EB2" s="389" t="b">
        <f>AND(EB6&lt;=last_year_vis,isOrgDeclare)</f>
        <v>0</v>
      </c>
      <c r="EC2" s="389" t="b">
        <f>EC6&lt;=last_year_vis</f>
        <v>0</v>
      </c>
      <c r="ED2" s="389" t="b">
        <f>AND(ED6&lt;=last_year_vis,isOrgDeclare)</f>
        <v>0</v>
      </c>
      <c r="EE2" s="389" t="b">
        <f>AND(EE6&lt;=last_year_vis,isOrgDeclare)</f>
        <v>0</v>
      </c>
      <c r="EF2" s="389" t="b">
        <f>EF6&lt;=last_year_vis</f>
        <v>0</v>
      </c>
      <c r="EG2" s="389" t="b">
        <f>AND(EG6&lt;=last_year_vis,isOrgDeclare)</f>
        <v>0</v>
      </c>
      <c r="EH2" s="389" t="b">
        <f>AND(EH6&lt;=last_year_vis,isOrgDeclare)</f>
        <v>0</v>
      </c>
      <c r="EI2" s="389" t="b">
        <f>EI6&lt;=last_year_vis</f>
        <v>0</v>
      </c>
      <c r="EJ2" s="389" t="b">
        <f>AND(EJ6&lt;=last_year_vis,isOrgDeclare)</f>
        <v>0</v>
      </c>
      <c r="EK2" s="389" t="b">
        <f>AND(EK6&lt;=last_year_vis,isOrgDeclare)</f>
        <v>0</v>
      </c>
      <c r="EL2" s="389" t="b">
        <f>EL6&lt;=last_year_vis</f>
        <v>0</v>
      </c>
      <c r="EM2" s="389" t="b">
        <f>AND(EM6&lt;=last_year_vis,isOrgDeclare)</f>
        <v>0</v>
      </c>
      <c r="EN2" s="389" t="b">
        <f>AND(EN6&lt;=last_year_vis,isOrgDeclare)</f>
        <v>0</v>
      </c>
      <c r="EO2" s="389" t="b">
        <f>EO6&lt;=last_year_vis</f>
        <v>0</v>
      </c>
      <c r="EP2" s="389" t="b">
        <f>AND(EP6&lt;=last_year_vis,isOrgDeclare)</f>
        <v>0</v>
      </c>
      <c r="EQ2" s="389" t="b">
        <f>AND(EQ6&lt;=last_year_vis,isOrgDeclare)</f>
        <v>0</v>
      </c>
      <c r="ER2" s="389" t="b">
        <f>ER6&lt;=last_year_vis</f>
        <v>0</v>
      </c>
      <c r="ES2" s="389" t="b">
        <f>AND(ES6&lt;=last_year_vis,isOrgDeclare)</f>
        <v>0</v>
      </c>
      <c r="ET2" s="389" t="b">
        <f>AND(ET6&lt;=last_year_vis,isOrgDeclare)</f>
        <v>0</v>
      </c>
      <c r="EU2" s="389" t="b">
        <f>EU6&lt;=last_year_vis</f>
        <v>0</v>
      </c>
      <c r="EV2" s="389" t="b">
        <f>AND(EV6&lt;=last_year_vis,isOrgDeclare)</f>
        <v>0</v>
      </c>
      <c r="EW2" s="389" t="b">
        <f>AND(EW6&lt;=last_year_vis,isOrgDeclare)</f>
        <v>0</v>
      </c>
      <c r="EX2" s="389" t="b">
        <f>EX6&lt;=last_year_vis</f>
        <v>0</v>
      </c>
      <c r="EY2" s="389" t="b">
        <f>AND(EY6&lt;=last_year_vis,isOrgDeclare)</f>
        <v>0</v>
      </c>
      <c r="EZ2" s="389" t="b">
        <f>AND(EZ6&lt;=last_year_vis,isOrgDeclare)</f>
        <v>0</v>
      </c>
      <c r="FA2" s="389" t="b">
        <f>FA6&lt;=last_year_vis</f>
        <v>0</v>
      </c>
      <c r="FB2" s="389" t="b">
        <f>AND(FB6&lt;=last_year_vis,isOrgDeclare)</f>
        <v>0</v>
      </c>
      <c r="FC2" s="389" t="b">
        <f>AND(FC6&lt;=last_year_vis,isOrgDeclare)</f>
        <v>0</v>
      </c>
      <c r="FD2" s="389" t="b">
        <f>FD6&lt;=last_year_vis</f>
        <v>0</v>
      </c>
      <c r="FE2" s="389" t="b">
        <f>AND(FE6&lt;=last_year_vis,isOrgDeclare)</f>
        <v>0</v>
      </c>
      <c r="FF2" s="389" t="b">
        <f>AND(FF6&lt;=last_year_vis,isOrgDeclare)</f>
        <v>0</v>
      </c>
      <c r="FG2" s="389" t="b">
        <f>FG6&lt;=last_year_vis</f>
        <v>0</v>
      </c>
      <c r="FH2" s="389" t="b">
        <f>AND(FH6&lt;=last_year_vis,isOrgDeclare)</f>
        <v>0</v>
      </c>
      <c r="FI2" s="389" t="b">
        <f>AND(FI6&lt;=last_year_vis,isOrgDeclare)</f>
        <v>0</v>
      </c>
      <c r="FJ2" s="389" t="b">
        <f>FJ6&lt;=last_year_vis</f>
        <v>0</v>
      </c>
      <c r="FK2" s="389" t="b">
        <f>AND(FK6&lt;=last_year_vis,isOrgDeclare)</f>
        <v>0</v>
      </c>
      <c r="FL2" s="389" t="b">
        <f>AND(FL6&lt;=last_year_vis,isOrgDeclare)</f>
        <v>0</v>
      </c>
      <c r="FM2" s="389" t="b">
        <f>FM6&lt;=last_year_vis</f>
        <v>0</v>
      </c>
      <c r="FN2" s="389" t="b">
        <f>AND(FN6&lt;=last_year_vis,isOrgDeclare)</f>
        <v>0</v>
      </c>
      <c r="FO2" s="389" t="b">
        <f>AND(FO6&lt;=last_year_vis,isOrgDeclare)</f>
        <v>0</v>
      </c>
      <c r="FP2" s="389" t="b">
        <f>FP6&lt;=last_year_vis</f>
        <v>0</v>
      </c>
      <c r="FQ2" s="389" t="b">
        <f>AND(FQ6&lt;=last_year_vis,isOrgDeclare)</f>
        <v>0</v>
      </c>
      <c r="FR2" s="389" t="b">
        <f>AND(FR6&lt;=last_year_vis,isOrgDeclare)</f>
        <v>0</v>
      </c>
      <c r="FS2" s="389" t="b">
        <f>FS6&lt;=last_year_vis</f>
        <v>0</v>
      </c>
      <c r="FT2" s="389" t="b">
        <f>AND(FT6&lt;=last_year_vis,isOrgDeclare)</f>
        <v>0</v>
      </c>
      <c r="FU2" s="389" t="b">
        <f>AND(FU6&lt;=last_year_vis,isOrgDeclare)</f>
        <v>0</v>
      </c>
      <c r="FV2" s="389" t="b">
        <f>FV6&lt;=last_year_vis</f>
        <v>0</v>
      </c>
      <c r="FW2" s="389" t="b">
        <f>AND(FW6&lt;=last_year_vis,isOrgDeclare)</f>
        <v>0</v>
      </c>
      <c r="FZ2" s="681"/>
      <c r="GA2" s="681"/>
      <c r="GB2" s="681"/>
      <c r="GC2" s="686"/>
      <c r="GD2" s="686"/>
    </row>
    <row r="3" spans="1:186" ht="11.25" hidden="1" customHeight="1">
      <c r="E3" s="36"/>
    </row>
    <row r="4" spans="1:186" ht="11.25" hidden="1" customHeight="1">
      <c r="E4" s="36"/>
    </row>
    <row r="5" spans="1:186" s="472" customFormat="1" ht="11.25" hidden="1" customHeight="1">
      <c r="A5" s="36"/>
      <c r="B5" s="396"/>
      <c r="C5" s="36"/>
      <c r="D5" s="36"/>
      <c r="E5" s="472" t="s">
        <v>20</v>
      </c>
      <c r="F5" s="608"/>
      <c r="AA5" s="472">
        <v>3</v>
      </c>
      <c r="AB5" s="514">
        <v>56</v>
      </c>
      <c r="AC5" s="470">
        <v>12.57</v>
      </c>
      <c r="AD5" s="472">
        <v>14.14</v>
      </c>
      <c r="AE5" s="472">
        <v>14.14</v>
      </c>
      <c r="AF5" s="472">
        <v>14.14</v>
      </c>
      <c r="AG5" s="472">
        <v>14.14</v>
      </c>
      <c r="AH5" s="472">
        <v>14.14</v>
      </c>
      <c r="AI5" s="472">
        <v>14.14</v>
      </c>
      <c r="AJ5" s="472">
        <v>14.14</v>
      </c>
      <c r="AK5" s="472">
        <v>14.14</v>
      </c>
      <c r="AL5" s="472">
        <v>14.14</v>
      </c>
      <c r="AM5" s="472">
        <v>14.14</v>
      </c>
      <c r="AN5" s="472">
        <v>14.14</v>
      </c>
      <c r="AO5" s="472">
        <v>14.14</v>
      </c>
      <c r="AP5" s="472">
        <v>14.14</v>
      </c>
      <c r="AQ5" s="472">
        <v>14.14</v>
      </c>
      <c r="AR5" s="472">
        <v>14.14</v>
      </c>
      <c r="AS5" s="472">
        <v>14.14</v>
      </c>
      <c r="AT5" s="472">
        <v>14.14</v>
      </c>
      <c r="AU5" s="472">
        <v>14.14</v>
      </c>
      <c r="AV5" s="472">
        <v>14.14</v>
      </c>
      <c r="AW5" s="472">
        <v>14.14</v>
      </c>
      <c r="AX5" s="472">
        <v>14.14</v>
      </c>
      <c r="AY5" s="472">
        <v>14.14</v>
      </c>
      <c r="AZ5" s="472">
        <v>14.14</v>
      </c>
      <c r="BA5" s="472">
        <v>14.14</v>
      </c>
      <c r="BB5" s="472">
        <v>14.14</v>
      </c>
      <c r="BC5" s="472">
        <v>14.14</v>
      </c>
      <c r="BD5" s="472">
        <v>14.14</v>
      </c>
      <c r="BE5" s="472">
        <v>14.14</v>
      </c>
      <c r="BF5" s="472">
        <v>14.14</v>
      </c>
      <c r="BG5" s="472">
        <v>14.14</v>
      </c>
      <c r="BH5" s="472">
        <v>14.14</v>
      </c>
      <c r="BI5" s="472">
        <v>14.14</v>
      </c>
      <c r="BJ5" s="472">
        <v>14.14</v>
      </c>
      <c r="BK5" s="472">
        <v>14.14</v>
      </c>
      <c r="BL5" s="472">
        <v>14.14</v>
      </c>
      <c r="BM5" s="472">
        <v>14.14</v>
      </c>
      <c r="BN5" s="472">
        <v>14.14</v>
      </c>
      <c r="BO5" s="472">
        <v>14.14</v>
      </c>
      <c r="BP5" s="472">
        <v>14.14</v>
      </c>
      <c r="BQ5" s="472">
        <v>14.14</v>
      </c>
      <c r="BR5" s="472">
        <v>14.14</v>
      </c>
      <c r="BS5" s="472">
        <v>14.14</v>
      </c>
      <c r="BT5" s="472">
        <v>14.14</v>
      </c>
      <c r="BU5" s="472">
        <v>14.14</v>
      </c>
      <c r="BV5" s="472">
        <v>14.14</v>
      </c>
      <c r="BW5" s="472">
        <v>14.14</v>
      </c>
      <c r="BX5" s="472">
        <v>14.14</v>
      </c>
      <c r="BY5" s="472">
        <v>14.14</v>
      </c>
      <c r="BZ5" s="472">
        <v>14.14</v>
      </c>
      <c r="CA5" s="472">
        <v>14.14</v>
      </c>
      <c r="CB5" s="472">
        <v>14.14</v>
      </c>
      <c r="CC5" s="472">
        <v>14.14</v>
      </c>
      <c r="CD5" s="472">
        <v>14.14</v>
      </c>
      <c r="CE5" s="472">
        <v>14.14</v>
      </c>
      <c r="CF5" s="472">
        <v>14.14</v>
      </c>
      <c r="CG5" s="472">
        <v>14.14</v>
      </c>
      <c r="CH5" s="472">
        <v>14.14</v>
      </c>
      <c r="CI5" s="472">
        <v>14.14</v>
      </c>
      <c r="CJ5" s="472">
        <v>14.14</v>
      </c>
      <c r="CK5" s="472">
        <v>14.14</v>
      </c>
      <c r="CL5" s="472">
        <v>14.14</v>
      </c>
      <c r="CM5" s="472">
        <v>14.14</v>
      </c>
      <c r="CN5" s="472">
        <v>14.14</v>
      </c>
      <c r="CO5" s="472">
        <v>14.14</v>
      </c>
      <c r="CP5" s="472">
        <v>14.14</v>
      </c>
      <c r="CQ5" s="472">
        <v>14.14</v>
      </c>
      <c r="CR5" s="472">
        <v>14.14</v>
      </c>
      <c r="CS5" s="472">
        <v>14.14</v>
      </c>
      <c r="CT5" s="472">
        <v>14.14</v>
      </c>
      <c r="CU5" s="472">
        <v>14.14</v>
      </c>
      <c r="CV5" s="472">
        <v>14.14</v>
      </c>
      <c r="CW5" s="472">
        <v>14.14</v>
      </c>
      <c r="CX5" s="472">
        <v>14.14</v>
      </c>
      <c r="CY5" s="472">
        <v>14.14</v>
      </c>
      <c r="CZ5" s="472">
        <v>14.14</v>
      </c>
      <c r="DA5" s="472">
        <v>14.14</v>
      </c>
      <c r="DB5" s="472">
        <v>14.14</v>
      </c>
      <c r="DC5" s="472">
        <v>14.14</v>
      </c>
      <c r="DD5" s="472">
        <v>14.14</v>
      </c>
      <c r="DE5" s="472">
        <v>14.14</v>
      </c>
      <c r="DF5" s="472">
        <v>14.14</v>
      </c>
      <c r="DG5" s="472">
        <v>14.14</v>
      </c>
      <c r="DH5" s="472">
        <v>14.14</v>
      </c>
      <c r="DI5" s="472">
        <v>14.14</v>
      </c>
      <c r="DJ5" s="472">
        <v>14.14</v>
      </c>
      <c r="DK5" s="472">
        <v>14.14</v>
      </c>
      <c r="DL5" s="472">
        <v>14.14</v>
      </c>
      <c r="DM5" s="472">
        <v>14.14</v>
      </c>
      <c r="DN5" s="472">
        <v>14.14</v>
      </c>
      <c r="DO5" s="472">
        <v>14.14</v>
      </c>
      <c r="DP5" s="472">
        <v>14.14</v>
      </c>
      <c r="DQ5" s="472">
        <v>14.14</v>
      </c>
      <c r="DR5" s="472">
        <v>14.14</v>
      </c>
      <c r="DS5" s="472">
        <v>14.14</v>
      </c>
      <c r="DT5" s="472">
        <v>14.14</v>
      </c>
      <c r="DU5" s="472">
        <v>14.14</v>
      </c>
      <c r="DV5" s="472">
        <v>14.14</v>
      </c>
      <c r="DW5" s="472">
        <v>14.14</v>
      </c>
      <c r="DX5" s="472">
        <v>14.14</v>
      </c>
      <c r="DY5" s="472">
        <v>14.14</v>
      </c>
      <c r="DZ5" s="472">
        <v>14.14</v>
      </c>
      <c r="EA5" s="472">
        <v>14.14</v>
      </c>
      <c r="EB5" s="472">
        <v>14.14</v>
      </c>
      <c r="EC5" s="472">
        <v>14.14</v>
      </c>
      <c r="ED5" s="472">
        <v>14.14</v>
      </c>
      <c r="EE5" s="472">
        <v>14.14</v>
      </c>
      <c r="EF5" s="472">
        <v>14.14</v>
      </c>
      <c r="EG5" s="472">
        <v>14.14</v>
      </c>
      <c r="EH5" s="472">
        <v>14.14</v>
      </c>
      <c r="EI5" s="472">
        <v>14.14</v>
      </c>
      <c r="EJ5" s="472">
        <v>14.14</v>
      </c>
      <c r="EK5" s="472">
        <v>14.14</v>
      </c>
      <c r="EL5" s="472">
        <v>14.14</v>
      </c>
      <c r="EM5" s="472">
        <v>14.14</v>
      </c>
      <c r="EN5" s="472">
        <v>14.14</v>
      </c>
      <c r="EO5" s="472">
        <v>14.14</v>
      </c>
      <c r="EP5" s="472">
        <v>14.14</v>
      </c>
      <c r="EQ5" s="472">
        <v>14.14</v>
      </c>
      <c r="ER5" s="472">
        <v>14.14</v>
      </c>
      <c r="ES5" s="472">
        <v>14.14</v>
      </c>
      <c r="ET5" s="472">
        <v>14.14</v>
      </c>
      <c r="EU5" s="472">
        <v>14.14</v>
      </c>
      <c r="EV5" s="472">
        <v>14.14</v>
      </c>
      <c r="EW5" s="472">
        <v>14.14</v>
      </c>
      <c r="EX5" s="472">
        <v>14.14</v>
      </c>
      <c r="EY5" s="472">
        <v>14.14</v>
      </c>
      <c r="EZ5" s="472">
        <v>14.14</v>
      </c>
      <c r="FA5" s="472">
        <v>14.14</v>
      </c>
      <c r="FB5" s="472">
        <v>14.14</v>
      </c>
      <c r="FC5" s="472">
        <v>14.14</v>
      </c>
      <c r="FD5" s="472">
        <v>14.14</v>
      </c>
      <c r="FE5" s="472">
        <v>14.14</v>
      </c>
      <c r="FF5" s="472">
        <v>14.14</v>
      </c>
      <c r="FG5" s="472">
        <v>14.14</v>
      </c>
      <c r="FH5" s="472">
        <v>14.14</v>
      </c>
      <c r="FI5" s="472">
        <v>14.14</v>
      </c>
      <c r="FJ5" s="472">
        <v>14.14</v>
      </c>
      <c r="FK5" s="472">
        <v>14.14</v>
      </c>
      <c r="FL5" s="472">
        <v>14.14</v>
      </c>
      <c r="FM5" s="472">
        <v>14.14</v>
      </c>
      <c r="FN5" s="472">
        <v>14.14</v>
      </c>
      <c r="FO5" s="472">
        <v>14.14</v>
      </c>
      <c r="FP5" s="472">
        <v>14.14</v>
      </c>
      <c r="FQ5" s="472">
        <v>14.14</v>
      </c>
      <c r="FR5" s="472">
        <v>14.14</v>
      </c>
      <c r="FS5" s="472">
        <v>14.14</v>
      </c>
      <c r="FT5" s="472">
        <v>14.14</v>
      </c>
      <c r="FU5" s="472">
        <v>14.14</v>
      </c>
      <c r="FV5" s="472">
        <v>14.14</v>
      </c>
      <c r="FW5" s="472">
        <v>14.14</v>
      </c>
      <c r="FX5" s="472">
        <v>3</v>
      </c>
      <c r="FZ5" s="680"/>
      <c r="GA5" s="680"/>
      <c r="GB5" s="680"/>
    </row>
    <row r="6" spans="1:186" ht="11.25" hidden="1" customHeight="1">
      <c r="A6" s="36" t="s">
        <v>353</v>
      </c>
      <c r="AD6" s="36" cm="1">
        <f t="array" ref="AD6">god</f>
        <v>2026</v>
      </c>
      <c r="AE6" s="36" cm="1">
        <f t="array" ref="AE6">god</f>
        <v>2026</v>
      </c>
      <c r="AF6" s="36" cm="1">
        <f t="array" ref="AF6">god</f>
        <v>2026</v>
      </c>
      <c r="AG6" s="36">
        <f>god+1</f>
        <v>2027</v>
      </c>
      <c r="AH6" s="36">
        <f>god+1</f>
        <v>2027</v>
      </c>
      <c r="AI6" s="36">
        <f>god+1</f>
        <v>2027</v>
      </c>
      <c r="AJ6" s="36">
        <f>god+2</f>
        <v>2028</v>
      </c>
      <c r="AK6" s="36">
        <f>god+2</f>
        <v>2028</v>
      </c>
      <c r="AL6" s="36">
        <f>god+2</f>
        <v>2028</v>
      </c>
      <c r="AM6" s="36">
        <f>god+3</f>
        <v>2029</v>
      </c>
      <c r="AN6" s="36">
        <f>god+3</f>
        <v>2029</v>
      </c>
      <c r="AO6" s="36">
        <f>god+3</f>
        <v>2029</v>
      </c>
      <c r="AP6" s="36">
        <f>god+4</f>
        <v>2030</v>
      </c>
      <c r="AQ6" s="36">
        <f>god+4</f>
        <v>2030</v>
      </c>
      <c r="AR6" s="36">
        <f>god+4</f>
        <v>2030</v>
      </c>
      <c r="AS6" s="36">
        <f>god+5</f>
        <v>2031</v>
      </c>
      <c r="AT6" s="36">
        <f>god+5</f>
        <v>2031</v>
      </c>
      <c r="AU6" s="36">
        <f>god+5</f>
        <v>2031</v>
      </c>
      <c r="AV6" s="36">
        <f>god+6</f>
        <v>2032</v>
      </c>
      <c r="AW6" s="36">
        <f>god+6</f>
        <v>2032</v>
      </c>
      <c r="AX6" s="36">
        <f>god+6</f>
        <v>2032</v>
      </c>
      <c r="AY6" s="36">
        <f>god+7</f>
        <v>2033</v>
      </c>
      <c r="AZ6" s="36">
        <f>god+7</f>
        <v>2033</v>
      </c>
      <c r="BA6" s="36">
        <f>god+7</f>
        <v>2033</v>
      </c>
      <c r="BB6" s="36">
        <f>god+8</f>
        <v>2034</v>
      </c>
      <c r="BC6" s="36">
        <f>god+8</f>
        <v>2034</v>
      </c>
      <c r="BD6" s="36">
        <f>god+8</f>
        <v>2034</v>
      </c>
      <c r="BE6" s="36">
        <f>god+9</f>
        <v>2035</v>
      </c>
      <c r="BF6" s="36">
        <f>god+9</f>
        <v>2035</v>
      </c>
      <c r="BG6" s="36">
        <f>god+9</f>
        <v>2035</v>
      </c>
      <c r="BH6" s="36">
        <f>god+10</f>
        <v>2036</v>
      </c>
      <c r="BI6" s="36">
        <f>god+10</f>
        <v>2036</v>
      </c>
      <c r="BJ6" s="36">
        <f>god+10</f>
        <v>2036</v>
      </c>
      <c r="BK6" s="36">
        <f>god+11</f>
        <v>2037</v>
      </c>
      <c r="BL6" s="36">
        <f>god+11</f>
        <v>2037</v>
      </c>
      <c r="BM6" s="36">
        <f>god+11</f>
        <v>2037</v>
      </c>
      <c r="BN6" s="36">
        <f>god+12</f>
        <v>2038</v>
      </c>
      <c r="BO6" s="36">
        <f>god+12</f>
        <v>2038</v>
      </c>
      <c r="BP6" s="36">
        <f>god+12</f>
        <v>2038</v>
      </c>
      <c r="BQ6" s="36">
        <f>god+13</f>
        <v>2039</v>
      </c>
      <c r="BR6" s="36">
        <f>god+13</f>
        <v>2039</v>
      </c>
      <c r="BS6" s="36">
        <f>god+13</f>
        <v>2039</v>
      </c>
      <c r="BT6" s="36">
        <f>god+14</f>
        <v>2040</v>
      </c>
      <c r="BU6" s="36">
        <f>god+14</f>
        <v>2040</v>
      </c>
      <c r="BV6" s="36">
        <f>god+14</f>
        <v>2040</v>
      </c>
      <c r="BW6" s="36">
        <f>god+15</f>
        <v>2041</v>
      </c>
      <c r="BX6" s="36">
        <f>god+15</f>
        <v>2041</v>
      </c>
      <c r="BY6" s="36">
        <f>god+15</f>
        <v>2041</v>
      </c>
      <c r="BZ6" s="36">
        <f>god+16</f>
        <v>2042</v>
      </c>
      <c r="CA6" s="36">
        <f>god+16</f>
        <v>2042</v>
      </c>
      <c r="CB6" s="36">
        <f>god+16</f>
        <v>2042</v>
      </c>
      <c r="CC6" s="36">
        <f>god+17</f>
        <v>2043</v>
      </c>
      <c r="CD6" s="36">
        <f>god+17</f>
        <v>2043</v>
      </c>
      <c r="CE6" s="36">
        <f>god+17</f>
        <v>2043</v>
      </c>
      <c r="CF6" s="36">
        <f>god+18</f>
        <v>2044</v>
      </c>
      <c r="CG6" s="36">
        <f>god+18</f>
        <v>2044</v>
      </c>
      <c r="CH6" s="36">
        <f>god+18</f>
        <v>2044</v>
      </c>
      <c r="CI6" s="36">
        <f>god+19</f>
        <v>2045</v>
      </c>
      <c r="CJ6" s="36">
        <f>god+19</f>
        <v>2045</v>
      </c>
      <c r="CK6" s="36">
        <f>god+19</f>
        <v>2045</v>
      </c>
      <c r="CL6" s="36">
        <f>god+20</f>
        <v>2046</v>
      </c>
      <c r="CM6" s="36">
        <f>god+20</f>
        <v>2046</v>
      </c>
      <c r="CN6" s="36">
        <f>god+20</f>
        <v>2046</v>
      </c>
      <c r="CO6" s="36">
        <f>god+21</f>
        <v>2047</v>
      </c>
      <c r="CP6" s="36">
        <f>god+21</f>
        <v>2047</v>
      </c>
      <c r="CQ6" s="36">
        <f>god+21</f>
        <v>2047</v>
      </c>
      <c r="CR6" s="36">
        <f>god+22</f>
        <v>2048</v>
      </c>
      <c r="CS6" s="36">
        <f>god+22</f>
        <v>2048</v>
      </c>
      <c r="CT6" s="36">
        <f>god+22</f>
        <v>2048</v>
      </c>
      <c r="CU6" s="36">
        <f>god+23</f>
        <v>2049</v>
      </c>
      <c r="CV6" s="36">
        <f>god+23</f>
        <v>2049</v>
      </c>
      <c r="CW6" s="36">
        <f>god+23</f>
        <v>2049</v>
      </c>
      <c r="CX6" s="36">
        <f>god+24</f>
        <v>2050</v>
      </c>
      <c r="CY6" s="36">
        <f>god+24</f>
        <v>2050</v>
      </c>
      <c r="CZ6" s="36">
        <f>god+24</f>
        <v>2050</v>
      </c>
      <c r="DA6" s="36">
        <f>god+25</f>
        <v>2051</v>
      </c>
      <c r="DB6" s="36">
        <f>god+25</f>
        <v>2051</v>
      </c>
      <c r="DC6" s="36">
        <f>god+25</f>
        <v>2051</v>
      </c>
      <c r="DD6" s="36">
        <f>god+26</f>
        <v>2052</v>
      </c>
      <c r="DE6" s="36">
        <f>god+26</f>
        <v>2052</v>
      </c>
      <c r="DF6" s="36">
        <f>god+26</f>
        <v>2052</v>
      </c>
      <c r="DG6" s="36">
        <f>god+27</f>
        <v>2053</v>
      </c>
      <c r="DH6" s="36">
        <f>god+27</f>
        <v>2053</v>
      </c>
      <c r="DI6" s="36">
        <f>god+27</f>
        <v>2053</v>
      </c>
      <c r="DJ6" s="36">
        <f>god+28</f>
        <v>2054</v>
      </c>
      <c r="DK6" s="36">
        <f>god+28</f>
        <v>2054</v>
      </c>
      <c r="DL6" s="36">
        <f>god+28</f>
        <v>2054</v>
      </c>
      <c r="DM6" s="36">
        <f>god+29</f>
        <v>2055</v>
      </c>
      <c r="DN6" s="36">
        <f>god+29</f>
        <v>2055</v>
      </c>
      <c r="DO6" s="36">
        <f>god+29</f>
        <v>2055</v>
      </c>
      <c r="DP6" s="36">
        <f>god+30</f>
        <v>2056</v>
      </c>
      <c r="DQ6" s="36">
        <f>god+30</f>
        <v>2056</v>
      </c>
      <c r="DR6" s="36">
        <f>god+30</f>
        <v>2056</v>
      </c>
      <c r="DS6" s="36">
        <f>god+31</f>
        <v>2057</v>
      </c>
      <c r="DT6" s="36">
        <f>god+31</f>
        <v>2057</v>
      </c>
      <c r="DU6" s="36">
        <f>god+31</f>
        <v>2057</v>
      </c>
      <c r="DV6" s="36">
        <f>god+32</f>
        <v>2058</v>
      </c>
      <c r="DW6" s="36">
        <f>god+32</f>
        <v>2058</v>
      </c>
      <c r="DX6" s="36">
        <f>god+32</f>
        <v>2058</v>
      </c>
      <c r="DY6" s="36">
        <f>god+33</f>
        <v>2059</v>
      </c>
      <c r="DZ6" s="36">
        <f>god+33</f>
        <v>2059</v>
      </c>
      <c r="EA6" s="36">
        <f>god+33</f>
        <v>2059</v>
      </c>
      <c r="EB6" s="36">
        <f>god+34</f>
        <v>2060</v>
      </c>
      <c r="EC6" s="36">
        <f>god+34</f>
        <v>2060</v>
      </c>
      <c r="ED6" s="36">
        <f>god+34</f>
        <v>2060</v>
      </c>
      <c r="EE6" s="36">
        <f>god+35</f>
        <v>2061</v>
      </c>
      <c r="EF6" s="36">
        <f>god+35</f>
        <v>2061</v>
      </c>
      <c r="EG6" s="36">
        <f>god+35</f>
        <v>2061</v>
      </c>
      <c r="EH6" s="36">
        <f>god+36</f>
        <v>2062</v>
      </c>
      <c r="EI6" s="36">
        <f>god+36</f>
        <v>2062</v>
      </c>
      <c r="EJ6" s="36">
        <f>god+36</f>
        <v>2062</v>
      </c>
      <c r="EK6" s="36">
        <f>god+37</f>
        <v>2063</v>
      </c>
      <c r="EL6" s="36">
        <f>god+37</f>
        <v>2063</v>
      </c>
      <c r="EM6" s="36">
        <f>god+37</f>
        <v>2063</v>
      </c>
      <c r="EN6" s="36">
        <f>god+38</f>
        <v>2064</v>
      </c>
      <c r="EO6" s="36">
        <f>god+38</f>
        <v>2064</v>
      </c>
      <c r="EP6" s="36">
        <f>god+38</f>
        <v>2064</v>
      </c>
      <c r="EQ6" s="36">
        <f>god+39</f>
        <v>2065</v>
      </c>
      <c r="ER6" s="36">
        <f>god+39</f>
        <v>2065</v>
      </c>
      <c r="ES6" s="36">
        <f>god+39</f>
        <v>2065</v>
      </c>
      <c r="ET6" s="36">
        <f>god+40</f>
        <v>2066</v>
      </c>
      <c r="EU6" s="36">
        <f>god+40</f>
        <v>2066</v>
      </c>
      <c r="EV6" s="36">
        <f>god+40</f>
        <v>2066</v>
      </c>
      <c r="EW6" s="36">
        <f>god+41</f>
        <v>2067</v>
      </c>
      <c r="EX6" s="36">
        <f>god+41</f>
        <v>2067</v>
      </c>
      <c r="EY6" s="36">
        <f>god+41</f>
        <v>2067</v>
      </c>
      <c r="EZ6" s="36">
        <f>god+42</f>
        <v>2068</v>
      </c>
      <c r="FA6" s="36">
        <f>god+42</f>
        <v>2068</v>
      </c>
      <c r="FB6" s="36">
        <f>god+42</f>
        <v>2068</v>
      </c>
      <c r="FC6" s="36">
        <f>god+43</f>
        <v>2069</v>
      </c>
      <c r="FD6" s="36">
        <f>god+43</f>
        <v>2069</v>
      </c>
      <c r="FE6" s="36">
        <f>god+43</f>
        <v>2069</v>
      </c>
      <c r="FF6" s="36">
        <f>god+44</f>
        <v>2070</v>
      </c>
      <c r="FG6" s="36">
        <f>god+44</f>
        <v>2070</v>
      </c>
      <c r="FH6" s="36">
        <f>god+44</f>
        <v>2070</v>
      </c>
      <c r="FI6" s="36">
        <f>god+45</f>
        <v>2071</v>
      </c>
      <c r="FJ6" s="36">
        <f>god+45</f>
        <v>2071</v>
      </c>
      <c r="FK6" s="36">
        <f>god+45</f>
        <v>2071</v>
      </c>
      <c r="FL6" s="36">
        <f>god+46</f>
        <v>2072</v>
      </c>
      <c r="FM6" s="36">
        <f>god+46</f>
        <v>2072</v>
      </c>
      <c r="FN6" s="36">
        <f>god+46</f>
        <v>2072</v>
      </c>
      <c r="FO6" s="36">
        <f>god+47</f>
        <v>2073</v>
      </c>
      <c r="FP6" s="36">
        <f>god+47</f>
        <v>2073</v>
      </c>
      <c r="FQ6" s="36">
        <f>god+47</f>
        <v>2073</v>
      </c>
      <c r="FR6" s="36">
        <f>god+48</f>
        <v>2074</v>
      </c>
      <c r="FS6" s="36">
        <f>god+48</f>
        <v>2074</v>
      </c>
      <c r="FT6" s="36">
        <f>god+48</f>
        <v>2074</v>
      </c>
      <c r="FU6" s="36">
        <f>god+49</f>
        <v>2075</v>
      </c>
      <c r="FV6" s="36">
        <f>god+49</f>
        <v>2075</v>
      </c>
      <c r="FW6" s="36">
        <f>god+49</f>
        <v>2075</v>
      </c>
    </row>
    <row r="7" spans="1:186" ht="11.25" hidden="1" customHeight="1">
      <c r="A7" s="36" t="s">
        <v>354</v>
      </c>
      <c r="AD7" s="36" t="str" cm="1">
        <f t="array" ref="AD7">AD26</f>
        <v>Предложение организации</v>
      </c>
      <c r="AE7" s="36" t="str" cm="1">
        <f t="array" ref="AE7">AE26</f>
        <v>Принято органом регулирования</v>
      </c>
      <c r="AF7" s="36" t="str" cm="1">
        <f t="array" ref="AF7">AF26</f>
        <v>Отклонение, %</v>
      </c>
      <c r="AG7" s="36" t="str" cm="1">
        <f t="array" ref="AG7">AG26</f>
        <v>Предложение организации</v>
      </c>
      <c r="AH7" s="36" t="str" cm="1">
        <f t="array" ref="AH7">AH26</f>
        <v>Принято органом регулирования</v>
      </c>
      <c r="AI7" s="36" t="str" cm="1">
        <f t="array" ref="AI7">AI26</f>
        <v>Отклонение, %</v>
      </c>
      <c r="AJ7" s="36" t="str" cm="1">
        <f t="array" ref="AJ7">AJ26</f>
        <v>Предложение организации</v>
      </c>
      <c r="AK7" s="36" t="str" cm="1">
        <f t="array" ref="AK7">AK26</f>
        <v>Принято органом регулирования</v>
      </c>
      <c r="AL7" s="36" t="str" cm="1">
        <f t="array" ref="AL7">AL26</f>
        <v>Отклонение, %</v>
      </c>
      <c r="AM7" s="36" t="str" cm="1">
        <f t="array" ref="AM7">AM26</f>
        <v>Предложение организации</v>
      </c>
      <c r="AN7" s="36" t="str" cm="1">
        <f t="array" ref="AN7">AN26</f>
        <v>Принято органом регулирования</v>
      </c>
      <c r="AO7" s="36" t="str" cm="1">
        <f t="array" ref="AO7">AO26</f>
        <v>Отклонение, %</v>
      </c>
      <c r="AP7" s="36" t="str" cm="1">
        <f t="array" ref="AP7">AP26</f>
        <v>Предложение организации</v>
      </c>
      <c r="AQ7" s="36" t="str" cm="1">
        <f t="array" ref="AQ7">AQ26</f>
        <v>Принято органом регулирования</v>
      </c>
      <c r="AR7" s="36" t="str" cm="1">
        <f t="array" ref="AR7">AR26</f>
        <v>Отклонение, %</v>
      </c>
      <c r="AS7" s="36" t="str" cm="1">
        <f t="array" ref="AS7">AS26</f>
        <v>Предложение организации</v>
      </c>
      <c r="AT7" s="36" t="str" cm="1">
        <f t="array" ref="AT7">AT26</f>
        <v>Принято органом регулирования</v>
      </c>
      <c r="AU7" s="36" t="str" cm="1">
        <f t="array" ref="AU7">AU26</f>
        <v>Отклонение, %</v>
      </c>
      <c r="AV7" s="36" t="str" cm="1">
        <f t="array" ref="AV7">AV26</f>
        <v>Предложение организации</v>
      </c>
      <c r="AW7" s="36" t="str" cm="1">
        <f t="array" ref="AW7">AW26</f>
        <v>Принято органом регулирования</v>
      </c>
      <c r="AX7" s="36" t="str" cm="1">
        <f t="array" ref="AX7">AX26</f>
        <v>Отклонение, %</v>
      </c>
      <c r="AY7" s="36" t="str" cm="1">
        <f t="array" ref="AY7">AY26</f>
        <v>Предложение организации</v>
      </c>
      <c r="AZ7" s="36" t="str" cm="1">
        <f t="array" ref="AZ7">AZ26</f>
        <v>Принято органом регулирования</v>
      </c>
      <c r="BA7" s="36" t="str" cm="1">
        <f t="array" ref="BA7">BA26</f>
        <v>Отклонение, %</v>
      </c>
      <c r="BB7" s="36" t="str" cm="1">
        <f t="array" ref="BB7">BB26</f>
        <v>Предложение организации</v>
      </c>
      <c r="BC7" s="36" t="str" cm="1">
        <f t="array" ref="BC7">BC26</f>
        <v>Принято органом регулирования</v>
      </c>
      <c r="BD7" s="36" t="str" cm="1">
        <f t="array" ref="BD7">BD26</f>
        <v>Отклонение, %</v>
      </c>
      <c r="BE7" s="36" t="str" cm="1">
        <f t="array" ref="BE7">BE26</f>
        <v>Предложение организации</v>
      </c>
      <c r="BF7" s="36" t="str" cm="1">
        <f t="array" ref="BF7">BF26</f>
        <v>Принято органом регулирования</v>
      </c>
      <c r="BG7" s="36" t="str" cm="1">
        <f t="array" ref="BG7">BG26</f>
        <v>Отклонение, %</v>
      </c>
      <c r="BH7" s="36" t="str" cm="1">
        <f t="array" ref="BH7">BH26</f>
        <v>Предложение организации</v>
      </c>
      <c r="BI7" s="36" t="str" cm="1">
        <f t="array" ref="BI7">BI26</f>
        <v>Принято органом регулирования</v>
      </c>
      <c r="BJ7" s="36" t="str" cm="1">
        <f t="array" ref="BJ7">BJ26</f>
        <v>Отклонение, %</v>
      </c>
      <c r="BK7" s="36" t="str" cm="1">
        <f t="array" ref="BK7">BK26</f>
        <v>Предложение организации</v>
      </c>
      <c r="BL7" s="36" t="str" cm="1">
        <f t="array" ref="BL7">BL26</f>
        <v>Принято органом регулирования</v>
      </c>
      <c r="BM7" s="36" t="str" cm="1">
        <f t="array" ref="BM7">BM26</f>
        <v>Отклонение, %</v>
      </c>
      <c r="BN7" s="36" t="str" cm="1">
        <f t="array" ref="BN7">BN26</f>
        <v>Предложение организации</v>
      </c>
      <c r="BO7" s="36" t="str" cm="1">
        <f t="array" ref="BO7">BO26</f>
        <v>Принято органом регулирования</v>
      </c>
      <c r="BP7" s="36" t="str" cm="1">
        <f t="array" ref="BP7">BP26</f>
        <v>Отклонение, %</v>
      </c>
      <c r="BQ7" s="36" t="str" cm="1">
        <f t="array" ref="BQ7">BQ26</f>
        <v>Предложение организации</v>
      </c>
      <c r="BR7" s="36" t="str" cm="1">
        <f t="array" ref="BR7">BR26</f>
        <v>Принято органом регулирования</v>
      </c>
      <c r="BS7" s="36" t="str" cm="1">
        <f t="array" ref="BS7">BS26</f>
        <v>Отклонение, %</v>
      </c>
      <c r="BT7" s="36" t="str" cm="1">
        <f t="array" ref="BT7">BT26</f>
        <v>Предложение организации</v>
      </c>
      <c r="BU7" s="36" t="str" cm="1">
        <f t="array" ref="BU7">BU26</f>
        <v>Принято органом регулирования</v>
      </c>
      <c r="BV7" s="36" t="str" cm="1">
        <f t="array" ref="BV7">BV26</f>
        <v>Отклонение, %</v>
      </c>
      <c r="BW7" s="36" t="str" cm="1">
        <f t="array" ref="BW7">BW26</f>
        <v>Предложение организации</v>
      </c>
      <c r="BX7" s="36" t="str" cm="1">
        <f t="array" ref="BX7">BX26</f>
        <v>Принято органом регулирования</v>
      </c>
      <c r="BY7" s="36" t="str" cm="1">
        <f t="array" ref="BY7">BY26</f>
        <v>Отклонение, %</v>
      </c>
      <c r="BZ7" s="36" t="str" cm="1">
        <f t="array" ref="BZ7">BZ26</f>
        <v>Предложение организации</v>
      </c>
      <c r="CA7" s="36" t="str" cm="1">
        <f t="array" ref="CA7">CA26</f>
        <v>Принято органом регулирования</v>
      </c>
      <c r="CB7" s="36" t="str" cm="1">
        <f t="array" ref="CB7">CB26</f>
        <v>Отклонение, %</v>
      </c>
      <c r="CC7" s="36" t="str" cm="1">
        <f t="array" ref="CC7">CC26</f>
        <v>Предложение организации</v>
      </c>
      <c r="CD7" s="36" t="str" cm="1">
        <f t="array" ref="CD7">CD26</f>
        <v>Принято органом регулирования</v>
      </c>
      <c r="CE7" s="36" t="str" cm="1">
        <f t="array" ref="CE7">CE26</f>
        <v>Отклонение, %</v>
      </c>
      <c r="CF7" s="36" t="str" cm="1">
        <f t="array" ref="CF7">CF26</f>
        <v>Предложение организации</v>
      </c>
      <c r="CG7" s="36" t="str" cm="1">
        <f t="array" ref="CG7">CG26</f>
        <v>Принято органом регулирования</v>
      </c>
      <c r="CH7" s="36" t="str" cm="1">
        <f t="array" ref="CH7">CH26</f>
        <v>Отклонение, %</v>
      </c>
      <c r="CI7" s="36" t="str" cm="1">
        <f t="array" ref="CI7">CI26</f>
        <v>Предложение организации</v>
      </c>
      <c r="CJ7" s="36" t="str" cm="1">
        <f t="array" ref="CJ7">CJ26</f>
        <v>Принято органом регулирования</v>
      </c>
      <c r="CK7" s="36" t="str" cm="1">
        <f t="array" ref="CK7">CK26</f>
        <v>Отклонение, %</v>
      </c>
      <c r="CL7" s="36" t="str" cm="1">
        <f t="array" ref="CL7">CL26</f>
        <v>Предложение организации</v>
      </c>
      <c r="CM7" s="36" t="str" cm="1">
        <f t="array" ref="CM7">CM26</f>
        <v>Принято органом регулирования</v>
      </c>
      <c r="CN7" s="36" t="str" cm="1">
        <f t="array" ref="CN7">CN26</f>
        <v>Отклонение, %</v>
      </c>
      <c r="CO7" s="36" t="str" cm="1">
        <f t="array" ref="CO7">CO26</f>
        <v>Предложение организации</v>
      </c>
      <c r="CP7" s="36" t="str" cm="1">
        <f t="array" ref="CP7">CP26</f>
        <v>Принято органом регулирования</v>
      </c>
      <c r="CQ7" s="36" t="str" cm="1">
        <f t="array" ref="CQ7">CQ26</f>
        <v>Отклонение, %</v>
      </c>
      <c r="CR7" s="36" t="str" cm="1">
        <f t="array" ref="CR7">CR26</f>
        <v>Предложение организации</v>
      </c>
      <c r="CS7" s="36" t="str" cm="1">
        <f t="array" ref="CS7">CS26</f>
        <v>Принято органом регулирования</v>
      </c>
      <c r="CT7" s="36" t="str" cm="1">
        <f t="array" ref="CT7">CT26</f>
        <v>Отклонение, %</v>
      </c>
      <c r="CU7" s="36" t="str" cm="1">
        <f t="array" ref="CU7">CU26</f>
        <v>Предложение организации</v>
      </c>
      <c r="CV7" s="36" t="str" cm="1">
        <f t="array" ref="CV7">CV26</f>
        <v>Принято органом регулирования</v>
      </c>
      <c r="CW7" s="36" t="str" cm="1">
        <f t="array" ref="CW7">CW26</f>
        <v>Отклонение, %</v>
      </c>
      <c r="CX7" s="36" t="str" cm="1">
        <f t="array" ref="CX7">CX26</f>
        <v>Предложение организации</v>
      </c>
      <c r="CY7" s="36" t="str" cm="1">
        <f t="array" ref="CY7">CY26</f>
        <v>Принято органом регулирования</v>
      </c>
      <c r="CZ7" s="36" t="str" cm="1">
        <f t="array" ref="CZ7">CZ26</f>
        <v>Отклонение, %</v>
      </c>
      <c r="DA7" s="36" t="str" cm="1">
        <f t="array" ref="DA7">DA26</f>
        <v>Предложение организации</v>
      </c>
      <c r="DB7" s="36" t="str" cm="1">
        <f t="array" ref="DB7">DB26</f>
        <v>Принято органом регулирования</v>
      </c>
      <c r="DC7" s="36" t="str" cm="1">
        <f t="array" ref="DC7">DC26</f>
        <v>Отклонение, %</v>
      </c>
      <c r="DD7" s="36" t="str" cm="1">
        <f t="array" ref="DD7">DD26</f>
        <v>Предложение организации</v>
      </c>
      <c r="DE7" s="36" t="str" cm="1">
        <f t="array" ref="DE7">DE26</f>
        <v>Принято органом регулирования</v>
      </c>
      <c r="DF7" s="36" t="str" cm="1">
        <f t="array" ref="DF7">DF26</f>
        <v>Отклонение, %</v>
      </c>
      <c r="DG7" s="36" t="str" cm="1">
        <f t="array" ref="DG7">DG26</f>
        <v>Предложение организации</v>
      </c>
      <c r="DH7" s="36" t="str" cm="1">
        <f t="array" ref="DH7">DH26</f>
        <v>Принято органом регулирования</v>
      </c>
      <c r="DI7" s="36" t="str" cm="1">
        <f t="array" ref="DI7">DI26</f>
        <v>Отклонение, %</v>
      </c>
      <c r="DJ7" s="36" t="str" cm="1">
        <f t="array" ref="DJ7">DJ26</f>
        <v>Предложение организации</v>
      </c>
      <c r="DK7" s="36" t="str" cm="1">
        <f t="array" ref="DK7">DK26</f>
        <v>Принято органом регулирования</v>
      </c>
      <c r="DL7" s="36" t="str" cm="1">
        <f t="array" ref="DL7">DL26</f>
        <v>Отклонение, %</v>
      </c>
      <c r="DM7" s="36" t="str" cm="1">
        <f t="array" ref="DM7">DM26</f>
        <v>Предложение организации</v>
      </c>
      <c r="DN7" s="36" t="str" cm="1">
        <f t="array" ref="DN7">DN26</f>
        <v>Принято органом регулирования</v>
      </c>
      <c r="DO7" s="36" t="str" cm="1">
        <f t="array" ref="DO7">DO26</f>
        <v>Отклонение, %</v>
      </c>
      <c r="DP7" s="36" t="str" cm="1">
        <f t="array" ref="DP7">DP26</f>
        <v>Предложение организации</v>
      </c>
      <c r="DQ7" s="36" t="str" cm="1">
        <f t="array" ref="DQ7">DQ26</f>
        <v>Принято органом регулирования</v>
      </c>
      <c r="DR7" s="36" t="str" cm="1">
        <f t="array" ref="DR7">DR26</f>
        <v>Отклонение, %</v>
      </c>
      <c r="DS7" s="36" t="str" cm="1">
        <f t="array" ref="DS7">DS26</f>
        <v>Предложение организации</v>
      </c>
      <c r="DT7" s="36" t="str" cm="1">
        <f t="array" ref="DT7">DT26</f>
        <v>Принято органом регулирования</v>
      </c>
      <c r="DU7" s="36" t="str" cm="1">
        <f t="array" ref="DU7">DU26</f>
        <v>Отклонение, %</v>
      </c>
      <c r="DV7" s="36" t="str" cm="1">
        <f t="array" ref="DV7">DV26</f>
        <v>Предложение организации</v>
      </c>
      <c r="DW7" s="36" t="str" cm="1">
        <f t="array" ref="DW7">DW26</f>
        <v>Принято органом регулирования</v>
      </c>
      <c r="DX7" s="36" t="str" cm="1">
        <f t="array" ref="DX7">DX26</f>
        <v>Отклонение, %</v>
      </c>
      <c r="DY7" s="36" t="str" cm="1">
        <f t="array" ref="DY7">DY26</f>
        <v>Предложение организации</v>
      </c>
      <c r="DZ7" s="36" t="str" cm="1">
        <f t="array" ref="DZ7">DZ26</f>
        <v>Принято органом регулирования</v>
      </c>
      <c r="EA7" s="36" t="str" cm="1">
        <f t="array" ref="EA7">EA26</f>
        <v>Отклонение, %</v>
      </c>
      <c r="EB7" s="36" t="str" cm="1">
        <f t="array" ref="EB7">EB26</f>
        <v>Предложение организации</v>
      </c>
      <c r="EC7" s="36" t="str" cm="1">
        <f t="array" ref="EC7">EC26</f>
        <v>Принято органом регулирования</v>
      </c>
      <c r="ED7" s="36" t="str" cm="1">
        <f t="array" ref="ED7">ED26</f>
        <v>Отклонение, %</v>
      </c>
      <c r="EE7" s="36" t="str" cm="1">
        <f t="array" ref="EE7">EE26</f>
        <v>Предложение организации</v>
      </c>
      <c r="EF7" s="36" t="str" cm="1">
        <f t="array" ref="EF7">EF26</f>
        <v>Принято органом регулирования</v>
      </c>
      <c r="EG7" s="36" t="str" cm="1">
        <f t="array" ref="EG7">EG26</f>
        <v>Отклонение, %</v>
      </c>
      <c r="EH7" s="36" t="str" cm="1">
        <f t="array" ref="EH7">EH26</f>
        <v>Предложение организации</v>
      </c>
      <c r="EI7" s="36" t="str" cm="1">
        <f t="array" ref="EI7">EI26</f>
        <v>Принято органом регулирования</v>
      </c>
      <c r="EJ7" s="36" t="str" cm="1">
        <f t="array" ref="EJ7">EJ26</f>
        <v>Отклонение, %</v>
      </c>
      <c r="EK7" s="36" t="str" cm="1">
        <f t="array" ref="EK7">EK26</f>
        <v>Предложение организации</v>
      </c>
      <c r="EL7" s="36" t="str" cm="1">
        <f t="array" ref="EL7">EL26</f>
        <v>Принято органом регулирования</v>
      </c>
      <c r="EM7" s="36" t="str" cm="1">
        <f t="array" ref="EM7">EM26</f>
        <v>Отклонение, %</v>
      </c>
      <c r="EN7" s="36" t="str" cm="1">
        <f t="array" ref="EN7">EN26</f>
        <v>Предложение организации</v>
      </c>
      <c r="EO7" s="36" t="str" cm="1">
        <f t="array" ref="EO7">EO26</f>
        <v>Принято органом регулирования</v>
      </c>
      <c r="EP7" s="36" t="str" cm="1">
        <f t="array" ref="EP7">EP26</f>
        <v>Отклонение, %</v>
      </c>
      <c r="EQ7" s="36" t="str" cm="1">
        <f t="array" ref="EQ7">EQ26</f>
        <v>Предложение организации</v>
      </c>
      <c r="ER7" s="36" t="str" cm="1">
        <f t="array" ref="ER7">ER26</f>
        <v>Принято органом регулирования</v>
      </c>
      <c r="ES7" s="36" t="str" cm="1">
        <f t="array" ref="ES7">ES26</f>
        <v>Отклонение, %</v>
      </c>
      <c r="ET7" s="36" t="str" cm="1">
        <f t="array" ref="ET7">ET26</f>
        <v>Предложение организации</v>
      </c>
      <c r="EU7" s="36" t="str" cm="1">
        <f t="array" ref="EU7">EU26</f>
        <v>Принято органом регулирования</v>
      </c>
      <c r="EV7" s="36" t="str" cm="1">
        <f t="array" ref="EV7">EV26</f>
        <v>Отклонение, %</v>
      </c>
      <c r="EW7" s="36" t="str" cm="1">
        <f t="array" ref="EW7">EW26</f>
        <v>Предложение организации</v>
      </c>
      <c r="EX7" s="36" t="str" cm="1">
        <f t="array" ref="EX7">EX26</f>
        <v>Принято органом регулирования</v>
      </c>
      <c r="EY7" s="36" t="str" cm="1">
        <f t="array" ref="EY7">EY26</f>
        <v>Отклонение, %</v>
      </c>
      <c r="EZ7" s="36" t="str" cm="1">
        <f t="array" ref="EZ7">EZ26</f>
        <v>Предложение организации</v>
      </c>
      <c r="FA7" s="36" t="str" cm="1">
        <f t="array" ref="FA7">FA26</f>
        <v>Принято органом регулирования</v>
      </c>
      <c r="FB7" s="36" t="str" cm="1">
        <f t="array" ref="FB7">FB26</f>
        <v>Отклонение, %</v>
      </c>
      <c r="FC7" s="36" t="str" cm="1">
        <f t="array" ref="FC7">FC26</f>
        <v>Предложение организации</v>
      </c>
      <c r="FD7" s="36" t="str" cm="1">
        <f t="array" ref="FD7">FD26</f>
        <v>Принято органом регулирования</v>
      </c>
      <c r="FE7" s="36" t="str" cm="1">
        <f t="array" ref="FE7">FE26</f>
        <v>Отклонение, %</v>
      </c>
      <c r="FF7" s="36" t="str" cm="1">
        <f t="array" ref="FF7">FF26</f>
        <v>Предложение организации</v>
      </c>
      <c r="FG7" s="36" t="str" cm="1">
        <f t="array" ref="FG7">FG26</f>
        <v>Принято органом регулирования</v>
      </c>
      <c r="FH7" s="36" t="str" cm="1">
        <f t="array" ref="FH7">FH26</f>
        <v>Отклонение, %</v>
      </c>
      <c r="FI7" s="36" t="str" cm="1">
        <f t="array" ref="FI7">FI26</f>
        <v>Предложение организации</v>
      </c>
      <c r="FJ7" s="36" t="str" cm="1">
        <f t="array" ref="FJ7">FJ26</f>
        <v>Принято органом регулирования</v>
      </c>
      <c r="FK7" s="36" t="str" cm="1">
        <f t="array" ref="FK7">FK26</f>
        <v>Отклонение, %</v>
      </c>
      <c r="FL7" s="36" t="str" cm="1">
        <f t="array" ref="FL7">FL26</f>
        <v>Предложение организации</v>
      </c>
      <c r="FM7" s="36" t="str" cm="1">
        <f t="array" ref="FM7">FM26</f>
        <v>Принято органом регулирования</v>
      </c>
      <c r="FN7" s="36" t="str" cm="1">
        <f t="array" ref="FN7">FN26</f>
        <v>Отклонение, %</v>
      </c>
      <c r="FO7" s="36" t="str" cm="1">
        <f t="array" ref="FO7">FO26</f>
        <v>Предложение организации</v>
      </c>
      <c r="FP7" s="36" t="str" cm="1">
        <f t="array" ref="FP7">FP26</f>
        <v>Принято органом регулирования</v>
      </c>
      <c r="FQ7" s="36" t="str" cm="1">
        <f t="array" ref="FQ7">FQ26</f>
        <v>Отклонение, %</v>
      </c>
      <c r="FR7" s="36" t="str" cm="1">
        <f t="array" ref="FR7">FR26</f>
        <v>Предложение организации</v>
      </c>
      <c r="FS7" s="36" t="str" cm="1">
        <f t="array" ref="FS7">FS26</f>
        <v>Принято органом регулирования</v>
      </c>
      <c r="FT7" s="36" t="str" cm="1">
        <f t="array" ref="FT7">FT26</f>
        <v>Отклонение, %</v>
      </c>
      <c r="FU7" s="36" t="str" cm="1">
        <f t="array" ref="FU7">FU26</f>
        <v>Предложение организации</v>
      </c>
      <c r="FV7" s="36" t="str" cm="1">
        <f t="array" ref="FV7">FV26</f>
        <v>Принято органом регулирования</v>
      </c>
      <c r="FW7" s="36" t="str" cm="1">
        <f t="array" ref="FW7">FW26</f>
        <v>Отклонение, %</v>
      </c>
    </row>
    <row r="8" spans="1:186" ht="11.25" hidden="1" customHeight="1">
      <c r="AD8" s="36" t="str">
        <f t="shared" ref="AD8:BI8" si="0">AD6&amp;AD7</f>
        <v>2026Предложение организации</v>
      </c>
      <c r="AE8" s="36" t="str">
        <f t="shared" si="0"/>
        <v>2026Принято органом регулирования</v>
      </c>
      <c r="AF8" s="36" t="str">
        <f t="shared" si="0"/>
        <v>2026Отклонение, %</v>
      </c>
      <c r="AG8" s="36" t="str">
        <f t="shared" si="0"/>
        <v>2027Предложение организации</v>
      </c>
      <c r="AH8" s="36" t="str">
        <f t="shared" si="0"/>
        <v>2027Принято органом регулирования</v>
      </c>
      <c r="AI8" s="36" t="str">
        <f t="shared" si="0"/>
        <v>2027Отклонение, %</v>
      </c>
      <c r="AJ8" s="36" t="str">
        <f t="shared" si="0"/>
        <v>2028Предложение организации</v>
      </c>
      <c r="AK8" s="36" t="str">
        <f t="shared" si="0"/>
        <v>2028Принято органом регулирования</v>
      </c>
      <c r="AL8" s="36" t="str">
        <f t="shared" si="0"/>
        <v>2028Отклонение, %</v>
      </c>
      <c r="AM8" s="36" t="str">
        <f t="shared" si="0"/>
        <v>2029Предложение организации</v>
      </c>
      <c r="AN8" s="36" t="str">
        <f t="shared" si="0"/>
        <v>2029Принято органом регулирования</v>
      </c>
      <c r="AO8" s="36" t="str">
        <f t="shared" si="0"/>
        <v>2029Отклонение, %</v>
      </c>
      <c r="AP8" s="36" t="str">
        <f t="shared" si="0"/>
        <v>2030Предложение организации</v>
      </c>
      <c r="AQ8" s="36" t="str">
        <f t="shared" si="0"/>
        <v>2030Принято органом регулирования</v>
      </c>
      <c r="AR8" s="36" t="str">
        <f t="shared" si="0"/>
        <v>2030Отклонение, %</v>
      </c>
      <c r="AS8" s="36" t="str">
        <f t="shared" si="0"/>
        <v>2031Предложение организации</v>
      </c>
      <c r="AT8" s="36" t="str">
        <f t="shared" si="0"/>
        <v>2031Принято органом регулирования</v>
      </c>
      <c r="AU8" s="36" t="str">
        <f t="shared" si="0"/>
        <v>2031Отклонение, %</v>
      </c>
      <c r="AV8" s="36" t="str">
        <f t="shared" si="0"/>
        <v>2032Предложение организации</v>
      </c>
      <c r="AW8" s="36" t="str">
        <f t="shared" si="0"/>
        <v>2032Принято органом регулирования</v>
      </c>
      <c r="AX8" s="36" t="str">
        <f t="shared" si="0"/>
        <v>2032Отклонение, %</v>
      </c>
      <c r="AY8" s="36" t="str">
        <f t="shared" si="0"/>
        <v>2033Предложение организации</v>
      </c>
      <c r="AZ8" s="36" t="str">
        <f t="shared" si="0"/>
        <v>2033Принято органом регулирования</v>
      </c>
      <c r="BA8" s="36" t="str">
        <f t="shared" si="0"/>
        <v>2033Отклонение, %</v>
      </c>
      <c r="BB8" s="36" t="str">
        <f t="shared" si="0"/>
        <v>2034Предложение организации</v>
      </c>
      <c r="BC8" s="36" t="str">
        <f t="shared" si="0"/>
        <v>2034Принято органом регулирования</v>
      </c>
      <c r="BD8" s="36" t="str">
        <f t="shared" si="0"/>
        <v>2034Отклонение, %</v>
      </c>
      <c r="BE8" s="36" t="str">
        <f t="shared" si="0"/>
        <v>2035Предложение организации</v>
      </c>
      <c r="BF8" s="36" t="str">
        <f t="shared" si="0"/>
        <v>2035Принято органом регулирования</v>
      </c>
      <c r="BG8" s="36" t="str">
        <f t="shared" si="0"/>
        <v>2035Отклонение, %</v>
      </c>
      <c r="BH8" s="36" t="str">
        <f t="shared" si="0"/>
        <v>2036Предложение организации</v>
      </c>
      <c r="BI8" s="36" t="str">
        <f t="shared" si="0"/>
        <v>2036Принято органом регулирования</v>
      </c>
      <c r="BJ8" s="36" t="str">
        <f t="shared" ref="BJ8:CO8" si="1">BJ6&amp;BJ7</f>
        <v>2036Отклонение, %</v>
      </c>
      <c r="BK8" s="36" t="str">
        <f t="shared" si="1"/>
        <v>2037Предложение организации</v>
      </c>
      <c r="BL8" s="36" t="str">
        <f t="shared" si="1"/>
        <v>2037Принято органом регулирования</v>
      </c>
      <c r="BM8" s="36" t="str">
        <f t="shared" si="1"/>
        <v>2037Отклонение, %</v>
      </c>
      <c r="BN8" s="36" t="str">
        <f t="shared" si="1"/>
        <v>2038Предложение организации</v>
      </c>
      <c r="BO8" s="36" t="str">
        <f t="shared" si="1"/>
        <v>2038Принято органом регулирования</v>
      </c>
      <c r="BP8" s="36" t="str">
        <f t="shared" si="1"/>
        <v>2038Отклонение, %</v>
      </c>
      <c r="BQ8" s="36" t="str">
        <f t="shared" si="1"/>
        <v>2039Предложение организации</v>
      </c>
      <c r="BR8" s="36" t="str">
        <f t="shared" si="1"/>
        <v>2039Принято органом регулирования</v>
      </c>
      <c r="BS8" s="36" t="str">
        <f t="shared" si="1"/>
        <v>2039Отклонение, %</v>
      </c>
      <c r="BT8" s="36" t="str">
        <f t="shared" si="1"/>
        <v>2040Предложение организации</v>
      </c>
      <c r="BU8" s="36" t="str">
        <f t="shared" si="1"/>
        <v>2040Принято органом регулирования</v>
      </c>
      <c r="BV8" s="36" t="str">
        <f t="shared" si="1"/>
        <v>2040Отклонение, %</v>
      </c>
      <c r="BW8" s="36" t="str">
        <f t="shared" si="1"/>
        <v>2041Предложение организации</v>
      </c>
      <c r="BX8" s="36" t="str">
        <f t="shared" si="1"/>
        <v>2041Принято органом регулирования</v>
      </c>
      <c r="BY8" s="36" t="str">
        <f t="shared" si="1"/>
        <v>2041Отклонение, %</v>
      </c>
      <c r="BZ8" s="36" t="str">
        <f t="shared" si="1"/>
        <v>2042Предложение организации</v>
      </c>
      <c r="CA8" s="36" t="str">
        <f t="shared" si="1"/>
        <v>2042Принято органом регулирования</v>
      </c>
      <c r="CB8" s="36" t="str">
        <f t="shared" si="1"/>
        <v>2042Отклонение, %</v>
      </c>
      <c r="CC8" s="36" t="str">
        <f t="shared" si="1"/>
        <v>2043Предложение организации</v>
      </c>
      <c r="CD8" s="36" t="str">
        <f t="shared" si="1"/>
        <v>2043Принято органом регулирования</v>
      </c>
      <c r="CE8" s="36" t="str">
        <f t="shared" si="1"/>
        <v>2043Отклонение, %</v>
      </c>
      <c r="CF8" s="36" t="str">
        <f t="shared" si="1"/>
        <v>2044Предложение организации</v>
      </c>
      <c r="CG8" s="36" t="str">
        <f t="shared" si="1"/>
        <v>2044Принято органом регулирования</v>
      </c>
      <c r="CH8" s="36" t="str">
        <f t="shared" si="1"/>
        <v>2044Отклонение, %</v>
      </c>
      <c r="CI8" s="36" t="str">
        <f t="shared" si="1"/>
        <v>2045Предложение организации</v>
      </c>
      <c r="CJ8" s="36" t="str">
        <f t="shared" si="1"/>
        <v>2045Принято органом регулирования</v>
      </c>
      <c r="CK8" s="36" t="str">
        <f t="shared" si="1"/>
        <v>2045Отклонение, %</v>
      </c>
      <c r="CL8" s="36" t="str">
        <f t="shared" si="1"/>
        <v>2046Предложение организации</v>
      </c>
      <c r="CM8" s="36" t="str">
        <f t="shared" si="1"/>
        <v>2046Принято органом регулирования</v>
      </c>
      <c r="CN8" s="36" t="str">
        <f t="shared" si="1"/>
        <v>2046Отклонение, %</v>
      </c>
      <c r="CO8" s="36" t="str">
        <f t="shared" si="1"/>
        <v>2047Предложение организации</v>
      </c>
      <c r="CP8" s="36" t="str">
        <f t="shared" ref="CP8:DU8" si="2">CP6&amp;CP7</f>
        <v>2047Принято органом регулирования</v>
      </c>
      <c r="CQ8" s="36" t="str">
        <f t="shared" si="2"/>
        <v>2047Отклонение, %</v>
      </c>
      <c r="CR8" s="36" t="str">
        <f t="shared" si="2"/>
        <v>2048Предложение организации</v>
      </c>
      <c r="CS8" s="36" t="str">
        <f t="shared" si="2"/>
        <v>2048Принято органом регулирования</v>
      </c>
      <c r="CT8" s="36" t="str">
        <f t="shared" si="2"/>
        <v>2048Отклонение, %</v>
      </c>
      <c r="CU8" s="36" t="str">
        <f t="shared" si="2"/>
        <v>2049Предложение организации</v>
      </c>
      <c r="CV8" s="36" t="str">
        <f t="shared" si="2"/>
        <v>2049Принято органом регулирования</v>
      </c>
      <c r="CW8" s="36" t="str">
        <f t="shared" si="2"/>
        <v>2049Отклонение, %</v>
      </c>
      <c r="CX8" s="36" t="str">
        <f t="shared" si="2"/>
        <v>2050Предложение организации</v>
      </c>
      <c r="CY8" s="36" t="str">
        <f t="shared" si="2"/>
        <v>2050Принято органом регулирования</v>
      </c>
      <c r="CZ8" s="36" t="str">
        <f t="shared" si="2"/>
        <v>2050Отклонение, %</v>
      </c>
      <c r="DA8" s="36" t="str">
        <f t="shared" si="2"/>
        <v>2051Предложение организации</v>
      </c>
      <c r="DB8" s="36" t="str">
        <f t="shared" si="2"/>
        <v>2051Принято органом регулирования</v>
      </c>
      <c r="DC8" s="36" t="str">
        <f t="shared" si="2"/>
        <v>2051Отклонение, %</v>
      </c>
      <c r="DD8" s="36" t="str">
        <f t="shared" si="2"/>
        <v>2052Предложение организации</v>
      </c>
      <c r="DE8" s="36" t="str">
        <f t="shared" si="2"/>
        <v>2052Принято органом регулирования</v>
      </c>
      <c r="DF8" s="36" t="str">
        <f t="shared" si="2"/>
        <v>2052Отклонение, %</v>
      </c>
      <c r="DG8" s="36" t="str">
        <f t="shared" si="2"/>
        <v>2053Предложение организации</v>
      </c>
      <c r="DH8" s="36" t="str">
        <f t="shared" si="2"/>
        <v>2053Принято органом регулирования</v>
      </c>
      <c r="DI8" s="36" t="str">
        <f t="shared" si="2"/>
        <v>2053Отклонение, %</v>
      </c>
      <c r="DJ8" s="36" t="str">
        <f t="shared" si="2"/>
        <v>2054Предложение организации</v>
      </c>
      <c r="DK8" s="36" t="str">
        <f t="shared" si="2"/>
        <v>2054Принято органом регулирования</v>
      </c>
      <c r="DL8" s="36" t="str">
        <f t="shared" si="2"/>
        <v>2054Отклонение, %</v>
      </c>
      <c r="DM8" s="36" t="str">
        <f t="shared" si="2"/>
        <v>2055Предложение организации</v>
      </c>
      <c r="DN8" s="36" t="str">
        <f t="shared" si="2"/>
        <v>2055Принято органом регулирования</v>
      </c>
      <c r="DO8" s="36" t="str">
        <f t="shared" si="2"/>
        <v>2055Отклонение, %</v>
      </c>
      <c r="DP8" s="36" t="str">
        <f t="shared" si="2"/>
        <v>2056Предложение организации</v>
      </c>
      <c r="DQ8" s="36" t="str">
        <f t="shared" si="2"/>
        <v>2056Принято органом регулирования</v>
      </c>
      <c r="DR8" s="36" t="str">
        <f t="shared" si="2"/>
        <v>2056Отклонение, %</v>
      </c>
      <c r="DS8" s="36" t="str">
        <f t="shared" si="2"/>
        <v>2057Предложение организации</v>
      </c>
      <c r="DT8" s="36" t="str">
        <f t="shared" si="2"/>
        <v>2057Принято органом регулирования</v>
      </c>
      <c r="DU8" s="36" t="str">
        <f t="shared" si="2"/>
        <v>2057Отклонение, %</v>
      </c>
      <c r="DV8" s="36" t="str">
        <f t="shared" ref="DV8:FA8" si="3">DV6&amp;DV7</f>
        <v>2058Предложение организации</v>
      </c>
      <c r="DW8" s="36" t="str">
        <f t="shared" si="3"/>
        <v>2058Принято органом регулирования</v>
      </c>
      <c r="DX8" s="36" t="str">
        <f t="shared" si="3"/>
        <v>2058Отклонение, %</v>
      </c>
      <c r="DY8" s="36" t="str">
        <f t="shared" si="3"/>
        <v>2059Предложение организации</v>
      </c>
      <c r="DZ8" s="36" t="str">
        <f t="shared" si="3"/>
        <v>2059Принято органом регулирования</v>
      </c>
      <c r="EA8" s="36" t="str">
        <f t="shared" si="3"/>
        <v>2059Отклонение, %</v>
      </c>
      <c r="EB8" s="36" t="str">
        <f t="shared" si="3"/>
        <v>2060Предложение организации</v>
      </c>
      <c r="EC8" s="36" t="str">
        <f t="shared" si="3"/>
        <v>2060Принято органом регулирования</v>
      </c>
      <c r="ED8" s="36" t="str">
        <f t="shared" si="3"/>
        <v>2060Отклонение, %</v>
      </c>
      <c r="EE8" s="36" t="str">
        <f t="shared" si="3"/>
        <v>2061Предложение организации</v>
      </c>
      <c r="EF8" s="36" t="str">
        <f t="shared" si="3"/>
        <v>2061Принято органом регулирования</v>
      </c>
      <c r="EG8" s="36" t="str">
        <f t="shared" si="3"/>
        <v>2061Отклонение, %</v>
      </c>
      <c r="EH8" s="36" t="str">
        <f t="shared" si="3"/>
        <v>2062Предложение организации</v>
      </c>
      <c r="EI8" s="36" t="str">
        <f t="shared" si="3"/>
        <v>2062Принято органом регулирования</v>
      </c>
      <c r="EJ8" s="36" t="str">
        <f t="shared" si="3"/>
        <v>2062Отклонение, %</v>
      </c>
      <c r="EK8" s="36" t="str">
        <f t="shared" si="3"/>
        <v>2063Предложение организации</v>
      </c>
      <c r="EL8" s="36" t="str">
        <f t="shared" si="3"/>
        <v>2063Принято органом регулирования</v>
      </c>
      <c r="EM8" s="36" t="str">
        <f t="shared" si="3"/>
        <v>2063Отклонение, %</v>
      </c>
      <c r="EN8" s="36" t="str">
        <f t="shared" si="3"/>
        <v>2064Предложение организации</v>
      </c>
      <c r="EO8" s="36" t="str">
        <f t="shared" si="3"/>
        <v>2064Принято органом регулирования</v>
      </c>
      <c r="EP8" s="36" t="str">
        <f t="shared" si="3"/>
        <v>2064Отклонение, %</v>
      </c>
      <c r="EQ8" s="36" t="str">
        <f t="shared" si="3"/>
        <v>2065Предложение организации</v>
      </c>
      <c r="ER8" s="36" t="str">
        <f t="shared" si="3"/>
        <v>2065Принято органом регулирования</v>
      </c>
      <c r="ES8" s="36" t="str">
        <f t="shared" si="3"/>
        <v>2065Отклонение, %</v>
      </c>
      <c r="ET8" s="36" t="str">
        <f t="shared" si="3"/>
        <v>2066Предложение организации</v>
      </c>
      <c r="EU8" s="36" t="str">
        <f t="shared" si="3"/>
        <v>2066Принято органом регулирования</v>
      </c>
      <c r="EV8" s="36" t="str">
        <f t="shared" si="3"/>
        <v>2066Отклонение, %</v>
      </c>
      <c r="EW8" s="36" t="str">
        <f t="shared" si="3"/>
        <v>2067Предложение организации</v>
      </c>
      <c r="EX8" s="36" t="str">
        <f t="shared" si="3"/>
        <v>2067Принято органом регулирования</v>
      </c>
      <c r="EY8" s="36" t="str">
        <f t="shared" si="3"/>
        <v>2067Отклонение, %</v>
      </c>
      <c r="EZ8" s="36" t="str">
        <f t="shared" si="3"/>
        <v>2068Предложение организации</v>
      </c>
      <c r="FA8" s="36" t="str">
        <f t="shared" si="3"/>
        <v>2068Принято органом регулирования</v>
      </c>
      <c r="FB8" s="36" t="str">
        <f t="shared" ref="FB8:FW8" si="4">FB6&amp;FB7</f>
        <v>2068Отклонение, %</v>
      </c>
      <c r="FC8" s="36" t="str">
        <f t="shared" si="4"/>
        <v>2069Предложение организации</v>
      </c>
      <c r="FD8" s="36" t="str">
        <f t="shared" si="4"/>
        <v>2069Принято органом регулирования</v>
      </c>
      <c r="FE8" s="36" t="str">
        <f t="shared" si="4"/>
        <v>2069Отклонение, %</v>
      </c>
      <c r="FF8" s="36" t="str">
        <f t="shared" si="4"/>
        <v>2070Предложение организации</v>
      </c>
      <c r="FG8" s="36" t="str">
        <f t="shared" si="4"/>
        <v>2070Принято органом регулирования</v>
      </c>
      <c r="FH8" s="36" t="str">
        <f t="shared" si="4"/>
        <v>2070Отклонение, %</v>
      </c>
      <c r="FI8" s="36" t="str">
        <f t="shared" si="4"/>
        <v>2071Предложение организации</v>
      </c>
      <c r="FJ8" s="36" t="str">
        <f t="shared" si="4"/>
        <v>2071Принято органом регулирования</v>
      </c>
      <c r="FK8" s="36" t="str">
        <f t="shared" si="4"/>
        <v>2071Отклонение, %</v>
      </c>
      <c r="FL8" s="36" t="str">
        <f t="shared" si="4"/>
        <v>2072Предложение организации</v>
      </c>
      <c r="FM8" s="36" t="str">
        <f t="shared" si="4"/>
        <v>2072Принято органом регулирования</v>
      </c>
      <c r="FN8" s="36" t="str">
        <f t="shared" si="4"/>
        <v>2072Отклонение, %</v>
      </c>
      <c r="FO8" s="36" t="str">
        <f t="shared" si="4"/>
        <v>2073Предложение организации</v>
      </c>
      <c r="FP8" s="36" t="str">
        <f t="shared" si="4"/>
        <v>2073Принято органом регулирования</v>
      </c>
      <c r="FQ8" s="36" t="str">
        <f t="shared" si="4"/>
        <v>2073Отклонение, %</v>
      </c>
      <c r="FR8" s="36" t="str">
        <f t="shared" si="4"/>
        <v>2074Предложение организации</v>
      </c>
      <c r="FS8" s="36" t="str">
        <f t="shared" si="4"/>
        <v>2074Принято органом регулирования</v>
      </c>
      <c r="FT8" s="36" t="str">
        <f t="shared" si="4"/>
        <v>2074Отклонение, %</v>
      </c>
      <c r="FU8" s="36" t="str">
        <f t="shared" si="4"/>
        <v>2075Предложение организации</v>
      </c>
      <c r="FV8" s="36" t="str">
        <f t="shared" si="4"/>
        <v>2075Принято органом регулирования</v>
      </c>
      <c r="FW8" s="36" t="str">
        <f t="shared" si="4"/>
        <v>2075Отклонение, %</v>
      </c>
    </row>
    <row r="9" spans="1:186" s="680" customFormat="1" ht="11.25" hidden="1" customHeight="1">
      <c r="A9" s="680" t="s">
        <v>358</v>
      </c>
      <c r="B9" s="657"/>
      <c r="F9" s="698"/>
      <c r="AB9" s="699"/>
      <c r="AC9" s="678"/>
      <c r="AD9" s="680" cm="1">
        <f t="array" ref="AD9">AD6</f>
        <v>2026</v>
      </c>
      <c r="AE9" s="680" cm="1">
        <f t="array" ref="AE9">AE6</f>
        <v>2026</v>
      </c>
      <c r="AF9" s="680" cm="1">
        <f t="array" ref="AF9">AF6</f>
        <v>2026</v>
      </c>
      <c r="AG9" s="680" cm="1">
        <f t="array" ref="AG9">AG6</f>
        <v>2027</v>
      </c>
      <c r="AH9" s="680" cm="1">
        <f t="array" ref="AH9">AH6</f>
        <v>2027</v>
      </c>
      <c r="AI9" s="680" cm="1">
        <f t="array" ref="AI9">AI6</f>
        <v>2027</v>
      </c>
      <c r="AJ9" s="680" cm="1">
        <f t="array" ref="AJ9">AJ6</f>
        <v>2028</v>
      </c>
      <c r="AK9" s="680" cm="1">
        <f t="array" ref="AK9">AK6</f>
        <v>2028</v>
      </c>
      <c r="AL9" s="680" cm="1">
        <f t="array" ref="AL9">AL6</f>
        <v>2028</v>
      </c>
      <c r="AM9" s="680" cm="1">
        <f t="array" ref="AM9">AM6</f>
        <v>2029</v>
      </c>
      <c r="AN9" s="680" cm="1">
        <f t="array" ref="AN9">AN6</f>
        <v>2029</v>
      </c>
      <c r="AO9" s="680" cm="1">
        <f t="array" ref="AO9">AO6</f>
        <v>2029</v>
      </c>
      <c r="AP9" s="680" cm="1">
        <f t="array" ref="AP9">AP6</f>
        <v>2030</v>
      </c>
      <c r="AQ9" s="680" cm="1">
        <f t="array" ref="AQ9">AQ6</f>
        <v>2030</v>
      </c>
      <c r="AR9" s="680" cm="1">
        <f t="array" ref="AR9">AR6</f>
        <v>2030</v>
      </c>
      <c r="AS9" s="680" cm="1">
        <f t="array" ref="AS9">AS6</f>
        <v>2031</v>
      </c>
      <c r="AT9" s="680" cm="1">
        <f t="array" ref="AT9">AT6</f>
        <v>2031</v>
      </c>
      <c r="AU9" s="680" cm="1">
        <f t="array" ref="AU9">AU6</f>
        <v>2031</v>
      </c>
      <c r="AV9" s="680" cm="1">
        <f t="array" ref="AV9">AV6</f>
        <v>2032</v>
      </c>
      <c r="AW9" s="680" cm="1">
        <f t="array" ref="AW9">AW6</f>
        <v>2032</v>
      </c>
      <c r="AX9" s="680" cm="1">
        <f t="array" ref="AX9">AX6</f>
        <v>2032</v>
      </c>
      <c r="AY9" s="680" cm="1">
        <f t="array" ref="AY9">AY6</f>
        <v>2033</v>
      </c>
      <c r="AZ9" s="680" cm="1">
        <f t="array" ref="AZ9">AZ6</f>
        <v>2033</v>
      </c>
      <c r="BA9" s="680" cm="1">
        <f t="array" ref="BA9">BA6</f>
        <v>2033</v>
      </c>
      <c r="BB9" s="680" cm="1">
        <f t="array" ref="BB9">BB6</f>
        <v>2034</v>
      </c>
      <c r="BC9" s="680" cm="1">
        <f t="array" ref="BC9">BC6</f>
        <v>2034</v>
      </c>
      <c r="BD9" s="680" cm="1">
        <f t="array" ref="BD9">BD6</f>
        <v>2034</v>
      </c>
      <c r="BE9" s="680" cm="1">
        <f t="array" ref="BE9">BE6</f>
        <v>2035</v>
      </c>
      <c r="BF9" s="680" cm="1">
        <f t="array" ref="BF9">BF6</f>
        <v>2035</v>
      </c>
      <c r="BG9" s="680" cm="1">
        <f t="array" ref="BG9">BG6</f>
        <v>2035</v>
      </c>
      <c r="BH9" s="680" cm="1">
        <f t="array" ref="BH9">BH6</f>
        <v>2036</v>
      </c>
      <c r="BI9" s="680" cm="1">
        <f t="array" ref="BI9">BI6</f>
        <v>2036</v>
      </c>
      <c r="BJ9" s="680" cm="1">
        <f t="array" ref="BJ9">BJ6</f>
        <v>2036</v>
      </c>
      <c r="BK9" s="680" cm="1">
        <f t="array" ref="BK9">BK6</f>
        <v>2037</v>
      </c>
      <c r="BL9" s="680" cm="1">
        <f t="array" ref="BL9">BL6</f>
        <v>2037</v>
      </c>
      <c r="BM9" s="680" cm="1">
        <f t="array" ref="BM9">BM6</f>
        <v>2037</v>
      </c>
      <c r="BN9" s="680" cm="1">
        <f t="array" ref="BN9">BN6</f>
        <v>2038</v>
      </c>
      <c r="BO9" s="680" cm="1">
        <f t="array" ref="BO9">BO6</f>
        <v>2038</v>
      </c>
      <c r="BP9" s="680" cm="1">
        <f t="array" ref="BP9">BP6</f>
        <v>2038</v>
      </c>
      <c r="BQ9" s="680" cm="1">
        <f t="array" ref="BQ9">BQ6</f>
        <v>2039</v>
      </c>
      <c r="BR9" s="680" cm="1">
        <f t="array" ref="BR9">BR6</f>
        <v>2039</v>
      </c>
      <c r="BS9" s="680" cm="1">
        <f t="array" ref="BS9">BS6</f>
        <v>2039</v>
      </c>
      <c r="BT9" s="680" cm="1">
        <f t="array" ref="BT9">BT6</f>
        <v>2040</v>
      </c>
      <c r="BU9" s="680" cm="1">
        <f t="array" ref="BU9">BU6</f>
        <v>2040</v>
      </c>
      <c r="BV9" s="680" cm="1">
        <f t="array" ref="BV9">BV6</f>
        <v>2040</v>
      </c>
      <c r="BW9" s="680" cm="1">
        <f t="array" ref="BW9">BW6</f>
        <v>2041</v>
      </c>
      <c r="BX9" s="680" cm="1">
        <f t="array" ref="BX9">BX6</f>
        <v>2041</v>
      </c>
      <c r="BY9" s="680" cm="1">
        <f t="array" ref="BY9">BY6</f>
        <v>2041</v>
      </c>
      <c r="BZ9" s="680" cm="1">
        <f t="array" ref="BZ9">BZ6</f>
        <v>2042</v>
      </c>
      <c r="CA9" s="680" cm="1">
        <f t="array" ref="CA9">CA6</f>
        <v>2042</v>
      </c>
      <c r="CB9" s="680" cm="1">
        <f t="array" ref="CB9">CB6</f>
        <v>2042</v>
      </c>
      <c r="CC9" s="680" cm="1">
        <f t="array" ref="CC9">CC6</f>
        <v>2043</v>
      </c>
      <c r="CD9" s="680" cm="1">
        <f t="array" ref="CD9">CD6</f>
        <v>2043</v>
      </c>
      <c r="CE9" s="680" cm="1">
        <f t="array" ref="CE9">CE6</f>
        <v>2043</v>
      </c>
      <c r="CF9" s="680" cm="1">
        <f t="array" ref="CF9">CF6</f>
        <v>2044</v>
      </c>
      <c r="CG9" s="680" cm="1">
        <f t="array" ref="CG9">CG6</f>
        <v>2044</v>
      </c>
      <c r="CH9" s="680" cm="1">
        <f t="array" ref="CH9">CH6</f>
        <v>2044</v>
      </c>
      <c r="CI9" s="680" cm="1">
        <f t="array" ref="CI9">CI6</f>
        <v>2045</v>
      </c>
      <c r="CJ9" s="680" cm="1">
        <f t="array" ref="CJ9">CJ6</f>
        <v>2045</v>
      </c>
      <c r="CK9" s="680" cm="1">
        <f t="array" ref="CK9">CK6</f>
        <v>2045</v>
      </c>
      <c r="CL9" s="680" cm="1">
        <f t="array" ref="CL9">CL6</f>
        <v>2046</v>
      </c>
      <c r="CM9" s="680" cm="1">
        <f t="array" ref="CM9">CM6</f>
        <v>2046</v>
      </c>
      <c r="CN9" s="680" cm="1">
        <f t="array" ref="CN9">CN6</f>
        <v>2046</v>
      </c>
      <c r="CO9" s="680" cm="1">
        <f t="array" ref="CO9">CO6</f>
        <v>2047</v>
      </c>
      <c r="CP9" s="680" cm="1">
        <f t="array" ref="CP9">CP6</f>
        <v>2047</v>
      </c>
      <c r="CQ9" s="680" cm="1">
        <f t="array" ref="CQ9">CQ6</f>
        <v>2047</v>
      </c>
      <c r="CR9" s="680" cm="1">
        <f t="array" ref="CR9">CR6</f>
        <v>2048</v>
      </c>
      <c r="CS9" s="680" cm="1">
        <f t="array" ref="CS9">CS6</f>
        <v>2048</v>
      </c>
      <c r="CT9" s="680" cm="1">
        <f t="array" ref="CT9">CT6</f>
        <v>2048</v>
      </c>
      <c r="CU9" s="680" cm="1">
        <f t="array" ref="CU9">CU6</f>
        <v>2049</v>
      </c>
      <c r="CV9" s="680" cm="1">
        <f t="array" ref="CV9">CV6</f>
        <v>2049</v>
      </c>
      <c r="CW9" s="680" cm="1">
        <f t="array" ref="CW9">CW6</f>
        <v>2049</v>
      </c>
      <c r="CX9" s="680" cm="1">
        <f t="array" ref="CX9">CX6</f>
        <v>2050</v>
      </c>
      <c r="CY9" s="680" cm="1">
        <f t="array" ref="CY9">CY6</f>
        <v>2050</v>
      </c>
      <c r="CZ9" s="680" cm="1">
        <f t="array" ref="CZ9">CZ6</f>
        <v>2050</v>
      </c>
      <c r="DA9" s="680" cm="1">
        <f t="array" ref="DA9">DA6</f>
        <v>2051</v>
      </c>
      <c r="DB9" s="680" cm="1">
        <f t="array" ref="DB9">DB6</f>
        <v>2051</v>
      </c>
      <c r="DC9" s="680" cm="1">
        <f t="array" ref="DC9">DC6</f>
        <v>2051</v>
      </c>
      <c r="DD9" s="680" cm="1">
        <f t="array" ref="DD9">DD6</f>
        <v>2052</v>
      </c>
      <c r="DE9" s="680" cm="1">
        <f t="array" ref="DE9">DE6</f>
        <v>2052</v>
      </c>
      <c r="DF9" s="680" cm="1">
        <f t="array" ref="DF9">DF6</f>
        <v>2052</v>
      </c>
      <c r="DG9" s="680" cm="1">
        <f t="array" ref="DG9">DG6</f>
        <v>2053</v>
      </c>
      <c r="DH9" s="680" cm="1">
        <f t="array" ref="DH9">DH6</f>
        <v>2053</v>
      </c>
      <c r="DI9" s="680" cm="1">
        <f t="array" ref="DI9">DI6</f>
        <v>2053</v>
      </c>
      <c r="DJ9" s="680" cm="1">
        <f t="array" ref="DJ9">DJ6</f>
        <v>2054</v>
      </c>
      <c r="DK9" s="680" cm="1">
        <f t="array" ref="DK9">DK6</f>
        <v>2054</v>
      </c>
      <c r="DL9" s="680" cm="1">
        <f t="array" ref="DL9">DL6</f>
        <v>2054</v>
      </c>
      <c r="DM9" s="680" cm="1">
        <f t="array" ref="DM9">DM6</f>
        <v>2055</v>
      </c>
      <c r="DN9" s="680" cm="1">
        <f t="array" ref="DN9">DN6</f>
        <v>2055</v>
      </c>
      <c r="DO9" s="680" cm="1">
        <f t="array" ref="DO9">DO6</f>
        <v>2055</v>
      </c>
      <c r="DP9" s="680" cm="1">
        <f t="array" ref="DP9">DP6</f>
        <v>2056</v>
      </c>
      <c r="DQ9" s="680" cm="1">
        <f t="array" ref="DQ9">DQ6</f>
        <v>2056</v>
      </c>
      <c r="DR9" s="680" cm="1">
        <f t="array" ref="DR9">DR6</f>
        <v>2056</v>
      </c>
      <c r="DS9" s="680" cm="1">
        <f t="array" ref="DS9">DS6</f>
        <v>2057</v>
      </c>
      <c r="DT9" s="680" cm="1">
        <f t="array" ref="DT9">DT6</f>
        <v>2057</v>
      </c>
      <c r="DU9" s="680" cm="1">
        <f t="array" ref="DU9">DU6</f>
        <v>2057</v>
      </c>
      <c r="DV9" s="680" cm="1">
        <f t="array" ref="DV9">DV6</f>
        <v>2058</v>
      </c>
      <c r="DW9" s="680" cm="1">
        <f t="array" ref="DW9">DW6</f>
        <v>2058</v>
      </c>
      <c r="DX9" s="680" cm="1">
        <f t="array" ref="DX9">DX6</f>
        <v>2058</v>
      </c>
      <c r="DY9" s="680" cm="1">
        <f t="array" ref="DY9">DY6</f>
        <v>2059</v>
      </c>
      <c r="DZ9" s="680" cm="1">
        <f t="array" ref="DZ9">DZ6</f>
        <v>2059</v>
      </c>
      <c r="EA9" s="680" cm="1">
        <f t="array" ref="EA9">EA6</f>
        <v>2059</v>
      </c>
      <c r="EB9" s="680" cm="1">
        <f t="array" ref="EB9">EB6</f>
        <v>2060</v>
      </c>
      <c r="EC9" s="680" cm="1">
        <f t="array" ref="EC9">EC6</f>
        <v>2060</v>
      </c>
      <c r="ED9" s="680" cm="1">
        <f t="array" ref="ED9">ED6</f>
        <v>2060</v>
      </c>
      <c r="EE9" s="680" cm="1">
        <f t="array" ref="EE9">EE6</f>
        <v>2061</v>
      </c>
      <c r="EF9" s="680" cm="1">
        <f t="array" ref="EF9">EF6</f>
        <v>2061</v>
      </c>
      <c r="EG9" s="680" cm="1">
        <f t="array" ref="EG9">EG6</f>
        <v>2061</v>
      </c>
      <c r="EH9" s="680" cm="1">
        <f t="array" ref="EH9">EH6</f>
        <v>2062</v>
      </c>
      <c r="EI9" s="680" cm="1">
        <f t="array" ref="EI9">EI6</f>
        <v>2062</v>
      </c>
      <c r="EJ9" s="680" cm="1">
        <f t="array" ref="EJ9">EJ6</f>
        <v>2062</v>
      </c>
      <c r="EK9" s="680" cm="1">
        <f t="array" ref="EK9">EK6</f>
        <v>2063</v>
      </c>
      <c r="EL9" s="680" cm="1">
        <f t="array" ref="EL9">EL6</f>
        <v>2063</v>
      </c>
      <c r="EM9" s="680" cm="1">
        <f t="array" ref="EM9">EM6</f>
        <v>2063</v>
      </c>
      <c r="EN9" s="680" cm="1">
        <f t="array" ref="EN9">EN6</f>
        <v>2064</v>
      </c>
      <c r="EO9" s="680" cm="1">
        <f t="array" ref="EO9">EO6</f>
        <v>2064</v>
      </c>
      <c r="EP9" s="680" cm="1">
        <f t="array" ref="EP9">EP6</f>
        <v>2064</v>
      </c>
      <c r="EQ9" s="680" cm="1">
        <f t="array" ref="EQ9">EQ6</f>
        <v>2065</v>
      </c>
      <c r="ER9" s="680" cm="1">
        <f t="array" ref="ER9">ER6</f>
        <v>2065</v>
      </c>
      <c r="ES9" s="680" cm="1">
        <f t="array" ref="ES9">ES6</f>
        <v>2065</v>
      </c>
      <c r="ET9" s="680" cm="1">
        <f t="array" ref="ET9">ET6</f>
        <v>2066</v>
      </c>
      <c r="EU9" s="680" cm="1">
        <f t="array" ref="EU9">EU6</f>
        <v>2066</v>
      </c>
      <c r="EV9" s="680" cm="1">
        <f t="array" ref="EV9">EV6</f>
        <v>2066</v>
      </c>
      <c r="EW9" s="680" cm="1">
        <f t="array" ref="EW9">EW6</f>
        <v>2067</v>
      </c>
      <c r="EX9" s="680" cm="1">
        <f t="array" ref="EX9">EX6</f>
        <v>2067</v>
      </c>
      <c r="EY9" s="680" cm="1">
        <f t="array" ref="EY9">EY6</f>
        <v>2067</v>
      </c>
      <c r="EZ9" s="680" cm="1">
        <f t="array" ref="EZ9">EZ6</f>
        <v>2068</v>
      </c>
      <c r="FA9" s="680" cm="1">
        <f t="array" ref="FA9">FA6</f>
        <v>2068</v>
      </c>
      <c r="FB9" s="680" cm="1">
        <f t="array" ref="FB9">FB6</f>
        <v>2068</v>
      </c>
      <c r="FC9" s="680" cm="1">
        <f t="array" ref="FC9">FC6</f>
        <v>2069</v>
      </c>
      <c r="FD9" s="680" cm="1">
        <f t="array" ref="FD9">FD6</f>
        <v>2069</v>
      </c>
      <c r="FE9" s="680" cm="1">
        <f t="array" ref="FE9">FE6</f>
        <v>2069</v>
      </c>
      <c r="FF9" s="680" cm="1">
        <f t="array" ref="FF9">FF6</f>
        <v>2070</v>
      </c>
      <c r="FG9" s="680" cm="1">
        <f t="array" ref="FG9">FG6</f>
        <v>2070</v>
      </c>
      <c r="FH9" s="680" cm="1">
        <f t="array" ref="FH9">FH6</f>
        <v>2070</v>
      </c>
      <c r="FI9" s="680" cm="1">
        <f t="array" ref="FI9">FI6</f>
        <v>2071</v>
      </c>
      <c r="FJ9" s="680" cm="1">
        <f t="array" ref="FJ9">FJ6</f>
        <v>2071</v>
      </c>
      <c r="FK9" s="680" cm="1">
        <f t="array" ref="FK9">FK6</f>
        <v>2071</v>
      </c>
      <c r="FL9" s="680" cm="1">
        <f t="array" ref="FL9">FL6</f>
        <v>2072</v>
      </c>
      <c r="FM9" s="680" cm="1">
        <f t="array" ref="FM9">FM6</f>
        <v>2072</v>
      </c>
      <c r="FN9" s="680" cm="1">
        <f t="array" ref="FN9">FN6</f>
        <v>2072</v>
      </c>
      <c r="FO9" s="680" cm="1">
        <f t="array" ref="FO9">FO6</f>
        <v>2073</v>
      </c>
      <c r="FP9" s="680" cm="1">
        <f t="array" ref="FP9">FP6</f>
        <v>2073</v>
      </c>
      <c r="FQ9" s="680" cm="1">
        <f t="array" ref="FQ9">FQ6</f>
        <v>2073</v>
      </c>
      <c r="FR9" s="680" cm="1">
        <f t="array" ref="FR9">FR6</f>
        <v>2074</v>
      </c>
      <c r="FS9" s="680" cm="1">
        <f t="array" ref="FS9">FS6</f>
        <v>2074</v>
      </c>
      <c r="FT9" s="680" cm="1">
        <f t="array" ref="FT9">FT6</f>
        <v>2074</v>
      </c>
      <c r="FU9" s="680" cm="1">
        <f t="array" ref="FU9">FU6</f>
        <v>2075</v>
      </c>
      <c r="FV9" s="680" cm="1">
        <f t="array" ref="FV9">FV6</f>
        <v>2075</v>
      </c>
      <c r="FW9" s="680" cm="1">
        <f t="array" ref="FW9">FW6</f>
        <v>2075</v>
      </c>
      <c r="GC9" s="472"/>
      <c r="GD9" s="472"/>
    </row>
    <row r="10" spans="1:186" s="680" customFormat="1" ht="11.25" hidden="1" customHeight="1">
      <c r="A10" s="680" t="s">
        <v>359</v>
      </c>
      <c r="B10" s="657"/>
      <c r="F10" s="698"/>
      <c r="AB10" s="699"/>
      <c r="AC10" s="678"/>
      <c r="AD10" s="680" t="str" cm="1">
        <f t="array" ref="AD10">AD26</f>
        <v>Предложение организации</v>
      </c>
      <c r="AE10" s="680" t="str" cm="1">
        <f t="array" ref="AE10">AE26</f>
        <v>Принято органом регулирования</v>
      </c>
      <c r="AF10" s="680" t="str" cm="1">
        <f t="array" ref="AF10">AF26</f>
        <v>Отклонение, %</v>
      </c>
      <c r="AG10" s="680" t="str" cm="1">
        <f t="array" ref="AG10">AG26</f>
        <v>Предложение организации</v>
      </c>
      <c r="AH10" s="680" t="str" cm="1">
        <f t="array" ref="AH10">AH26</f>
        <v>Принято органом регулирования</v>
      </c>
      <c r="AI10" s="680" t="str" cm="1">
        <f t="array" ref="AI10">AI26</f>
        <v>Отклонение, %</v>
      </c>
      <c r="AJ10" s="680" t="str" cm="1">
        <f t="array" ref="AJ10">AJ26</f>
        <v>Предложение организации</v>
      </c>
      <c r="AK10" s="680" t="str" cm="1">
        <f t="array" ref="AK10">AK26</f>
        <v>Принято органом регулирования</v>
      </c>
      <c r="AL10" s="680" t="str" cm="1">
        <f t="array" ref="AL10">AL26</f>
        <v>Отклонение, %</v>
      </c>
      <c r="AM10" s="680" t="str" cm="1">
        <f t="array" ref="AM10">AM26</f>
        <v>Предложение организации</v>
      </c>
      <c r="AN10" s="680" t="str" cm="1">
        <f t="array" ref="AN10">AN26</f>
        <v>Принято органом регулирования</v>
      </c>
      <c r="AO10" s="680" t="str" cm="1">
        <f t="array" ref="AO10">AO26</f>
        <v>Отклонение, %</v>
      </c>
      <c r="AP10" s="680" t="str" cm="1">
        <f t="array" ref="AP10">AP26</f>
        <v>Предложение организации</v>
      </c>
      <c r="AQ10" s="680" t="str" cm="1">
        <f t="array" ref="AQ10">AQ26</f>
        <v>Принято органом регулирования</v>
      </c>
      <c r="AR10" s="680" t="str" cm="1">
        <f t="array" ref="AR10">AR26</f>
        <v>Отклонение, %</v>
      </c>
      <c r="AS10" s="680" t="str" cm="1">
        <f t="array" ref="AS10">AS26</f>
        <v>Предложение организации</v>
      </c>
      <c r="AT10" s="680" t="str" cm="1">
        <f t="array" ref="AT10">AT26</f>
        <v>Принято органом регулирования</v>
      </c>
      <c r="AU10" s="680" t="str" cm="1">
        <f t="array" ref="AU10">AU26</f>
        <v>Отклонение, %</v>
      </c>
      <c r="AV10" s="680" t="str" cm="1">
        <f t="array" ref="AV10">AV26</f>
        <v>Предложение организации</v>
      </c>
      <c r="AW10" s="680" t="str" cm="1">
        <f t="array" ref="AW10">AW26</f>
        <v>Принято органом регулирования</v>
      </c>
      <c r="AX10" s="680" t="str" cm="1">
        <f t="array" ref="AX10">AX26</f>
        <v>Отклонение, %</v>
      </c>
      <c r="AY10" s="680" t="str" cm="1">
        <f t="array" ref="AY10">AY26</f>
        <v>Предложение организации</v>
      </c>
      <c r="AZ10" s="680" t="str" cm="1">
        <f t="array" ref="AZ10">AZ26</f>
        <v>Принято органом регулирования</v>
      </c>
      <c r="BA10" s="680" t="str" cm="1">
        <f t="array" ref="BA10">BA26</f>
        <v>Отклонение, %</v>
      </c>
      <c r="BB10" s="680" t="str" cm="1">
        <f t="array" ref="BB10">BB26</f>
        <v>Предложение организации</v>
      </c>
      <c r="BC10" s="680" t="str" cm="1">
        <f t="array" ref="BC10">BC26</f>
        <v>Принято органом регулирования</v>
      </c>
      <c r="BD10" s="680" t="str" cm="1">
        <f t="array" ref="BD10">BD26</f>
        <v>Отклонение, %</v>
      </c>
      <c r="BE10" s="680" t="str" cm="1">
        <f t="array" ref="BE10">BE26</f>
        <v>Предложение организации</v>
      </c>
      <c r="BF10" s="680" t="str" cm="1">
        <f t="array" ref="BF10">BF26</f>
        <v>Принято органом регулирования</v>
      </c>
      <c r="BG10" s="680" t="str" cm="1">
        <f t="array" ref="BG10">BG26</f>
        <v>Отклонение, %</v>
      </c>
      <c r="BH10" s="680" t="str" cm="1">
        <f t="array" ref="BH10">BH26</f>
        <v>Предложение организации</v>
      </c>
      <c r="BI10" s="680" t="str" cm="1">
        <f t="array" ref="BI10">BI26</f>
        <v>Принято органом регулирования</v>
      </c>
      <c r="BJ10" s="680" t="str" cm="1">
        <f t="array" ref="BJ10">BJ26</f>
        <v>Отклонение, %</v>
      </c>
      <c r="BK10" s="680" t="str" cm="1">
        <f t="array" ref="BK10">BK26</f>
        <v>Предложение организации</v>
      </c>
      <c r="BL10" s="680" t="str" cm="1">
        <f t="array" ref="BL10">BL26</f>
        <v>Принято органом регулирования</v>
      </c>
      <c r="BM10" s="680" t="str" cm="1">
        <f t="array" ref="BM10">BM26</f>
        <v>Отклонение, %</v>
      </c>
      <c r="BN10" s="680" t="str" cm="1">
        <f t="array" ref="BN10">BN26</f>
        <v>Предложение организации</v>
      </c>
      <c r="BO10" s="680" t="str" cm="1">
        <f t="array" ref="BO10">BO26</f>
        <v>Принято органом регулирования</v>
      </c>
      <c r="BP10" s="680" t="str" cm="1">
        <f t="array" ref="BP10">BP26</f>
        <v>Отклонение, %</v>
      </c>
      <c r="BQ10" s="680" t="str" cm="1">
        <f t="array" ref="BQ10">BQ26</f>
        <v>Предложение организации</v>
      </c>
      <c r="BR10" s="680" t="str" cm="1">
        <f t="array" ref="BR10">BR26</f>
        <v>Принято органом регулирования</v>
      </c>
      <c r="BS10" s="680" t="str" cm="1">
        <f t="array" ref="BS10">BS26</f>
        <v>Отклонение, %</v>
      </c>
      <c r="BT10" s="680" t="str" cm="1">
        <f t="array" ref="BT10">BT26</f>
        <v>Предложение организации</v>
      </c>
      <c r="BU10" s="680" t="str" cm="1">
        <f t="array" ref="BU10">BU26</f>
        <v>Принято органом регулирования</v>
      </c>
      <c r="BV10" s="680" t="str" cm="1">
        <f t="array" ref="BV10">BV26</f>
        <v>Отклонение, %</v>
      </c>
      <c r="BW10" s="680" t="str" cm="1">
        <f t="array" ref="BW10">BW26</f>
        <v>Предложение организации</v>
      </c>
      <c r="BX10" s="680" t="str" cm="1">
        <f t="array" ref="BX10">BX26</f>
        <v>Принято органом регулирования</v>
      </c>
      <c r="BY10" s="680" t="str" cm="1">
        <f t="array" ref="BY10">BY26</f>
        <v>Отклонение, %</v>
      </c>
      <c r="BZ10" s="680" t="str" cm="1">
        <f t="array" ref="BZ10">BZ26</f>
        <v>Предложение организации</v>
      </c>
      <c r="CA10" s="680" t="str" cm="1">
        <f t="array" ref="CA10">CA26</f>
        <v>Принято органом регулирования</v>
      </c>
      <c r="CB10" s="680" t="str" cm="1">
        <f t="array" ref="CB10">CB26</f>
        <v>Отклонение, %</v>
      </c>
      <c r="CC10" s="680" t="str" cm="1">
        <f t="array" ref="CC10">CC26</f>
        <v>Предложение организации</v>
      </c>
      <c r="CD10" s="680" t="str" cm="1">
        <f t="array" ref="CD10">CD26</f>
        <v>Принято органом регулирования</v>
      </c>
      <c r="CE10" s="680" t="str" cm="1">
        <f t="array" ref="CE10">CE26</f>
        <v>Отклонение, %</v>
      </c>
      <c r="CF10" s="680" t="str" cm="1">
        <f t="array" ref="CF10">CF26</f>
        <v>Предложение организации</v>
      </c>
      <c r="CG10" s="680" t="str" cm="1">
        <f t="array" ref="CG10">CG26</f>
        <v>Принято органом регулирования</v>
      </c>
      <c r="CH10" s="680" t="str" cm="1">
        <f t="array" ref="CH10">CH26</f>
        <v>Отклонение, %</v>
      </c>
      <c r="CI10" s="680" t="str" cm="1">
        <f t="array" ref="CI10">CI26</f>
        <v>Предложение организации</v>
      </c>
      <c r="CJ10" s="680" t="str" cm="1">
        <f t="array" ref="CJ10">CJ26</f>
        <v>Принято органом регулирования</v>
      </c>
      <c r="CK10" s="680" t="str" cm="1">
        <f t="array" ref="CK10">CK26</f>
        <v>Отклонение, %</v>
      </c>
      <c r="CL10" s="680" t="str" cm="1">
        <f t="array" ref="CL10">CL26</f>
        <v>Предложение организации</v>
      </c>
      <c r="CM10" s="680" t="str" cm="1">
        <f t="array" ref="CM10">CM26</f>
        <v>Принято органом регулирования</v>
      </c>
      <c r="CN10" s="680" t="str" cm="1">
        <f t="array" ref="CN10">CN26</f>
        <v>Отклонение, %</v>
      </c>
      <c r="CO10" s="680" t="str" cm="1">
        <f t="array" ref="CO10">CO26</f>
        <v>Предложение организации</v>
      </c>
      <c r="CP10" s="680" t="str" cm="1">
        <f t="array" ref="CP10">CP26</f>
        <v>Принято органом регулирования</v>
      </c>
      <c r="CQ10" s="680" t="str" cm="1">
        <f t="array" ref="CQ10">CQ26</f>
        <v>Отклонение, %</v>
      </c>
      <c r="CR10" s="680" t="str" cm="1">
        <f t="array" ref="CR10">CR26</f>
        <v>Предложение организации</v>
      </c>
      <c r="CS10" s="680" t="str" cm="1">
        <f t="array" ref="CS10">CS26</f>
        <v>Принято органом регулирования</v>
      </c>
      <c r="CT10" s="680" t="str" cm="1">
        <f t="array" ref="CT10">CT26</f>
        <v>Отклонение, %</v>
      </c>
      <c r="CU10" s="680" t="str" cm="1">
        <f t="array" ref="CU10">CU26</f>
        <v>Предложение организации</v>
      </c>
      <c r="CV10" s="680" t="str" cm="1">
        <f t="array" ref="CV10">CV26</f>
        <v>Принято органом регулирования</v>
      </c>
      <c r="CW10" s="680" t="str" cm="1">
        <f t="array" ref="CW10">CW26</f>
        <v>Отклонение, %</v>
      </c>
      <c r="CX10" s="680" t="str" cm="1">
        <f t="array" ref="CX10">CX26</f>
        <v>Предложение организации</v>
      </c>
      <c r="CY10" s="680" t="str" cm="1">
        <f t="array" ref="CY10">CY26</f>
        <v>Принято органом регулирования</v>
      </c>
      <c r="CZ10" s="680" t="str" cm="1">
        <f t="array" ref="CZ10">CZ26</f>
        <v>Отклонение, %</v>
      </c>
      <c r="DA10" s="680" t="str" cm="1">
        <f t="array" ref="DA10">DA26</f>
        <v>Предложение организации</v>
      </c>
      <c r="DB10" s="680" t="str" cm="1">
        <f t="array" ref="DB10">DB26</f>
        <v>Принято органом регулирования</v>
      </c>
      <c r="DC10" s="680" t="str" cm="1">
        <f t="array" ref="DC10">DC26</f>
        <v>Отклонение, %</v>
      </c>
      <c r="DD10" s="680" t="str" cm="1">
        <f t="array" ref="DD10">DD26</f>
        <v>Предложение организации</v>
      </c>
      <c r="DE10" s="680" t="str" cm="1">
        <f t="array" ref="DE10">DE26</f>
        <v>Принято органом регулирования</v>
      </c>
      <c r="DF10" s="680" t="str" cm="1">
        <f t="array" ref="DF10">DF26</f>
        <v>Отклонение, %</v>
      </c>
      <c r="DG10" s="680" t="str" cm="1">
        <f t="array" ref="DG10">DG26</f>
        <v>Предложение организации</v>
      </c>
      <c r="DH10" s="680" t="str" cm="1">
        <f t="array" ref="DH10">DH26</f>
        <v>Принято органом регулирования</v>
      </c>
      <c r="DI10" s="680" t="str" cm="1">
        <f t="array" ref="DI10">DI26</f>
        <v>Отклонение, %</v>
      </c>
      <c r="DJ10" s="680" t="str" cm="1">
        <f t="array" ref="DJ10">DJ26</f>
        <v>Предложение организации</v>
      </c>
      <c r="DK10" s="680" t="str" cm="1">
        <f t="array" ref="DK10">DK26</f>
        <v>Принято органом регулирования</v>
      </c>
      <c r="DL10" s="680" t="str" cm="1">
        <f t="array" ref="DL10">DL26</f>
        <v>Отклонение, %</v>
      </c>
      <c r="DM10" s="680" t="str" cm="1">
        <f t="array" ref="DM10">DM26</f>
        <v>Предложение организации</v>
      </c>
      <c r="DN10" s="680" t="str" cm="1">
        <f t="array" ref="DN10">DN26</f>
        <v>Принято органом регулирования</v>
      </c>
      <c r="DO10" s="680" t="str" cm="1">
        <f t="array" ref="DO10">DO26</f>
        <v>Отклонение, %</v>
      </c>
      <c r="DP10" s="680" t="str" cm="1">
        <f t="array" ref="DP10">DP26</f>
        <v>Предложение организации</v>
      </c>
      <c r="DQ10" s="680" t="str" cm="1">
        <f t="array" ref="DQ10">DQ26</f>
        <v>Принято органом регулирования</v>
      </c>
      <c r="DR10" s="680" t="str" cm="1">
        <f t="array" ref="DR10">DR26</f>
        <v>Отклонение, %</v>
      </c>
      <c r="DS10" s="680" t="str" cm="1">
        <f t="array" ref="DS10">DS26</f>
        <v>Предложение организации</v>
      </c>
      <c r="DT10" s="680" t="str" cm="1">
        <f t="array" ref="DT10">DT26</f>
        <v>Принято органом регулирования</v>
      </c>
      <c r="DU10" s="680" t="str" cm="1">
        <f t="array" ref="DU10">DU26</f>
        <v>Отклонение, %</v>
      </c>
      <c r="DV10" s="680" t="str" cm="1">
        <f t="array" ref="DV10">DV26</f>
        <v>Предложение организации</v>
      </c>
      <c r="DW10" s="680" t="str" cm="1">
        <f t="array" ref="DW10">DW26</f>
        <v>Принято органом регулирования</v>
      </c>
      <c r="DX10" s="680" t="str" cm="1">
        <f t="array" ref="DX10">DX26</f>
        <v>Отклонение, %</v>
      </c>
      <c r="DY10" s="680" t="str" cm="1">
        <f t="array" ref="DY10">DY26</f>
        <v>Предложение организации</v>
      </c>
      <c r="DZ10" s="680" t="str" cm="1">
        <f t="array" ref="DZ10">DZ26</f>
        <v>Принято органом регулирования</v>
      </c>
      <c r="EA10" s="680" t="str" cm="1">
        <f t="array" ref="EA10">EA26</f>
        <v>Отклонение, %</v>
      </c>
      <c r="EB10" s="680" t="str" cm="1">
        <f t="array" ref="EB10">EB26</f>
        <v>Предложение организации</v>
      </c>
      <c r="EC10" s="680" t="str" cm="1">
        <f t="array" ref="EC10">EC26</f>
        <v>Принято органом регулирования</v>
      </c>
      <c r="ED10" s="680" t="str" cm="1">
        <f t="array" ref="ED10">ED26</f>
        <v>Отклонение, %</v>
      </c>
      <c r="EE10" s="680" t="str" cm="1">
        <f t="array" ref="EE10">EE26</f>
        <v>Предложение организации</v>
      </c>
      <c r="EF10" s="680" t="str" cm="1">
        <f t="array" ref="EF10">EF26</f>
        <v>Принято органом регулирования</v>
      </c>
      <c r="EG10" s="680" t="str" cm="1">
        <f t="array" ref="EG10">EG26</f>
        <v>Отклонение, %</v>
      </c>
      <c r="EH10" s="680" t="str" cm="1">
        <f t="array" ref="EH10">EH26</f>
        <v>Предложение организации</v>
      </c>
      <c r="EI10" s="680" t="str" cm="1">
        <f t="array" ref="EI10">EI26</f>
        <v>Принято органом регулирования</v>
      </c>
      <c r="EJ10" s="680" t="str" cm="1">
        <f t="array" ref="EJ10">EJ26</f>
        <v>Отклонение, %</v>
      </c>
      <c r="EK10" s="680" t="str" cm="1">
        <f t="array" ref="EK10">EK26</f>
        <v>Предложение организации</v>
      </c>
      <c r="EL10" s="680" t="str" cm="1">
        <f t="array" ref="EL10">EL26</f>
        <v>Принято органом регулирования</v>
      </c>
      <c r="EM10" s="680" t="str" cm="1">
        <f t="array" ref="EM10">EM26</f>
        <v>Отклонение, %</v>
      </c>
      <c r="EN10" s="680" t="str" cm="1">
        <f t="array" ref="EN10">EN26</f>
        <v>Предложение организации</v>
      </c>
      <c r="EO10" s="680" t="str" cm="1">
        <f t="array" ref="EO10">EO26</f>
        <v>Принято органом регулирования</v>
      </c>
      <c r="EP10" s="680" t="str" cm="1">
        <f t="array" ref="EP10">EP26</f>
        <v>Отклонение, %</v>
      </c>
      <c r="EQ10" s="680" t="str" cm="1">
        <f t="array" ref="EQ10">EQ26</f>
        <v>Предложение организации</v>
      </c>
      <c r="ER10" s="680" t="str" cm="1">
        <f t="array" ref="ER10">ER26</f>
        <v>Принято органом регулирования</v>
      </c>
      <c r="ES10" s="680" t="str" cm="1">
        <f t="array" ref="ES10">ES26</f>
        <v>Отклонение, %</v>
      </c>
      <c r="ET10" s="680" t="str" cm="1">
        <f t="array" ref="ET10">ET26</f>
        <v>Предложение организации</v>
      </c>
      <c r="EU10" s="680" t="str" cm="1">
        <f t="array" ref="EU10">EU26</f>
        <v>Принято органом регулирования</v>
      </c>
      <c r="EV10" s="680" t="str" cm="1">
        <f t="array" ref="EV10">EV26</f>
        <v>Отклонение, %</v>
      </c>
      <c r="EW10" s="680" t="str" cm="1">
        <f t="array" ref="EW10">EW26</f>
        <v>Предложение организации</v>
      </c>
      <c r="EX10" s="680" t="str" cm="1">
        <f t="array" ref="EX10">EX26</f>
        <v>Принято органом регулирования</v>
      </c>
      <c r="EY10" s="680" t="str" cm="1">
        <f t="array" ref="EY10">EY26</f>
        <v>Отклонение, %</v>
      </c>
      <c r="EZ10" s="680" t="str" cm="1">
        <f t="array" ref="EZ10">EZ26</f>
        <v>Предложение организации</v>
      </c>
      <c r="FA10" s="680" t="str" cm="1">
        <f t="array" ref="FA10">FA26</f>
        <v>Принято органом регулирования</v>
      </c>
      <c r="FB10" s="680" t="str" cm="1">
        <f t="array" ref="FB10">FB26</f>
        <v>Отклонение, %</v>
      </c>
      <c r="FC10" s="680" t="str" cm="1">
        <f t="array" ref="FC10">FC26</f>
        <v>Предложение организации</v>
      </c>
      <c r="FD10" s="680" t="str" cm="1">
        <f t="array" ref="FD10">FD26</f>
        <v>Принято органом регулирования</v>
      </c>
      <c r="FE10" s="680" t="str" cm="1">
        <f t="array" ref="FE10">FE26</f>
        <v>Отклонение, %</v>
      </c>
      <c r="FF10" s="680" t="str" cm="1">
        <f t="array" ref="FF10">FF26</f>
        <v>Предложение организации</v>
      </c>
      <c r="FG10" s="680" t="str" cm="1">
        <f t="array" ref="FG10">FG26</f>
        <v>Принято органом регулирования</v>
      </c>
      <c r="FH10" s="680" t="str" cm="1">
        <f t="array" ref="FH10">FH26</f>
        <v>Отклонение, %</v>
      </c>
      <c r="FI10" s="680" t="str" cm="1">
        <f t="array" ref="FI10">FI26</f>
        <v>Предложение организации</v>
      </c>
      <c r="FJ10" s="680" t="str" cm="1">
        <f t="array" ref="FJ10">FJ26</f>
        <v>Принято органом регулирования</v>
      </c>
      <c r="FK10" s="680" t="str" cm="1">
        <f t="array" ref="FK10">FK26</f>
        <v>Отклонение, %</v>
      </c>
      <c r="FL10" s="680" t="str" cm="1">
        <f t="array" ref="FL10">FL26</f>
        <v>Предложение организации</v>
      </c>
      <c r="FM10" s="680" t="str" cm="1">
        <f t="array" ref="FM10">FM26</f>
        <v>Принято органом регулирования</v>
      </c>
      <c r="FN10" s="680" t="str" cm="1">
        <f t="array" ref="FN10">FN26</f>
        <v>Отклонение, %</v>
      </c>
      <c r="FO10" s="680" t="str" cm="1">
        <f t="array" ref="FO10">FO26</f>
        <v>Предложение организации</v>
      </c>
      <c r="FP10" s="680" t="str" cm="1">
        <f t="array" ref="FP10">FP26</f>
        <v>Принято органом регулирования</v>
      </c>
      <c r="FQ10" s="680" t="str" cm="1">
        <f t="array" ref="FQ10">FQ26</f>
        <v>Отклонение, %</v>
      </c>
      <c r="FR10" s="680" t="str" cm="1">
        <f t="array" ref="FR10">FR26</f>
        <v>Предложение организации</v>
      </c>
      <c r="FS10" s="680" t="str" cm="1">
        <f t="array" ref="FS10">FS26</f>
        <v>Принято органом регулирования</v>
      </c>
      <c r="FT10" s="680" t="str" cm="1">
        <f t="array" ref="FT10">FT26</f>
        <v>Отклонение, %</v>
      </c>
      <c r="FU10" s="680" t="str" cm="1">
        <f t="array" ref="FU10">FU26</f>
        <v>Предложение организации</v>
      </c>
      <c r="FV10" s="680" t="str" cm="1">
        <f t="array" ref="FV10">FV26</f>
        <v>Принято органом регулирования</v>
      </c>
      <c r="FW10" s="680" t="str" cm="1">
        <f t="array" ref="FW10">FW26</f>
        <v>Отклонение, %</v>
      </c>
      <c r="GC10" s="472"/>
      <c r="GD10" s="472"/>
    </row>
    <row r="11" spans="1:186" s="680" customFormat="1" ht="11.25" hidden="1" customHeight="1">
      <c r="A11" s="680" t="s">
        <v>333</v>
      </c>
      <c r="B11" s="657"/>
      <c r="F11" s="698"/>
      <c r="AB11" s="699" t="s">
        <v>320</v>
      </c>
      <c r="AC11" s="678"/>
      <c r="GC11" s="472"/>
      <c r="GD11" s="472"/>
    </row>
    <row r="12" spans="1:186" ht="11.25" hidden="1" customHeight="1"/>
    <row r="13" spans="1:186" ht="11.25" hidden="1" customHeight="1"/>
    <row r="14" spans="1:186" ht="11.25" hidden="1" customHeight="1"/>
    <row r="15" spans="1:186" ht="11.25" hidden="1" customHeight="1"/>
    <row r="16" spans="1:186" ht="11.25" hidden="1" customHeight="1"/>
    <row r="17" spans="1:186" ht="11.25" hidden="1" customHeight="1"/>
    <row r="18" spans="1:186" ht="11.25" hidden="1" customHeight="1">
      <c r="A18" s="36" t="s">
        <v>361</v>
      </c>
      <c r="AB18" s="139" t="s">
        <v>362</v>
      </c>
    </row>
    <row r="19" spans="1:186" ht="11.25" hidden="1" customHeight="1"/>
    <row r="20" spans="1:186" ht="11.25" hidden="1" customHeight="1"/>
    <row r="21" spans="1:186" ht="14.65" customHeight="1">
      <c r="E21" s="472">
        <v>15</v>
      </c>
      <c r="AA21" s="78"/>
      <c r="AB21" s="281" t="str" cm="1">
        <f t="array" ref="AB21">tpl_title</f>
        <v>Кемеровская область / 2026 / ООО "Энергосервис г. Гурьевска" (ИНН:4202049045, КПП:420201001) / ДПР: 2024-2028</v>
      </c>
    </row>
    <row r="22" spans="1:186" s="78" customFormat="1" ht="23.45" customHeight="1">
      <c r="B22" s="396"/>
      <c r="E22" s="473">
        <v>24</v>
      </c>
      <c r="F22" s="384"/>
      <c r="AB22" s="239" t="s">
        <v>83</v>
      </c>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D22" s="216"/>
      <c r="BE22" s="216"/>
      <c r="BF22" s="216"/>
      <c r="BG22" s="216"/>
      <c r="BH22" s="216"/>
      <c r="BI22" s="216"/>
      <c r="BJ22" s="216"/>
      <c r="BK22" s="216"/>
      <c r="BL22" s="216"/>
      <c r="BM22" s="216"/>
      <c r="BN22" s="216"/>
      <c r="BO22" s="216"/>
      <c r="BP22" s="216"/>
      <c r="BQ22" s="216"/>
      <c r="BR22" s="216"/>
      <c r="BS22" s="216"/>
      <c r="BT22" s="216"/>
      <c r="BU22" s="216"/>
      <c r="BV22" s="216"/>
      <c r="BW22" s="216"/>
      <c r="BX22" s="216"/>
      <c r="BY22" s="216"/>
      <c r="BZ22" s="216"/>
      <c r="CA22" s="216"/>
      <c r="CB22" s="216"/>
      <c r="CC22" s="216"/>
      <c r="CD22" s="216"/>
      <c r="CE22" s="216"/>
      <c r="CF22" s="216"/>
      <c r="CG22" s="216"/>
      <c r="CH22" s="216"/>
      <c r="CI22" s="216"/>
      <c r="CJ22" s="216"/>
      <c r="CK22" s="216"/>
      <c r="CL22" s="216"/>
      <c r="CM22" s="216"/>
      <c r="CN22" s="216"/>
      <c r="CO22" s="216"/>
      <c r="CP22" s="216"/>
      <c r="CQ22" s="216"/>
      <c r="CR22" s="216"/>
      <c r="CS22" s="216"/>
      <c r="CT22" s="216"/>
      <c r="CU22" s="216"/>
      <c r="CV22" s="216"/>
      <c r="CW22" s="216"/>
      <c r="CX22" s="216"/>
      <c r="CY22" s="216"/>
      <c r="CZ22" s="216"/>
      <c r="DA22" s="216"/>
      <c r="DB22" s="216"/>
      <c r="DC22" s="216"/>
      <c r="DD22" s="216"/>
      <c r="DE22" s="216"/>
      <c r="DF22" s="216"/>
      <c r="DG22" s="216"/>
      <c r="DH22" s="216"/>
      <c r="DI22" s="216"/>
      <c r="DJ22" s="216"/>
      <c r="DK22" s="216"/>
      <c r="DL22" s="216"/>
      <c r="DM22" s="216"/>
      <c r="DN22" s="216"/>
      <c r="DO22" s="216"/>
      <c r="DP22" s="216"/>
      <c r="DQ22" s="216"/>
      <c r="DR22" s="216"/>
      <c r="DS22" s="216"/>
      <c r="DT22" s="216"/>
      <c r="DU22" s="216"/>
      <c r="DV22" s="216"/>
      <c r="DW22" s="216"/>
      <c r="DX22" s="216"/>
      <c r="DY22" s="216"/>
      <c r="DZ22" s="216"/>
      <c r="EA22" s="216"/>
      <c r="EB22" s="216"/>
      <c r="EC22" s="216"/>
      <c r="ED22" s="216"/>
      <c r="EE22" s="216"/>
      <c r="EF22" s="216"/>
      <c r="EG22" s="216"/>
      <c r="EH22" s="216"/>
      <c r="EI22" s="216"/>
      <c r="EJ22" s="216"/>
      <c r="EK22" s="216"/>
      <c r="EL22" s="216"/>
      <c r="EM22" s="216"/>
      <c r="EN22" s="216"/>
      <c r="EO22" s="216"/>
      <c r="EP22" s="216"/>
      <c r="EQ22" s="216"/>
      <c r="ER22" s="216"/>
      <c r="ES22" s="216"/>
      <c r="ET22" s="216"/>
      <c r="EU22" s="216"/>
      <c r="EV22" s="216"/>
      <c r="EW22" s="216"/>
      <c r="EX22" s="216"/>
      <c r="EY22" s="216"/>
      <c r="EZ22" s="216"/>
      <c r="FA22" s="216"/>
      <c r="FB22" s="216"/>
      <c r="FC22" s="216"/>
      <c r="FD22" s="216"/>
      <c r="FE22" s="216"/>
      <c r="FF22" s="216"/>
      <c r="FG22" s="216"/>
      <c r="FH22" s="216"/>
      <c r="FI22" s="216"/>
      <c r="FJ22" s="216"/>
      <c r="FK22" s="216"/>
      <c r="FL22" s="216"/>
      <c r="FM22" s="216"/>
      <c r="FN22" s="216"/>
      <c r="FO22" s="216"/>
      <c r="FP22" s="216"/>
      <c r="FQ22" s="216"/>
      <c r="FR22" s="216"/>
      <c r="FS22" s="216"/>
      <c r="FT22" s="216"/>
      <c r="FU22" s="216"/>
      <c r="FV22" s="216"/>
      <c r="FW22" s="216"/>
      <c r="FZ22" s="683"/>
      <c r="GA22" s="683"/>
      <c r="GB22" s="683"/>
      <c r="GC22" s="473"/>
      <c r="GD22" s="473"/>
    </row>
    <row r="23" spans="1:186" ht="10.9" customHeight="1">
      <c r="E23" s="472">
        <v>11.25</v>
      </c>
      <c r="AB23" s="79"/>
      <c r="AD23" s="79"/>
    </row>
    <row r="24" spans="1:186" s="78" customFormat="1" ht="18.95" customHeight="1">
      <c r="E24" s="473">
        <v>19.5</v>
      </c>
      <c r="F24" s="384"/>
      <c r="T24" s="365" t="b">
        <f>OR(hasVS,hasVO)</f>
        <v>1</v>
      </c>
      <c r="AA24" s="299"/>
      <c r="AB24" s="319" t="s">
        <v>83</v>
      </c>
      <c r="AC24" s="284"/>
      <c r="AD24" s="284"/>
      <c r="AE24" s="284"/>
      <c r="AF24" s="284"/>
      <c r="AG24" s="284"/>
      <c r="AH24" s="284"/>
      <c r="AI24" s="284"/>
      <c r="AJ24" s="284"/>
      <c r="AK24" s="284"/>
      <c r="AL24" s="284"/>
      <c r="AM24" s="284"/>
      <c r="AN24" s="284"/>
      <c r="AO24" s="284"/>
      <c r="AP24" s="284"/>
      <c r="AQ24" s="284"/>
      <c r="AR24" s="284"/>
      <c r="AS24" s="284"/>
      <c r="AT24" s="284"/>
      <c r="AU24" s="284"/>
      <c r="AV24" s="284"/>
      <c r="AW24" s="284"/>
      <c r="AX24" s="284"/>
      <c r="AY24" s="284"/>
      <c r="AZ24" s="284"/>
      <c r="BA24" s="284"/>
      <c r="BB24" s="284"/>
      <c r="BC24" s="284"/>
      <c r="BD24" s="284"/>
      <c r="BE24" s="284"/>
      <c r="BF24" s="284"/>
      <c r="BG24" s="285"/>
      <c r="BH24" s="285"/>
      <c r="BI24" s="285"/>
      <c r="BJ24" s="285"/>
      <c r="BK24" s="285"/>
      <c r="BL24" s="285"/>
      <c r="BM24" s="285"/>
      <c r="BN24" s="285"/>
      <c r="BO24" s="285"/>
      <c r="BP24" s="285"/>
      <c r="BQ24" s="285"/>
      <c r="BR24" s="285"/>
      <c r="BS24" s="285"/>
      <c r="BT24" s="285"/>
      <c r="BU24" s="285"/>
      <c r="BV24" s="285"/>
      <c r="BW24" s="285"/>
      <c r="BX24" s="285"/>
      <c r="BY24" s="285"/>
      <c r="BZ24" s="285"/>
      <c r="CA24" s="285"/>
      <c r="CB24" s="285"/>
      <c r="CC24" s="285"/>
      <c r="CD24" s="285"/>
      <c r="CE24" s="285"/>
      <c r="CF24" s="285"/>
      <c r="CG24" s="285"/>
      <c r="CH24" s="285"/>
      <c r="CI24" s="285"/>
      <c r="CJ24" s="285"/>
      <c r="CK24" s="285"/>
      <c r="CL24" s="285"/>
      <c r="CM24" s="285"/>
      <c r="CN24" s="285"/>
      <c r="CO24" s="285"/>
      <c r="CP24" s="285"/>
      <c r="CQ24" s="285"/>
      <c r="CR24" s="285"/>
      <c r="CS24" s="285"/>
      <c r="CT24" s="285"/>
      <c r="CU24" s="285"/>
      <c r="CV24" s="285"/>
      <c r="CW24" s="285"/>
      <c r="CX24" s="285"/>
      <c r="CY24" s="285"/>
      <c r="CZ24" s="285"/>
      <c r="DA24" s="285"/>
      <c r="DB24" s="285"/>
      <c r="DC24" s="285"/>
      <c r="DD24" s="285"/>
      <c r="DE24" s="285"/>
      <c r="DF24" s="285"/>
      <c r="DG24" s="285"/>
      <c r="DH24" s="285"/>
      <c r="DI24" s="285"/>
      <c r="DJ24" s="285"/>
      <c r="DK24" s="285"/>
      <c r="DL24" s="285"/>
      <c r="DM24" s="285"/>
      <c r="DN24" s="285"/>
      <c r="DO24" s="285"/>
      <c r="DP24" s="285"/>
      <c r="DQ24" s="285"/>
      <c r="DR24" s="285"/>
      <c r="DS24" s="285"/>
      <c r="DT24" s="285"/>
      <c r="DU24" s="285"/>
      <c r="DV24" s="285"/>
      <c r="DW24" s="285"/>
      <c r="DX24" s="285"/>
      <c r="DY24" s="285"/>
      <c r="DZ24" s="285"/>
      <c r="EA24" s="285"/>
      <c r="EB24" s="285"/>
      <c r="EC24" s="285"/>
      <c r="ED24" s="285"/>
      <c r="EE24" s="285"/>
      <c r="EF24" s="285"/>
      <c r="EG24" s="285"/>
      <c r="EH24" s="285"/>
      <c r="EI24" s="285"/>
      <c r="EJ24" s="285"/>
      <c r="EK24" s="285"/>
      <c r="EL24" s="285"/>
      <c r="EM24" s="285"/>
      <c r="EN24" s="285"/>
      <c r="EO24" s="285"/>
      <c r="EP24" s="285"/>
      <c r="EQ24" s="285"/>
      <c r="ER24" s="285"/>
      <c r="ES24" s="285"/>
      <c r="ET24" s="285"/>
      <c r="EU24" s="285"/>
      <c r="EV24" s="285"/>
      <c r="EW24" s="285"/>
      <c r="EX24" s="285"/>
      <c r="EY24" s="285"/>
      <c r="EZ24" s="285"/>
      <c r="FA24" s="285"/>
      <c r="FB24" s="285"/>
      <c r="FC24" s="285"/>
      <c r="FD24" s="285"/>
      <c r="FE24" s="285"/>
      <c r="FF24" s="285"/>
      <c r="FG24" s="285"/>
      <c r="FH24" s="285"/>
      <c r="FI24" s="285"/>
      <c r="FJ24" s="285"/>
      <c r="FK24" s="285"/>
      <c r="FL24" s="285"/>
      <c r="FM24" s="285"/>
      <c r="FN24" s="285"/>
      <c r="FO24" s="285"/>
      <c r="FP24" s="285"/>
      <c r="FQ24" s="285"/>
      <c r="FR24" s="285"/>
      <c r="FS24" s="285"/>
      <c r="FT24" s="285"/>
      <c r="FU24" s="285"/>
      <c r="FV24" s="285"/>
      <c r="FW24" s="285"/>
      <c r="FZ24" s="683"/>
      <c r="GA24" s="683"/>
      <c r="GB24" s="683"/>
      <c r="GC24" s="473"/>
      <c r="GD24" s="473"/>
    </row>
    <row r="25" spans="1:186" ht="10.9" customHeight="1">
      <c r="E25" s="472">
        <v>11.25</v>
      </c>
      <c r="T25" s="365" t="b">
        <f>OR(hasVS,hasVO)</f>
        <v>1</v>
      </c>
      <c r="AB25" s="1077" t="s">
        <v>362</v>
      </c>
      <c r="AC25" s="1077" t="s">
        <v>363</v>
      </c>
      <c r="AD25" s="1175" t="str">
        <f>AD6&amp;" год"</f>
        <v>2026 год</v>
      </c>
      <c r="AE25" s="1176"/>
      <c r="AF25" s="1177"/>
      <c r="AG25" s="1175" t="str">
        <f>AG6&amp;" год"</f>
        <v>2027 год</v>
      </c>
      <c r="AH25" s="1176"/>
      <c r="AI25" s="1177"/>
      <c r="AJ25" s="1175" t="str">
        <f>AJ6&amp;" год"</f>
        <v>2028 год</v>
      </c>
      <c r="AK25" s="1176"/>
      <c r="AL25" s="1177"/>
      <c r="AM25" s="1175" t="str">
        <f>AM6&amp;" год"</f>
        <v>2029 год</v>
      </c>
      <c r="AN25" s="1176"/>
      <c r="AO25" s="1177"/>
      <c r="AP25" s="1175" t="str">
        <f>AP6&amp;" год"</f>
        <v>2030 год</v>
      </c>
      <c r="AQ25" s="1176"/>
      <c r="AR25" s="1177"/>
      <c r="AS25" s="1175" t="str">
        <f>AS6&amp;" год"</f>
        <v>2031 год</v>
      </c>
      <c r="AT25" s="1176"/>
      <c r="AU25" s="1177"/>
      <c r="AV25" s="1175" t="str">
        <f>AV6&amp;" год"</f>
        <v>2032 год</v>
      </c>
      <c r="AW25" s="1176"/>
      <c r="AX25" s="1177"/>
      <c r="AY25" s="1175" t="str">
        <f>AY6&amp;" год"</f>
        <v>2033 год</v>
      </c>
      <c r="AZ25" s="1176"/>
      <c r="BA25" s="1177"/>
      <c r="BB25" s="1175" t="str">
        <f>BB6&amp;" год"</f>
        <v>2034 год</v>
      </c>
      <c r="BC25" s="1176"/>
      <c r="BD25" s="1177"/>
      <c r="BE25" s="1175" t="str">
        <f>BE6&amp;" год"</f>
        <v>2035 год</v>
      </c>
      <c r="BF25" s="1176"/>
      <c r="BG25" s="1177"/>
      <c r="BH25" s="1175" t="str">
        <f>BH6&amp;" год"</f>
        <v>2036 год</v>
      </c>
      <c r="BI25" s="1176"/>
      <c r="BJ25" s="1177"/>
      <c r="BK25" s="1175" t="str">
        <f>BK6&amp;" год"</f>
        <v>2037 год</v>
      </c>
      <c r="BL25" s="1176"/>
      <c r="BM25" s="1177"/>
      <c r="BN25" s="1175" t="str">
        <f>BN6&amp;" год"</f>
        <v>2038 год</v>
      </c>
      <c r="BO25" s="1176"/>
      <c r="BP25" s="1177"/>
      <c r="BQ25" s="1175" t="str">
        <f>BQ6&amp;" год"</f>
        <v>2039 год</v>
      </c>
      <c r="BR25" s="1176"/>
      <c r="BS25" s="1177"/>
      <c r="BT25" s="1175" t="str">
        <f>BT6&amp;" год"</f>
        <v>2040 год</v>
      </c>
      <c r="BU25" s="1176"/>
      <c r="BV25" s="1177"/>
      <c r="BW25" s="1175" t="str">
        <f>BW6&amp;" год"</f>
        <v>2041 год</v>
      </c>
      <c r="BX25" s="1176"/>
      <c r="BY25" s="1177"/>
      <c r="BZ25" s="1175" t="str">
        <f>BZ6&amp;" год"</f>
        <v>2042 год</v>
      </c>
      <c r="CA25" s="1176"/>
      <c r="CB25" s="1177"/>
      <c r="CC25" s="1175" t="str">
        <f>CC6&amp;" год"</f>
        <v>2043 год</v>
      </c>
      <c r="CD25" s="1176"/>
      <c r="CE25" s="1177"/>
      <c r="CF25" s="1175" t="str">
        <f>CF6&amp;" год"</f>
        <v>2044 год</v>
      </c>
      <c r="CG25" s="1176"/>
      <c r="CH25" s="1177"/>
      <c r="CI25" s="1175" t="str">
        <f>CI6&amp;" год"</f>
        <v>2045 год</v>
      </c>
      <c r="CJ25" s="1176"/>
      <c r="CK25" s="1177"/>
      <c r="CL25" s="1175" t="str">
        <f>CL6&amp;" год"</f>
        <v>2046 год</v>
      </c>
      <c r="CM25" s="1176"/>
      <c r="CN25" s="1177"/>
      <c r="CO25" s="1175" t="str">
        <f>CO6&amp;" год"</f>
        <v>2047 год</v>
      </c>
      <c r="CP25" s="1176"/>
      <c r="CQ25" s="1177"/>
      <c r="CR25" s="1175" t="str">
        <f>CR6&amp;" год"</f>
        <v>2048 год</v>
      </c>
      <c r="CS25" s="1176"/>
      <c r="CT25" s="1177"/>
      <c r="CU25" s="1175" t="str">
        <f>CU6&amp;" год"</f>
        <v>2049 год</v>
      </c>
      <c r="CV25" s="1176"/>
      <c r="CW25" s="1177"/>
      <c r="CX25" s="1175" t="str">
        <f>CX6&amp;" год"</f>
        <v>2050 год</v>
      </c>
      <c r="CY25" s="1176"/>
      <c r="CZ25" s="1177"/>
      <c r="DA25" s="1175" t="str">
        <f>DA6&amp;" год"</f>
        <v>2051 год</v>
      </c>
      <c r="DB25" s="1176"/>
      <c r="DC25" s="1177"/>
      <c r="DD25" s="1175" t="str">
        <f>DD6&amp;" год"</f>
        <v>2052 год</v>
      </c>
      <c r="DE25" s="1176"/>
      <c r="DF25" s="1177"/>
      <c r="DG25" s="1175" t="str">
        <f>DG6&amp;" год"</f>
        <v>2053 год</v>
      </c>
      <c r="DH25" s="1176"/>
      <c r="DI25" s="1177"/>
      <c r="DJ25" s="1175" t="str">
        <f>DJ6&amp;" год"</f>
        <v>2054 год</v>
      </c>
      <c r="DK25" s="1176"/>
      <c r="DL25" s="1177"/>
      <c r="DM25" s="1175" t="str">
        <f>DM6&amp;" год"</f>
        <v>2055 год</v>
      </c>
      <c r="DN25" s="1176"/>
      <c r="DO25" s="1177"/>
      <c r="DP25" s="1175" t="str">
        <f>DP6&amp;" год"</f>
        <v>2056 год</v>
      </c>
      <c r="DQ25" s="1176"/>
      <c r="DR25" s="1177"/>
      <c r="DS25" s="1175" t="str">
        <f>DS6&amp;" год"</f>
        <v>2057 год</v>
      </c>
      <c r="DT25" s="1176"/>
      <c r="DU25" s="1177"/>
      <c r="DV25" s="1175" t="str">
        <f>DV6&amp;" год"</f>
        <v>2058 год</v>
      </c>
      <c r="DW25" s="1176"/>
      <c r="DX25" s="1177"/>
      <c r="DY25" s="1175" t="str">
        <f>DY6&amp;" год"</f>
        <v>2059 год</v>
      </c>
      <c r="DZ25" s="1176"/>
      <c r="EA25" s="1177"/>
      <c r="EB25" s="1175" t="str">
        <f>EB6&amp;" год"</f>
        <v>2060 год</v>
      </c>
      <c r="EC25" s="1176"/>
      <c r="ED25" s="1177"/>
      <c r="EE25" s="1175" t="str">
        <f>EE6&amp;" год"</f>
        <v>2061 год</v>
      </c>
      <c r="EF25" s="1176"/>
      <c r="EG25" s="1177"/>
      <c r="EH25" s="1175" t="str">
        <f>EH6&amp;" год"</f>
        <v>2062 год</v>
      </c>
      <c r="EI25" s="1176"/>
      <c r="EJ25" s="1177"/>
      <c r="EK25" s="1175" t="str">
        <f>EK6&amp;" год"</f>
        <v>2063 год</v>
      </c>
      <c r="EL25" s="1176"/>
      <c r="EM25" s="1177"/>
      <c r="EN25" s="1175" t="str">
        <f>EN6&amp;" год"</f>
        <v>2064 год</v>
      </c>
      <c r="EO25" s="1176"/>
      <c r="EP25" s="1177"/>
      <c r="EQ25" s="1175" t="str">
        <f>EQ6&amp;" год"</f>
        <v>2065 год</v>
      </c>
      <c r="ER25" s="1176"/>
      <c r="ES25" s="1177"/>
      <c r="ET25" s="1175" t="str">
        <f>ET6&amp;" год"</f>
        <v>2066 год</v>
      </c>
      <c r="EU25" s="1176"/>
      <c r="EV25" s="1177"/>
      <c r="EW25" s="1175" t="str">
        <f>EW6&amp;" год"</f>
        <v>2067 год</v>
      </c>
      <c r="EX25" s="1176"/>
      <c r="EY25" s="1177"/>
      <c r="EZ25" s="1175" t="str">
        <f>EZ6&amp;" год"</f>
        <v>2068 год</v>
      </c>
      <c r="FA25" s="1176"/>
      <c r="FB25" s="1177"/>
      <c r="FC25" s="1175" t="str">
        <f>FC6&amp;" год"</f>
        <v>2069 год</v>
      </c>
      <c r="FD25" s="1176"/>
      <c r="FE25" s="1177"/>
      <c r="FF25" s="1175" t="str">
        <f>FF6&amp;" год"</f>
        <v>2070 год</v>
      </c>
      <c r="FG25" s="1176"/>
      <c r="FH25" s="1177"/>
      <c r="FI25" s="1175" t="str">
        <f>FI6&amp;" год"</f>
        <v>2071 год</v>
      </c>
      <c r="FJ25" s="1176"/>
      <c r="FK25" s="1177"/>
      <c r="FL25" s="1175" t="str">
        <f>FL6&amp;" год"</f>
        <v>2072 год</v>
      </c>
      <c r="FM25" s="1176"/>
      <c r="FN25" s="1177"/>
      <c r="FO25" s="1175" t="str">
        <f>FO6&amp;" год"</f>
        <v>2073 год</v>
      </c>
      <c r="FP25" s="1176"/>
      <c r="FQ25" s="1177"/>
      <c r="FR25" s="1175" t="str">
        <f>FR6&amp;" год"</f>
        <v>2074 год</v>
      </c>
      <c r="FS25" s="1176"/>
      <c r="FT25" s="1177"/>
      <c r="FU25" s="1175" t="str">
        <f>FU6&amp;" год"</f>
        <v>2075 год</v>
      </c>
      <c r="FV25" s="1176"/>
      <c r="FW25" s="1177"/>
    </row>
    <row r="26" spans="1:186" ht="33.4" customHeight="1">
      <c r="E26" s="472">
        <v>34.25</v>
      </c>
      <c r="T26" s="365" t="b">
        <f>OR(hasVS,hasVO)</f>
        <v>1</v>
      </c>
      <c r="AB26" s="1077"/>
      <c r="AC26" s="1077"/>
      <c r="AD26" s="735" t="s">
        <v>356</v>
      </c>
      <c r="AE26" s="31" t="s">
        <v>355</v>
      </c>
      <c r="AF26" s="31" t="s">
        <v>1614</v>
      </c>
      <c r="AG26" s="735" t="s">
        <v>356</v>
      </c>
      <c r="AH26" s="31" t="s">
        <v>355</v>
      </c>
      <c r="AI26" s="31" t="s">
        <v>1614</v>
      </c>
      <c r="AJ26" s="735" t="s">
        <v>356</v>
      </c>
      <c r="AK26" s="31" t="s">
        <v>355</v>
      </c>
      <c r="AL26" s="31" t="s">
        <v>1614</v>
      </c>
      <c r="AM26" s="735" t="s">
        <v>356</v>
      </c>
      <c r="AN26" s="31" t="s">
        <v>355</v>
      </c>
      <c r="AO26" s="31" t="s">
        <v>1614</v>
      </c>
      <c r="AP26" s="735" t="s">
        <v>356</v>
      </c>
      <c r="AQ26" s="31" t="s">
        <v>355</v>
      </c>
      <c r="AR26" s="31" t="s">
        <v>1614</v>
      </c>
      <c r="AS26" s="735" t="s">
        <v>356</v>
      </c>
      <c r="AT26" s="31" t="s">
        <v>355</v>
      </c>
      <c r="AU26" s="31" t="s">
        <v>1614</v>
      </c>
      <c r="AV26" s="735" t="s">
        <v>356</v>
      </c>
      <c r="AW26" s="31" t="s">
        <v>355</v>
      </c>
      <c r="AX26" s="31" t="s">
        <v>1614</v>
      </c>
      <c r="AY26" s="735" t="s">
        <v>356</v>
      </c>
      <c r="AZ26" s="31" t="s">
        <v>355</v>
      </c>
      <c r="BA26" s="31" t="s">
        <v>1614</v>
      </c>
      <c r="BB26" s="735" t="s">
        <v>356</v>
      </c>
      <c r="BC26" s="31" t="s">
        <v>355</v>
      </c>
      <c r="BD26" s="31" t="s">
        <v>1614</v>
      </c>
      <c r="BE26" s="735" t="s">
        <v>356</v>
      </c>
      <c r="BF26" s="31" t="s">
        <v>355</v>
      </c>
      <c r="BG26" s="31" t="s">
        <v>1614</v>
      </c>
      <c r="BH26" s="735" t="s">
        <v>356</v>
      </c>
      <c r="BI26" s="31" t="s">
        <v>355</v>
      </c>
      <c r="BJ26" s="31" t="s">
        <v>1614</v>
      </c>
      <c r="BK26" s="735" t="s">
        <v>356</v>
      </c>
      <c r="BL26" s="31" t="s">
        <v>355</v>
      </c>
      <c r="BM26" s="31" t="s">
        <v>1614</v>
      </c>
      <c r="BN26" s="735" t="s">
        <v>356</v>
      </c>
      <c r="BO26" s="31" t="s">
        <v>355</v>
      </c>
      <c r="BP26" s="31" t="s">
        <v>1614</v>
      </c>
      <c r="BQ26" s="735" t="s">
        <v>356</v>
      </c>
      <c r="BR26" s="31" t="s">
        <v>355</v>
      </c>
      <c r="BS26" s="31" t="s">
        <v>1614</v>
      </c>
      <c r="BT26" s="735" t="s">
        <v>356</v>
      </c>
      <c r="BU26" s="31" t="s">
        <v>355</v>
      </c>
      <c r="BV26" s="31" t="s">
        <v>1614</v>
      </c>
      <c r="BW26" s="735" t="s">
        <v>356</v>
      </c>
      <c r="BX26" s="31" t="s">
        <v>355</v>
      </c>
      <c r="BY26" s="31" t="s">
        <v>1614</v>
      </c>
      <c r="BZ26" s="735" t="s">
        <v>356</v>
      </c>
      <c r="CA26" s="31" t="s">
        <v>355</v>
      </c>
      <c r="CB26" s="31" t="s">
        <v>1614</v>
      </c>
      <c r="CC26" s="735" t="s">
        <v>356</v>
      </c>
      <c r="CD26" s="31" t="s">
        <v>355</v>
      </c>
      <c r="CE26" s="31" t="s">
        <v>1614</v>
      </c>
      <c r="CF26" s="735" t="s">
        <v>356</v>
      </c>
      <c r="CG26" s="31" t="s">
        <v>355</v>
      </c>
      <c r="CH26" s="31" t="s">
        <v>1614</v>
      </c>
      <c r="CI26" s="735" t="s">
        <v>356</v>
      </c>
      <c r="CJ26" s="31" t="s">
        <v>355</v>
      </c>
      <c r="CK26" s="31" t="s">
        <v>1614</v>
      </c>
      <c r="CL26" s="735" t="s">
        <v>356</v>
      </c>
      <c r="CM26" s="31" t="s">
        <v>355</v>
      </c>
      <c r="CN26" s="31" t="s">
        <v>1614</v>
      </c>
      <c r="CO26" s="735" t="s">
        <v>356</v>
      </c>
      <c r="CP26" s="31" t="s">
        <v>355</v>
      </c>
      <c r="CQ26" s="31" t="s">
        <v>1614</v>
      </c>
      <c r="CR26" s="735" t="s">
        <v>356</v>
      </c>
      <c r="CS26" s="31" t="s">
        <v>355</v>
      </c>
      <c r="CT26" s="31" t="s">
        <v>1614</v>
      </c>
      <c r="CU26" s="735" t="s">
        <v>356</v>
      </c>
      <c r="CV26" s="31" t="s">
        <v>355</v>
      </c>
      <c r="CW26" s="31" t="s">
        <v>1614</v>
      </c>
      <c r="CX26" s="735" t="s">
        <v>356</v>
      </c>
      <c r="CY26" s="31" t="s">
        <v>355</v>
      </c>
      <c r="CZ26" s="31" t="s">
        <v>1614</v>
      </c>
      <c r="DA26" s="735" t="s">
        <v>356</v>
      </c>
      <c r="DB26" s="31" t="s">
        <v>355</v>
      </c>
      <c r="DC26" s="31" t="s">
        <v>1614</v>
      </c>
      <c r="DD26" s="735" t="s">
        <v>356</v>
      </c>
      <c r="DE26" s="31" t="s">
        <v>355</v>
      </c>
      <c r="DF26" s="31" t="s">
        <v>1614</v>
      </c>
      <c r="DG26" s="735" t="s">
        <v>356</v>
      </c>
      <c r="DH26" s="31" t="s">
        <v>355</v>
      </c>
      <c r="DI26" s="31" t="s">
        <v>1614</v>
      </c>
      <c r="DJ26" s="735" t="s">
        <v>356</v>
      </c>
      <c r="DK26" s="31" t="s">
        <v>355</v>
      </c>
      <c r="DL26" s="31" t="s">
        <v>1614</v>
      </c>
      <c r="DM26" s="735" t="s">
        <v>356</v>
      </c>
      <c r="DN26" s="31" t="s">
        <v>355</v>
      </c>
      <c r="DO26" s="31" t="s">
        <v>1614</v>
      </c>
      <c r="DP26" s="735" t="s">
        <v>356</v>
      </c>
      <c r="DQ26" s="31" t="s">
        <v>355</v>
      </c>
      <c r="DR26" s="31" t="s">
        <v>1614</v>
      </c>
      <c r="DS26" s="735" t="s">
        <v>356</v>
      </c>
      <c r="DT26" s="31" t="s">
        <v>355</v>
      </c>
      <c r="DU26" s="31" t="s">
        <v>1614</v>
      </c>
      <c r="DV26" s="735" t="s">
        <v>356</v>
      </c>
      <c r="DW26" s="31" t="s">
        <v>355</v>
      </c>
      <c r="DX26" s="31" t="s">
        <v>1614</v>
      </c>
      <c r="DY26" s="735" t="s">
        <v>356</v>
      </c>
      <c r="DZ26" s="31" t="s">
        <v>355</v>
      </c>
      <c r="EA26" s="31" t="s">
        <v>1614</v>
      </c>
      <c r="EB26" s="735" t="s">
        <v>356</v>
      </c>
      <c r="EC26" s="31" t="s">
        <v>355</v>
      </c>
      <c r="ED26" s="31" t="s">
        <v>1614</v>
      </c>
      <c r="EE26" s="735" t="s">
        <v>356</v>
      </c>
      <c r="EF26" s="31" t="s">
        <v>355</v>
      </c>
      <c r="EG26" s="31" t="s">
        <v>1614</v>
      </c>
      <c r="EH26" s="735" t="s">
        <v>356</v>
      </c>
      <c r="EI26" s="31" t="s">
        <v>355</v>
      </c>
      <c r="EJ26" s="31" t="s">
        <v>1614</v>
      </c>
      <c r="EK26" s="735" t="s">
        <v>356</v>
      </c>
      <c r="EL26" s="31" t="s">
        <v>355</v>
      </c>
      <c r="EM26" s="31" t="s">
        <v>1614</v>
      </c>
      <c r="EN26" s="735" t="s">
        <v>356</v>
      </c>
      <c r="EO26" s="31" t="s">
        <v>355</v>
      </c>
      <c r="EP26" s="31" t="s">
        <v>1614</v>
      </c>
      <c r="EQ26" s="735" t="s">
        <v>356</v>
      </c>
      <c r="ER26" s="31" t="s">
        <v>355</v>
      </c>
      <c r="ES26" s="31" t="s">
        <v>1614</v>
      </c>
      <c r="ET26" s="735" t="s">
        <v>356</v>
      </c>
      <c r="EU26" s="31" t="s">
        <v>355</v>
      </c>
      <c r="EV26" s="31" t="s">
        <v>1614</v>
      </c>
      <c r="EW26" s="735" t="s">
        <v>356</v>
      </c>
      <c r="EX26" s="31" t="s">
        <v>355</v>
      </c>
      <c r="EY26" s="31" t="s">
        <v>1614</v>
      </c>
      <c r="EZ26" s="735" t="s">
        <v>356</v>
      </c>
      <c r="FA26" s="31" t="s">
        <v>355</v>
      </c>
      <c r="FB26" s="31" t="s">
        <v>1614</v>
      </c>
      <c r="FC26" s="735" t="s">
        <v>356</v>
      </c>
      <c r="FD26" s="31" t="s">
        <v>355</v>
      </c>
      <c r="FE26" s="31" t="s">
        <v>1614</v>
      </c>
      <c r="FF26" s="735" t="s">
        <v>356</v>
      </c>
      <c r="FG26" s="31" t="s">
        <v>355</v>
      </c>
      <c r="FH26" s="31" t="s">
        <v>1614</v>
      </c>
      <c r="FI26" s="735" t="s">
        <v>356</v>
      </c>
      <c r="FJ26" s="31" t="s">
        <v>355</v>
      </c>
      <c r="FK26" s="31" t="s">
        <v>1614</v>
      </c>
      <c r="FL26" s="735" t="s">
        <v>356</v>
      </c>
      <c r="FM26" s="31" t="s">
        <v>355</v>
      </c>
      <c r="FN26" s="31" t="s">
        <v>1614</v>
      </c>
      <c r="FO26" s="735" t="s">
        <v>356</v>
      </c>
      <c r="FP26" s="31" t="s">
        <v>355</v>
      </c>
      <c r="FQ26" s="31" t="s">
        <v>1614</v>
      </c>
      <c r="FR26" s="735" t="s">
        <v>356</v>
      </c>
      <c r="FS26" s="31" t="s">
        <v>355</v>
      </c>
      <c r="FT26" s="31" t="s">
        <v>1614</v>
      </c>
      <c r="FU26" s="735" t="s">
        <v>356</v>
      </c>
      <c r="FV26" s="31" t="s">
        <v>355</v>
      </c>
      <c r="FW26" s="31" t="s">
        <v>1614</v>
      </c>
    </row>
    <row r="27" spans="1:186" ht="11.25" hidden="1" customHeight="1">
      <c r="E27" s="472">
        <v>0</v>
      </c>
      <c r="T27" s="365" t="b">
        <f>OR(hasVS,hasVO)</f>
        <v>1</v>
      </c>
      <c r="AB27" s="136"/>
      <c r="AC27" s="223"/>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c r="DX27" s="78"/>
      <c r="DY27" s="78"/>
      <c r="DZ27" s="78"/>
      <c r="EA27" s="78"/>
      <c r="EB27" s="78"/>
      <c r="EC27" s="78"/>
      <c r="ED27" s="78"/>
      <c r="EE27" s="78"/>
      <c r="EF27" s="78"/>
      <c r="EG27" s="78"/>
      <c r="EH27" s="78"/>
      <c r="EI27" s="78"/>
      <c r="EJ27" s="78"/>
      <c r="EK27" s="78"/>
      <c r="EL27" s="78"/>
      <c r="EM27" s="78"/>
      <c r="EN27" s="78"/>
      <c r="EO27" s="78"/>
      <c r="EP27" s="78"/>
      <c r="EQ27" s="78"/>
      <c r="ER27" s="78"/>
      <c r="ES27" s="78"/>
      <c r="ET27" s="78"/>
      <c r="EU27" s="78"/>
      <c r="EV27" s="78"/>
      <c r="EW27" s="78"/>
      <c r="EX27" s="78"/>
      <c r="EY27" s="78"/>
      <c r="EZ27" s="78"/>
      <c r="FA27" s="78"/>
      <c r="FB27" s="78"/>
      <c r="FC27" s="78"/>
      <c r="FD27" s="78"/>
      <c r="FE27" s="78"/>
      <c r="FF27" s="78"/>
      <c r="FG27" s="78"/>
      <c r="FH27" s="78"/>
      <c r="FI27" s="78"/>
      <c r="FJ27" s="78"/>
      <c r="FK27" s="78"/>
      <c r="FL27" s="78"/>
      <c r="FM27" s="78"/>
      <c r="FN27" s="78"/>
      <c r="FO27" s="78"/>
      <c r="FP27" s="78"/>
      <c r="FQ27" s="78"/>
      <c r="FR27" s="78"/>
      <c r="FS27" s="78"/>
      <c r="FT27" s="78"/>
      <c r="FU27" s="78"/>
      <c r="FV27" s="78"/>
      <c r="FW27" s="78"/>
    </row>
    <row r="28" spans="1:186" ht="11.25" hidden="1" customHeight="1">
      <c r="A28" s="327"/>
      <c r="B28" s="623"/>
      <c r="C28" s="327"/>
      <c r="D28" s="327"/>
      <c r="E28" s="491">
        <v>0</v>
      </c>
      <c r="F28" s="545" t="s">
        <v>1615</v>
      </c>
      <c r="G28" s="327"/>
      <c r="H28" s="327"/>
      <c r="I28" s="327"/>
      <c r="J28" s="327"/>
      <c r="K28" s="327"/>
      <c r="L28" s="327"/>
      <c r="M28" s="327"/>
      <c r="N28" s="327"/>
      <c r="O28" s="327"/>
      <c r="P28" s="327"/>
      <c r="Q28" s="327" t="s">
        <v>1616</v>
      </c>
      <c r="R28" s="624" t="s">
        <v>1617</v>
      </c>
      <c r="S28" s="624" t="s">
        <v>263</v>
      </c>
      <c r="T28" s="365"/>
      <c r="U28" s="327"/>
      <c r="V28" s="327"/>
      <c r="W28" s="327"/>
      <c r="X28" s="327"/>
      <c r="Y28" s="327"/>
      <c r="Z28" s="327"/>
      <c r="AA28" s="327"/>
      <c r="AB28"/>
      <c r="AC28" s="37"/>
      <c r="AD28" s="37"/>
      <c r="AE28" s="37"/>
      <c r="AF28" s="37"/>
      <c r="AG28"/>
      <c r="AH28"/>
      <c r="AI28"/>
      <c r="AJ28"/>
      <c r="AK28"/>
      <c r="AL28"/>
      <c r="AM28"/>
      <c r="AN28"/>
      <c r="AO28"/>
      <c r="AP28"/>
      <c r="AQ28" s="3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0"/>
      <c r="GA28" s="670"/>
      <c r="GB28" s="664"/>
      <c r="GC28" s="465"/>
      <c r="GD28" s="465"/>
    </row>
    <row r="29" spans="1:186" ht="14.65" hidden="1" customHeight="1">
      <c r="A29" s="78"/>
      <c r="C29" s="78"/>
      <c r="D29" s="78"/>
      <c r="E29" s="473">
        <v>15</v>
      </c>
      <c r="F29" s="384" cm="1">
        <f t="array" ref="F29">X29</f>
        <v>0</v>
      </c>
      <c r="G29" s="78" cm="1">
        <f t="array" ref="G29">INDEX('Общие сведения'!$AK$179:$AK$222,MATCH($X29,'Общие сведения'!$Z$179:$Z$222,0))</f>
        <v>0</v>
      </c>
      <c r="H29" s="78"/>
      <c r="I29" s="78"/>
      <c r="J29" s="78"/>
      <c r="K29" s="78"/>
      <c r="L29" s="78"/>
      <c r="M29" s="78"/>
      <c r="N29" s="78"/>
      <c r="O29" s="78"/>
      <c r="P29" s="78"/>
      <c r="Q29" s="78" cm="1">
        <f t="array" ref="Q29">INDEX('Общие сведения'!$AE$179:$AE$222,MATCH($X29,'Общие сведения'!$Z$179:$Z$222,0))</f>
        <v>0</v>
      </c>
      <c r="R29" s="377" cm="1">
        <f t="array" ref="R29">INDEX('Общие сведения'!$AK$179:$AK$222,MATCH($X29,'Общие сведения'!$Z$179:$Z$222,0))</f>
        <v>0</v>
      </c>
      <c r="S29" s="78" t="b" cm="1">
        <f t="array" ref="S29">INDEX('Общие сведения'!$AN$179:$AN$222,MATCH($X29,'Общие сведения'!$Z$179:$Z$222,0))</f>
        <v>0</v>
      </c>
      <c r="T29" s="365" t="b">
        <f>X29&gt;0</f>
        <v>0</v>
      </c>
      <c r="U29" s="78"/>
      <c r="V29" s="78" t="s">
        <v>264</v>
      </c>
      <c r="W29" s="78"/>
      <c r="X29" s="1094">
        <v>0</v>
      </c>
      <c r="Y29" s="78"/>
      <c r="Z29" s="1064"/>
      <c r="AA29" s="78"/>
      <c r="AB29" s="1173" t="s">
        <v>22</v>
      </c>
      <c r="AC29" s="1174"/>
      <c r="AD29" s="1170" t="str" cm="1">
        <f t="array" ref="AD29">INDEX('Общие сведения'!$AG$179:$AG$222,MATCH($X29,'Общие сведения'!$Z$179:$Z$222,0))</f>
        <v xml:space="preserve">Тариф 0 () - </v>
      </c>
      <c r="AE29" s="1182"/>
      <c r="AF29" s="1182"/>
      <c r="AG29" s="1182"/>
      <c r="AH29" s="1182"/>
      <c r="AI29" s="1182"/>
      <c r="AJ29" s="1182"/>
      <c r="AK29" s="1182"/>
      <c r="AL29" s="1182"/>
      <c r="AM29" s="1182"/>
      <c r="AN29" s="1182"/>
      <c r="AO29" s="1182"/>
      <c r="AP29" s="1182"/>
      <c r="AQ29" s="1182"/>
      <c r="AR29" s="1182"/>
      <c r="AS29" s="1182"/>
      <c r="AT29" s="1182"/>
      <c r="AU29" s="1182"/>
      <c r="AV29" s="1182"/>
      <c r="AW29" s="1182"/>
      <c r="AX29" s="1182"/>
      <c r="AY29" s="1182"/>
      <c r="AZ29" s="1182"/>
      <c r="BA29" s="1182"/>
      <c r="BB29" s="1182"/>
      <c r="BC29" s="1182"/>
      <c r="BD29" s="1182"/>
      <c r="BE29" s="1182"/>
      <c r="BF29" s="1182"/>
      <c r="BG29" s="1182"/>
      <c r="BH29" s="1182"/>
      <c r="BI29" s="1182"/>
      <c r="BJ29" s="1182"/>
      <c r="BK29" s="1182"/>
      <c r="BL29" s="1182"/>
      <c r="BM29" s="1182"/>
      <c r="BN29" s="1182"/>
      <c r="BO29" s="1182"/>
      <c r="BP29" s="1182"/>
      <c r="BQ29" s="1182"/>
      <c r="BR29" s="1182"/>
      <c r="BS29" s="1182"/>
      <c r="BT29" s="1182"/>
      <c r="BU29" s="1182"/>
      <c r="BV29" s="1182"/>
      <c r="BW29" s="1182"/>
      <c r="BX29" s="1182"/>
      <c r="BY29" s="1182"/>
      <c r="BZ29" s="1182"/>
      <c r="CA29" s="1182"/>
      <c r="CB29" s="1182"/>
      <c r="CC29" s="1182"/>
      <c r="CD29" s="1182"/>
      <c r="CE29" s="1182"/>
      <c r="CF29" s="1182"/>
      <c r="CG29" s="1182"/>
      <c r="CH29" s="1182"/>
      <c r="CI29" s="1182"/>
      <c r="CJ29" s="1182"/>
      <c r="CK29" s="1182"/>
      <c r="CL29" s="1182"/>
      <c r="CM29" s="1182"/>
      <c r="CN29" s="1182"/>
      <c r="CO29" s="1182"/>
      <c r="CP29" s="1182"/>
      <c r="CQ29" s="1182"/>
      <c r="CR29" s="1182"/>
      <c r="CS29" s="1182"/>
      <c r="CT29" s="1182"/>
      <c r="CU29" s="1182"/>
      <c r="CV29" s="1182"/>
      <c r="CW29" s="1182"/>
      <c r="CX29" s="1182"/>
      <c r="CY29" s="1182"/>
      <c r="CZ29" s="1182"/>
      <c r="DA29" s="1182"/>
      <c r="DB29" s="1182"/>
      <c r="DC29" s="1182"/>
      <c r="DD29" s="1182"/>
      <c r="DE29" s="1182"/>
      <c r="DF29" s="1182"/>
      <c r="DG29" s="1182"/>
      <c r="DH29" s="1182"/>
      <c r="DI29" s="1182"/>
      <c r="DJ29" s="1182"/>
      <c r="DK29" s="1182"/>
      <c r="DL29" s="1182"/>
      <c r="DM29" s="1182"/>
      <c r="DN29" s="1182"/>
      <c r="DO29" s="1182"/>
      <c r="DP29" s="1182"/>
      <c r="DQ29" s="1182"/>
      <c r="DR29" s="1182"/>
      <c r="DS29" s="1182"/>
      <c r="DT29" s="1182"/>
      <c r="DU29" s="1182"/>
      <c r="DV29" s="1182"/>
      <c r="DW29" s="1182"/>
      <c r="DX29" s="1182"/>
      <c r="DY29" s="1182"/>
      <c r="DZ29" s="1182"/>
      <c r="EA29" s="1182"/>
      <c r="EB29" s="1182"/>
      <c r="EC29" s="1182"/>
      <c r="ED29" s="1182"/>
      <c r="EE29" s="1182"/>
      <c r="EF29" s="1182"/>
      <c r="EG29" s="1182"/>
      <c r="EH29" s="1182"/>
      <c r="EI29" s="1182"/>
      <c r="EJ29" s="1182"/>
      <c r="EK29" s="1182"/>
      <c r="EL29" s="1182"/>
      <c r="EM29" s="1182"/>
      <c r="EN29" s="1182"/>
      <c r="EO29" s="1182"/>
      <c r="EP29" s="1182"/>
      <c r="EQ29" s="1182"/>
      <c r="ER29" s="1182"/>
      <c r="ES29" s="1182"/>
      <c r="ET29" s="1182"/>
      <c r="EU29" s="1182"/>
      <c r="EV29" s="1182"/>
      <c r="EW29" s="1182"/>
      <c r="EX29" s="1182"/>
      <c r="EY29" s="1182"/>
      <c r="EZ29" s="1182"/>
      <c r="FA29" s="1182"/>
      <c r="FB29" s="1182"/>
      <c r="FC29" s="1182"/>
      <c r="FD29" s="1182"/>
      <c r="FE29" s="1182"/>
      <c r="FF29" s="1182"/>
      <c r="FG29" s="1182"/>
      <c r="FH29" s="1182"/>
      <c r="FI29" s="1182"/>
      <c r="FJ29" s="1182"/>
      <c r="FK29" s="1182"/>
      <c r="FL29" s="1182"/>
      <c r="FM29" s="1182"/>
      <c r="FN29" s="1182"/>
      <c r="FO29" s="1182"/>
      <c r="FP29" s="1182"/>
      <c r="FQ29" s="1182"/>
      <c r="FR29" s="1182"/>
      <c r="FS29" s="1182"/>
      <c r="FT29" s="1182"/>
      <c r="FU29" s="1182"/>
      <c r="FV29" s="1182"/>
      <c r="FW29" s="1183"/>
    </row>
    <row r="30" spans="1:186" ht="14.65" hidden="1" customHeight="1">
      <c r="A30" s="78"/>
      <c r="C30" s="78"/>
      <c r="D30" s="78"/>
      <c r="E30" s="473">
        <v>15</v>
      </c>
      <c r="F30" s="3" cm="1">
        <f t="array" aca="1" ref="F30" ca="1">OFFSET(E30,-1,1)</f>
        <v>0</v>
      </c>
      <c r="G30" s="78"/>
      <c r="H30" s="78"/>
      <c r="I30" s="78"/>
      <c r="J30" s="78"/>
      <c r="K30" s="78"/>
      <c r="L30" s="78"/>
      <c r="M30" s="78"/>
      <c r="N30" s="78"/>
      <c r="O30" s="78"/>
      <c r="P30" s="78"/>
      <c r="Q30" s="78"/>
      <c r="R30" s="377"/>
      <c r="S30" s="377"/>
      <c r="T30" s="365" t="b" cm="1">
        <f t="array" ref="T30">T29</f>
        <v>0</v>
      </c>
      <c r="U30" s="78"/>
      <c r="V30" s="78"/>
      <c r="W30" s="78"/>
      <c r="X30" s="1094"/>
      <c r="Y30" s="78"/>
      <c r="Z30" s="1064"/>
      <c r="AA30" s="78"/>
      <c r="AB30" s="1041" t="str">
        <f>"Вид "&amp;IF(ISERROR(SEARCH("Водоснабжение",AD29)),"сточных вод","воды")</f>
        <v>Вид сточных вод</v>
      </c>
      <c r="AC30" s="1042"/>
      <c r="AD30" s="1170" cm="1">
        <f t="array" ref="AD30">INDEX('Общие сведения'!$AH$179:$AH$222,MATCH($X29,'Общие сведения'!$Z$179:$Z$222,0))</f>
        <v>0</v>
      </c>
      <c r="AE30" s="1171"/>
      <c r="AF30" s="1171"/>
      <c r="AG30" s="1171"/>
      <c r="AH30" s="1171"/>
      <c r="AI30" s="1171"/>
      <c r="AJ30" s="1171"/>
      <c r="AK30" s="1171"/>
      <c r="AL30" s="1171"/>
      <c r="AM30" s="1171"/>
      <c r="AN30" s="1171"/>
      <c r="AO30" s="1171"/>
      <c r="AP30" s="1171"/>
      <c r="AQ30" s="1171"/>
      <c r="AR30" s="1171"/>
      <c r="AS30" s="1171"/>
      <c r="AT30" s="1171"/>
      <c r="AU30" s="1171"/>
      <c r="AV30" s="1171"/>
      <c r="AW30" s="1171"/>
      <c r="AX30" s="1171"/>
      <c r="AY30" s="1171"/>
      <c r="AZ30" s="1171"/>
      <c r="BA30" s="1171"/>
      <c r="BB30" s="1171"/>
      <c r="BC30" s="1171"/>
      <c r="BD30" s="1171"/>
      <c r="BE30" s="1171"/>
      <c r="BF30" s="1171"/>
      <c r="BG30" s="1171"/>
      <c r="BH30" s="1171"/>
      <c r="BI30" s="1171"/>
      <c r="BJ30" s="1171"/>
      <c r="BK30" s="1171"/>
      <c r="BL30" s="1171"/>
      <c r="BM30" s="1171"/>
      <c r="BN30" s="1171"/>
      <c r="BO30" s="1171"/>
      <c r="BP30" s="1171"/>
      <c r="BQ30" s="1171"/>
      <c r="BR30" s="1171"/>
      <c r="BS30" s="1171"/>
      <c r="BT30" s="1171"/>
      <c r="BU30" s="1171"/>
      <c r="BV30" s="1171"/>
      <c r="BW30" s="1171"/>
      <c r="BX30" s="1171"/>
      <c r="BY30" s="1171"/>
      <c r="BZ30" s="1171"/>
      <c r="CA30" s="1171"/>
      <c r="CB30" s="1171"/>
      <c r="CC30" s="1171"/>
      <c r="CD30" s="1171"/>
      <c r="CE30" s="1171"/>
      <c r="CF30" s="1171"/>
      <c r="CG30" s="1171"/>
      <c r="CH30" s="1171"/>
      <c r="CI30" s="1171"/>
      <c r="CJ30" s="1171"/>
      <c r="CK30" s="1171"/>
      <c r="CL30" s="1171"/>
      <c r="CM30" s="1171"/>
      <c r="CN30" s="1171"/>
      <c r="CO30" s="1171"/>
      <c r="CP30" s="1171"/>
      <c r="CQ30" s="1171"/>
      <c r="CR30" s="1171"/>
      <c r="CS30" s="1171"/>
      <c r="CT30" s="1171"/>
      <c r="CU30" s="1171"/>
      <c r="CV30" s="1171"/>
      <c r="CW30" s="1171"/>
      <c r="CX30" s="1171"/>
      <c r="CY30" s="1171"/>
      <c r="CZ30" s="1171"/>
      <c r="DA30" s="1171"/>
      <c r="DB30" s="1171"/>
      <c r="DC30" s="1171"/>
      <c r="DD30" s="1171"/>
      <c r="DE30" s="1171"/>
      <c r="DF30" s="1171"/>
      <c r="DG30" s="1171"/>
      <c r="DH30" s="1171"/>
      <c r="DI30" s="1171"/>
      <c r="DJ30" s="1171"/>
      <c r="DK30" s="1171"/>
      <c r="DL30" s="1171"/>
      <c r="DM30" s="1171"/>
      <c r="DN30" s="1171"/>
      <c r="DO30" s="1171"/>
      <c r="DP30" s="1171"/>
      <c r="DQ30" s="1171"/>
      <c r="DR30" s="1171"/>
      <c r="DS30" s="1171"/>
      <c r="DT30" s="1171"/>
      <c r="DU30" s="1171"/>
      <c r="DV30" s="1171"/>
      <c r="DW30" s="1171"/>
      <c r="DX30" s="1171"/>
      <c r="DY30" s="1171"/>
      <c r="DZ30" s="1171"/>
      <c r="EA30" s="1171"/>
      <c r="EB30" s="1171"/>
      <c r="EC30" s="1171"/>
      <c r="ED30" s="1171"/>
      <c r="EE30" s="1171"/>
      <c r="EF30" s="1171"/>
      <c r="EG30" s="1171"/>
      <c r="EH30" s="1171"/>
      <c r="EI30" s="1171"/>
      <c r="EJ30" s="1171"/>
      <c r="EK30" s="1171"/>
      <c r="EL30" s="1171"/>
      <c r="EM30" s="1171"/>
      <c r="EN30" s="1171"/>
      <c r="EO30" s="1171"/>
      <c r="EP30" s="1171"/>
      <c r="EQ30" s="1171"/>
      <c r="ER30" s="1171"/>
      <c r="ES30" s="1171"/>
      <c r="ET30" s="1171"/>
      <c r="EU30" s="1171"/>
      <c r="EV30" s="1171"/>
      <c r="EW30" s="1171"/>
      <c r="EX30" s="1171"/>
      <c r="EY30" s="1171"/>
      <c r="EZ30" s="1171"/>
      <c r="FA30" s="1171"/>
      <c r="FB30" s="1171"/>
      <c r="FC30" s="1171"/>
      <c r="FD30" s="1171"/>
      <c r="FE30" s="1171"/>
      <c r="FF30" s="1171"/>
      <c r="FG30" s="1171"/>
      <c r="FH30" s="1171"/>
      <c r="FI30" s="1171"/>
      <c r="FJ30" s="1171"/>
      <c r="FK30" s="1171"/>
      <c r="FL30" s="1171"/>
      <c r="FM30" s="1171"/>
      <c r="FN30" s="1171"/>
      <c r="FO30" s="1171"/>
      <c r="FP30" s="1171"/>
      <c r="FQ30" s="1171"/>
      <c r="FR30" s="1171"/>
      <c r="FS30" s="1171"/>
      <c r="FT30" s="1171"/>
      <c r="FU30" s="1171"/>
      <c r="FV30" s="1171"/>
      <c r="FW30" s="1172"/>
    </row>
    <row r="31" spans="1:186" ht="14.65" hidden="1" customHeight="1">
      <c r="A31" s="78"/>
      <c r="C31" s="78"/>
      <c r="D31" s="78"/>
      <c r="E31" s="473">
        <v>15</v>
      </c>
      <c r="F31" s="3" cm="1">
        <f t="array" aca="1" ref="F31" ca="1">OFFSET(E31,-1,1)</f>
        <v>0</v>
      </c>
      <c r="G31" s="78"/>
      <c r="H31" s="78"/>
      <c r="I31" s="78"/>
      <c r="J31" s="78"/>
      <c r="K31" s="78"/>
      <c r="L31" s="78"/>
      <c r="M31" s="78"/>
      <c r="N31" s="78"/>
      <c r="O31" s="78"/>
      <c r="P31" s="78"/>
      <c r="Q31" s="78"/>
      <c r="R31" s="377"/>
      <c r="S31" s="377"/>
      <c r="T31" s="365" t="b" cm="1">
        <f t="array" ref="T31">T30</f>
        <v>0</v>
      </c>
      <c r="U31" s="78"/>
      <c r="V31" s="78"/>
      <c r="W31" s="78"/>
      <c r="X31" s="1094"/>
      <c r="Y31" s="78"/>
      <c r="Z31" s="1064"/>
      <c r="AA31" s="78"/>
      <c r="AB31" s="1041" t="s">
        <v>1618</v>
      </c>
      <c r="AC31" s="1042"/>
      <c r="AD31" s="1170" cm="1">
        <f t="array" ref="AD31">INDEX('Общие сведения'!$AI$179:$AI$222,MATCH($X29,'Общие сведения'!$Z$179:$Z$222,0))</f>
        <v>0</v>
      </c>
      <c r="AE31" s="1171"/>
      <c r="AF31" s="1171"/>
      <c r="AG31" s="1171"/>
      <c r="AH31" s="1171"/>
      <c r="AI31" s="1171"/>
      <c r="AJ31" s="1171"/>
      <c r="AK31" s="1171"/>
      <c r="AL31" s="1171"/>
      <c r="AM31" s="1171"/>
      <c r="AN31" s="1171"/>
      <c r="AO31" s="1171"/>
      <c r="AP31" s="1171"/>
      <c r="AQ31" s="1171"/>
      <c r="AR31" s="1171"/>
      <c r="AS31" s="1171"/>
      <c r="AT31" s="1171"/>
      <c r="AU31" s="1171"/>
      <c r="AV31" s="1171"/>
      <c r="AW31" s="1171"/>
      <c r="AX31" s="1171"/>
      <c r="AY31" s="1171"/>
      <c r="AZ31" s="1171"/>
      <c r="BA31" s="1171"/>
      <c r="BB31" s="1171"/>
      <c r="BC31" s="1171"/>
      <c r="BD31" s="1171"/>
      <c r="BE31" s="1171"/>
      <c r="BF31" s="1171"/>
      <c r="BG31" s="1171"/>
      <c r="BH31" s="1171"/>
      <c r="BI31" s="1171"/>
      <c r="BJ31" s="1171"/>
      <c r="BK31" s="1171"/>
      <c r="BL31" s="1171"/>
      <c r="BM31" s="1171"/>
      <c r="BN31" s="1171"/>
      <c r="BO31" s="1171"/>
      <c r="BP31" s="1171"/>
      <c r="BQ31" s="1171"/>
      <c r="BR31" s="1171"/>
      <c r="BS31" s="1171"/>
      <c r="BT31" s="1171"/>
      <c r="BU31" s="1171"/>
      <c r="BV31" s="1171"/>
      <c r="BW31" s="1171"/>
      <c r="BX31" s="1171"/>
      <c r="BY31" s="1171"/>
      <c r="BZ31" s="1171"/>
      <c r="CA31" s="1171"/>
      <c r="CB31" s="1171"/>
      <c r="CC31" s="1171"/>
      <c r="CD31" s="1171"/>
      <c r="CE31" s="1171"/>
      <c r="CF31" s="1171"/>
      <c r="CG31" s="1171"/>
      <c r="CH31" s="1171"/>
      <c r="CI31" s="1171"/>
      <c r="CJ31" s="1171"/>
      <c r="CK31" s="1171"/>
      <c r="CL31" s="1171"/>
      <c r="CM31" s="1171"/>
      <c r="CN31" s="1171"/>
      <c r="CO31" s="1171"/>
      <c r="CP31" s="1171"/>
      <c r="CQ31" s="1171"/>
      <c r="CR31" s="1171"/>
      <c r="CS31" s="1171"/>
      <c r="CT31" s="1171"/>
      <c r="CU31" s="1171"/>
      <c r="CV31" s="1171"/>
      <c r="CW31" s="1171"/>
      <c r="CX31" s="1171"/>
      <c r="CY31" s="1171"/>
      <c r="CZ31" s="1171"/>
      <c r="DA31" s="1171"/>
      <c r="DB31" s="1171"/>
      <c r="DC31" s="1171"/>
      <c r="DD31" s="1171"/>
      <c r="DE31" s="1171"/>
      <c r="DF31" s="1171"/>
      <c r="DG31" s="1171"/>
      <c r="DH31" s="1171"/>
      <c r="DI31" s="1171"/>
      <c r="DJ31" s="1171"/>
      <c r="DK31" s="1171"/>
      <c r="DL31" s="1171"/>
      <c r="DM31" s="1171"/>
      <c r="DN31" s="1171"/>
      <c r="DO31" s="1171"/>
      <c r="DP31" s="1171"/>
      <c r="DQ31" s="1171"/>
      <c r="DR31" s="1171"/>
      <c r="DS31" s="1171"/>
      <c r="DT31" s="1171"/>
      <c r="DU31" s="1171"/>
      <c r="DV31" s="1171"/>
      <c r="DW31" s="1171"/>
      <c r="DX31" s="1171"/>
      <c r="DY31" s="1171"/>
      <c r="DZ31" s="1171"/>
      <c r="EA31" s="1171"/>
      <c r="EB31" s="1171"/>
      <c r="EC31" s="1171"/>
      <c r="ED31" s="1171"/>
      <c r="EE31" s="1171"/>
      <c r="EF31" s="1171"/>
      <c r="EG31" s="1171"/>
      <c r="EH31" s="1171"/>
      <c r="EI31" s="1171"/>
      <c r="EJ31" s="1171"/>
      <c r="EK31" s="1171"/>
      <c r="EL31" s="1171"/>
      <c r="EM31" s="1171"/>
      <c r="EN31" s="1171"/>
      <c r="EO31" s="1171"/>
      <c r="EP31" s="1171"/>
      <c r="EQ31" s="1171"/>
      <c r="ER31" s="1171"/>
      <c r="ES31" s="1171"/>
      <c r="ET31" s="1171"/>
      <c r="EU31" s="1171"/>
      <c r="EV31" s="1171"/>
      <c r="EW31" s="1171"/>
      <c r="EX31" s="1171"/>
      <c r="EY31" s="1171"/>
      <c r="EZ31" s="1171"/>
      <c r="FA31" s="1171"/>
      <c r="FB31" s="1171"/>
      <c r="FC31" s="1171"/>
      <c r="FD31" s="1171"/>
      <c r="FE31" s="1171"/>
      <c r="FF31" s="1171"/>
      <c r="FG31" s="1171"/>
      <c r="FH31" s="1171"/>
      <c r="FI31" s="1171"/>
      <c r="FJ31" s="1171"/>
      <c r="FK31" s="1171"/>
      <c r="FL31" s="1171"/>
      <c r="FM31" s="1171"/>
      <c r="FN31" s="1171"/>
      <c r="FO31" s="1171"/>
      <c r="FP31" s="1171"/>
      <c r="FQ31" s="1171"/>
      <c r="FR31" s="1171"/>
      <c r="FS31" s="1171"/>
      <c r="FT31" s="1171"/>
      <c r="FU31" s="1171"/>
      <c r="FV31" s="1171"/>
      <c r="FW31" s="1172"/>
    </row>
    <row r="32" spans="1:186" ht="14.65" hidden="1" customHeight="1">
      <c r="A32" s="78"/>
      <c r="C32" s="78"/>
      <c r="D32" s="78"/>
      <c r="E32" s="473">
        <v>15</v>
      </c>
      <c r="F32" s="3" cm="1">
        <f t="array" aca="1" ref="F32" ca="1">OFFSET(E32,-1,1)</f>
        <v>0</v>
      </c>
      <c r="G32" s="78"/>
      <c r="H32" s="78"/>
      <c r="I32" s="78"/>
      <c r="J32" s="78"/>
      <c r="K32" s="78"/>
      <c r="L32" s="78"/>
      <c r="M32" s="78"/>
      <c r="N32" s="78"/>
      <c r="O32" s="78"/>
      <c r="P32" s="78"/>
      <c r="Q32" s="78"/>
      <c r="R32" s="78"/>
      <c r="S32" s="377"/>
      <c r="T32" s="365" t="b" cm="1">
        <f t="array" ref="T32">T31</f>
        <v>0</v>
      </c>
      <c r="U32" s="78"/>
      <c r="V32" s="78"/>
      <c r="W32" s="78"/>
      <c r="X32" s="1094"/>
      <c r="Y32" s="78"/>
      <c r="Z32" s="1064"/>
      <c r="AA32" s="78"/>
      <c r="AB32" s="1041" t="s">
        <v>1619</v>
      </c>
      <c r="AC32" s="1042"/>
      <c r="AD32" s="1170" cm="1">
        <f t="array" ref="AD32">INDEX('Общие сведения'!$AJ$179:$AJ$222,MATCH($X29,'Общие сведения'!$Z$179:$Z$222,0))</f>
        <v>0</v>
      </c>
      <c r="AE32" s="1171"/>
      <c r="AF32" s="1171"/>
      <c r="AG32" s="1171"/>
      <c r="AH32" s="1171"/>
      <c r="AI32" s="1171"/>
      <c r="AJ32" s="1171"/>
      <c r="AK32" s="1171"/>
      <c r="AL32" s="1171"/>
      <c r="AM32" s="1171"/>
      <c r="AN32" s="1171"/>
      <c r="AO32" s="1171"/>
      <c r="AP32" s="1171"/>
      <c r="AQ32" s="1171"/>
      <c r="AR32" s="1171"/>
      <c r="AS32" s="1171"/>
      <c r="AT32" s="1171"/>
      <c r="AU32" s="1171"/>
      <c r="AV32" s="1171"/>
      <c r="AW32" s="1171"/>
      <c r="AX32" s="1171"/>
      <c r="AY32" s="1171"/>
      <c r="AZ32" s="1171"/>
      <c r="BA32" s="1171"/>
      <c r="BB32" s="1171"/>
      <c r="BC32" s="1171"/>
      <c r="BD32" s="1171"/>
      <c r="BE32" s="1171"/>
      <c r="BF32" s="1171"/>
      <c r="BG32" s="1171"/>
      <c r="BH32" s="1171"/>
      <c r="BI32" s="1171"/>
      <c r="BJ32" s="1171"/>
      <c r="BK32" s="1171"/>
      <c r="BL32" s="1171"/>
      <c r="BM32" s="1171"/>
      <c r="BN32" s="1171"/>
      <c r="BO32" s="1171"/>
      <c r="BP32" s="1171"/>
      <c r="BQ32" s="1171"/>
      <c r="BR32" s="1171"/>
      <c r="BS32" s="1171"/>
      <c r="BT32" s="1171"/>
      <c r="BU32" s="1171"/>
      <c r="BV32" s="1171"/>
      <c r="BW32" s="1171"/>
      <c r="BX32" s="1171"/>
      <c r="BY32" s="1171"/>
      <c r="BZ32" s="1171"/>
      <c r="CA32" s="1171"/>
      <c r="CB32" s="1171"/>
      <c r="CC32" s="1171"/>
      <c r="CD32" s="1171"/>
      <c r="CE32" s="1171"/>
      <c r="CF32" s="1171"/>
      <c r="CG32" s="1171"/>
      <c r="CH32" s="1171"/>
      <c r="CI32" s="1171"/>
      <c r="CJ32" s="1171"/>
      <c r="CK32" s="1171"/>
      <c r="CL32" s="1171"/>
      <c r="CM32" s="1171"/>
      <c r="CN32" s="1171"/>
      <c r="CO32" s="1171"/>
      <c r="CP32" s="1171"/>
      <c r="CQ32" s="1171"/>
      <c r="CR32" s="1171"/>
      <c r="CS32" s="1171"/>
      <c r="CT32" s="1171"/>
      <c r="CU32" s="1171"/>
      <c r="CV32" s="1171"/>
      <c r="CW32" s="1171"/>
      <c r="CX32" s="1171"/>
      <c r="CY32" s="1171"/>
      <c r="CZ32" s="1171"/>
      <c r="DA32" s="1171"/>
      <c r="DB32" s="1171"/>
      <c r="DC32" s="1171"/>
      <c r="DD32" s="1171"/>
      <c r="DE32" s="1171"/>
      <c r="DF32" s="1171"/>
      <c r="DG32" s="1171"/>
      <c r="DH32" s="1171"/>
      <c r="DI32" s="1171"/>
      <c r="DJ32" s="1171"/>
      <c r="DK32" s="1171"/>
      <c r="DL32" s="1171"/>
      <c r="DM32" s="1171"/>
      <c r="DN32" s="1171"/>
      <c r="DO32" s="1171"/>
      <c r="DP32" s="1171"/>
      <c r="DQ32" s="1171"/>
      <c r="DR32" s="1171"/>
      <c r="DS32" s="1171"/>
      <c r="DT32" s="1171"/>
      <c r="DU32" s="1171"/>
      <c r="DV32" s="1171"/>
      <c r="DW32" s="1171"/>
      <c r="DX32" s="1171"/>
      <c r="DY32" s="1171"/>
      <c r="DZ32" s="1171"/>
      <c r="EA32" s="1171"/>
      <c r="EB32" s="1171"/>
      <c r="EC32" s="1171"/>
      <c r="ED32" s="1171"/>
      <c r="EE32" s="1171"/>
      <c r="EF32" s="1171"/>
      <c r="EG32" s="1171"/>
      <c r="EH32" s="1171"/>
      <c r="EI32" s="1171"/>
      <c r="EJ32" s="1171"/>
      <c r="EK32" s="1171"/>
      <c r="EL32" s="1171"/>
      <c r="EM32" s="1171"/>
      <c r="EN32" s="1171"/>
      <c r="EO32" s="1171"/>
      <c r="EP32" s="1171"/>
      <c r="EQ32" s="1171"/>
      <c r="ER32" s="1171"/>
      <c r="ES32" s="1171"/>
      <c r="ET32" s="1171"/>
      <c r="EU32" s="1171"/>
      <c r="EV32" s="1171"/>
      <c r="EW32" s="1171"/>
      <c r="EX32" s="1171"/>
      <c r="EY32" s="1171"/>
      <c r="EZ32" s="1171"/>
      <c r="FA32" s="1171"/>
      <c r="FB32" s="1171"/>
      <c r="FC32" s="1171"/>
      <c r="FD32" s="1171"/>
      <c r="FE32" s="1171"/>
      <c r="FF32" s="1171"/>
      <c r="FG32" s="1171"/>
      <c r="FH32" s="1171"/>
      <c r="FI32" s="1171"/>
      <c r="FJ32" s="1171"/>
      <c r="FK32" s="1171"/>
      <c r="FL32" s="1171"/>
      <c r="FM32" s="1171"/>
      <c r="FN32" s="1171"/>
      <c r="FO32" s="1171"/>
      <c r="FP32" s="1171"/>
      <c r="FQ32" s="1171"/>
      <c r="FR32" s="1171"/>
      <c r="FS32" s="1171"/>
      <c r="FT32" s="1171"/>
      <c r="FU32" s="1171"/>
      <c r="FV32" s="1171"/>
      <c r="FW32" s="1172"/>
    </row>
    <row r="33" spans="1:186" ht="14.65" hidden="1" customHeight="1">
      <c r="A33" s="78"/>
      <c r="B33" s="622" t="b">
        <f>AND(R29="одноставочный",NOT(S29))</f>
        <v>0</v>
      </c>
      <c r="C33" s="78"/>
      <c r="D33" s="78"/>
      <c r="E33" s="473">
        <v>15</v>
      </c>
      <c r="F33" s="3" cm="1">
        <f t="array" aca="1" ref="F33" ca="1">OFFSET(E33,-1,1)</f>
        <v>0</v>
      </c>
      <c r="G33" s="78"/>
      <c r="H33" s="78"/>
      <c r="I33" s="78"/>
      <c r="J33" s="78"/>
      <c r="K33" s="78"/>
      <c r="L33" s="78"/>
      <c r="M33" s="78"/>
      <c r="N33" s="78"/>
      <c r="O33" s="78"/>
      <c r="P33" s="78"/>
      <c r="Q33" s="78"/>
      <c r="R33" s="78"/>
      <c r="S33" s="78"/>
      <c r="T33" s="365" t="b" cm="1">
        <f t="array" ref="T33">T32</f>
        <v>0</v>
      </c>
      <c r="U33" s="78"/>
      <c r="V33" s="78"/>
      <c r="W33" s="78"/>
      <c r="X33" s="1094"/>
      <c r="Y33" s="78"/>
      <c r="Z33" s="1064"/>
      <c r="AA33" s="78"/>
      <c r="AB33" s="601" t="s">
        <v>1620</v>
      </c>
      <c r="AC33" s="602"/>
      <c r="AD33" s="217"/>
      <c r="AE33" s="217"/>
      <c r="AF33" s="217"/>
      <c r="AG33" s="217"/>
      <c r="AH33" s="217"/>
      <c r="AI33" s="217"/>
      <c r="AJ33" s="217"/>
      <c r="AK33" s="217"/>
      <c r="AL33" s="217"/>
      <c r="AM33" s="217"/>
      <c r="AN33" s="217"/>
      <c r="AO33" s="217"/>
      <c r="AP33" s="217"/>
      <c r="AQ33" s="217"/>
      <c r="AR33" s="217"/>
      <c r="AS33" s="217"/>
      <c r="AT33" s="217"/>
      <c r="AU33" s="217"/>
      <c r="AV33" s="217"/>
      <c r="AW33" s="217"/>
      <c r="AX33" s="217"/>
      <c r="AY33" s="217"/>
      <c r="AZ33" s="217"/>
      <c r="BA33" s="217"/>
      <c r="BB33" s="217"/>
      <c r="BC33" s="217"/>
      <c r="BD33" s="217"/>
      <c r="BE33" s="217"/>
      <c r="BF33" s="217"/>
      <c r="BG33" s="217"/>
      <c r="BH33" s="217"/>
      <c r="BI33" s="217"/>
      <c r="BJ33" s="218"/>
      <c r="BK33" s="217"/>
      <c r="BL33" s="217"/>
      <c r="BM33" s="218"/>
      <c r="BN33" s="217"/>
      <c r="BO33" s="217"/>
      <c r="BP33" s="218"/>
      <c r="BQ33" s="217"/>
      <c r="BR33" s="217"/>
      <c r="BS33" s="218"/>
      <c r="BT33" s="217"/>
      <c r="BU33" s="217"/>
      <c r="BV33" s="218"/>
      <c r="BW33" s="217"/>
      <c r="BX33" s="217"/>
      <c r="BY33" s="218"/>
      <c r="BZ33" s="217"/>
      <c r="CA33" s="217"/>
      <c r="CB33" s="218"/>
      <c r="CC33" s="217"/>
      <c r="CD33" s="217"/>
      <c r="CE33" s="218"/>
      <c r="CF33" s="217"/>
      <c r="CG33" s="217"/>
      <c r="CH33" s="218"/>
      <c r="CI33" s="217"/>
      <c r="CJ33" s="217"/>
      <c r="CK33" s="218"/>
      <c r="CL33" s="217"/>
      <c r="CM33" s="217"/>
      <c r="CN33" s="218"/>
      <c r="CO33" s="217"/>
      <c r="CP33" s="217"/>
      <c r="CQ33" s="218"/>
      <c r="CR33" s="217"/>
      <c r="CS33" s="217"/>
      <c r="CT33" s="218"/>
      <c r="CU33" s="217"/>
      <c r="CV33" s="217"/>
      <c r="CW33" s="218"/>
      <c r="CX33" s="217"/>
      <c r="CY33" s="217"/>
      <c r="CZ33" s="218"/>
      <c r="DA33" s="217"/>
      <c r="DB33" s="217"/>
      <c r="DC33" s="218"/>
      <c r="DD33" s="217"/>
      <c r="DE33" s="217"/>
      <c r="DF33" s="218"/>
      <c r="DG33" s="217"/>
      <c r="DH33" s="217"/>
      <c r="DI33" s="218"/>
      <c r="DJ33" s="217"/>
      <c r="DK33" s="217"/>
      <c r="DL33" s="218"/>
      <c r="DM33" s="217"/>
      <c r="DN33" s="217"/>
      <c r="DO33" s="218"/>
      <c r="DP33" s="217"/>
      <c r="DQ33" s="217"/>
      <c r="DR33" s="218"/>
      <c r="DS33" s="217"/>
      <c r="DT33" s="217"/>
      <c r="DU33" s="218"/>
      <c r="DV33" s="217"/>
      <c r="DW33" s="217"/>
      <c r="DX33" s="218"/>
      <c r="DY33" s="217"/>
      <c r="DZ33" s="217"/>
      <c r="EA33" s="218"/>
      <c r="EB33" s="217"/>
      <c r="EC33" s="217"/>
      <c r="ED33" s="218"/>
      <c r="EE33" s="217"/>
      <c r="EF33" s="217"/>
      <c r="EG33" s="218"/>
      <c r="EH33" s="217"/>
      <c r="EI33" s="217"/>
      <c r="EJ33" s="218"/>
      <c r="EK33" s="217"/>
      <c r="EL33" s="217"/>
      <c r="EM33" s="218"/>
      <c r="EN33" s="217"/>
      <c r="EO33" s="217"/>
      <c r="EP33" s="218"/>
      <c r="EQ33" s="217"/>
      <c r="ER33" s="217"/>
      <c r="ES33" s="218"/>
      <c r="ET33" s="217"/>
      <c r="EU33" s="217"/>
      <c r="EV33" s="218"/>
      <c r="EW33" s="217"/>
      <c r="EX33" s="217"/>
      <c r="EY33" s="218"/>
      <c r="EZ33" s="217"/>
      <c r="FA33" s="217"/>
      <c r="FB33" s="218"/>
      <c r="FC33" s="217"/>
      <c r="FD33" s="217"/>
      <c r="FE33" s="218"/>
      <c r="FF33" s="217"/>
      <c r="FG33" s="217"/>
      <c r="FH33" s="218"/>
      <c r="FI33" s="217"/>
      <c r="FJ33" s="217"/>
      <c r="FK33" s="218"/>
      <c r="FL33" s="217"/>
      <c r="FM33" s="217"/>
      <c r="FN33" s="218"/>
      <c r="FO33" s="217"/>
      <c r="FP33" s="217"/>
      <c r="FQ33" s="218"/>
      <c r="FR33" s="217"/>
      <c r="FS33" s="217"/>
      <c r="FT33" s="218"/>
      <c r="FU33" s="217"/>
      <c r="FV33" s="217"/>
      <c r="FW33" s="218"/>
    </row>
    <row r="34" spans="1:186" s="219" customFormat="1" ht="23.85" hidden="1" customHeight="1">
      <c r="A34" s="603"/>
      <c r="B34" s="622" t="b" cm="1">
        <f t="array" ref="B34">B33</f>
        <v>0</v>
      </c>
      <c r="C34" s="603"/>
      <c r="D34" s="603"/>
      <c r="E34" s="604">
        <v>24.5</v>
      </c>
      <c r="F34" s="3" cm="1">
        <f t="array" aca="1" ref="F34" ca="1">OFFSET(E34,-1,1)</f>
        <v>0</v>
      </c>
      <c r="G34" s="78" t="s">
        <v>1621</v>
      </c>
      <c r="H34" s="78" t="s">
        <v>461</v>
      </c>
      <c r="I34" s="78" t="s">
        <v>1622</v>
      </c>
      <c r="J34" s="603"/>
      <c r="K34" s="603"/>
      <c r="L34" s="78"/>
      <c r="M34" s="603"/>
      <c r="N34" s="603"/>
      <c r="O34" s="603"/>
      <c r="P34" s="603"/>
      <c r="Q34" s="603"/>
      <c r="R34" s="603"/>
      <c r="S34" s="78"/>
      <c r="T34" s="365" t="b" cm="1">
        <f t="array" ref="T34">T33</f>
        <v>0</v>
      </c>
      <c r="U34" s="603"/>
      <c r="V34" s="603"/>
      <c r="W34" s="603"/>
      <c r="X34" s="1094"/>
      <c r="Y34" s="603"/>
      <c r="Z34" s="1064"/>
      <c r="AA34" s="603"/>
      <c r="AB34" s="220" t="s">
        <v>1623</v>
      </c>
      <c r="AC34" s="221" t="s">
        <v>1624</v>
      </c>
      <c r="AD34" s="942">
        <f ca="1">IF(AND(method_reg="Метод индексации",god&lt;&gt;first_year),SUMIFS(INDEX('Калькуляция (МИ корр)'!$AJ$25:$BC$459,,MATCH(AD$8,'Калькуляция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(МИ)'!$AJ$25:$BC$459,,MATCH(AD$8,'Калькуляция (МИ)'!$AJ$8:$BC$8,0)),'Калькуляция (МИ)'!$F$25:$F$459,$F34,'Калькуляция (МИ)'!$G$25:$G$459,$G34))))</f>
        <v>0</v>
      </c>
      <c r="AE34" s="942">
        <f ca="1">IF(AND(method_reg="Метод индексации",god&lt;&gt;first_year),SUMIFS(INDEX('Калькуляция (МИ корр)'!$AJ$25:$BC$459,,MATCH(AE$8,'Калькуляция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(МИ)'!$AJ$25:$BC$459,,MATCH(AE$8,'Калькуляция (МИ)'!$AJ$8:$BC$8,0)),'Калькуляция (МИ)'!$F$25:$F$459,$F34,'Калькуляция (МИ)'!$G$25:$G$459,$G34))))</f>
        <v>0</v>
      </c>
      <c r="AF34" s="222">
        <f ca="1">IF(AD34=0,0,(AE34-AD34)/AD34*100)</f>
        <v>0</v>
      </c>
      <c r="AG34" s="942">
        <f ca="1">IF(AND(method_reg="Метод индексации",god&lt;&gt;first_year),SUMIFS(INDEX('Калькуляция (МИ корр)'!$AJ$25:$BC$459,,MATCH(AG$8,'Калькуляция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(МИ)'!$AJ$25:$BC$459,,MATCH(AG$8,'Калькуляция (МИ)'!$AJ$8:$BC$8,0)),'Калькуляция (МИ)'!$F$25:$F$459,$F34,'Калькуляция (МИ)'!$G$25:$G$459,$G34))))</f>
        <v>0</v>
      </c>
      <c r="AH34" s="942">
        <f ca="1">IF(AND(method_reg="Метод индексации",god&lt;&gt;first_year),SUMIFS(INDEX('Калькуляция (МИ корр)'!$AJ$25:$BC$459,,MATCH(AH$8,'Калькуляция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(МИ)'!$AJ$25:$BC$459,,MATCH(AH$8,'Калькуляция (МИ)'!$AJ$8:$BC$8,0)),'Калькуляция (МИ)'!$F$25:$F$459,$F34,'Калькуляция (МИ)'!$G$25:$G$459,$G34))))</f>
        <v>0</v>
      </c>
      <c r="AI34" s="222">
        <f ca="1">IF(AG34=0,0,(AH34-AG34)/AG34*100)</f>
        <v>0</v>
      </c>
      <c r="AJ34" s="942">
        <f ca="1">IF(AND(method_reg="Метод индексации",god&lt;&gt;first_year),SUMIFS(INDEX('Калькуляция (МИ корр)'!$AJ$25:$BC$459,,MATCH(AJ$8,'Калькуляция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(МИ)'!$AJ$25:$BC$459,,MATCH(AJ$8,'Калькуляция (МИ)'!$AJ$8:$BC$8,0)),'Калькуляция (МИ)'!$F$25:$F$459,$F34,'Калькуляция (МИ)'!$G$25:$G$459,$G34))))</f>
        <v>0</v>
      </c>
      <c r="AK34" s="942">
        <f ca="1">IF(AND(method_reg="Метод индексации",god&lt;&gt;first_year),SUMIFS(INDEX('Калькуляция (МИ корр)'!$AJ$25:$BC$459,,MATCH(AK$8,'Калькуляция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(МИ)'!$AJ$25:$BC$459,,MATCH(AK$8,'Калькуляция (МИ)'!$AJ$8:$BC$8,0)),'Калькуляция (МИ)'!$F$25:$F$459,$F34,'Калькуляция (МИ)'!$G$25:$G$459,$G34))))</f>
        <v>0</v>
      </c>
      <c r="AL34" s="222">
        <f ca="1">IF(AJ34=0,0,(AK34-AJ34)/AJ34*100)</f>
        <v>0</v>
      </c>
      <c r="AM34" s="942">
        <f ca="1">IF(AND(method_reg="Метод индексации",god&lt;&gt;first_year),SUMIFS(INDEX('Калькуляция (МИ корр)'!$AJ$25:$BC$459,,MATCH(AM$8,'Калькуляция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(МИ)'!$AJ$25:$BC$459,,MATCH(AM$8,'Калькуляция (МИ)'!$AJ$8:$BC$8,0)),'Калькуляция (МИ)'!$F$25:$F$459,$F34,'Калькуляция (МИ)'!$G$25:$G$459,$G34))))</f>
        <v>0</v>
      </c>
      <c r="AN34" s="942">
        <f ca="1">IF(AND(method_reg="Метод индексации",god&lt;&gt;first_year),SUMIFS(INDEX('Калькуляция (МИ корр)'!$AJ$25:$BC$459,,MATCH(AN$8,'Калькуляция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(МИ)'!$AJ$25:$BC$459,,MATCH(AN$8,'Калькуляция (МИ)'!$AJ$8:$BC$8,0)),'Калькуляция (МИ)'!$F$25:$F$459,$F34,'Калькуляция (МИ)'!$G$25:$G$459,$G34))))</f>
        <v>0</v>
      </c>
      <c r="AO34" s="222">
        <f ca="1">IF(AM34=0,0,(AN34-AM34)/AM34*100)</f>
        <v>0</v>
      </c>
      <c r="AP34" s="942">
        <f ca="1">IF(AND(method_reg="Метод индексации",god&lt;&gt;first_year),SUMIFS(INDEX('Калькуляция (МИ корр)'!$AJ$25:$BC$459,,MATCH(AP$8,'Калькуляция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(МИ)'!$AJ$25:$BC$459,,MATCH(AP$8,'Калькуляция (МИ)'!$AJ$8:$BC$8,0)),'Калькуляция (МИ)'!$F$25:$F$459,$F34,'Калькуляция (МИ)'!$G$25:$G$459,$G34))))</f>
        <v>0</v>
      </c>
      <c r="AQ34" s="942">
        <f ca="1">IF(AND(method_reg="Метод индексации",god&lt;&gt;first_year),SUMIFS(INDEX('Калькуляция (МИ корр)'!$AJ$25:$BC$459,,MATCH(AQ$8,'Калькуляция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(МИ)'!$AJ$25:$BC$459,,MATCH(AQ$8,'Калькуляция (МИ)'!$AJ$8:$BC$8,0)),'Калькуляция (МИ)'!$F$25:$F$459,$F34,'Калькуляция (МИ)'!$G$25:$G$459,$G34))))</f>
        <v>0</v>
      </c>
      <c r="AR34" s="222">
        <f ca="1">IF(AP34=0,0,(AQ34-AP34)/AP34*100)</f>
        <v>0</v>
      </c>
      <c r="AS34" s="942">
        <f ca="1">IF(AND(method_reg="Метод индексации",god&lt;&gt;first_year),SUMIFS(INDEX('Калькуляция (МИ корр)'!$AJ$25:$BC$459,,MATCH(AS$8,'Калькуляция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(МИ)'!$AJ$25:$BC$459,,MATCH(AS$8,'Калькуляция (МИ)'!$AJ$8:$BC$8,0)),'Калькуляция (МИ)'!$F$25:$F$459,$F34,'Калькуляция (МИ)'!$G$25:$G$459,$G34))))</f>
        <v>0</v>
      </c>
      <c r="AT34" s="942">
        <f ca="1">IF(AND(method_reg="Метод индексации",god&lt;&gt;first_year),SUMIFS(INDEX('Калькуляция (МИ корр)'!$AJ$25:$BC$459,,MATCH(AT$8,'Калькуляция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(МИ)'!$AJ$25:$BC$459,,MATCH(AT$8,'Калькуляция (МИ)'!$AJ$8:$BC$8,0)),'Калькуляция (МИ)'!$F$25:$F$459,$F34,'Калькуляция (МИ)'!$G$25:$G$459,$G34))))</f>
        <v>0</v>
      </c>
      <c r="AU34" s="222">
        <f ca="1">IF(AS34=0,0,(AT34-AS34)/AS34*100)</f>
        <v>0</v>
      </c>
      <c r="AV34" s="942">
        <f ca="1">IF(AND(method_reg="Метод индексации",god&lt;&gt;first_year),SUMIFS(INDEX('Калькуляция (МИ корр)'!$AJ$25:$BC$459,,MATCH(AV$8,'Калькуляция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(МИ)'!$AJ$25:$BC$459,,MATCH(AV$8,'Калькуляция (МИ)'!$AJ$8:$BC$8,0)),'Калькуляция (МИ)'!$F$25:$F$459,$F34,'Калькуляция (МИ)'!$G$25:$G$459,$G34))))</f>
        <v>0</v>
      </c>
      <c r="AW34" s="942">
        <f ca="1">IF(AND(method_reg="Метод индексации",god&lt;&gt;first_year),SUMIFS(INDEX('Калькуляция (МИ корр)'!$AJ$25:$BC$459,,MATCH(AW$8,'Калькуляция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(МИ)'!$AJ$25:$BC$459,,MATCH(AW$8,'Калькуляция (МИ)'!$AJ$8:$BC$8,0)),'Калькуляция (МИ)'!$F$25:$F$459,$F34,'Калькуляция (МИ)'!$G$25:$G$459,$G34))))</f>
        <v>0</v>
      </c>
      <c r="AX34" s="222">
        <f ca="1">IF(AV34=0,0,(AW34-AV34)/AV34*100)</f>
        <v>0</v>
      </c>
      <c r="AY34" s="942">
        <f ca="1">IF(AND(method_reg="Метод индексации",god&lt;&gt;first_year),SUMIFS(INDEX('Калькуляция (МИ корр)'!$AJ$25:$BC$459,,MATCH(AY$8,'Калькуляция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(МИ)'!$AJ$25:$BC$459,,MATCH(AY$8,'Калькуляция (МИ)'!$AJ$8:$BC$8,0)),'Калькуляция (МИ)'!$F$25:$F$459,$F34,'Калькуляция (МИ)'!$G$25:$G$459,$G34))))</f>
        <v>0</v>
      </c>
      <c r="AZ34" s="942">
        <f ca="1">IF(AND(method_reg="Метод индексации",god&lt;&gt;first_year),SUMIFS(INDEX('Калькуляция (МИ корр)'!$AJ$25:$BC$459,,MATCH(AZ$8,'Калькуляция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(МИ)'!$AJ$25:$BC$459,,MATCH(AZ$8,'Калькуляция (МИ)'!$AJ$8:$BC$8,0)),'Калькуляция (МИ)'!$F$25:$F$459,$F34,'Калькуляция (МИ)'!$G$25:$G$459,$G34))))</f>
        <v>0</v>
      </c>
      <c r="BA34" s="222">
        <f ca="1">IF(AY34=0,0,(AZ34-AY34)/AY34*100)</f>
        <v>0</v>
      </c>
      <c r="BB34" s="942">
        <f ca="1">IF(AND(method_reg="Метод индексации",god&lt;&gt;first_year),SUMIFS(INDEX('Калькуляция (МИ корр)'!$AJ$25:$BC$459,,MATCH(BB$8,'Калькуляция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(МИ)'!$AJ$25:$BC$459,,MATCH(BB$8,'Калькуляция (МИ)'!$AJ$8:$BC$8,0)),'Калькуляция (МИ)'!$F$25:$F$459,$F34,'Калькуляция (МИ)'!$G$25:$G$459,$G34))))</f>
        <v>0</v>
      </c>
      <c r="BC34" s="942">
        <f ca="1">IF(AND(method_reg="Метод индексации",god&lt;&gt;first_year),SUMIFS(INDEX('Калькуляция (МИ корр)'!$AJ$25:$BC$459,,MATCH(BC$8,'Калькуляция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(МИ)'!$AJ$25:$BC$459,,MATCH(BC$8,'Калькуляция (МИ)'!$AJ$8:$BC$8,0)),'Калькуляция (МИ)'!$F$25:$F$459,$F34,'Калькуляция (МИ)'!$G$25:$G$459,$G34))))</f>
        <v>0</v>
      </c>
      <c r="BD34" s="222">
        <f ca="1">IF(BB34=0,0,(BC34-BB34)/BB34*100)</f>
        <v>0</v>
      </c>
      <c r="BE34" s="942">
        <f ca="1">IF(AND(method_reg="Метод индексации",god&lt;&gt;first_year),SUMIFS(INDEX('Калькуляция (МИ корр)'!$AJ$25:$BC$459,,MATCH(BE$8,'Калькуляция (МИ корр)'!$AJ$8:$BC$8,0)),'Калькуляция (МИ корр)'!$F$25:$F$459,$F34,'Калькуляция (МИ корр)'!$G$25:$G$459,$G34),IF(method_reg="Метод экономически обоснованных расходов",SUMIFS('Калькуляция (МЭОР)'!$AJ$25:$AJ$282,'Калькуляция (МЭОР)'!$F$25:$F$282,$F34,'Калькуляция (МЭОР)'!$G$25:$G$282,$G34),IF(method_reg="Метод сравнения аналогов",SUMIFS('Калькуляция (МСА)'!$AE$25:$AE$84,'Калькуляция (МСА)'!$F$25:$F$84,$F34,'Калькуляция (МСА)'!$G$25:$G$84,$G34),SUMIFS(INDEX('Калькуляция (МИ)'!$AJ$25:$BC$459,,MATCH(BE$8,'Калькуляция (МИ)'!$AJ$8:$BC$8,0)),'Калькуляция (МИ)'!$F$25:$F$459,$F34,'Калькуляция (МИ)'!$G$25:$G$459,$G34))))</f>
        <v>0</v>
      </c>
      <c r="BF34" s="942">
        <f ca="1">IF(AND(method_reg="Метод индексации",god&lt;&gt;first_year),SUMIFS(INDEX('Калькуляция (МИ корр)'!$AJ$25:$BC$459,,MATCH(BF$8,'Калькуляция (МИ корр)'!$AJ$8:$BC$8,0)),'Калькуляция (МИ корр)'!$F$25:$F$459,$F34,'Калькуляция (МИ корр)'!$G$25:$G$459,$G34),IF(method_reg="Метод экономически обоснованных расходов",SUMIFS('Калькуляция (МЭОР)'!$AK$25:$AK$282,'Калькуляция (МЭОР)'!$F$25:$F$282,$F34,'Калькуляция (МЭОР)'!$G$25:$G$282,$G34),IF(method_reg="Метод сравнения аналогов",SUMIFS('Калькуляция (МСА)'!$AF$25:$AF$84,'Калькуляция (МСА)'!$F$25:$F$84,$F34,'Калькуляция (МСА)'!$G$25:$G$84,$G34),SUMIFS(INDEX('Калькуляция (МИ)'!$AJ$25:$BC$459,,MATCH(BF$8,'Калькуляция (МИ)'!$AJ$8:$BC$8,0)),'Калькуляция (МИ)'!$F$25:$F$459,$F34,'Калькуляция (МИ)'!$G$25:$G$459,$G34))))</f>
        <v>0</v>
      </c>
      <c r="BG34" s="222">
        <f ca="1">IF(BE34=0,0,(BF34-BE34)/BE34*100)</f>
        <v>0</v>
      </c>
      <c r="BH34" s="942"/>
      <c r="BI34" s="942"/>
      <c r="BJ34" s="222">
        <f>IF(BH34=0,0,(BI34-BH34)/BH34*100)</f>
        <v>0</v>
      </c>
      <c r="BK34" s="942"/>
      <c r="BL34" s="942"/>
      <c r="BM34" s="222">
        <f>IF(BK34=0,0,(BL34-BK34)/BK34*100)</f>
        <v>0</v>
      </c>
      <c r="BN34" s="942"/>
      <c r="BO34" s="942"/>
      <c r="BP34" s="222">
        <f>IF(BN34=0,0,(BO34-BN34)/BN34*100)</f>
        <v>0</v>
      </c>
      <c r="BQ34" s="942"/>
      <c r="BR34" s="942"/>
      <c r="BS34" s="222">
        <f>IF(BQ34=0,0,(BR34-BQ34)/BQ34*100)</f>
        <v>0</v>
      </c>
      <c r="BT34" s="942"/>
      <c r="BU34" s="942"/>
      <c r="BV34" s="222">
        <f>IF(BT34=0,0,(BU34-BT34)/BT34*100)</f>
        <v>0</v>
      </c>
      <c r="BW34" s="942"/>
      <c r="BX34" s="942"/>
      <c r="BY34" s="222">
        <f>IF(BW34=0,0,(BX34-BW34)/BW34*100)</f>
        <v>0</v>
      </c>
      <c r="BZ34" s="942"/>
      <c r="CA34" s="942"/>
      <c r="CB34" s="222">
        <f>IF(BZ34=0,0,(CA34-BZ34)/BZ34*100)</f>
        <v>0</v>
      </c>
      <c r="CC34" s="942"/>
      <c r="CD34" s="942"/>
      <c r="CE34" s="222">
        <f>IF(CC34=0,0,(CD34-CC34)/CC34*100)</f>
        <v>0</v>
      </c>
      <c r="CF34" s="942"/>
      <c r="CG34" s="942"/>
      <c r="CH34" s="222">
        <f>IF(CF34=0,0,(CG34-CF34)/CF34*100)</f>
        <v>0</v>
      </c>
      <c r="CI34" s="942"/>
      <c r="CJ34" s="942"/>
      <c r="CK34" s="222">
        <f>IF(CI34=0,0,(CJ34-CI34)/CI34*100)</f>
        <v>0</v>
      </c>
      <c r="CL34" s="942"/>
      <c r="CM34" s="942"/>
      <c r="CN34" s="222">
        <f>IF(CL34=0,0,(CM34-CL34)/CL34*100)</f>
        <v>0</v>
      </c>
      <c r="CO34" s="942"/>
      <c r="CP34" s="942"/>
      <c r="CQ34" s="222">
        <f>IF(CO34=0,0,(CP34-CO34)/CO34*100)</f>
        <v>0</v>
      </c>
      <c r="CR34" s="942"/>
      <c r="CS34" s="942"/>
      <c r="CT34" s="222">
        <f>IF(CR34=0,0,(CS34-CR34)/CR34*100)</f>
        <v>0</v>
      </c>
      <c r="CU34" s="942"/>
      <c r="CV34" s="942"/>
      <c r="CW34" s="222">
        <f>IF(CU34=0,0,(CV34-CU34)/CU34*100)</f>
        <v>0</v>
      </c>
      <c r="CX34" s="942"/>
      <c r="CY34" s="942"/>
      <c r="CZ34" s="222">
        <f>IF(CX34=0,0,(CY34-CX34)/CX34*100)</f>
        <v>0</v>
      </c>
      <c r="DA34" s="942"/>
      <c r="DB34" s="942"/>
      <c r="DC34" s="222">
        <f>IF(DA34=0,0,(DB34-DA34)/DA34*100)</f>
        <v>0</v>
      </c>
      <c r="DD34" s="942"/>
      <c r="DE34" s="942"/>
      <c r="DF34" s="222">
        <f>IF(DD34=0,0,(DE34-DD34)/DD34*100)</f>
        <v>0</v>
      </c>
      <c r="DG34" s="943"/>
      <c r="DH34" s="943"/>
      <c r="DI34" s="222">
        <f>IF(DG34=0,0,(DH34-DG34)/DG34*100)</f>
        <v>0</v>
      </c>
      <c r="DJ34" s="943"/>
      <c r="DK34" s="943"/>
      <c r="DL34" s="222">
        <f>IF(DJ34=0,0,(DK34-DJ34)/DJ34*100)</f>
        <v>0</v>
      </c>
      <c r="DM34" s="943"/>
      <c r="DN34" s="943"/>
      <c r="DO34" s="222">
        <f>IF(DM34=0,0,(DN34-DM34)/DM34*100)</f>
        <v>0</v>
      </c>
      <c r="DP34" s="943"/>
      <c r="DQ34" s="943"/>
      <c r="DR34" s="222">
        <f>IF(DP34=0,0,(DQ34-DP34)/DP34*100)</f>
        <v>0</v>
      </c>
      <c r="DS34" s="943"/>
      <c r="DT34" s="943"/>
      <c r="DU34" s="222">
        <f>IF(DS34=0,0,(DT34-DS34)/DS34*100)</f>
        <v>0</v>
      </c>
      <c r="DV34" s="943"/>
      <c r="DW34" s="943"/>
      <c r="DX34" s="222">
        <f>IF(DV34=0,0,(DW34-DV34)/DV34*100)</f>
        <v>0</v>
      </c>
      <c r="DY34" s="943"/>
      <c r="DZ34" s="943"/>
      <c r="EA34" s="222">
        <f>IF(DY34=0,0,(DZ34-DY34)/DY34*100)</f>
        <v>0</v>
      </c>
      <c r="EB34" s="943"/>
      <c r="EC34" s="943"/>
      <c r="ED34" s="222">
        <f>IF(EB34=0,0,(EC34-EB34)/EB34*100)</f>
        <v>0</v>
      </c>
      <c r="EE34" s="943"/>
      <c r="EF34" s="943"/>
      <c r="EG34" s="222">
        <f>IF(EE34=0,0,(EF34-EE34)/EE34*100)</f>
        <v>0</v>
      </c>
      <c r="EH34" s="943"/>
      <c r="EI34" s="943"/>
      <c r="EJ34" s="222">
        <f>IF(EH34=0,0,(EI34-EH34)/EH34*100)</f>
        <v>0</v>
      </c>
      <c r="EK34" s="943"/>
      <c r="EL34" s="943"/>
      <c r="EM34" s="222">
        <f>IF(EK34=0,0,(EL34-EK34)/EK34*100)</f>
        <v>0</v>
      </c>
      <c r="EN34" s="943"/>
      <c r="EO34" s="943"/>
      <c r="EP34" s="222">
        <f>IF(EN34=0,0,(EO34-EN34)/EN34*100)</f>
        <v>0</v>
      </c>
      <c r="EQ34" s="943"/>
      <c r="ER34" s="943"/>
      <c r="ES34" s="222">
        <f>IF(EQ34=0,0,(ER34-EQ34)/EQ34*100)</f>
        <v>0</v>
      </c>
      <c r="ET34" s="943"/>
      <c r="EU34" s="943"/>
      <c r="EV34" s="222">
        <f>IF(ET34=0,0,(EU34-ET34)/ET34*100)</f>
        <v>0</v>
      </c>
      <c r="EW34" s="943"/>
      <c r="EX34" s="943"/>
      <c r="EY34" s="222">
        <f>IF(EW34=0,0,(EX34-EW34)/EW34*100)</f>
        <v>0</v>
      </c>
      <c r="EZ34" s="943"/>
      <c r="FA34" s="943"/>
      <c r="FB34" s="222">
        <f>IF(EZ34=0,0,(FA34-EZ34)/EZ34*100)</f>
        <v>0</v>
      </c>
      <c r="FC34" s="943"/>
      <c r="FD34" s="943"/>
      <c r="FE34" s="222">
        <f>IF(FC34=0,0,(FD34-FC34)/FC34*100)</f>
        <v>0</v>
      </c>
      <c r="FF34" s="943"/>
      <c r="FG34" s="943"/>
      <c r="FH34" s="222">
        <f>IF(FF34=0,0,(FG34-FF34)/FF34*100)</f>
        <v>0</v>
      </c>
      <c r="FI34" s="943"/>
      <c r="FJ34" s="943"/>
      <c r="FK34" s="222">
        <f>IF(FI34=0,0,(FJ34-FI34)/FI34*100)</f>
        <v>0</v>
      </c>
      <c r="FL34" s="943"/>
      <c r="FM34" s="943"/>
      <c r="FN34" s="222">
        <f>IF(FL34=0,0,(FM34-FL34)/FL34*100)</f>
        <v>0</v>
      </c>
      <c r="FO34" s="943"/>
      <c r="FP34" s="943"/>
      <c r="FQ34" s="222">
        <f>IF(FO34=0,0,(FP34-FO34)/FO34*100)</f>
        <v>0</v>
      </c>
      <c r="FR34" s="943"/>
      <c r="FS34" s="943"/>
      <c r="FT34" s="222">
        <f>IF(FR34=0,0,(FS34-FR34)/FR34*100)</f>
        <v>0</v>
      </c>
      <c r="FU34" s="943"/>
      <c r="FV34" s="943"/>
      <c r="FW34" s="222">
        <f>IF(FU34=0,0,(FV34-FU34)/FU34*100)</f>
        <v>0</v>
      </c>
      <c r="FZ34" s="700" t="s">
        <v>1625</v>
      </c>
      <c r="GA34" s="700"/>
      <c r="GB34" s="700"/>
      <c r="GC34" s="701"/>
      <c r="GD34" s="701"/>
    </row>
    <row r="35" spans="1:186" s="219" customFormat="1" ht="23.85" hidden="1" customHeight="1">
      <c r="A35" s="603"/>
      <c r="B35" s="622" t="b" cm="1">
        <f t="array" ref="B35">B34</f>
        <v>0</v>
      </c>
      <c r="C35" s="603"/>
      <c r="D35" s="603"/>
      <c r="E35" s="604">
        <v>24.5</v>
      </c>
      <c r="F35" s="3" cm="1">
        <f t="array" aca="1" ref="F35" ca="1">OFFSET(E35,-1,1)</f>
        <v>0</v>
      </c>
      <c r="G35" s="78" t="s">
        <v>1626</v>
      </c>
      <c r="H35" s="78" t="s">
        <v>461</v>
      </c>
      <c r="I35" s="78" t="s">
        <v>1627</v>
      </c>
      <c r="J35" s="603"/>
      <c r="K35" s="603"/>
      <c r="L35" s="78"/>
      <c r="M35" s="603"/>
      <c r="N35" s="603"/>
      <c r="O35" s="603"/>
      <c r="P35" s="603"/>
      <c r="Q35" s="603"/>
      <c r="R35" s="603"/>
      <c r="S35" s="78"/>
      <c r="T35" s="365" t="b" cm="1">
        <f t="array" ref="T35">T34</f>
        <v>0</v>
      </c>
      <c r="U35" s="603"/>
      <c r="V35" s="603"/>
      <c r="W35" s="603"/>
      <c r="X35" s="1094"/>
      <c r="Y35" s="603"/>
      <c r="Z35" s="1064"/>
      <c r="AA35" s="603"/>
      <c r="AB35" s="220" t="s">
        <v>1628</v>
      </c>
      <c r="AC35" s="221" t="s">
        <v>1624</v>
      </c>
      <c r="AD35" s="942">
        <f ca="1">IF(AND(method_reg="Метод индексации",god&lt;&gt;first_year),SUMIFS(INDEX('Калькуляция (МИ корр)'!$AJ$25:$BC$459,,MATCH(AD$8,'Калькуляция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(МИ)'!$AJ$25:$BC$459,,MATCH(AD$8,'Калькуляция (МИ)'!$AJ$8:$BC$8,0)),'Калькуляция (МИ)'!$F$25:$F$459,$F35,'Калькуляция (МИ)'!$G$25:$G$459,$G35))))</f>
        <v>0</v>
      </c>
      <c r="AE35" s="942">
        <f ca="1">IF(AND(method_reg="Метод индексации",god&lt;&gt;first_year),SUMIFS(INDEX('Калькуляция (МИ корр)'!$AJ$25:$BC$459,,MATCH(AE$8,'Калькуляция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(МИ)'!$AJ$25:$BC$459,,MATCH(AE$8,'Калькуляция (МИ)'!$AJ$8:$BC$8,0)),'Калькуляция (МИ)'!$F$25:$F$459,$F35,'Калькуляция (МИ)'!$G$25:$G$459,$G35))))</f>
        <v>0</v>
      </c>
      <c r="AF35" s="222">
        <f ca="1">IF(AD35=0,0,(AE35-AD35)/AD35*100)</f>
        <v>0</v>
      </c>
      <c r="AG35" s="942">
        <f ca="1">IF(AND(method_reg="Метод индексации",god&lt;&gt;first_year),SUMIFS(INDEX('Калькуляция (МИ корр)'!$AJ$25:$BC$459,,MATCH(AG$8,'Калькуляция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(МИ)'!$AJ$25:$BC$459,,MATCH(AG$8,'Калькуляция (МИ)'!$AJ$8:$BC$8,0)),'Калькуляция (МИ)'!$F$25:$F$459,$F35,'Калькуляция (МИ)'!$G$25:$G$459,$G35))))</f>
        <v>0</v>
      </c>
      <c r="AH35" s="942">
        <f ca="1">IF(AND(method_reg="Метод индексации",god&lt;&gt;first_year),SUMIFS(INDEX('Калькуляция (МИ корр)'!$AJ$25:$BC$459,,MATCH(AH$8,'Калькуляция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(МИ)'!$AJ$25:$BC$459,,MATCH(AH$8,'Калькуляция (МИ)'!$AJ$8:$BC$8,0)),'Калькуляция (МИ)'!$F$25:$F$459,$F35,'Калькуляция (МИ)'!$G$25:$G$459,$G35))))</f>
        <v>0</v>
      </c>
      <c r="AI35" s="222">
        <f ca="1">IF(AG35=0,0,(AH35-AG35)/AG35*100)</f>
        <v>0</v>
      </c>
      <c r="AJ35" s="942">
        <f ca="1">IF(AND(method_reg="Метод индексации",god&lt;&gt;first_year),SUMIFS(INDEX('Калькуляция (МИ корр)'!$AJ$25:$BC$459,,MATCH(AJ$8,'Калькуляция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(МИ)'!$AJ$25:$BC$459,,MATCH(AJ$8,'Калькуляция (МИ)'!$AJ$8:$BC$8,0)),'Калькуляция (МИ)'!$F$25:$F$459,$F35,'Калькуляция (МИ)'!$G$25:$G$459,$G35))))</f>
        <v>0</v>
      </c>
      <c r="AK35" s="942">
        <f ca="1">IF(AND(method_reg="Метод индексации",god&lt;&gt;first_year),SUMIFS(INDEX('Калькуляция (МИ корр)'!$AJ$25:$BC$459,,MATCH(AK$8,'Калькуляция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(МИ)'!$AJ$25:$BC$459,,MATCH(AK$8,'Калькуляция (МИ)'!$AJ$8:$BC$8,0)),'Калькуляция (МИ)'!$F$25:$F$459,$F35,'Калькуляция (МИ)'!$G$25:$G$459,$G35))))</f>
        <v>0</v>
      </c>
      <c r="AL35" s="222">
        <f ca="1">IF(AJ35=0,0,(AK35-AJ35)/AJ35*100)</f>
        <v>0</v>
      </c>
      <c r="AM35" s="942">
        <f ca="1">IF(AND(method_reg="Метод индексации",god&lt;&gt;first_year),SUMIFS(INDEX('Калькуляция (МИ корр)'!$AJ$25:$BC$459,,MATCH(AM$8,'Калькуляция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(МИ)'!$AJ$25:$BC$459,,MATCH(AM$8,'Калькуляция (МИ)'!$AJ$8:$BC$8,0)),'Калькуляция (МИ)'!$F$25:$F$459,$F35,'Калькуляция (МИ)'!$G$25:$G$459,$G35))))</f>
        <v>0</v>
      </c>
      <c r="AN35" s="942">
        <f ca="1">IF(AND(method_reg="Метод индексации",god&lt;&gt;first_year),SUMIFS(INDEX('Калькуляция (МИ корр)'!$AJ$25:$BC$459,,MATCH(AN$8,'Калькуляция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(МИ)'!$AJ$25:$BC$459,,MATCH(AN$8,'Калькуляция (МИ)'!$AJ$8:$BC$8,0)),'Калькуляция (МИ)'!$F$25:$F$459,$F35,'Калькуляция (МИ)'!$G$25:$G$459,$G35))))</f>
        <v>0</v>
      </c>
      <c r="AO35" s="222">
        <f ca="1">IF(AM35=0,0,(AN35-AM35)/AM35*100)</f>
        <v>0</v>
      </c>
      <c r="AP35" s="942">
        <f ca="1">IF(AND(method_reg="Метод индексации",god&lt;&gt;first_year),SUMIFS(INDEX('Калькуляция (МИ корр)'!$AJ$25:$BC$459,,MATCH(AP$8,'Калькуляция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(МИ)'!$AJ$25:$BC$459,,MATCH(AP$8,'Калькуляция (МИ)'!$AJ$8:$BC$8,0)),'Калькуляция (МИ)'!$F$25:$F$459,$F35,'Калькуляция (МИ)'!$G$25:$G$459,$G35))))</f>
        <v>0</v>
      </c>
      <c r="AQ35" s="942">
        <f ca="1">IF(AND(method_reg="Метод индексации",god&lt;&gt;first_year),SUMIFS(INDEX('Калькуляция (МИ корр)'!$AJ$25:$BC$459,,MATCH(AQ$8,'Калькуляция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(МИ)'!$AJ$25:$BC$459,,MATCH(AQ$8,'Калькуляция (МИ)'!$AJ$8:$BC$8,0)),'Калькуляция (МИ)'!$F$25:$F$459,$F35,'Калькуляция (МИ)'!$G$25:$G$459,$G35))))</f>
        <v>0</v>
      </c>
      <c r="AR35" s="222">
        <f ca="1">IF(AP35=0,0,(AQ35-AP35)/AP35*100)</f>
        <v>0</v>
      </c>
      <c r="AS35" s="942">
        <f ca="1">IF(AND(method_reg="Метод индексации",god&lt;&gt;first_year),SUMIFS(INDEX('Калькуляция (МИ корр)'!$AJ$25:$BC$459,,MATCH(AS$8,'Калькуляция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(МИ)'!$AJ$25:$BC$459,,MATCH(AS$8,'Калькуляция (МИ)'!$AJ$8:$BC$8,0)),'Калькуляция (МИ)'!$F$25:$F$459,$F35,'Калькуляция (МИ)'!$G$25:$G$459,$G35))))</f>
        <v>0</v>
      </c>
      <c r="AT35" s="942">
        <f ca="1">IF(AND(method_reg="Метод индексации",god&lt;&gt;first_year),SUMIFS(INDEX('Калькуляция (МИ корр)'!$AJ$25:$BC$459,,MATCH(AT$8,'Калькуляция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(МИ)'!$AJ$25:$BC$459,,MATCH(AT$8,'Калькуляция (МИ)'!$AJ$8:$BC$8,0)),'Калькуляция (МИ)'!$F$25:$F$459,$F35,'Калькуляция (МИ)'!$G$25:$G$459,$G35))))</f>
        <v>0</v>
      </c>
      <c r="AU35" s="222">
        <f ca="1">IF(AS35=0,0,(AT35-AS35)/AS35*100)</f>
        <v>0</v>
      </c>
      <c r="AV35" s="942">
        <f ca="1">IF(AND(method_reg="Метод индексации",god&lt;&gt;first_year),SUMIFS(INDEX('Калькуляция (МИ корр)'!$AJ$25:$BC$459,,MATCH(AV$8,'Калькуляция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(МИ)'!$AJ$25:$BC$459,,MATCH(AV$8,'Калькуляция (МИ)'!$AJ$8:$BC$8,0)),'Калькуляция (МИ)'!$F$25:$F$459,$F35,'Калькуляция (МИ)'!$G$25:$G$459,$G35))))</f>
        <v>0</v>
      </c>
      <c r="AW35" s="942">
        <f ca="1">IF(AND(method_reg="Метод индексации",god&lt;&gt;first_year),SUMIFS(INDEX('Калькуляция (МИ корр)'!$AJ$25:$BC$459,,MATCH(AW$8,'Калькуляция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(МИ)'!$AJ$25:$BC$459,,MATCH(AW$8,'Калькуляция (МИ)'!$AJ$8:$BC$8,0)),'Калькуляция (МИ)'!$F$25:$F$459,$F35,'Калькуляция (МИ)'!$G$25:$G$459,$G35))))</f>
        <v>0</v>
      </c>
      <c r="AX35" s="222">
        <f ca="1">IF(AV35=0,0,(AW35-AV35)/AV35*100)</f>
        <v>0</v>
      </c>
      <c r="AY35" s="942">
        <f ca="1">IF(AND(method_reg="Метод индексации",god&lt;&gt;first_year),SUMIFS(INDEX('Калькуляция (МИ корр)'!$AJ$25:$BC$459,,MATCH(AY$8,'Калькуляция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(МИ)'!$AJ$25:$BC$459,,MATCH(AY$8,'Калькуляция (МИ)'!$AJ$8:$BC$8,0)),'Калькуляция (МИ)'!$F$25:$F$459,$F35,'Калькуляция (МИ)'!$G$25:$G$459,$G35))))</f>
        <v>0</v>
      </c>
      <c r="AZ35" s="942">
        <f ca="1">IF(AND(method_reg="Метод индексации",god&lt;&gt;first_year),SUMIFS(INDEX('Калькуляция (МИ корр)'!$AJ$25:$BC$459,,MATCH(AZ$8,'Калькуляция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(МИ)'!$AJ$25:$BC$459,,MATCH(AZ$8,'Калькуляция (МИ)'!$AJ$8:$BC$8,0)),'Калькуляция (МИ)'!$F$25:$F$459,$F35,'Калькуляция (МИ)'!$G$25:$G$459,$G35))))</f>
        <v>0</v>
      </c>
      <c r="BA35" s="222">
        <f ca="1">IF(AY35=0,0,(AZ35-AY35)/AY35*100)</f>
        <v>0</v>
      </c>
      <c r="BB35" s="942">
        <f ca="1">IF(AND(method_reg="Метод индексации",god&lt;&gt;first_year),SUMIFS(INDEX('Калькуляция (МИ корр)'!$AJ$25:$BC$459,,MATCH(BB$8,'Калькуляция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(МИ)'!$AJ$25:$BC$459,,MATCH(BB$8,'Калькуляция (МИ)'!$AJ$8:$BC$8,0)),'Калькуляция (МИ)'!$F$25:$F$459,$F35,'Калькуляция (МИ)'!$G$25:$G$459,$G35))))</f>
        <v>0</v>
      </c>
      <c r="BC35" s="942">
        <f ca="1">IF(AND(method_reg="Метод индексации",god&lt;&gt;first_year),SUMIFS(INDEX('Калькуляция (МИ корр)'!$AJ$25:$BC$459,,MATCH(BC$8,'Калькуляция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(МИ)'!$AJ$25:$BC$459,,MATCH(BC$8,'Калькуляция (МИ)'!$AJ$8:$BC$8,0)),'Калькуляция (МИ)'!$F$25:$F$459,$F35,'Калькуляция (МИ)'!$G$25:$G$459,$G35))))</f>
        <v>0</v>
      </c>
      <c r="BD35" s="222">
        <f ca="1">IF(BB35=0,0,(BC35-BB35)/BB35*100)</f>
        <v>0</v>
      </c>
      <c r="BE35" s="942">
        <f ca="1">IF(AND(method_reg="Метод индексации",god&lt;&gt;first_year),SUMIFS(INDEX('Калькуляция (МИ корр)'!$AJ$25:$BC$459,,MATCH(BE$8,'Калькуляция (МИ корр)'!$AJ$8:$BC$8,0)),'Калькуляция (МИ корр)'!$F$25:$F$459,$F35,'Калькуляция (МИ корр)'!$G$25:$G$459,$G35),IF(method_reg="Метод экономически обоснованных расходов",SUMIFS('Калькуляция (МЭОР)'!$AJ$25:$AJ$282,'Калькуляция (МЭОР)'!$F$25:$F$282,$F35,'Калькуляция (МЭОР)'!$G$25:$G$282,$G35),IF(method_reg="Метод сравнения аналогов",SUMIFS('Калькуляция (МСА)'!$AE$25:$AE$84,'Калькуляция (МСА)'!$F$25:$F$84,$F35,'Калькуляция (МСА)'!$G$25:$G$84,$G35),SUMIFS(INDEX('Калькуляция (МИ)'!$AJ$25:$BC$459,,MATCH(BE$8,'Калькуляция (МИ)'!$AJ$8:$BC$8,0)),'Калькуляция (МИ)'!$F$25:$F$459,$F35,'Калькуляция (МИ)'!$G$25:$G$459,$G35))))</f>
        <v>0</v>
      </c>
      <c r="BF35" s="942">
        <f ca="1">IF(AND(method_reg="Метод индексации",god&lt;&gt;first_year),SUMIFS(INDEX('Калькуляция (МИ корр)'!$AJ$25:$BC$459,,MATCH(BF$8,'Калькуляция (МИ корр)'!$AJ$8:$BC$8,0)),'Калькуляция (МИ корр)'!$F$25:$F$459,$F35,'Калькуляция (МИ корр)'!$G$25:$G$459,$G35),IF(method_reg="Метод экономически обоснованных расходов",SUMIFS('Калькуляция (МЭОР)'!$AK$25:$AK$282,'Калькуляция (МЭОР)'!$F$25:$F$282,$F35,'Калькуляция (МЭОР)'!$G$25:$G$282,$G35),IF(method_reg="Метод сравнения аналогов",SUMIFS('Калькуляция (МСА)'!$AF$25:$AF$84,'Калькуляция (МСА)'!$F$25:$F$84,$F35,'Калькуляция (МСА)'!$G$25:$G$84,$G35),SUMIFS(INDEX('Калькуляция (МИ)'!$AJ$25:$BC$459,,MATCH(BF$8,'Калькуляция (МИ)'!$AJ$8:$BC$8,0)),'Калькуляция (МИ)'!$F$25:$F$459,$F35,'Калькуляция (МИ)'!$G$25:$G$459,$G35))))</f>
        <v>0</v>
      </c>
      <c r="BG35" s="222">
        <f ca="1">IF(BE35=0,0,(BF35-BE35)/BE35*100)</f>
        <v>0</v>
      </c>
      <c r="BH35" s="942"/>
      <c r="BI35" s="942"/>
      <c r="BJ35" s="222">
        <f>IF(BH35=0,0,(BI35-BH35)/BH35*100)</f>
        <v>0</v>
      </c>
      <c r="BK35" s="942"/>
      <c r="BL35" s="942"/>
      <c r="BM35" s="222">
        <f>IF(BK35=0,0,(BL35-BK35)/BK35*100)</f>
        <v>0</v>
      </c>
      <c r="BN35" s="942"/>
      <c r="BO35" s="942"/>
      <c r="BP35" s="222">
        <f>IF(BN35=0,0,(BO35-BN35)/BN35*100)</f>
        <v>0</v>
      </c>
      <c r="BQ35" s="942"/>
      <c r="BR35" s="942"/>
      <c r="BS35" s="222">
        <f>IF(BQ35=0,0,(BR35-BQ35)/BQ35*100)</f>
        <v>0</v>
      </c>
      <c r="BT35" s="942"/>
      <c r="BU35" s="942"/>
      <c r="BV35" s="222">
        <f>IF(BT35=0,0,(BU35-BT35)/BT35*100)</f>
        <v>0</v>
      </c>
      <c r="BW35" s="942"/>
      <c r="BX35" s="942"/>
      <c r="BY35" s="222">
        <f>IF(BW35=0,0,(BX35-BW35)/BW35*100)</f>
        <v>0</v>
      </c>
      <c r="BZ35" s="942"/>
      <c r="CA35" s="942"/>
      <c r="CB35" s="222">
        <f>IF(BZ35=0,0,(CA35-BZ35)/BZ35*100)</f>
        <v>0</v>
      </c>
      <c r="CC35" s="942"/>
      <c r="CD35" s="942"/>
      <c r="CE35" s="222">
        <f>IF(CC35=0,0,(CD35-CC35)/CC35*100)</f>
        <v>0</v>
      </c>
      <c r="CF35" s="942"/>
      <c r="CG35" s="942"/>
      <c r="CH35" s="222">
        <f>IF(CF35=0,0,(CG35-CF35)/CF35*100)</f>
        <v>0</v>
      </c>
      <c r="CI35" s="942"/>
      <c r="CJ35" s="942"/>
      <c r="CK35" s="222">
        <f>IF(CI35=0,0,(CJ35-CI35)/CI35*100)</f>
        <v>0</v>
      </c>
      <c r="CL35" s="942"/>
      <c r="CM35" s="942"/>
      <c r="CN35" s="222">
        <f>IF(CL35=0,0,(CM35-CL35)/CL35*100)</f>
        <v>0</v>
      </c>
      <c r="CO35" s="942"/>
      <c r="CP35" s="942"/>
      <c r="CQ35" s="222">
        <f>IF(CO35=0,0,(CP35-CO35)/CO35*100)</f>
        <v>0</v>
      </c>
      <c r="CR35" s="942"/>
      <c r="CS35" s="942"/>
      <c r="CT35" s="222">
        <f>IF(CR35=0,0,(CS35-CR35)/CR35*100)</f>
        <v>0</v>
      </c>
      <c r="CU35" s="942"/>
      <c r="CV35" s="942"/>
      <c r="CW35" s="222">
        <f>IF(CU35=0,0,(CV35-CU35)/CU35*100)</f>
        <v>0</v>
      </c>
      <c r="CX35" s="942"/>
      <c r="CY35" s="942"/>
      <c r="CZ35" s="222">
        <f>IF(CX35=0,0,(CY35-CX35)/CX35*100)</f>
        <v>0</v>
      </c>
      <c r="DA35" s="942"/>
      <c r="DB35" s="942"/>
      <c r="DC35" s="222">
        <f>IF(DA35=0,0,(DB35-DA35)/DA35*100)</f>
        <v>0</v>
      </c>
      <c r="DD35" s="942"/>
      <c r="DE35" s="942"/>
      <c r="DF35" s="222">
        <f>IF(DD35=0,0,(DE35-DD35)/DD35*100)</f>
        <v>0</v>
      </c>
      <c r="DG35" s="943"/>
      <c r="DH35" s="943"/>
      <c r="DI35" s="222">
        <f>IF(DG35=0,0,(DH35-DG35)/DG35*100)</f>
        <v>0</v>
      </c>
      <c r="DJ35" s="943"/>
      <c r="DK35" s="943"/>
      <c r="DL35" s="222">
        <f>IF(DJ35=0,0,(DK35-DJ35)/DJ35*100)</f>
        <v>0</v>
      </c>
      <c r="DM35" s="943"/>
      <c r="DN35" s="943"/>
      <c r="DO35" s="222">
        <f>IF(DM35=0,0,(DN35-DM35)/DM35*100)</f>
        <v>0</v>
      </c>
      <c r="DP35" s="943"/>
      <c r="DQ35" s="943"/>
      <c r="DR35" s="222">
        <f>IF(DP35=0,0,(DQ35-DP35)/DP35*100)</f>
        <v>0</v>
      </c>
      <c r="DS35" s="943"/>
      <c r="DT35" s="943"/>
      <c r="DU35" s="222">
        <f>IF(DS35=0,0,(DT35-DS35)/DS35*100)</f>
        <v>0</v>
      </c>
      <c r="DV35" s="943"/>
      <c r="DW35" s="943"/>
      <c r="DX35" s="222">
        <f>IF(DV35=0,0,(DW35-DV35)/DV35*100)</f>
        <v>0</v>
      </c>
      <c r="DY35" s="943"/>
      <c r="DZ35" s="943"/>
      <c r="EA35" s="222">
        <f>IF(DY35=0,0,(DZ35-DY35)/DY35*100)</f>
        <v>0</v>
      </c>
      <c r="EB35" s="943"/>
      <c r="EC35" s="943"/>
      <c r="ED35" s="222">
        <f>IF(EB35=0,0,(EC35-EB35)/EB35*100)</f>
        <v>0</v>
      </c>
      <c r="EE35" s="943"/>
      <c r="EF35" s="943"/>
      <c r="EG35" s="222">
        <f>IF(EE35=0,0,(EF35-EE35)/EE35*100)</f>
        <v>0</v>
      </c>
      <c r="EH35" s="943"/>
      <c r="EI35" s="943"/>
      <c r="EJ35" s="222">
        <f>IF(EH35=0,0,(EI35-EH35)/EH35*100)</f>
        <v>0</v>
      </c>
      <c r="EK35" s="943"/>
      <c r="EL35" s="943"/>
      <c r="EM35" s="222">
        <f>IF(EK35=0,0,(EL35-EK35)/EK35*100)</f>
        <v>0</v>
      </c>
      <c r="EN35" s="943"/>
      <c r="EO35" s="943"/>
      <c r="EP35" s="222">
        <f>IF(EN35=0,0,(EO35-EN35)/EN35*100)</f>
        <v>0</v>
      </c>
      <c r="EQ35" s="943"/>
      <c r="ER35" s="943"/>
      <c r="ES35" s="222">
        <f>IF(EQ35=0,0,(ER35-EQ35)/EQ35*100)</f>
        <v>0</v>
      </c>
      <c r="ET35" s="943"/>
      <c r="EU35" s="943"/>
      <c r="EV35" s="222">
        <f>IF(ET35=0,0,(EU35-ET35)/ET35*100)</f>
        <v>0</v>
      </c>
      <c r="EW35" s="943"/>
      <c r="EX35" s="943"/>
      <c r="EY35" s="222">
        <f>IF(EW35=0,0,(EX35-EW35)/EW35*100)</f>
        <v>0</v>
      </c>
      <c r="EZ35" s="943"/>
      <c r="FA35" s="943"/>
      <c r="FB35" s="222">
        <f>IF(EZ35=0,0,(FA35-EZ35)/EZ35*100)</f>
        <v>0</v>
      </c>
      <c r="FC35" s="943"/>
      <c r="FD35" s="943"/>
      <c r="FE35" s="222">
        <f>IF(FC35=0,0,(FD35-FC35)/FC35*100)</f>
        <v>0</v>
      </c>
      <c r="FF35" s="943"/>
      <c r="FG35" s="943"/>
      <c r="FH35" s="222">
        <f>IF(FF35=0,0,(FG35-FF35)/FF35*100)</f>
        <v>0</v>
      </c>
      <c r="FI35" s="943"/>
      <c r="FJ35" s="943"/>
      <c r="FK35" s="222">
        <f>IF(FI35=0,0,(FJ35-FI35)/FI35*100)</f>
        <v>0</v>
      </c>
      <c r="FL35" s="943"/>
      <c r="FM35" s="943"/>
      <c r="FN35" s="222">
        <f>IF(FL35=0,0,(FM35-FL35)/FL35*100)</f>
        <v>0</v>
      </c>
      <c r="FO35" s="943"/>
      <c r="FP35" s="943"/>
      <c r="FQ35" s="222">
        <f>IF(FO35=0,0,(FP35-FO35)/FO35*100)</f>
        <v>0</v>
      </c>
      <c r="FR35" s="943"/>
      <c r="FS35" s="943"/>
      <c r="FT35" s="222">
        <f>IF(FR35=0,0,(FS35-FR35)/FR35*100)</f>
        <v>0</v>
      </c>
      <c r="FU35" s="943"/>
      <c r="FV35" s="943"/>
      <c r="FW35" s="222">
        <f>IF(FU35=0,0,(FV35-FU35)/FU35*100)</f>
        <v>0</v>
      </c>
      <c r="FZ35" s="700" t="s">
        <v>1629</v>
      </c>
      <c r="GA35" s="700"/>
      <c r="GB35" s="700"/>
      <c r="GC35" s="701"/>
      <c r="GD35" s="701"/>
    </row>
    <row r="36" spans="1:186" ht="14.65" hidden="1" customHeight="1">
      <c r="A36" s="78"/>
      <c r="B36" s="622" t="b" cm="1">
        <f t="array" ref="B36">B35</f>
        <v>0</v>
      </c>
      <c r="C36" s="78"/>
      <c r="D36" s="78"/>
      <c r="E36" s="473">
        <v>15</v>
      </c>
      <c r="F36" s="3" cm="1">
        <f t="array" aca="1" ref="F36" ca="1">OFFSET(E36,-1,1)</f>
        <v>0</v>
      </c>
      <c r="G36" s="78"/>
      <c r="H36" s="78" t="s">
        <v>465</v>
      </c>
      <c r="I36" s="78" t="s">
        <v>1630</v>
      </c>
      <c r="J36" s="78"/>
      <c r="K36" s="78"/>
      <c r="L36" s="78"/>
      <c r="M36" s="78"/>
      <c r="N36" s="78"/>
      <c r="O36" s="78"/>
      <c r="P36" s="78"/>
      <c r="Q36" s="78"/>
      <c r="R36" s="78"/>
      <c r="S36" s="78"/>
      <c r="T36" s="365" t="b" cm="1">
        <f t="array" ref="T36">T35</f>
        <v>0</v>
      </c>
      <c r="U36" s="78"/>
      <c r="V36" s="78"/>
      <c r="W36" s="78"/>
      <c r="X36" s="1094"/>
      <c r="Y36" s="78"/>
      <c r="Z36" s="1064"/>
      <c r="AA36" s="78"/>
      <c r="AB36" s="73" t="s">
        <v>1631</v>
      </c>
      <c r="AC36" s="31" t="s">
        <v>456</v>
      </c>
      <c r="AD36" s="629">
        <f ca="1">IF(AD34=0,0,AD35/AD34)*100</f>
        <v>0</v>
      </c>
      <c r="AE36" s="629">
        <f ca="1">IF(AE34=0,0,AE35/AE34)*100</f>
        <v>0</v>
      </c>
      <c r="AF36" s="723"/>
      <c r="AG36" s="629">
        <f ca="1">IF(AG34=0,0,AG35/AG34)*100</f>
        <v>0</v>
      </c>
      <c r="AH36" s="629">
        <f ca="1">IF(AH34=0,0,AH35/AH34)*100</f>
        <v>0</v>
      </c>
      <c r="AI36" s="723"/>
      <c r="AJ36" s="629">
        <f ca="1">IF(AJ34=0,0,AJ35/AJ34)*100</f>
        <v>0</v>
      </c>
      <c r="AK36" s="629">
        <f ca="1">IF(AK34=0,0,AK35/AK34)*100</f>
        <v>0</v>
      </c>
      <c r="AL36" s="723"/>
      <c r="AM36" s="629">
        <f ca="1">IF(AM34=0,0,AM35/AM34)*100</f>
        <v>0</v>
      </c>
      <c r="AN36" s="629">
        <f ca="1">IF(AN34=0,0,AN35/AN34)*100</f>
        <v>0</v>
      </c>
      <c r="AO36" s="723"/>
      <c r="AP36" s="629">
        <f ca="1">IF(AP34=0,0,AP35/AP34)*100</f>
        <v>0</v>
      </c>
      <c r="AQ36" s="629">
        <f ca="1">IF(AQ34=0,0,AQ35/AQ34)*100</f>
        <v>0</v>
      </c>
      <c r="AR36" s="723"/>
      <c r="AS36" s="629">
        <f ca="1">IF(AS34=0,0,AS35/AS34)*100</f>
        <v>0</v>
      </c>
      <c r="AT36" s="629">
        <f ca="1">IF(AT34=0,0,AT35/AT34)*100</f>
        <v>0</v>
      </c>
      <c r="AU36" s="723"/>
      <c r="AV36" s="629">
        <f ca="1">IF(AV34=0,0,AV35/AV34)*100</f>
        <v>0</v>
      </c>
      <c r="AW36" s="629">
        <f ca="1">IF(AW34=0,0,AW35/AW34)*100</f>
        <v>0</v>
      </c>
      <c r="AX36" s="723"/>
      <c r="AY36" s="629">
        <f ca="1">IF(AY34=0,0,AY35/AY34)*100</f>
        <v>0</v>
      </c>
      <c r="AZ36" s="629">
        <f ca="1">IF(AZ34=0,0,AZ35/AZ34)*100</f>
        <v>0</v>
      </c>
      <c r="BA36" s="723"/>
      <c r="BB36" s="629">
        <f ca="1">IF(BB34=0,0,BB35/BB34)*100</f>
        <v>0</v>
      </c>
      <c r="BC36" s="629">
        <f ca="1">IF(BC34=0,0,BC35/BC34)*100</f>
        <v>0</v>
      </c>
      <c r="BD36" s="723"/>
      <c r="BE36" s="629">
        <f ca="1">IF(BE34=0,0,BE35/BE34)*100</f>
        <v>0</v>
      </c>
      <c r="BF36" s="629">
        <f ca="1">IF(BF34=0,0,BF35/BF34)*100</f>
        <v>0</v>
      </c>
      <c r="BG36" s="723"/>
      <c r="BH36" s="629">
        <f>IF(BH34=0,0,BH35/BH34)*100</f>
        <v>0</v>
      </c>
      <c r="BI36" s="629">
        <f>IF(BI34=0,0,BI35/BI34)*100</f>
        <v>0</v>
      </c>
      <c r="BJ36" s="723"/>
      <c r="BK36" s="629">
        <f>IF(BK34=0,0,BK35/BK34)*100</f>
        <v>0</v>
      </c>
      <c r="BL36" s="629">
        <f>IF(BL34=0,0,BL35/BL34)*100</f>
        <v>0</v>
      </c>
      <c r="BM36" s="723"/>
      <c r="BN36" s="629">
        <f>IF(BN34=0,0,BN35/BN34)*100</f>
        <v>0</v>
      </c>
      <c r="BO36" s="629">
        <f>IF(BO34=0,0,BO35/BO34)*100</f>
        <v>0</v>
      </c>
      <c r="BP36" s="723"/>
      <c r="BQ36" s="629">
        <f>IF(BQ34=0,0,BQ35/BQ34)*100</f>
        <v>0</v>
      </c>
      <c r="BR36" s="629">
        <f>IF(BR34=0,0,BR35/BR34)*100</f>
        <v>0</v>
      </c>
      <c r="BS36" s="723"/>
      <c r="BT36" s="629">
        <f>IF(BT34=0,0,BT35/BT34)*100</f>
        <v>0</v>
      </c>
      <c r="BU36" s="629">
        <f>IF(BU34=0,0,BU35/BU34)*100</f>
        <v>0</v>
      </c>
      <c r="BV36" s="723"/>
      <c r="BW36" s="629">
        <f>IF(BW34=0,0,BW35/BW34)*100</f>
        <v>0</v>
      </c>
      <c r="BX36" s="629">
        <f>IF(BX34=0,0,BX35/BX34)*100</f>
        <v>0</v>
      </c>
      <c r="BY36" s="723"/>
      <c r="BZ36" s="629">
        <f>IF(BZ34=0,0,BZ35/BZ34)*100</f>
        <v>0</v>
      </c>
      <c r="CA36" s="629">
        <f>IF(CA34=0,0,CA35/CA34)*100</f>
        <v>0</v>
      </c>
      <c r="CB36" s="723"/>
      <c r="CC36" s="629">
        <f>IF(CC34=0,0,CC35/CC34)*100</f>
        <v>0</v>
      </c>
      <c r="CD36" s="629">
        <f>IF(CD34=0,0,CD35/CD34)*100</f>
        <v>0</v>
      </c>
      <c r="CE36" s="723"/>
      <c r="CF36" s="629">
        <f>IF(CF34=0,0,CF35/CF34)*100</f>
        <v>0</v>
      </c>
      <c r="CG36" s="629">
        <f>IF(CG34=0,0,CG35/CG34)*100</f>
        <v>0</v>
      </c>
      <c r="CH36" s="723"/>
      <c r="CI36" s="629">
        <f>IF(CI34=0,0,CI35/CI34)*100</f>
        <v>0</v>
      </c>
      <c r="CJ36" s="629">
        <f>IF(CJ34=0,0,CJ35/CJ34)*100</f>
        <v>0</v>
      </c>
      <c r="CK36" s="723"/>
      <c r="CL36" s="629">
        <f>IF(CL34=0,0,CL35/CL34)*100</f>
        <v>0</v>
      </c>
      <c r="CM36" s="629">
        <f>IF(CM34=0,0,CM35/CM34)*100</f>
        <v>0</v>
      </c>
      <c r="CN36" s="723"/>
      <c r="CO36" s="629">
        <f>IF(CO34=0,0,CO35/CO34)*100</f>
        <v>0</v>
      </c>
      <c r="CP36" s="629">
        <f>IF(CP34=0,0,CP35/CP34)*100</f>
        <v>0</v>
      </c>
      <c r="CQ36" s="723"/>
      <c r="CR36" s="629">
        <f>IF(CR34=0,0,CR35/CR34)*100</f>
        <v>0</v>
      </c>
      <c r="CS36" s="629">
        <f>IF(CS34=0,0,CS35/CS34)*100</f>
        <v>0</v>
      </c>
      <c r="CT36" s="723"/>
      <c r="CU36" s="629">
        <f>IF(CU34=0,0,CU35/CU34)*100</f>
        <v>0</v>
      </c>
      <c r="CV36" s="629">
        <f>IF(CV34=0,0,CV35/CV34)*100</f>
        <v>0</v>
      </c>
      <c r="CW36" s="723"/>
      <c r="CX36" s="629">
        <f>IF(CX34=0,0,CX35/CX34)*100</f>
        <v>0</v>
      </c>
      <c r="CY36" s="629">
        <f>IF(CY34=0,0,CY35/CY34)*100</f>
        <v>0</v>
      </c>
      <c r="CZ36" s="723"/>
      <c r="DA36" s="629">
        <f>IF(DA34=0,0,DA35/DA34)*100</f>
        <v>0</v>
      </c>
      <c r="DB36" s="629">
        <f>IF(DB34=0,0,DB35/DB34)*100</f>
        <v>0</v>
      </c>
      <c r="DC36" s="723"/>
      <c r="DD36" s="629">
        <f>IF(DD34=0,0,DD35/DD34)*100</f>
        <v>0</v>
      </c>
      <c r="DE36" s="629">
        <f>IF(DE34=0,0,DE35/DE34)*100</f>
        <v>0</v>
      </c>
      <c r="DF36" s="723"/>
      <c r="DG36" s="629">
        <f>IF(DG34=0,0,DG35/DG34)*100</f>
        <v>0</v>
      </c>
      <c r="DH36" s="629">
        <f>IF(DH34=0,0,DH35/DH34)*100</f>
        <v>0</v>
      </c>
      <c r="DI36" s="723"/>
      <c r="DJ36" s="629">
        <f>IF(DJ34=0,0,DJ35/DJ34)*100</f>
        <v>0</v>
      </c>
      <c r="DK36" s="629">
        <f>IF(DK34=0,0,DK35/DK34)*100</f>
        <v>0</v>
      </c>
      <c r="DL36" s="723"/>
      <c r="DM36" s="629">
        <f>IF(DM34=0,0,DM35/DM34)*100</f>
        <v>0</v>
      </c>
      <c r="DN36" s="629">
        <f>IF(DN34=0,0,DN35/DN34)*100</f>
        <v>0</v>
      </c>
      <c r="DO36" s="723"/>
      <c r="DP36" s="629">
        <f>IF(DP34=0,0,DP35/DP34)*100</f>
        <v>0</v>
      </c>
      <c r="DQ36" s="629">
        <f>IF(DQ34=0,0,DQ35/DQ34)*100</f>
        <v>0</v>
      </c>
      <c r="DR36" s="723"/>
      <c r="DS36" s="629">
        <f>IF(DS34=0,0,DS35/DS34)*100</f>
        <v>0</v>
      </c>
      <c r="DT36" s="629">
        <f>IF(DT34=0,0,DT35/DT34)*100</f>
        <v>0</v>
      </c>
      <c r="DU36" s="723"/>
      <c r="DV36" s="629">
        <f>IF(DV34=0,0,DV35/DV34)*100</f>
        <v>0</v>
      </c>
      <c r="DW36" s="629">
        <f>IF(DW34=0,0,DW35/DW34)*100</f>
        <v>0</v>
      </c>
      <c r="DX36" s="723"/>
      <c r="DY36" s="629">
        <f>IF(DY34=0,0,DY35/DY34)*100</f>
        <v>0</v>
      </c>
      <c r="DZ36" s="629">
        <f>IF(DZ34=0,0,DZ35/DZ34)*100</f>
        <v>0</v>
      </c>
      <c r="EA36" s="723"/>
      <c r="EB36" s="629">
        <f>IF(EB34=0,0,EB35/EB34)*100</f>
        <v>0</v>
      </c>
      <c r="EC36" s="629">
        <f>IF(EC34=0,0,EC35/EC34)*100</f>
        <v>0</v>
      </c>
      <c r="ED36" s="723"/>
      <c r="EE36" s="629">
        <f>IF(EE34=0,0,EE35/EE34)*100</f>
        <v>0</v>
      </c>
      <c r="EF36" s="629">
        <f>IF(EF34=0,0,EF35/EF34)*100</f>
        <v>0</v>
      </c>
      <c r="EG36" s="723"/>
      <c r="EH36" s="629">
        <f>IF(EH34=0,0,EH35/EH34)*100</f>
        <v>0</v>
      </c>
      <c r="EI36" s="629">
        <f>IF(EI34=0,0,EI35/EI34)*100</f>
        <v>0</v>
      </c>
      <c r="EJ36" s="723"/>
      <c r="EK36" s="629">
        <f>IF(EK34=0,0,EK35/EK34)*100</f>
        <v>0</v>
      </c>
      <c r="EL36" s="629">
        <f>IF(EL34=0,0,EL35/EL34)*100</f>
        <v>0</v>
      </c>
      <c r="EM36" s="723"/>
      <c r="EN36" s="629">
        <f>IF(EN34=0,0,EN35/EN34)*100</f>
        <v>0</v>
      </c>
      <c r="EO36" s="629">
        <f>IF(EO34=0,0,EO35/EO34)*100</f>
        <v>0</v>
      </c>
      <c r="EP36" s="723"/>
      <c r="EQ36" s="629">
        <f>IF(EQ34=0,0,EQ35/EQ34)*100</f>
        <v>0</v>
      </c>
      <c r="ER36" s="629">
        <f>IF(ER34=0,0,ER35/ER34)*100</f>
        <v>0</v>
      </c>
      <c r="ES36" s="723"/>
      <c r="ET36" s="629">
        <f>IF(ET34=0,0,ET35/ET34)*100</f>
        <v>0</v>
      </c>
      <c r="EU36" s="629">
        <f>IF(EU34=0,0,EU35/EU34)*100</f>
        <v>0</v>
      </c>
      <c r="EV36" s="723"/>
      <c r="EW36" s="629">
        <f>IF(EW34=0,0,EW35/EW34)*100</f>
        <v>0</v>
      </c>
      <c r="EX36" s="629">
        <f>IF(EX34=0,0,EX35/EX34)*100</f>
        <v>0</v>
      </c>
      <c r="EY36" s="723"/>
      <c r="EZ36" s="629">
        <f>IF(EZ34=0,0,EZ35/EZ34)*100</f>
        <v>0</v>
      </c>
      <c r="FA36" s="629">
        <f>IF(FA34=0,0,FA35/FA34)*100</f>
        <v>0</v>
      </c>
      <c r="FB36" s="723"/>
      <c r="FC36" s="629">
        <f>IF(FC34=0,0,FC35/FC34)*100</f>
        <v>0</v>
      </c>
      <c r="FD36" s="629">
        <f>IF(FD34=0,0,FD35/FD34)*100</f>
        <v>0</v>
      </c>
      <c r="FE36" s="723"/>
      <c r="FF36" s="629">
        <f>IF(FF34=0,0,FF35/FF34)*100</f>
        <v>0</v>
      </c>
      <c r="FG36" s="629">
        <f>IF(FG34=0,0,FG35/FG34)*100</f>
        <v>0</v>
      </c>
      <c r="FH36" s="723"/>
      <c r="FI36" s="629">
        <f>IF(FI34=0,0,FI35/FI34)*100</f>
        <v>0</v>
      </c>
      <c r="FJ36" s="629">
        <f>IF(FJ34=0,0,FJ35/FJ34)*100</f>
        <v>0</v>
      </c>
      <c r="FK36" s="723"/>
      <c r="FL36" s="629">
        <f>IF(FL34=0,0,FL35/FL34)*100</f>
        <v>0</v>
      </c>
      <c r="FM36" s="629">
        <f>IF(FM34=0,0,FM35/FM34)*100</f>
        <v>0</v>
      </c>
      <c r="FN36" s="723"/>
      <c r="FO36" s="629">
        <f>IF(FO34=0,0,FO35/FO34)*100</f>
        <v>0</v>
      </c>
      <c r="FP36" s="629">
        <f>IF(FP34=0,0,FP35/FP34)*100</f>
        <v>0</v>
      </c>
      <c r="FQ36" s="723"/>
      <c r="FR36" s="629">
        <f>IF(FR34=0,0,FR35/FR34)*100</f>
        <v>0</v>
      </c>
      <c r="FS36" s="629">
        <f>IF(FS34=0,0,FS35/FS34)*100</f>
        <v>0</v>
      </c>
      <c r="FT36" s="723"/>
      <c r="FU36" s="629">
        <f>IF(FU34=0,0,FU35/FU34)*100</f>
        <v>0</v>
      </c>
      <c r="FV36" s="629">
        <f>IF(FV34=0,0,FV35/FV34)*100</f>
        <v>0</v>
      </c>
      <c r="FW36" s="723"/>
      <c r="FX36" s="219"/>
      <c r="FZ36" s="700" t="s">
        <v>1632</v>
      </c>
    </row>
    <row r="37" spans="1:186" ht="14.65" hidden="1" customHeight="1">
      <c r="A37" s="78"/>
      <c r="B37" s="622" t="b" cm="1">
        <f t="array" ref="B37">B36</f>
        <v>0</v>
      </c>
      <c r="C37" s="78"/>
      <c r="D37" s="78"/>
      <c r="E37" s="473">
        <v>15</v>
      </c>
      <c r="F37" s="3" cm="1">
        <f t="array" aca="1" ref="F37" ca="1">OFFSET(E37,-1,1)</f>
        <v>0</v>
      </c>
      <c r="G37" s="44" t="s">
        <v>1633</v>
      </c>
      <c r="H37" s="78" t="s">
        <v>468</v>
      </c>
      <c r="I37" s="78" t="s">
        <v>1630</v>
      </c>
      <c r="J37" s="78"/>
      <c r="K37" s="78"/>
      <c r="L37" s="78"/>
      <c r="M37" s="78"/>
      <c r="N37" s="78"/>
      <c r="O37" s="78"/>
      <c r="P37" s="78"/>
      <c r="Q37" s="78"/>
      <c r="R37" s="78"/>
      <c r="S37" s="78"/>
      <c r="T37" s="365" t="b" cm="1">
        <f t="array" ref="T37">T36</f>
        <v>0</v>
      </c>
      <c r="U37" s="78"/>
      <c r="V37" s="78"/>
      <c r="W37" s="78"/>
      <c r="X37" s="1094"/>
      <c r="Y37" s="78"/>
      <c r="Z37" s="1064"/>
      <c r="AA37" s="78"/>
      <c r="AB37" s="73" t="s">
        <v>1634</v>
      </c>
      <c r="AC37" s="31" t="s">
        <v>534</v>
      </c>
      <c r="AD37" s="849">
        <f ca="1">IF(AND(method_reg="Метод индексации",god&lt;&gt;first_year),SUMIFS(INDEX('Калькуляция (МИ корр)'!$AJ$25:$BC$459,,MATCH(AD$8,'Калькуляция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(МИ)'!$AJ$25:$BC$459,,MATCH(AD$8,'Калькуляция (МИ)'!$AJ$8:$BC$8,0)),'Калькуляция (МИ)'!$F$25:$F$459,$F37,'Калькуляция (МИ)'!$G$25:$G$459,$G37))))</f>
        <v>0</v>
      </c>
      <c r="AE37" s="849">
        <f ca="1">IF(AND(method_reg="Метод индексации",god&lt;&gt;first_year),SUMIFS(INDEX('Калькуляция (МИ корр)'!$AJ$25:$BC$459,,MATCH(AE$8,'Калькуляция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(МИ)'!$AJ$25:$BC$459,,MATCH(AE$8,'Калькуляция (МИ)'!$AJ$8:$BC$8,0)),'Калькуляция (МИ)'!$F$25:$F$459,$F37,'Калькуляция (МИ)'!$G$25:$G$459,$G37))))</f>
        <v>0</v>
      </c>
      <c r="AF37" s="724">
        <f ca="1">IF(AD37=0,0,(AE37-AD37)/AD37*100)</f>
        <v>0</v>
      </c>
      <c r="AG37" s="849">
        <f ca="1">IF(AND(method_reg="Метод индексации",god&lt;&gt;first_year),SUMIFS(INDEX('Калькуляция (МИ корр)'!$AJ$25:$BC$459,,MATCH(AG$8,'Калькуляция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(МИ)'!$AJ$25:$BC$459,,MATCH(AG$8,'Калькуляция (МИ)'!$AJ$8:$BC$8,0)),'Калькуляция (МИ)'!$F$25:$F$459,$F37,'Калькуляция (МИ)'!$G$25:$G$459,$G37))))</f>
        <v>0</v>
      </c>
      <c r="AH37" s="849">
        <f ca="1">IF(AND(method_reg="Метод индексации",god&lt;&gt;first_year),SUMIFS(INDEX('Калькуляция (МИ корр)'!$AJ$25:$BC$459,,MATCH(AH$8,'Калькуляция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(МИ)'!$AJ$25:$BC$459,,MATCH(AH$8,'Калькуляция (МИ)'!$AJ$8:$BC$8,0)),'Калькуляция (МИ)'!$F$25:$F$459,$F37,'Калькуляция (МИ)'!$G$25:$G$459,$G37))))</f>
        <v>0</v>
      </c>
      <c r="AI37" s="724">
        <f ca="1">IF(AG37=0,0,(AH37-AG37)/AG37*100)</f>
        <v>0</v>
      </c>
      <c r="AJ37" s="849">
        <f ca="1">IF(AND(method_reg="Метод индексации",god&lt;&gt;first_year),SUMIFS(INDEX('Калькуляция (МИ корр)'!$AJ$25:$BC$459,,MATCH(AJ$8,'Калькуляция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(МИ)'!$AJ$25:$BC$459,,MATCH(AJ$8,'Калькуляция (МИ)'!$AJ$8:$BC$8,0)),'Калькуляция (МИ)'!$F$25:$F$459,$F37,'Калькуляция (МИ)'!$G$25:$G$459,$G37))))</f>
        <v>0</v>
      </c>
      <c r="AK37" s="849">
        <f ca="1">IF(AND(method_reg="Метод индексации",god&lt;&gt;first_year),SUMIFS(INDEX('Калькуляция (МИ корр)'!$AJ$25:$BC$459,,MATCH(AK$8,'Калькуляция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(МИ)'!$AJ$25:$BC$459,,MATCH(AK$8,'Калькуляция (МИ)'!$AJ$8:$BC$8,0)),'Калькуляция (МИ)'!$F$25:$F$459,$F37,'Калькуляция (МИ)'!$G$25:$G$459,$G37))))</f>
        <v>0</v>
      </c>
      <c r="AL37" s="724">
        <f ca="1">IF(AJ37=0,0,(AK37-AJ37)/AJ37*100)</f>
        <v>0</v>
      </c>
      <c r="AM37" s="849">
        <f ca="1">IF(AND(method_reg="Метод индексации",god&lt;&gt;first_year),SUMIFS(INDEX('Калькуляция (МИ корр)'!$AJ$25:$BC$459,,MATCH(AM$8,'Калькуляция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(МИ)'!$AJ$25:$BC$459,,MATCH(AM$8,'Калькуляция (МИ)'!$AJ$8:$BC$8,0)),'Калькуляция (МИ)'!$F$25:$F$459,$F37,'Калькуляция (МИ)'!$G$25:$G$459,$G37))))</f>
        <v>0</v>
      </c>
      <c r="AN37" s="849">
        <f ca="1">IF(AND(method_reg="Метод индексации",god&lt;&gt;first_year),SUMIFS(INDEX('Калькуляция (МИ корр)'!$AJ$25:$BC$459,,MATCH(AN$8,'Калькуляция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(МИ)'!$AJ$25:$BC$459,,MATCH(AN$8,'Калькуляция (МИ)'!$AJ$8:$BC$8,0)),'Калькуляция (МИ)'!$F$25:$F$459,$F37,'Калькуляция (МИ)'!$G$25:$G$459,$G37))))</f>
        <v>0</v>
      </c>
      <c r="AO37" s="724">
        <f ca="1">IF(AM37=0,0,(AN37-AM37)/AM37*100)</f>
        <v>0</v>
      </c>
      <c r="AP37" s="849">
        <f ca="1">IF(AND(method_reg="Метод индексации",god&lt;&gt;first_year),SUMIFS(INDEX('Калькуляция (МИ корр)'!$AJ$25:$BC$459,,MATCH(AP$8,'Калькуляция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(МИ)'!$AJ$25:$BC$459,,MATCH(AP$8,'Калькуляция (МИ)'!$AJ$8:$BC$8,0)),'Калькуляция (МИ)'!$F$25:$F$459,$F37,'Калькуляция (МИ)'!$G$25:$G$459,$G37))))</f>
        <v>0</v>
      </c>
      <c r="AQ37" s="849">
        <f ca="1">IF(AND(method_reg="Метод индексации",god&lt;&gt;first_year),SUMIFS(INDEX('Калькуляция (МИ корр)'!$AJ$25:$BC$459,,MATCH(AQ$8,'Калькуляция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(МИ)'!$AJ$25:$BC$459,,MATCH(AQ$8,'Калькуляция (МИ)'!$AJ$8:$BC$8,0)),'Калькуляция (МИ)'!$F$25:$F$459,$F37,'Калькуляция (МИ)'!$G$25:$G$459,$G37))))</f>
        <v>0</v>
      </c>
      <c r="AR37" s="724">
        <f ca="1">IF(AP37=0,0,(AQ37-AP37)/AP37*100)</f>
        <v>0</v>
      </c>
      <c r="AS37" s="849">
        <f ca="1">IF(AND(method_reg="Метод индексации",god&lt;&gt;first_year),SUMIFS(INDEX('Калькуляция (МИ корр)'!$AJ$25:$BC$459,,MATCH(AS$8,'Калькуляция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(МИ)'!$AJ$25:$BC$459,,MATCH(AS$8,'Калькуляция (МИ)'!$AJ$8:$BC$8,0)),'Калькуляция (МИ)'!$F$25:$F$459,$F37,'Калькуляция (МИ)'!$G$25:$G$459,$G37))))</f>
        <v>0</v>
      </c>
      <c r="AT37" s="849">
        <f ca="1">IF(AND(method_reg="Метод индексации",god&lt;&gt;first_year),SUMIFS(INDEX('Калькуляция (МИ корр)'!$AJ$25:$BC$459,,MATCH(AT$8,'Калькуляция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(МИ)'!$AJ$25:$BC$459,,MATCH(AT$8,'Калькуляция (МИ)'!$AJ$8:$BC$8,0)),'Калькуляция (МИ)'!$F$25:$F$459,$F37,'Калькуляция (МИ)'!$G$25:$G$459,$G37))))</f>
        <v>0</v>
      </c>
      <c r="AU37" s="724">
        <f ca="1">IF(AS37=0,0,(AT37-AS37)/AS37*100)</f>
        <v>0</v>
      </c>
      <c r="AV37" s="849">
        <f ca="1">IF(AND(method_reg="Метод индексации",god&lt;&gt;first_year),SUMIFS(INDEX('Калькуляция (МИ корр)'!$AJ$25:$BC$459,,MATCH(AV$8,'Калькуляция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(МИ)'!$AJ$25:$BC$459,,MATCH(AV$8,'Калькуляция (МИ)'!$AJ$8:$BC$8,0)),'Калькуляция (МИ)'!$F$25:$F$459,$F37,'Калькуляция (МИ)'!$G$25:$G$459,$G37))))</f>
        <v>0</v>
      </c>
      <c r="AW37" s="849">
        <f ca="1">IF(AND(method_reg="Метод индексации",god&lt;&gt;first_year),SUMIFS(INDEX('Калькуляция (МИ корр)'!$AJ$25:$BC$459,,MATCH(AW$8,'Калькуляция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(МИ)'!$AJ$25:$BC$459,,MATCH(AW$8,'Калькуляция (МИ)'!$AJ$8:$BC$8,0)),'Калькуляция (МИ)'!$F$25:$F$459,$F37,'Калькуляция (МИ)'!$G$25:$G$459,$G37))))</f>
        <v>0</v>
      </c>
      <c r="AX37" s="724">
        <f ca="1">IF(AV37=0,0,(AW37-AV37)/AV37*100)</f>
        <v>0</v>
      </c>
      <c r="AY37" s="849">
        <f ca="1">IF(AND(method_reg="Метод индексации",god&lt;&gt;first_year),SUMIFS(INDEX('Калькуляция (МИ корр)'!$AJ$25:$BC$459,,MATCH(AY$8,'Калькуляция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(МИ)'!$AJ$25:$BC$459,,MATCH(AY$8,'Калькуляция (МИ)'!$AJ$8:$BC$8,0)),'Калькуляция (МИ)'!$F$25:$F$459,$F37,'Калькуляция (МИ)'!$G$25:$G$459,$G37))))</f>
        <v>0</v>
      </c>
      <c r="AZ37" s="849">
        <f ca="1">IF(AND(method_reg="Метод индексации",god&lt;&gt;first_year),SUMIFS(INDEX('Калькуляция (МИ корр)'!$AJ$25:$BC$459,,MATCH(AZ$8,'Калькуляция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(МИ)'!$AJ$25:$BC$459,,MATCH(AZ$8,'Калькуляция (МИ)'!$AJ$8:$BC$8,0)),'Калькуляция (МИ)'!$F$25:$F$459,$F37,'Калькуляция (МИ)'!$G$25:$G$459,$G37))))</f>
        <v>0</v>
      </c>
      <c r="BA37" s="724">
        <f ca="1">IF(AY37=0,0,(AZ37-AY37)/AY37*100)</f>
        <v>0</v>
      </c>
      <c r="BB37" s="849">
        <f ca="1">IF(AND(method_reg="Метод индексации",god&lt;&gt;first_year),SUMIFS(INDEX('Калькуляция (МИ корр)'!$AJ$25:$BC$459,,MATCH(BB$8,'Калькуляция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(МИ)'!$AJ$25:$BC$459,,MATCH(BB$8,'Калькуляция (МИ)'!$AJ$8:$BC$8,0)),'Калькуляция (МИ)'!$F$25:$F$459,$F37,'Калькуляция (МИ)'!$G$25:$G$459,$G37))))</f>
        <v>0</v>
      </c>
      <c r="BC37" s="849">
        <f ca="1">IF(AND(method_reg="Метод индексации",god&lt;&gt;first_year),SUMIFS(INDEX('Калькуляция (МИ корр)'!$AJ$25:$BC$459,,MATCH(BC$8,'Калькуляция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(МИ)'!$AJ$25:$BC$459,,MATCH(BC$8,'Калькуляция (МИ)'!$AJ$8:$BC$8,0)),'Калькуляция (МИ)'!$F$25:$F$459,$F37,'Калькуляция (МИ)'!$G$25:$G$459,$G37))))</f>
        <v>0</v>
      </c>
      <c r="BD37" s="724">
        <f ca="1">IF(BB37=0,0,(BC37-BB37)/BB37*100)</f>
        <v>0</v>
      </c>
      <c r="BE37" s="849">
        <f ca="1">IF(AND(method_reg="Метод индексации",god&lt;&gt;first_year),SUMIFS(INDEX('Калькуляция (МИ корр)'!$AJ$25:$BC$459,,MATCH(BE$8,'Калькуляция (МИ корр)'!$AJ$8:$BC$8,0)),'Калькуляция (МИ корр)'!$F$25:$F$459,$F37,'Калькуляция (МИ корр)'!$G$25:$G$459,$G37),IF(method_reg="Метод экономически обоснованных расходов",SUMIFS('Калькуляция (МЭОР)'!$AJ$25:$AJ$282,'Калькуляция (МЭОР)'!$F$25:$F$282,$F37,'Калькуляция (МЭОР)'!$G$25:$G$282,$G37),IF(method_reg="Метод сравнения аналогов",SUMIFS('Калькуляция (МСА)'!$AE$25:$AE$84,'Калькуляция (МСА)'!$F$25:$F$84,$F37,'Калькуляция (МСА)'!$G$25:$G$84,$G37),SUMIFS(INDEX('Калькуляция (МИ)'!$AJ$25:$BC$459,,MATCH(BE$8,'Калькуляция (МИ)'!$AJ$8:$BC$8,0)),'Калькуляция (МИ)'!$F$25:$F$459,$F37,'Калькуляция (МИ)'!$G$25:$G$459,$G37))))</f>
        <v>0</v>
      </c>
      <c r="BF37" s="849">
        <f ca="1">IF(AND(method_reg="Метод индексации",god&lt;&gt;first_year),SUMIFS(INDEX('Калькуляция (МИ корр)'!$AJ$25:$BC$459,,MATCH(BF$8,'Калькуляция (МИ корр)'!$AJ$8:$BC$8,0)),'Калькуляция (МИ корр)'!$F$25:$F$459,$F37,'Калькуляция (МИ корр)'!$G$25:$G$459,$G37),IF(method_reg="Метод экономически обоснованных расходов",SUMIFS('Калькуляция (МЭОР)'!$AK$25:$AK$282,'Калькуляция (МЭОР)'!$F$25:$F$282,$F37,'Калькуляция (МЭОР)'!$G$25:$G$282,$G37),IF(method_reg="Метод сравнения аналогов",SUMIFS('Калькуляция (МСА)'!$AF$25:$AF$84,'Калькуляция (МСА)'!$F$25:$F$84,$F37,'Калькуляция (МСА)'!$G$25:$G$84,$G37),SUMIFS(INDEX('Калькуляция (МИ)'!$AJ$25:$BC$459,,MATCH(BF$8,'Калькуляция (МИ)'!$AJ$8:$BC$8,0)),'Калькуляция (МИ)'!$F$25:$F$459,$F37,'Калькуляция (МИ)'!$G$25:$G$459,$G37))))</f>
        <v>0</v>
      </c>
      <c r="BG37" s="724">
        <f ca="1">IF(BE37=0,0,(BF37-BE37)/BE37*100)</f>
        <v>0</v>
      </c>
      <c r="BH37" s="849"/>
      <c r="BI37" s="849"/>
      <c r="BJ37" s="724">
        <f>IF(BH37=0,0,(BI37-BH37)/BH37*100)</f>
        <v>0</v>
      </c>
      <c r="BK37" s="849"/>
      <c r="BL37" s="849"/>
      <c r="BM37" s="724">
        <f>IF(BK37=0,0,(BL37-BK37)/BK37*100)</f>
        <v>0</v>
      </c>
      <c r="BN37" s="849"/>
      <c r="BO37" s="849"/>
      <c r="BP37" s="724">
        <f>IF(BN37=0,0,(BO37-BN37)/BN37*100)</f>
        <v>0</v>
      </c>
      <c r="BQ37" s="849"/>
      <c r="BR37" s="849"/>
      <c r="BS37" s="724">
        <f>IF(BQ37=0,0,(BR37-BQ37)/BQ37*100)</f>
        <v>0</v>
      </c>
      <c r="BT37" s="849"/>
      <c r="BU37" s="849"/>
      <c r="BV37" s="724">
        <f>IF(BT37=0,0,(BU37-BT37)/BT37*100)</f>
        <v>0</v>
      </c>
      <c r="BW37" s="849"/>
      <c r="BX37" s="849"/>
      <c r="BY37" s="724">
        <f>IF(BW37=0,0,(BX37-BW37)/BW37*100)</f>
        <v>0</v>
      </c>
      <c r="BZ37" s="849"/>
      <c r="CA37" s="849"/>
      <c r="CB37" s="724">
        <f>IF(BZ37=0,0,(CA37-BZ37)/BZ37*100)</f>
        <v>0</v>
      </c>
      <c r="CC37" s="849"/>
      <c r="CD37" s="849"/>
      <c r="CE37" s="724">
        <f>IF(CC37=0,0,(CD37-CC37)/CC37*100)</f>
        <v>0</v>
      </c>
      <c r="CF37" s="849"/>
      <c r="CG37" s="849"/>
      <c r="CH37" s="724">
        <f>IF(CF37=0,0,(CG37-CF37)/CF37*100)</f>
        <v>0</v>
      </c>
      <c r="CI37" s="849"/>
      <c r="CJ37" s="849"/>
      <c r="CK37" s="724">
        <f>IF(CI37=0,0,(CJ37-CI37)/CI37*100)</f>
        <v>0</v>
      </c>
      <c r="CL37" s="849"/>
      <c r="CM37" s="849"/>
      <c r="CN37" s="724">
        <f>IF(CL37=0,0,(CM37-CL37)/CL37*100)</f>
        <v>0</v>
      </c>
      <c r="CO37" s="849"/>
      <c r="CP37" s="849"/>
      <c r="CQ37" s="724">
        <f>IF(CO37=0,0,(CP37-CO37)/CO37*100)</f>
        <v>0</v>
      </c>
      <c r="CR37" s="849"/>
      <c r="CS37" s="849"/>
      <c r="CT37" s="724">
        <f>IF(CR37=0,0,(CS37-CR37)/CR37*100)</f>
        <v>0</v>
      </c>
      <c r="CU37" s="849"/>
      <c r="CV37" s="849"/>
      <c r="CW37" s="724">
        <f>IF(CU37=0,0,(CV37-CU37)/CU37*100)</f>
        <v>0</v>
      </c>
      <c r="CX37" s="849"/>
      <c r="CY37" s="849"/>
      <c r="CZ37" s="724">
        <f>IF(CX37=0,0,(CY37-CX37)/CX37*100)</f>
        <v>0</v>
      </c>
      <c r="DA37" s="849"/>
      <c r="DB37" s="849"/>
      <c r="DC37" s="724">
        <f>IF(DA37=0,0,(DB37-DA37)/DA37*100)</f>
        <v>0</v>
      </c>
      <c r="DD37" s="849"/>
      <c r="DE37" s="849"/>
      <c r="DF37" s="724">
        <f>IF(DD37=0,0,(DE37-DD37)/DD37*100)</f>
        <v>0</v>
      </c>
      <c r="DG37" s="849"/>
      <c r="DH37" s="849"/>
      <c r="DI37" s="724">
        <f>IF(DG37=0,0,(DH37-DG37)/DG37*100)</f>
        <v>0</v>
      </c>
      <c r="DJ37" s="849"/>
      <c r="DK37" s="849"/>
      <c r="DL37" s="724">
        <f>IF(DJ37=0,0,(DK37-DJ37)/DJ37*100)</f>
        <v>0</v>
      </c>
      <c r="DM37" s="849"/>
      <c r="DN37" s="849"/>
      <c r="DO37" s="724">
        <f>IF(DM37=0,0,(DN37-DM37)/DM37*100)</f>
        <v>0</v>
      </c>
      <c r="DP37" s="849"/>
      <c r="DQ37" s="849"/>
      <c r="DR37" s="724">
        <f>IF(DP37=0,0,(DQ37-DP37)/DP37*100)</f>
        <v>0</v>
      </c>
      <c r="DS37" s="849"/>
      <c r="DT37" s="849"/>
      <c r="DU37" s="724">
        <f>IF(DS37=0,0,(DT37-DS37)/DS37*100)</f>
        <v>0</v>
      </c>
      <c r="DV37" s="849"/>
      <c r="DW37" s="849"/>
      <c r="DX37" s="724">
        <f>IF(DV37=0,0,(DW37-DV37)/DV37*100)</f>
        <v>0</v>
      </c>
      <c r="DY37" s="849"/>
      <c r="DZ37" s="849"/>
      <c r="EA37" s="724">
        <f>IF(DY37=0,0,(DZ37-DY37)/DY37*100)</f>
        <v>0</v>
      </c>
      <c r="EB37" s="849"/>
      <c r="EC37" s="849"/>
      <c r="ED37" s="724">
        <f>IF(EB37=0,0,(EC37-EB37)/EB37*100)</f>
        <v>0</v>
      </c>
      <c r="EE37" s="849"/>
      <c r="EF37" s="849"/>
      <c r="EG37" s="724">
        <f>IF(EE37=0,0,(EF37-EE37)/EE37*100)</f>
        <v>0</v>
      </c>
      <c r="EH37" s="849"/>
      <c r="EI37" s="849"/>
      <c r="EJ37" s="724">
        <f>IF(EH37=0,0,(EI37-EH37)/EH37*100)</f>
        <v>0</v>
      </c>
      <c r="EK37" s="849"/>
      <c r="EL37" s="849"/>
      <c r="EM37" s="724">
        <f>IF(EK37=0,0,(EL37-EK37)/EK37*100)</f>
        <v>0</v>
      </c>
      <c r="EN37" s="849"/>
      <c r="EO37" s="849"/>
      <c r="EP37" s="724">
        <f>IF(EN37=0,0,(EO37-EN37)/EN37*100)</f>
        <v>0</v>
      </c>
      <c r="EQ37" s="849"/>
      <c r="ER37" s="849"/>
      <c r="ES37" s="724">
        <f>IF(EQ37=0,0,(ER37-EQ37)/EQ37*100)</f>
        <v>0</v>
      </c>
      <c r="ET37" s="849"/>
      <c r="EU37" s="849"/>
      <c r="EV37" s="724">
        <f>IF(ET37=0,0,(EU37-ET37)/ET37*100)</f>
        <v>0</v>
      </c>
      <c r="EW37" s="849"/>
      <c r="EX37" s="849"/>
      <c r="EY37" s="724">
        <f>IF(EW37=0,0,(EX37-EW37)/EW37*100)</f>
        <v>0</v>
      </c>
      <c r="EZ37" s="849"/>
      <c r="FA37" s="849"/>
      <c r="FB37" s="724">
        <f>IF(EZ37=0,0,(FA37-EZ37)/EZ37*100)</f>
        <v>0</v>
      </c>
      <c r="FC37" s="849"/>
      <c r="FD37" s="849"/>
      <c r="FE37" s="724">
        <f>IF(FC37=0,0,(FD37-FC37)/FC37*100)</f>
        <v>0</v>
      </c>
      <c r="FF37" s="849"/>
      <c r="FG37" s="849"/>
      <c r="FH37" s="724">
        <f>IF(FF37=0,0,(FG37-FF37)/FF37*100)</f>
        <v>0</v>
      </c>
      <c r="FI37" s="849"/>
      <c r="FJ37" s="849"/>
      <c r="FK37" s="724">
        <f>IF(FI37=0,0,(FJ37-FI37)/FI37*100)</f>
        <v>0</v>
      </c>
      <c r="FL37" s="849"/>
      <c r="FM37" s="849"/>
      <c r="FN37" s="724">
        <f>IF(FL37=0,0,(FM37-FL37)/FL37*100)</f>
        <v>0</v>
      </c>
      <c r="FO37" s="849"/>
      <c r="FP37" s="849"/>
      <c r="FQ37" s="724">
        <f>IF(FO37=0,0,(FP37-FO37)/FO37*100)</f>
        <v>0</v>
      </c>
      <c r="FR37" s="849"/>
      <c r="FS37" s="849"/>
      <c r="FT37" s="724">
        <f>IF(FR37=0,0,(FS37-FR37)/FR37*100)</f>
        <v>0</v>
      </c>
      <c r="FU37" s="849"/>
      <c r="FV37" s="849"/>
      <c r="FW37" s="724">
        <f>IF(FU37=0,0,(FV37-FU37)/FU37*100)</f>
        <v>0</v>
      </c>
      <c r="FX37" s="219"/>
      <c r="FZ37" s="700" t="s">
        <v>1635</v>
      </c>
    </row>
    <row r="38" spans="1:186" s="219" customFormat="1" ht="23.85" hidden="1" customHeight="1">
      <c r="A38" s="603"/>
      <c r="B38" s="622" t="b" cm="1">
        <f t="array" ref="B38">B37</f>
        <v>0</v>
      </c>
      <c r="C38" s="603"/>
      <c r="D38" s="603"/>
      <c r="E38" s="604">
        <v>24.5</v>
      </c>
      <c r="F38" s="3" cm="1">
        <f t="array" aca="1" ref="F38" ca="1">OFFSET(E38,-1,1)</f>
        <v>0</v>
      </c>
      <c r="G38" s="44" t="s">
        <v>1636</v>
      </c>
      <c r="H38" s="78" t="s">
        <v>461</v>
      </c>
      <c r="I38" s="78" t="s">
        <v>1637</v>
      </c>
      <c r="J38" s="603"/>
      <c r="K38" s="603"/>
      <c r="L38" s="78"/>
      <c r="M38" s="603"/>
      <c r="N38" s="603"/>
      <c r="O38" s="603"/>
      <c r="P38" s="603"/>
      <c r="Q38" s="603"/>
      <c r="R38" s="78"/>
      <c r="S38" s="78"/>
      <c r="T38" s="365" t="b" cm="1">
        <f t="array" ref="T38">T37</f>
        <v>0</v>
      </c>
      <c r="U38" s="603"/>
      <c r="V38" s="603"/>
      <c r="W38" s="603"/>
      <c r="X38" s="1094"/>
      <c r="Y38" s="603"/>
      <c r="Z38" s="1064"/>
      <c r="AA38" s="603"/>
      <c r="AB38" s="220" t="s">
        <v>1638</v>
      </c>
      <c r="AC38" s="221" t="s">
        <v>1624</v>
      </c>
      <c r="AD38" s="942">
        <f ca="1">IF(AND(method_reg="Метод индексации",god&lt;&gt;first_year),SUMIFS(INDEX('Калькуляция (МИ корр)'!$AJ$25:$BC$459,,MATCH(AD$8,'Калькуляция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(МИ)'!$AJ$25:$BC$459,,MATCH(AD$8,'Калькуляция (МИ)'!$AJ$8:$BC$8,0)),'Калькуляция (МИ)'!$F$25:$F$459,$F38,'Калькуляция (МИ)'!$G$25:$G$459,$G38))))</f>
        <v>0</v>
      </c>
      <c r="AE38" s="942">
        <f ca="1">IF(AND(method_reg="Метод индексации",god&lt;&gt;first_year),SUMIFS(INDEX('Калькуляция (МИ корр)'!$AJ$25:$BC$459,,MATCH(AE$8,'Калькуляция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(МИ)'!$AJ$25:$BC$459,,MATCH(AE$8,'Калькуляция (МИ)'!$AJ$8:$BC$8,0)),'Калькуляция (МИ)'!$F$25:$F$459,$F38,'Калькуляция (МИ)'!$G$25:$G$459,$G38))))</f>
        <v>0</v>
      </c>
      <c r="AF38" s="222">
        <f ca="1">IF(AD38=0,0,(AE38-AD38)/AD38*100)</f>
        <v>0</v>
      </c>
      <c r="AG38" s="942">
        <f ca="1">IF(AND(method_reg="Метод индексации",god&lt;&gt;first_year),SUMIFS(INDEX('Калькуляция (МИ корр)'!$AJ$25:$BC$459,,MATCH(AG$8,'Калькуляция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(МИ)'!$AJ$25:$BC$459,,MATCH(AG$8,'Калькуляция (МИ)'!$AJ$8:$BC$8,0)),'Калькуляция (МИ)'!$F$25:$F$459,$F38,'Калькуляция (МИ)'!$G$25:$G$459,$G38))))</f>
        <v>0</v>
      </c>
      <c r="AH38" s="942">
        <f ca="1">IF(AND(method_reg="Метод индексации",god&lt;&gt;first_year),SUMIFS(INDEX('Калькуляция (МИ корр)'!$AJ$25:$BC$459,,MATCH(AH$8,'Калькуляция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(МИ)'!$AJ$25:$BC$459,,MATCH(AH$8,'Калькуляция (МИ)'!$AJ$8:$BC$8,0)),'Калькуляция (МИ)'!$F$25:$F$459,$F38,'Калькуляция (МИ)'!$G$25:$G$459,$G38))))</f>
        <v>0</v>
      </c>
      <c r="AI38" s="222">
        <f ca="1">IF(AG38=0,0,(AH38-AG38)/AG38*100)</f>
        <v>0</v>
      </c>
      <c r="AJ38" s="942">
        <f ca="1">IF(AND(method_reg="Метод индексации",god&lt;&gt;first_year),SUMIFS(INDEX('Калькуляция (МИ корр)'!$AJ$25:$BC$459,,MATCH(AJ$8,'Калькуляция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(МИ)'!$AJ$25:$BC$459,,MATCH(AJ$8,'Калькуляция (МИ)'!$AJ$8:$BC$8,0)),'Калькуляция (МИ)'!$F$25:$F$459,$F38,'Калькуляция (МИ)'!$G$25:$G$459,$G38))))</f>
        <v>0</v>
      </c>
      <c r="AK38" s="942">
        <f ca="1">IF(AND(method_reg="Метод индексации",god&lt;&gt;first_year),SUMIFS(INDEX('Калькуляция (МИ корр)'!$AJ$25:$BC$459,,MATCH(AK$8,'Калькуляция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(МИ)'!$AJ$25:$BC$459,,MATCH(AK$8,'Калькуляция (МИ)'!$AJ$8:$BC$8,0)),'Калькуляция (МИ)'!$F$25:$F$459,$F38,'Калькуляция (МИ)'!$G$25:$G$459,$G38))))</f>
        <v>0</v>
      </c>
      <c r="AL38" s="222">
        <f ca="1">IF(AJ38=0,0,(AK38-AJ38)/AJ38*100)</f>
        <v>0</v>
      </c>
      <c r="AM38" s="942">
        <f ca="1">IF(AND(method_reg="Метод индексации",god&lt;&gt;first_year),SUMIFS(INDEX('Калькуляция (МИ корр)'!$AJ$25:$BC$459,,MATCH(AM$8,'Калькуляция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(МИ)'!$AJ$25:$BC$459,,MATCH(AM$8,'Калькуляция (МИ)'!$AJ$8:$BC$8,0)),'Калькуляция (МИ)'!$F$25:$F$459,$F38,'Калькуляция (МИ)'!$G$25:$G$459,$G38))))</f>
        <v>0</v>
      </c>
      <c r="AN38" s="942">
        <f ca="1">IF(AND(method_reg="Метод индексации",god&lt;&gt;first_year),SUMIFS(INDEX('Калькуляция (МИ корр)'!$AJ$25:$BC$459,,MATCH(AN$8,'Калькуляция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(МИ)'!$AJ$25:$BC$459,,MATCH(AN$8,'Калькуляция (МИ)'!$AJ$8:$BC$8,0)),'Калькуляция (МИ)'!$F$25:$F$459,$F38,'Калькуляция (МИ)'!$G$25:$G$459,$G38))))</f>
        <v>0</v>
      </c>
      <c r="AO38" s="222">
        <f ca="1">IF(AM38=0,0,(AN38-AM38)/AM38*100)</f>
        <v>0</v>
      </c>
      <c r="AP38" s="942">
        <f ca="1">IF(AND(method_reg="Метод индексации",god&lt;&gt;first_year),SUMIFS(INDEX('Калькуляция (МИ корр)'!$AJ$25:$BC$459,,MATCH(AP$8,'Калькуляция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(МИ)'!$AJ$25:$BC$459,,MATCH(AP$8,'Калькуляция (МИ)'!$AJ$8:$BC$8,0)),'Калькуляция (МИ)'!$F$25:$F$459,$F38,'Калькуляция (МИ)'!$G$25:$G$459,$G38))))</f>
        <v>0</v>
      </c>
      <c r="AQ38" s="942">
        <f ca="1">IF(AND(method_reg="Метод индексации",god&lt;&gt;first_year),SUMIFS(INDEX('Калькуляция (МИ корр)'!$AJ$25:$BC$459,,MATCH(AQ$8,'Калькуляция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(МИ)'!$AJ$25:$BC$459,,MATCH(AQ$8,'Калькуляция (МИ)'!$AJ$8:$BC$8,0)),'Калькуляция (МИ)'!$F$25:$F$459,$F38,'Калькуляция (МИ)'!$G$25:$G$459,$G38))))</f>
        <v>0</v>
      </c>
      <c r="AR38" s="222">
        <f ca="1">IF(AP38=0,0,(AQ38-AP38)/AP38*100)</f>
        <v>0</v>
      </c>
      <c r="AS38" s="942">
        <f ca="1">IF(AND(method_reg="Метод индексации",god&lt;&gt;first_year),SUMIFS(INDEX('Калькуляция (МИ корр)'!$AJ$25:$BC$459,,MATCH(AS$8,'Калькуляция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(МИ)'!$AJ$25:$BC$459,,MATCH(AS$8,'Калькуляция (МИ)'!$AJ$8:$BC$8,0)),'Калькуляция (МИ)'!$F$25:$F$459,$F38,'Калькуляция (МИ)'!$G$25:$G$459,$G38))))</f>
        <v>0</v>
      </c>
      <c r="AT38" s="942">
        <f ca="1">IF(AND(method_reg="Метод индексации",god&lt;&gt;first_year),SUMIFS(INDEX('Калькуляция (МИ корр)'!$AJ$25:$BC$459,,MATCH(AT$8,'Калькуляция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(МИ)'!$AJ$25:$BC$459,,MATCH(AT$8,'Калькуляция (МИ)'!$AJ$8:$BC$8,0)),'Калькуляция (МИ)'!$F$25:$F$459,$F38,'Калькуляция (МИ)'!$G$25:$G$459,$G38))))</f>
        <v>0</v>
      </c>
      <c r="AU38" s="222">
        <f ca="1">IF(AS38=0,0,(AT38-AS38)/AS38*100)</f>
        <v>0</v>
      </c>
      <c r="AV38" s="942">
        <f ca="1">IF(AND(method_reg="Метод индексации",god&lt;&gt;first_year),SUMIFS(INDEX('Калькуляция (МИ корр)'!$AJ$25:$BC$459,,MATCH(AV$8,'Калькуляция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(МИ)'!$AJ$25:$BC$459,,MATCH(AV$8,'Калькуляция (МИ)'!$AJ$8:$BC$8,0)),'Калькуляция (МИ)'!$F$25:$F$459,$F38,'Калькуляция (МИ)'!$G$25:$G$459,$G38))))</f>
        <v>0</v>
      </c>
      <c r="AW38" s="942">
        <f ca="1">IF(AND(method_reg="Метод индексации",god&lt;&gt;first_year),SUMIFS(INDEX('Калькуляция (МИ корр)'!$AJ$25:$BC$459,,MATCH(AW$8,'Калькуляция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(МИ)'!$AJ$25:$BC$459,,MATCH(AW$8,'Калькуляция (МИ)'!$AJ$8:$BC$8,0)),'Калькуляция (МИ)'!$F$25:$F$459,$F38,'Калькуляция (МИ)'!$G$25:$G$459,$G38))))</f>
        <v>0</v>
      </c>
      <c r="AX38" s="222">
        <f ca="1">IF(AV38=0,0,(AW38-AV38)/AV38*100)</f>
        <v>0</v>
      </c>
      <c r="AY38" s="942">
        <f ca="1">IF(AND(method_reg="Метод индексации",god&lt;&gt;first_year),SUMIFS(INDEX('Калькуляция (МИ корр)'!$AJ$25:$BC$459,,MATCH(AY$8,'Калькуляция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(МИ)'!$AJ$25:$BC$459,,MATCH(AY$8,'Калькуляция (МИ)'!$AJ$8:$BC$8,0)),'Калькуляция (МИ)'!$F$25:$F$459,$F38,'Калькуляция (МИ)'!$G$25:$G$459,$G38))))</f>
        <v>0</v>
      </c>
      <c r="AZ38" s="942">
        <f ca="1">IF(AND(method_reg="Метод индексации",god&lt;&gt;first_year),SUMIFS(INDEX('Калькуляция (МИ корр)'!$AJ$25:$BC$459,,MATCH(AZ$8,'Калькуляция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(МИ)'!$AJ$25:$BC$459,,MATCH(AZ$8,'Калькуляция (МИ)'!$AJ$8:$BC$8,0)),'Калькуляция (МИ)'!$F$25:$F$459,$F38,'Калькуляция (МИ)'!$G$25:$G$459,$G38))))</f>
        <v>0</v>
      </c>
      <c r="BA38" s="222">
        <f ca="1">IF(AY38=0,0,(AZ38-AY38)/AY38*100)</f>
        <v>0</v>
      </c>
      <c r="BB38" s="942">
        <f ca="1">IF(AND(method_reg="Метод индексации",god&lt;&gt;first_year),SUMIFS(INDEX('Калькуляция (МИ корр)'!$AJ$25:$BC$459,,MATCH(BB$8,'Калькуляция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(МИ)'!$AJ$25:$BC$459,,MATCH(BB$8,'Калькуляция (МИ)'!$AJ$8:$BC$8,0)),'Калькуляция (МИ)'!$F$25:$F$459,$F38,'Калькуляция (МИ)'!$G$25:$G$459,$G38))))</f>
        <v>0</v>
      </c>
      <c r="BC38" s="942">
        <f ca="1">IF(AND(method_reg="Метод индексации",god&lt;&gt;first_year),SUMIFS(INDEX('Калькуляция (МИ корр)'!$AJ$25:$BC$459,,MATCH(BC$8,'Калькуляция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(МИ)'!$AJ$25:$BC$459,,MATCH(BC$8,'Калькуляция (МИ)'!$AJ$8:$BC$8,0)),'Калькуляция (МИ)'!$F$25:$F$459,$F38,'Калькуляция (МИ)'!$G$25:$G$459,$G38))))</f>
        <v>0</v>
      </c>
      <c r="BD38" s="222">
        <f ca="1">IF(BB38=0,0,(BC38-BB38)/BB38*100)</f>
        <v>0</v>
      </c>
      <c r="BE38" s="942">
        <f ca="1">IF(AND(method_reg="Метод индексации",god&lt;&gt;first_year),SUMIFS(INDEX('Калькуляция (МИ корр)'!$AJ$25:$BC$459,,MATCH(BE$8,'Калькуляция (МИ корр)'!$AJ$8:$BC$8,0)),'Калькуляция (МИ корр)'!$F$25:$F$459,$F38,'Калькуляция (МИ корр)'!$G$25:$G$459,$G38),IF(method_reg="Метод экономически обоснованных расходов",SUMIFS('Калькуляция (МЭОР)'!$AJ$25:$AJ$282,'Калькуляция (МЭОР)'!$F$25:$F$282,$F38,'Калькуляция (МЭОР)'!$G$25:$G$282,$G38),IF(method_reg="Метод сравнения аналогов",SUMIFS('Калькуляция (МСА)'!$AE$25:$AE$84,'Калькуляция (МСА)'!$F$25:$F$84,$F38,'Калькуляция (МСА)'!$G$25:$G$84,$G38),SUMIFS(INDEX('Калькуляция (МИ)'!$AJ$25:$BC$459,,MATCH(BE$8,'Калькуляция (МИ)'!$AJ$8:$BC$8,0)),'Калькуляция (МИ)'!$F$25:$F$459,$F38,'Калькуляция (МИ)'!$G$25:$G$459,$G38))))</f>
        <v>0</v>
      </c>
      <c r="BF38" s="942">
        <f ca="1">IF(AND(method_reg="Метод индексации",god&lt;&gt;first_year),SUMIFS(INDEX('Калькуляция (МИ корр)'!$AJ$25:$BC$459,,MATCH(BF$8,'Калькуляция (МИ корр)'!$AJ$8:$BC$8,0)),'Калькуляция (МИ корр)'!$F$25:$F$459,$F38,'Калькуляция (МИ корр)'!$G$25:$G$459,$G38),IF(method_reg="Метод экономически обоснованных расходов",SUMIFS('Калькуляция (МЭОР)'!$AK$25:$AK$282,'Калькуляция (МЭОР)'!$F$25:$F$282,$F38,'Калькуляция (МЭОР)'!$G$25:$G$282,$G38),IF(method_reg="Метод сравнения аналогов",SUMIFS('Калькуляция (МСА)'!$AF$25:$AF$84,'Калькуляция (МСА)'!$F$25:$F$84,$F38,'Калькуляция (МСА)'!$G$25:$G$84,$G38),SUMIFS(INDEX('Калькуляция (МИ)'!$AJ$25:$BC$459,,MATCH(BF$8,'Калькуляция (МИ)'!$AJ$8:$BC$8,0)),'Калькуляция (МИ)'!$F$25:$F$459,$F38,'Калькуляция (МИ)'!$G$25:$G$459,$G38))))</f>
        <v>0</v>
      </c>
      <c r="BG38" s="222">
        <f ca="1">IF(BE38=0,0,(BF38-BE38)/BE38*100)</f>
        <v>0</v>
      </c>
      <c r="BH38" s="942"/>
      <c r="BI38" s="942"/>
      <c r="BJ38" s="222">
        <f>IF(BH38=0,0,(BI38-BH38)/BH38*100)</f>
        <v>0</v>
      </c>
      <c r="BK38" s="942"/>
      <c r="BL38" s="942"/>
      <c r="BM38" s="222">
        <f>IF(BK38=0,0,(BL38-BK38)/BK38*100)</f>
        <v>0</v>
      </c>
      <c r="BN38" s="942"/>
      <c r="BO38" s="942"/>
      <c r="BP38" s="222">
        <f>IF(BN38=0,0,(BO38-BN38)/BN38*100)</f>
        <v>0</v>
      </c>
      <c r="BQ38" s="942"/>
      <c r="BR38" s="942"/>
      <c r="BS38" s="222">
        <f>IF(BQ38=0,0,(BR38-BQ38)/BQ38*100)</f>
        <v>0</v>
      </c>
      <c r="BT38" s="942"/>
      <c r="BU38" s="942"/>
      <c r="BV38" s="222">
        <f>IF(BT38=0,0,(BU38-BT38)/BT38*100)</f>
        <v>0</v>
      </c>
      <c r="BW38" s="942"/>
      <c r="BX38" s="942"/>
      <c r="BY38" s="222">
        <f>IF(BW38=0,0,(BX38-BW38)/BW38*100)</f>
        <v>0</v>
      </c>
      <c r="BZ38" s="942"/>
      <c r="CA38" s="942"/>
      <c r="CB38" s="222">
        <f>IF(BZ38=0,0,(CA38-BZ38)/BZ38*100)</f>
        <v>0</v>
      </c>
      <c r="CC38" s="942"/>
      <c r="CD38" s="942"/>
      <c r="CE38" s="222">
        <f>IF(CC38=0,0,(CD38-CC38)/CC38*100)</f>
        <v>0</v>
      </c>
      <c r="CF38" s="942"/>
      <c r="CG38" s="942"/>
      <c r="CH38" s="222">
        <f>IF(CF38=0,0,(CG38-CF38)/CF38*100)</f>
        <v>0</v>
      </c>
      <c r="CI38" s="942"/>
      <c r="CJ38" s="942"/>
      <c r="CK38" s="222">
        <f>IF(CI38=0,0,(CJ38-CI38)/CI38*100)</f>
        <v>0</v>
      </c>
      <c r="CL38" s="942"/>
      <c r="CM38" s="942"/>
      <c r="CN38" s="222">
        <f>IF(CL38=0,0,(CM38-CL38)/CL38*100)</f>
        <v>0</v>
      </c>
      <c r="CO38" s="942"/>
      <c r="CP38" s="942"/>
      <c r="CQ38" s="222">
        <f>IF(CO38=0,0,(CP38-CO38)/CO38*100)</f>
        <v>0</v>
      </c>
      <c r="CR38" s="942"/>
      <c r="CS38" s="942"/>
      <c r="CT38" s="222">
        <f>IF(CR38=0,0,(CS38-CR38)/CR38*100)</f>
        <v>0</v>
      </c>
      <c r="CU38" s="942"/>
      <c r="CV38" s="942"/>
      <c r="CW38" s="222">
        <f>IF(CU38=0,0,(CV38-CU38)/CU38*100)</f>
        <v>0</v>
      </c>
      <c r="CX38" s="942"/>
      <c r="CY38" s="942"/>
      <c r="CZ38" s="222">
        <f>IF(CX38=0,0,(CY38-CX38)/CX38*100)</f>
        <v>0</v>
      </c>
      <c r="DA38" s="942"/>
      <c r="DB38" s="942"/>
      <c r="DC38" s="222">
        <f>IF(DA38=0,0,(DB38-DA38)/DA38*100)</f>
        <v>0</v>
      </c>
      <c r="DD38" s="942"/>
      <c r="DE38" s="942"/>
      <c r="DF38" s="222">
        <f>IF(DD38=0,0,(DE38-DD38)/DD38*100)</f>
        <v>0</v>
      </c>
      <c r="DG38" s="942"/>
      <c r="DH38" s="942"/>
      <c r="DI38" s="222">
        <f>IF(DG38=0,0,(DH38-DG38)/DG38*100)</f>
        <v>0</v>
      </c>
      <c r="DJ38" s="942"/>
      <c r="DK38" s="942"/>
      <c r="DL38" s="222">
        <f>IF(DJ38=0,0,(DK38-DJ38)/DJ38*100)</f>
        <v>0</v>
      </c>
      <c r="DM38" s="942"/>
      <c r="DN38" s="942"/>
      <c r="DO38" s="222">
        <f>IF(DM38=0,0,(DN38-DM38)/DM38*100)</f>
        <v>0</v>
      </c>
      <c r="DP38" s="942"/>
      <c r="DQ38" s="942"/>
      <c r="DR38" s="222">
        <f>IF(DP38=0,0,(DQ38-DP38)/DP38*100)</f>
        <v>0</v>
      </c>
      <c r="DS38" s="942"/>
      <c r="DT38" s="942"/>
      <c r="DU38" s="222">
        <f>IF(DS38=0,0,(DT38-DS38)/DS38*100)</f>
        <v>0</v>
      </c>
      <c r="DV38" s="942"/>
      <c r="DW38" s="942"/>
      <c r="DX38" s="222">
        <f>IF(DV38=0,0,(DW38-DV38)/DV38*100)</f>
        <v>0</v>
      </c>
      <c r="DY38" s="942"/>
      <c r="DZ38" s="942"/>
      <c r="EA38" s="222">
        <f>IF(DY38=0,0,(DZ38-DY38)/DY38*100)</f>
        <v>0</v>
      </c>
      <c r="EB38" s="942"/>
      <c r="EC38" s="942"/>
      <c r="ED38" s="222">
        <f>IF(EB38=0,0,(EC38-EB38)/EB38*100)</f>
        <v>0</v>
      </c>
      <c r="EE38" s="942"/>
      <c r="EF38" s="942"/>
      <c r="EG38" s="222">
        <f>IF(EE38=0,0,(EF38-EE38)/EE38*100)</f>
        <v>0</v>
      </c>
      <c r="EH38" s="942"/>
      <c r="EI38" s="942"/>
      <c r="EJ38" s="222">
        <f>IF(EH38=0,0,(EI38-EH38)/EH38*100)</f>
        <v>0</v>
      </c>
      <c r="EK38" s="942"/>
      <c r="EL38" s="942"/>
      <c r="EM38" s="222">
        <f>IF(EK38=0,0,(EL38-EK38)/EK38*100)</f>
        <v>0</v>
      </c>
      <c r="EN38" s="942"/>
      <c r="EO38" s="942"/>
      <c r="EP38" s="222">
        <f>IF(EN38=0,0,(EO38-EN38)/EN38*100)</f>
        <v>0</v>
      </c>
      <c r="EQ38" s="942"/>
      <c r="ER38" s="942"/>
      <c r="ES38" s="222">
        <f>IF(EQ38=0,0,(ER38-EQ38)/EQ38*100)</f>
        <v>0</v>
      </c>
      <c r="ET38" s="942"/>
      <c r="EU38" s="942"/>
      <c r="EV38" s="222">
        <f>IF(ET38=0,0,(EU38-ET38)/ET38*100)</f>
        <v>0</v>
      </c>
      <c r="EW38" s="942"/>
      <c r="EX38" s="942"/>
      <c r="EY38" s="222">
        <f>IF(EW38=0,0,(EX38-EW38)/EW38*100)</f>
        <v>0</v>
      </c>
      <c r="EZ38" s="942"/>
      <c r="FA38" s="942"/>
      <c r="FB38" s="222">
        <f>IF(EZ38=0,0,(FA38-EZ38)/EZ38*100)</f>
        <v>0</v>
      </c>
      <c r="FC38" s="942"/>
      <c r="FD38" s="942"/>
      <c r="FE38" s="222">
        <f>IF(FC38=0,0,(FD38-FC38)/FC38*100)</f>
        <v>0</v>
      </c>
      <c r="FF38" s="942"/>
      <c r="FG38" s="942"/>
      <c r="FH38" s="222">
        <f>IF(FF38=0,0,(FG38-FF38)/FF38*100)</f>
        <v>0</v>
      </c>
      <c r="FI38" s="942"/>
      <c r="FJ38" s="942"/>
      <c r="FK38" s="222">
        <f>IF(FI38=0,0,(FJ38-FI38)/FI38*100)</f>
        <v>0</v>
      </c>
      <c r="FL38" s="942"/>
      <c r="FM38" s="942"/>
      <c r="FN38" s="222">
        <f>IF(FL38=0,0,(FM38-FL38)/FL38*100)</f>
        <v>0</v>
      </c>
      <c r="FO38" s="942"/>
      <c r="FP38" s="942"/>
      <c r="FQ38" s="222">
        <f>IF(FO38=0,0,(FP38-FO38)/FO38*100)</f>
        <v>0</v>
      </c>
      <c r="FR38" s="942"/>
      <c r="FS38" s="942"/>
      <c r="FT38" s="222">
        <f>IF(FR38=0,0,(FS38-FR38)/FR38*100)</f>
        <v>0</v>
      </c>
      <c r="FU38" s="942"/>
      <c r="FV38" s="942"/>
      <c r="FW38" s="222">
        <f>IF(FU38=0,0,(FV38-FU38)/FU38*100)</f>
        <v>0</v>
      </c>
      <c r="FZ38" s="700" t="s">
        <v>1639</v>
      </c>
      <c r="GA38" s="700"/>
      <c r="GB38" s="700"/>
      <c r="GC38" s="701"/>
      <c r="GD38" s="701"/>
    </row>
    <row r="39" spans="1:186" s="219" customFormat="1" ht="23.85" hidden="1" customHeight="1">
      <c r="A39" s="603"/>
      <c r="B39" s="622" t="b" cm="1">
        <f t="array" ref="B39">B38</f>
        <v>0</v>
      </c>
      <c r="C39" s="603"/>
      <c r="D39" s="603"/>
      <c r="E39" s="604">
        <v>24.5</v>
      </c>
      <c r="F39" s="3" cm="1">
        <f t="array" aca="1" ref="F39" ca="1">OFFSET(E39,-1,1)</f>
        <v>0</v>
      </c>
      <c r="G39" s="44" t="s">
        <v>1640</v>
      </c>
      <c r="H39" s="78" t="s">
        <v>461</v>
      </c>
      <c r="I39" s="78" t="s">
        <v>1641</v>
      </c>
      <c r="J39" s="603"/>
      <c r="K39" s="603"/>
      <c r="L39" s="78"/>
      <c r="M39" s="603"/>
      <c r="N39" s="603"/>
      <c r="O39" s="603"/>
      <c r="P39" s="603"/>
      <c r="Q39" s="603"/>
      <c r="R39" s="78"/>
      <c r="S39" s="78"/>
      <c r="T39" s="365" t="b" cm="1">
        <f t="array" ref="T39">T38</f>
        <v>0</v>
      </c>
      <c r="U39" s="603"/>
      <c r="V39" s="603"/>
      <c r="W39" s="603"/>
      <c r="X39" s="1094"/>
      <c r="Y39" s="603"/>
      <c r="Z39" s="1064"/>
      <c r="AA39" s="603"/>
      <c r="AB39" s="722" t="s">
        <v>1642</v>
      </c>
      <c r="AC39" s="221" t="s">
        <v>1624</v>
      </c>
      <c r="AD39" s="942">
        <f ca="1">IF(AND(method_reg="Метод индексации",god&lt;&gt;first_year),SUMIFS(INDEX('Калькуляция (МИ корр)'!$AJ$25:$BC$459,,MATCH(AD$8,'Калькуляция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(МИ)'!$AJ$25:$BC$459,,MATCH(AD$8,'Калькуляция (МИ)'!$AJ$8:$BC$8,0)),'Калькуляция (МИ)'!$F$25:$F$459,$F39,'Калькуляция (МИ)'!$G$25:$G$459,$G39))))</f>
        <v>0</v>
      </c>
      <c r="AE39" s="942">
        <f ca="1">IF(AND(method_reg="Метод индексации",god&lt;&gt;first_year),SUMIFS(INDEX('Калькуляция (МИ корр)'!$AJ$25:$BC$459,,MATCH(AE$8,'Калькуляция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(МИ)'!$AJ$25:$BC$459,,MATCH(AE$8,'Калькуляция (МИ)'!$AJ$8:$BC$8,0)),'Калькуляция (МИ)'!$F$25:$F$459,$F39,'Калькуляция (МИ)'!$G$25:$G$459,$G39))))</f>
        <v>0</v>
      </c>
      <c r="AF39" s="222">
        <f ca="1">IF(AD39=0,0,(AE39-AD39)/AD39*100)</f>
        <v>0</v>
      </c>
      <c r="AG39" s="942">
        <f ca="1">IF(AND(method_reg="Метод индексации",god&lt;&gt;first_year),SUMIFS(INDEX('Калькуляция (МИ корр)'!$AJ$25:$BC$459,,MATCH(AG$8,'Калькуляция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(МИ)'!$AJ$25:$BC$459,,MATCH(AG$8,'Калькуляция (МИ)'!$AJ$8:$BC$8,0)),'Калькуляция (МИ)'!$F$25:$F$459,$F39,'Калькуляция (МИ)'!$G$25:$G$459,$G39))))</f>
        <v>0</v>
      </c>
      <c r="AH39" s="942">
        <f ca="1">IF(AND(method_reg="Метод индексации",god&lt;&gt;first_year),SUMIFS(INDEX('Калькуляция (МИ корр)'!$AJ$25:$BC$459,,MATCH(AH$8,'Калькуляция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(МИ)'!$AJ$25:$BC$459,,MATCH(AH$8,'Калькуляция (МИ)'!$AJ$8:$BC$8,0)),'Калькуляция (МИ)'!$F$25:$F$459,$F39,'Калькуляция (МИ)'!$G$25:$G$459,$G39))))</f>
        <v>0</v>
      </c>
      <c r="AI39" s="222">
        <f ca="1">IF(AG39=0,0,(AH39-AG39)/AG39*100)</f>
        <v>0</v>
      </c>
      <c r="AJ39" s="942">
        <f ca="1">IF(AND(method_reg="Метод индексации",god&lt;&gt;first_year),SUMIFS(INDEX('Калькуляция (МИ корр)'!$AJ$25:$BC$459,,MATCH(AJ$8,'Калькуляция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(МИ)'!$AJ$25:$BC$459,,MATCH(AJ$8,'Калькуляция (МИ)'!$AJ$8:$BC$8,0)),'Калькуляция (МИ)'!$F$25:$F$459,$F39,'Калькуляция (МИ)'!$G$25:$G$459,$G39))))</f>
        <v>0</v>
      </c>
      <c r="AK39" s="942">
        <f ca="1">IF(AND(method_reg="Метод индексации",god&lt;&gt;first_year),SUMIFS(INDEX('Калькуляция (МИ корр)'!$AJ$25:$BC$459,,MATCH(AK$8,'Калькуляция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(МИ)'!$AJ$25:$BC$459,,MATCH(AK$8,'Калькуляция (МИ)'!$AJ$8:$BC$8,0)),'Калькуляция (МИ)'!$F$25:$F$459,$F39,'Калькуляция (МИ)'!$G$25:$G$459,$G39))))</f>
        <v>0</v>
      </c>
      <c r="AL39" s="222">
        <f ca="1">IF(AJ39=0,0,(AK39-AJ39)/AJ39*100)</f>
        <v>0</v>
      </c>
      <c r="AM39" s="942">
        <f ca="1">IF(AND(method_reg="Метод индексации",god&lt;&gt;first_year),SUMIFS(INDEX('Калькуляция (МИ корр)'!$AJ$25:$BC$459,,MATCH(AM$8,'Калькуляция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(МИ)'!$AJ$25:$BC$459,,MATCH(AM$8,'Калькуляция (МИ)'!$AJ$8:$BC$8,0)),'Калькуляция (МИ)'!$F$25:$F$459,$F39,'Калькуляция (МИ)'!$G$25:$G$459,$G39))))</f>
        <v>0</v>
      </c>
      <c r="AN39" s="942">
        <f ca="1">IF(AND(method_reg="Метод индексации",god&lt;&gt;first_year),SUMIFS(INDEX('Калькуляция (МИ корр)'!$AJ$25:$BC$459,,MATCH(AN$8,'Калькуляция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(МИ)'!$AJ$25:$BC$459,,MATCH(AN$8,'Калькуляция (МИ)'!$AJ$8:$BC$8,0)),'Калькуляция (МИ)'!$F$25:$F$459,$F39,'Калькуляция (МИ)'!$G$25:$G$459,$G39))))</f>
        <v>0</v>
      </c>
      <c r="AO39" s="222">
        <f ca="1">IF(AM39=0,0,(AN39-AM39)/AM39*100)</f>
        <v>0</v>
      </c>
      <c r="AP39" s="942">
        <f ca="1">IF(AND(method_reg="Метод индексации",god&lt;&gt;first_year),SUMIFS(INDEX('Калькуляция (МИ корр)'!$AJ$25:$BC$459,,MATCH(AP$8,'Калькуляция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(МИ)'!$AJ$25:$BC$459,,MATCH(AP$8,'Калькуляция (МИ)'!$AJ$8:$BC$8,0)),'Калькуляция (МИ)'!$F$25:$F$459,$F39,'Калькуляция (МИ)'!$G$25:$G$459,$G39))))</f>
        <v>0</v>
      </c>
      <c r="AQ39" s="942">
        <f ca="1">IF(AND(method_reg="Метод индексации",god&lt;&gt;first_year),SUMIFS(INDEX('Калькуляция (МИ корр)'!$AJ$25:$BC$459,,MATCH(AQ$8,'Калькуляция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(МИ)'!$AJ$25:$BC$459,,MATCH(AQ$8,'Калькуляция (МИ)'!$AJ$8:$BC$8,0)),'Калькуляция (МИ)'!$F$25:$F$459,$F39,'Калькуляция (МИ)'!$G$25:$G$459,$G39))))</f>
        <v>0</v>
      </c>
      <c r="AR39" s="222">
        <f ca="1">IF(AP39=0,0,(AQ39-AP39)/AP39*100)</f>
        <v>0</v>
      </c>
      <c r="AS39" s="942">
        <f ca="1">IF(AND(method_reg="Метод индексации",god&lt;&gt;first_year),SUMIFS(INDEX('Калькуляция (МИ корр)'!$AJ$25:$BC$459,,MATCH(AS$8,'Калькуляция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(МИ)'!$AJ$25:$BC$459,,MATCH(AS$8,'Калькуляция (МИ)'!$AJ$8:$BC$8,0)),'Калькуляция (МИ)'!$F$25:$F$459,$F39,'Калькуляция (МИ)'!$G$25:$G$459,$G39))))</f>
        <v>0</v>
      </c>
      <c r="AT39" s="942">
        <f ca="1">IF(AND(method_reg="Метод индексации",god&lt;&gt;first_year),SUMIFS(INDEX('Калькуляция (МИ корр)'!$AJ$25:$BC$459,,MATCH(AT$8,'Калькуляция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(МИ)'!$AJ$25:$BC$459,,MATCH(AT$8,'Калькуляция (МИ)'!$AJ$8:$BC$8,0)),'Калькуляция (МИ)'!$F$25:$F$459,$F39,'Калькуляция (МИ)'!$G$25:$G$459,$G39))))</f>
        <v>0</v>
      </c>
      <c r="AU39" s="222">
        <f ca="1">IF(AS39=0,0,(AT39-AS39)/AS39*100)</f>
        <v>0</v>
      </c>
      <c r="AV39" s="942">
        <f ca="1">IF(AND(method_reg="Метод индексации",god&lt;&gt;first_year),SUMIFS(INDEX('Калькуляция (МИ корр)'!$AJ$25:$BC$459,,MATCH(AV$8,'Калькуляция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(МИ)'!$AJ$25:$BC$459,,MATCH(AV$8,'Калькуляция (МИ)'!$AJ$8:$BC$8,0)),'Калькуляция (МИ)'!$F$25:$F$459,$F39,'Калькуляция (МИ)'!$G$25:$G$459,$G39))))</f>
        <v>0</v>
      </c>
      <c r="AW39" s="942">
        <f ca="1">IF(AND(method_reg="Метод индексации",god&lt;&gt;first_year),SUMIFS(INDEX('Калькуляция (МИ корр)'!$AJ$25:$BC$459,,MATCH(AW$8,'Калькуляция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(МИ)'!$AJ$25:$BC$459,,MATCH(AW$8,'Калькуляция (МИ)'!$AJ$8:$BC$8,0)),'Калькуляция (МИ)'!$F$25:$F$459,$F39,'Калькуляция (МИ)'!$G$25:$G$459,$G39))))</f>
        <v>0</v>
      </c>
      <c r="AX39" s="222">
        <f ca="1">IF(AV39=0,0,(AW39-AV39)/AV39*100)</f>
        <v>0</v>
      </c>
      <c r="AY39" s="942">
        <f ca="1">IF(AND(method_reg="Метод индексации",god&lt;&gt;first_year),SUMIFS(INDEX('Калькуляция (МИ корр)'!$AJ$25:$BC$459,,MATCH(AY$8,'Калькуляция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(МИ)'!$AJ$25:$BC$459,,MATCH(AY$8,'Калькуляция (МИ)'!$AJ$8:$BC$8,0)),'Калькуляция (МИ)'!$F$25:$F$459,$F39,'Калькуляция (МИ)'!$G$25:$G$459,$G39))))</f>
        <v>0</v>
      </c>
      <c r="AZ39" s="942">
        <f ca="1">IF(AND(method_reg="Метод индексации",god&lt;&gt;first_year),SUMIFS(INDEX('Калькуляция (МИ корр)'!$AJ$25:$BC$459,,MATCH(AZ$8,'Калькуляция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(МИ)'!$AJ$25:$BC$459,,MATCH(AZ$8,'Калькуляция (МИ)'!$AJ$8:$BC$8,0)),'Калькуляция (МИ)'!$F$25:$F$459,$F39,'Калькуляция (МИ)'!$G$25:$G$459,$G39))))</f>
        <v>0</v>
      </c>
      <c r="BA39" s="222">
        <f ca="1">IF(AY39=0,0,(AZ39-AY39)/AY39*100)</f>
        <v>0</v>
      </c>
      <c r="BB39" s="942">
        <f ca="1">IF(AND(method_reg="Метод индексации",god&lt;&gt;first_year),SUMIFS(INDEX('Калькуляция (МИ корр)'!$AJ$25:$BC$459,,MATCH(BB$8,'Калькуляция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(МИ)'!$AJ$25:$BC$459,,MATCH(BB$8,'Калькуляция (МИ)'!$AJ$8:$BC$8,0)),'Калькуляция (МИ)'!$F$25:$F$459,$F39,'Калькуляция (МИ)'!$G$25:$G$459,$G39))))</f>
        <v>0</v>
      </c>
      <c r="BC39" s="942">
        <f ca="1">IF(AND(method_reg="Метод индексации",god&lt;&gt;first_year),SUMIFS(INDEX('Калькуляция (МИ корр)'!$AJ$25:$BC$459,,MATCH(BC$8,'Калькуляция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(МИ)'!$AJ$25:$BC$459,,MATCH(BC$8,'Калькуляция (МИ)'!$AJ$8:$BC$8,0)),'Калькуляция (МИ)'!$F$25:$F$459,$F39,'Калькуляция (МИ)'!$G$25:$G$459,$G39))))</f>
        <v>0</v>
      </c>
      <c r="BD39" s="222">
        <f ca="1">IF(BB39=0,0,(BC39-BB39)/BB39*100)</f>
        <v>0</v>
      </c>
      <c r="BE39" s="942">
        <f ca="1">IF(AND(method_reg="Метод индексации",god&lt;&gt;first_year),SUMIFS(INDEX('Калькуляция (МИ корр)'!$AJ$25:$BC$459,,MATCH(BE$8,'Калькуляция (МИ корр)'!$AJ$8:$BC$8,0)),'Калькуляция (МИ корр)'!$F$25:$F$459,$F39,'Калькуляция (МИ корр)'!$G$25:$G$459,$G39),IF(method_reg="Метод экономически обоснованных расходов",SUMIFS('Калькуляция (МЭОР)'!$AJ$25:$AJ$282,'Калькуляция (МЭОР)'!$F$25:$F$282,$F39,'Калькуляция (МЭОР)'!$G$25:$G$282,$G39),IF(method_reg="Метод сравнения аналогов",SUMIFS('Калькуляция (МСА)'!$AE$25:$AE$84,'Калькуляция (МСА)'!$F$25:$F$84,$F39,'Калькуляция (МСА)'!$G$25:$G$84,$G39),SUMIFS(INDEX('Калькуляция (МИ)'!$AJ$25:$BC$459,,MATCH(BE$8,'Калькуляция (МИ)'!$AJ$8:$BC$8,0)),'Калькуляция (МИ)'!$F$25:$F$459,$F39,'Калькуляция (МИ)'!$G$25:$G$459,$G39))))</f>
        <v>0</v>
      </c>
      <c r="BF39" s="942">
        <f ca="1">IF(AND(method_reg="Метод индексации",god&lt;&gt;first_year),SUMIFS(INDEX('Калькуляция (МИ корр)'!$AJ$25:$BC$459,,MATCH(BF$8,'Калькуляция (МИ корр)'!$AJ$8:$BC$8,0)),'Калькуляция (МИ корр)'!$F$25:$F$459,$F39,'Калькуляция (МИ корр)'!$G$25:$G$459,$G39),IF(method_reg="Метод экономически обоснованных расходов",SUMIFS('Калькуляция (МЭОР)'!$AK$25:$AK$282,'Калькуляция (МЭОР)'!$F$25:$F$282,$F39,'Калькуляция (МЭОР)'!$G$25:$G$282,$G39),IF(method_reg="Метод сравнения аналогов",SUMIFS('Калькуляция (МСА)'!$AF$25:$AF$84,'Калькуляция (МСА)'!$F$25:$F$84,$F39,'Калькуляция (МСА)'!$G$25:$G$84,$G39),SUMIFS(INDEX('Калькуляция (МИ)'!$AJ$25:$BC$459,,MATCH(BF$8,'Калькуляция (МИ)'!$AJ$8:$BC$8,0)),'Калькуляция (МИ)'!$F$25:$F$459,$F39,'Калькуляция (МИ)'!$G$25:$G$459,$G39))))</f>
        <v>0</v>
      </c>
      <c r="BG39" s="222">
        <f ca="1">IF(BE39=0,0,(BF39-BE39)/BE39*100)</f>
        <v>0</v>
      </c>
      <c r="BH39" s="942"/>
      <c r="BI39" s="942"/>
      <c r="BJ39" s="222">
        <f>IF(BH39=0,0,(BI39-BH39)/BH39*100)</f>
        <v>0</v>
      </c>
      <c r="BK39" s="942"/>
      <c r="BL39" s="942"/>
      <c r="BM39" s="222">
        <f>IF(BK39=0,0,(BL39-BK39)/BK39*100)</f>
        <v>0</v>
      </c>
      <c r="BN39" s="942"/>
      <c r="BO39" s="942"/>
      <c r="BP39" s="222">
        <f>IF(BN39=0,0,(BO39-BN39)/BN39*100)</f>
        <v>0</v>
      </c>
      <c r="BQ39" s="942"/>
      <c r="BR39" s="942"/>
      <c r="BS39" s="222">
        <f>IF(BQ39=0,0,(BR39-BQ39)/BQ39*100)</f>
        <v>0</v>
      </c>
      <c r="BT39" s="942"/>
      <c r="BU39" s="942"/>
      <c r="BV39" s="222">
        <f>IF(BT39=0,0,(BU39-BT39)/BT39*100)</f>
        <v>0</v>
      </c>
      <c r="BW39" s="942"/>
      <c r="BX39" s="942"/>
      <c r="BY39" s="222">
        <f>IF(BW39=0,0,(BX39-BW39)/BW39*100)</f>
        <v>0</v>
      </c>
      <c r="BZ39" s="942"/>
      <c r="CA39" s="942"/>
      <c r="CB39" s="222">
        <f>IF(BZ39=0,0,(CA39-BZ39)/BZ39*100)</f>
        <v>0</v>
      </c>
      <c r="CC39" s="942"/>
      <c r="CD39" s="942"/>
      <c r="CE39" s="222">
        <f>IF(CC39=0,0,(CD39-CC39)/CC39*100)</f>
        <v>0</v>
      </c>
      <c r="CF39" s="942"/>
      <c r="CG39" s="942"/>
      <c r="CH39" s="222">
        <f>IF(CF39=0,0,(CG39-CF39)/CF39*100)</f>
        <v>0</v>
      </c>
      <c r="CI39" s="942"/>
      <c r="CJ39" s="942"/>
      <c r="CK39" s="222">
        <f>IF(CI39=0,0,(CJ39-CI39)/CI39*100)</f>
        <v>0</v>
      </c>
      <c r="CL39" s="942"/>
      <c r="CM39" s="942"/>
      <c r="CN39" s="222">
        <f>IF(CL39=0,0,(CM39-CL39)/CL39*100)</f>
        <v>0</v>
      </c>
      <c r="CO39" s="942"/>
      <c r="CP39" s="942"/>
      <c r="CQ39" s="222">
        <f>IF(CO39=0,0,(CP39-CO39)/CO39*100)</f>
        <v>0</v>
      </c>
      <c r="CR39" s="942"/>
      <c r="CS39" s="942"/>
      <c r="CT39" s="222">
        <f>IF(CR39=0,0,(CS39-CR39)/CR39*100)</f>
        <v>0</v>
      </c>
      <c r="CU39" s="942"/>
      <c r="CV39" s="942"/>
      <c r="CW39" s="222">
        <f>IF(CU39=0,0,(CV39-CU39)/CU39*100)</f>
        <v>0</v>
      </c>
      <c r="CX39" s="942"/>
      <c r="CY39" s="942"/>
      <c r="CZ39" s="222">
        <f>IF(CX39=0,0,(CY39-CX39)/CX39*100)</f>
        <v>0</v>
      </c>
      <c r="DA39" s="942"/>
      <c r="DB39" s="942"/>
      <c r="DC39" s="222">
        <f>IF(DA39=0,0,(DB39-DA39)/DA39*100)</f>
        <v>0</v>
      </c>
      <c r="DD39" s="942"/>
      <c r="DE39" s="942"/>
      <c r="DF39" s="222">
        <f>IF(DD39=0,0,(DE39-DD39)/DD39*100)</f>
        <v>0</v>
      </c>
      <c r="DG39" s="942"/>
      <c r="DH39" s="942"/>
      <c r="DI39" s="222">
        <f>IF(DG39=0,0,(DH39-DG39)/DG39*100)</f>
        <v>0</v>
      </c>
      <c r="DJ39" s="942"/>
      <c r="DK39" s="942"/>
      <c r="DL39" s="222">
        <f>IF(DJ39=0,0,(DK39-DJ39)/DJ39*100)</f>
        <v>0</v>
      </c>
      <c r="DM39" s="942"/>
      <c r="DN39" s="942"/>
      <c r="DO39" s="222">
        <f>IF(DM39=0,0,(DN39-DM39)/DM39*100)</f>
        <v>0</v>
      </c>
      <c r="DP39" s="942"/>
      <c r="DQ39" s="942"/>
      <c r="DR39" s="222">
        <f>IF(DP39=0,0,(DQ39-DP39)/DP39*100)</f>
        <v>0</v>
      </c>
      <c r="DS39" s="942"/>
      <c r="DT39" s="942"/>
      <c r="DU39" s="222">
        <f>IF(DS39=0,0,(DT39-DS39)/DS39*100)</f>
        <v>0</v>
      </c>
      <c r="DV39" s="942"/>
      <c r="DW39" s="942"/>
      <c r="DX39" s="222">
        <f>IF(DV39=0,0,(DW39-DV39)/DV39*100)</f>
        <v>0</v>
      </c>
      <c r="DY39" s="942"/>
      <c r="DZ39" s="942"/>
      <c r="EA39" s="222">
        <f>IF(DY39=0,0,(DZ39-DY39)/DY39*100)</f>
        <v>0</v>
      </c>
      <c r="EB39" s="942"/>
      <c r="EC39" s="942"/>
      <c r="ED39" s="222">
        <f>IF(EB39=0,0,(EC39-EB39)/EB39*100)</f>
        <v>0</v>
      </c>
      <c r="EE39" s="942"/>
      <c r="EF39" s="942"/>
      <c r="EG39" s="222">
        <f>IF(EE39=0,0,(EF39-EE39)/EE39*100)</f>
        <v>0</v>
      </c>
      <c r="EH39" s="942"/>
      <c r="EI39" s="942"/>
      <c r="EJ39" s="222">
        <f>IF(EH39=0,0,(EI39-EH39)/EH39*100)</f>
        <v>0</v>
      </c>
      <c r="EK39" s="942"/>
      <c r="EL39" s="942"/>
      <c r="EM39" s="222">
        <f>IF(EK39=0,0,(EL39-EK39)/EK39*100)</f>
        <v>0</v>
      </c>
      <c r="EN39" s="942"/>
      <c r="EO39" s="942"/>
      <c r="EP39" s="222">
        <f>IF(EN39=0,0,(EO39-EN39)/EN39*100)</f>
        <v>0</v>
      </c>
      <c r="EQ39" s="942"/>
      <c r="ER39" s="942"/>
      <c r="ES39" s="222">
        <f>IF(EQ39=0,0,(ER39-EQ39)/EQ39*100)</f>
        <v>0</v>
      </c>
      <c r="ET39" s="942"/>
      <c r="EU39" s="942"/>
      <c r="EV39" s="222">
        <f>IF(ET39=0,0,(EU39-ET39)/ET39*100)</f>
        <v>0</v>
      </c>
      <c r="EW39" s="942"/>
      <c r="EX39" s="942"/>
      <c r="EY39" s="222">
        <f>IF(EW39=0,0,(EX39-EW39)/EW39*100)</f>
        <v>0</v>
      </c>
      <c r="EZ39" s="942"/>
      <c r="FA39" s="942"/>
      <c r="FB39" s="222">
        <f>IF(EZ39=0,0,(FA39-EZ39)/EZ39*100)</f>
        <v>0</v>
      </c>
      <c r="FC39" s="942"/>
      <c r="FD39" s="942"/>
      <c r="FE39" s="222">
        <f>IF(FC39=0,0,(FD39-FC39)/FC39*100)</f>
        <v>0</v>
      </c>
      <c r="FF39" s="942"/>
      <c r="FG39" s="942"/>
      <c r="FH39" s="222">
        <f>IF(FF39=0,0,(FG39-FF39)/FF39*100)</f>
        <v>0</v>
      </c>
      <c r="FI39" s="942"/>
      <c r="FJ39" s="942"/>
      <c r="FK39" s="222">
        <f>IF(FI39=0,0,(FJ39-FI39)/FI39*100)</f>
        <v>0</v>
      </c>
      <c r="FL39" s="942"/>
      <c r="FM39" s="942"/>
      <c r="FN39" s="222">
        <f>IF(FL39=0,0,(FM39-FL39)/FL39*100)</f>
        <v>0</v>
      </c>
      <c r="FO39" s="942"/>
      <c r="FP39" s="942"/>
      <c r="FQ39" s="222">
        <f>IF(FO39=0,0,(FP39-FO39)/FO39*100)</f>
        <v>0</v>
      </c>
      <c r="FR39" s="942"/>
      <c r="FS39" s="942"/>
      <c r="FT39" s="222">
        <f>IF(FR39=0,0,(FS39-FR39)/FR39*100)</f>
        <v>0</v>
      </c>
      <c r="FU39" s="942"/>
      <c r="FV39" s="942"/>
      <c r="FW39" s="222">
        <f>IF(FU39=0,0,(FV39-FU39)/FU39*100)</f>
        <v>0</v>
      </c>
      <c r="FZ39" s="700" t="s">
        <v>1643</v>
      </c>
      <c r="GA39" s="700"/>
      <c r="GB39" s="700"/>
      <c r="GC39" s="701"/>
      <c r="GD39" s="701"/>
    </row>
    <row r="40" spans="1:186" ht="14.65" hidden="1" customHeight="1">
      <c r="A40" s="78"/>
      <c r="B40" s="622" t="b" cm="1">
        <f t="array" ref="B40">B39</f>
        <v>0</v>
      </c>
      <c r="C40" s="78"/>
      <c r="D40" s="78"/>
      <c r="E40" s="473">
        <v>15</v>
      </c>
      <c r="F40" s="3" cm="1">
        <f t="array" aca="1" ref="F40" ca="1">OFFSET(E40,-1,1)</f>
        <v>0</v>
      </c>
      <c r="G40" s="44"/>
      <c r="H40" s="78" t="s">
        <v>465</v>
      </c>
      <c r="I40" s="78" t="s">
        <v>1644</v>
      </c>
      <c r="J40" s="78"/>
      <c r="K40" s="78"/>
      <c r="L40" s="78"/>
      <c r="M40" s="78"/>
      <c r="N40" s="78"/>
      <c r="O40" s="78"/>
      <c r="P40" s="78"/>
      <c r="Q40" s="603"/>
      <c r="R40" s="78"/>
      <c r="S40" s="78"/>
      <c r="T40" s="365" t="b" cm="1">
        <f t="array" ref="T40">T39</f>
        <v>0</v>
      </c>
      <c r="U40" s="78"/>
      <c r="V40" s="78"/>
      <c r="W40" s="78"/>
      <c r="X40" s="1094"/>
      <c r="Y40" s="78"/>
      <c r="Z40" s="1064"/>
      <c r="AA40" s="78"/>
      <c r="AB40" s="73" t="s">
        <v>1631</v>
      </c>
      <c r="AC40" s="31" t="s">
        <v>456</v>
      </c>
      <c r="AD40" s="629">
        <f ca="1">IF(AD38=0,0,AD39/AD38)*100</f>
        <v>0</v>
      </c>
      <c r="AE40" s="629">
        <f ca="1">IF(AE38=0,0,AE39/AE38)*100</f>
        <v>0</v>
      </c>
      <c r="AF40" s="723"/>
      <c r="AG40" s="629">
        <f ca="1">IF(AG38=0,0,AG39/AG38)*100</f>
        <v>0</v>
      </c>
      <c r="AH40" s="629">
        <f ca="1">IF(AH38=0,0,AH39/AH38)*100</f>
        <v>0</v>
      </c>
      <c r="AI40" s="723"/>
      <c r="AJ40" s="629">
        <f ca="1">IF(AJ38=0,0,AJ39/AJ38)*100</f>
        <v>0</v>
      </c>
      <c r="AK40" s="629">
        <f ca="1">IF(AK38=0,0,AK39/AK38)*100</f>
        <v>0</v>
      </c>
      <c r="AL40" s="723"/>
      <c r="AM40" s="629">
        <f ca="1">IF(AM38=0,0,AM39/AM38)*100</f>
        <v>0</v>
      </c>
      <c r="AN40" s="629">
        <f ca="1">IF(AN38=0,0,AN39/AN38)*100</f>
        <v>0</v>
      </c>
      <c r="AO40" s="723"/>
      <c r="AP40" s="629">
        <f ca="1">IF(AP38=0,0,AP39/AP38)*100</f>
        <v>0</v>
      </c>
      <c r="AQ40" s="629">
        <f ca="1">IF(AQ38=0,0,AQ39/AQ38)*100</f>
        <v>0</v>
      </c>
      <c r="AR40" s="723"/>
      <c r="AS40" s="629">
        <f ca="1">IF(AS38=0,0,AS39/AS38)*100</f>
        <v>0</v>
      </c>
      <c r="AT40" s="629">
        <f ca="1">IF(AT38=0,0,AT39/AT38)*100</f>
        <v>0</v>
      </c>
      <c r="AU40" s="723"/>
      <c r="AV40" s="629">
        <f ca="1">IF(AV38=0,0,AV39/AV38)*100</f>
        <v>0</v>
      </c>
      <c r="AW40" s="629">
        <f ca="1">IF(AW38=0,0,AW39/AW38)*100</f>
        <v>0</v>
      </c>
      <c r="AX40" s="723"/>
      <c r="AY40" s="629">
        <f ca="1">IF(AY38=0,0,AY39/AY38)*100</f>
        <v>0</v>
      </c>
      <c r="AZ40" s="629">
        <f ca="1">IF(AZ38=0,0,AZ39/AZ38)*100</f>
        <v>0</v>
      </c>
      <c r="BA40" s="723"/>
      <c r="BB40" s="629">
        <f ca="1">IF(BB38=0,0,BB39/BB38)*100</f>
        <v>0</v>
      </c>
      <c r="BC40" s="629">
        <f ca="1">IF(BC38=0,0,BC39/BC38)*100</f>
        <v>0</v>
      </c>
      <c r="BD40" s="723"/>
      <c r="BE40" s="629">
        <f ca="1">IF(BE38=0,0,BE39/BE38)*100</f>
        <v>0</v>
      </c>
      <c r="BF40" s="629">
        <f ca="1">IF(BF38=0,0,BF39/BF38)*100</f>
        <v>0</v>
      </c>
      <c r="BG40" s="723"/>
      <c r="BH40" s="629">
        <f>IF(BH38=0,0,BH39/BH38)*100</f>
        <v>0</v>
      </c>
      <c r="BI40" s="629">
        <f>IF(BI38=0,0,BI39/BI38)*100</f>
        <v>0</v>
      </c>
      <c r="BJ40" s="723"/>
      <c r="BK40" s="629">
        <f>IF(BK38=0,0,BK39/BK38)*100</f>
        <v>0</v>
      </c>
      <c r="BL40" s="629">
        <f>IF(BL38=0,0,BL39/BL38)*100</f>
        <v>0</v>
      </c>
      <c r="BM40" s="723"/>
      <c r="BN40" s="629">
        <f>IF(BN38=0,0,BN39/BN38)*100</f>
        <v>0</v>
      </c>
      <c r="BO40" s="629">
        <f>IF(BO38=0,0,BO39/BO38)*100</f>
        <v>0</v>
      </c>
      <c r="BP40" s="723"/>
      <c r="BQ40" s="629">
        <f>IF(BQ38=0,0,BQ39/BQ38)*100</f>
        <v>0</v>
      </c>
      <c r="BR40" s="629">
        <f>IF(BR38=0,0,BR39/BR38)*100</f>
        <v>0</v>
      </c>
      <c r="BS40" s="723"/>
      <c r="BT40" s="629">
        <f>IF(BT38=0,0,BT39/BT38)*100</f>
        <v>0</v>
      </c>
      <c r="BU40" s="629">
        <f>IF(BU38=0,0,BU39/BU38)*100</f>
        <v>0</v>
      </c>
      <c r="BV40" s="723"/>
      <c r="BW40" s="629">
        <f>IF(BW38=0,0,BW39/BW38)*100</f>
        <v>0</v>
      </c>
      <c r="BX40" s="629">
        <f>IF(BX38=0,0,BX39/BX38)*100</f>
        <v>0</v>
      </c>
      <c r="BY40" s="723"/>
      <c r="BZ40" s="629">
        <f>IF(BZ38=0,0,BZ39/BZ38)*100</f>
        <v>0</v>
      </c>
      <c r="CA40" s="629">
        <f>IF(CA38=0,0,CA39/CA38)*100</f>
        <v>0</v>
      </c>
      <c r="CB40" s="723"/>
      <c r="CC40" s="629">
        <f>IF(CC38=0,0,CC39/CC38)*100</f>
        <v>0</v>
      </c>
      <c r="CD40" s="629">
        <f>IF(CD38=0,0,CD39/CD38)*100</f>
        <v>0</v>
      </c>
      <c r="CE40" s="723"/>
      <c r="CF40" s="629">
        <f>IF(CF38=0,0,CF39/CF38)*100</f>
        <v>0</v>
      </c>
      <c r="CG40" s="629">
        <f>IF(CG38=0,0,CG39/CG38)*100</f>
        <v>0</v>
      </c>
      <c r="CH40" s="723"/>
      <c r="CI40" s="629">
        <f>IF(CI38=0,0,CI39/CI38)*100</f>
        <v>0</v>
      </c>
      <c r="CJ40" s="629">
        <f>IF(CJ38=0,0,CJ39/CJ38)*100</f>
        <v>0</v>
      </c>
      <c r="CK40" s="723"/>
      <c r="CL40" s="629">
        <f>IF(CL38=0,0,CL39/CL38)*100</f>
        <v>0</v>
      </c>
      <c r="CM40" s="629">
        <f>IF(CM38=0,0,CM39/CM38)*100</f>
        <v>0</v>
      </c>
      <c r="CN40" s="723"/>
      <c r="CO40" s="629">
        <f>IF(CO38=0,0,CO39/CO38)*100</f>
        <v>0</v>
      </c>
      <c r="CP40" s="629">
        <f>IF(CP38=0,0,CP39/CP38)*100</f>
        <v>0</v>
      </c>
      <c r="CQ40" s="723"/>
      <c r="CR40" s="629">
        <f>IF(CR38=0,0,CR39/CR38)*100</f>
        <v>0</v>
      </c>
      <c r="CS40" s="629">
        <f>IF(CS38=0,0,CS39/CS38)*100</f>
        <v>0</v>
      </c>
      <c r="CT40" s="723"/>
      <c r="CU40" s="629">
        <f>IF(CU38=0,0,CU39/CU38)*100</f>
        <v>0</v>
      </c>
      <c r="CV40" s="629">
        <f>IF(CV38=0,0,CV39/CV38)*100</f>
        <v>0</v>
      </c>
      <c r="CW40" s="723"/>
      <c r="CX40" s="629">
        <f>IF(CX38=0,0,CX39/CX38)*100</f>
        <v>0</v>
      </c>
      <c r="CY40" s="629">
        <f>IF(CY38=0,0,CY39/CY38)*100</f>
        <v>0</v>
      </c>
      <c r="CZ40" s="723"/>
      <c r="DA40" s="629">
        <f>IF(DA38=0,0,DA39/DA38)*100</f>
        <v>0</v>
      </c>
      <c r="DB40" s="629">
        <f>IF(DB38=0,0,DB39/DB38)*100</f>
        <v>0</v>
      </c>
      <c r="DC40" s="723"/>
      <c r="DD40" s="629">
        <f>IF(DD38=0,0,DD39/DD38)*100</f>
        <v>0</v>
      </c>
      <c r="DE40" s="629">
        <f>IF(DE38=0,0,DE39/DE38)*100</f>
        <v>0</v>
      </c>
      <c r="DF40" s="723"/>
      <c r="DG40" s="629">
        <f>IF(DG38=0,0,DG39/DG38)*100</f>
        <v>0</v>
      </c>
      <c r="DH40" s="629">
        <f>IF(DH38=0,0,DH39/DH38)*100</f>
        <v>0</v>
      </c>
      <c r="DI40" s="723"/>
      <c r="DJ40" s="629">
        <f>IF(DJ38=0,0,DJ39/DJ38)*100</f>
        <v>0</v>
      </c>
      <c r="DK40" s="629">
        <f>IF(DK38=0,0,DK39/DK38)*100</f>
        <v>0</v>
      </c>
      <c r="DL40" s="723"/>
      <c r="DM40" s="629">
        <f>IF(DM38=0,0,DM39/DM38)*100</f>
        <v>0</v>
      </c>
      <c r="DN40" s="629">
        <f>IF(DN38=0,0,DN39/DN38)*100</f>
        <v>0</v>
      </c>
      <c r="DO40" s="723"/>
      <c r="DP40" s="629">
        <f>IF(DP38=0,0,DP39/DP38)*100</f>
        <v>0</v>
      </c>
      <c r="DQ40" s="629">
        <f>IF(DQ38=0,0,DQ39/DQ38)*100</f>
        <v>0</v>
      </c>
      <c r="DR40" s="723"/>
      <c r="DS40" s="629">
        <f>IF(DS38=0,0,DS39/DS38)*100</f>
        <v>0</v>
      </c>
      <c r="DT40" s="629">
        <f>IF(DT38=0,0,DT39/DT38)*100</f>
        <v>0</v>
      </c>
      <c r="DU40" s="723"/>
      <c r="DV40" s="629">
        <f>IF(DV38=0,0,DV39/DV38)*100</f>
        <v>0</v>
      </c>
      <c r="DW40" s="629">
        <f>IF(DW38=0,0,DW39/DW38)*100</f>
        <v>0</v>
      </c>
      <c r="DX40" s="723"/>
      <c r="DY40" s="629">
        <f>IF(DY38=0,0,DY39/DY38)*100</f>
        <v>0</v>
      </c>
      <c r="DZ40" s="629">
        <f>IF(DZ38=0,0,DZ39/DZ38)*100</f>
        <v>0</v>
      </c>
      <c r="EA40" s="723"/>
      <c r="EB40" s="629">
        <f>IF(EB38=0,0,EB39/EB38)*100</f>
        <v>0</v>
      </c>
      <c r="EC40" s="629">
        <f>IF(EC38=0,0,EC39/EC38)*100</f>
        <v>0</v>
      </c>
      <c r="ED40" s="723"/>
      <c r="EE40" s="629">
        <f>IF(EE38=0,0,EE39/EE38)*100</f>
        <v>0</v>
      </c>
      <c r="EF40" s="629">
        <f>IF(EF38=0,0,EF39/EF38)*100</f>
        <v>0</v>
      </c>
      <c r="EG40" s="723"/>
      <c r="EH40" s="629">
        <f>IF(EH38=0,0,EH39/EH38)*100</f>
        <v>0</v>
      </c>
      <c r="EI40" s="629">
        <f>IF(EI38=0,0,EI39/EI38)*100</f>
        <v>0</v>
      </c>
      <c r="EJ40" s="723"/>
      <c r="EK40" s="629">
        <f>IF(EK38=0,0,EK39/EK38)*100</f>
        <v>0</v>
      </c>
      <c r="EL40" s="629">
        <f>IF(EL38=0,0,EL39/EL38)*100</f>
        <v>0</v>
      </c>
      <c r="EM40" s="723"/>
      <c r="EN40" s="629">
        <f>IF(EN38=0,0,EN39/EN38)*100</f>
        <v>0</v>
      </c>
      <c r="EO40" s="629">
        <f>IF(EO38=0,0,EO39/EO38)*100</f>
        <v>0</v>
      </c>
      <c r="EP40" s="723"/>
      <c r="EQ40" s="629">
        <f>IF(EQ38=0,0,EQ39/EQ38)*100</f>
        <v>0</v>
      </c>
      <c r="ER40" s="629">
        <f>IF(ER38=0,0,ER39/ER38)*100</f>
        <v>0</v>
      </c>
      <c r="ES40" s="723"/>
      <c r="ET40" s="629">
        <f>IF(ET38=0,0,ET39/ET38)*100</f>
        <v>0</v>
      </c>
      <c r="EU40" s="629">
        <f>IF(EU38=0,0,EU39/EU38)*100</f>
        <v>0</v>
      </c>
      <c r="EV40" s="723"/>
      <c r="EW40" s="629">
        <f>IF(EW38=0,0,EW39/EW38)*100</f>
        <v>0</v>
      </c>
      <c r="EX40" s="629">
        <f>IF(EX38=0,0,EX39/EX38)*100</f>
        <v>0</v>
      </c>
      <c r="EY40" s="723"/>
      <c r="EZ40" s="629">
        <f>IF(EZ38=0,0,EZ39/EZ38)*100</f>
        <v>0</v>
      </c>
      <c r="FA40" s="629">
        <f>IF(FA38=0,0,FA39/FA38)*100</f>
        <v>0</v>
      </c>
      <c r="FB40" s="723"/>
      <c r="FC40" s="629">
        <f>IF(FC38=0,0,FC39/FC38)*100</f>
        <v>0</v>
      </c>
      <c r="FD40" s="629">
        <f>IF(FD38=0,0,FD39/FD38)*100</f>
        <v>0</v>
      </c>
      <c r="FE40" s="723"/>
      <c r="FF40" s="629">
        <f>IF(FF38=0,0,FF39/FF38)*100</f>
        <v>0</v>
      </c>
      <c r="FG40" s="629">
        <f>IF(FG38=0,0,FG39/FG38)*100</f>
        <v>0</v>
      </c>
      <c r="FH40" s="723"/>
      <c r="FI40" s="629">
        <f>IF(FI38=0,0,FI39/FI38)*100</f>
        <v>0</v>
      </c>
      <c r="FJ40" s="629">
        <f>IF(FJ38=0,0,FJ39/FJ38)*100</f>
        <v>0</v>
      </c>
      <c r="FK40" s="723"/>
      <c r="FL40" s="629">
        <f>IF(FL38=0,0,FL39/FL38)*100</f>
        <v>0</v>
      </c>
      <c r="FM40" s="629">
        <f>IF(FM38=0,0,FM39/FM38)*100</f>
        <v>0</v>
      </c>
      <c r="FN40" s="723"/>
      <c r="FO40" s="629">
        <f>IF(FO38=0,0,FO39/FO38)*100</f>
        <v>0</v>
      </c>
      <c r="FP40" s="629">
        <f>IF(FP38=0,0,FP39/FP38)*100</f>
        <v>0</v>
      </c>
      <c r="FQ40" s="723"/>
      <c r="FR40" s="629">
        <f>IF(FR38=0,0,FR39/FR38)*100</f>
        <v>0</v>
      </c>
      <c r="FS40" s="629">
        <f>IF(FS38=0,0,FS39/FS38)*100</f>
        <v>0</v>
      </c>
      <c r="FT40" s="723"/>
      <c r="FU40" s="629">
        <f>IF(FU38=0,0,FU39/FU38)*100</f>
        <v>0</v>
      </c>
      <c r="FV40" s="629">
        <f>IF(FV38=0,0,FV39/FV38)*100</f>
        <v>0</v>
      </c>
      <c r="FW40" s="723"/>
      <c r="FX40" s="219"/>
      <c r="FZ40" s="700" t="s">
        <v>1645</v>
      </c>
    </row>
    <row r="41" spans="1:186" ht="14.65" hidden="1" customHeight="1">
      <c r="A41" s="78"/>
      <c r="B41" s="622" t="b" cm="1">
        <f t="array" ref="B41">B40</f>
        <v>0</v>
      </c>
      <c r="C41" s="78"/>
      <c r="D41" s="78"/>
      <c r="E41" s="473">
        <v>15</v>
      </c>
      <c r="F41" s="3" cm="1">
        <f t="array" aca="1" ref="F41" ca="1">OFFSET(E41,-1,1)</f>
        <v>0</v>
      </c>
      <c r="G41" s="44" t="s">
        <v>1646</v>
      </c>
      <c r="H41" s="78" t="s">
        <v>468</v>
      </c>
      <c r="I41" s="78" t="s">
        <v>1644</v>
      </c>
      <c r="J41" s="78"/>
      <c r="K41" s="78"/>
      <c r="L41" s="78"/>
      <c r="M41" s="78"/>
      <c r="N41" s="78"/>
      <c r="O41" s="78"/>
      <c r="P41" s="78"/>
      <c r="Q41" s="603"/>
      <c r="R41" s="78"/>
      <c r="S41" s="78"/>
      <c r="T41" s="365" t="b" cm="1">
        <f t="array" ref="T41">T40</f>
        <v>0</v>
      </c>
      <c r="U41" s="78"/>
      <c r="V41" s="78"/>
      <c r="W41" s="78"/>
      <c r="X41" s="1094"/>
      <c r="Y41" s="78"/>
      <c r="Z41" s="1064"/>
      <c r="AA41" s="78"/>
      <c r="AB41" s="73" t="s">
        <v>1647</v>
      </c>
      <c r="AC41" s="31" t="s">
        <v>534</v>
      </c>
      <c r="AD41" s="849">
        <f ca="1">IF(AND(method_reg="Метод индексации",god&lt;&gt;first_year),SUMIFS(INDEX('Калькуляция (МИ корр)'!$AJ$25:$BC$459,,MATCH(AD$8,'Калькуляция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(МИ)'!$AJ$25:$BC$459,,MATCH(AD$8,'Калькуляция (МИ)'!$AJ$8:$BC$8,0)),'Калькуляция (МИ)'!$F$25:$F$459,$F41,'Калькуляция (МИ)'!$G$25:$G$459,$G41))))</f>
        <v>0</v>
      </c>
      <c r="AE41" s="849">
        <f ca="1">IF(AND(method_reg="Метод индексации",god&lt;&gt;first_year),SUMIFS(INDEX('Калькуляция (МИ корр)'!$AJ$25:$BC$459,,MATCH(AE$8,'Калькуляция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(МИ)'!$AJ$25:$BC$459,,MATCH(AE$8,'Калькуляция (МИ)'!$AJ$8:$BC$8,0)),'Калькуляция (МИ)'!$F$25:$F$459,$F41,'Калькуляция (МИ)'!$G$25:$G$459,$G41))))</f>
        <v>0</v>
      </c>
      <c r="AF41" s="724">
        <f ca="1">IF(AD41=0,0,(AE41-AD41)/AD41*100)</f>
        <v>0</v>
      </c>
      <c r="AG41" s="849">
        <f ca="1">IF(AND(method_reg="Метод индексации",god&lt;&gt;first_year),SUMIFS(INDEX('Калькуляция (МИ корр)'!$AJ$25:$BC$459,,MATCH(AG$8,'Калькуляция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(МИ)'!$AJ$25:$BC$459,,MATCH(AG$8,'Калькуляция (МИ)'!$AJ$8:$BC$8,0)),'Калькуляция (МИ)'!$F$25:$F$459,$F41,'Калькуляция (МИ)'!$G$25:$G$459,$G41))))</f>
        <v>0</v>
      </c>
      <c r="AH41" s="849">
        <f ca="1">IF(AND(method_reg="Метод индексации",god&lt;&gt;first_year),SUMIFS(INDEX('Калькуляция (МИ корр)'!$AJ$25:$BC$459,,MATCH(AH$8,'Калькуляция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(МИ)'!$AJ$25:$BC$459,,MATCH(AH$8,'Калькуляция (МИ)'!$AJ$8:$BC$8,0)),'Калькуляция (МИ)'!$F$25:$F$459,$F41,'Калькуляция (МИ)'!$G$25:$G$459,$G41))))</f>
        <v>0</v>
      </c>
      <c r="AI41" s="724">
        <f ca="1">IF(AG41=0,0,(AH41-AG41)/AG41*100)</f>
        <v>0</v>
      </c>
      <c r="AJ41" s="849">
        <f ca="1">IF(AND(method_reg="Метод индексации",god&lt;&gt;first_year),SUMIFS(INDEX('Калькуляция (МИ корр)'!$AJ$25:$BC$459,,MATCH(AJ$8,'Калькуляция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(МИ)'!$AJ$25:$BC$459,,MATCH(AJ$8,'Калькуляция (МИ)'!$AJ$8:$BC$8,0)),'Калькуляция (МИ)'!$F$25:$F$459,$F41,'Калькуляция (МИ)'!$G$25:$G$459,$G41))))</f>
        <v>0</v>
      </c>
      <c r="AK41" s="849">
        <f ca="1">IF(AND(method_reg="Метод индексации",god&lt;&gt;first_year),SUMIFS(INDEX('Калькуляция (МИ корр)'!$AJ$25:$BC$459,,MATCH(AK$8,'Калькуляция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(МИ)'!$AJ$25:$BC$459,,MATCH(AK$8,'Калькуляция (МИ)'!$AJ$8:$BC$8,0)),'Калькуляция (МИ)'!$F$25:$F$459,$F41,'Калькуляция (МИ)'!$G$25:$G$459,$G41))))</f>
        <v>0</v>
      </c>
      <c r="AL41" s="724">
        <f ca="1">IF(AJ41=0,0,(AK41-AJ41)/AJ41*100)</f>
        <v>0</v>
      </c>
      <c r="AM41" s="849">
        <f ca="1">IF(AND(method_reg="Метод индексации",god&lt;&gt;first_year),SUMIFS(INDEX('Калькуляция (МИ корр)'!$AJ$25:$BC$459,,MATCH(AM$8,'Калькуляция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(МИ)'!$AJ$25:$BC$459,,MATCH(AM$8,'Калькуляция (МИ)'!$AJ$8:$BC$8,0)),'Калькуляция (МИ)'!$F$25:$F$459,$F41,'Калькуляция (МИ)'!$G$25:$G$459,$G41))))</f>
        <v>0</v>
      </c>
      <c r="AN41" s="849">
        <f ca="1">IF(AND(method_reg="Метод индексации",god&lt;&gt;first_year),SUMIFS(INDEX('Калькуляция (МИ корр)'!$AJ$25:$BC$459,,MATCH(AN$8,'Калькуляция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(МИ)'!$AJ$25:$BC$459,,MATCH(AN$8,'Калькуляция (МИ)'!$AJ$8:$BC$8,0)),'Калькуляция (МИ)'!$F$25:$F$459,$F41,'Калькуляция (МИ)'!$G$25:$G$459,$G41))))</f>
        <v>0</v>
      </c>
      <c r="AO41" s="724">
        <f ca="1">IF(AM41=0,0,(AN41-AM41)/AM41*100)</f>
        <v>0</v>
      </c>
      <c r="AP41" s="849">
        <f ca="1">IF(AND(method_reg="Метод индексации",god&lt;&gt;first_year),SUMIFS(INDEX('Калькуляция (МИ корр)'!$AJ$25:$BC$459,,MATCH(AP$8,'Калькуляция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(МИ)'!$AJ$25:$BC$459,,MATCH(AP$8,'Калькуляция (МИ)'!$AJ$8:$BC$8,0)),'Калькуляция (МИ)'!$F$25:$F$459,$F41,'Калькуляция (МИ)'!$G$25:$G$459,$G41))))</f>
        <v>0</v>
      </c>
      <c r="AQ41" s="849">
        <f ca="1">IF(AND(method_reg="Метод индексации",god&lt;&gt;first_year),SUMIFS(INDEX('Калькуляция (МИ корр)'!$AJ$25:$BC$459,,MATCH(AQ$8,'Калькуляция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(МИ)'!$AJ$25:$BC$459,,MATCH(AQ$8,'Калькуляция (МИ)'!$AJ$8:$BC$8,0)),'Калькуляция (МИ)'!$F$25:$F$459,$F41,'Калькуляция (МИ)'!$G$25:$G$459,$G41))))</f>
        <v>0</v>
      </c>
      <c r="AR41" s="724">
        <f ca="1">IF(AP41=0,0,(AQ41-AP41)/AP41*100)</f>
        <v>0</v>
      </c>
      <c r="AS41" s="849">
        <f ca="1">IF(AND(method_reg="Метод индексации",god&lt;&gt;first_year),SUMIFS(INDEX('Калькуляция (МИ корр)'!$AJ$25:$BC$459,,MATCH(AS$8,'Калькуляция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(МИ)'!$AJ$25:$BC$459,,MATCH(AS$8,'Калькуляция (МИ)'!$AJ$8:$BC$8,0)),'Калькуляция (МИ)'!$F$25:$F$459,$F41,'Калькуляция (МИ)'!$G$25:$G$459,$G41))))</f>
        <v>0</v>
      </c>
      <c r="AT41" s="849">
        <f ca="1">IF(AND(method_reg="Метод индексации",god&lt;&gt;first_year),SUMIFS(INDEX('Калькуляция (МИ корр)'!$AJ$25:$BC$459,,MATCH(AT$8,'Калькуляция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(МИ)'!$AJ$25:$BC$459,,MATCH(AT$8,'Калькуляция (МИ)'!$AJ$8:$BC$8,0)),'Калькуляция (МИ)'!$F$25:$F$459,$F41,'Калькуляция (МИ)'!$G$25:$G$459,$G41))))</f>
        <v>0</v>
      </c>
      <c r="AU41" s="724">
        <f ca="1">IF(AS41=0,0,(AT41-AS41)/AS41*100)</f>
        <v>0</v>
      </c>
      <c r="AV41" s="849">
        <f ca="1">IF(AND(method_reg="Метод индексации",god&lt;&gt;first_year),SUMIFS(INDEX('Калькуляция (МИ корр)'!$AJ$25:$BC$459,,MATCH(AV$8,'Калькуляция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(МИ)'!$AJ$25:$BC$459,,MATCH(AV$8,'Калькуляция (МИ)'!$AJ$8:$BC$8,0)),'Калькуляция (МИ)'!$F$25:$F$459,$F41,'Калькуляция (МИ)'!$G$25:$G$459,$G41))))</f>
        <v>0</v>
      </c>
      <c r="AW41" s="849">
        <f ca="1">IF(AND(method_reg="Метод индексации",god&lt;&gt;first_year),SUMIFS(INDEX('Калькуляция (МИ корр)'!$AJ$25:$BC$459,,MATCH(AW$8,'Калькуляция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(МИ)'!$AJ$25:$BC$459,,MATCH(AW$8,'Калькуляция (МИ)'!$AJ$8:$BC$8,0)),'Калькуляция (МИ)'!$F$25:$F$459,$F41,'Калькуляция (МИ)'!$G$25:$G$459,$G41))))</f>
        <v>0</v>
      </c>
      <c r="AX41" s="724">
        <f ca="1">IF(AV41=0,0,(AW41-AV41)/AV41*100)</f>
        <v>0</v>
      </c>
      <c r="AY41" s="849">
        <f ca="1">IF(AND(method_reg="Метод индексации",god&lt;&gt;first_year),SUMIFS(INDEX('Калькуляция (МИ корр)'!$AJ$25:$BC$459,,MATCH(AY$8,'Калькуляция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(МИ)'!$AJ$25:$BC$459,,MATCH(AY$8,'Калькуляция (МИ)'!$AJ$8:$BC$8,0)),'Калькуляция (МИ)'!$F$25:$F$459,$F41,'Калькуляция (МИ)'!$G$25:$G$459,$G41))))</f>
        <v>0</v>
      </c>
      <c r="AZ41" s="849">
        <f ca="1">IF(AND(method_reg="Метод индексации",god&lt;&gt;first_year),SUMIFS(INDEX('Калькуляция (МИ корр)'!$AJ$25:$BC$459,,MATCH(AZ$8,'Калькуляция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(МИ)'!$AJ$25:$BC$459,,MATCH(AZ$8,'Калькуляция (МИ)'!$AJ$8:$BC$8,0)),'Калькуляция (МИ)'!$F$25:$F$459,$F41,'Калькуляция (МИ)'!$G$25:$G$459,$G41))))</f>
        <v>0</v>
      </c>
      <c r="BA41" s="724">
        <f ca="1">IF(AY41=0,0,(AZ41-AY41)/AY41*100)</f>
        <v>0</v>
      </c>
      <c r="BB41" s="849">
        <f ca="1">IF(AND(method_reg="Метод индексации",god&lt;&gt;first_year),SUMIFS(INDEX('Калькуляция (МИ корр)'!$AJ$25:$BC$459,,MATCH(BB$8,'Калькуляция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(МИ)'!$AJ$25:$BC$459,,MATCH(BB$8,'Калькуляция (МИ)'!$AJ$8:$BC$8,0)),'Калькуляция (МИ)'!$F$25:$F$459,$F41,'Калькуляция (МИ)'!$G$25:$G$459,$G41))))</f>
        <v>0</v>
      </c>
      <c r="BC41" s="849">
        <f ca="1">IF(AND(method_reg="Метод индексации",god&lt;&gt;first_year),SUMIFS(INDEX('Калькуляция (МИ корр)'!$AJ$25:$BC$459,,MATCH(BC$8,'Калькуляция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(МИ)'!$AJ$25:$BC$459,,MATCH(BC$8,'Калькуляция (МИ)'!$AJ$8:$BC$8,0)),'Калькуляция (МИ)'!$F$25:$F$459,$F41,'Калькуляция (МИ)'!$G$25:$G$459,$G41))))</f>
        <v>0</v>
      </c>
      <c r="BD41" s="724">
        <f ca="1">IF(BB41=0,0,(BC41-BB41)/BB41*100)</f>
        <v>0</v>
      </c>
      <c r="BE41" s="849">
        <f ca="1">IF(AND(method_reg="Метод индексации",god&lt;&gt;first_year),SUMIFS(INDEX('Калькуляция (МИ корр)'!$AJ$25:$BC$459,,MATCH(BE$8,'Калькуляция (МИ корр)'!$AJ$8:$BC$8,0)),'Калькуляция (МИ корр)'!$F$25:$F$459,$F41,'Калькуляция (МИ корр)'!$G$25:$G$459,$G41),IF(method_reg="Метод экономически обоснованных расходов",SUMIFS('Калькуляция (МЭОР)'!$AJ$25:$AJ$282,'Калькуляция (МЭОР)'!$F$25:$F$282,$F41,'Калькуляция (МЭОР)'!$G$25:$G$282,$G41),IF(method_reg="Метод сравнения аналогов",SUMIFS('Калькуляция (МСА)'!$AE$25:$AE$84,'Калькуляция (МСА)'!$F$25:$F$84,$F41,'Калькуляция (МСА)'!$G$25:$G$84,$G41),SUMIFS(INDEX('Калькуляция (МИ)'!$AJ$25:$BC$459,,MATCH(BE$8,'Калькуляция (МИ)'!$AJ$8:$BC$8,0)),'Калькуляция (МИ)'!$F$25:$F$459,$F41,'Калькуляция (МИ)'!$G$25:$G$459,$G41))))</f>
        <v>0</v>
      </c>
      <c r="BF41" s="849">
        <f ca="1">IF(AND(method_reg="Метод индексации",god&lt;&gt;first_year),SUMIFS(INDEX('Калькуляция (МИ корр)'!$AJ$25:$BC$459,,MATCH(BF$8,'Калькуляция (МИ корр)'!$AJ$8:$BC$8,0)),'Калькуляция (МИ корр)'!$F$25:$F$459,$F41,'Калькуляция (МИ корр)'!$G$25:$G$459,$G41),IF(method_reg="Метод экономически обоснованных расходов",SUMIFS('Калькуляция (МЭОР)'!$AK$25:$AK$282,'Калькуляция (МЭОР)'!$F$25:$F$282,$F41,'Калькуляция (МЭОР)'!$G$25:$G$282,$G41),IF(method_reg="Метод сравнения аналогов",SUMIFS('Калькуляция (МСА)'!$AF$25:$AF$84,'Калькуляция (МСА)'!$F$25:$F$84,$F41,'Калькуляция (МСА)'!$G$25:$G$84,$G41),SUMIFS(INDEX('Калькуляция (МИ)'!$AJ$25:$BC$459,,MATCH(BF$8,'Калькуляция (МИ)'!$AJ$8:$BC$8,0)),'Калькуляция (МИ)'!$F$25:$F$459,$F41,'Калькуляция (МИ)'!$G$25:$G$459,$G41))))</f>
        <v>0</v>
      </c>
      <c r="BG41" s="724">
        <f ca="1">IF(BE41=0,0,(BF41-BE41)/BE41*100)</f>
        <v>0</v>
      </c>
      <c r="BH41" s="849"/>
      <c r="BI41" s="849"/>
      <c r="BJ41" s="724">
        <f>IF(BH41=0,0,(BI41-BH41)/BH41*100)</f>
        <v>0</v>
      </c>
      <c r="BK41" s="849"/>
      <c r="BL41" s="849"/>
      <c r="BM41" s="724">
        <f>IF(BK41=0,0,(BL41-BK41)/BK41*100)</f>
        <v>0</v>
      </c>
      <c r="BN41" s="849"/>
      <c r="BO41" s="849"/>
      <c r="BP41" s="724">
        <f>IF(BN41=0,0,(BO41-BN41)/BN41*100)</f>
        <v>0</v>
      </c>
      <c r="BQ41" s="849"/>
      <c r="BR41" s="849"/>
      <c r="BS41" s="724">
        <f>IF(BQ41=0,0,(BR41-BQ41)/BQ41*100)</f>
        <v>0</v>
      </c>
      <c r="BT41" s="849"/>
      <c r="BU41" s="849"/>
      <c r="BV41" s="724">
        <f>IF(BT41=0,0,(BU41-BT41)/BT41*100)</f>
        <v>0</v>
      </c>
      <c r="BW41" s="849"/>
      <c r="BX41" s="849"/>
      <c r="BY41" s="724">
        <f>IF(BW41=0,0,(BX41-BW41)/BW41*100)</f>
        <v>0</v>
      </c>
      <c r="BZ41" s="849"/>
      <c r="CA41" s="849"/>
      <c r="CB41" s="724">
        <f>IF(BZ41=0,0,(CA41-BZ41)/BZ41*100)</f>
        <v>0</v>
      </c>
      <c r="CC41" s="849"/>
      <c r="CD41" s="849"/>
      <c r="CE41" s="724">
        <f>IF(CC41=0,0,(CD41-CC41)/CC41*100)</f>
        <v>0</v>
      </c>
      <c r="CF41" s="849"/>
      <c r="CG41" s="849"/>
      <c r="CH41" s="724">
        <f>IF(CF41=0,0,(CG41-CF41)/CF41*100)</f>
        <v>0</v>
      </c>
      <c r="CI41" s="849"/>
      <c r="CJ41" s="849"/>
      <c r="CK41" s="724">
        <f>IF(CI41=0,0,(CJ41-CI41)/CI41*100)</f>
        <v>0</v>
      </c>
      <c r="CL41" s="849"/>
      <c r="CM41" s="849"/>
      <c r="CN41" s="724">
        <f>IF(CL41=0,0,(CM41-CL41)/CL41*100)</f>
        <v>0</v>
      </c>
      <c r="CO41" s="849"/>
      <c r="CP41" s="849"/>
      <c r="CQ41" s="724">
        <f>IF(CO41=0,0,(CP41-CO41)/CO41*100)</f>
        <v>0</v>
      </c>
      <c r="CR41" s="849"/>
      <c r="CS41" s="849"/>
      <c r="CT41" s="724">
        <f>IF(CR41=0,0,(CS41-CR41)/CR41*100)</f>
        <v>0</v>
      </c>
      <c r="CU41" s="849"/>
      <c r="CV41" s="849"/>
      <c r="CW41" s="724">
        <f>IF(CU41=0,0,(CV41-CU41)/CU41*100)</f>
        <v>0</v>
      </c>
      <c r="CX41" s="849"/>
      <c r="CY41" s="849"/>
      <c r="CZ41" s="724">
        <f>IF(CX41=0,0,(CY41-CX41)/CX41*100)</f>
        <v>0</v>
      </c>
      <c r="DA41" s="849"/>
      <c r="DB41" s="849"/>
      <c r="DC41" s="724">
        <f>IF(DA41=0,0,(DB41-DA41)/DA41*100)</f>
        <v>0</v>
      </c>
      <c r="DD41" s="849"/>
      <c r="DE41" s="849"/>
      <c r="DF41" s="724">
        <f>IF(DD41=0,0,(DE41-DD41)/DD41*100)</f>
        <v>0</v>
      </c>
      <c r="DG41" s="849"/>
      <c r="DH41" s="849"/>
      <c r="DI41" s="724">
        <f>IF(DG41=0,0,(DH41-DG41)/DG41*100)</f>
        <v>0</v>
      </c>
      <c r="DJ41" s="849"/>
      <c r="DK41" s="849"/>
      <c r="DL41" s="724">
        <f>IF(DJ41=0,0,(DK41-DJ41)/DJ41*100)</f>
        <v>0</v>
      </c>
      <c r="DM41" s="849"/>
      <c r="DN41" s="849"/>
      <c r="DO41" s="724">
        <f>IF(DM41=0,0,(DN41-DM41)/DM41*100)</f>
        <v>0</v>
      </c>
      <c r="DP41" s="849"/>
      <c r="DQ41" s="849"/>
      <c r="DR41" s="724">
        <f>IF(DP41=0,0,(DQ41-DP41)/DP41*100)</f>
        <v>0</v>
      </c>
      <c r="DS41" s="849"/>
      <c r="DT41" s="849"/>
      <c r="DU41" s="724">
        <f>IF(DS41=0,0,(DT41-DS41)/DS41*100)</f>
        <v>0</v>
      </c>
      <c r="DV41" s="849"/>
      <c r="DW41" s="849"/>
      <c r="DX41" s="724">
        <f>IF(DV41=0,0,(DW41-DV41)/DV41*100)</f>
        <v>0</v>
      </c>
      <c r="DY41" s="849"/>
      <c r="DZ41" s="849"/>
      <c r="EA41" s="724">
        <f>IF(DY41=0,0,(DZ41-DY41)/DY41*100)</f>
        <v>0</v>
      </c>
      <c r="EB41" s="849"/>
      <c r="EC41" s="849"/>
      <c r="ED41" s="724">
        <f>IF(EB41=0,0,(EC41-EB41)/EB41*100)</f>
        <v>0</v>
      </c>
      <c r="EE41" s="849"/>
      <c r="EF41" s="849"/>
      <c r="EG41" s="724">
        <f>IF(EE41=0,0,(EF41-EE41)/EE41*100)</f>
        <v>0</v>
      </c>
      <c r="EH41" s="849"/>
      <c r="EI41" s="849"/>
      <c r="EJ41" s="724">
        <f>IF(EH41=0,0,(EI41-EH41)/EH41*100)</f>
        <v>0</v>
      </c>
      <c r="EK41" s="849"/>
      <c r="EL41" s="849"/>
      <c r="EM41" s="724">
        <f>IF(EK41=0,0,(EL41-EK41)/EK41*100)</f>
        <v>0</v>
      </c>
      <c r="EN41" s="849"/>
      <c r="EO41" s="849"/>
      <c r="EP41" s="724">
        <f>IF(EN41=0,0,(EO41-EN41)/EN41*100)</f>
        <v>0</v>
      </c>
      <c r="EQ41" s="849"/>
      <c r="ER41" s="849"/>
      <c r="ES41" s="724">
        <f>IF(EQ41=0,0,(ER41-EQ41)/EQ41*100)</f>
        <v>0</v>
      </c>
      <c r="ET41" s="849"/>
      <c r="EU41" s="849"/>
      <c r="EV41" s="724">
        <f>IF(ET41=0,0,(EU41-ET41)/ET41*100)</f>
        <v>0</v>
      </c>
      <c r="EW41" s="849"/>
      <c r="EX41" s="849"/>
      <c r="EY41" s="724">
        <f>IF(EW41=0,0,(EX41-EW41)/EW41*100)</f>
        <v>0</v>
      </c>
      <c r="EZ41" s="849"/>
      <c r="FA41" s="849"/>
      <c r="FB41" s="724">
        <f>IF(EZ41=0,0,(FA41-EZ41)/EZ41*100)</f>
        <v>0</v>
      </c>
      <c r="FC41" s="849"/>
      <c r="FD41" s="849"/>
      <c r="FE41" s="724">
        <f>IF(FC41=0,0,(FD41-FC41)/FC41*100)</f>
        <v>0</v>
      </c>
      <c r="FF41" s="849"/>
      <c r="FG41" s="849"/>
      <c r="FH41" s="724">
        <f>IF(FF41=0,0,(FG41-FF41)/FF41*100)</f>
        <v>0</v>
      </c>
      <c r="FI41" s="849"/>
      <c r="FJ41" s="849"/>
      <c r="FK41" s="724">
        <f>IF(FI41=0,0,(FJ41-FI41)/FI41*100)</f>
        <v>0</v>
      </c>
      <c r="FL41" s="849"/>
      <c r="FM41" s="849"/>
      <c r="FN41" s="724">
        <f>IF(FL41=0,0,(FM41-FL41)/FL41*100)</f>
        <v>0</v>
      </c>
      <c r="FO41" s="849"/>
      <c r="FP41" s="849"/>
      <c r="FQ41" s="724">
        <f>IF(FO41=0,0,(FP41-FO41)/FO41*100)</f>
        <v>0</v>
      </c>
      <c r="FR41" s="849"/>
      <c r="FS41" s="849"/>
      <c r="FT41" s="724">
        <f>IF(FR41=0,0,(FS41-FR41)/FR41*100)</f>
        <v>0</v>
      </c>
      <c r="FU41" s="849"/>
      <c r="FV41" s="849"/>
      <c r="FW41" s="724">
        <f>IF(FU41=0,0,(FV41-FU41)/FU41*100)</f>
        <v>0</v>
      </c>
      <c r="FX41" s="219"/>
      <c r="FZ41" s="700" t="s">
        <v>1648</v>
      </c>
    </row>
    <row r="42" spans="1:186" ht="18.2" hidden="1" customHeight="1">
      <c r="A42" s="78"/>
      <c r="B42" s="622" t="b" cm="1">
        <f t="array" ref="B42">B41</f>
        <v>0</v>
      </c>
      <c r="C42" s="78"/>
      <c r="D42" s="78"/>
      <c r="E42" s="473">
        <v>18.75</v>
      </c>
      <c r="F42" s="3" cm="1">
        <f t="array" aca="1" ref="F42" ca="1">OFFSET(E42,-1,1)</f>
        <v>0</v>
      </c>
      <c r="G42" s="78"/>
      <c r="H42" s="78" t="s">
        <v>461</v>
      </c>
      <c r="I42" s="78" cm="1">
        <f t="array" ref="I42">AB42</f>
        <v>0</v>
      </c>
      <c r="J42" s="78"/>
      <c r="K42" s="78"/>
      <c r="L42" s="78"/>
      <c r="M42" s="78"/>
      <c r="N42" s="78"/>
      <c r="O42" s="78"/>
      <c r="P42" s="78"/>
      <c r="Q42" s="603"/>
      <c r="R42" s="78"/>
      <c r="S42" s="78"/>
      <c r="T42" s="365" t="b">
        <f ca="1">AND(F42&gt;0,Y42&gt;0)</f>
        <v>0</v>
      </c>
      <c r="U42" s="78"/>
      <c r="V42" s="78"/>
      <c r="W42" s="78" t="s">
        <v>173</v>
      </c>
      <c r="X42" s="1094"/>
      <c r="Y42" s="1094">
        <v>0</v>
      </c>
      <c r="Z42" s="1064"/>
      <c r="AA42" s="1169" t="s">
        <v>174</v>
      </c>
      <c r="AB42" s="944"/>
      <c r="AC42" s="31" t="s">
        <v>1624</v>
      </c>
      <c r="AD42" s="833"/>
      <c r="AE42" s="945"/>
      <c r="AF42" s="723">
        <f>IF(AD42=0,0,(AE42-AD42)/AD42*100)</f>
        <v>0</v>
      </c>
      <c r="AG42" s="833"/>
      <c r="AH42" s="945"/>
      <c r="AI42" s="723">
        <f>IF(AG42=0,0,(AH42-AG42)/AG42*100)</f>
        <v>0</v>
      </c>
      <c r="AJ42" s="833"/>
      <c r="AK42" s="945"/>
      <c r="AL42" s="723">
        <f>IF(AJ42=0,0,(AK42-AJ42)/AJ42*100)</f>
        <v>0</v>
      </c>
      <c r="AM42" s="833"/>
      <c r="AN42" s="945"/>
      <c r="AO42" s="723">
        <f>IF(AM42=0,0,(AN42-AM42)/AM42*100)</f>
        <v>0</v>
      </c>
      <c r="AP42" s="833"/>
      <c r="AQ42" s="945"/>
      <c r="AR42" s="723">
        <f>IF(AP42=0,0,(AQ42-AP42)/AP42*100)</f>
        <v>0</v>
      </c>
      <c r="AS42" s="833"/>
      <c r="AT42" s="945"/>
      <c r="AU42" s="723">
        <f>IF(AS42=0,0,(AT42-AS42)/AS42*100)</f>
        <v>0</v>
      </c>
      <c r="AV42" s="833"/>
      <c r="AW42" s="945"/>
      <c r="AX42" s="723">
        <f>IF(AV42=0,0,(AW42-AV42)/AV42*100)</f>
        <v>0</v>
      </c>
      <c r="AY42" s="833"/>
      <c r="AZ42" s="945"/>
      <c r="BA42" s="723">
        <f>IF(AY42=0,0,(AZ42-AY42)/AY42*100)</f>
        <v>0</v>
      </c>
      <c r="BB42" s="833"/>
      <c r="BC42" s="945"/>
      <c r="BD42" s="723">
        <f>IF(BB42=0,0,(BC42-BB42)/BB42*100)</f>
        <v>0</v>
      </c>
      <c r="BE42" s="833"/>
      <c r="BF42" s="945"/>
      <c r="BG42" s="723">
        <f>IF(BE42=0,0,(BF42-BE42)/BE42*100)</f>
        <v>0</v>
      </c>
      <c r="BH42" s="833"/>
      <c r="BI42" s="945"/>
      <c r="BJ42" s="723">
        <f>IF(BH42=0,0,(BI42-BH42)/BH42*100)</f>
        <v>0</v>
      </c>
      <c r="BK42" s="833"/>
      <c r="BL42" s="945"/>
      <c r="BM42" s="723">
        <f>IF(BK42=0,0,(BL42-BK42)/BK42*100)</f>
        <v>0</v>
      </c>
      <c r="BN42" s="833"/>
      <c r="BO42" s="945"/>
      <c r="BP42" s="723">
        <f>IF(BN42=0,0,(BO42-BN42)/BN42*100)</f>
        <v>0</v>
      </c>
      <c r="BQ42" s="833"/>
      <c r="BR42" s="945"/>
      <c r="BS42" s="723">
        <f>IF(BQ42=0,0,(BR42-BQ42)/BQ42*100)</f>
        <v>0</v>
      </c>
      <c r="BT42" s="833"/>
      <c r="BU42" s="945"/>
      <c r="BV42" s="723">
        <f>IF(BT42=0,0,(BU42-BT42)/BT42*100)</f>
        <v>0</v>
      </c>
      <c r="BW42" s="833"/>
      <c r="BX42" s="945"/>
      <c r="BY42" s="723">
        <f>IF(BW42=0,0,(BX42-BW42)/BW42*100)</f>
        <v>0</v>
      </c>
      <c r="BZ42" s="833"/>
      <c r="CA42" s="945"/>
      <c r="CB42" s="723">
        <f>IF(BZ42=0,0,(CA42-BZ42)/BZ42*100)</f>
        <v>0</v>
      </c>
      <c r="CC42" s="833"/>
      <c r="CD42" s="945"/>
      <c r="CE42" s="723">
        <f>IF(CC42=0,0,(CD42-CC42)/CC42*100)</f>
        <v>0</v>
      </c>
      <c r="CF42" s="833"/>
      <c r="CG42" s="945"/>
      <c r="CH42" s="723">
        <f>IF(CF42=0,0,(CG42-CF42)/CF42*100)</f>
        <v>0</v>
      </c>
      <c r="CI42" s="833"/>
      <c r="CJ42" s="945"/>
      <c r="CK42" s="723">
        <f>IF(CI42=0,0,(CJ42-CI42)/CI42*100)</f>
        <v>0</v>
      </c>
      <c r="CL42" s="833"/>
      <c r="CM42" s="945"/>
      <c r="CN42" s="723">
        <f>IF(CL42=0,0,(CM42-CL42)/CL42*100)</f>
        <v>0</v>
      </c>
      <c r="CO42" s="833"/>
      <c r="CP42" s="945"/>
      <c r="CQ42" s="723">
        <f>IF(CO42=0,0,(CP42-CO42)/CO42*100)</f>
        <v>0</v>
      </c>
      <c r="CR42" s="833"/>
      <c r="CS42" s="945"/>
      <c r="CT42" s="723">
        <f>IF(CR42=0,0,(CS42-CR42)/CR42*100)</f>
        <v>0</v>
      </c>
      <c r="CU42" s="833"/>
      <c r="CV42" s="945"/>
      <c r="CW42" s="723">
        <f>IF(CU42=0,0,(CV42-CU42)/CU42*100)</f>
        <v>0</v>
      </c>
      <c r="CX42" s="833"/>
      <c r="CY42" s="945"/>
      <c r="CZ42" s="723">
        <f>IF(CX42=0,0,(CY42-CX42)/CX42*100)</f>
        <v>0</v>
      </c>
      <c r="DA42" s="833"/>
      <c r="DB42" s="945"/>
      <c r="DC42" s="723">
        <f>IF(DA42=0,0,(DB42-DA42)/DA42*100)</f>
        <v>0</v>
      </c>
      <c r="DD42" s="833"/>
      <c r="DE42" s="945"/>
      <c r="DF42" s="723">
        <f>IF(DD42=0,0,(DE42-DD42)/DD42*100)</f>
        <v>0</v>
      </c>
      <c r="DG42" s="833"/>
      <c r="DH42" s="945"/>
      <c r="DI42" s="723">
        <f>IF(DG42=0,0,(DH42-DG42)/DG42*100)</f>
        <v>0</v>
      </c>
      <c r="DJ42" s="833"/>
      <c r="DK42" s="945"/>
      <c r="DL42" s="723">
        <f>IF(DJ42=0,0,(DK42-DJ42)/DJ42*100)</f>
        <v>0</v>
      </c>
      <c r="DM42" s="833"/>
      <c r="DN42" s="945"/>
      <c r="DO42" s="723">
        <f>IF(DM42=0,0,(DN42-DM42)/DM42*100)</f>
        <v>0</v>
      </c>
      <c r="DP42" s="833"/>
      <c r="DQ42" s="945"/>
      <c r="DR42" s="723">
        <f>IF(DP42=0,0,(DQ42-DP42)/DP42*100)</f>
        <v>0</v>
      </c>
      <c r="DS42" s="833"/>
      <c r="DT42" s="945"/>
      <c r="DU42" s="723">
        <f>IF(DS42=0,0,(DT42-DS42)/DS42*100)</f>
        <v>0</v>
      </c>
      <c r="DV42" s="833"/>
      <c r="DW42" s="945"/>
      <c r="DX42" s="723">
        <f>IF(DV42=0,0,(DW42-DV42)/DV42*100)</f>
        <v>0</v>
      </c>
      <c r="DY42" s="833"/>
      <c r="DZ42" s="945"/>
      <c r="EA42" s="723">
        <f>IF(DY42=0,0,(DZ42-DY42)/DY42*100)</f>
        <v>0</v>
      </c>
      <c r="EB42" s="833"/>
      <c r="EC42" s="945"/>
      <c r="ED42" s="723">
        <f>IF(EB42=0,0,(EC42-EB42)/EB42*100)</f>
        <v>0</v>
      </c>
      <c r="EE42" s="833"/>
      <c r="EF42" s="945"/>
      <c r="EG42" s="723">
        <f>IF(EE42=0,0,(EF42-EE42)/EE42*100)</f>
        <v>0</v>
      </c>
      <c r="EH42" s="833"/>
      <c r="EI42" s="945"/>
      <c r="EJ42" s="723">
        <f>IF(EH42=0,0,(EI42-EH42)/EH42*100)</f>
        <v>0</v>
      </c>
      <c r="EK42" s="833"/>
      <c r="EL42" s="945"/>
      <c r="EM42" s="723">
        <f>IF(EK42=0,0,(EL42-EK42)/EK42*100)</f>
        <v>0</v>
      </c>
      <c r="EN42" s="833"/>
      <c r="EO42" s="945"/>
      <c r="EP42" s="723">
        <f>IF(EN42=0,0,(EO42-EN42)/EN42*100)</f>
        <v>0</v>
      </c>
      <c r="EQ42" s="833"/>
      <c r="ER42" s="945"/>
      <c r="ES42" s="723">
        <f>IF(EQ42=0,0,(ER42-EQ42)/EQ42*100)</f>
        <v>0</v>
      </c>
      <c r="ET42" s="833"/>
      <c r="EU42" s="945"/>
      <c r="EV42" s="723">
        <f>IF(ET42=0,0,(EU42-ET42)/ET42*100)</f>
        <v>0</v>
      </c>
      <c r="EW42" s="833"/>
      <c r="EX42" s="945"/>
      <c r="EY42" s="723">
        <f>IF(EW42=0,0,(EX42-EW42)/EW42*100)</f>
        <v>0</v>
      </c>
      <c r="EZ42" s="833"/>
      <c r="FA42" s="945"/>
      <c r="FB42" s="723">
        <f>IF(EZ42=0,0,(FA42-EZ42)/EZ42*100)</f>
        <v>0</v>
      </c>
      <c r="FC42" s="833"/>
      <c r="FD42" s="945"/>
      <c r="FE42" s="723">
        <f>IF(FC42=0,0,(FD42-FC42)/FC42*100)</f>
        <v>0</v>
      </c>
      <c r="FF42" s="833"/>
      <c r="FG42" s="945"/>
      <c r="FH42" s="723">
        <f>IF(FF42=0,0,(FG42-FF42)/FF42*100)</f>
        <v>0</v>
      </c>
      <c r="FI42" s="833"/>
      <c r="FJ42" s="945"/>
      <c r="FK42" s="723">
        <f>IF(FI42=0,0,(FJ42-FI42)/FI42*100)</f>
        <v>0</v>
      </c>
      <c r="FL42" s="833"/>
      <c r="FM42" s="945"/>
      <c r="FN42" s="723">
        <f>IF(FL42=0,0,(FM42-FL42)/FL42*100)</f>
        <v>0</v>
      </c>
      <c r="FO42" s="833"/>
      <c r="FP42" s="945"/>
      <c r="FQ42" s="723">
        <f>IF(FO42=0,0,(FP42-FO42)/FO42*100)</f>
        <v>0</v>
      </c>
      <c r="FR42" s="833"/>
      <c r="FS42" s="945"/>
      <c r="FT42" s="723">
        <f>IF(FR42=0,0,(FS42-FR42)/FR42*100)</f>
        <v>0</v>
      </c>
      <c r="FU42" s="833"/>
      <c r="FV42" s="945"/>
      <c r="FW42" s="723">
        <f>IF(FU42=0,0,(FV42-FU42)/FU42*100)</f>
        <v>0</v>
      </c>
      <c r="FX42" s="219"/>
      <c r="FZ42" s="700" t="s">
        <v>1649</v>
      </c>
      <c r="GA42" s="680" t="s">
        <v>1650</v>
      </c>
      <c r="GB42" s="680" cm="1">
        <f t="array" ref="GB42">AB42</f>
        <v>0</v>
      </c>
      <c r="GD42" s="472" t="b">
        <v>1</v>
      </c>
    </row>
    <row r="43" spans="1:186" ht="18.600000000000001" hidden="1" customHeight="1">
      <c r="A43" s="78"/>
      <c r="B43" s="622" t="b" cm="1">
        <f t="array" ref="B43">B42</f>
        <v>0</v>
      </c>
      <c r="C43" s="78"/>
      <c r="D43" s="78"/>
      <c r="E43" s="473">
        <v>19</v>
      </c>
      <c r="F43" s="3" cm="1">
        <f t="array" aca="1" ref="F43" ca="1">OFFSET(E43,-1,1)</f>
        <v>0</v>
      </c>
      <c r="G43" s="78"/>
      <c r="H43" s="78"/>
      <c r="I43" s="78"/>
      <c r="J43" s="78"/>
      <c r="K43" s="78"/>
      <c r="L43" s="78"/>
      <c r="M43" s="78"/>
      <c r="N43" s="78"/>
      <c r="O43" s="78"/>
      <c r="P43" s="78"/>
      <c r="Q43" s="603"/>
      <c r="R43" s="78"/>
      <c r="S43" s="78"/>
      <c r="T43" s="365" t="b" cm="1">
        <f t="array" aca="1" ref="T43" ca="1">T42</f>
        <v>0</v>
      </c>
      <c r="U43" s="78"/>
      <c r="V43" s="78"/>
      <c r="W43" s="78"/>
      <c r="X43" s="1094"/>
      <c r="Y43" s="1094"/>
      <c r="Z43" s="1064"/>
      <c r="AA43" s="1169"/>
      <c r="AB43" s="944"/>
      <c r="AC43" s="31" t="s">
        <v>1624</v>
      </c>
      <c r="AD43" s="833"/>
      <c r="AE43" s="945"/>
      <c r="AF43" s="723">
        <f>IF(AD43=0,0,(AE43-AD43)/AD43*100)</f>
        <v>0</v>
      </c>
      <c r="AG43" s="833"/>
      <c r="AH43" s="945"/>
      <c r="AI43" s="723">
        <f>IF(AG43=0,0,(AH43-AG43)/AG43*100)</f>
        <v>0</v>
      </c>
      <c r="AJ43" s="833"/>
      <c r="AK43" s="945"/>
      <c r="AL43" s="723">
        <f>IF(AJ43=0,0,(AK43-AJ43)/AJ43*100)</f>
        <v>0</v>
      </c>
      <c r="AM43" s="833"/>
      <c r="AN43" s="945"/>
      <c r="AO43" s="723">
        <f>IF(AM43=0,0,(AN43-AM43)/AM43*100)</f>
        <v>0</v>
      </c>
      <c r="AP43" s="833"/>
      <c r="AQ43" s="945"/>
      <c r="AR43" s="723">
        <f>IF(AP43=0,0,(AQ43-AP43)/AP43*100)</f>
        <v>0</v>
      </c>
      <c r="AS43" s="833"/>
      <c r="AT43" s="945"/>
      <c r="AU43" s="723">
        <f>IF(AS43=0,0,(AT43-AS43)/AS43*100)</f>
        <v>0</v>
      </c>
      <c r="AV43" s="833"/>
      <c r="AW43" s="945"/>
      <c r="AX43" s="723">
        <f>IF(AV43=0,0,(AW43-AV43)/AV43*100)</f>
        <v>0</v>
      </c>
      <c r="AY43" s="833"/>
      <c r="AZ43" s="945"/>
      <c r="BA43" s="723">
        <f>IF(AY43=0,0,(AZ43-AY43)/AY43*100)</f>
        <v>0</v>
      </c>
      <c r="BB43" s="833"/>
      <c r="BC43" s="945"/>
      <c r="BD43" s="723">
        <f>IF(BB43=0,0,(BC43-BB43)/BB43*100)</f>
        <v>0</v>
      </c>
      <c r="BE43" s="833"/>
      <c r="BF43" s="945"/>
      <c r="BG43" s="723">
        <f>IF(BE43=0,0,(BF43-BE43)/BE43*100)</f>
        <v>0</v>
      </c>
      <c r="BH43" s="833"/>
      <c r="BI43" s="945"/>
      <c r="BJ43" s="723">
        <f>IF(BH43=0,0,(BI43-BH43)/BH43*100)</f>
        <v>0</v>
      </c>
      <c r="BK43" s="833"/>
      <c r="BL43" s="945"/>
      <c r="BM43" s="723">
        <f>IF(BK43=0,0,(BL43-BK43)/BK43*100)</f>
        <v>0</v>
      </c>
      <c r="BN43" s="833"/>
      <c r="BO43" s="945"/>
      <c r="BP43" s="723">
        <f>IF(BN43=0,0,(BO43-BN43)/BN43*100)</f>
        <v>0</v>
      </c>
      <c r="BQ43" s="833"/>
      <c r="BR43" s="945"/>
      <c r="BS43" s="723">
        <f>IF(BQ43=0,0,(BR43-BQ43)/BQ43*100)</f>
        <v>0</v>
      </c>
      <c r="BT43" s="833"/>
      <c r="BU43" s="945"/>
      <c r="BV43" s="723">
        <f>IF(BT43=0,0,(BU43-BT43)/BT43*100)</f>
        <v>0</v>
      </c>
      <c r="BW43" s="833"/>
      <c r="BX43" s="945"/>
      <c r="BY43" s="723">
        <f>IF(BW43=0,0,(BX43-BW43)/BW43*100)</f>
        <v>0</v>
      </c>
      <c r="BZ43" s="833"/>
      <c r="CA43" s="945"/>
      <c r="CB43" s="723">
        <f>IF(BZ43=0,0,(CA43-BZ43)/BZ43*100)</f>
        <v>0</v>
      </c>
      <c r="CC43" s="833"/>
      <c r="CD43" s="945"/>
      <c r="CE43" s="723">
        <f>IF(CC43=0,0,(CD43-CC43)/CC43*100)</f>
        <v>0</v>
      </c>
      <c r="CF43" s="833"/>
      <c r="CG43" s="945"/>
      <c r="CH43" s="723">
        <f>IF(CF43=0,0,(CG43-CF43)/CF43*100)</f>
        <v>0</v>
      </c>
      <c r="CI43" s="833"/>
      <c r="CJ43" s="945"/>
      <c r="CK43" s="723">
        <f>IF(CI43=0,0,(CJ43-CI43)/CI43*100)</f>
        <v>0</v>
      </c>
      <c r="CL43" s="833"/>
      <c r="CM43" s="945"/>
      <c r="CN43" s="723">
        <f>IF(CL43=0,0,(CM43-CL43)/CL43*100)</f>
        <v>0</v>
      </c>
      <c r="CO43" s="833"/>
      <c r="CP43" s="945"/>
      <c r="CQ43" s="723">
        <f>IF(CO43=0,0,(CP43-CO43)/CO43*100)</f>
        <v>0</v>
      </c>
      <c r="CR43" s="833"/>
      <c r="CS43" s="945"/>
      <c r="CT43" s="723">
        <f>IF(CR43=0,0,(CS43-CR43)/CR43*100)</f>
        <v>0</v>
      </c>
      <c r="CU43" s="833"/>
      <c r="CV43" s="945"/>
      <c r="CW43" s="723">
        <f>IF(CU43=0,0,(CV43-CU43)/CU43*100)</f>
        <v>0</v>
      </c>
      <c r="CX43" s="833"/>
      <c r="CY43" s="945"/>
      <c r="CZ43" s="723">
        <f>IF(CX43=0,0,(CY43-CX43)/CX43*100)</f>
        <v>0</v>
      </c>
      <c r="DA43" s="833"/>
      <c r="DB43" s="945"/>
      <c r="DC43" s="723">
        <f>IF(DA43=0,0,(DB43-DA43)/DA43*100)</f>
        <v>0</v>
      </c>
      <c r="DD43" s="833"/>
      <c r="DE43" s="945"/>
      <c r="DF43" s="723">
        <f>IF(DD43=0,0,(DE43-DD43)/DD43*100)</f>
        <v>0</v>
      </c>
      <c r="DG43" s="833"/>
      <c r="DH43" s="945"/>
      <c r="DI43" s="723">
        <f>IF(DG43=0,0,(DH43-DG43)/DG43*100)</f>
        <v>0</v>
      </c>
      <c r="DJ43" s="833"/>
      <c r="DK43" s="945"/>
      <c r="DL43" s="723">
        <f>IF(DJ43=0,0,(DK43-DJ43)/DJ43*100)</f>
        <v>0</v>
      </c>
      <c r="DM43" s="833"/>
      <c r="DN43" s="945"/>
      <c r="DO43" s="723">
        <f>IF(DM43=0,0,(DN43-DM43)/DM43*100)</f>
        <v>0</v>
      </c>
      <c r="DP43" s="833"/>
      <c r="DQ43" s="945"/>
      <c r="DR43" s="723">
        <f>IF(DP43=0,0,(DQ43-DP43)/DP43*100)</f>
        <v>0</v>
      </c>
      <c r="DS43" s="833"/>
      <c r="DT43" s="945"/>
      <c r="DU43" s="723">
        <f>IF(DS43=0,0,(DT43-DS43)/DS43*100)</f>
        <v>0</v>
      </c>
      <c r="DV43" s="833"/>
      <c r="DW43" s="945"/>
      <c r="DX43" s="723">
        <f>IF(DV43=0,0,(DW43-DV43)/DV43*100)</f>
        <v>0</v>
      </c>
      <c r="DY43" s="833"/>
      <c r="DZ43" s="945"/>
      <c r="EA43" s="723">
        <f>IF(DY43=0,0,(DZ43-DY43)/DY43*100)</f>
        <v>0</v>
      </c>
      <c r="EB43" s="833"/>
      <c r="EC43" s="945"/>
      <c r="ED43" s="723">
        <f>IF(EB43=0,0,(EC43-EB43)/EB43*100)</f>
        <v>0</v>
      </c>
      <c r="EE43" s="833"/>
      <c r="EF43" s="945"/>
      <c r="EG43" s="723">
        <f>IF(EE43=0,0,(EF43-EE43)/EE43*100)</f>
        <v>0</v>
      </c>
      <c r="EH43" s="833"/>
      <c r="EI43" s="945"/>
      <c r="EJ43" s="723">
        <f>IF(EH43=0,0,(EI43-EH43)/EH43*100)</f>
        <v>0</v>
      </c>
      <c r="EK43" s="833"/>
      <c r="EL43" s="945"/>
      <c r="EM43" s="723">
        <f>IF(EK43=0,0,(EL43-EK43)/EK43*100)</f>
        <v>0</v>
      </c>
      <c r="EN43" s="833"/>
      <c r="EO43" s="945"/>
      <c r="EP43" s="723">
        <f>IF(EN43=0,0,(EO43-EN43)/EN43*100)</f>
        <v>0</v>
      </c>
      <c r="EQ43" s="833"/>
      <c r="ER43" s="945"/>
      <c r="ES43" s="723">
        <f>IF(EQ43=0,0,(ER43-EQ43)/EQ43*100)</f>
        <v>0</v>
      </c>
      <c r="ET43" s="833"/>
      <c r="EU43" s="945"/>
      <c r="EV43" s="723">
        <f>IF(ET43=0,0,(EU43-ET43)/ET43*100)</f>
        <v>0</v>
      </c>
      <c r="EW43" s="833"/>
      <c r="EX43" s="945"/>
      <c r="EY43" s="723">
        <f>IF(EW43=0,0,(EX43-EW43)/EW43*100)</f>
        <v>0</v>
      </c>
      <c r="EZ43" s="833"/>
      <c r="FA43" s="945"/>
      <c r="FB43" s="723">
        <f>IF(EZ43=0,0,(FA43-EZ43)/EZ43*100)</f>
        <v>0</v>
      </c>
      <c r="FC43" s="833"/>
      <c r="FD43" s="945"/>
      <c r="FE43" s="723">
        <f>IF(FC43=0,0,(FD43-FC43)/FC43*100)</f>
        <v>0</v>
      </c>
      <c r="FF43" s="833"/>
      <c r="FG43" s="945"/>
      <c r="FH43" s="723">
        <f>IF(FF43=0,0,(FG43-FF43)/FF43*100)</f>
        <v>0</v>
      </c>
      <c r="FI43" s="833"/>
      <c r="FJ43" s="945"/>
      <c r="FK43" s="723">
        <f>IF(FI43=0,0,(FJ43-FI43)/FI43*100)</f>
        <v>0</v>
      </c>
      <c r="FL43" s="833"/>
      <c r="FM43" s="945"/>
      <c r="FN43" s="723">
        <f>IF(FL43=0,0,(FM43-FL43)/FL43*100)</f>
        <v>0</v>
      </c>
      <c r="FO43" s="833"/>
      <c r="FP43" s="945"/>
      <c r="FQ43" s="723">
        <f>IF(FO43=0,0,(FP43-FO43)/FO43*100)</f>
        <v>0</v>
      </c>
      <c r="FR43" s="833"/>
      <c r="FS43" s="945"/>
      <c r="FT43" s="723">
        <f>IF(FR43=0,0,(FS43-FR43)/FR43*100)</f>
        <v>0</v>
      </c>
      <c r="FU43" s="833"/>
      <c r="FV43" s="945"/>
      <c r="FW43" s="723">
        <f>IF(FU43=0,0,(FV43-FU43)/FU43*100)</f>
        <v>0</v>
      </c>
      <c r="FZ43" s="680" t="s">
        <v>1651</v>
      </c>
      <c r="GA43" s="680" t="s">
        <v>1650</v>
      </c>
      <c r="GB43" s="680" cm="1">
        <f t="array" ref="GB43">GB42</f>
        <v>0</v>
      </c>
    </row>
    <row r="44" spans="1:186" ht="14.65" hidden="1" customHeight="1">
      <c r="A44" s="78"/>
      <c r="B44" s="622" t="b" cm="1">
        <f t="array" ref="B44">B42</f>
        <v>0</v>
      </c>
      <c r="C44" s="78"/>
      <c r="D44" s="78"/>
      <c r="E44" s="473">
        <v>15</v>
      </c>
      <c r="F44" s="3" cm="1">
        <f t="array" aca="1" ref="F44" ca="1">OFFSET(E44,-1,1)</f>
        <v>0</v>
      </c>
      <c r="G44" s="78"/>
      <c r="H44" s="78" t="s">
        <v>468</v>
      </c>
      <c r="I44" s="78" cm="1">
        <f t="array" ref="I44">I42</f>
        <v>0</v>
      </c>
      <c r="J44" s="78"/>
      <c r="K44" s="78"/>
      <c r="L44" s="78"/>
      <c r="M44" s="78"/>
      <c r="N44" s="78"/>
      <c r="O44" s="78"/>
      <c r="P44" s="78"/>
      <c r="Q44" s="603"/>
      <c r="R44" s="78"/>
      <c r="S44" s="78"/>
      <c r="T44" s="365" t="b" cm="1">
        <f t="array" aca="1" ref="T44" ca="1">T42</f>
        <v>0</v>
      </c>
      <c r="U44" s="78"/>
      <c r="V44" s="78"/>
      <c r="W44" s="78"/>
      <c r="X44" s="1094"/>
      <c r="Y44" s="1094"/>
      <c r="Z44" s="1064"/>
      <c r="AA44" s="1049"/>
      <c r="AB44" s="73" t="s">
        <v>1634</v>
      </c>
      <c r="AC44" s="26" t="s">
        <v>534</v>
      </c>
      <c r="AD44" s="849"/>
      <c r="AE44" s="849"/>
      <c r="AF44" s="724">
        <f>IF(AD44=0,0,(AE44-AD44)/AD44*100)</f>
        <v>0</v>
      </c>
      <c r="AG44" s="849"/>
      <c r="AH44" s="849"/>
      <c r="AI44" s="724">
        <f>IF(AG44=0,0,(AH44-AG44)/AG44*100)</f>
        <v>0</v>
      </c>
      <c r="AJ44" s="849"/>
      <c r="AK44" s="849"/>
      <c r="AL44" s="724">
        <f>IF(AJ44=0,0,(AK44-AJ44)/AJ44*100)</f>
        <v>0</v>
      </c>
      <c r="AM44" s="849"/>
      <c r="AN44" s="849"/>
      <c r="AO44" s="724">
        <f>IF(AM44=0,0,(AN44-AM44)/AM44*100)</f>
        <v>0</v>
      </c>
      <c r="AP44" s="849"/>
      <c r="AQ44" s="849"/>
      <c r="AR44" s="724">
        <f>IF(AP44=0,0,(AQ44-AP44)/AP44*100)</f>
        <v>0</v>
      </c>
      <c r="AS44" s="849"/>
      <c r="AT44" s="849"/>
      <c r="AU44" s="724">
        <f>IF(AS44=0,0,(AT44-AS44)/AS44*100)</f>
        <v>0</v>
      </c>
      <c r="AV44" s="849"/>
      <c r="AW44" s="849"/>
      <c r="AX44" s="724">
        <f>IF(AV44=0,0,(AW44-AV44)/AV44*100)</f>
        <v>0</v>
      </c>
      <c r="AY44" s="849"/>
      <c r="AZ44" s="849"/>
      <c r="BA44" s="724">
        <f>IF(AY44=0,0,(AZ44-AY44)/AY44*100)</f>
        <v>0</v>
      </c>
      <c r="BB44" s="849"/>
      <c r="BC44" s="849"/>
      <c r="BD44" s="724">
        <f>IF(BB44=0,0,(BC44-BB44)/BB44*100)</f>
        <v>0</v>
      </c>
      <c r="BE44" s="849"/>
      <c r="BF44" s="849"/>
      <c r="BG44" s="724">
        <f>IF(BE44=0,0,(BF44-BE44)/BE44*100)</f>
        <v>0</v>
      </c>
      <c r="BH44" s="849"/>
      <c r="BI44" s="849"/>
      <c r="BJ44" s="724">
        <f>IF(BH44=0,0,(BI44-BH44)/BH44*100)</f>
        <v>0</v>
      </c>
      <c r="BK44" s="849"/>
      <c r="BL44" s="849"/>
      <c r="BM44" s="724">
        <f>IF(BK44=0,0,(BL44-BK44)/BK44*100)</f>
        <v>0</v>
      </c>
      <c r="BN44" s="849"/>
      <c r="BO44" s="849"/>
      <c r="BP44" s="724">
        <f>IF(BN44=0,0,(BO44-BN44)/BN44*100)</f>
        <v>0</v>
      </c>
      <c r="BQ44" s="849"/>
      <c r="BR44" s="849"/>
      <c r="BS44" s="724">
        <f>IF(BQ44=0,0,(BR44-BQ44)/BQ44*100)</f>
        <v>0</v>
      </c>
      <c r="BT44" s="849"/>
      <c r="BU44" s="849"/>
      <c r="BV44" s="724">
        <f>IF(BT44=0,0,(BU44-BT44)/BT44*100)</f>
        <v>0</v>
      </c>
      <c r="BW44" s="849"/>
      <c r="BX44" s="849"/>
      <c r="BY44" s="724">
        <f>IF(BW44=0,0,(BX44-BW44)/BW44*100)</f>
        <v>0</v>
      </c>
      <c r="BZ44" s="849"/>
      <c r="CA44" s="849"/>
      <c r="CB44" s="724">
        <f>IF(BZ44=0,0,(CA44-BZ44)/BZ44*100)</f>
        <v>0</v>
      </c>
      <c r="CC44" s="849"/>
      <c r="CD44" s="849"/>
      <c r="CE44" s="724">
        <f>IF(CC44=0,0,(CD44-CC44)/CC44*100)</f>
        <v>0</v>
      </c>
      <c r="CF44" s="849"/>
      <c r="CG44" s="849"/>
      <c r="CH44" s="724">
        <f>IF(CF44=0,0,(CG44-CF44)/CF44*100)</f>
        <v>0</v>
      </c>
      <c r="CI44" s="849"/>
      <c r="CJ44" s="849"/>
      <c r="CK44" s="724">
        <f>IF(CI44=0,0,(CJ44-CI44)/CI44*100)</f>
        <v>0</v>
      </c>
      <c r="CL44" s="849"/>
      <c r="CM44" s="849"/>
      <c r="CN44" s="724">
        <f>IF(CL44=0,0,(CM44-CL44)/CL44*100)</f>
        <v>0</v>
      </c>
      <c r="CO44" s="849"/>
      <c r="CP44" s="849"/>
      <c r="CQ44" s="724">
        <f>IF(CO44=0,0,(CP44-CO44)/CO44*100)</f>
        <v>0</v>
      </c>
      <c r="CR44" s="849"/>
      <c r="CS44" s="849"/>
      <c r="CT44" s="724">
        <f>IF(CR44=0,0,(CS44-CR44)/CR44*100)</f>
        <v>0</v>
      </c>
      <c r="CU44" s="849"/>
      <c r="CV44" s="849"/>
      <c r="CW44" s="724">
        <f>IF(CU44=0,0,(CV44-CU44)/CU44*100)</f>
        <v>0</v>
      </c>
      <c r="CX44" s="849"/>
      <c r="CY44" s="849"/>
      <c r="CZ44" s="724">
        <f>IF(CX44=0,0,(CY44-CX44)/CX44*100)</f>
        <v>0</v>
      </c>
      <c r="DA44" s="849"/>
      <c r="DB44" s="849"/>
      <c r="DC44" s="724">
        <f>IF(DA44=0,0,(DB44-DA44)/DA44*100)</f>
        <v>0</v>
      </c>
      <c r="DD44" s="849"/>
      <c r="DE44" s="849"/>
      <c r="DF44" s="724">
        <f>IF(DD44=0,0,(DE44-DD44)/DD44*100)</f>
        <v>0</v>
      </c>
      <c r="DG44" s="849"/>
      <c r="DH44" s="849"/>
      <c r="DI44" s="724">
        <f>IF(DG44=0,0,(DH44-DG44)/DG44*100)</f>
        <v>0</v>
      </c>
      <c r="DJ44" s="849"/>
      <c r="DK44" s="849"/>
      <c r="DL44" s="724">
        <f>IF(DJ44=0,0,(DK44-DJ44)/DJ44*100)</f>
        <v>0</v>
      </c>
      <c r="DM44" s="849"/>
      <c r="DN44" s="849"/>
      <c r="DO44" s="724">
        <f>IF(DM44=0,0,(DN44-DM44)/DM44*100)</f>
        <v>0</v>
      </c>
      <c r="DP44" s="849"/>
      <c r="DQ44" s="849"/>
      <c r="DR44" s="724">
        <f>IF(DP44=0,0,(DQ44-DP44)/DP44*100)</f>
        <v>0</v>
      </c>
      <c r="DS44" s="849"/>
      <c r="DT44" s="849"/>
      <c r="DU44" s="724">
        <f>IF(DS44=0,0,(DT44-DS44)/DS44*100)</f>
        <v>0</v>
      </c>
      <c r="DV44" s="849"/>
      <c r="DW44" s="849"/>
      <c r="DX44" s="724">
        <f>IF(DV44=0,0,(DW44-DV44)/DV44*100)</f>
        <v>0</v>
      </c>
      <c r="DY44" s="849"/>
      <c r="DZ44" s="849"/>
      <c r="EA44" s="724">
        <f>IF(DY44=0,0,(DZ44-DY44)/DY44*100)</f>
        <v>0</v>
      </c>
      <c r="EB44" s="849"/>
      <c r="EC44" s="849"/>
      <c r="ED44" s="724">
        <f>IF(EB44=0,0,(EC44-EB44)/EB44*100)</f>
        <v>0</v>
      </c>
      <c r="EE44" s="849"/>
      <c r="EF44" s="849"/>
      <c r="EG44" s="724">
        <f>IF(EE44=0,0,(EF44-EE44)/EE44*100)</f>
        <v>0</v>
      </c>
      <c r="EH44" s="849"/>
      <c r="EI44" s="849"/>
      <c r="EJ44" s="724">
        <f>IF(EH44=0,0,(EI44-EH44)/EH44*100)</f>
        <v>0</v>
      </c>
      <c r="EK44" s="849"/>
      <c r="EL44" s="849"/>
      <c r="EM44" s="724">
        <f>IF(EK44=0,0,(EL44-EK44)/EK44*100)</f>
        <v>0</v>
      </c>
      <c r="EN44" s="849"/>
      <c r="EO44" s="849"/>
      <c r="EP44" s="724">
        <f>IF(EN44=0,0,(EO44-EN44)/EN44*100)</f>
        <v>0</v>
      </c>
      <c r="EQ44" s="849"/>
      <c r="ER44" s="849"/>
      <c r="ES44" s="724">
        <f>IF(EQ44=0,0,(ER44-EQ44)/EQ44*100)</f>
        <v>0</v>
      </c>
      <c r="ET44" s="849"/>
      <c r="EU44" s="849"/>
      <c r="EV44" s="724">
        <f>IF(ET44=0,0,(EU44-ET44)/ET44*100)</f>
        <v>0</v>
      </c>
      <c r="EW44" s="849"/>
      <c r="EX44" s="849"/>
      <c r="EY44" s="724">
        <f>IF(EW44=0,0,(EX44-EW44)/EW44*100)</f>
        <v>0</v>
      </c>
      <c r="EZ44" s="849"/>
      <c r="FA44" s="849"/>
      <c r="FB44" s="724">
        <f>IF(EZ44=0,0,(FA44-EZ44)/EZ44*100)</f>
        <v>0</v>
      </c>
      <c r="FC44" s="849"/>
      <c r="FD44" s="849"/>
      <c r="FE44" s="724">
        <f>IF(FC44=0,0,(FD44-FC44)/FC44*100)</f>
        <v>0</v>
      </c>
      <c r="FF44" s="849"/>
      <c r="FG44" s="849"/>
      <c r="FH44" s="724">
        <f>IF(FF44=0,0,(FG44-FF44)/FF44*100)</f>
        <v>0</v>
      </c>
      <c r="FI44" s="849"/>
      <c r="FJ44" s="849"/>
      <c r="FK44" s="724">
        <f>IF(FI44=0,0,(FJ44-FI44)/FI44*100)</f>
        <v>0</v>
      </c>
      <c r="FL44" s="849"/>
      <c r="FM44" s="849"/>
      <c r="FN44" s="724">
        <f>IF(FL44=0,0,(FM44-FL44)/FL44*100)</f>
        <v>0</v>
      </c>
      <c r="FO44" s="849"/>
      <c r="FP44" s="849"/>
      <c r="FQ44" s="724">
        <f>IF(FO44=0,0,(FP44-FO44)/FO44*100)</f>
        <v>0</v>
      </c>
      <c r="FR44" s="849"/>
      <c r="FS44" s="849"/>
      <c r="FT44" s="724">
        <f>IF(FR44=0,0,(FS44-FR44)/FR44*100)</f>
        <v>0</v>
      </c>
      <c r="FU44" s="849"/>
      <c r="FV44" s="849"/>
      <c r="FW44" s="724">
        <f>IF(FU44=0,0,(FV44-FU44)/FU44*100)</f>
        <v>0</v>
      </c>
      <c r="FX44" s="219"/>
      <c r="FZ44" s="700" t="s">
        <v>1652</v>
      </c>
      <c r="GA44" s="680" t="s">
        <v>1650</v>
      </c>
      <c r="GB44" s="680" cm="1">
        <f t="array" ref="GB44">GB42</f>
        <v>0</v>
      </c>
    </row>
    <row r="45" spans="1:186" ht="14.65" hidden="1" customHeight="1">
      <c r="A45" s="78"/>
      <c r="B45" s="622" t="b" cm="1">
        <f t="array" ref="B45">B44</f>
        <v>0</v>
      </c>
      <c r="C45" s="78"/>
      <c r="D45" s="78"/>
      <c r="E45" s="473">
        <v>15</v>
      </c>
      <c r="F45" s="3" cm="1">
        <f t="array" aca="1" ref="F45" ca="1">OFFSET(E45,-1,1)</f>
        <v>0</v>
      </c>
      <c r="G45" s="78"/>
      <c r="H45" s="78"/>
      <c r="I45" s="36" t="s">
        <v>1653</v>
      </c>
      <c r="J45" s="78"/>
      <c r="K45" s="78"/>
      <c r="L45" s="78"/>
      <c r="M45" s="78"/>
      <c r="N45" s="78"/>
      <c r="O45" s="78"/>
      <c r="P45" s="78"/>
      <c r="Q45" s="78"/>
      <c r="R45" s="23"/>
      <c r="S45" s="78"/>
      <c r="T45" s="365" t="b">
        <f ca="1">F45&gt;0</f>
        <v>0</v>
      </c>
      <c r="U45" s="78"/>
      <c r="W45" s="528" t="s">
        <v>1654</v>
      </c>
      <c r="X45" s="1094"/>
      <c r="Z45" s="1064"/>
      <c r="AB45" s="191" t="s">
        <v>177</v>
      </c>
      <c r="AC45" s="195"/>
      <c r="AD45" s="725"/>
      <c r="AE45" s="725"/>
      <c r="AF45" s="725"/>
      <c r="AG45" s="725"/>
      <c r="AH45" s="725"/>
      <c r="AI45" s="725"/>
      <c r="AJ45" s="725"/>
      <c r="AK45" s="725"/>
      <c r="AL45" s="725"/>
      <c r="AM45" s="725"/>
      <c r="AN45" s="725"/>
      <c r="AO45" s="725"/>
      <c r="AP45" s="725"/>
      <c r="AQ45" s="725"/>
      <c r="AR45" s="725"/>
      <c r="AS45" s="725"/>
      <c r="AT45" s="725"/>
      <c r="AU45" s="725"/>
      <c r="AV45" s="725"/>
      <c r="AW45" s="725"/>
      <c r="AX45" s="725"/>
      <c r="AY45" s="725"/>
      <c r="AZ45" s="725"/>
      <c r="BA45" s="725"/>
      <c r="BB45" s="725"/>
      <c r="BC45" s="725"/>
      <c r="BD45" s="725"/>
      <c r="BE45" s="725"/>
      <c r="BF45" s="725"/>
      <c r="BG45" s="725"/>
      <c r="BH45" s="725"/>
      <c r="BI45" s="725"/>
      <c r="BJ45" s="725"/>
      <c r="BK45" s="725"/>
      <c r="BL45" s="725"/>
      <c r="BM45" s="725"/>
      <c r="BN45" s="725"/>
      <c r="BO45" s="725"/>
      <c r="BP45" s="725"/>
      <c r="BQ45" s="725"/>
      <c r="BR45" s="725"/>
      <c r="BS45" s="725"/>
      <c r="BT45" s="725"/>
      <c r="BU45" s="725"/>
      <c r="BV45" s="725"/>
      <c r="BW45" s="725"/>
      <c r="BX45" s="725"/>
      <c r="BY45" s="725"/>
      <c r="BZ45" s="725"/>
      <c r="CA45" s="725"/>
      <c r="CB45" s="725"/>
      <c r="CC45" s="725"/>
      <c r="CD45" s="725"/>
      <c r="CE45" s="725"/>
      <c r="CF45" s="725"/>
      <c r="CG45" s="725"/>
      <c r="CH45" s="725"/>
      <c r="CI45" s="725"/>
      <c r="CJ45" s="725"/>
      <c r="CK45" s="725"/>
      <c r="CL45" s="725"/>
      <c r="CM45" s="725"/>
      <c r="CN45" s="725"/>
      <c r="CO45" s="725"/>
      <c r="CP45" s="725"/>
      <c r="CQ45" s="725"/>
      <c r="CR45" s="725"/>
      <c r="CS45" s="725"/>
      <c r="CT45" s="725"/>
      <c r="CU45" s="725"/>
      <c r="CV45" s="725"/>
      <c r="CW45" s="725"/>
      <c r="CX45" s="725"/>
      <c r="CY45" s="725"/>
      <c r="CZ45" s="725"/>
      <c r="DA45" s="725"/>
      <c r="DB45" s="725"/>
      <c r="DC45" s="725"/>
      <c r="DD45" s="725"/>
      <c r="DE45" s="725"/>
      <c r="DF45" s="725"/>
      <c r="DG45" s="725"/>
      <c r="DH45" s="725"/>
      <c r="DI45" s="725"/>
      <c r="DJ45" s="725"/>
      <c r="DK45" s="725"/>
      <c r="DL45" s="725"/>
      <c r="DM45" s="725"/>
      <c r="DN45" s="725"/>
      <c r="DO45" s="725"/>
      <c r="DP45" s="725"/>
      <c r="DQ45" s="725"/>
      <c r="DR45" s="725"/>
      <c r="DS45" s="725"/>
      <c r="DT45" s="725"/>
      <c r="DU45" s="725"/>
      <c r="DV45" s="725"/>
      <c r="DW45" s="725"/>
      <c r="DX45" s="725"/>
      <c r="DY45" s="725"/>
      <c r="DZ45" s="725"/>
      <c r="EA45" s="725"/>
      <c r="EB45" s="725"/>
      <c r="EC45" s="725"/>
      <c r="ED45" s="725"/>
      <c r="EE45" s="725"/>
      <c r="EF45" s="725"/>
      <c r="EG45" s="725"/>
      <c r="EH45" s="725"/>
      <c r="EI45" s="725"/>
      <c r="EJ45" s="725"/>
      <c r="EK45" s="725"/>
      <c r="EL45" s="725"/>
      <c r="EM45" s="725"/>
      <c r="EN45" s="725"/>
      <c r="EO45" s="725"/>
      <c r="EP45" s="725"/>
      <c r="EQ45" s="725"/>
      <c r="ER45" s="725"/>
      <c r="ES45" s="725"/>
      <c r="ET45" s="725"/>
      <c r="EU45" s="725"/>
      <c r="EV45" s="725"/>
      <c r="EW45" s="725"/>
      <c r="EX45" s="725"/>
      <c r="EY45" s="725"/>
      <c r="EZ45" s="725"/>
      <c r="FA45" s="725"/>
      <c r="FB45" s="725"/>
      <c r="FC45" s="725"/>
      <c r="FD45" s="725"/>
      <c r="FE45" s="725"/>
      <c r="FF45" s="725"/>
      <c r="FG45" s="725"/>
      <c r="FH45" s="725"/>
      <c r="FI45" s="725"/>
      <c r="FJ45" s="725"/>
      <c r="FK45" s="725"/>
      <c r="FL45" s="725"/>
      <c r="FM45" s="725"/>
      <c r="FN45" s="725"/>
      <c r="FO45" s="725"/>
      <c r="FP45" s="725"/>
      <c r="FQ45" s="725"/>
      <c r="FR45" s="725"/>
      <c r="FS45" s="725"/>
      <c r="FT45" s="725"/>
      <c r="FU45" s="725"/>
      <c r="FV45" s="725"/>
      <c r="FW45" s="726"/>
      <c r="FZ45" s="700" t="s">
        <v>225</v>
      </c>
      <c r="GC45" s="472" t="s">
        <v>1650</v>
      </c>
    </row>
    <row r="46" spans="1:186" ht="14.65" hidden="1" customHeight="1">
      <c r="A46" s="78"/>
      <c r="B46" s="622" t="b">
        <f>AND(R29="двухставочный",NOT(S29))</f>
        <v>0</v>
      </c>
      <c r="C46" s="78"/>
      <c r="D46" s="78"/>
      <c r="E46" s="473">
        <v>15</v>
      </c>
      <c r="F46" s="3" cm="1">
        <f t="array" aca="1" ref="F46" ca="1">OFFSET(E46,-1,1)</f>
        <v>0</v>
      </c>
      <c r="G46" s="78"/>
      <c r="H46" s="78"/>
      <c r="I46" s="78"/>
      <c r="J46" s="78"/>
      <c r="K46" s="78"/>
      <c r="L46" s="78"/>
      <c r="M46" s="78"/>
      <c r="N46" s="78"/>
      <c r="O46" s="78"/>
      <c r="P46" s="78"/>
      <c r="Q46" s="78"/>
      <c r="R46" s="23"/>
      <c r="S46" s="78"/>
      <c r="T46" s="365" t="b" cm="1">
        <f t="array" aca="1" ref="T46" ca="1">T45</f>
        <v>0</v>
      </c>
      <c r="U46" s="78"/>
      <c r="V46" s="78"/>
      <c r="W46" s="78"/>
      <c r="X46" s="1094"/>
      <c r="Y46" s="78"/>
      <c r="Z46" s="1064"/>
      <c r="AA46" s="78"/>
      <c r="AB46" s="601" t="s">
        <v>1655</v>
      </c>
      <c r="AC46" s="602"/>
      <c r="AD46" s="217"/>
      <c r="AE46" s="217"/>
      <c r="AF46" s="217"/>
      <c r="AG46" s="217"/>
      <c r="AH46" s="217"/>
      <c r="AI46" s="217"/>
      <c r="AJ46" s="217"/>
      <c r="AK46" s="217"/>
      <c r="AL46" s="217"/>
      <c r="AM46" s="217"/>
      <c r="AN46" s="217"/>
      <c r="AO46" s="217"/>
      <c r="AP46" s="217"/>
      <c r="AQ46" s="217"/>
      <c r="AR46" s="217"/>
      <c r="AS46" s="217"/>
      <c r="AT46" s="217"/>
      <c r="AU46" s="217"/>
      <c r="AV46" s="217"/>
      <c r="AW46" s="217"/>
      <c r="AX46" s="217"/>
      <c r="AY46" s="217"/>
      <c r="AZ46" s="217"/>
      <c r="BA46" s="217"/>
      <c r="BB46" s="217"/>
      <c r="BC46" s="217"/>
      <c r="BD46" s="217"/>
      <c r="BE46" s="217"/>
      <c r="BF46" s="217"/>
      <c r="BG46" s="217"/>
      <c r="BH46" s="217"/>
      <c r="BI46" s="217"/>
      <c r="BJ46" s="217"/>
      <c r="BK46" s="217"/>
      <c r="BL46" s="217"/>
      <c r="BM46" s="217"/>
      <c r="BN46" s="217"/>
      <c r="BO46" s="217"/>
      <c r="BP46" s="217"/>
      <c r="BQ46" s="217"/>
      <c r="BR46" s="217"/>
      <c r="BS46" s="217"/>
      <c r="BT46" s="217"/>
      <c r="BU46" s="217"/>
      <c r="BV46" s="217"/>
      <c r="BW46" s="217"/>
      <c r="BX46" s="217"/>
      <c r="BY46" s="217"/>
      <c r="BZ46" s="217"/>
      <c r="CA46" s="217"/>
      <c r="CB46" s="217"/>
      <c r="CC46" s="217"/>
      <c r="CD46" s="217"/>
      <c r="CE46" s="217"/>
      <c r="CF46" s="217"/>
      <c r="CG46" s="217"/>
      <c r="CH46" s="217"/>
      <c r="CI46" s="217"/>
      <c r="CJ46" s="217"/>
      <c r="CK46" s="217"/>
      <c r="CL46" s="217"/>
      <c r="CM46" s="217"/>
      <c r="CN46" s="217"/>
      <c r="CO46" s="217"/>
      <c r="CP46" s="217"/>
      <c r="CQ46" s="217"/>
      <c r="CR46" s="217"/>
      <c r="CS46" s="217"/>
      <c r="CT46" s="217"/>
      <c r="CU46" s="217"/>
      <c r="CV46" s="217"/>
      <c r="CW46" s="217"/>
      <c r="CX46" s="217"/>
      <c r="CY46" s="217"/>
      <c r="CZ46" s="217"/>
      <c r="DA46" s="217"/>
      <c r="DB46" s="217"/>
      <c r="DC46" s="217"/>
      <c r="DD46" s="217"/>
      <c r="DE46" s="217"/>
      <c r="DF46" s="217"/>
      <c r="DG46" s="217"/>
      <c r="DH46" s="217"/>
      <c r="DI46" s="217"/>
      <c r="DJ46" s="217"/>
      <c r="DK46" s="217"/>
      <c r="DL46" s="217"/>
      <c r="DM46" s="217"/>
      <c r="DN46" s="217"/>
      <c r="DO46" s="217"/>
      <c r="DP46" s="217"/>
      <c r="DQ46" s="217"/>
      <c r="DR46" s="217"/>
      <c r="DS46" s="217"/>
      <c r="DT46" s="217"/>
      <c r="DU46" s="217"/>
      <c r="DV46" s="217"/>
      <c r="DW46" s="217"/>
      <c r="DX46" s="217"/>
      <c r="DY46" s="217"/>
      <c r="DZ46" s="217"/>
      <c r="EA46" s="217"/>
      <c r="EB46" s="217"/>
      <c r="EC46" s="217"/>
      <c r="ED46" s="217"/>
      <c r="EE46" s="217"/>
      <c r="EF46" s="217"/>
      <c r="EG46" s="217"/>
      <c r="EH46" s="217"/>
      <c r="EI46" s="217"/>
      <c r="EJ46" s="217"/>
      <c r="EK46" s="217"/>
      <c r="EL46" s="217"/>
      <c r="EM46" s="217"/>
      <c r="EN46" s="217"/>
      <c r="EO46" s="217"/>
      <c r="EP46" s="217"/>
      <c r="EQ46" s="217"/>
      <c r="ER46" s="217"/>
      <c r="ES46" s="217"/>
      <c r="ET46" s="217"/>
      <c r="EU46" s="217"/>
      <c r="EV46" s="217"/>
      <c r="EW46" s="217"/>
      <c r="EX46" s="217"/>
      <c r="EY46" s="217"/>
      <c r="EZ46" s="217"/>
      <c r="FA46" s="217"/>
      <c r="FB46" s="217"/>
      <c r="FC46" s="217"/>
      <c r="FD46" s="217"/>
      <c r="FE46" s="217"/>
      <c r="FF46" s="217"/>
      <c r="FG46" s="217"/>
      <c r="FH46" s="217"/>
      <c r="FI46" s="217"/>
      <c r="FJ46" s="217"/>
      <c r="FK46" s="217"/>
      <c r="FL46" s="217"/>
      <c r="FM46" s="217"/>
      <c r="FN46" s="217"/>
      <c r="FO46" s="217"/>
      <c r="FP46" s="217"/>
      <c r="FQ46" s="217"/>
      <c r="FR46" s="217"/>
      <c r="FS46" s="217"/>
      <c r="FT46" s="217"/>
      <c r="FU46" s="217"/>
      <c r="FV46" s="217"/>
      <c r="FW46" s="218"/>
      <c r="FZ46" s="700" t="s">
        <v>225</v>
      </c>
    </row>
    <row r="47" spans="1:186" ht="23.85" hidden="1" customHeight="1">
      <c r="A47" s="78"/>
      <c r="B47" s="622" t="b" cm="1">
        <f t="array" ref="B47">B46</f>
        <v>0</v>
      </c>
      <c r="C47" s="78"/>
      <c r="D47" s="78"/>
      <c r="E47" s="473">
        <v>24.5</v>
      </c>
      <c r="F47" s="3" cm="1">
        <f t="array" aca="1" ref="F47" ca="1">OFFSET(E47,-1,1)</f>
        <v>0</v>
      </c>
      <c r="G47" s="78"/>
      <c r="H47" s="78"/>
      <c r="I47" s="78"/>
      <c r="J47" s="78"/>
      <c r="K47" s="78"/>
      <c r="L47" s="78"/>
      <c r="M47" s="78"/>
      <c r="N47" s="78"/>
      <c r="O47" s="78"/>
      <c r="P47" s="78"/>
      <c r="Q47" s="78"/>
      <c r="R47" s="78"/>
      <c r="S47" s="78"/>
      <c r="T47" s="365" t="b" cm="1">
        <f t="array" aca="1" ref="T47" ca="1">T46</f>
        <v>0</v>
      </c>
      <c r="U47" s="78"/>
      <c r="V47" s="78"/>
      <c r="W47" s="78"/>
      <c r="X47" s="1094"/>
      <c r="Y47" s="78"/>
      <c r="Z47" s="1064"/>
      <c r="AA47" s="78"/>
      <c r="AB47" s="220" t="s">
        <v>1656</v>
      </c>
      <c r="AC47" s="606"/>
      <c r="AD47" s="727"/>
      <c r="AE47" s="727"/>
      <c r="AF47" s="727"/>
      <c r="AG47" s="727"/>
      <c r="AH47" s="727"/>
      <c r="AI47" s="727"/>
      <c r="AJ47" s="727"/>
      <c r="AK47" s="727"/>
      <c r="AL47" s="727"/>
      <c r="AM47" s="727"/>
      <c r="AN47" s="727"/>
      <c r="AO47" s="727"/>
      <c r="AP47" s="727"/>
      <c r="AQ47" s="727"/>
      <c r="AR47" s="727"/>
      <c r="AS47" s="727"/>
      <c r="AT47" s="727"/>
      <c r="AU47" s="727"/>
      <c r="AV47" s="727"/>
      <c r="AW47" s="727"/>
      <c r="AX47" s="727"/>
      <c r="AY47" s="727"/>
      <c r="AZ47" s="727"/>
      <c r="BA47" s="727"/>
      <c r="BB47" s="727"/>
      <c r="BC47" s="727"/>
      <c r="BD47" s="727"/>
      <c r="BE47" s="727"/>
      <c r="BF47" s="727"/>
      <c r="BG47" s="727"/>
      <c r="BH47" s="727"/>
      <c r="BI47" s="727"/>
      <c r="BJ47" s="727"/>
      <c r="BK47" s="727"/>
      <c r="BL47" s="727"/>
      <c r="BM47" s="727"/>
      <c r="BN47" s="727"/>
      <c r="BO47" s="727"/>
      <c r="BP47" s="727"/>
      <c r="BQ47" s="727"/>
      <c r="BR47" s="727"/>
      <c r="BS47" s="727"/>
      <c r="BT47" s="727"/>
      <c r="BU47" s="727"/>
      <c r="BV47" s="727"/>
      <c r="BW47" s="727"/>
      <c r="BX47" s="727"/>
      <c r="BY47" s="727"/>
      <c r="BZ47" s="727"/>
      <c r="CA47" s="727"/>
      <c r="CB47" s="727"/>
      <c r="CC47" s="727"/>
      <c r="CD47" s="727"/>
      <c r="CE47" s="727"/>
      <c r="CF47" s="727"/>
      <c r="CG47" s="727"/>
      <c r="CH47" s="727"/>
      <c r="CI47" s="727"/>
      <c r="CJ47" s="727"/>
      <c r="CK47" s="727"/>
      <c r="CL47" s="727"/>
      <c r="CM47" s="727"/>
      <c r="CN47" s="727"/>
      <c r="CO47" s="727"/>
      <c r="CP47" s="727"/>
      <c r="CQ47" s="727"/>
      <c r="CR47" s="727"/>
      <c r="CS47" s="727"/>
      <c r="CT47" s="727"/>
      <c r="CU47" s="727"/>
      <c r="CV47" s="727"/>
      <c r="CW47" s="727"/>
      <c r="CX47" s="727"/>
      <c r="CY47" s="727"/>
      <c r="CZ47" s="727"/>
      <c r="DA47" s="727"/>
      <c r="DB47" s="727"/>
      <c r="DC47" s="727"/>
      <c r="DD47" s="727"/>
      <c r="DE47" s="727"/>
      <c r="DF47" s="727"/>
      <c r="DG47" s="727"/>
      <c r="DH47" s="727"/>
      <c r="DI47" s="727"/>
      <c r="DJ47" s="727"/>
      <c r="DK47" s="727"/>
      <c r="DL47" s="727"/>
      <c r="DM47" s="727"/>
      <c r="DN47" s="727"/>
      <c r="DO47" s="727"/>
      <c r="DP47" s="727"/>
      <c r="DQ47" s="727"/>
      <c r="DR47" s="727"/>
      <c r="DS47" s="727"/>
      <c r="DT47" s="727"/>
      <c r="DU47" s="727"/>
      <c r="DV47" s="727"/>
      <c r="DW47" s="727"/>
      <c r="DX47" s="727"/>
      <c r="DY47" s="727"/>
      <c r="DZ47" s="727"/>
      <c r="EA47" s="727"/>
      <c r="EB47" s="727"/>
      <c r="EC47" s="727"/>
      <c r="ED47" s="727"/>
      <c r="EE47" s="727"/>
      <c r="EF47" s="727"/>
      <c r="EG47" s="727"/>
      <c r="EH47" s="727"/>
      <c r="EI47" s="727"/>
      <c r="EJ47" s="727"/>
      <c r="EK47" s="727"/>
      <c r="EL47" s="727"/>
      <c r="EM47" s="727"/>
      <c r="EN47" s="727"/>
      <c r="EO47" s="727"/>
      <c r="EP47" s="727"/>
      <c r="EQ47" s="727"/>
      <c r="ER47" s="727"/>
      <c r="ES47" s="727"/>
      <c r="ET47" s="727"/>
      <c r="EU47" s="727"/>
      <c r="EV47" s="727"/>
      <c r="EW47" s="727"/>
      <c r="EX47" s="727"/>
      <c r="EY47" s="727"/>
      <c r="EZ47" s="727"/>
      <c r="FA47" s="727"/>
      <c r="FB47" s="727"/>
      <c r="FC47" s="727"/>
      <c r="FD47" s="727"/>
      <c r="FE47" s="727"/>
      <c r="FF47" s="727"/>
      <c r="FG47" s="727"/>
      <c r="FH47" s="727"/>
      <c r="FI47" s="727"/>
      <c r="FJ47" s="727"/>
      <c r="FK47" s="727"/>
      <c r="FL47" s="727"/>
      <c r="FM47" s="727"/>
      <c r="FN47" s="727"/>
      <c r="FO47" s="727"/>
      <c r="FP47" s="727"/>
      <c r="FQ47" s="727"/>
      <c r="FR47" s="727"/>
      <c r="FS47" s="727"/>
      <c r="FT47" s="727"/>
      <c r="FU47" s="727"/>
      <c r="FV47" s="727"/>
      <c r="FW47" s="728"/>
      <c r="FZ47" s="700" t="s">
        <v>225</v>
      </c>
    </row>
    <row r="48" spans="1:186" ht="14.65" hidden="1" customHeight="1">
      <c r="A48" s="78"/>
      <c r="B48" s="622" t="b" cm="1">
        <f t="array" ref="B48">B47</f>
        <v>0</v>
      </c>
      <c r="C48" s="78"/>
      <c r="D48" s="78"/>
      <c r="E48" s="473">
        <v>15</v>
      </c>
      <c r="F48" s="3" cm="1">
        <f t="array" aca="1" ref="F48" ca="1">OFFSET(E48,-1,1)</f>
        <v>0</v>
      </c>
      <c r="G48" s="78"/>
      <c r="H48" s="78" t="s">
        <v>1562</v>
      </c>
      <c r="I48" s="78" t="s">
        <v>1622</v>
      </c>
      <c r="J48" s="78"/>
      <c r="K48" s="78"/>
      <c r="L48" s="78"/>
      <c r="M48" s="78"/>
      <c r="N48" s="78"/>
      <c r="O48" s="78"/>
      <c r="P48" s="78"/>
      <c r="Q48" s="78"/>
      <c r="R48" s="78"/>
      <c r="S48" s="78"/>
      <c r="T48" s="365" t="b" cm="1">
        <f t="array" aca="1" ref="T48" ca="1">T47</f>
        <v>0</v>
      </c>
      <c r="U48" s="78"/>
      <c r="V48" s="78"/>
      <c r="W48" s="78"/>
      <c r="X48" s="1094"/>
      <c r="Y48" s="78"/>
      <c r="Z48" s="1064"/>
      <c r="AA48" s="78"/>
      <c r="AB48" s="124" t="s">
        <v>1657</v>
      </c>
      <c r="AC48" s="31" t="s">
        <v>1624</v>
      </c>
      <c r="AD48" s="833">
        <f ca="1">IF(AD50=0,0,(AD49*AD50+AD51*AD52*IF(god=2026,9,6))/AD50)</f>
        <v>0</v>
      </c>
      <c r="AE48" s="833">
        <f ca="1">IF(AE50=0,0,(AE49*AE50+AE51*AE52*IF(god=2026,9,6))/AE50)</f>
        <v>0</v>
      </c>
      <c r="AF48" s="723">
        <f ca="1">IF(AD48=0,0,(AE48-AD48)/AD48*100)</f>
        <v>0</v>
      </c>
      <c r="AG48" s="833">
        <f ca="1">IF(AG50=0,0,(AG49*AG50+AG51*AG52*IF(god=2025,9,6))/AG50)</f>
        <v>0</v>
      </c>
      <c r="AH48" s="833">
        <f ca="1">IF(AH50=0,0,(AH49*AH50+AH51*AH52*IF(god=2025,9,6))/AH50)</f>
        <v>0</v>
      </c>
      <c r="AI48" s="723">
        <f ca="1">IF(AG48=0,0,(AH48-AG48)/AG48*100)</f>
        <v>0</v>
      </c>
      <c r="AJ48" s="833">
        <f ca="1">IF(AJ50=0,0,(AJ49*AJ50+AJ51*AJ52*6)/AJ50)</f>
        <v>0</v>
      </c>
      <c r="AK48" s="833">
        <f ca="1">IF(AK50=0,0,(AK49*AK50+AK51*AK52*6)/AK50)</f>
        <v>0</v>
      </c>
      <c r="AL48" s="723">
        <f ca="1">IF(AJ48=0,0,(AK48-AJ48)/AJ48*100)</f>
        <v>0</v>
      </c>
      <c r="AM48" s="833">
        <f ca="1">IF(AM50=0,0,(AM49*AM50+AM51*AM52*6)/AM50)</f>
        <v>0</v>
      </c>
      <c r="AN48" s="833">
        <f ca="1">IF(AN50=0,0,(AN49*AN50+AN51*AN52*6)/AN50)</f>
        <v>0</v>
      </c>
      <c r="AO48" s="723">
        <f ca="1">IF(AM48=0,0,(AN48-AM48)/AM48*100)</f>
        <v>0</v>
      </c>
      <c r="AP48" s="833">
        <f ca="1">IF(AP50=0,0,(AP49*AP50+AP51*AP52*6)/AP50)</f>
        <v>0</v>
      </c>
      <c r="AQ48" s="833">
        <f ca="1">IF(AQ50=0,0,(AQ49*AQ50+AQ51*AQ52*6)/AQ50)</f>
        <v>0</v>
      </c>
      <c r="AR48" s="723">
        <f ca="1">IF(AP48=0,0,(AQ48-AP48)/AP48*100)</f>
        <v>0</v>
      </c>
      <c r="AS48" s="833">
        <f ca="1">IF(AS50=0,0,(AS49*AS50+AS51*AS52*6)/AS50)</f>
        <v>0</v>
      </c>
      <c r="AT48" s="833">
        <f ca="1">IF(AT50=0,0,(AT49*AT50+AT51*AT52*6)/AT50)</f>
        <v>0</v>
      </c>
      <c r="AU48" s="723">
        <f ca="1">IF(AS48=0,0,(AT48-AS48)/AS48*100)</f>
        <v>0</v>
      </c>
      <c r="AV48" s="833">
        <f ca="1">IF(AV50=0,0,(AV49*AV50+AV51*AV52*6)/AV50)</f>
        <v>0</v>
      </c>
      <c r="AW48" s="833">
        <f ca="1">IF(AW50=0,0,(AW49*AW50+AW51*AW52*6)/AW50)</f>
        <v>0</v>
      </c>
      <c r="AX48" s="723">
        <f ca="1">IF(AV48=0,0,(AW48-AV48)/AV48*100)</f>
        <v>0</v>
      </c>
      <c r="AY48" s="833">
        <f ca="1">IF(AY50=0,0,(AY49*AY50+AY51*AY52*6)/AY50)</f>
        <v>0</v>
      </c>
      <c r="AZ48" s="833">
        <f ca="1">IF(AZ50=0,0,(AZ49*AZ50+AZ51*AZ52*6)/AZ50)</f>
        <v>0</v>
      </c>
      <c r="BA48" s="723">
        <f ca="1">IF(AY48=0,0,(AZ48-AY48)/AY48*100)</f>
        <v>0</v>
      </c>
      <c r="BB48" s="833">
        <f ca="1">IF(BB50=0,0,(BB49*BB50+BB51*BB52*6)/BB50)</f>
        <v>0</v>
      </c>
      <c r="BC48" s="833">
        <f ca="1">IF(BC50=0,0,(BC49*BC50+BC51*BC52*6)/BC50)</f>
        <v>0</v>
      </c>
      <c r="BD48" s="723">
        <f ca="1">IF(BB48=0,0,(BC48-BB48)/BB48*100)</f>
        <v>0</v>
      </c>
      <c r="BE48" s="833">
        <f ca="1">IF(BE50=0,0,(BE49*BE50+BE51*BE52*6)/BE50)</f>
        <v>0</v>
      </c>
      <c r="BF48" s="833">
        <f ca="1">IF(BF50=0,0,(BF49*BF50+BF51*BF52*6)/BF50)</f>
        <v>0</v>
      </c>
      <c r="BG48" s="723">
        <f ca="1">IF(BE48=0,0,(BF48-BE48)/BE48*100)</f>
        <v>0</v>
      </c>
      <c r="BH48" s="833">
        <f>IF(BH50=0,0,(BH49*BH50+BH51*BH52*6)/BH50)</f>
        <v>0</v>
      </c>
      <c r="BI48" s="833">
        <f>IF(BI50=0,0,(BI49*BI50+BI51*BI52*6)/BI50)</f>
        <v>0</v>
      </c>
      <c r="BJ48" s="723">
        <f>IF(BH48=0,0,(BI48-BH48)/BH48*100)</f>
        <v>0</v>
      </c>
      <c r="BK48" s="833">
        <f>IF(BK50=0,0,(BK49*BK50+BK51*BK52*6)/BK50)</f>
        <v>0</v>
      </c>
      <c r="BL48" s="833">
        <f>IF(BL50=0,0,(BL49*BL50+BL51*BL52*6)/BL50)</f>
        <v>0</v>
      </c>
      <c r="BM48" s="723">
        <f>IF(BK48=0,0,(BL48-BK48)/BK48*100)</f>
        <v>0</v>
      </c>
      <c r="BN48" s="833">
        <f>IF(BN50=0,0,(BN49*BN50+BN51*BN52*6)/BN50)</f>
        <v>0</v>
      </c>
      <c r="BO48" s="833">
        <f>IF(BO50=0,0,(BO49*BO50+BO51*BO52*6)/BO50)</f>
        <v>0</v>
      </c>
      <c r="BP48" s="723">
        <f>IF(BN48=0,0,(BO48-BN48)/BN48*100)</f>
        <v>0</v>
      </c>
      <c r="BQ48" s="833">
        <f>IF(BQ50=0,0,(BQ49*BQ50+BQ51*BQ52*6)/BQ50)</f>
        <v>0</v>
      </c>
      <c r="BR48" s="833">
        <f>IF(BR50=0,0,(BR49*BR50+BR51*BR52*6)/BR50)</f>
        <v>0</v>
      </c>
      <c r="BS48" s="723">
        <f>IF(BQ48=0,0,(BR48-BQ48)/BQ48*100)</f>
        <v>0</v>
      </c>
      <c r="BT48" s="833">
        <f>IF(BT50=0,0,(BT49*BT50+BT51*BT52*6)/BT50)</f>
        <v>0</v>
      </c>
      <c r="BU48" s="833">
        <f>IF(BU50=0,0,(BU49*BU50+BU51*BU52*6)/BU50)</f>
        <v>0</v>
      </c>
      <c r="BV48" s="723">
        <f>IF(BT48=0,0,(BU48-BT48)/BT48*100)</f>
        <v>0</v>
      </c>
      <c r="BW48" s="833">
        <f>IF(BW50=0,0,(BW49*BW50+BW51*BW52*6)/BW50)</f>
        <v>0</v>
      </c>
      <c r="BX48" s="833">
        <f>IF(BX50=0,0,(BX49*BX50+BX51*BX52*6)/BX50)</f>
        <v>0</v>
      </c>
      <c r="BY48" s="723">
        <f>IF(BW48=0,0,(BX48-BW48)/BW48*100)</f>
        <v>0</v>
      </c>
      <c r="BZ48" s="833">
        <f>IF(BZ50=0,0,(BZ49*BZ50+BZ51*BZ52*6)/BZ50)</f>
        <v>0</v>
      </c>
      <c r="CA48" s="833">
        <f>IF(CA50=0,0,(CA49*CA50+CA51*CA52*6)/CA50)</f>
        <v>0</v>
      </c>
      <c r="CB48" s="723">
        <f>IF(BZ48=0,0,(CA48-BZ48)/BZ48*100)</f>
        <v>0</v>
      </c>
      <c r="CC48" s="833">
        <f>IF(CC50=0,0,(CC49*CC50+CC51*CC52*6)/CC50)</f>
        <v>0</v>
      </c>
      <c r="CD48" s="833">
        <f>IF(CD50=0,0,(CD49*CD50+CD51*CD52*6)/CD50)</f>
        <v>0</v>
      </c>
      <c r="CE48" s="723">
        <f>IF(CC48=0,0,(CD48-CC48)/CC48*100)</f>
        <v>0</v>
      </c>
      <c r="CF48" s="833">
        <f>IF(CF50=0,0,(CF49*CF50+CF51*CF52*6)/CF50)</f>
        <v>0</v>
      </c>
      <c r="CG48" s="833">
        <f>IF(CG50=0,0,(CG49*CG50+CG51*CG52*6)/CG50)</f>
        <v>0</v>
      </c>
      <c r="CH48" s="723">
        <f>IF(CF48=0,0,(CG48-CF48)/CF48*100)</f>
        <v>0</v>
      </c>
      <c r="CI48" s="833">
        <f>IF(CI50=0,0,(CI49*CI50+CI51*CI52*6)/CI50)</f>
        <v>0</v>
      </c>
      <c r="CJ48" s="833">
        <f>IF(CJ50=0,0,(CJ49*CJ50+CJ51*CJ52*6)/CJ50)</f>
        <v>0</v>
      </c>
      <c r="CK48" s="723">
        <f>IF(CI48=0,0,(CJ48-CI48)/CI48*100)</f>
        <v>0</v>
      </c>
      <c r="CL48" s="833">
        <f>IF(CL50=0,0,(CL49*CL50+CL51*CL52*6)/CL50)</f>
        <v>0</v>
      </c>
      <c r="CM48" s="833">
        <f>IF(CM50=0,0,(CM49*CM50+CM51*CM52*6)/CM50)</f>
        <v>0</v>
      </c>
      <c r="CN48" s="723">
        <f>IF(CL48=0,0,(CM48-CL48)/CL48*100)</f>
        <v>0</v>
      </c>
      <c r="CO48" s="833">
        <f>IF(CO50=0,0,(CO49*CO50+CO51*CO52*6)/CO50)</f>
        <v>0</v>
      </c>
      <c r="CP48" s="833">
        <f>IF(CP50=0,0,(CP49*CP50+CP51*CP52*6)/CP50)</f>
        <v>0</v>
      </c>
      <c r="CQ48" s="723">
        <f>IF(CO48=0,0,(CP48-CO48)/CO48*100)</f>
        <v>0</v>
      </c>
      <c r="CR48" s="833">
        <f>IF(CR50=0,0,(CR49*CR50+CR51*CR52*6)/CR50)</f>
        <v>0</v>
      </c>
      <c r="CS48" s="833">
        <f>IF(CS50=0,0,(CS49*CS50+CS51*CS52*6)/CS50)</f>
        <v>0</v>
      </c>
      <c r="CT48" s="723">
        <f>IF(CR48=0,0,(CS48-CR48)/CR48*100)</f>
        <v>0</v>
      </c>
      <c r="CU48" s="833">
        <f>IF(CU50=0,0,(CU49*CU50+CU51*CU52*6)/CU50)</f>
        <v>0</v>
      </c>
      <c r="CV48" s="833">
        <f>IF(CV50=0,0,(CV49*CV50+CV51*CV52*6)/CV50)</f>
        <v>0</v>
      </c>
      <c r="CW48" s="723">
        <f>IF(CU48=0,0,(CV48-CU48)/CU48*100)</f>
        <v>0</v>
      </c>
      <c r="CX48" s="833">
        <f>IF(CX50=0,0,(CX49*CX50+CX51*CX52*6)/CX50)</f>
        <v>0</v>
      </c>
      <c r="CY48" s="833">
        <f>IF(CY50=0,0,(CY49*CY50+CY51*CY52*6)/CY50)</f>
        <v>0</v>
      </c>
      <c r="CZ48" s="723">
        <f>IF(CX48=0,0,(CY48-CX48)/CX48*100)</f>
        <v>0</v>
      </c>
      <c r="DA48" s="833">
        <f>IF(DA50=0,0,(DA49*DA50+DA51*DA52*6)/DA50)</f>
        <v>0</v>
      </c>
      <c r="DB48" s="833">
        <f>IF(DB50=0,0,(DB49*DB50+DB51*DB52*6)/DB50)</f>
        <v>0</v>
      </c>
      <c r="DC48" s="723">
        <f>IF(DA48=0,0,(DB48-DA48)/DA48*100)</f>
        <v>0</v>
      </c>
      <c r="DD48" s="833">
        <f>IF(DD50=0,0,(DD49*DD50+DD51*DD52*6)/DD50)</f>
        <v>0</v>
      </c>
      <c r="DE48" s="833">
        <f>IF(DE50=0,0,(DE49*DE50+DE51*DE52*6)/DE50)</f>
        <v>0</v>
      </c>
      <c r="DF48" s="723">
        <f>IF(DD48=0,0,(DE48-DD48)/DD48*100)</f>
        <v>0</v>
      </c>
      <c r="DG48" s="833">
        <f>IF(DG50=0,0,(DG49*DG50+DG51*DG52*6)/DG50)</f>
        <v>0</v>
      </c>
      <c r="DH48" s="833">
        <f>IF(DH50=0,0,(DH49*DH50+DH51*DH52*6)/DH50)</f>
        <v>0</v>
      </c>
      <c r="DI48" s="723">
        <f>IF(DG48=0,0,(DH48-DG48)/DG48*100)</f>
        <v>0</v>
      </c>
      <c r="DJ48" s="833">
        <f>IF(DJ50=0,0,(DJ49*DJ50+DJ51*DJ52*6)/DJ50)</f>
        <v>0</v>
      </c>
      <c r="DK48" s="833">
        <f>IF(DK50=0,0,(DK49*DK50+DK51*DK52*6)/DK50)</f>
        <v>0</v>
      </c>
      <c r="DL48" s="723">
        <f>IF(DJ48=0,0,(DK48-DJ48)/DJ48*100)</f>
        <v>0</v>
      </c>
      <c r="DM48" s="833">
        <f>IF(DM50=0,0,(DM49*DM50+DM51*DM52*6)/DM50)</f>
        <v>0</v>
      </c>
      <c r="DN48" s="833">
        <f>IF(DN50=0,0,(DN49*DN50+DN51*DN52*6)/DN50)</f>
        <v>0</v>
      </c>
      <c r="DO48" s="723">
        <f>IF(DM48=0,0,(DN48-DM48)/DM48*100)</f>
        <v>0</v>
      </c>
      <c r="DP48" s="833">
        <f>IF(DP50=0,0,(DP49*DP50+DP51*DP52*6)/DP50)</f>
        <v>0</v>
      </c>
      <c r="DQ48" s="833">
        <f>IF(DQ50=0,0,(DQ49*DQ50+DQ51*DQ52*6)/DQ50)</f>
        <v>0</v>
      </c>
      <c r="DR48" s="723">
        <f>IF(DP48=0,0,(DQ48-DP48)/DP48*100)</f>
        <v>0</v>
      </c>
      <c r="DS48" s="833">
        <f>IF(DS50=0,0,(DS49*DS50+DS51*DS52*6)/DS50)</f>
        <v>0</v>
      </c>
      <c r="DT48" s="833">
        <f>IF(DT50=0,0,(DT49*DT50+DT51*DT52*6)/DT50)</f>
        <v>0</v>
      </c>
      <c r="DU48" s="723">
        <f>IF(DS48=0,0,(DT48-DS48)/DS48*100)</f>
        <v>0</v>
      </c>
      <c r="DV48" s="833">
        <f>IF(DV50=0,0,(DV49*DV50+DV51*DV52*6)/DV50)</f>
        <v>0</v>
      </c>
      <c r="DW48" s="833">
        <f>IF(DW50=0,0,(DW49*DW50+DW51*DW52*6)/DW50)</f>
        <v>0</v>
      </c>
      <c r="DX48" s="723">
        <f>IF(DV48=0,0,(DW48-DV48)/DV48*100)</f>
        <v>0</v>
      </c>
      <c r="DY48" s="833">
        <f>IF(DY50=0,0,(DY49*DY50+DY51*DY52*6)/DY50)</f>
        <v>0</v>
      </c>
      <c r="DZ48" s="833">
        <f>IF(DZ50=0,0,(DZ49*DZ50+DZ51*DZ52*6)/DZ50)</f>
        <v>0</v>
      </c>
      <c r="EA48" s="723">
        <f>IF(DY48=0,0,(DZ48-DY48)/DY48*100)</f>
        <v>0</v>
      </c>
      <c r="EB48" s="833">
        <f>IF(EB50=0,0,(EB49*EB50+EB51*EB52*6)/EB50)</f>
        <v>0</v>
      </c>
      <c r="EC48" s="833">
        <f>IF(EC50=0,0,(EC49*EC50+EC51*EC52*6)/EC50)</f>
        <v>0</v>
      </c>
      <c r="ED48" s="723">
        <f>IF(EB48=0,0,(EC48-EB48)/EB48*100)</f>
        <v>0</v>
      </c>
      <c r="EE48" s="833">
        <f>IF(EE50=0,0,(EE49*EE50+EE51*EE52*6)/EE50)</f>
        <v>0</v>
      </c>
      <c r="EF48" s="833">
        <f>IF(EF50=0,0,(EF49*EF50+EF51*EF52*6)/EF50)</f>
        <v>0</v>
      </c>
      <c r="EG48" s="723">
        <f>IF(EE48=0,0,(EF48-EE48)/EE48*100)</f>
        <v>0</v>
      </c>
      <c r="EH48" s="833">
        <f>IF(EH50=0,0,(EH49*EH50+EH51*EH52*6)/EH50)</f>
        <v>0</v>
      </c>
      <c r="EI48" s="833">
        <f>IF(EI50=0,0,(EI49*EI50+EI51*EI52*6)/EI50)</f>
        <v>0</v>
      </c>
      <c r="EJ48" s="723">
        <f>IF(EH48=0,0,(EI48-EH48)/EH48*100)</f>
        <v>0</v>
      </c>
      <c r="EK48" s="833">
        <f>IF(EK50=0,0,(EK49*EK50+EK51*EK52*6)/EK50)</f>
        <v>0</v>
      </c>
      <c r="EL48" s="833">
        <f>IF(EL50=0,0,(EL49*EL50+EL51*EL52*6)/EL50)</f>
        <v>0</v>
      </c>
      <c r="EM48" s="723">
        <f>IF(EK48=0,0,(EL48-EK48)/EK48*100)</f>
        <v>0</v>
      </c>
      <c r="EN48" s="833">
        <f>IF(EN50=0,0,(EN49*EN50+EN51*EN52*6)/EN50)</f>
        <v>0</v>
      </c>
      <c r="EO48" s="833">
        <f>IF(EO50=0,0,(EO49*EO50+EO51*EO52*6)/EO50)</f>
        <v>0</v>
      </c>
      <c r="EP48" s="723">
        <f>IF(EN48=0,0,(EO48-EN48)/EN48*100)</f>
        <v>0</v>
      </c>
      <c r="EQ48" s="833">
        <f>IF(EQ50=0,0,(EQ49*EQ50+EQ51*EQ52*6)/EQ50)</f>
        <v>0</v>
      </c>
      <c r="ER48" s="833">
        <f>IF(ER50=0,0,(ER49*ER50+ER51*ER52*6)/ER50)</f>
        <v>0</v>
      </c>
      <c r="ES48" s="723">
        <f>IF(EQ48=0,0,(ER48-EQ48)/EQ48*100)</f>
        <v>0</v>
      </c>
      <c r="ET48" s="833">
        <f>IF(ET50=0,0,(ET49*ET50+ET51*ET52*6)/ET50)</f>
        <v>0</v>
      </c>
      <c r="EU48" s="833">
        <f>IF(EU50=0,0,(EU49*EU50+EU51*EU52*6)/EU50)</f>
        <v>0</v>
      </c>
      <c r="EV48" s="723">
        <f>IF(ET48=0,0,(EU48-ET48)/ET48*100)</f>
        <v>0</v>
      </c>
      <c r="EW48" s="833">
        <f>IF(EW50=0,0,(EW49*EW50+EW51*EW52*6)/EW50)</f>
        <v>0</v>
      </c>
      <c r="EX48" s="833">
        <f>IF(EX50=0,0,(EX49*EX50+EX51*EX52*6)/EX50)</f>
        <v>0</v>
      </c>
      <c r="EY48" s="723">
        <f>IF(EW48=0,0,(EX48-EW48)/EW48*100)</f>
        <v>0</v>
      </c>
      <c r="EZ48" s="833">
        <f>IF(EZ50=0,0,(EZ49*EZ50+EZ51*EZ52*6)/EZ50)</f>
        <v>0</v>
      </c>
      <c r="FA48" s="833">
        <f>IF(FA50=0,0,(FA49*FA50+FA51*FA52*6)/FA50)</f>
        <v>0</v>
      </c>
      <c r="FB48" s="723">
        <f>IF(EZ48=0,0,(FA48-EZ48)/EZ48*100)</f>
        <v>0</v>
      </c>
      <c r="FC48" s="833">
        <f>IF(FC50=0,0,(FC49*FC50+FC51*FC52*6)/FC50)</f>
        <v>0</v>
      </c>
      <c r="FD48" s="833">
        <f>IF(FD50=0,0,(FD49*FD50+FD51*FD52*6)/FD50)</f>
        <v>0</v>
      </c>
      <c r="FE48" s="723">
        <f>IF(FC48=0,0,(FD48-FC48)/FC48*100)</f>
        <v>0</v>
      </c>
      <c r="FF48" s="833">
        <f>IF(FF50=0,0,(FF49*FF50+FF51*FF52*6)/FF50)</f>
        <v>0</v>
      </c>
      <c r="FG48" s="833">
        <f>IF(FG50=0,0,(FG49*FG50+FG51*FG52*6)/FG50)</f>
        <v>0</v>
      </c>
      <c r="FH48" s="723">
        <f>IF(FF48=0,0,(FG48-FF48)/FF48*100)</f>
        <v>0</v>
      </c>
      <c r="FI48" s="833">
        <f>IF(FI50=0,0,(FI49*FI50+FI51*FI52*6)/FI50)</f>
        <v>0</v>
      </c>
      <c r="FJ48" s="833">
        <f>IF(FJ50=0,0,(FJ49*FJ50+FJ51*FJ52*6)/FJ50)</f>
        <v>0</v>
      </c>
      <c r="FK48" s="723">
        <f>IF(FI48=0,0,(FJ48-FI48)/FI48*100)</f>
        <v>0</v>
      </c>
      <c r="FL48" s="833">
        <f>IF(FL50=0,0,(FL49*FL50+FL51*FL52*6)/FL50)</f>
        <v>0</v>
      </c>
      <c r="FM48" s="833">
        <f>IF(FM50=0,0,(FM49*FM50+FM51*FM52*6)/FM50)</f>
        <v>0</v>
      </c>
      <c r="FN48" s="723">
        <f>IF(FL48=0,0,(FM48-FL48)/FL48*100)</f>
        <v>0</v>
      </c>
      <c r="FO48" s="833">
        <f>IF(FO50=0,0,(FO49*FO50+FO51*FO52*6)/FO50)</f>
        <v>0</v>
      </c>
      <c r="FP48" s="833">
        <f>IF(FP50=0,0,(FP49*FP50+FP51*FP52*6)/FP50)</f>
        <v>0</v>
      </c>
      <c r="FQ48" s="723">
        <f>IF(FO48=0,0,(FP48-FO48)/FO48*100)</f>
        <v>0</v>
      </c>
      <c r="FR48" s="833">
        <f>IF(FR50=0,0,(FR49*FR50+FR51*FR52*6)/FR50)</f>
        <v>0</v>
      </c>
      <c r="FS48" s="833">
        <f>IF(FS50=0,0,(FS49*FS50+FS51*FS52*6)/FS50)</f>
        <v>0</v>
      </c>
      <c r="FT48" s="723">
        <f>IF(FR48=0,0,(FS48-FR48)/FR48*100)</f>
        <v>0</v>
      </c>
      <c r="FU48" s="833">
        <f>IF(FU50=0,0,(FU49*FU50+FU51*FU52*6)/FU50)</f>
        <v>0</v>
      </c>
      <c r="FV48" s="833">
        <f>IF(FV50=0,0,(FV49*FV50+FV51*FV52*6)/FV50)</f>
        <v>0</v>
      </c>
      <c r="FW48" s="723">
        <f>IF(FU48=0,0,(FV48-FU48)/FU48*100)</f>
        <v>0</v>
      </c>
      <c r="FZ48" s="700" t="s">
        <v>1658</v>
      </c>
    </row>
    <row r="49" spans="1:182" ht="14.65" hidden="1" customHeight="1">
      <c r="A49" s="78"/>
      <c r="B49" s="622" t="b" cm="1">
        <f t="array" ref="B49">B48</f>
        <v>0</v>
      </c>
      <c r="C49" s="78"/>
      <c r="D49" s="78"/>
      <c r="E49" s="473">
        <v>15</v>
      </c>
      <c r="F49" s="3" cm="1">
        <f t="array" aca="1" ref="F49" ca="1">OFFSET(E49,-1,1)</f>
        <v>0</v>
      </c>
      <c r="G49" s="78"/>
      <c r="H49" s="78" t="s">
        <v>1566</v>
      </c>
      <c r="I49" s="78" t="s">
        <v>1622</v>
      </c>
      <c r="J49" s="78"/>
      <c r="K49" s="78"/>
      <c r="L49" s="78"/>
      <c r="M49" s="78"/>
      <c r="N49" s="78"/>
      <c r="O49" s="78"/>
      <c r="P49" s="78"/>
      <c r="Q49" s="78"/>
      <c r="R49" s="78"/>
      <c r="S49" s="78"/>
      <c r="T49" s="365" t="b" cm="1">
        <f t="array" aca="1" ref="T49" ca="1">T48</f>
        <v>0</v>
      </c>
      <c r="U49" s="78"/>
      <c r="V49" s="78"/>
      <c r="W49" s="78"/>
      <c r="X49" s="1094"/>
      <c r="Y49" s="78"/>
      <c r="Z49" s="1064"/>
      <c r="AA49" s="78"/>
      <c r="AB49" s="124" t="str">
        <f>"ставка платы за "&amp;IF(Q29="Водоснабжение","потребление 1 куб.м холодной воды","объем принятых сточных вод")</f>
        <v>ставка платы за объем принятых сточных вод</v>
      </c>
      <c r="AC49" s="31" t="s">
        <v>1624</v>
      </c>
      <c r="AD49" s="833"/>
      <c r="AE49" s="833"/>
      <c r="AF49" s="723">
        <f>IF(AD49=0,0,(AE49-AD49)/AD49*100)</f>
        <v>0</v>
      </c>
      <c r="AG49" s="833"/>
      <c r="AH49" s="833"/>
      <c r="AI49" s="723">
        <f>IF(AG49=0,0,(AH49-AG49)/AG49*100)</f>
        <v>0</v>
      </c>
      <c r="AJ49" s="833"/>
      <c r="AK49" s="833"/>
      <c r="AL49" s="723">
        <f>IF(AJ49=0,0,(AK49-AJ49)/AJ49*100)</f>
        <v>0</v>
      </c>
      <c r="AM49" s="833"/>
      <c r="AN49" s="833"/>
      <c r="AO49" s="723">
        <f>IF(AM49=0,0,(AN49-AM49)/AM49*100)</f>
        <v>0</v>
      </c>
      <c r="AP49" s="833"/>
      <c r="AQ49" s="833"/>
      <c r="AR49" s="723">
        <f>IF(AP49=0,0,(AQ49-AP49)/AP49*100)</f>
        <v>0</v>
      </c>
      <c r="AS49" s="833"/>
      <c r="AT49" s="833"/>
      <c r="AU49" s="723">
        <f>IF(AS49=0,0,(AT49-AS49)/AS49*100)</f>
        <v>0</v>
      </c>
      <c r="AV49" s="833"/>
      <c r="AW49" s="833"/>
      <c r="AX49" s="723">
        <f>IF(AV49=0,0,(AW49-AV49)/AV49*100)</f>
        <v>0</v>
      </c>
      <c r="AY49" s="833"/>
      <c r="AZ49" s="833"/>
      <c r="BA49" s="723">
        <f>IF(AY49=0,0,(AZ49-AY49)/AY49*100)</f>
        <v>0</v>
      </c>
      <c r="BB49" s="833"/>
      <c r="BC49" s="833"/>
      <c r="BD49" s="723">
        <f>IF(BB49=0,0,(BC49-BB49)/BB49*100)</f>
        <v>0</v>
      </c>
      <c r="BE49" s="833"/>
      <c r="BF49" s="833"/>
      <c r="BG49" s="723">
        <f>IF(BE49=0,0,(BF49-BE49)/BE49*100)</f>
        <v>0</v>
      </c>
      <c r="BH49" s="833"/>
      <c r="BI49" s="833"/>
      <c r="BJ49" s="723">
        <f>IF(BH49=0,0,(BI49-BH49)/BH49*100)</f>
        <v>0</v>
      </c>
      <c r="BK49" s="833"/>
      <c r="BL49" s="833"/>
      <c r="BM49" s="723">
        <f>IF(BK49=0,0,(BL49-BK49)/BK49*100)</f>
        <v>0</v>
      </c>
      <c r="BN49" s="833"/>
      <c r="BO49" s="833"/>
      <c r="BP49" s="723">
        <f>IF(BN49=0,0,(BO49-BN49)/BN49*100)</f>
        <v>0</v>
      </c>
      <c r="BQ49" s="833"/>
      <c r="BR49" s="833"/>
      <c r="BS49" s="723">
        <f>IF(BQ49=0,0,(BR49-BQ49)/BQ49*100)</f>
        <v>0</v>
      </c>
      <c r="BT49" s="833"/>
      <c r="BU49" s="833"/>
      <c r="BV49" s="723">
        <f>IF(BT49=0,0,(BU49-BT49)/BT49*100)</f>
        <v>0</v>
      </c>
      <c r="BW49" s="833"/>
      <c r="BX49" s="833"/>
      <c r="BY49" s="723">
        <f>IF(BW49=0,0,(BX49-BW49)/BW49*100)</f>
        <v>0</v>
      </c>
      <c r="BZ49" s="833"/>
      <c r="CA49" s="833"/>
      <c r="CB49" s="723">
        <f>IF(BZ49=0,0,(CA49-BZ49)/BZ49*100)</f>
        <v>0</v>
      </c>
      <c r="CC49" s="833"/>
      <c r="CD49" s="833"/>
      <c r="CE49" s="723">
        <f>IF(CC49=0,0,(CD49-CC49)/CC49*100)</f>
        <v>0</v>
      </c>
      <c r="CF49" s="833"/>
      <c r="CG49" s="833"/>
      <c r="CH49" s="723">
        <f>IF(CF49=0,0,(CG49-CF49)/CF49*100)</f>
        <v>0</v>
      </c>
      <c r="CI49" s="833"/>
      <c r="CJ49" s="833"/>
      <c r="CK49" s="723">
        <f>IF(CI49=0,0,(CJ49-CI49)/CI49*100)</f>
        <v>0</v>
      </c>
      <c r="CL49" s="833"/>
      <c r="CM49" s="833"/>
      <c r="CN49" s="723">
        <f>IF(CL49=0,0,(CM49-CL49)/CL49*100)</f>
        <v>0</v>
      </c>
      <c r="CO49" s="833"/>
      <c r="CP49" s="833"/>
      <c r="CQ49" s="723">
        <f>IF(CO49=0,0,(CP49-CO49)/CO49*100)</f>
        <v>0</v>
      </c>
      <c r="CR49" s="833"/>
      <c r="CS49" s="833"/>
      <c r="CT49" s="723">
        <f>IF(CR49=0,0,(CS49-CR49)/CR49*100)</f>
        <v>0</v>
      </c>
      <c r="CU49" s="833"/>
      <c r="CV49" s="833"/>
      <c r="CW49" s="723">
        <f>IF(CU49=0,0,(CV49-CU49)/CU49*100)</f>
        <v>0</v>
      </c>
      <c r="CX49" s="833"/>
      <c r="CY49" s="833"/>
      <c r="CZ49" s="723">
        <f>IF(CX49=0,0,(CY49-CX49)/CX49*100)</f>
        <v>0</v>
      </c>
      <c r="DA49" s="833"/>
      <c r="DB49" s="833"/>
      <c r="DC49" s="723">
        <f>IF(DA49=0,0,(DB49-DA49)/DA49*100)</f>
        <v>0</v>
      </c>
      <c r="DD49" s="833"/>
      <c r="DE49" s="833"/>
      <c r="DF49" s="723">
        <f>IF(DD49=0,0,(DE49-DD49)/DD49*100)</f>
        <v>0</v>
      </c>
      <c r="DG49" s="833"/>
      <c r="DH49" s="833"/>
      <c r="DI49" s="723">
        <f>IF(DG49=0,0,(DH49-DG49)/DG49*100)</f>
        <v>0</v>
      </c>
      <c r="DJ49" s="833"/>
      <c r="DK49" s="833"/>
      <c r="DL49" s="723">
        <f>IF(DJ49=0,0,(DK49-DJ49)/DJ49*100)</f>
        <v>0</v>
      </c>
      <c r="DM49" s="833"/>
      <c r="DN49" s="833"/>
      <c r="DO49" s="723">
        <f>IF(DM49=0,0,(DN49-DM49)/DM49*100)</f>
        <v>0</v>
      </c>
      <c r="DP49" s="833"/>
      <c r="DQ49" s="833"/>
      <c r="DR49" s="723">
        <f>IF(DP49=0,0,(DQ49-DP49)/DP49*100)</f>
        <v>0</v>
      </c>
      <c r="DS49" s="833"/>
      <c r="DT49" s="833"/>
      <c r="DU49" s="723">
        <f>IF(DS49=0,0,(DT49-DS49)/DS49*100)</f>
        <v>0</v>
      </c>
      <c r="DV49" s="833"/>
      <c r="DW49" s="833"/>
      <c r="DX49" s="723">
        <f>IF(DV49=0,0,(DW49-DV49)/DV49*100)</f>
        <v>0</v>
      </c>
      <c r="DY49" s="833"/>
      <c r="DZ49" s="833"/>
      <c r="EA49" s="723">
        <f>IF(DY49=0,0,(DZ49-DY49)/DY49*100)</f>
        <v>0</v>
      </c>
      <c r="EB49" s="833"/>
      <c r="EC49" s="833"/>
      <c r="ED49" s="723">
        <f>IF(EB49=0,0,(EC49-EB49)/EB49*100)</f>
        <v>0</v>
      </c>
      <c r="EE49" s="833"/>
      <c r="EF49" s="833"/>
      <c r="EG49" s="723">
        <f>IF(EE49=0,0,(EF49-EE49)/EE49*100)</f>
        <v>0</v>
      </c>
      <c r="EH49" s="833"/>
      <c r="EI49" s="833"/>
      <c r="EJ49" s="723">
        <f>IF(EH49=0,0,(EI49-EH49)/EH49*100)</f>
        <v>0</v>
      </c>
      <c r="EK49" s="833"/>
      <c r="EL49" s="833"/>
      <c r="EM49" s="723">
        <f>IF(EK49=0,0,(EL49-EK49)/EK49*100)</f>
        <v>0</v>
      </c>
      <c r="EN49" s="833"/>
      <c r="EO49" s="833"/>
      <c r="EP49" s="723">
        <f>IF(EN49=0,0,(EO49-EN49)/EN49*100)</f>
        <v>0</v>
      </c>
      <c r="EQ49" s="833"/>
      <c r="ER49" s="833"/>
      <c r="ES49" s="723">
        <f>IF(EQ49=0,0,(ER49-EQ49)/EQ49*100)</f>
        <v>0</v>
      </c>
      <c r="ET49" s="833"/>
      <c r="EU49" s="833"/>
      <c r="EV49" s="723">
        <f>IF(ET49=0,0,(EU49-ET49)/ET49*100)</f>
        <v>0</v>
      </c>
      <c r="EW49" s="833"/>
      <c r="EX49" s="833"/>
      <c r="EY49" s="723">
        <f>IF(EW49=0,0,(EX49-EW49)/EW49*100)</f>
        <v>0</v>
      </c>
      <c r="EZ49" s="833"/>
      <c r="FA49" s="833"/>
      <c r="FB49" s="723">
        <f>IF(EZ49=0,0,(FA49-EZ49)/EZ49*100)</f>
        <v>0</v>
      </c>
      <c r="FC49" s="833"/>
      <c r="FD49" s="833"/>
      <c r="FE49" s="723">
        <f>IF(FC49=0,0,(FD49-FC49)/FC49*100)</f>
        <v>0</v>
      </c>
      <c r="FF49" s="833"/>
      <c r="FG49" s="833"/>
      <c r="FH49" s="723">
        <f>IF(FF49=0,0,(FG49-FF49)/FF49*100)</f>
        <v>0</v>
      </c>
      <c r="FI49" s="833"/>
      <c r="FJ49" s="833"/>
      <c r="FK49" s="723">
        <f>IF(FI49=0,0,(FJ49-FI49)/FI49*100)</f>
        <v>0</v>
      </c>
      <c r="FL49" s="833"/>
      <c r="FM49" s="833"/>
      <c r="FN49" s="723">
        <f>IF(FL49=0,0,(FM49-FL49)/FL49*100)</f>
        <v>0</v>
      </c>
      <c r="FO49" s="833"/>
      <c r="FP49" s="833"/>
      <c r="FQ49" s="723">
        <f>IF(FO49=0,0,(FP49-FO49)/FO49*100)</f>
        <v>0</v>
      </c>
      <c r="FR49" s="833"/>
      <c r="FS49" s="833"/>
      <c r="FT49" s="723">
        <f>IF(FR49=0,0,(FS49-FR49)/FR49*100)</f>
        <v>0</v>
      </c>
      <c r="FU49" s="833"/>
      <c r="FV49" s="833"/>
      <c r="FW49" s="723">
        <f>IF(FU49=0,0,(FV49-FU49)/FU49*100)</f>
        <v>0</v>
      </c>
      <c r="FZ49" s="700" t="s">
        <v>1659</v>
      </c>
    </row>
    <row r="50" spans="1:182" ht="14.65" hidden="1" customHeight="1">
      <c r="A50" s="78"/>
      <c r="B50" s="622" t="b" cm="1">
        <f t="array" ref="B50">B49</f>
        <v>0</v>
      </c>
      <c r="C50" s="78"/>
      <c r="D50" s="78"/>
      <c r="E50" s="473">
        <v>15</v>
      </c>
      <c r="F50" s="3" cm="1">
        <f t="array" aca="1" ref="F50" ca="1">OFFSET(E50,-1,1)</f>
        <v>0</v>
      </c>
      <c r="G50" s="44" t="s">
        <v>1660</v>
      </c>
      <c r="H50" s="78" t="s">
        <v>1661</v>
      </c>
      <c r="I50" s="78" t="s">
        <v>1622</v>
      </c>
      <c r="J50" s="78"/>
      <c r="K50" s="78"/>
      <c r="L50" s="78"/>
      <c r="M50" s="78"/>
      <c r="N50" s="78"/>
      <c r="O50" s="78"/>
      <c r="P50" s="78"/>
      <c r="Q50" s="78"/>
      <c r="R50" s="78"/>
      <c r="S50" s="78"/>
      <c r="T50" s="365" t="b" cm="1">
        <f t="array" aca="1" ref="T50" ca="1">T49</f>
        <v>0</v>
      </c>
      <c r="U50" s="78"/>
      <c r="V50" s="78"/>
      <c r="W50" s="78"/>
      <c r="X50" s="1094"/>
      <c r="Y50" s="78"/>
      <c r="Z50" s="1064"/>
      <c r="AA50" s="78"/>
      <c r="AB50" s="124" t="str">
        <f>"объём "&amp;IF(Q29="Водоснабжение","потребления холодной воды","водоотведения")</f>
        <v>объём водоотведения</v>
      </c>
      <c r="AC50" s="31" t="s">
        <v>534</v>
      </c>
      <c r="AD50" s="849">
        <f ca="1">IF(AND(method_reg="Метод индексации",god&lt;&gt;first_year),SUMIFS(INDEX('Калькуляция (МИ корр)'!$AJ$25:$BC$459,,MATCH(AD$8,'Калькуляция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(МИ)'!$AJ$25:$BC$459,,MATCH(AD$8,'Калькуляция (МИ)'!$AJ$8:$BC$8,0)),'Калькуляция (МИ)'!$F$25:$F$459,$F50,'Калькуляция (МИ)'!$G$25:$G$459,$G50))))</f>
        <v>0</v>
      </c>
      <c r="AE50" s="849">
        <f ca="1">IF(AND(method_reg="Метод индексации",god&lt;&gt;first_year),SUMIFS(INDEX('Калькуляция (МИ корр)'!$AJ$25:$BC$459,,MATCH(AE$8,'Калькуляция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(МИ)'!$AJ$25:$BC$459,,MATCH(AE$8,'Калькуляция (МИ)'!$AJ$8:$BC$8,0)),'Калькуляция (МИ)'!$F$25:$F$459,$F50,'Калькуляция (МИ)'!$G$25:$G$459,$G50))))</f>
        <v>0</v>
      </c>
      <c r="AF50" s="724">
        <f ca="1">IF(AD50=0,0,(AE50-AD50)/AD50*100)</f>
        <v>0</v>
      </c>
      <c r="AG50" s="849">
        <f ca="1">IF(AND(method_reg="Метод индексации",god&lt;&gt;first_year),SUMIFS(INDEX('Калькуляция (МИ корр)'!$AJ$25:$BC$459,,MATCH(AG$8,'Калькуляция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(МИ)'!$AJ$25:$BC$459,,MATCH(AG$8,'Калькуляция (МИ)'!$AJ$8:$BC$8,0)),'Калькуляция (МИ)'!$F$25:$F$459,$F50,'Калькуляция (МИ)'!$G$25:$G$459,$G50))))</f>
        <v>0</v>
      </c>
      <c r="AH50" s="849">
        <f ca="1">IF(AND(method_reg="Метод индексации",god&lt;&gt;first_year),SUMIFS(INDEX('Калькуляция (МИ корр)'!$AJ$25:$BC$459,,MATCH(AH$8,'Калькуляция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(МИ)'!$AJ$25:$BC$459,,MATCH(AH$8,'Калькуляция (МИ)'!$AJ$8:$BC$8,0)),'Калькуляция (МИ)'!$F$25:$F$459,$F50,'Калькуляция (МИ)'!$G$25:$G$459,$G50))))</f>
        <v>0</v>
      </c>
      <c r="AI50" s="724">
        <f ca="1">IF(AG50=0,0,(AH50-AG50)/AG50*100)</f>
        <v>0</v>
      </c>
      <c r="AJ50" s="849">
        <f ca="1">IF(AND(method_reg="Метод индексации",god&lt;&gt;first_year),SUMIFS(INDEX('Калькуляция (МИ корр)'!$AJ$25:$BC$459,,MATCH(AJ$8,'Калькуляция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(МИ)'!$AJ$25:$BC$459,,MATCH(AJ$8,'Калькуляция (МИ)'!$AJ$8:$BC$8,0)),'Калькуляция (МИ)'!$F$25:$F$459,$F50,'Калькуляция (МИ)'!$G$25:$G$459,$G50))))</f>
        <v>0</v>
      </c>
      <c r="AK50" s="849">
        <f ca="1">IF(AND(method_reg="Метод индексации",god&lt;&gt;first_year),SUMIFS(INDEX('Калькуляция (МИ корр)'!$AJ$25:$BC$459,,MATCH(AK$8,'Калькуляция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(МИ)'!$AJ$25:$BC$459,,MATCH(AK$8,'Калькуляция (МИ)'!$AJ$8:$BC$8,0)),'Калькуляция (МИ)'!$F$25:$F$459,$F50,'Калькуляция (МИ)'!$G$25:$G$459,$G50))))</f>
        <v>0</v>
      </c>
      <c r="AL50" s="724">
        <f ca="1">IF(AJ50=0,0,(AK50-AJ50)/AJ50*100)</f>
        <v>0</v>
      </c>
      <c r="AM50" s="849">
        <f ca="1">IF(AND(method_reg="Метод индексации",god&lt;&gt;first_year),SUMIFS(INDEX('Калькуляция (МИ корр)'!$AJ$25:$BC$459,,MATCH(AM$8,'Калькуляция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(МИ)'!$AJ$25:$BC$459,,MATCH(AM$8,'Калькуляция (МИ)'!$AJ$8:$BC$8,0)),'Калькуляция (МИ)'!$F$25:$F$459,$F50,'Калькуляция (МИ)'!$G$25:$G$459,$G50))))</f>
        <v>0</v>
      </c>
      <c r="AN50" s="849">
        <f ca="1">IF(AND(method_reg="Метод индексации",god&lt;&gt;first_year),SUMIFS(INDEX('Калькуляция (МИ корр)'!$AJ$25:$BC$459,,MATCH(AN$8,'Калькуляция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(МИ)'!$AJ$25:$BC$459,,MATCH(AN$8,'Калькуляция (МИ)'!$AJ$8:$BC$8,0)),'Калькуляция (МИ)'!$F$25:$F$459,$F50,'Калькуляция (МИ)'!$G$25:$G$459,$G50))))</f>
        <v>0</v>
      </c>
      <c r="AO50" s="724">
        <f ca="1">IF(AM50=0,0,(AN50-AM50)/AM50*100)</f>
        <v>0</v>
      </c>
      <c r="AP50" s="849">
        <f ca="1">IF(AND(method_reg="Метод индексации",god&lt;&gt;first_year),SUMIFS(INDEX('Калькуляция (МИ корр)'!$AJ$25:$BC$459,,MATCH(AP$8,'Калькуляция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(МИ)'!$AJ$25:$BC$459,,MATCH(AP$8,'Калькуляция (МИ)'!$AJ$8:$BC$8,0)),'Калькуляция (МИ)'!$F$25:$F$459,$F50,'Калькуляция (МИ)'!$G$25:$G$459,$G50))))</f>
        <v>0</v>
      </c>
      <c r="AQ50" s="849">
        <f ca="1">IF(AND(method_reg="Метод индексации",god&lt;&gt;first_year),SUMIFS(INDEX('Калькуляция (МИ корр)'!$AJ$25:$BC$459,,MATCH(AQ$8,'Калькуляция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(МИ)'!$AJ$25:$BC$459,,MATCH(AQ$8,'Калькуляция (МИ)'!$AJ$8:$BC$8,0)),'Калькуляция (МИ)'!$F$25:$F$459,$F50,'Калькуляция (МИ)'!$G$25:$G$459,$G50))))</f>
        <v>0</v>
      </c>
      <c r="AR50" s="724">
        <f ca="1">IF(AP50=0,0,(AQ50-AP50)/AP50*100)</f>
        <v>0</v>
      </c>
      <c r="AS50" s="849">
        <f ca="1">IF(AND(method_reg="Метод индексации",god&lt;&gt;first_year),SUMIFS(INDEX('Калькуляция (МИ корр)'!$AJ$25:$BC$459,,MATCH(AS$8,'Калькуляция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(МИ)'!$AJ$25:$BC$459,,MATCH(AS$8,'Калькуляция (МИ)'!$AJ$8:$BC$8,0)),'Калькуляция (МИ)'!$F$25:$F$459,$F50,'Калькуляция (МИ)'!$G$25:$G$459,$G50))))</f>
        <v>0</v>
      </c>
      <c r="AT50" s="849">
        <f ca="1">IF(AND(method_reg="Метод индексации",god&lt;&gt;first_year),SUMIFS(INDEX('Калькуляция (МИ корр)'!$AJ$25:$BC$459,,MATCH(AT$8,'Калькуляция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(МИ)'!$AJ$25:$BC$459,,MATCH(AT$8,'Калькуляция (МИ)'!$AJ$8:$BC$8,0)),'Калькуляция (МИ)'!$F$25:$F$459,$F50,'Калькуляция (МИ)'!$G$25:$G$459,$G50))))</f>
        <v>0</v>
      </c>
      <c r="AU50" s="724">
        <f ca="1">IF(AS50=0,0,(AT50-AS50)/AS50*100)</f>
        <v>0</v>
      </c>
      <c r="AV50" s="849">
        <f ca="1">IF(AND(method_reg="Метод индексации",god&lt;&gt;first_year),SUMIFS(INDEX('Калькуляция (МИ корр)'!$AJ$25:$BC$459,,MATCH(AV$8,'Калькуляция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(МИ)'!$AJ$25:$BC$459,,MATCH(AV$8,'Калькуляция (МИ)'!$AJ$8:$BC$8,0)),'Калькуляция (МИ)'!$F$25:$F$459,$F50,'Калькуляция (МИ)'!$G$25:$G$459,$G50))))</f>
        <v>0</v>
      </c>
      <c r="AW50" s="849">
        <f ca="1">IF(AND(method_reg="Метод индексации",god&lt;&gt;first_year),SUMIFS(INDEX('Калькуляция (МИ корр)'!$AJ$25:$BC$459,,MATCH(AW$8,'Калькуляция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(МИ)'!$AJ$25:$BC$459,,MATCH(AW$8,'Калькуляция (МИ)'!$AJ$8:$BC$8,0)),'Калькуляция (МИ)'!$F$25:$F$459,$F50,'Калькуляция (МИ)'!$G$25:$G$459,$G50))))</f>
        <v>0</v>
      </c>
      <c r="AX50" s="724">
        <f ca="1">IF(AV50=0,0,(AW50-AV50)/AV50*100)</f>
        <v>0</v>
      </c>
      <c r="AY50" s="849">
        <f ca="1">IF(AND(method_reg="Метод индексации",god&lt;&gt;first_year),SUMIFS(INDEX('Калькуляция (МИ корр)'!$AJ$25:$BC$459,,MATCH(AY$8,'Калькуляция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(МИ)'!$AJ$25:$BC$459,,MATCH(AY$8,'Калькуляция (МИ)'!$AJ$8:$BC$8,0)),'Калькуляция (МИ)'!$F$25:$F$459,$F50,'Калькуляция (МИ)'!$G$25:$G$459,$G50))))</f>
        <v>0</v>
      </c>
      <c r="AZ50" s="849">
        <f ca="1">IF(AND(method_reg="Метод индексации",god&lt;&gt;first_year),SUMIFS(INDEX('Калькуляция (МИ корр)'!$AJ$25:$BC$459,,MATCH(AZ$8,'Калькуляция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(МИ)'!$AJ$25:$BC$459,,MATCH(AZ$8,'Калькуляция (МИ)'!$AJ$8:$BC$8,0)),'Калькуляция (МИ)'!$F$25:$F$459,$F50,'Калькуляция (МИ)'!$G$25:$G$459,$G50))))</f>
        <v>0</v>
      </c>
      <c r="BA50" s="724">
        <f ca="1">IF(AY50=0,0,(AZ50-AY50)/AY50*100)</f>
        <v>0</v>
      </c>
      <c r="BB50" s="849">
        <f ca="1">IF(AND(method_reg="Метод индексации",god&lt;&gt;first_year),SUMIFS(INDEX('Калькуляция (МИ корр)'!$AJ$25:$BC$459,,MATCH(BB$8,'Калькуляция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(МИ)'!$AJ$25:$BC$459,,MATCH(BB$8,'Калькуляция (МИ)'!$AJ$8:$BC$8,0)),'Калькуляция (МИ)'!$F$25:$F$459,$F50,'Калькуляция (МИ)'!$G$25:$G$459,$G50))))</f>
        <v>0</v>
      </c>
      <c r="BC50" s="849">
        <f ca="1">IF(AND(method_reg="Метод индексации",god&lt;&gt;first_year),SUMIFS(INDEX('Калькуляция (МИ корр)'!$AJ$25:$BC$459,,MATCH(BC$8,'Калькуляция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(МИ)'!$AJ$25:$BC$459,,MATCH(BC$8,'Калькуляция (МИ)'!$AJ$8:$BC$8,0)),'Калькуляция (МИ)'!$F$25:$F$459,$F50,'Калькуляция (МИ)'!$G$25:$G$459,$G50))))</f>
        <v>0</v>
      </c>
      <c r="BD50" s="724">
        <f ca="1">IF(BB50=0,0,(BC50-BB50)/BB50*100)</f>
        <v>0</v>
      </c>
      <c r="BE50" s="849">
        <f ca="1">IF(AND(method_reg="Метод индексации",god&lt;&gt;first_year),SUMIFS(INDEX('Калькуляция (МИ корр)'!$AJ$25:$BC$459,,MATCH(BE$8,'Калькуляция (МИ корр)'!$AJ$8:$BC$8,0)),'Калькуляция (МИ корр)'!$F$25:$F$459,$F50,'Калькуляция (МИ корр)'!$G$25:$G$459,$G50),IF(method_reg="Метод экономически обоснованных расходов",SUMIFS('Калькуляция (МЭОР)'!$AJ$25:$AJ$282,'Калькуляция (МЭОР)'!$F$25:$F$282,$F50,'Калькуляция (МЭОР)'!$G$25:$G$282,$G50),IF(method_reg="Метод сравнения аналогов",SUMIFS('Калькуляция (МСА)'!$AE$25:$AE$84,'Калькуляция (МСА)'!$F$25:$F$84,$F50,'Калькуляция (МСА)'!$G$25:$G$84,$G50),SUMIFS(INDEX('Калькуляция (МИ)'!$AJ$25:$BC$459,,MATCH(BE$8,'Калькуляция (МИ)'!$AJ$8:$BC$8,0)),'Калькуляция (МИ)'!$F$25:$F$459,$F50,'Калькуляция (МИ)'!$G$25:$G$459,$G50))))</f>
        <v>0</v>
      </c>
      <c r="BF50" s="849">
        <f ca="1">IF(AND(method_reg="Метод индексации",god&lt;&gt;first_year),SUMIFS(INDEX('Калькуляция (МИ корр)'!$AJ$25:$BC$459,,MATCH(BF$8,'Калькуляция (МИ корр)'!$AJ$8:$BC$8,0)),'Калькуляция (МИ корр)'!$F$25:$F$459,$F50,'Калькуляция (МИ корр)'!$G$25:$G$459,$G50),IF(method_reg="Метод экономически обоснованных расходов",SUMIFS('Калькуляция (МЭОР)'!$AK$25:$AK$282,'Калькуляция (МЭОР)'!$F$25:$F$282,$F50,'Калькуляция (МЭОР)'!$G$25:$G$282,$G50),IF(method_reg="Метод сравнения аналогов",SUMIFS('Калькуляция (МСА)'!$AF$25:$AF$84,'Калькуляция (МСА)'!$F$25:$F$84,$F50,'Калькуляция (МСА)'!$G$25:$G$84,$G50),SUMIFS(INDEX('Калькуляция (МИ)'!$AJ$25:$BC$459,,MATCH(BF$8,'Калькуляция (МИ)'!$AJ$8:$BC$8,0)),'Калькуляция (МИ)'!$F$25:$F$459,$F50,'Калькуляция (МИ)'!$G$25:$G$459,$G50))))</f>
        <v>0</v>
      </c>
      <c r="BG50" s="724">
        <f ca="1">IF(BE50=0,0,(BF50-BE50)/BE50*100)</f>
        <v>0</v>
      </c>
      <c r="BH50" s="849"/>
      <c r="BI50" s="849"/>
      <c r="BJ50" s="724">
        <f>IF(BH50=0,0,(BI50-BH50)/BH50*100)</f>
        <v>0</v>
      </c>
      <c r="BK50" s="849"/>
      <c r="BL50" s="849"/>
      <c r="BM50" s="724">
        <f>IF(BK50=0,0,(BL50-BK50)/BK50*100)</f>
        <v>0</v>
      </c>
      <c r="BN50" s="849"/>
      <c r="BO50" s="849"/>
      <c r="BP50" s="724">
        <f>IF(BN50=0,0,(BO50-BN50)/BN50*100)</f>
        <v>0</v>
      </c>
      <c r="BQ50" s="849"/>
      <c r="BR50" s="849"/>
      <c r="BS50" s="724">
        <f>IF(BQ50=0,0,(BR50-BQ50)/BQ50*100)</f>
        <v>0</v>
      </c>
      <c r="BT50" s="849"/>
      <c r="BU50" s="849"/>
      <c r="BV50" s="724">
        <f>IF(BT50=0,0,(BU50-BT50)/BT50*100)</f>
        <v>0</v>
      </c>
      <c r="BW50" s="849"/>
      <c r="BX50" s="849"/>
      <c r="BY50" s="724">
        <f>IF(BW50=0,0,(BX50-BW50)/BW50*100)</f>
        <v>0</v>
      </c>
      <c r="BZ50" s="849"/>
      <c r="CA50" s="849"/>
      <c r="CB50" s="724">
        <f>IF(BZ50=0,0,(CA50-BZ50)/BZ50*100)</f>
        <v>0</v>
      </c>
      <c r="CC50" s="849"/>
      <c r="CD50" s="849"/>
      <c r="CE50" s="724">
        <f>IF(CC50=0,0,(CD50-CC50)/CC50*100)</f>
        <v>0</v>
      </c>
      <c r="CF50" s="849"/>
      <c r="CG50" s="849"/>
      <c r="CH50" s="724">
        <f>IF(CF50=0,0,(CG50-CF50)/CF50*100)</f>
        <v>0</v>
      </c>
      <c r="CI50" s="849"/>
      <c r="CJ50" s="849"/>
      <c r="CK50" s="724">
        <f>IF(CI50=0,0,(CJ50-CI50)/CI50*100)</f>
        <v>0</v>
      </c>
      <c r="CL50" s="849"/>
      <c r="CM50" s="849"/>
      <c r="CN50" s="724">
        <f>IF(CL50=0,0,(CM50-CL50)/CL50*100)</f>
        <v>0</v>
      </c>
      <c r="CO50" s="849"/>
      <c r="CP50" s="849"/>
      <c r="CQ50" s="724">
        <f>IF(CO50=0,0,(CP50-CO50)/CO50*100)</f>
        <v>0</v>
      </c>
      <c r="CR50" s="849"/>
      <c r="CS50" s="849"/>
      <c r="CT50" s="724">
        <f>IF(CR50=0,0,(CS50-CR50)/CR50*100)</f>
        <v>0</v>
      </c>
      <c r="CU50" s="849"/>
      <c r="CV50" s="849"/>
      <c r="CW50" s="724">
        <f>IF(CU50=0,0,(CV50-CU50)/CU50*100)</f>
        <v>0</v>
      </c>
      <c r="CX50" s="849"/>
      <c r="CY50" s="849"/>
      <c r="CZ50" s="724">
        <f>IF(CX50=0,0,(CY50-CX50)/CX50*100)</f>
        <v>0</v>
      </c>
      <c r="DA50" s="849"/>
      <c r="DB50" s="849"/>
      <c r="DC50" s="724">
        <f>IF(DA50=0,0,(DB50-DA50)/DA50*100)</f>
        <v>0</v>
      </c>
      <c r="DD50" s="849"/>
      <c r="DE50" s="849"/>
      <c r="DF50" s="724">
        <f>IF(DD50=0,0,(DE50-DD50)/DD50*100)</f>
        <v>0</v>
      </c>
      <c r="DG50" s="849"/>
      <c r="DH50" s="849"/>
      <c r="DI50" s="724">
        <f>IF(DG50=0,0,(DH50-DG50)/DG50*100)</f>
        <v>0</v>
      </c>
      <c r="DJ50" s="849"/>
      <c r="DK50" s="849"/>
      <c r="DL50" s="724">
        <f>IF(DJ50=0,0,(DK50-DJ50)/DJ50*100)</f>
        <v>0</v>
      </c>
      <c r="DM50" s="849"/>
      <c r="DN50" s="849"/>
      <c r="DO50" s="724">
        <f>IF(DM50=0,0,(DN50-DM50)/DM50*100)</f>
        <v>0</v>
      </c>
      <c r="DP50" s="849"/>
      <c r="DQ50" s="849"/>
      <c r="DR50" s="724">
        <f>IF(DP50=0,0,(DQ50-DP50)/DP50*100)</f>
        <v>0</v>
      </c>
      <c r="DS50" s="849"/>
      <c r="DT50" s="849"/>
      <c r="DU50" s="724">
        <f>IF(DS50=0,0,(DT50-DS50)/DS50*100)</f>
        <v>0</v>
      </c>
      <c r="DV50" s="849"/>
      <c r="DW50" s="849"/>
      <c r="DX50" s="724">
        <f>IF(DV50=0,0,(DW50-DV50)/DV50*100)</f>
        <v>0</v>
      </c>
      <c r="DY50" s="849"/>
      <c r="DZ50" s="849"/>
      <c r="EA50" s="724">
        <f>IF(DY50=0,0,(DZ50-DY50)/DY50*100)</f>
        <v>0</v>
      </c>
      <c r="EB50" s="849"/>
      <c r="EC50" s="849"/>
      <c r="ED50" s="724">
        <f>IF(EB50=0,0,(EC50-EB50)/EB50*100)</f>
        <v>0</v>
      </c>
      <c r="EE50" s="849"/>
      <c r="EF50" s="849"/>
      <c r="EG50" s="724">
        <f>IF(EE50=0,0,(EF50-EE50)/EE50*100)</f>
        <v>0</v>
      </c>
      <c r="EH50" s="849"/>
      <c r="EI50" s="849"/>
      <c r="EJ50" s="724">
        <f>IF(EH50=0,0,(EI50-EH50)/EH50*100)</f>
        <v>0</v>
      </c>
      <c r="EK50" s="849"/>
      <c r="EL50" s="849"/>
      <c r="EM50" s="724">
        <f>IF(EK50=0,0,(EL50-EK50)/EK50*100)</f>
        <v>0</v>
      </c>
      <c r="EN50" s="849"/>
      <c r="EO50" s="849"/>
      <c r="EP50" s="724">
        <f>IF(EN50=0,0,(EO50-EN50)/EN50*100)</f>
        <v>0</v>
      </c>
      <c r="EQ50" s="849"/>
      <c r="ER50" s="849"/>
      <c r="ES50" s="724">
        <f>IF(EQ50=0,0,(ER50-EQ50)/EQ50*100)</f>
        <v>0</v>
      </c>
      <c r="ET50" s="849"/>
      <c r="EU50" s="849"/>
      <c r="EV50" s="724">
        <f>IF(ET50=0,0,(EU50-ET50)/ET50*100)</f>
        <v>0</v>
      </c>
      <c r="EW50" s="849"/>
      <c r="EX50" s="849"/>
      <c r="EY50" s="724">
        <f>IF(EW50=0,0,(EX50-EW50)/EW50*100)</f>
        <v>0</v>
      </c>
      <c r="EZ50" s="849"/>
      <c r="FA50" s="849"/>
      <c r="FB50" s="724">
        <f>IF(EZ50=0,0,(FA50-EZ50)/EZ50*100)</f>
        <v>0</v>
      </c>
      <c r="FC50" s="849"/>
      <c r="FD50" s="849"/>
      <c r="FE50" s="724">
        <f>IF(FC50=0,0,(FD50-FC50)/FC50*100)</f>
        <v>0</v>
      </c>
      <c r="FF50" s="849"/>
      <c r="FG50" s="849"/>
      <c r="FH50" s="724">
        <f>IF(FF50=0,0,(FG50-FF50)/FF50*100)</f>
        <v>0</v>
      </c>
      <c r="FI50" s="849"/>
      <c r="FJ50" s="849"/>
      <c r="FK50" s="724">
        <f>IF(FI50=0,0,(FJ50-FI50)/FI50*100)</f>
        <v>0</v>
      </c>
      <c r="FL50" s="849"/>
      <c r="FM50" s="849"/>
      <c r="FN50" s="724">
        <f>IF(FL50=0,0,(FM50-FL50)/FL50*100)</f>
        <v>0</v>
      </c>
      <c r="FO50" s="849"/>
      <c r="FP50" s="849"/>
      <c r="FQ50" s="724">
        <f>IF(FO50=0,0,(FP50-FO50)/FO50*100)</f>
        <v>0</v>
      </c>
      <c r="FR50" s="849"/>
      <c r="FS50" s="849"/>
      <c r="FT50" s="724">
        <f>IF(FR50=0,0,(FS50-FR50)/FR50*100)</f>
        <v>0</v>
      </c>
      <c r="FU50" s="849"/>
      <c r="FV50" s="849"/>
      <c r="FW50" s="724">
        <f>IF(FU50=0,0,(FV50-FU50)/FU50*100)</f>
        <v>0</v>
      </c>
      <c r="FZ50" s="700" t="s">
        <v>1662</v>
      </c>
    </row>
    <row r="51" spans="1:182" ht="24.2" hidden="1" customHeight="1">
      <c r="A51" s="78"/>
      <c r="B51" s="622" t="b" cm="1">
        <f t="array" ref="B51">B50</f>
        <v>0</v>
      </c>
      <c r="C51" s="78"/>
      <c r="D51" s="78"/>
      <c r="E51" s="473">
        <v>24.75</v>
      </c>
      <c r="F51" s="3" cm="1">
        <f t="array" aca="1" ref="F51" ca="1">OFFSET(E51,-1,1)</f>
        <v>0</v>
      </c>
      <c r="G51" s="78"/>
      <c r="H51" s="78" t="s">
        <v>1663</v>
      </c>
      <c r="I51" s="78" t="s">
        <v>1622</v>
      </c>
      <c r="J51" s="78"/>
      <c r="K51" s="78"/>
      <c r="L51" s="78"/>
      <c r="M51" s="78"/>
      <c r="N51" s="78"/>
      <c r="O51" s="78"/>
      <c r="P51" s="78"/>
      <c r="Q51" s="78"/>
      <c r="R51" s="78"/>
      <c r="S51" s="78"/>
      <c r="T51" s="365" t="b" cm="1">
        <f t="array" aca="1" ref="T51" ca="1">T50</f>
        <v>0</v>
      </c>
      <c r="U51" s="78"/>
      <c r="V51" s="78"/>
      <c r="W51" s="78"/>
      <c r="X51" s="1094"/>
      <c r="Y51" s="78"/>
      <c r="Z51" s="1064"/>
      <c r="AA51" s="78"/>
      <c r="AB51" s="12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31" t="s">
        <v>1664</v>
      </c>
      <c r="AD51" s="833"/>
      <c r="AE51" s="833"/>
      <c r="AF51" s="723">
        <f>IF(AD51=0,0,(AE51-AD51)/AD51*100)</f>
        <v>0</v>
      </c>
      <c r="AG51" s="833"/>
      <c r="AH51" s="833"/>
      <c r="AI51" s="723">
        <f>IF(AG51=0,0,(AH51-AG51)/AG51*100)</f>
        <v>0</v>
      </c>
      <c r="AJ51" s="833"/>
      <c r="AK51" s="833"/>
      <c r="AL51" s="723">
        <f>IF(AJ51=0,0,(AK51-AJ51)/AJ51*100)</f>
        <v>0</v>
      </c>
      <c r="AM51" s="833"/>
      <c r="AN51" s="833"/>
      <c r="AO51" s="723">
        <f>IF(AM51=0,0,(AN51-AM51)/AM51*100)</f>
        <v>0</v>
      </c>
      <c r="AP51" s="833"/>
      <c r="AQ51" s="833"/>
      <c r="AR51" s="723">
        <f>IF(AP51=0,0,(AQ51-AP51)/AP51*100)</f>
        <v>0</v>
      </c>
      <c r="AS51" s="833"/>
      <c r="AT51" s="833"/>
      <c r="AU51" s="723">
        <f>IF(AS51=0,0,(AT51-AS51)/AS51*100)</f>
        <v>0</v>
      </c>
      <c r="AV51" s="833"/>
      <c r="AW51" s="833"/>
      <c r="AX51" s="723">
        <f>IF(AV51=0,0,(AW51-AV51)/AV51*100)</f>
        <v>0</v>
      </c>
      <c r="AY51" s="833"/>
      <c r="AZ51" s="833"/>
      <c r="BA51" s="723">
        <f>IF(AY51=0,0,(AZ51-AY51)/AY51*100)</f>
        <v>0</v>
      </c>
      <c r="BB51" s="833"/>
      <c r="BC51" s="833"/>
      <c r="BD51" s="723">
        <f>IF(BB51=0,0,(BC51-BB51)/BB51*100)</f>
        <v>0</v>
      </c>
      <c r="BE51" s="833"/>
      <c r="BF51" s="833"/>
      <c r="BG51" s="723">
        <f>IF(BE51=0,0,(BF51-BE51)/BE51*100)</f>
        <v>0</v>
      </c>
      <c r="BH51" s="833"/>
      <c r="BI51" s="833"/>
      <c r="BJ51" s="723">
        <f>IF(BH51=0,0,(BI51-BH51)/BH51*100)</f>
        <v>0</v>
      </c>
      <c r="BK51" s="833"/>
      <c r="BL51" s="833"/>
      <c r="BM51" s="723">
        <f>IF(BK51=0,0,(BL51-BK51)/BK51*100)</f>
        <v>0</v>
      </c>
      <c r="BN51" s="833"/>
      <c r="BO51" s="833"/>
      <c r="BP51" s="723">
        <f>IF(BN51=0,0,(BO51-BN51)/BN51*100)</f>
        <v>0</v>
      </c>
      <c r="BQ51" s="833"/>
      <c r="BR51" s="833"/>
      <c r="BS51" s="723">
        <f>IF(BQ51=0,0,(BR51-BQ51)/BQ51*100)</f>
        <v>0</v>
      </c>
      <c r="BT51" s="833"/>
      <c r="BU51" s="833"/>
      <c r="BV51" s="723">
        <f>IF(BT51=0,0,(BU51-BT51)/BT51*100)</f>
        <v>0</v>
      </c>
      <c r="BW51" s="833"/>
      <c r="BX51" s="833"/>
      <c r="BY51" s="723">
        <f>IF(BW51=0,0,(BX51-BW51)/BW51*100)</f>
        <v>0</v>
      </c>
      <c r="BZ51" s="833"/>
      <c r="CA51" s="833"/>
      <c r="CB51" s="723">
        <f>IF(BZ51=0,0,(CA51-BZ51)/BZ51*100)</f>
        <v>0</v>
      </c>
      <c r="CC51" s="833"/>
      <c r="CD51" s="833"/>
      <c r="CE51" s="723">
        <f>IF(CC51=0,0,(CD51-CC51)/CC51*100)</f>
        <v>0</v>
      </c>
      <c r="CF51" s="833"/>
      <c r="CG51" s="833"/>
      <c r="CH51" s="723">
        <f>IF(CF51=0,0,(CG51-CF51)/CF51*100)</f>
        <v>0</v>
      </c>
      <c r="CI51" s="833"/>
      <c r="CJ51" s="833"/>
      <c r="CK51" s="723">
        <f>IF(CI51=0,0,(CJ51-CI51)/CI51*100)</f>
        <v>0</v>
      </c>
      <c r="CL51" s="833"/>
      <c r="CM51" s="833"/>
      <c r="CN51" s="723">
        <f>IF(CL51=0,0,(CM51-CL51)/CL51*100)</f>
        <v>0</v>
      </c>
      <c r="CO51" s="833"/>
      <c r="CP51" s="833"/>
      <c r="CQ51" s="723">
        <f>IF(CO51=0,0,(CP51-CO51)/CO51*100)</f>
        <v>0</v>
      </c>
      <c r="CR51" s="833"/>
      <c r="CS51" s="833"/>
      <c r="CT51" s="723">
        <f>IF(CR51=0,0,(CS51-CR51)/CR51*100)</f>
        <v>0</v>
      </c>
      <c r="CU51" s="833"/>
      <c r="CV51" s="833"/>
      <c r="CW51" s="723">
        <f>IF(CU51=0,0,(CV51-CU51)/CU51*100)</f>
        <v>0</v>
      </c>
      <c r="CX51" s="833"/>
      <c r="CY51" s="833"/>
      <c r="CZ51" s="723">
        <f>IF(CX51=0,0,(CY51-CX51)/CX51*100)</f>
        <v>0</v>
      </c>
      <c r="DA51" s="833"/>
      <c r="DB51" s="833"/>
      <c r="DC51" s="723">
        <f>IF(DA51=0,0,(DB51-DA51)/DA51*100)</f>
        <v>0</v>
      </c>
      <c r="DD51" s="833"/>
      <c r="DE51" s="833"/>
      <c r="DF51" s="723">
        <f>IF(DD51=0,0,(DE51-DD51)/DD51*100)</f>
        <v>0</v>
      </c>
      <c r="DG51" s="833"/>
      <c r="DH51" s="833"/>
      <c r="DI51" s="723">
        <f>IF(DG51=0,0,(DH51-DG51)/DG51*100)</f>
        <v>0</v>
      </c>
      <c r="DJ51" s="833"/>
      <c r="DK51" s="833"/>
      <c r="DL51" s="723">
        <f>IF(DJ51=0,0,(DK51-DJ51)/DJ51*100)</f>
        <v>0</v>
      </c>
      <c r="DM51" s="833"/>
      <c r="DN51" s="833"/>
      <c r="DO51" s="723">
        <f>IF(DM51=0,0,(DN51-DM51)/DM51*100)</f>
        <v>0</v>
      </c>
      <c r="DP51" s="833"/>
      <c r="DQ51" s="833"/>
      <c r="DR51" s="723">
        <f>IF(DP51=0,0,(DQ51-DP51)/DP51*100)</f>
        <v>0</v>
      </c>
      <c r="DS51" s="833"/>
      <c r="DT51" s="833"/>
      <c r="DU51" s="723">
        <f>IF(DS51=0,0,(DT51-DS51)/DS51*100)</f>
        <v>0</v>
      </c>
      <c r="DV51" s="833"/>
      <c r="DW51" s="833"/>
      <c r="DX51" s="723">
        <f>IF(DV51=0,0,(DW51-DV51)/DV51*100)</f>
        <v>0</v>
      </c>
      <c r="DY51" s="833"/>
      <c r="DZ51" s="833"/>
      <c r="EA51" s="723">
        <f>IF(DY51=0,0,(DZ51-DY51)/DY51*100)</f>
        <v>0</v>
      </c>
      <c r="EB51" s="833"/>
      <c r="EC51" s="833"/>
      <c r="ED51" s="723">
        <f>IF(EB51=0,0,(EC51-EB51)/EB51*100)</f>
        <v>0</v>
      </c>
      <c r="EE51" s="833"/>
      <c r="EF51" s="833"/>
      <c r="EG51" s="723">
        <f>IF(EE51=0,0,(EF51-EE51)/EE51*100)</f>
        <v>0</v>
      </c>
      <c r="EH51" s="833"/>
      <c r="EI51" s="833"/>
      <c r="EJ51" s="723">
        <f>IF(EH51=0,0,(EI51-EH51)/EH51*100)</f>
        <v>0</v>
      </c>
      <c r="EK51" s="833"/>
      <c r="EL51" s="833"/>
      <c r="EM51" s="723">
        <f>IF(EK51=0,0,(EL51-EK51)/EK51*100)</f>
        <v>0</v>
      </c>
      <c r="EN51" s="833"/>
      <c r="EO51" s="833"/>
      <c r="EP51" s="723">
        <f>IF(EN51=0,0,(EO51-EN51)/EN51*100)</f>
        <v>0</v>
      </c>
      <c r="EQ51" s="833"/>
      <c r="ER51" s="833"/>
      <c r="ES51" s="723">
        <f>IF(EQ51=0,0,(ER51-EQ51)/EQ51*100)</f>
        <v>0</v>
      </c>
      <c r="ET51" s="833"/>
      <c r="EU51" s="833"/>
      <c r="EV51" s="723">
        <f>IF(ET51=0,0,(EU51-ET51)/ET51*100)</f>
        <v>0</v>
      </c>
      <c r="EW51" s="833"/>
      <c r="EX51" s="833"/>
      <c r="EY51" s="723">
        <f>IF(EW51=0,0,(EX51-EW51)/EW51*100)</f>
        <v>0</v>
      </c>
      <c r="EZ51" s="833"/>
      <c r="FA51" s="833"/>
      <c r="FB51" s="723">
        <f>IF(EZ51=0,0,(FA51-EZ51)/EZ51*100)</f>
        <v>0</v>
      </c>
      <c r="FC51" s="833"/>
      <c r="FD51" s="833"/>
      <c r="FE51" s="723">
        <f>IF(FC51=0,0,(FD51-FC51)/FC51*100)</f>
        <v>0</v>
      </c>
      <c r="FF51" s="833"/>
      <c r="FG51" s="833"/>
      <c r="FH51" s="723">
        <f>IF(FF51=0,0,(FG51-FF51)/FF51*100)</f>
        <v>0</v>
      </c>
      <c r="FI51" s="833"/>
      <c r="FJ51" s="833"/>
      <c r="FK51" s="723">
        <f>IF(FI51=0,0,(FJ51-FI51)/FI51*100)</f>
        <v>0</v>
      </c>
      <c r="FL51" s="833"/>
      <c r="FM51" s="833"/>
      <c r="FN51" s="723">
        <f>IF(FL51=0,0,(FM51-FL51)/FL51*100)</f>
        <v>0</v>
      </c>
      <c r="FO51" s="833"/>
      <c r="FP51" s="833"/>
      <c r="FQ51" s="723">
        <f>IF(FO51=0,0,(FP51-FO51)/FO51*100)</f>
        <v>0</v>
      </c>
      <c r="FR51" s="833"/>
      <c r="FS51" s="833"/>
      <c r="FT51" s="723">
        <f>IF(FR51=0,0,(FS51-FR51)/FR51*100)</f>
        <v>0</v>
      </c>
      <c r="FU51" s="833"/>
      <c r="FV51" s="833"/>
      <c r="FW51" s="723">
        <f>IF(FU51=0,0,(FV51-FU51)/FU51*100)</f>
        <v>0</v>
      </c>
      <c r="FZ51" s="700" t="s">
        <v>1665</v>
      </c>
    </row>
    <row r="52" spans="1:182" ht="14.65" hidden="1" customHeight="1">
      <c r="A52" s="78"/>
      <c r="B52" s="622" t="b" cm="1">
        <f t="array" ref="B52">B51</f>
        <v>0</v>
      </c>
      <c r="C52" s="78"/>
      <c r="D52" s="78"/>
      <c r="E52" s="473">
        <v>15</v>
      </c>
      <c r="F52" s="3" cm="1">
        <f t="array" aca="1" ref="F52" ca="1">OFFSET(E52,-1,1)</f>
        <v>0</v>
      </c>
      <c r="G52" s="78"/>
      <c r="H52" s="78" t="s">
        <v>1666</v>
      </c>
      <c r="I52" s="78" t="s">
        <v>1622</v>
      </c>
      <c r="J52" s="78"/>
      <c r="K52" s="78"/>
      <c r="L52" s="78"/>
      <c r="M52" s="78"/>
      <c r="N52" s="78"/>
      <c r="O52" s="78"/>
      <c r="P52" s="78"/>
      <c r="Q52" s="78"/>
      <c r="R52" s="78"/>
      <c r="S52" s="78"/>
      <c r="T52" s="365" t="b" cm="1">
        <f t="array" aca="1" ref="T52" ca="1">T51</f>
        <v>0</v>
      </c>
      <c r="U52" s="78"/>
      <c r="V52" s="78"/>
      <c r="W52" s="78"/>
      <c r="X52" s="1094"/>
      <c r="Y52" s="78"/>
      <c r="Z52" s="1064"/>
      <c r="AA52" s="78"/>
      <c r="AB52" s="124" t="s">
        <v>1667</v>
      </c>
      <c r="AC52" s="31" t="s">
        <v>1668</v>
      </c>
      <c r="AD52" s="833"/>
      <c r="AE52" s="833"/>
      <c r="AF52" s="723">
        <f>IF(AD52=0,0,(AE52-AD52)/AD52*100)</f>
        <v>0</v>
      </c>
      <c r="AG52" s="833"/>
      <c r="AH52" s="833"/>
      <c r="AI52" s="723">
        <f>IF(AG52=0,0,(AH52-AG52)/AG52*100)</f>
        <v>0</v>
      </c>
      <c r="AJ52" s="833"/>
      <c r="AK52" s="833"/>
      <c r="AL52" s="723">
        <f>IF(AJ52=0,0,(AK52-AJ52)/AJ52*100)</f>
        <v>0</v>
      </c>
      <c r="AM52" s="833"/>
      <c r="AN52" s="833"/>
      <c r="AO52" s="723">
        <f>IF(AM52=0,0,(AN52-AM52)/AM52*100)</f>
        <v>0</v>
      </c>
      <c r="AP52" s="833"/>
      <c r="AQ52" s="833"/>
      <c r="AR52" s="723">
        <f>IF(AP52=0,0,(AQ52-AP52)/AP52*100)</f>
        <v>0</v>
      </c>
      <c r="AS52" s="833"/>
      <c r="AT52" s="833"/>
      <c r="AU52" s="723">
        <f>IF(AS52=0,0,(AT52-AS52)/AS52*100)</f>
        <v>0</v>
      </c>
      <c r="AV52" s="833"/>
      <c r="AW52" s="833"/>
      <c r="AX52" s="723">
        <f>IF(AV52=0,0,(AW52-AV52)/AV52*100)</f>
        <v>0</v>
      </c>
      <c r="AY52" s="833"/>
      <c r="AZ52" s="833"/>
      <c r="BA52" s="723">
        <f>IF(AY52=0,0,(AZ52-AY52)/AY52*100)</f>
        <v>0</v>
      </c>
      <c r="BB52" s="833"/>
      <c r="BC52" s="833"/>
      <c r="BD52" s="723">
        <f>IF(BB52=0,0,(BC52-BB52)/BB52*100)</f>
        <v>0</v>
      </c>
      <c r="BE52" s="833"/>
      <c r="BF52" s="833"/>
      <c r="BG52" s="723">
        <f>IF(BE52=0,0,(BF52-BE52)/BE52*100)</f>
        <v>0</v>
      </c>
      <c r="BH52" s="833"/>
      <c r="BI52" s="833"/>
      <c r="BJ52" s="723">
        <f>IF(BH52=0,0,(BI52-BH52)/BH52*100)</f>
        <v>0</v>
      </c>
      <c r="BK52" s="833"/>
      <c r="BL52" s="833"/>
      <c r="BM52" s="723">
        <f>IF(BK52=0,0,(BL52-BK52)/BK52*100)</f>
        <v>0</v>
      </c>
      <c r="BN52" s="833"/>
      <c r="BO52" s="833"/>
      <c r="BP52" s="723">
        <f>IF(BN52=0,0,(BO52-BN52)/BN52*100)</f>
        <v>0</v>
      </c>
      <c r="BQ52" s="833"/>
      <c r="BR52" s="833"/>
      <c r="BS52" s="723">
        <f>IF(BQ52=0,0,(BR52-BQ52)/BQ52*100)</f>
        <v>0</v>
      </c>
      <c r="BT52" s="833"/>
      <c r="BU52" s="833"/>
      <c r="BV52" s="723">
        <f>IF(BT52=0,0,(BU52-BT52)/BT52*100)</f>
        <v>0</v>
      </c>
      <c r="BW52" s="833"/>
      <c r="BX52" s="833"/>
      <c r="BY52" s="723">
        <f>IF(BW52=0,0,(BX52-BW52)/BW52*100)</f>
        <v>0</v>
      </c>
      <c r="BZ52" s="833"/>
      <c r="CA52" s="833"/>
      <c r="CB52" s="723">
        <f>IF(BZ52=0,0,(CA52-BZ52)/BZ52*100)</f>
        <v>0</v>
      </c>
      <c r="CC52" s="833"/>
      <c r="CD52" s="833"/>
      <c r="CE52" s="723">
        <f>IF(CC52=0,0,(CD52-CC52)/CC52*100)</f>
        <v>0</v>
      </c>
      <c r="CF52" s="833"/>
      <c r="CG52" s="833"/>
      <c r="CH52" s="723">
        <f>IF(CF52=0,0,(CG52-CF52)/CF52*100)</f>
        <v>0</v>
      </c>
      <c r="CI52" s="833"/>
      <c r="CJ52" s="833"/>
      <c r="CK52" s="723">
        <f>IF(CI52=0,0,(CJ52-CI52)/CI52*100)</f>
        <v>0</v>
      </c>
      <c r="CL52" s="833"/>
      <c r="CM52" s="833"/>
      <c r="CN52" s="723">
        <f>IF(CL52=0,0,(CM52-CL52)/CL52*100)</f>
        <v>0</v>
      </c>
      <c r="CO52" s="833"/>
      <c r="CP52" s="833"/>
      <c r="CQ52" s="723">
        <f>IF(CO52=0,0,(CP52-CO52)/CO52*100)</f>
        <v>0</v>
      </c>
      <c r="CR52" s="833"/>
      <c r="CS52" s="833"/>
      <c r="CT52" s="723">
        <f>IF(CR52=0,0,(CS52-CR52)/CR52*100)</f>
        <v>0</v>
      </c>
      <c r="CU52" s="833"/>
      <c r="CV52" s="833"/>
      <c r="CW52" s="723">
        <f>IF(CU52=0,0,(CV52-CU52)/CU52*100)</f>
        <v>0</v>
      </c>
      <c r="CX52" s="833"/>
      <c r="CY52" s="833"/>
      <c r="CZ52" s="723">
        <f>IF(CX52=0,0,(CY52-CX52)/CX52*100)</f>
        <v>0</v>
      </c>
      <c r="DA52" s="833"/>
      <c r="DB52" s="833"/>
      <c r="DC52" s="723">
        <f>IF(DA52=0,0,(DB52-DA52)/DA52*100)</f>
        <v>0</v>
      </c>
      <c r="DD52" s="833"/>
      <c r="DE52" s="833"/>
      <c r="DF52" s="723">
        <f>IF(DD52=0,0,(DE52-DD52)/DD52*100)</f>
        <v>0</v>
      </c>
      <c r="DG52" s="833"/>
      <c r="DH52" s="833"/>
      <c r="DI52" s="723">
        <f>IF(DG52=0,0,(DH52-DG52)/DG52*100)</f>
        <v>0</v>
      </c>
      <c r="DJ52" s="833"/>
      <c r="DK52" s="833"/>
      <c r="DL52" s="723">
        <f>IF(DJ52=0,0,(DK52-DJ52)/DJ52*100)</f>
        <v>0</v>
      </c>
      <c r="DM52" s="833"/>
      <c r="DN52" s="833"/>
      <c r="DO52" s="723">
        <f>IF(DM52=0,0,(DN52-DM52)/DM52*100)</f>
        <v>0</v>
      </c>
      <c r="DP52" s="833"/>
      <c r="DQ52" s="833"/>
      <c r="DR52" s="723">
        <f>IF(DP52=0,0,(DQ52-DP52)/DP52*100)</f>
        <v>0</v>
      </c>
      <c r="DS52" s="833"/>
      <c r="DT52" s="833"/>
      <c r="DU52" s="723">
        <f>IF(DS52=0,0,(DT52-DS52)/DS52*100)</f>
        <v>0</v>
      </c>
      <c r="DV52" s="833"/>
      <c r="DW52" s="833"/>
      <c r="DX52" s="723">
        <f>IF(DV52=0,0,(DW52-DV52)/DV52*100)</f>
        <v>0</v>
      </c>
      <c r="DY52" s="833"/>
      <c r="DZ52" s="833"/>
      <c r="EA52" s="723">
        <f>IF(DY52=0,0,(DZ52-DY52)/DY52*100)</f>
        <v>0</v>
      </c>
      <c r="EB52" s="833"/>
      <c r="EC52" s="833"/>
      <c r="ED52" s="723">
        <f>IF(EB52=0,0,(EC52-EB52)/EB52*100)</f>
        <v>0</v>
      </c>
      <c r="EE52" s="833"/>
      <c r="EF52" s="833"/>
      <c r="EG52" s="723">
        <f>IF(EE52=0,0,(EF52-EE52)/EE52*100)</f>
        <v>0</v>
      </c>
      <c r="EH52" s="833"/>
      <c r="EI52" s="833"/>
      <c r="EJ52" s="723">
        <f>IF(EH52=0,0,(EI52-EH52)/EH52*100)</f>
        <v>0</v>
      </c>
      <c r="EK52" s="833"/>
      <c r="EL52" s="833"/>
      <c r="EM52" s="723">
        <f>IF(EK52=0,0,(EL52-EK52)/EK52*100)</f>
        <v>0</v>
      </c>
      <c r="EN52" s="833"/>
      <c r="EO52" s="833"/>
      <c r="EP52" s="723">
        <f>IF(EN52=0,0,(EO52-EN52)/EN52*100)</f>
        <v>0</v>
      </c>
      <c r="EQ52" s="833"/>
      <c r="ER52" s="833"/>
      <c r="ES52" s="723">
        <f>IF(EQ52=0,0,(ER52-EQ52)/EQ52*100)</f>
        <v>0</v>
      </c>
      <c r="ET52" s="833"/>
      <c r="EU52" s="833"/>
      <c r="EV52" s="723">
        <f>IF(ET52=0,0,(EU52-ET52)/ET52*100)</f>
        <v>0</v>
      </c>
      <c r="EW52" s="833"/>
      <c r="EX52" s="833"/>
      <c r="EY52" s="723">
        <f>IF(EW52=0,0,(EX52-EW52)/EW52*100)</f>
        <v>0</v>
      </c>
      <c r="EZ52" s="833"/>
      <c r="FA52" s="833"/>
      <c r="FB52" s="723">
        <f>IF(EZ52=0,0,(FA52-EZ52)/EZ52*100)</f>
        <v>0</v>
      </c>
      <c r="FC52" s="833"/>
      <c r="FD52" s="833"/>
      <c r="FE52" s="723">
        <f>IF(FC52=0,0,(FD52-FC52)/FC52*100)</f>
        <v>0</v>
      </c>
      <c r="FF52" s="833"/>
      <c r="FG52" s="833"/>
      <c r="FH52" s="723">
        <f>IF(FF52=0,0,(FG52-FF52)/FF52*100)</f>
        <v>0</v>
      </c>
      <c r="FI52" s="833"/>
      <c r="FJ52" s="833"/>
      <c r="FK52" s="723">
        <f>IF(FI52=0,0,(FJ52-FI52)/FI52*100)</f>
        <v>0</v>
      </c>
      <c r="FL52" s="833"/>
      <c r="FM52" s="833"/>
      <c r="FN52" s="723">
        <f>IF(FL52=0,0,(FM52-FL52)/FL52*100)</f>
        <v>0</v>
      </c>
      <c r="FO52" s="833"/>
      <c r="FP52" s="833"/>
      <c r="FQ52" s="723">
        <f>IF(FO52=0,0,(FP52-FO52)/FO52*100)</f>
        <v>0</v>
      </c>
      <c r="FR52" s="833"/>
      <c r="FS52" s="833"/>
      <c r="FT52" s="723">
        <f>IF(FR52=0,0,(FS52-FR52)/FR52*100)</f>
        <v>0</v>
      </c>
      <c r="FU52" s="833"/>
      <c r="FV52" s="833"/>
      <c r="FW52" s="723">
        <f>IF(FU52=0,0,(FV52-FU52)/FU52*100)</f>
        <v>0</v>
      </c>
      <c r="FZ52" s="700" t="s">
        <v>1669</v>
      </c>
    </row>
    <row r="53" spans="1:182" ht="23.85" hidden="1" customHeight="1">
      <c r="A53" s="78"/>
      <c r="B53" s="622" t="b" cm="1">
        <f t="array" ref="B53">B52</f>
        <v>0</v>
      </c>
      <c r="C53" s="78"/>
      <c r="D53" s="78"/>
      <c r="E53" s="473">
        <v>24.5</v>
      </c>
      <c r="F53" s="3" cm="1">
        <f t="array" aca="1" ref="F53" ca="1">OFFSET(E53,-1,1)</f>
        <v>0</v>
      </c>
      <c r="G53" s="78"/>
      <c r="H53" s="78"/>
      <c r="I53" s="78"/>
      <c r="J53" s="78"/>
      <c r="K53" s="78"/>
      <c r="L53" s="78"/>
      <c r="M53" s="78"/>
      <c r="N53" s="78"/>
      <c r="O53" s="78"/>
      <c r="P53" s="78"/>
      <c r="Q53" s="78"/>
      <c r="R53" s="78"/>
      <c r="S53" s="78"/>
      <c r="T53" s="365" t="b" cm="1">
        <f t="array" aca="1" ref="T53" ca="1">T52</f>
        <v>0</v>
      </c>
      <c r="U53" s="78"/>
      <c r="V53" s="78"/>
      <c r="W53" s="78"/>
      <c r="X53" s="1094"/>
      <c r="Y53" s="78"/>
      <c r="Z53" s="1064"/>
      <c r="AA53" s="78"/>
      <c r="AB53" s="220" t="s">
        <v>1670</v>
      </c>
      <c r="AC53" s="606"/>
      <c r="AD53" s="727"/>
      <c r="AE53" s="727"/>
      <c r="AF53" s="727"/>
      <c r="AG53" s="727"/>
      <c r="AH53" s="727"/>
      <c r="AI53" s="727"/>
      <c r="AJ53" s="727"/>
      <c r="AK53" s="727"/>
      <c r="AL53" s="727"/>
      <c r="AM53" s="727"/>
      <c r="AN53" s="727"/>
      <c r="AO53" s="727"/>
      <c r="AP53" s="727"/>
      <c r="AQ53" s="727"/>
      <c r="AR53" s="727"/>
      <c r="AS53" s="727"/>
      <c r="AT53" s="727"/>
      <c r="AU53" s="727"/>
      <c r="AV53" s="727"/>
      <c r="AW53" s="727"/>
      <c r="AX53" s="727"/>
      <c r="AY53" s="727"/>
      <c r="AZ53" s="727"/>
      <c r="BA53" s="727"/>
      <c r="BB53" s="727"/>
      <c r="BC53" s="727"/>
      <c r="BD53" s="727"/>
      <c r="BE53" s="727"/>
      <c r="BF53" s="727"/>
      <c r="BG53" s="727"/>
      <c r="BH53" s="727"/>
      <c r="BI53" s="727"/>
      <c r="BJ53" s="727"/>
      <c r="BK53" s="727"/>
      <c r="BL53" s="727"/>
      <c r="BM53" s="727"/>
      <c r="BN53" s="727"/>
      <c r="BO53" s="727"/>
      <c r="BP53" s="727"/>
      <c r="BQ53" s="727"/>
      <c r="BR53" s="727"/>
      <c r="BS53" s="727"/>
      <c r="BT53" s="727"/>
      <c r="BU53" s="727"/>
      <c r="BV53" s="727"/>
      <c r="BW53" s="727"/>
      <c r="BX53" s="727"/>
      <c r="BY53" s="727"/>
      <c r="BZ53" s="727"/>
      <c r="CA53" s="727"/>
      <c r="CB53" s="727"/>
      <c r="CC53" s="727"/>
      <c r="CD53" s="727"/>
      <c r="CE53" s="727"/>
      <c r="CF53" s="727"/>
      <c r="CG53" s="727"/>
      <c r="CH53" s="727"/>
      <c r="CI53" s="727"/>
      <c r="CJ53" s="727"/>
      <c r="CK53" s="727"/>
      <c r="CL53" s="727"/>
      <c r="CM53" s="727"/>
      <c r="CN53" s="727"/>
      <c r="CO53" s="727"/>
      <c r="CP53" s="727"/>
      <c r="CQ53" s="727"/>
      <c r="CR53" s="727"/>
      <c r="CS53" s="727"/>
      <c r="CT53" s="727"/>
      <c r="CU53" s="727"/>
      <c r="CV53" s="727"/>
      <c r="CW53" s="727"/>
      <c r="CX53" s="727"/>
      <c r="CY53" s="727"/>
      <c r="CZ53" s="727"/>
      <c r="DA53" s="727"/>
      <c r="DB53" s="727"/>
      <c r="DC53" s="727"/>
      <c r="DD53" s="727"/>
      <c r="DE53" s="727"/>
      <c r="DF53" s="727"/>
      <c r="DG53" s="727"/>
      <c r="DH53" s="727"/>
      <c r="DI53" s="727"/>
      <c r="DJ53" s="727"/>
      <c r="DK53" s="727"/>
      <c r="DL53" s="727"/>
      <c r="DM53" s="727"/>
      <c r="DN53" s="727"/>
      <c r="DO53" s="727"/>
      <c r="DP53" s="727"/>
      <c r="DQ53" s="727"/>
      <c r="DR53" s="727"/>
      <c r="DS53" s="727"/>
      <c r="DT53" s="727"/>
      <c r="DU53" s="727"/>
      <c r="DV53" s="727"/>
      <c r="DW53" s="727"/>
      <c r="DX53" s="727"/>
      <c r="DY53" s="727"/>
      <c r="DZ53" s="727"/>
      <c r="EA53" s="727"/>
      <c r="EB53" s="727"/>
      <c r="EC53" s="727"/>
      <c r="ED53" s="727"/>
      <c r="EE53" s="727"/>
      <c r="EF53" s="727"/>
      <c r="EG53" s="727"/>
      <c r="EH53" s="727"/>
      <c r="EI53" s="727"/>
      <c r="EJ53" s="727"/>
      <c r="EK53" s="727"/>
      <c r="EL53" s="727"/>
      <c r="EM53" s="727"/>
      <c r="EN53" s="727"/>
      <c r="EO53" s="727"/>
      <c r="EP53" s="727"/>
      <c r="EQ53" s="727"/>
      <c r="ER53" s="727"/>
      <c r="ES53" s="727"/>
      <c r="ET53" s="727"/>
      <c r="EU53" s="727"/>
      <c r="EV53" s="727"/>
      <c r="EW53" s="727"/>
      <c r="EX53" s="727"/>
      <c r="EY53" s="727"/>
      <c r="EZ53" s="727"/>
      <c r="FA53" s="727"/>
      <c r="FB53" s="727"/>
      <c r="FC53" s="727"/>
      <c r="FD53" s="727"/>
      <c r="FE53" s="727"/>
      <c r="FF53" s="727"/>
      <c r="FG53" s="727"/>
      <c r="FH53" s="727"/>
      <c r="FI53" s="727"/>
      <c r="FJ53" s="727"/>
      <c r="FK53" s="727"/>
      <c r="FL53" s="727"/>
      <c r="FM53" s="727"/>
      <c r="FN53" s="727"/>
      <c r="FO53" s="727"/>
      <c r="FP53" s="727"/>
      <c r="FQ53" s="727"/>
      <c r="FR53" s="727"/>
      <c r="FS53" s="727"/>
      <c r="FT53" s="727"/>
      <c r="FU53" s="727"/>
      <c r="FV53" s="727"/>
      <c r="FW53" s="728"/>
      <c r="FZ53" s="700"/>
    </row>
    <row r="54" spans="1:182" ht="14.65" hidden="1" customHeight="1">
      <c r="A54" s="78"/>
      <c r="B54" s="622" t="b" cm="1">
        <f t="array" ref="B54">B53</f>
        <v>0</v>
      </c>
      <c r="C54" s="78"/>
      <c r="D54" s="78"/>
      <c r="E54" s="473">
        <v>15</v>
      </c>
      <c r="F54" s="3" cm="1">
        <f t="array" aca="1" ref="F54" ca="1">OFFSET(E54,-1,1)</f>
        <v>0</v>
      </c>
      <c r="G54" s="78"/>
      <c r="H54" s="78" t="s">
        <v>1562</v>
      </c>
      <c r="I54" s="78" t="s">
        <v>1627</v>
      </c>
      <c r="J54" s="78"/>
      <c r="K54" s="78"/>
      <c r="L54" s="78"/>
      <c r="M54" s="78"/>
      <c r="N54" s="78"/>
      <c r="O54" s="78"/>
      <c r="P54" s="78"/>
      <c r="Q54" s="78"/>
      <c r="R54" s="78"/>
      <c r="S54" s="78"/>
      <c r="T54" s="365" t="b" cm="1">
        <f t="array" aca="1" ref="T54" ca="1">T53</f>
        <v>0</v>
      </c>
      <c r="U54" s="78"/>
      <c r="V54" s="78"/>
      <c r="W54" s="78"/>
      <c r="X54" s="1094"/>
      <c r="Y54" s="78"/>
      <c r="Z54" s="1064"/>
      <c r="AA54" s="78"/>
      <c r="AB54" s="124" t="s">
        <v>1657</v>
      </c>
      <c r="AC54" s="31" t="s">
        <v>1624</v>
      </c>
      <c r="AD54" s="833">
        <f ca="1">IF(AD56=0,0,(AD55*AD56+AD57*AD58*IF(god=2026,3,6))/AD56)</f>
        <v>0</v>
      </c>
      <c r="AE54" s="833">
        <f ca="1">IF(AE56=0,0,(AE55*AE56+AE57*AE58*IF(god=2026,3,6))/AE56)</f>
        <v>0</v>
      </c>
      <c r="AF54" s="723">
        <f ca="1">IF(AD54=0,0,(AE54-AD54)/AD54*100)</f>
        <v>0</v>
      </c>
      <c r="AG54" s="833">
        <f ca="1">IF(AG56=0,0,(AG55*AG56+AG57*AG58*IF(god=2025,3,6))/AG56)</f>
        <v>0</v>
      </c>
      <c r="AH54" s="833">
        <f ca="1">IF(AH56=0,0,(AH55*AH56+AH57*AH58*IF(god=2025,3,6))/AH56)</f>
        <v>0</v>
      </c>
      <c r="AI54" s="723">
        <f ca="1">IF(AG54=0,0,(AH54-AG54)/AG54*100)</f>
        <v>0</v>
      </c>
      <c r="AJ54" s="833">
        <f ca="1">IF(AJ56=0,0,(AJ55*AJ56+AJ57*AJ58*6)/AJ56)</f>
        <v>0</v>
      </c>
      <c r="AK54" s="833">
        <f ca="1">IF(AK56=0,0,(AK55*AK56+AK57*AK58*6)/AK56)</f>
        <v>0</v>
      </c>
      <c r="AL54" s="723">
        <f ca="1">IF(AJ54=0,0,(AK54-AJ54)/AJ54*100)</f>
        <v>0</v>
      </c>
      <c r="AM54" s="833">
        <f ca="1">IF(AM56=0,0,(AM55*AM56+AM57*AM58*6)/AM56)</f>
        <v>0</v>
      </c>
      <c r="AN54" s="833">
        <f ca="1">IF(AN56=0,0,(AN55*AN56+AN57*AN58*6)/AN56)</f>
        <v>0</v>
      </c>
      <c r="AO54" s="723">
        <f ca="1">IF(AM54=0,0,(AN54-AM54)/AM54*100)</f>
        <v>0</v>
      </c>
      <c r="AP54" s="833">
        <f ca="1">IF(AP56=0,0,(AP55*AP56+AP57*AP58*6)/AP56)</f>
        <v>0</v>
      </c>
      <c r="AQ54" s="833">
        <f ca="1">IF(AQ56=0,0,(AQ55*AQ56+AQ57*AQ58*6)/AQ56)</f>
        <v>0</v>
      </c>
      <c r="AR54" s="723">
        <f ca="1">IF(AP54=0,0,(AQ54-AP54)/AP54*100)</f>
        <v>0</v>
      </c>
      <c r="AS54" s="833">
        <f ca="1">IF(AS56=0,0,(AS55*AS56+AS57*AS58*6)/AS56)</f>
        <v>0</v>
      </c>
      <c r="AT54" s="833">
        <f ca="1">IF(AT56=0,0,(AT55*AT56+AT57*AT58*6)/AT56)</f>
        <v>0</v>
      </c>
      <c r="AU54" s="723">
        <f ca="1">IF(AS54=0,0,(AT54-AS54)/AS54*100)</f>
        <v>0</v>
      </c>
      <c r="AV54" s="833">
        <f ca="1">IF(AV56=0,0,(AV55*AV56+AV57*AV58*6)/AV56)</f>
        <v>0</v>
      </c>
      <c r="AW54" s="833">
        <f ca="1">IF(AW56=0,0,(AW55*AW56+AW57*AW58*6)/AW56)</f>
        <v>0</v>
      </c>
      <c r="AX54" s="723">
        <f ca="1">IF(AV54=0,0,(AW54-AV54)/AV54*100)</f>
        <v>0</v>
      </c>
      <c r="AY54" s="833">
        <f ca="1">IF(AY56=0,0,(AY55*AY56+AY57*AY58*6)/AY56)</f>
        <v>0</v>
      </c>
      <c r="AZ54" s="833">
        <f ca="1">IF(AZ56=0,0,(AZ55*AZ56+AZ57*AZ58*6)/AZ56)</f>
        <v>0</v>
      </c>
      <c r="BA54" s="723">
        <f ca="1">IF(AY54=0,0,(AZ54-AY54)/AY54*100)</f>
        <v>0</v>
      </c>
      <c r="BB54" s="833">
        <f ca="1">IF(BB56=0,0,(BB55*BB56+BB57*BB58*6)/BB56)</f>
        <v>0</v>
      </c>
      <c r="BC54" s="833">
        <f ca="1">IF(BC56=0,0,(BC55*BC56+BC57*BC58*6)/BC56)</f>
        <v>0</v>
      </c>
      <c r="BD54" s="723">
        <f ca="1">IF(BB54=0,0,(BC54-BB54)/BB54*100)</f>
        <v>0</v>
      </c>
      <c r="BE54" s="833">
        <f ca="1">IF(BE56=0,0,(BE55*BE56+BE57*BE58*6)/BE56)</f>
        <v>0</v>
      </c>
      <c r="BF54" s="833">
        <f ca="1">IF(BF56=0,0,(BF55*BF56+BF57*BF58*6)/BF56)</f>
        <v>0</v>
      </c>
      <c r="BG54" s="723">
        <f ca="1">IF(BE54=0,0,(BF54-BE54)/BE54*100)</f>
        <v>0</v>
      </c>
      <c r="BH54" s="833">
        <f>IF(BH56=0,0,(BH55*BH56+BH57*BH58*6)/BH56)</f>
        <v>0</v>
      </c>
      <c r="BI54" s="833">
        <f>IF(BI56=0,0,(BI55*BI56+BI57*BI58*6)/BI56)</f>
        <v>0</v>
      </c>
      <c r="BJ54" s="723">
        <f>IF(BH54=0,0,(BI54-BH54)/BH54*100)</f>
        <v>0</v>
      </c>
      <c r="BK54" s="833">
        <f>IF(BK56=0,0,(BK55*BK56+BK57*BK58*6)/BK56)</f>
        <v>0</v>
      </c>
      <c r="BL54" s="833">
        <f>IF(BL56=0,0,(BL55*BL56+BL57*BL58*6)/BL56)</f>
        <v>0</v>
      </c>
      <c r="BM54" s="723">
        <f>IF(BK54=0,0,(BL54-BK54)/BK54*100)</f>
        <v>0</v>
      </c>
      <c r="BN54" s="833">
        <f>IF(BN56=0,0,(BN55*BN56+BN57*BN58*6)/BN56)</f>
        <v>0</v>
      </c>
      <c r="BO54" s="833">
        <f>IF(BO56=0,0,(BO55*BO56+BO57*BO58*6)/BO56)</f>
        <v>0</v>
      </c>
      <c r="BP54" s="723">
        <f>IF(BN54=0,0,(BO54-BN54)/BN54*100)</f>
        <v>0</v>
      </c>
      <c r="BQ54" s="833">
        <f>IF(BQ56=0,0,(BQ55*BQ56+BQ57*BQ58*6)/BQ56)</f>
        <v>0</v>
      </c>
      <c r="BR54" s="833">
        <f>IF(BR56=0,0,(BR55*BR56+BR57*BR58*6)/BR56)</f>
        <v>0</v>
      </c>
      <c r="BS54" s="723">
        <f>IF(BQ54=0,0,(BR54-BQ54)/BQ54*100)</f>
        <v>0</v>
      </c>
      <c r="BT54" s="833">
        <f>IF(BT56=0,0,(BT55*BT56+BT57*BT58*6)/BT56)</f>
        <v>0</v>
      </c>
      <c r="BU54" s="833">
        <f>IF(BU56=0,0,(BU55*BU56+BU57*BU58*6)/BU56)</f>
        <v>0</v>
      </c>
      <c r="BV54" s="723">
        <f>IF(BT54=0,0,(BU54-BT54)/BT54*100)</f>
        <v>0</v>
      </c>
      <c r="BW54" s="833">
        <f>IF(BW56=0,0,(BW55*BW56+BW57*BW58*6)/BW56)</f>
        <v>0</v>
      </c>
      <c r="BX54" s="833">
        <f>IF(BX56=0,0,(BX55*BX56+BX57*BX58*6)/BX56)</f>
        <v>0</v>
      </c>
      <c r="BY54" s="723">
        <f>IF(BW54=0,0,(BX54-BW54)/BW54*100)</f>
        <v>0</v>
      </c>
      <c r="BZ54" s="833">
        <f>IF(BZ56=0,0,(BZ55*BZ56+BZ57*BZ58*6)/BZ56)</f>
        <v>0</v>
      </c>
      <c r="CA54" s="833">
        <f>IF(CA56=0,0,(CA55*CA56+CA57*CA58*6)/CA56)</f>
        <v>0</v>
      </c>
      <c r="CB54" s="723">
        <f>IF(BZ54=0,0,(CA54-BZ54)/BZ54*100)</f>
        <v>0</v>
      </c>
      <c r="CC54" s="833">
        <f>IF(CC56=0,0,(CC55*CC56+CC57*CC58*6)/CC56)</f>
        <v>0</v>
      </c>
      <c r="CD54" s="833">
        <f>IF(CD56=0,0,(CD55*CD56+CD57*CD58*6)/CD56)</f>
        <v>0</v>
      </c>
      <c r="CE54" s="723">
        <f>IF(CC54=0,0,(CD54-CC54)/CC54*100)</f>
        <v>0</v>
      </c>
      <c r="CF54" s="833">
        <f>IF(CF56=0,0,(CF55*CF56+CF57*CF58*6)/CF56)</f>
        <v>0</v>
      </c>
      <c r="CG54" s="833">
        <f>IF(CG56=0,0,(CG55*CG56+CG57*CG58*6)/CG56)</f>
        <v>0</v>
      </c>
      <c r="CH54" s="723">
        <f>IF(CF54=0,0,(CG54-CF54)/CF54*100)</f>
        <v>0</v>
      </c>
      <c r="CI54" s="833">
        <f>IF(CI56=0,0,(CI55*CI56+CI57*CI58*6)/CI56)</f>
        <v>0</v>
      </c>
      <c r="CJ54" s="833">
        <f>IF(CJ56=0,0,(CJ55*CJ56+CJ57*CJ58*6)/CJ56)</f>
        <v>0</v>
      </c>
      <c r="CK54" s="723">
        <f>IF(CI54=0,0,(CJ54-CI54)/CI54*100)</f>
        <v>0</v>
      </c>
      <c r="CL54" s="833">
        <f>IF(CL56=0,0,(CL55*CL56+CL57*CL58*6)/CL56)</f>
        <v>0</v>
      </c>
      <c r="CM54" s="833">
        <f>IF(CM56=0,0,(CM55*CM56+CM57*CM58*6)/CM56)</f>
        <v>0</v>
      </c>
      <c r="CN54" s="723">
        <f>IF(CL54=0,0,(CM54-CL54)/CL54*100)</f>
        <v>0</v>
      </c>
      <c r="CO54" s="833">
        <f>IF(CO56=0,0,(CO55*CO56+CO57*CO58*6)/CO56)</f>
        <v>0</v>
      </c>
      <c r="CP54" s="833">
        <f>IF(CP56=0,0,(CP55*CP56+CP57*CP58*6)/CP56)</f>
        <v>0</v>
      </c>
      <c r="CQ54" s="723">
        <f>IF(CO54=0,0,(CP54-CO54)/CO54*100)</f>
        <v>0</v>
      </c>
      <c r="CR54" s="833">
        <f>IF(CR56=0,0,(CR55*CR56+CR57*CR58*6)/CR56)</f>
        <v>0</v>
      </c>
      <c r="CS54" s="833">
        <f>IF(CS56=0,0,(CS55*CS56+CS57*CS58*6)/CS56)</f>
        <v>0</v>
      </c>
      <c r="CT54" s="723">
        <f>IF(CR54=0,0,(CS54-CR54)/CR54*100)</f>
        <v>0</v>
      </c>
      <c r="CU54" s="833">
        <f>IF(CU56=0,0,(CU55*CU56+CU57*CU58*6)/CU56)</f>
        <v>0</v>
      </c>
      <c r="CV54" s="833">
        <f>IF(CV56=0,0,(CV55*CV56+CV57*CV58*6)/CV56)</f>
        <v>0</v>
      </c>
      <c r="CW54" s="723">
        <f>IF(CU54=0,0,(CV54-CU54)/CU54*100)</f>
        <v>0</v>
      </c>
      <c r="CX54" s="833">
        <f>IF(CX56=0,0,(CX55*CX56+CX57*CX58*6)/CX56)</f>
        <v>0</v>
      </c>
      <c r="CY54" s="833">
        <f>IF(CY56=0,0,(CY55*CY56+CY57*CY58*6)/CY56)</f>
        <v>0</v>
      </c>
      <c r="CZ54" s="723">
        <f>IF(CX54=0,0,(CY54-CX54)/CX54*100)</f>
        <v>0</v>
      </c>
      <c r="DA54" s="833">
        <f>IF(DA56=0,0,(DA55*DA56+DA57*DA58*6)/DA56)</f>
        <v>0</v>
      </c>
      <c r="DB54" s="833">
        <f>IF(DB56=0,0,(DB55*DB56+DB57*DB58*6)/DB56)</f>
        <v>0</v>
      </c>
      <c r="DC54" s="723">
        <f>IF(DA54=0,0,(DB54-DA54)/DA54*100)</f>
        <v>0</v>
      </c>
      <c r="DD54" s="833">
        <f>IF(DD56=0,0,(DD55*DD56+DD57*DD58*6)/DD56)</f>
        <v>0</v>
      </c>
      <c r="DE54" s="833">
        <f>IF(DE56=0,0,(DE55*DE56+DE57*DE58*6)/DE56)</f>
        <v>0</v>
      </c>
      <c r="DF54" s="723">
        <f>IF(DD54=0,0,(DE54-DD54)/DD54*100)</f>
        <v>0</v>
      </c>
      <c r="DG54" s="833">
        <f>IF(DG56=0,0,(DG55*DG56+DG57*DG58*6)/DG56)</f>
        <v>0</v>
      </c>
      <c r="DH54" s="833">
        <f>IF(DH56=0,0,(DH55*DH56+DH57*DH58*6)/DH56)</f>
        <v>0</v>
      </c>
      <c r="DI54" s="723">
        <f>IF(DG54=0,0,(DH54-DG54)/DG54*100)</f>
        <v>0</v>
      </c>
      <c r="DJ54" s="833">
        <f>IF(DJ56=0,0,(DJ55*DJ56+DJ57*DJ58*6)/DJ56)</f>
        <v>0</v>
      </c>
      <c r="DK54" s="833">
        <f>IF(DK56=0,0,(DK55*DK56+DK57*DK58*6)/DK56)</f>
        <v>0</v>
      </c>
      <c r="DL54" s="723">
        <f>IF(DJ54=0,0,(DK54-DJ54)/DJ54*100)</f>
        <v>0</v>
      </c>
      <c r="DM54" s="833">
        <f>IF(DM56=0,0,(DM55*DM56+DM57*DM58*6)/DM56)</f>
        <v>0</v>
      </c>
      <c r="DN54" s="833">
        <f>IF(DN56=0,0,(DN55*DN56+DN57*DN58*6)/DN56)</f>
        <v>0</v>
      </c>
      <c r="DO54" s="723">
        <f>IF(DM54=0,0,(DN54-DM54)/DM54*100)</f>
        <v>0</v>
      </c>
      <c r="DP54" s="833">
        <f>IF(DP56=0,0,(DP55*DP56+DP57*DP58*6)/DP56)</f>
        <v>0</v>
      </c>
      <c r="DQ54" s="833">
        <f>IF(DQ56=0,0,(DQ55*DQ56+DQ57*DQ58*6)/DQ56)</f>
        <v>0</v>
      </c>
      <c r="DR54" s="723">
        <f>IF(DP54=0,0,(DQ54-DP54)/DP54*100)</f>
        <v>0</v>
      </c>
      <c r="DS54" s="833">
        <f>IF(DS56=0,0,(DS55*DS56+DS57*DS58*6)/DS56)</f>
        <v>0</v>
      </c>
      <c r="DT54" s="833">
        <f>IF(DT56=0,0,(DT55*DT56+DT57*DT58*6)/DT56)</f>
        <v>0</v>
      </c>
      <c r="DU54" s="723">
        <f>IF(DS54=0,0,(DT54-DS54)/DS54*100)</f>
        <v>0</v>
      </c>
      <c r="DV54" s="833">
        <f>IF(DV56=0,0,(DV55*DV56+DV57*DV58*6)/DV56)</f>
        <v>0</v>
      </c>
      <c r="DW54" s="833">
        <f>IF(DW56=0,0,(DW55*DW56+DW57*DW58*6)/DW56)</f>
        <v>0</v>
      </c>
      <c r="DX54" s="723">
        <f>IF(DV54=0,0,(DW54-DV54)/DV54*100)</f>
        <v>0</v>
      </c>
      <c r="DY54" s="833">
        <f>IF(DY56=0,0,(DY55*DY56+DY57*DY58*6)/DY56)</f>
        <v>0</v>
      </c>
      <c r="DZ54" s="833">
        <f>IF(DZ56=0,0,(DZ55*DZ56+DZ57*DZ58*6)/DZ56)</f>
        <v>0</v>
      </c>
      <c r="EA54" s="723">
        <f>IF(DY54=0,0,(DZ54-DY54)/DY54*100)</f>
        <v>0</v>
      </c>
      <c r="EB54" s="833">
        <f>IF(EB56=0,0,(EB55*EB56+EB57*EB58*6)/EB56)</f>
        <v>0</v>
      </c>
      <c r="EC54" s="833">
        <f>IF(EC56=0,0,(EC55*EC56+EC57*EC58*6)/EC56)</f>
        <v>0</v>
      </c>
      <c r="ED54" s="723">
        <f>IF(EB54=0,0,(EC54-EB54)/EB54*100)</f>
        <v>0</v>
      </c>
      <c r="EE54" s="833">
        <f>IF(EE56=0,0,(EE55*EE56+EE57*EE58*6)/EE56)</f>
        <v>0</v>
      </c>
      <c r="EF54" s="833">
        <f>IF(EF56=0,0,(EF55*EF56+EF57*EF58*6)/EF56)</f>
        <v>0</v>
      </c>
      <c r="EG54" s="723">
        <f>IF(EE54=0,0,(EF54-EE54)/EE54*100)</f>
        <v>0</v>
      </c>
      <c r="EH54" s="833">
        <f>IF(EH56=0,0,(EH55*EH56+EH57*EH58*6)/EH56)</f>
        <v>0</v>
      </c>
      <c r="EI54" s="833">
        <f>IF(EI56=0,0,(EI55*EI56+EI57*EI58*6)/EI56)</f>
        <v>0</v>
      </c>
      <c r="EJ54" s="723">
        <f>IF(EH54=0,0,(EI54-EH54)/EH54*100)</f>
        <v>0</v>
      </c>
      <c r="EK54" s="833">
        <f>IF(EK56=0,0,(EK55*EK56+EK57*EK58*6)/EK56)</f>
        <v>0</v>
      </c>
      <c r="EL54" s="833">
        <f>IF(EL56=0,0,(EL55*EL56+EL57*EL58*6)/EL56)</f>
        <v>0</v>
      </c>
      <c r="EM54" s="723">
        <f>IF(EK54=0,0,(EL54-EK54)/EK54*100)</f>
        <v>0</v>
      </c>
      <c r="EN54" s="833">
        <f>IF(EN56=0,0,(EN55*EN56+EN57*EN58*6)/EN56)</f>
        <v>0</v>
      </c>
      <c r="EO54" s="833">
        <f>IF(EO56=0,0,(EO55*EO56+EO57*EO58*6)/EO56)</f>
        <v>0</v>
      </c>
      <c r="EP54" s="723">
        <f>IF(EN54=0,0,(EO54-EN54)/EN54*100)</f>
        <v>0</v>
      </c>
      <c r="EQ54" s="833">
        <f>IF(EQ56=0,0,(EQ55*EQ56+EQ57*EQ58*6)/EQ56)</f>
        <v>0</v>
      </c>
      <c r="ER54" s="833">
        <f>IF(ER56=0,0,(ER55*ER56+ER57*ER58*6)/ER56)</f>
        <v>0</v>
      </c>
      <c r="ES54" s="723">
        <f>IF(EQ54=0,0,(ER54-EQ54)/EQ54*100)</f>
        <v>0</v>
      </c>
      <c r="ET54" s="833">
        <f>IF(ET56=0,0,(ET55*ET56+ET57*ET58*6)/ET56)</f>
        <v>0</v>
      </c>
      <c r="EU54" s="833">
        <f>IF(EU56=0,0,(EU55*EU56+EU57*EU58*6)/EU56)</f>
        <v>0</v>
      </c>
      <c r="EV54" s="723">
        <f>IF(ET54=0,0,(EU54-ET54)/ET54*100)</f>
        <v>0</v>
      </c>
      <c r="EW54" s="833">
        <f>IF(EW56=0,0,(EW55*EW56+EW57*EW58*6)/EW56)</f>
        <v>0</v>
      </c>
      <c r="EX54" s="833">
        <f>IF(EX56=0,0,(EX55*EX56+EX57*EX58*6)/EX56)</f>
        <v>0</v>
      </c>
      <c r="EY54" s="723">
        <f>IF(EW54=0,0,(EX54-EW54)/EW54*100)</f>
        <v>0</v>
      </c>
      <c r="EZ54" s="833">
        <f>IF(EZ56=0,0,(EZ55*EZ56+EZ57*EZ58*6)/EZ56)</f>
        <v>0</v>
      </c>
      <c r="FA54" s="833">
        <f>IF(FA56=0,0,(FA55*FA56+FA57*FA58*6)/FA56)</f>
        <v>0</v>
      </c>
      <c r="FB54" s="723">
        <f>IF(EZ54=0,0,(FA54-EZ54)/EZ54*100)</f>
        <v>0</v>
      </c>
      <c r="FC54" s="833">
        <f>IF(FC56=0,0,(FC55*FC56+FC57*FC58*6)/FC56)</f>
        <v>0</v>
      </c>
      <c r="FD54" s="833">
        <f>IF(FD56=0,0,(FD55*FD56+FD57*FD58*6)/FD56)</f>
        <v>0</v>
      </c>
      <c r="FE54" s="723">
        <f>IF(FC54=0,0,(FD54-FC54)/FC54*100)</f>
        <v>0</v>
      </c>
      <c r="FF54" s="833">
        <f>IF(FF56=0,0,(FF55*FF56+FF57*FF58*6)/FF56)</f>
        <v>0</v>
      </c>
      <c r="FG54" s="833">
        <f>IF(FG56=0,0,(FG55*FG56+FG57*FG58*6)/FG56)</f>
        <v>0</v>
      </c>
      <c r="FH54" s="723">
        <f>IF(FF54=0,0,(FG54-FF54)/FF54*100)</f>
        <v>0</v>
      </c>
      <c r="FI54" s="833">
        <f>IF(FI56=0,0,(FI55*FI56+FI57*FI58*6)/FI56)</f>
        <v>0</v>
      </c>
      <c r="FJ54" s="833">
        <f>IF(FJ56=0,0,(FJ55*FJ56+FJ57*FJ58*6)/FJ56)</f>
        <v>0</v>
      </c>
      <c r="FK54" s="723">
        <f>IF(FI54=0,0,(FJ54-FI54)/FI54*100)</f>
        <v>0</v>
      </c>
      <c r="FL54" s="833">
        <f>IF(FL56=0,0,(FL55*FL56+FL57*FL58*6)/FL56)</f>
        <v>0</v>
      </c>
      <c r="FM54" s="833">
        <f>IF(FM56=0,0,(FM55*FM56+FM57*FM58*6)/FM56)</f>
        <v>0</v>
      </c>
      <c r="FN54" s="723">
        <f>IF(FL54=0,0,(FM54-FL54)/FL54*100)</f>
        <v>0</v>
      </c>
      <c r="FO54" s="833">
        <f>IF(FO56=0,0,(FO55*FO56+FO57*FO58*6)/FO56)</f>
        <v>0</v>
      </c>
      <c r="FP54" s="833">
        <f>IF(FP56=0,0,(FP55*FP56+FP57*FP58*6)/FP56)</f>
        <v>0</v>
      </c>
      <c r="FQ54" s="723">
        <f>IF(FO54=0,0,(FP54-FO54)/FO54*100)</f>
        <v>0</v>
      </c>
      <c r="FR54" s="833">
        <f>IF(FR56=0,0,(FR55*FR56+FR57*FR58*6)/FR56)</f>
        <v>0</v>
      </c>
      <c r="FS54" s="833">
        <f>IF(FS56=0,0,(FS55*FS56+FS57*FS58*6)/FS56)</f>
        <v>0</v>
      </c>
      <c r="FT54" s="723">
        <f>IF(FR54=0,0,(FS54-FR54)/FR54*100)</f>
        <v>0</v>
      </c>
      <c r="FU54" s="833">
        <f>IF(FU56=0,0,(FU55*FU56+FU57*FU58*6)/FU56)</f>
        <v>0</v>
      </c>
      <c r="FV54" s="833">
        <f>IF(FV56=0,0,(FV55*FV56+FV57*FV58*6)/FV56)</f>
        <v>0</v>
      </c>
      <c r="FW54" s="723">
        <f>IF(FU54=0,0,(FV54-FU54)/FU54*100)</f>
        <v>0</v>
      </c>
      <c r="FZ54" s="700" t="s">
        <v>1671</v>
      </c>
    </row>
    <row r="55" spans="1:182" ht="14.65" hidden="1" customHeight="1">
      <c r="A55" s="78"/>
      <c r="B55" s="622" t="b" cm="1">
        <f t="array" ref="B55">B54</f>
        <v>0</v>
      </c>
      <c r="C55" s="78"/>
      <c r="D55" s="78"/>
      <c r="E55" s="473">
        <v>15</v>
      </c>
      <c r="F55" s="3" cm="1">
        <f t="array" aca="1" ref="F55" ca="1">OFFSET(E55,-1,1)</f>
        <v>0</v>
      </c>
      <c r="G55" s="78"/>
      <c r="H55" s="78" t="s">
        <v>1566</v>
      </c>
      <c r="I55" s="78" t="s">
        <v>1627</v>
      </c>
      <c r="J55" s="78"/>
      <c r="K55" s="78"/>
      <c r="L55" s="78"/>
      <c r="M55" s="78"/>
      <c r="N55" s="78"/>
      <c r="O55" s="78"/>
      <c r="P55" s="78"/>
      <c r="Q55" s="78"/>
      <c r="R55" s="78"/>
      <c r="S55" s="78"/>
      <c r="T55" s="365" t="b" cm="1">
        <f t="array" aca="1" ref="T55" ca="1">T54</f>
        <v>0</v>
      </c>
      <c r="U55" s="78"/>
      <c r="V55" s="78"/>
      <c r="W55" s="78"/>
      <c r="X55" s="1094"/>
      <c r="Y55" s="78"/>
      <c r="Z55" s="1064"/>
      <c r="AA55" s="78"/>
      <c r="AB55" s="124" t="str">
        <f>"ставка платы за "&amp;IF(Q29="Водоснабжение","потребление 1 куб.м холодной воды","объем принятых сточных вод")</f>
        <v>ставка платы за объем принятых сточных вод</v>
      </c>
      <c r="AC55" s="31" t="s">
        <v>1624</v>
      </c>
      <c r="AD55" s="833"/>
      <c r="AE55" s="833"/>
      <c r="AF55" s="723">
        <f>IF(AD55=0,0,(AE55-AD55)/AD55*100)</f>
        <v>0</v>
      </c>
      <c r="AG55" s="833"/>
      <c r="AH55" s="833"/>
      <c r="AI55" s="723">
        <f>IF(AG55=0,0,(AH55-AG55)/AG55*100)</f>
        <v>0</v>
      </c>
      <c r="AJ55" s="833"/>
      <c r="AK55" s="833"/>
      <c r="AL55" s="723">
        <f>IF(AJ55=0,0,(AK55-AJ55)/AJ55*100)</f>
        <v>0</v>
      </c>
      <c r="AM55" s="833"/>
      <c r="AN55" s="833"/>
      <c r="AO55" s="723">
        <f>IF(AM55=0,0,(AN55-AM55)/AM55*100)</f>
        <v>0</v>
      </c>
      <c r="AP55" s="833"/>
      <c r="AQ55" s="833"/>
      <c r="AR55" s="723">
        <f>IF(AP55=0,0,(AQ55-AP55)/AP55*100)</f>
        <v>0</v>
      </c>
      <c r="AS55" s="833"/>
      <c r="AT55" s="833"/>
      <c r="AU55" s="723">
        <f>IF(AS55=0,0,(AT55-AS55)/AS55*100)</f>
        <v>0</v>
      </c>
      <c r="AV55" s="833"/>
      <c r="AW55" s="833"/>
      <c r="AX55" s="723">
        <f>IF(AV55=0,0,(AW55-AV55)/AV55*100)</f>
        <v>0</v>
      </c>
      <c r="AY55" s="833"/>
      <c r="AZ55" s="833"/>
      <c r="BA55" s="723">
        <f>IF(AY55=0,0,(AZ55-AY55)/AY55*100)</f>
        <v>0</v>
      </c>
      <c r="BB55" s="833"/>
      <c r="BC55" s="833"/>
      <c r="BD55" s="723">
        <f>IF(BB55=0,0,(BC55-BB55)/BB55*100)</f>
        <v>0</v>
      </c>
      <c r="BE55" s="833"/>
      <c r="BF55" s="833"/>
      <c r="BG55" s="723">
        <f>IF(BE55=0,0,(BF55-BE55)/BE55*100)</f>
        <v>0</v>
      </c>
      <c r="BH55" s="833"/>
      <c r="BI55" s="833"/>
      <c r="BJ55" s="723">
        <f>IF(BH55=0,0,(BI55-BH55)/BH55*100)</f>
        <v>0</v>
      </c>
      <c r="BK55" s="833"/>
      <c r="BL55" s="833"/>
      <c r="BM55" s="723">
        <f>IF(BK55=0,0,(BL55-BK55)/BK55*100)</f>
        <v>0</v>
      </c>
      <c r="BN55" s="833"/>
      <c r="BO55" s="833"/>
      <c r="BP55" s="723">
        <f>IF(BN55=0,0,(BO55-BN55)/BN55*100)</f>
        <v>0</v>
      </c>
      <c r="BQ55" s="833"/>
      <c r="BR55" s="833"/>
      <c r="BS55" s="723">
        <f>IF(BQ55=0,0,(BR55-BQ55)/BQ55*100)</f>
        <v>0</v>
      </c>
      <c r="BT55" s="833"/>
      <c r="BU55" s="833"/>
      <c r="BV55" s="723">
        <f>IF(BT55=0,0,(BU55-BT55)/BT55*100)</f>
        <v>0</v>
      </c>
      <c r="BW55" s="833"/>
      <c r="BX55" s="833"/>
      <c r="BY55" s="723">
        <f>IF(BW55=0,0,(BX55-BW55)/BW55*100)</f>
        <v>0</v>
      </c>
      <c r="BZ55" s="833"/>
      <c r="CA55" s="833"/>
      <c r="CB55" s="723">
        <f>IF(BZ55=0,0,(CA55-BZ55)/BZ55*100)</f>
        <v>0</v>
      </c>
      <c r="CC55" s="833"/>
      <c r="CD55" s="833"/>
      <c r="CE55" s="723">
        <f>IF(CC55=0,0,(CD55-CC55)/CC55*100)</f>
        <v>0</v>
      </c>
      <c r="CF55" s="833"/>
      <c r="CG55" s="833"/>
      <c r="CH55" s="723">
        <f>IF(CF55=0,0,(CG55-CF55)/CF55*100)</f>
        <v>0</v>
      </c>
      <c r="CI55" s="833"/>
      <c r="CJ55" s="833"/>
      <c r="CK55" s="723">
        <f>IF(CI55=0,0,(CJ55-CI55)/CI55*100)</f>
        <v>0</v>
      </c>
      <c r="CL55" s="833"/>
      <c r="CM55" s="833"/>
      <c r="CN55" s="723">
        <f>IF(CL55=0,0,(CM55-CL55)/CL55*100)</f>
        <v>0</v>
      </c>
      <c r="CO55" s="833"/>
      <c r="CP55" s="833"/>
      <c r="CQ55" s="723">
        <f>IF(CO55=0,0,(CP55-CO55)/CO55*100)</f>
        <v>0</v>
      </c>
      <c r="CR55" s="833"/>
      <c r="CS55" s="833"/>
      <c r="CT55" s="723">
        <f>IF(CR55=0,0,(CS55-CR55)/CR55*100)</f>
        <v>0</v>
      </c>
      <c r="CU55" s="833"/>
      <c r="CV55" s="833"/>
      <c r="CW55" s="723">
        <f>IF(CU55=0,0,(CV55-CU55)/CU55*100)</f>
        <v>0</v>
      </c>
      <c r="CX55" s="833"/>
      <c r="CY55" s="833"/>
      <c r="CZ55" s="723">
        <f>IF(CX55=0,0,(CY55-CX55)/CX55*100)</f>
        <v>0</v>
      </c>
      <c r="DA55" s="833"/>
      <c r="DB55" s="833"/>
      <c r="DC55" s="723">
        <f>IF(DA55=0,0,(DB55-DA55)/DA55*100)</f>
        <v>0</v>
      </c>
      <c r="DD55" s="833"/>
      <c r="DE55" s="833"/>
      <c r="DF55" s="723">
        <f>IF(DD55=0,0,(DE55-DD55)/DD55*100)</f>
        <v>0</v>
      </c>
      <c r="DG55" s="833"/>
      <c r="DH55" s="833"/>
      <c r="DI55" s="723">
        <f>IF(DG55=0,0,(DH55-DG55)/DG55*100)</f>
        <v>0</v>
      </c>
      <c r="DJ55" s="833"/>
      <c r="DK55" s="833"/>
      <c r="DL55" s="723">
        <f>IF(DJ55=0,0,(DK55-DJ55)/DJ55*100)</f>
        <v>0</v>
      </c>
      <c r="DM55" s="833"/>
      <c r="DN55" s="833"/>
      <c r="DO55" s="723">
        <f>IF(DM55=0,0,(DN55-DM55)/DM55*100)</f>
        <v>0</v>
      </c>
      <c r="DP55" s="833"/>
      <c r="DQ55" s="833"/>
      <c r="DR55" s="723">
        <f>IF(DP55=0,0,(DQ55-DP55)/DP55*100)</f>
        <v>0</v>
      </c>
      <c r="DS55" s="833"/>
      <c r="DT55" s="833"/>
      <c r="DU55" s="723">
        <f>IF(DS55=0,0,(DT55-DS55)/DS55*100)</f>
        <v>0</v>
      </c>
      <c r="DV55" s="833"/>
      <c r="DW55" s="833"/>
      <c r="DX55" s="723">
        <f>IF(DV55=0,0,(DW55-DV55)/DV55*100)</f>
        <v>0</v>
      </c>
      <c r="DY55" s="833"/>
      <c r="DZ55" s="833"/>
      <c r="EA55" s="723">
        <f>IF(DY55=0,0,(DZ55-DY55)/DY55*100)</f>
        <v>0</v>
      </c>
      <c r="EB55" s="833"/>
      <c r="EC55" s="833"/>
      <c r="ED55" s="723">
        <f>IF(EB55=0,0,(EC55-EB55)/EB55*100)</f>
        <v>0</v>
      </c>
      <c r="EE55" s="833"/>
      <c r="EF55" s="833"/>
      <c r="EG55" s="723">
        <f>IF(EE55=0,0,(EF55-EE55)/EE55*100)</f>
        <v>0</v>
      </c>
      <c r="EH55" s="833"/>
      <c r="EI55" s="833"/>
      <c r="EJ55" s="723">
        <f>IF(EH55=0,0,(EI55-EH55)/EH55*100)</f>
        <v>0</v>
      </c>
      <c r="EK55" s="833"/>
      <c r="EL55" s="833"/>
      <c r="EM55" s="723">
        <f>IF(EK55=0,0,(EL55-EK55)/EK55*100)</f>
        <v>0</v>
      </c>
      <c r="EN55" s="833"/>
      <c r="EO55" s="833"/>
      <c r="EP55" s="723">
        <f>IF(EN55=0,0,(EO55-EN55)/EN55*100)</f>
        <v>0</v>
      </c>
      <c r="EQ55" s="833"/>
      <c r="ER55" s="833"/>
      <c r="ES55" s="723">
        <f>IF(EQ55=0,0,(ER55-EQ55)/EQ55*100)</f>
        <v>0</v>
      </c>
      <c r="ET55" s="833"/>
      <c r="EU55" s="833"/>
      <c r="EV55" s="723">
        <f>IF(ET55=0,0,(EU55-ET55)/ET55*100)</f>
        <v>0</v>
      </c>
      <c r="EW55" s="833"/>
      <c r="EX55" s="833"/>
      <c r="EY55" s="723">
        <f>IF(EW55=0,0,(EX55-EW55)/EW55*100)</f>
        <v>0</v>
      </c>
      <c r="EZ55" s="833"/>
      <c r="FA55" s="833"/>
      <c r="FB55" s="723">
        <f>IF(EZ55=0,0,(FA55-EZ55)/EZ55*100)</f>
        <v>0</v>
      </c>
      <c r="FC55" s="833"/>
      <c r="FD55" s="833"/>
      <c r="FE55" s="723">
        <f>IF(FC55=0,0,(FD55-FC55)/FC55*100)</f>
        <v>0</v>
      </c>
      <c r="FF55" s="833"/>
      <c r="FG55" s="833"/>
      <c r="FH55" s="723">
        <f>IF(FF55=0,0,(FG55-FF55)/FF55*100)</f>
        <v>0</v>
      </c>
      <c r="FI55" s="833"/>
      <c r="FJ55" s="833"/>
      <c r="FK55" s="723">
        <f>IF(FI55=0,0,(FJ55-FI55)/FI55*100)</f>
        <v>0</v>
      </c>
      <c r="FL55" s="833"/>
      <c r="FM55" s="833"/>
      <c r="FN55" s="723">
        <f>IF(FL55=0,0,(FM55-FL55)/FL55*100)</f>
        <v>0</v>
      </c>
      <c r="FO55" s="833"/>
      <c r="FP55" s="833"/>
      <c r="FQ55" s="723">
        <f>IF(FO55=0,0,(FP55-FO55)/FO55*100)</f>
        <v>0</v>
      </c>
      <c r="FR55" s="833"/>
      <c r="FS55" s="833"/>
      <c r="FT55" s="723">
        <f>IF(FR55=0,0,(FS55-FR55)/FR55*100)</f>
        <v>0</v>
      </c>
      <c r="FU55" s="833"/>
      <c r="FV55" s="833"/>
      <c r="FW55" s="723">
        <f>IF(FU55=0,0,(FV55-FU55)/FU55*100)</f>
        <v>0</v>
      </c>
      <c r="FZ55" s="700" t="s">
        <v>1672</v>
      </c>
    </row>
    <row r="56" spans="1:182" ht="14.65" hidden="1" customHeight="1">
      <c r="A56" s="78"/>
      <c r="B56" s="622" t="b" cm="1">
        <f t="array" ref="B56">B55</f>
        <v>0</v>
      </c>
      <c r="C56" s="78"/>
      <c r="D56" s="78"/>
      <c r="E56" s="473">
        <v>15</v>
      </c>
      <c r="F56" s="3" cm="1">
        <f t="array" aca="1" ref="F56" ca="1">OFFSET(E56,-1,1)</f>
        <v>0</v>
      </c>
      <c r="G56" s="44" t="s">
        <v>1673</v>
      </c>
      <c r="H56" s="78" t="s">
        <v>1661</v>
      </c>
      <c r="I56" s="78" t="s">
        <v>1627</v>
      </c>
      <c r="J56" s="78"/>
      <c r="K56" s="78"/>
      <c r="L56" s="78"/>
      <c r="M56" s="78"/>
      <c r="N56" s="78"/>
      <c r="O56" s="78"/>
      <c r="P56" s="78"/>
      <c r="Q56" s="78"/>
      <c r="R56" s="78"/>
      <c r="S56" s="78"/>
      <c r="T56" s="365" t="b" cm="1">
        <f t="array" aca="1" ref="T56" ca="1">T55</f>
        <v>0</v>
      </c>
      <c r="U56" s="78"/>
      <c r="V56" s="78"/>
      <c r="W56" s="78"/>
      <c r="X56" s="1094"/>
      <c r="Y56" s="78"/>
      <c r="Z56" s="1064"/>
      <c r="AA56" s="78"/>
      <c r="AB56" s="124" t="str">
        <f>"объём "&amp;IF(Q29="Водоснабжение","потребления холодной воды","водоотведения")</f>
        <v>объём водоотведения</v>
      </c>
      <c r="AC56" s="31" t="s">
        <v>534</v>
      </c>
      <c r="AD56" s="849">
        <f ca="1">IF(AND(method_reg="Метод индексации",god&lt;&gt;first_year),SUMIFS(INDEX('Калькуляция (МИ корр)'!$AJ$25:$BC$459,,MATCH(AD$8,'Калькуляция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(МИ)'!$AJ$25:$BC$459,,MATCH(AD$8,'Калькуляция (МИ)'!$AJ$8:$BC$8,0)),'Калькуляция (МИ)'!$F$25:$F$459,$F56,'Калькуляция (МИ)'!$G$25:$G$459,$G56))))</f>
        <v>0</v>
      </c>
      <c r="AE56" s="849">
        <f ca="1">IF(AND(method_reg="Метод индексации",god&lt;&gt;first_year),SUMIFS(INDEX('Калькуляция (МИ корр)'!$AJ$25:$BC$459,,MATCH(AE$8,'Калькуляция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(МИ)'!$AJ$25:$BC$459,,MATCH(AE$8,'Калькуляция (МИ)'!$AJ$8:$BC$8,0)),'Калькуляция (МИ)'!$F$25:$F$459,$F56,'Калькуляция (МИ)'!$G$25:$G$459,$G56))))</f>
        <v>0</v>
      </c>
      <c r="AF56" s="724">
        <f ca="1">IF(AD56=0,0,(AE56-AD56)/AD56*100)</f>
        <v>0</v>
      </c>
      <c r="AG56" s="849">
        <f ca="1">IF(AND(method_reg="Метод индексации",god&lt;&gt;first_year),SUMIFS(INDEX('Калькуляция (МИ корр)'!$AJ$25:$BC$459,,MATCH(AG$8,'Калькуляция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(МИ)'!$AJ$25:$BC$459,,MATCH(AG$8,'Калькуляция (МИ)'!$AJ$8:$BC$8,0)),'Калькуляция (МИ)'!$F$25:$F$459,$F56,'Калькуляция (МИ)'!$G$25:$G$459,$G56))))</f>
        <v>0</v>
      </c>
      <c r="AH56" s="849">
        <f ca="1">IF(AND(method_reg="Метод индексации",god&lt;&gt;first_year),SUMIFS(INDEX('Калькуляция (МИ корр)'!$AJ$25:$BC$459,,MATCH(AH$8,'Калькуляция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(МИ)'!$AJ$25:$BC$459,,MATCH(AH$8,'Калькуляция (МИ)'!$AJ$8:$BC$8,0)),'Калькуляция (МИ)'!$F$25:$F$459,$F56,'Калькуляция (МИ)'!$G$25:$G$459,$G56))))</f>
        <v>0</v>
      </c>
      <c r="AI56" s="724">
        <f ca="1">IF(AG56=0,0,(AH56-AG56)/AG56*100)</f>
        <v>0</v>
      </c>
      <c r="AJ56" s="849">
        <f ca="1">IF(AND(method_reg="Метод индексации",god&lt;&gt;first_year),SUMIFS(INDEX('Калькуляция (МИ корр)'!$AJ$25:$BC$459,,MATCH(AJ$8,'Калькуляция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(МИ)'!$AJ$25:$BC$459,,MATCH(AJ$8,'Калькуляция (МИ)'!$AJ$8:$BC$8,0)),'Калькуляция (МИ)'!$F$25:$F$459,$F56,'Калькуляция (МИ)'!$G$25:$G$459,$G56))))</f>
        <v>0</v>
      </c>
      <c r="AK56" s="849">
        <f ca="1">IF(AND(method_reg="Метод индексации",god&lt;&gt;first_year),SUMIFS(INDEX('Калькуляция (МИ корр)'!$AJ$25:$BC$459,,MATCH(AK$8,'Калькуляция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(МИ)'!$AJ$25:$BC$459,,MATCH(AK$8,'Калькуляция (МИ)'!$AJ$8:$BC$8,0)),'Калькуляция (МИ)'!$F$25:$F$459,$F56,'Калькуляция (МИ)'!$G$25:$G$459,$G56))))</f>
        <v>0</v>
      </c>
      <c r="AL56" s="724">
        <f ca="1">IF(AJ56=0,0,(AK56-AJ56)/AJ56*100)</f>
        <v>0</v>
      </c>
      <c r="AM56" s="849">
        <f ca="1">IF(AND(method_reg="Метод индексации",god&lt;&gt;first_year),SUMIFS(INDEX('Калькуляция (МИ корр)'!$AJ$25:$BC$459,,MATCH(AM$8,'Калькуляция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(МИ)'!$AJ$25:$BC$459,,MATCH(AM$8,'Калькуляция (МИ)'!$AJ$8:$BC$8,0)),'Калькуляция (МИ)'!$F$25:$F$459,$F56,'Калькуляция (МИ)'!$G$25:$G$459,$G56))))</f>
        <v>0</v>
      </c>
      <c r="AN56" s="849">
        <f ca="1">IF(AND(method_reg="Метод индексации",god&lt;&gt;first_year),SUMIFS(INDEX('Калькуляция (МИ корр)'!$AJ$25:$BC$459,,MATCH(AN$8,'Калькуляция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(МИ)'!$AJ$25:$BC$459,,MATCH(AN$8,'Калькуляция (МИ)'!$AJ$8:$BC$8,0)),'Калькуляция (МИ)'!$F$25:$F$459,$F56,'Калькуляция (МИ)'!$G$25:$G$459,$G56))))</f>
        <v>0</v>
      </c>
      <c r="AO56" s="724">
        <f ca="1">IF(AM56=0,0,(AN56-AM56)/AM56*100)</f>
        <v>0</v>
      </c>
      <c r="AP56" s="849">
        <f ca="1">IF(AND(method_reg="Метод индексации",god&lt;&gt;first_year),SUMIFS(INDEX('Калькуляция (МИ корр)'!$AJ$25:$BC$459,,MATCH(AP$8,'Калькуляция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(МИ)'!$AJ$25:$BC$459,,MATCH(AP$8,'Калькуляция (МИ)'!$AJ$8:$BC$8,0)),'Калькуляция (МИ)'!$F$25:$F$459,$F56,'Калькуляция (МИ)'!$G$25:$G$459,$G56))))</f>
        <v>0</v>
      </c>
      <c r="AQ56" s="849">
        <f ca="1">IF(AND(method_reg="Метод индексации",god&lt;&gt;first_year),SUMIFS(INDEX('Калькуляция (МИ корр)'!$AJ$25:$BC$459,,MATCH(AQ$8,'Калькуляция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(МИ)'!$AJ$25:$BC$459,,MATCH(AQ$8,'Калькуляция (МИ)'!$AJ$8:$BC$8,0)),'Калькуляция (МИ)'!$F$25:$F$459,$F56,'Калькуляция (МИ)'!$G$25:$G$459,$G56))))</f>
        <v>0</v>
      </c>
      <c r="AR56" s="724">
        <f ca="1">IF(AP56=0,0,(AQ56-AP56)/AP56*100)</f>
        <v>0</v>
      </c>
      <c r="AS56" s="849">
        <f ca="1">IF(AND(method_reg="Метод индексации",god&lt;&gt;first_year),SUMIFS(INDEX('Калькуляция (МИ корр)'!$AJ$25:$BC$459,,MATCH(AS$8,'Калькуляция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(МИ)'!$AJ$25:$BC$459,,MATCH(AS$8,'Калькуляция (МИ)'!$AJ$8:$BC$8,0)),'Калькуляция (МИ)'!$F$25:$F$459,$F56,'Калькуляция (МИ)'!$G$25:$G$459,$G56))))</f>
        <v>0</v>
      </c>
      <c r="AT56" s="849">
        <f ca="1">IF(AND(method_reg="Метод индексации",god&lt;&gt;first_year),SUMIFS(INDEX('Калькуляция (МИ корр)'!$AJ$25:$BC$459,,MATCH(AT$8,'Калькуляция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(МИ)'!$AJ$25:$BC$459,,MATCH(AT$8,'Калькуляция (МИ)'!$AJ$8:$BC$8,0)),'Калькуляция (МИ)'!$F$25:$F$459,$F56,'Калькуляция (МИ)'!$G$25:$G$459,$G56))))</f>
        <v>0</v>
      </c>
      <c r="AU56" s="724">
        <f ca="1">IF(AS56=0,0,(AT56-AS56)/AS56*100)</f>
        <v>0</v>
      </c>
      <c r="AV56" s="849">
        <f ca="1">IF(AND(method_reg="Метод индексации",god&lt;&gt;first_year),SUMIFS(INDEX('Калькуляция (МИ корр)'!$AJ$25:$BC$459,,MATCH(AV$8,'Калькуляция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(МИ)'!$AJ$25:$BC$459,,MATCH(AV$8,'Калькуляция (МИ)'!$AJ$8:$BC$8,0)),'Калькуляция (МИ)'!$F$25:$F$459,$F56,'Калькуляция (МИ)'!$G$25:$G$459,$G56))))</f>
        <v>0</v>
      </c>
      <c r="AW56" s="849">
        <f ca="1">IF(AND(method_reg="Метод индексации",god&lt;&gt;first_year),SUMIFS(INDEX('Калькуляция (МИ корр)'!$AJ$25:$BC$459,,MATCH(AW$8,'Калькуляция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(МИ)'!$AJ$25:$BC$459,,MATCH(AW$8,'Калькуляция (МИ)'!$AJ$8:$BC$8,0)),'Калькуляция (МИ)'!$F$25:$F$459,$F56,'Калькуляция (МИ)'!$G$25:$G$459,$G56))))</f>
        <v>0</v>
      </c>
      <c r="AX56" s="724">
        <f ca="1">IF(AV56=0,0,(AW56-AV56)/AV56*100)</f>
        <v>0</v>
      </c>
      <c r="AY56" s="849">
        <f ca="1">IF(AND(method_reg="Метод индексации",god&lt;&gt;first_year),SUMIFS(INDEX('Калькуляция (МИ корр)'!$AJ$25:$BC$459,,MATCH(AY$8,'Калькуляция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(МИ)'!$AJ$25:$BC$459,,MATCH(AY$8,'Калькуляция (МИ)'!$AJ$8:$BC$8,0)),'Калькуляция (МИ)'!$F$25:$F$459,$F56,'Калькуляция (МИ)'!$G$25:$G$459,$G56))))</f>
        <v>0</v>
      </c>
      <c r="AZ56" s="849">
        <f ca="1">IF(AND(method_reg="Метод индексации",god&lt;&gt;first_year),SUMIFS(INDEX('Калькуляция (МИ корр)'!$AJ$25:$BC$459,,MATCH(AZ$8,'Калькуляция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(МИ)'!$AJ$25:$BC$459,,MATCH(AZ$8,'Калькуляция (МИ)'!$AJ$8:$BC$8,0)),'Калькуляция (МИ)'!$F$25:$F$459,$F56,'Калькуляция (МИ)'!$G$25:$G$459,$G56))))</f>
        <v>0</v>
      </c>
      <c r="BA56" s="724">
        <f ca="1">IF(AY56=0,0,(AZ56-AY56)/AY56*100)</f>
        <v>0</v>
      </c>
      <c r="BB56" s="849">
        <f ca="1">IF(AND(method_reg="Метод индексации",god&lt;&gt;first_year),SUMIFS(INDEX('Калькуляция (МИ корр)'!$AJ$25:$BC$459,,MATCH(BB$8,'Калькуляция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(МИ)'!$AJ$25:$BC$459,,MATCH(BB$8,'Калькуляция (МИ)'!$AJ$8:$BC$8,0)),'Калькуляция (МИ)'!$F$25:$F$459,$F56,'Калькуляция (МИ)'!$G$25:$G$459,$G56))))</f>
        <v>0</v>
      </c>
      <c r="BC56" s="849">
        <f ca="1">IF(AND(method_reg="Метод индексации",god&lt;&gt;first_year),SUMIFS(INDEX('Калькуляция (МИ корр)'!$AJ$25:$BC$459,,MATCH(BC$8,'Калькуляция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(МИ)'!$AJ$25:$BC$459,,MATCH(BC$8,'Калькуляция (МИ)'!$AJ$8:$BC$8,0)),'Калькуляция (МИ)'!$F$25:$F$459,$F56,'Калькуляция (МИ)'!$G$25:$G$459,$G56))))</f>
        <v>0</v>
      </c>
      <c r="BD56" s="724">
        <f ca="1">IF(BB56=0,0,(BC56-BB56)/BB56*100)</f>
        <v>0</v>
      </c>
      <c r="BE56" s="849">
        <f ca="1">IF(AND(method_reg="Метод индексации",god&lt;&gt;first_year),SUMIFS(INDEX('Калькуляция (МИ корр)'!$AJ$25:$BC$459,,MATCH(BE$8,'Калькуляция (МИ корр)'!$AJ$8:$BC$8,0)),'Калькуляция (МИ корр)'!$F$25:$F$459,$F56,'Калькуляция (МИ корр)'!$G$25:$G$459,$G56),IF(method_reg="Метод экономически обоснованных расходов",SUMIFS('Калькуляция (МЭОР)'!$AJ$25:$AJ$282,'Калькуляция (МЭОР)'!$F$25:$F$282,$F56,'Калькуляция (МЭОР)'!$G$25:$G$282,$G56),IF(method_reg="Метод сравнения аналогов",SUMIFS('Калькуляция (МСА)'!$AE$25:$AE$84,'Калькуляция (МСА)'!$F$25:$F$84,$F56,'Калькуляция (МСА)'!$G$25:$G$84,$G56),SUMIFS(INDEX('Калькуляция (МИ)'!$AJ$25:$BC$459,,MATCH(BE$8,'Калькуляция (МИ)'!$AJ$8:$BC$8,0)),'Калькуляция (МИ)'!$F$25:$F$459,$F56,'Калькуляция (МИ)'!$G$25:$G$459,$G56))))</f>
        <v>0</v>
      </c>
      <c r="BF56" s="849">
        <f ca="1">IF(AND(method_reg="Метод индексации",god&lt;&gt;first_year),SUMIFS(INDEX('Калькуляция (МИ корр)'!$AJ$25:$BC$459,,MATCH(BF$8,'Калькуляция (МИ корр)'!$AJ$8:$BC$8,0)),'Калькуляция (МИ корр)'!$F$25:$F$459,$F56,'Калькуляция (МИ корр)'!$G$25:$G$459,$G56),IF(method_reg="Метод экономически обоснованных расходов",SUMIFS('Калькуляция (МЭОР)'!$AK$25:$AK$282,'Калькуляция (МЭОР)'!$F$25:$F$282,$F56,'Калькуляция (МЭОР)'!$G$25:$G$282,$G56),IF(method_reg="Метод сравнения аналогов",SUMIFS('Калькуляция (МСА)'!$AF$25:$AF$84,'Калькуляция (МСА)'!$F$25:$F$84,$F56,'Калькуляция (МСА)'!$G$25:$G$84,$G56),SUMIFS(INDEX('Калькуляция (МИ)'!$AJ$25:$BC$459,,MATCH(BF$8,'Калькуляция (МИ)'!$AJ$8:$BC$8,0)),'Калькуляция (МИ)'!$F$25:$F$459,$F56,'Калькуляция (МИ)'!$G$25:$G$459,$G56))))</f>
        <v>0</v>
      </c>
      <c r="BG56" s="724">
        <f ca="1">IF(BE56=0,0,(BF56-BE56)/BE56*100)</f>
        <v>0</v>
      </c>
      <c r="BH56" s="849"/>
      <c r="BI56" s="849"/>
      <c r="BJ56" s="724">
        <f>IF(BH56=0,0,(BI56-BH56)/BH56*100)</f>
        <v>0</v>
      </c>
      <c r="BK56" s="849"/>
      <c r="BL56" s="849"/>
      <c r="BM56" s="724">
        <f>IF(BK56=0,0,(BL56-BK56)/BK56*100)</f>
        <v>0</v>
      </c>
      <c r="BN56" s="849"/>
      <c r="BO56" s="849"/>
      <c r="BP56" s="724">
        <f>IF(BN56=0,0,(BO56-BN56)/BN56*100)</f>
        <v>0</v>
      </c>
      <c r="BQ56" s="849"/>
      <c r="BR56" s="849"/>
      <c r="BS56" s="724">
        <f>IF(BQ56=0,0,(BR56-BQ56)/BQ56*100)</f>
        <v>0</v>
      </c>
      <c r="BT56" s="849"/>
      <c r="BU56" s="849"/>
      <c r="BV56" s="724">
        <f>IF(BT56=0,0,(BU56-BT56)/BT56*100)</f>
        <v>0</v>
      </c>
      <c r="BW56" s="849"/>
      <c r="BX56" s="849"/>
      <c r="BY56" s="724">
        <f>IF(BW56=0,0,(BX56-BW56)/BW56*100)</f>
        <v>0</v>
      </c>
      <c r="BZ56" s="849"/>
      <c r="CA56" s="849"/>
      <c r="CB56" s="724">
        <f>IF(BZ56=0,0,(CA56-BZ56)/BZ56*100)</f>
        <v>0</v>
      </c>
      <c r="CC56" s="849"/>
      <c r="CD56" s="849"/>
      <c r="CE56" s="724">
        <f>IF(CC56=0,0,(CD56-CC56)/CC56*100)</f>
        <v>0</v>
      </c>
      <c r="CF56" s="849"/>
      <c r="CG56" s="849"/>
      <c r="CH56" s="724">
        <f>IF(CF56=0,0,(CG56-CF56)/CF56*100)</f>
        <v>0</v>
      </c>
      <c r="CI56" s="849"/>
      <c r="CJ56" s="849"/>
      <c r="CK56" s="724">
        <f>IF(CI56=0,0,(CJ56-CI56)/CI56*100)</f>
        <v>0</v>
      </c>
      <c r="CL56" s="849"/>
      <c r="CM56" s="849"/>
      <c r="CN56" s="724">
        <f>IF(CL56=0,0,(CM56-CL56)/CL56*100)</f>
        <v>0</v>
      </c>
      <c r="CO56" s="849"/>
      <c r="CP56" s="849"/>
      <c r="CQ56" s="724">
        <f>IF(CO56=0,0,(CP56-CO56)/CO56*100)</f>
        <v>0</v>
      </c>
      <c r="CR56" s="849"/>
      <c r="CS56" s="849"/>
      <c r="CT56" s="724">
        <f>IF(CR56=0,0,(CS56-CR56)/CR56*100)</f>
        <v>0</v>
      </c>
      <c r="CU56" s="849"/>
      <c r="CV56" s="849"/>
      <c r="CW56" s="724">
        <f>IF(CU56=0,0,(CV56-CU56)/CU56*100)</f>
        <v>0</v>
      </c>
      <c r="CX56" s="849"/>
      <c r="CY56" s="849"/>
      <c r="CZ56" s="724">
        <f>IF(CX56=0,0,(CY56-CX56)/CX56*100)</f>
        <v>0</v>
      </c>
      <c r="DA56" s="849"/>
      <c r="DB56" s="849"/>
      <c r="DC56" s="724">
        <f>IF(DA56=0,0,(DB56-DA56)/DA56*100)</f>
        <v>0</v>
      </c>
      <c r="DD56" s="849"/>
      <c r="DE56" s="849"/>
      <c r="DF56" s="724">
        <f>IF(DD56=0,0,(DE56-DD56)/DD56*100)</f>
        <v>0</v>
      </c>
      <c r="DG56" s="849"/>
      <c r="DH56" s="849"/>
      <c r="DI56" s="724">
        <f>IF(DG56=0,0,(DH56-DG56)/DG56*100)</f>
        <v>0</v>
      </c>
      <c r="DJ56" s="849"/>
      <c r="DK56" s="849"/>
      <c r="DL56" s="724">
        <f>IF(DJ56=0,0,(DK56-DJ56)/DJ56*100)</f>
        <v>0</v>
      </c>
      <c r="DM56" s="849"/>
      <c r="DN56" s="849"/>
      <c r="DO56" s="724">
        <f>IF(DM56=0,0,(DN56-DM56)/DM56*100)</f>
        <v>0</v>
      </c>
      <c r="DP56" s="849"/>
      <c r="DQ56" s="849"/>
      <c r="DR56" s="724">
        <f>IF(DP56=0,0,(DQ56-DP56)/DP56*100)</f>
        <v>0</v>
      </c>
      <c r="DS56" s="849"/>
      <c r="DT56" s="849"/>
      <c r="DU56" s="724">
        <f>IF(DS56=0,0,(DT56-DS56)/DS56*100)</f>
        <v>0</v>
      </c>
      <c r="DV56" s="849"/>
      <c r="DW56" s="849"/>
      <c r="DX56" s="724">
        <f>IF(DV56=0,0,(DW56-DV56)/DV56*100)</f>
        <v>0</v>
      </c>
      <c r="DY56" s="849"/>
      <c r="DZ56" s="849"/>
      <c r="EA56" s="724">
        <f>IF(DY56=0,0,(DZ56-DY56)/DY56*100)</f>
        <v>0</v>
      </c>
      <c r="EB56" s="849"/>
      <c r="EC56" s="849"/>
      <c r="ED56" s="724">
        <f>IF(EB56=0,0,(EC56-EB56)/EB56*100)</f>
        <v>0</v>
      </c>
      <c r="EE56" s="849"/>
      <c r="EF56" s="849"/>
      <c r="EG56" s="724">
        <f>IF(EE56=0,0,(EF56-EE56)/EE56*100)</f>
        <v>0</v>
      </c>
      <c r="EH56" s="849"/>
      <c r="EI56" s="849"/>
      <c r="EJ56" s="724">
        <f>IF(EH56=0,0,(EI56-EH56)/EH56*100)</f>
        <v>0</v>
      </c>
      <c r="EK56" s="849"/>
      <c r="EL56" s="849"/>
      <c r="EM56" s="724">
        <f>IF(EK56=0,0,(EL56-EK56)/EK56*100)</f>
        <v>0</v>
      </c>
      <c r="EN56" s="849"/>
      <c r="EO56" s="849"/>
      <c r="EP56" s="724">
        <f>IF(EN56=0,0,(EO56-EN56)/EN56*100)</f>
        <v>0</v>
      </c>
      <c r="EQ56" s="849"/>
      <c r="ER56" s="849"/>
      <c r="ES56" s="724">
        <f>IF(EQ56=0,0,(ER56-EQ56)/EQ56*100)</f>
        <v>0</v>
      </c>
      <c r="ET56" s="849"/>
      <c r="EU56" s="849"/>
      <c r="EV56" s="724">
        <f>IF(ET56=0,0,(EU56-ET56)/ET56*100)</f>
        <v>0</v>
      </c>
      <c r="EW56" s="849"/>
      <c r="EX56" s="849"/>
      <c r="EY56" s="724">
        <f>IF(EW56=0,0,(EX56-EW56)/EW56*100)</f>
        <v>0</v>
      </c>
      <c r="EZ56" s="849"/>
      <c r="FA56" s="849"/>
      <c r="FB56" s="724">
        <f>IF(EZ56=0,0,(FA56-EZ56)/EZ56*100)</f>
        <v>0</v>
      </c>
      <c r="FC56" s="849"/>
      <c r="FD56" s="849"/>
      <c r="FE56" s="724">
        <f>IF(FC56=0,0,(FD56-FC56)/FC56*100)</f>
        <v>0</v>
      </c>
      <c r="FF56" s="849"/>
      <c r="FG56" s="849"/>
      <c r="FH56" s="724">
        <f>IF(FF56=0,0,(FG56-FF56)/FF56*100)</f>
        <v>0</v>
      </c>
      <c r="FI56" s="849"/>
      <c r="FJ56" s="849"/>
      <c r="FK56" s="724">
        <f>IF(FI56=0,0,(FJ56-FI56)/FI56*100)</f>
        <v>0</v>
      </c>
      <c r="FL56" s="849"/>
      <c r="FM56" s="849"/>
      <c r="FN56" s="724">
        <f>IF(FL56=0,0,(FM56-FL56)/FL56*100)</f>
        <v>0</v>
      </c>
      <c r="FO56" s="849"/>
      <c r="FP56" s="849"/>
      <c r="FQ56" s="724">
        <f>IF(FO56=0,0,(FP56-FO56)/FO56*100)</f>
        <v>0</v>
      </c>
      <c r="FR56" s="849"/>
      <c r="FS56" s="849"/>
      <c r="FT56" s="724">
        <f>IF(FR56=0,0,(FS56-FR56)/FR56*100)</f>
        <v>0</v>
      </c>
      <c r="FU56" s="849"/>
      <c r="FV56" s="849"/>
      <c r="FW56" s="724">
        <f>IF(FU56=0,0,(FV56-FU56)/FU56*100)</f>
        <v>0</v>
      </c>
      <c r="FZ56" s="700" t="s">
        <v>1674</v>
      </c>
    </row>
    <row r="57" spans="1:182" ht="21.95" hidden="1" customHeight="1">
      <c r="A57" s="78"/>
      <c r="B57" s="622" t="b" cm="1">
        <f t="array" ref="B57">B56</f>
        <v>0</v>
      </c>
      <c r="C57" s="78"/>
      <c r="D57" s="78"/>
      <c r="E57" s="473">
        <v>22.5</v>
      </c>
      <c r="F57" s="3" cm="1">
        <f t="array" aca="1" ref="F57" ca="1">OFFSET(E57,-1,1)</f>
        <v>0</v>
      </c>
      <c r="G57" s="78"/>
      <c r="H57" s="78" t="s">
        <v>1663</v>
      </c>
      <c r="I57" s="78" t="s">
        <v>1627</v>
      </c>
      <c r="J57" s="78"/>
      <c r="K57" s="78"/>
      <c r="L57" s="78"/>
      <c r="M57" s="78"/>
      <c r="N57" s="78"/>
      <c r="O57" s="78"/>
      <c r="P57" s="78"/>
      <c r="Q57" s="78"/>
      <c r="R57" s="78"/>
      <c r="S57" s="78"/>
      <c r="T57" s="365" t="b" cm="1">
        <f t="array" aca="1" ref="T57" ca="1">T56</f>
        <v>0</v>
      </c>
      <c r="U57" s="78"/>
      <c r="V57" s="78"/>
      <c r="W57" s="78"/>
      <c r="X57" s="1094"/>
      <c r="Y57" s="78"/>
      <c r="Z57" s="1064"/>
      <c r="AA57" s="78"/>
      <c r="AB57" s="12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31" t="s">
        <v>1664</v>
      </c>
      <c r="AD57" s="833"/>
      <c r="AE57" s="833"/>
      <c r="AF57" s="723">
        <f>IF(AD57=0,0,(AE57-AD57)/AD57*100)</f>
        <v>0</v>
      </c>
      <c r="AG57" s="833"/>
      <c r="AH57" s="833"/>
      <c r="AI57" s="723">
        <f>IF(AG57=0,0,(AH57-AG57)/AG57*100)</f>
        <v>0</v>
      </c>
      <c r="AJ57" s="833"/>
      <c r="AK57" s="833"/>
      <c r="AL57" s="723">
        <f>IF(AJ57=0,0,(AK57-AJ57)/AJ57*100)</f>
        <v>0</v>
      </c>
      <c r="AM57" s="833"/>
      <c r="AN57" s="833"/>
      <c r="AO57" s="723">
        <f>IF(AM57=0,0,(AN57-AM57)/AM57*100)</f>
        <v>0</v>
      </c>
      <c r="AP57" s="833"/>
      <c r="AQ57" s="833"/>
      <c r="AR57" s="723">
        <f>IF(AP57=0,0,(AQ57-AP57)/AP57*100)</f>
        <v>0</v>
      </c>
      <c r="AS57" s="833"/>
      <c r="AT57" s="833"/>
      <c r="AU57" s="723">
        <f>IF(AS57=0,0,(AT57-AS57)/AS57*100)</f>
        <v>0</v>
      </c>
      <c r="AV57" s="833"/>
      <c r="AW57" s="833"/>
      <c r="AX57" s="723">
        <f>IF(AV57=0,0,(AW57-AV57)/AV57*100)</f>
        <v>0</v>
      </c>
      <c r="AY57" s="833"/>
      <c r="AZ57" s="833"/>
      <c r="BA57" s="723">
        <f>IF(AY57=0,0,(AZ57-AY57)/AY57*100)</f>
        <v>0</v>
      </c>
      <c r="BB57" s="833"/>
      <c r="BC57" s="833"/>
      <c r="BD57" s="723">
        <f>IF(BB57=0,0,(BC57-BB57)/BB57*100)</f>
        <v>0</v>
      </c>
      <c r="BE57" s="833"/>
      <c r="BF57" s="833"/>
      <c r="BG57" s="723">
        <f>IF(BE57=0,0,(BF57-BE57)/BE57*100)</f>
        <v>0</v>
      </c>
      <c r="BH57" s="833"/>
      <c r="BI57" s="833"/>
      <c r="BJ57" s="723">
        <f>IF(BH57=0,0,(BI57-BH57)/BH57*100)</f>
        <v>0</v>
      </c>
      <c r="BK57" s="833"/>
      <c r="BL57" s="833"/>
      <c r="BM57" s="723">
        <f>IF(BK57=0,0,(BL57-BK57)/BK57*100)</f>
        <v>0</v>
      </c>
      <c r="BN57" s="833"/>
      <c r="BO57" s="833"/>
      <c r="BP57" s="723">
        <f>IF(BN57=0,0,(BO57-BN57)/BN57*100)</f>
        <v>0</v>
      </c>
      <c r="BQ57" s="833"/>
      <c r="BR57" s="833"/>
      <c r="BS57" s="723">
        <f>IF(BQ57=0,0,(BR57-BQ57)/BQ57*100)</f>
        <v>0</v>
      </c>
      <c r="BT57" s="833"/>
      <c r="BU57" s="833"/>
      <c r="BV57" s="723">
        <f>IF(BT57=0,0,(BU57-BT57)/BT57*100)</f>
        <v>0</v>
      </c>
      <c r="BW57" s="833"/>
      <c r="BX57" s="833"/>
      <c r="BY57" s="723">
        <f>IF(BW57=0,0,(BX57-BW57)/BW57*100)</f>
        <v>0</v>
      </c>
      <c r="BZ57" s="833"/>
      <c r="CA57" s="833"/>
      <c r="CB57" s="723">
        <f>IF(BZ57=0,0,(CA57-BZ57)/BZ57*100)</f>
        <v>0</v>
      </c>
      <c r="CC57" s="833"/>
      <c r="CD57" s="833"/>
      <c r="CE57" s="723">
        <f>IF(CC57=0,0,(CD57-CC57)/CC57*100)</f>
        <v>0</v>
      </c>
      <c r="CF57" s="833"/>
      <c r="CG57" s="833"/>
      <c r="CH57" s="723">
        <f>IF(CF57=0,0,(CG57-CF57)/CF57*100)</f>
        <v>0</v>
      </c>
      <c r="CI57" s="833"/>
      <c r="CJ57" s="833"/>
      <c r="CK57" s="723">
        <f>IF(CI57=0,0,(CJ57-CI57)/CI57*100)</f>
        <v>0</v>
      </c>
      <c r="CL57" s="833"/>
      <c r="CM57" s="833"/>
      <c r="CN57" s="723">
        <f>IF(CL57=0,0,(CM57-CL57)/CL57*100)</f>
        <v>0</v>
      </c>
      <c r="CO57" s="833"/>
      <c r="CP57" s="833"/>
      <c r="CQ57" s="723">
        <f>IF(CO57=0,0,(CP57-CO57)/CO57*100)</f>
        <v>0</v>
      </c>
      <c r="CR57" s="833"/>
      <c r="CS57" s="833"/>
      <c r="CT57" s="723">
        <f>IF(CR57=0,0,(CS57-CR57)/CR57*100)</f>
        <v>0</v>
      </c>
      <c r="CU57" s="833"/>
      <c r="CV57" s="833"/>
      <c r="CW57" s="723">
        <f>IF(CU57=0,0,(CV57-CU57)/CU57*100)</f>
        <v>0</v>
      </c>
      <c r="CX57" s="833"/>
      <c r="CY57" s="833"/>
      <c r="CZ57" s="723">
        <f>IF(CX57=0,0,(CY57-CX57)/CX57*100)</f>
        <v>0</v>
      </c>
      <c r="DA57" s="833"/>
      <c r="DB57" s="833"/>
      <c r="DC57" s="723">
        <f>IF(DA57=0,0,(DB57-DA57)/DA57*100)</f>
        <v>0</v>
      </c>
      <c r="DD57" s="833"/>
      <c r="DE57" s="833"/>
      <c r="DF57" s="723">
        <f>IF(DD57=0,0,(DE57-DD57)/DD57*100)</f>
        <v>0</v>
      </c>
      <c r="DG57" s="833"/>
      <c r="DH57" s="833"/>
      <c r="DI57" s="723">
        <f>IF(DG57=0,0,(DH57-DG57)/DG57*100)</f>
        <v>0</v>
      </c>
      <c r="DJ57" s="833"/>
      <c r="DK57" s="833"/>
      <c r="DL57" s="723">
        <f>IF(DJ57=0,0,(DK57-DJ57)/DJ57*100)</f>
        <v>0</v>
      </c>
      <c r="DM57" s="833"/>
      <c r="DN57" s="833"/>
      <c r="DO57" s="723">
        <f>IF(DM57=0,0,(DN57-DM57)/DM57*100)</f>
        <v>0</v>
      </c>
      <c r="DP57" s="833"/>
      <c r="DQ57" s="833"/>
      <c r="DR57" s="723">
        <f>IF(DP57=0,0,(DQ57-DP57)/DP57*100)</f>
        <v>0</v>
      </c>
      <c r="DS57" s="833"/>
      <c r="DT57" s="833"/>
      <c r="DU57" s="723">
        <f>IF(DS57=0,0,(DT57-DS57)/DS57*100)</f>
        <v>0</v>
      </c>
      <c r="DV57" s="833"/>
      <c r="DW57" s="833"/>
      <c r="DX57" s="723">
        <f>IF(DV57=0,0,(DW57-DV57)/DV57*100)</f>
        <v>0</v>
      </c>
      <c r="DY57" s="833"/>
      <c r="DZ57" s="833"/>
      <c r="EA57" s="723">
        <f>IF(DY57=0,0,(DZ57-DY57)/DY57*100)</f>
        <v>0</v>
      </c>
      <c r="EB57" s="833"/>
      <c r="EC57" s="833"/>
      <c r="ED57" s="723">
        <f>IF(EB57=0,0,(EC57-EB57)/EB57*100)</f>
        <v>0</v>
      </c>
      <c r="EE57" s="833"/>
      <c r="EF57" s="833"/>
      <c r="EG57" s="723">
        <f>IF(EE57=0,0,(EF57-EE57)/EE57*100)</f>
        <v>0</v>
      </c>
      <c r="EH57" s="833"/>
      <c r="EI57" s="833"/>
      <c r="EJ57" s="723">
        <f>IF(EH57=0,0,(EI57-EH57)/EH57*100)</f>
        <v>0</v>
      </c>
      <c r="EK57" s="833"/>
      <c r="EL57" s="833"/>
      <c r="EM57" s="723">
        <f>IF(EK57=0,0,(EL57-EK57)/EK57*100)</f>
        <v>0</v>
      </c>
      <c r="EN57" s="833"/>
      <c r="EO57" s="833"/>
      <c r="EP57" s="723">
        <f>IF(EN57=0,0,(EO57-EN57)/EN57*100)</f>
        <v>0</v>
      </c>
      <c r="EQ57" s="833"/>
      <c r="ER57" s="833"/>
      <c r="ES57" s="723">
        <f>IF(EQ57=0,0,(ER57-EQ57)/EQ57*100)</f>
        <v>0</v>
      </c>
      <c r="ET57" s="833"/>
      <c r="EU57" s="833"/>
      <c r="EV57" s="723">
        <f>IF(ET57=0,0,(EU57-ET57)/ET57*100)</f>
        <v>0</v>
      </c>
      <c r="EW57" s="833"/>
      <c r="EX57" s="833"/>
      <c r="EY57" s="723">
        <f>IF(EW57=0,0,(EX57-EW57)/EW57*100)</f>
        <v>0</v>
      </c>
      <c r="EZ57" s="833"/>
      <c r="FA57" s="833"/>
      <c r="FB57" s="723">
        <f>IF(EZ57=0,0,(FA57-EZ57)/EZ57*100)</f>
        <v>0</v>
      </c>
      <c r="FC57" s="833"/>
      <c r="FD57" s="833"/>
      <c r="FE57" s="723">
        <f>IF(FC57=0,0,(FD57-FC57)/FC57*100)</f>
        <v>0</v>
      </c>
      <c r="FF57" s="833"/>
      <c r="FG57" s="833"/>
      <c r="FH57" s="723">
        <f>IF(FF57=0,0,(FG57-FF57)/FF57*100)</f>
        <v>0</v>
      </c>
      <c r="FI57" s="833"/>
      <c r="FJ57" s="833"/>
      <c r="FK57" s="723">
        <f>IF(FI57=0,0,(FJ57-FI57)/FI57*100)</f>
        <v>0</v>
      </c>
      <c r="FL57" s="833"/>
      <c r="FM57" s="833"/>
      <c r="FN57" s="723">
        <f>IF(FL57=0,0,(FM57-FL57)/FL57*100)</f>
        <v>0</v>
      </c>
      <c r="FO57" s="833"/>
      <c r="FP57" s="833"/>
      <c r="FQ57" s="723">
        <f>IF(FO57=0,0,(FP57-FO57)/FO57*100)</f>
        <v>0</v>
      </c>
      <c r="FR57" s="833"/>
      <c r="FS57" s="833"/>
      <c r="FT57" s="723">
        <f>IF(FR57=0,0,(FS57-FR57)/FR57*100)</f>
        <v>0</v>
      </c>
      <c r="FU57" s="833"/>
      <c r="FV57" s="833"/>
      <c r="FW57" s="723">
        <f>IF(FU57=0,0,(FV57-FU57)/FU57*100)</f>
        <v>0</v>
      </c>
      <c r="FZ57" s="700" t="s">
        <v>1675</v>
      </c>
    </row>
    <row r="58" spans="1:182" ht="14.65" hidden="1" customHeight="1">
      <c r="A58" s="78"/>
      <c r="B58" s="622" t="b" cm="1">
        <f t="array" ref="B58">B57</f>
        <v>0</v>
      </c>
      <c r="C58" s="78"/>
      <c r="D58" s="78"/>
      <c r="E58" s="473">
        <v>15</v>
      </c>
      <c r="F58" s="3" cm="1">
        <f t="array" aca="1" ref="F58" ca="1">OFFSET(E58,-1,1)</f>
        <v>0</v>
      </c>
      <c r="G58" s="78"/>
      <c r="H58" s="78" t="s">
        <v>1666</v>
      </c>
      <c r="I58" s="78" t="s">
        <v>1627</v>
      </c>
      <c r="J58" s="78"/>
      <c r="K58" s="78"/>
      <c r="L58" s="78"/>
      <c r="M58" s="78"/>
      <c r="N58" s="78"/>
      <c r="O58" s="78"/>
      <c r="P58" s="78"/>
      <c r="Q58" s="78"/>
      <c r="R58" s="78"/>
      <c r="S58" s="78"/>
      <c r="T58" s="365" t="b" cm="1">
        <f t="array" aca="1" ref="T58" ca="1">T57</f>
        <v>0</v>
      </c>
      <c r="U58" s="78"/>
      <c r="V58" s="78"/>
      <c r="W58" s="78"/>
      <c r="X58" s="1094"/>
      <c r="Y58" s="78"/>
      <c r="Z58" s="1064"/>
      <c r="AA58" s="78"/>
      <c r="AB58" s="124" t="s">
        <v>1667</v>
      </c>
      <c r="AC58" s="31" t="s">
        <v>1668</v>
      </c>
      <c r="AD58" s="833"/>
      <c r="AE58" s="833"/>
      <c r="AF58" s="723">
        <f>IF(AD58=0,0,(AE58-AD58)/AD58*100)</f>
        <v>0</v>
      </c>
      <c r="AG58" s="833"/>
      <c r="AH58" s="833"/>
      <c r="AI58" s="723">
        <f>IF(AG58=0,0,(AH58-AG58)/AG58*100)</f>
        <v>0</v>
      </c>
      <c r="AJ58" s="833"/>
      <c r="AK58" s="833"/>
      <c r="AL58" s="723">
        <f>IF(AJ58=0,0,(AK58-AJ58)/AJ58*100)</f>
        <v>0</v>
      </c>
      <c r="AM58" s="833"/>
      <c r="AN58" s="833"/>
      <c r="AO58" s="723">
        <f>IF(AM58=0,0,(AN58-AM58)/AM58*100)</f>
        <v>0</v>
      </c>
      <c r="AP58" s="833"/>
      <c r="AQ58" s="833"/>
      <c r="AR58" s="723">
        <f>IF(AP58=0,0,(AQ58-AP58)/AP58*100)</f>
        <v>0</v>
      </c>
      <c r="AS58" s="833"/>
      <c r="AT58" s="833"/>
      <c r="AU58" s="723">
        <f>IF(AS58=0,0,(AT58-AS58)/AS58*100)</f>
        <v>0</v>
      </c>
      <c r="AV58" s="833"/>
      <c r="AW58" s="833"/>
      <c r="AX58" s="723">
        <f>IF(AV58=0,0,(AW58-AV58)/AV58*100)</f>
        <v>0</v>
      </c>
      <c r="AY58" s="833"/>
      <c r="AZ58" s="833"/>
      <c r="BA58" s="723">
        <f>IF(AY58=0,0,(AZ58-AY58)/AY58*100)</f>
        <v>0</v>
      </c>
      <c r="BB58" s="833"/>
      <c r="BC58" s="833"/>
      <c r="BD58" s="723">
        <f>IF(BB58=0,0,(BC58-BB58)/BB58*100)</f>
        <v>0</v>
      </c>
      <c r="BE58" s="833"/>
      <c r="BF58" s="833"/>
      <c r="BG58" s="723">
        <f>IF(BE58=0,0,(BF58-BE58)/BE58*100)</f>
        <v>0</v>
      </c>
      <c r="BH58" s="833"/>
      <c r="BI58" s="833"/>
      <c r="BJ58" s="723">
        <f>IF(BH58=0,0,(BI58-BH58)/BH58*100)</f>
        <v>0</v>
      </c>
      <c r="BK58" s="833"/>
      <c r="BL58" s="833"/>
      <c r="BM58" s="723">
        <f>IF(BK58=0,0,(BL58-BK58)/BK58*100)</f>
        <v>0</v>
      </c>
      <c r="BN58" s="833"/>
      <c r="BO58" s="833"/>
      <c r="BP58" s="723">
        <f>IF(BN58=0,0,(BO58-BN58)/BN58*100)</f>
        <v>0</v>
      </c>
      <c r="BQ58" s="833"/>
      <c r="BR58" s="833"/>
      <c r="BS58" s="723">
        <f>IF(BQ58=0,0,(BR58-BQ58)/BQ58*100)</f>
        <v>0</v>
      </c>
      <c r="BT58" s="833"/>
      <c r="BU58" s="833"/>
      <c r="BV58" s="723">
        <f>IF(BT58=0,0,(BU58-BT58)/BT58*100)</f>
        <v>0</v>
      </c>
      <c r="BW58" s="833"/>
      <c r="BX58" s="833"/>
      <c r="BY58" s="723">
        <f>IF(BW58=0,0,(BX58-BW58)/BW58*100)</f>
        <v>0</v>
      </c>
      <c r="BZ58" s="833"/>
      <c r="CA58" s="833"/>
      <c r="CB58" s="723">
        <f>IF(BZ58=0,0,(CA58-BZ58)/BZ58*100)</f>
        <v>0</v>
      </c>
      <c r="CC58" s="833"/>
      <c r="CD58" s="833"/>
      <c r="CE58" s="723">
        <f>IF(CC58=0,0,(CD58-CC58)/CC58*100)</f>
        <v>0</v>
      </c>
      <c r="CF58" s="833"/>
      <c r="CG58" s="833"/>
      <c r="CH58" s="723">
        <f>IF(CF58=0,0,(CG58-CF58)/CF58*100)</f>
        <v>0</v>
      </c>
      <c r="CI58" s="833"/>
      <c r="CJ58" s="833"/>
      <c r="CK58" s="723">
        <f>IF(CI58=0,0,(CJ58-CI58)/CI58*100)</f>
        <v>0</v>
      </c>
      <c r="CL58" s="833"/>
      <c r="CM58" s="833"/>
      <c r="CN58" s="723">
        <f>IF(CL58=0,0,(CM58-CL58)/CL58*100)</f>
        <v>0</v>
      </c>
      <c r="CO58" s="833"/>
      <c r="CP58" s="833"/>
      <c r="CQ58" s="723">
        <f>IF(CO58=0,0,(CP58-CO58)/CO58*100)</f>
        <v>0</v>
      </c>
      <c r="CR58" s="833"/>
      <c r="CS58" s="833"/>
      <c r="CT58" s="723">
        <f>IF(CR58=0,0,(CS58-CR58)/CR58*100)</f>
        <v>0</v>
      </c>
      <c r="CU58" s="833"/>
      <c r="CV58" s="833"/>
      <c r="CW58" s="723">
        <f>IF(CU58=0,0,(CV58-CU58)/CU58*100)</f>
        <v>0</v>
      </c>
      <c r="CX58" s="833"/>
      <c r="CY58" s="833"/>
      <c r="CZ58" s="723">
        <f>IF(CX58=0,0,(CY58-CX58)/CX58*100)</f>
        <v>0</v>
      </c>
      <c r="DA58" s="833"/>
      <c r="DB58" s="833"/>
      <c r="DC58" s="723">
        <f>IF(DA58=0,0,(DB58-DA58)/DA58*100)</f>
        <v>0</v>
      </c>
      <c r="DD58" s="833"/>
      <c r="DE58" s="833"/>
      <c r="DF58" s="723">
        <f>IF(DD58=0,0,(DE58-DD58)/DD58*100)</f>
        <v>0</v>
      </c>
      <c r="DG58" s="833"/>
      <c r="DH58" s="833"/>
      <c r="DI58" s="723">
        <f>IF(DG58=0,0,(DH58-DG58)/DG58*100)</f>
        <v>0</v>
      </c>
      <c r="DJ58" s="833"/>
      <c r="DK58" s="833"/>
      <c r="DL58" s="723">
        <f>IF(DJ58=0,0,(DK58-DJ58)/DJ58*100)</f>
        <v>0</v>
      </c>
      <c r="DM58" s="833"/>
      <c r="DN58" s="833"/>
      <c r="DO58" s="723">
        <f>IF(DM58=0,0,(DN58-DM58)/DM58*100)</f>
        <v>0</v>
      </c>
      <c r="DP58" s="833"/>
      <c r="DQ58" s="833"/>
      <c r="DR58" s="723">
        <f>IF(DP58=0,0,(DQ58-DP58)/DP58*100)</f>
        <v>0</v>
      </c>
      <c r="DS58" s="833"/>
      <c r="DT58" s="833"/>
      <c r="DU58" s="723">
        <f>IF(DS58=0,0,(DT58-DS58)/DS58*100)</f>
        <v>0</v>
      </c>
      <c r="DV58" s="833"/>
      <c r="DW58" s="833"/>
      <c r="DX58" s="723">
        <f>IF(DV58=0,0,(DW58-DV58)/DV58*100)</f>
        <v>0</v>
      </c>
      <c r="DY58" s="833"/>
      <c r="DZ58" s="833"/>
      <c r="EA58" s="723">
        <f>IF(DY58=0,0,(DZ58-DY58)/DY58*100)</f>
        <v>0</v>
      </c>
      <c r="EB58" s="833"/>
      <c r="EC58" s="833"/>
      <c r="ED58" s="723">
        <f>IF(EB58=0,0,(EC58-EB58)/EB58*100)</f>
        <v>0</v>
      </c>
      <c r="EE58" s="833"/>
      <c r="EF58" s="833"/>
      <c r="EG58" s="723">
        <f>IF(EE58=0,0,(EF58-EE58)/EE58*100)</f>
        <v>0</v>
      </c>
      <c r="EH58" s="833"/>
      <c r="EI58" s="833"/>
      <c r="EJ58" s="723">
        <f>IF(EH58=0,0,(EI58-EH58)/EH58*100)</f>
        <v>0</v>
      </c>
      <c r="EK58" s="833"/>
      <c r="EL58" s="833"/>
      <c r="EM58" s="723">
        <f>IF(EK58=0,0,(EL58-EK58)/EK58*100)</f>
        <v>0</v>
      </c>
      <c r="EN58" s="833"/>
      <c r="EO58" s="833"/>
      <c r="EP58" s="723">
        <f>IF(EN58=0,0,(EO58-EN58)/EN58*100)</f>
        <v>0</v>
      </c>
      <c r="EQ58" s="833"/>
      <c r="ER58" s="833"/>
      <c r="ES58" s="723">
        <f>IF(EQ58=0,0,(ER58-EQ58)/EQ58*100)</f>
        <v>0</v>
      </c>
      <c r="ET58" s="833"/>
      <c r="EU58" s="833"/>
      <c r="EV58" s="723">
        <f>IF(ET58=0,0,(EU58-ET58)/ET58*100)</f>
        <v>0</v>
      </c>
      <c r="EW58" s="833"/>
      <c r="EX58" s="833"/>
      <c r="EY58" s="723">
        <f>IF(EW58=0,0,(EX58-EW58)/EW58*100)</f>
        <v>0</v>
      </c>
      <c r="EZ58" s="833"/>
      <c r="FA58" s="833"/>
      <c r="FB58" s="723">
        <f>IF(EZ58=0,0,(FA58-EZ58)/EZ58*100)</f>
        <v>0</v>
      </c>
      <c r="FC58" s="833"/>
      <c r="FD58" s="833"/>
      <c r="FE58" s="723">
        <f>IF(FC58=0,0,(FD58-FC58)/FC58*100)</f>
        <v>0</v>
      </c>
      <c r="FF58" s="833"/>
      <c r="FG58" s="833"/>
      <c r="FH58" s="723">
        <f>IF(FF58=0,0,(FG58-FF58)/FF58*100)</f>
        <v>0</v>
      </c>
      <c r="FI58" s="833"/>
      <c r="FJ58" s="833"/>
      <c r="FK58" s="723">
        <f>IF(FI58=0,0,(FJ58-FI58)/FI58*100)</f>
        <v>0</v>
      </c>
      <c r="FL58" s="833"/>
      <c r="FM58" s="833"/>
      <c r="FN58" s="723">
        <f>IF(FL58=0,0,(FM58-FL58)/FL58*100)</f>
        <v>0</v>
      </c>
      <c r="FO58" s="833"/>
      <c r="FP58" s="833"/>
      <c r="FQ58" s="723">
        <f>IF(FO58=0,0,(FP58-FO58)/FO58*100)</f>
        <v>0</v>
      </c>
      <c r="FR58" s="833"/>
      <c r="FS58" s="833"/>
      <c r="FT58" s="723">
        <f>IF(FR58=0,0,(FS58-FR58)/FR58*100)</f>
        <v>0</v>
      </c>
      <c r="FU58" s="833"/>
      <c r="FV58" s="833"/>
      <c r="FW58" s="723">
        <f>IF(FU58=0,0,(FV58-FU58)/FU58*100)</f>
        <v>0</v>
      </c>
      <c r="FZ58" s="700" t="s">
        <v>1676</v>
      </c>
    </row>
    <row r="59" spans="1:182" ht="23.85" hidden="1" customHeight="1">
      <c r="A59" s="78"/>
      <c r="B59" s="622" t="b" cm="1">
        <f t="array" ref="B59">B58</f>
        <v>0</v>
      </c>
      <c r="C59" s="78"/>
      <c r="D59" s="78"/>
      <c r="E59" s="473">
        <v>24.5</v>
      </c>
      <c r="F59" s="3" cm="1">
        <f t="array" aca="1" ref="F59" ca="1">OFFSET(E59,-1,1)</f>
        <v>0</v>
      </c>
      <c r="G59" s="78"/>
      <c r="H59" s="78"/>
      <c r="I59" s="78"/>
      <c r="J59" s="78"/>
      <c r="K59" s="78"/>
      <c r="L59" s="78"/>
      <c r="M59" s="78"/>
      <c r="N59" s="78"/>
      <c r="O59" s="78"/>
      <c r="P59" s="78"/>
      <c r="Q59" s="78"/>
      <c r="R59" s="78"/>
      <c r="S59" s="78"/>
      <c r="T59" s="365" t="b" cm="1">
        <f t="array" aca="1" ref="T59" ca="1">T58</f>
        <v>0</v>
      </c>
      <c r="U59" s="78"/>
      <c r="V59" s="78"/>
      <c r="W59" s="78"/>
      <c r="X59" s="1094"/>
      <c r="Y59" s="78"/>
      <c r="Z59" s="1064"/>
      <c r="AA59" s="78"/>
      <c r="AB59" s="220" t="s">
        <v>1677</v>
      </c>
      <c r="AC59" s="606"/>
      <c r="AD59" s="727"/>
      <c r="AE59" s="727"/>
      <c r="AF59" s="727"/>
      <c r="AG59" s="727"/>
      <c r="AH59" s="727"/>
      <c r="AI59" s="727"/>
      <c r="AJ59" s="727"/>
      <c r="AK59" s="727"/>
      <c r="AL59" s="727"/>
      <c r="AM59" s="727"/>
      <c r="AN59" s="727"/>
      <c r="AO59" s="727"/>
      <c r="AP59" s="727"/>
      <c r="AQ59" s="727"/>
      <c r="AR59" s="727"/>
      <c r="AS59" s="727"/>
      <c r="AT59" s="727"/>
      <c r="AU59" s="727"/>
      <c r="AV59" s="727"/>
      <c r="AW59" s="727"/>
      <c r="AX59" s="727"/>
      <c r="AY59" s="727"/>
      <c r="AZ59" s="727"/>
      <c r="BA59" s="727"/>
      <c r="BB59" s="727"/>
      <c r="BC59" s="727"/>
      <c r="BD59" s="727"/>
      <c r="BE59" s="727"/>
      <c r="BF59" s="727"/>
      <c r="BG59" s="727"/>
      <c r="BH59" s="727"/>
      <c r="BI59" s="727"/>
      <c r="BJ59" s="727"/>
      <c r="BK59" s="727"/>
      <c r="BL59" s="727"/>
      <c r="BM59" s="727"/>
      <c r="BN59" s="727"/>
      <c r="BO59" s="727"/>
      <c r="BP59" s="727"/>
      <c r="BQ59" s="727"/>
      <c r="BR59" s="727"/>
      <c r="BS59" s="727"/>
      <c r="BT59" s="727"/>
      <c r="BU59" s="727"/>
      <c r="BV59" s="727"/>
      <c r="BW59" s="727"/>
      <c r="BX59" s="727"/>
      <c r="BY59" s="727"/>
      <c r="BZ59" s="727"/>
      <c r="CA59" s="727"/>
      <c r="CB59" s="727"/>
      <c r="CC59" s="727"/>
      <c r="CD59" s="727"/>
      <c r="CE59" s="727"/>
      <c r="CF59" s="727"/>
      <c r="CG59" s="727"/>
      <c r="CH59" s="727"/>
      <c r="CI59" s="727"/>
      <c r="CJ59" s="727"/>
      <c r="CK59" s="727"/>
      <c r="CL59" s="727"/>
      <c r="CM59" s="727"/>
      <c r="CN59" s="727"/>
      <c r="CO59" s="727"/>
      <c r="CP59" s="727"/>
      <c r="CQ59" s="727"/>
      <c r="CR59" s="727"/>
      <c r="CS59" s="727"/>
      <c r="CT59" s="727"/>
      <c r="CU59" s="727"/>
      <c r="CV59" s="727"/>
      <c r="CW59" s="727"/>
      <c r="CX59" s="727"/>
      <c r="CY59" s="727"/>
      <c r="CZ59" s="727"/>
      <c r="DA59" s="727"/>
      <c r="DB59" s="727"/>
      <c r="DC59" s="727"/>
      <c r="DD59" s="727"/>
      <c r="DE59" s="727"/>
      <c r="DF59" s="727"/>
      <c r="DG59" s="727"/>
      <c r="DH59" s="727"/>
      <c r="DI59" s="727"/>
      <c r="DJ59" s="727"/>
      <c r="DK59" s="727"/>
      <c r="DL59" s="727"/>
      <c r="DM59" s="727"/>
      <c r="DN59" s="727"/>
      <c r="DO59" s="727"/>
      <c r="DP59" s="727"/>
      <c r="DQ59" s="727"/>
      <c r="DR59" s="727"/>
      <c r="DS59" s="727"/>
      <c r="DT59" s="727"/>
      <c r="DU59" s="727"/>
      <c r="DV59" s="727"/>
      <c r="DW59" s="727"/>
      <c r="DX59" s="727"/>
      <c r="DY59" s="727"/>
      <c r="DZ59" s="727"/>
      <c r="EA59" s="727"/>
      <c r="EB59" s="727"/>
      <c r="EC59" s="727"/>
      <c r="ED59" s="727"/>
      <c r="EE59" s="727"/>
      <c r="EF59" s="727"/>
      <c r="EG59" s="727"/>
      <c r="EH59" s="727"/>
      <c r="EI59" s="727"/>
      <c r="EJ59" s="727"/>
      <c r="EK59" s="727"/>
      <c r="EL59" s="727"/>
      <c r="EM59" s="727"/>
      <c r="EN59" s="727"/>
      <c r="EO59" s="727"/>
      <c r="EP59" s="727"/>
      <c r="EQ59" s="727"/>
      <c r="ER59" s="727"/>
      <c r="ES59" s="727"/>
      <c r="ET59" s="727"/>
      <c r="EU59" s="727"/>
      <c r="EV59" s="727"/>
      <c r="EW59" s="727"/>
      <c r="EX59" s="727"/>
      <c r="EY59" s="727"/>
      <c r="EZ59" s="727"/>
      <c r="FA59" s="727"/>
      <c r="FB59" s="727"/>
      <c r="FC59" s="727"/>
      <c r="FD59" s="727"/>
      <c r="FE59" s="727"/>
      <c r="FF59" s="727"/>
      <c r="FG59" s="727"/>
      <c r="FH59" s="727"/>
      <c r="FI59" s="727"/>
      <c r="FJ59" s="727"/>
      <c r="FK59" s="727"/>
      <c r="FL59" s="727"/>
      <c r="FM59" s="727"/>
      <c r="FN59" s="727"/>
      <c r="FO59" s="727"/>
      <c r="FP59" s="727"/>
      <c r="FQ59" s="727"/>
      <c r="FR59" s="727"/>
      <c r="FS59" s="727"/>
      <c r="FT59" s="727"/>
      <c r="FU59" s="727"/>
      <c r="FV59" s="727"/>
      <c r="FW59" s="728"/>
      <c r="FZ59" s="700"/>
    </row>
    <row r="60" spans="1:182" ht="14.65" hidden="1" customHeight="1">
      <c r="A60" s="78"/>
      <c r="B60" s="622" t="b" cm="1">
        <f t="array" ref="B60">B59</f>
        <v>0</v>
      </c>
      <c r="C60" s="78"/>
      <c r="D60" s="78"/>
      <c r="E60" s="473">
        <v>15</v>
      </c>
      <c r="F60" s="3" cm="1">
        <f t="array" aca="1" ref="F60" ca="1">OFFSET(E60,-1,1)</f>
        <v>0</v>
      </c>
      <c r="G60" s="78"/>
      <c r="H60" s="78" t="s">
        <v>1562</v>
      </c>
      <c r="I60" s="78" t="s">
        <v>1637</v>
      </c>
      <c r="J60" s="78"/>
      <c r="K60" s="78"/>
      <c r="L60" s="78"/>
      <c r="M60" s="78"/>
      <c r="N60" s="78"/>
      <c r="O60" s="78"/>
      <c r="P60" s="78"/>
      <c r="Q60" s="78"/>
      <c r="R60" s="78"/>
      <c r="S60" s="78"/>
      <c r="T60" s="365" t="b" cm="1">
        <f t="array" aca="1" ref="T60" ca="1">T59</f>
        <v>0</v>
      </c>
      <c r="U60" s="78"/>
      <c r="V60" s="78"/>
      <c r="W60" s="78"/>
      <c r="X60" s="1094"/>
      <c r="Y60" s="78"/>
      <c r="Z60" s="1064"/>
      <c r="AA60" s="78"/>
      <c r="AB60" s="124" t="s">
        <v>1657</v>
      </c>
      <c r="AC60" s="31" t="s">
        <v>1624</v>
      </c>
      <c r="AD60" s="833">
        <f ca="1">IF(AD62=0,0,(AD61*AD62+AD63*AD64*IF(god=2026,9,6))/AD62)</f>
        <v>0</v>
      </c>
      <c r="AE60" s="833">
        <f ca="1">IF(AE62=0,0,(AE61*AE62+AE63*AE64*IF(god=2026,9,6))/AE62)</f>
        <v>0</v>
      </c>
      <c r="AF60" s="723">
        <f ca="1">IF(AD60=0,0,(AE60-AD60)/AD60*100)</f>
        <v>0</v>
      </c>
      <c r="AG60" s="833">
        <f ca="1">IF(AG62=0,0,(AG61*AG62+AG63*AG64*IF(god=2025,9,6))/AG62)</f>
        <v>0</v>
      </c>
      <c r="AH60" s="833">
        <f ca="1">IF(AH62=0,0,(AH61*AH62+AH63*AH64*IF(god=2025,9,6))/AH62)</f>
        <v>0</v>
      </c>
      <c r="AI60" s="723">
        <f ca="1">IF(AG60=0,0,(AH60-AG60)/AG60*100)</f>
        <v>0</v>
      </c>
      <c r="AJ60" s="833">
        <f ca="1">IF(AJ62=0,0,(AJ61*AJ62+AJ63*AJ64*6)/AJ62)</f>
        <v>0</v>
      </c>
      <c r="AK60" s="833">
        <f ca="1">IF(AK62=0,0,(AK61*AK62+AK63*AK64*6)/AK62)</f>
        <v>0</v>
      </c>
      <c r="AL60" s="723">
        <f ca="1">IF(AJ60=0,0,(AK60-AJ60)/AJ60*100)</f>
        <v>0</v>
      </c>
      <c r="AM60" s="833">
        <f ca="1">IF(AM62=0,0,(AM61*AM62+AM63*AM64*6)/AM62)</f>
        <v>0</v>
      </c>
      <c r="AN60" s="833">
        <f ca="1">IF(AN62=0,0,(AN61*AN62+AN63*AN64*6)/AN62)</f>
        <v>0</v>
      </c>
      <c r="AO60" s="723">
        <f ca="1">IF(AM60=0,0,(AN60-AM60)/AM60*100)</f>
        <v>0</v>
      </c>
      <c r="AP60" s="833">
        <f ca="1">IF(AP62=0,0,(AP61*AP62+AP63*AP64*6)/AP62)</f>
        <v>0</v>
      </c>
      <c r="AQ60" s="833">
        <f ca="1">IF(AQ62=0,0,(AQ61*AQ62+AQ63*AQ64*6)/AQ62)</f>
        <v>0</v>
      </c>
      <c r="AR60" s="723">
        <f ca="1">IF(AP60=0,0,(AQ60-AP60)/AP60*100)</f>
        <v>0</v>
      </c>
      <c r="AS60" s="833">
        <f ca="1">IF(AS62=0,0,(AS61*AS62+AS63*AS64*6)/AS62)</f>
        <v>0</v>
      </c>
      <c r="AT60" s="833">
        <f ca="1">IF(AT62=0,0,(AT61*AT62+AT63*AT64*6)/AT62)</f>
        <v>0</v>
      </c>
      <c r="AU60" s="723">
        <f ca="1">IF(AS60=0,0,(AT60-AS60)/AS60*100)</f>
        <v>0</v>
      </c>
      <c r="AV60" s="833">
        <f ca="1">IF(AV62=0,0,(AV61*AV62+AV63*AV64*6)/AV62)</f>
        <v>0</v>
      </c>
      <c r="AW60" s="833">
        <f ca="1">IF(AW62=0,0,(AW61*AW62+AW63*AW64*6)/AW62)</f>
        <v>0</v>
      </c>
      <c r="AX60" s="723">
        <f ca="1">IF(AV60=0,0,(AW60-AV60)/AV60*100)</f>
        <v>0</v>
      </c>
      <c r="AY60" s="833">
        <f ca="1">IF(AY62=0,0,(AY61*AY62+AY63*AY64*6)/AY62)</f>
        <v>0</v>
      </c>
      <c r="AZ60" s="833">
        <f ca="1">IF(AZ62=0,0,(AZ61*AZ62+AZ63*AZ64*6)/AZ62)</f>
        <v>0</v>
      </c>
      <c r="BA60" s="723">
        <f ca="1">IF(AY60=0,0,(AZ60-AY60)/AY60*100)</f>
        <v>0</v>
      </c>
      <c r="BB60" s="833">
        <f ca="1">IF(BB62=0,0,(BB61*BB62+BB63*BB64*6)/BB62)</f>
        <v>0</v>
      </c>
      <c r="BC60" s="833">
        <f ca="1">IF(BC62=0,0,(BC61*BC62+BC63*BC64*6)/BC62)</f>
        <v>0</v>
      </c>
      <c r="BD60" s="723">
        <f ca="1">IF(BB60=0,0,(BC60-BB60)/BB60*100)</f>
        <v>0</v>
      </c>
      <c r="BE60" s="833">
        <f ca="1">IF(BE62=0,0,(BE61*BE62+BE63*BE64*6)/BE62)</f>
        <v>0</v>
      </c>
      <c r="BF60" s="833">
        <f ca="1">IF(BF62=0,0,(BF61*BF62+BF63*BF64*6)/BF62)</f>
        <v>0</v>
      </c>
      <c r="BG60" s="723">
        <f ca="1">IF(BE60=0,0,(BF60-BE60)/BE60*100)</f>
        <v>0</v>
      </c>
      <c r="BH60" s="833">
        <f>IF(BH62=0,0,(BH61*BH62+BH63*BH64*6)/BH62)</f>
        <v>0</v>
      </c>
      <c r="BI60" s="833">
        <f>IF(BI62=0,0,(BI61*BI62+BI63*BI64*6)/BI62)</f>
        <v>0</v>
      </c>
      <c r="BJ60" s="723">
        <f>IF(BH60=0,0,(BI60-BH60)/BH60*100)</f>
        <v>0</v>
      </c>
      <c r="BK60" s="833">
        <f>IF(BK62=0,0,(BK61*BK62+BK63*BK64*6)/BK62)</f>
        <v>0</v>
      </c>
      <c r="BL60" s="833">
        <f>IF(BL62=0,0,(BL61*BL62+BL63*BL64*6)/BL62)</f>
        <v>0</v>
      </c>
      <c r="BM60" s="723">
        <f>IF(BK60=0,0,(BL60-BK60)/BK60*100)</f>
        <v>0</v>
      </c>
      <c r="BN60" s="833">
        <f>IF(BN62=0,0,(BN61*BN62+BN63*BN64*6)/BN62)</f>
        <v>0</v>
      </c>
      <c r="BO60" s="833">
        <f>IF(BO62=0,0,(BO61*BO62+BO63*BO64*6)/BO62)</f>
        <v>0</v>
      </c>
      <c r="BP60" s="723">
        <f>IF(BN60=0,0,(BO60-BN60)/BN60*100)</f>
        <v>0</v>
      </c>
      <c r="BQ60" s="833">
        <f>IF(BQ62=0,0,(BQ61*BQ62+BQ63*BQ64*6)/BQ62)</f>
        <v>0</v>
      </c>
      <c r="BR60" s="833">
        <f>IF(BR62=0,0,(BR61*BR62+BR63*BR64*6)/BR62)</f>
        <v>0</v>
      </c>
      <c r="BS60" s="723">
        <f>IF(BQ60=0,0,(BR60-BQ60)/BQ60*100)</f>
        <v>0</v>
      </c>
      <c r="BT60" s="833">
        <f>IF(BT62=0,0,(BT61*BT62+BT63*BT64*6)/BT62)</f>
        <v>0</v>
      </c>
      <c r="BU60" s="833">
        <f>IF(BU62=0,0,(BU61*BU62+BU63*BU64*6)/BU62)</f>
        <v>0</v>
      </c>
      <c r="BV60" s="723">
        <f>IF(BT60=0,0,(BU60-BT60)/BT60*100)</f>
        <v>0</v>
      </c>
      <c r="BW60" s="833">
        <f>IF(BW62=0,0,(BW61*BW62+BW63*BW64*6)/BW62)</f>
        <v>0</v>
      </c>
      <c r="BX60" s="833">
        <f>IF(BX62=0,0,(BX61*BX62+BX63*BX64*6)/BX62)</f>
        <v>0</v>
      </c>
      <c r="BY60" s="723">
        <f>IF(BW60=0,0,(BX60-BW60)/BW60*100)</f>
        <v>0</v>
      </c>
      <c r="BZ60" s="833">
        <f>IF(BZ62=0,0,(BZ61*BZ62+BZ63*BZ64*6)/BZ62)</f>
        <v>0</v>
      </c>
      <c r="CA60" s="833">
        <f>IF(CA62=0,0,(CA61*CA62+CA63*CA64*6)/CA62)</f>
        <v>0</v>
      </c>
      <c r="CB60" s="723">
        <f>IF(BZ60=0,0,(CA60-BZ60)/BZ60*100)</f>
        <v>0</v>
      </c>
      <c r="CC60" s="833">
        <f>IF(CC62=0,0,(CC61*CC62+CC63*CC64*6)/CC62)</f>
        <v>0</v>
      </c>
      <c r="CD60" s="833">
        <f>IF(CD62=0,0,(CD61*CD62+CD63*CD64*6)/CD62)</f>
        <v>0</v>
      </c>
      <c r="CE60" s="723">
        <f>IF(CC60=0,0,(CD60-CC60)/CC60*100)</f>
        <v>0</v>
      </c>
      <c r="CF60" s="833">
        <f>IF(CF62=0,0,(CF61*CF62+CF63*CF64*6)/CF62)</f>
        <v>0</v>
      </c>
      <c r="CG60" s="833">
        <f>IF(CG62=0,0,(CG61*CG62+CG63*CG64*6)/CG62)</f>
        <v>0</v>
      </c>
      <c r="CH60" s="723">
        <f>IF(CF60=0,0,(CG60-CF60)/CF60*100)</f>
        <v>0</v>
      </c>
      <c r="CI60" s="833">
        <f>IF(CI62=0,0,(CI61*CI62+CI63*CI64*6)/CI62)</f>
        <v>0</v>
      </c>
      <c r="CJ60" s="833">
        <f>IF(CJ62=0,0,(CJ61*CJ62+CJ63*CJ64*6)/CJ62)</f>
        <v>0</v>
      </c>
      <c r="CK60" s="723">
        <f>IF(CI60=0,0,(CJ60-CI60)/CI60*100)</f>
        <v>0</v>
      </c>
      <c r="CL60" s="833">
        <f>IF(CL62=0,0,(CL61*CL62+CL63*CL64*6)/CL62)</f>
        <v>0</v>
      </c>
      <c r="CM60" s="833">
        <f>IF(CM62=0,0,(CM61*CM62+CM63*CM64*6)/CM62)</f>
        <v>0</v>
      </c>
      <c r="CN60" s="723">
        <f>IF(CL60=0,0,(CM60-CL60)/CL60*100)</f>
        <v>0</v>
      </c>
      <c r="CO60" s="833">
        <f>IF(CO62=0,0,(CO61*CO62+CO63*CO64*6)/CO62)</f>
        <v>0</v>
      </c>
      <c r="CP60" s="833">
        <f>IF(CP62=0,0,(CP61*CP62+CP63*CP64*6)/CP62)</f>
        <v>0</v>
      </c>
      <c r="CQ60" s="723">
        <f>IF(CO60=0,0,(CP60-CO60)/CO60*100)</f>
        <v>0</v>
      </c>
      <c r="CR60" s="833">
        <f>IF(CR62=0,0,(CR61*CR62+CR63*CR64*6)/CR62)</f>
        <v>0</v>
      </c>
      <c r="CS60" s="833">
        <f>IF(CS62=0,0,(CS61*CS62+CS63*CS64*6)/CS62)</f>
        <v>0</v>
      </c>
      <c r="CT60" s="723">
        <f>IF(CR60=0,0,(CS60-CR60)/CR60*100)</f>
        <v>0</v>
      </c>
      <c r="CU60" s="833">
        <f>IF(CU62=0,0,(CU61*CU62+CU63*CU64*6)/CU62)</f>
        <v>0</v>
      </c>
      <c r="CV60" s="833">
        <f>IF(CV62=0,0,(CV61*CV62+CV63*CV64*6)/CV62)</f>
        <v>0</v>
      </c>
      <c r="CW60" s="723">
        <f>IF(CU60=0,0,(CV60-CU60)/CU60*100)</f>
        <v>0</v>
      </c>
      <c r="CX60" s="833">
        <f>IF(CX62=0,0,(CX61*CX62+CX63*CX64*6)/CX62)</f>
        <v>0</v>
      </c>
      <c r="CY60" s="833">
        <f>IF(CY62=0,0,(CY61*CY62+CY63*CY64*6)/CY62)</f>
        <v>0</v>
      </c>
      <c r="CZ60" s="723">
        <f>IF(CX60=0,0,(CY60-CX60)/CX60*100)</f>
        <v>0</v>
      </c>
      <c r="DA60" s="833">
        <f>IF(DA62=0,0,(DA61*DA62+DA63*DA64*6)/DA62)</f>
        <v>0</v>
      </c>
      <c r="DB60" s="833">
        <f>IF(DB62=0,0,(DB61*DB62+DB63*DB64*6)/DB62)</f>
        <v>0</v>
      </c>
      <c r="DC60" s="723">
        <f>IF(DA60=0,0,(DB60-DA60)/DA60*100)</f>
        <v>0</v>
      </c>
      <c r="DD60" s="833">
        <f>IF(DD62=0,0,(DD61*DD62+DD63*DD64*6)/DD62)</f>
        <v>0</v>
      </c>
      <c r="DE60" s="833">
        <f>IF(DE62=0,0,(DE61*DE62+DE63*DE64*6)/DE62)</f>
        <v>0</v>
      </c>
      <c r="DF60" s="723">
        <f>IF(DD60=0,0,(DE60-DD60)/DD60*100)</f>
        <v>0</v>
      </c>
      <c r="DG60" s="833">
        <f>IF(DG62=0,0,(DG61*DG62+DG63*DG64*6)/DG62)</f>
        <v>0</v>
      </c>
      <c r="DH60" s="833">
        <f>IF(DH62=0,0,(DH61*DH62+DH63*DH64*6)/DH62)</f>
        <v>0</v>
      </c>
      <c r="DI60" s="723">
        <f>IF(DG60=0,0,(DH60-DG60)/DG60*100)</f>
        <v>0</v>
      </c>
      <c r="DJ60" s="833">
        <f>IF(DJ62=0,0,(DJ61*DJ62+DJ63*DJ64*6)/DJ62)</f>
        <v>0</v>
      </c>
      <c r="DK60" s="833">
        <f>IF(DK62=0,0,(DK61*DK62+DK63*DK64*6)/DK62)</f>
        <v>0</v>
      </c>
      <c r="DL60" s="723">
        <f>IF(DJ60=0,0,(DK60-DJ60)/DJ60*100)</f>
        <v>0</v>
      </c>
      <c r="DM60" s="833">
        <f>IF(DM62=0,0,(DM61*DM62+DM63*DM64*6)/DM62)</f>
        <v>0</v>
      </c>
      <c r="DN60" s="833">
        <f>IF(DN62=0,0,(DN61*DN62+DN63*DN64*6)/DN62)</f>
        <v>0</v>
      </c>
      <c r="DO60" s="723">
        <f>IF(DM60=0,0,(DN60-DM60)/DM60*100)</f>
        <v>0</v>
      </c>
      <c r="DP60" s="833">
        <f>IF(DP62=0,0,(DP61*DP62+DP63*DP64*6)/DP62)</f>
        <v>0</v>
      </c>
      <c r="DQ60" s="833">
        <f>IF(DQ62=0,0,(DQ61*DQ62+DQ63*DQ64*6)/DQ62)</f>
        <v>0</v>
      </c>
      <c r="DR60" s="723">
        <f>IF(DP60=0,0,(DQ60-DP60)/DP60*100)</f>
        <v>0</v>
      </c>
      <c r="DS60" s="833">
        <f>IF(DS62=0,0,(DS61*DS62+DS63*DS64*6)/DS62)</f>
        <v>0</v>
      </c>
      <c r="DT60" s="833">
        <f>IF(DT62=0,0,(DT61*DT62+DT63*DT64*6)/DT62)</f>
        <v>0</v>
      </c>
      <c r="DU60" s="723">
        <f>IF(DS60=0,0,(DT60-DS60)/DS60*100)</f>
        <v>0</v>
      </c>
      <c r="DV60" s="833">
        <f>IF(DV62=0,0,(DV61*DV62+DV63*DV64*6)/DV62)</f>
        <v>0</v>
      </c>
      <c r="DW60" s="833">
        <f>IF(DW62=0,0,(DW61*DW62+DW63*DW64*6)/DW62)</f>
        <v>0</v>
      </c>
      <c r="DX60" s="723">
        <f>IF(DV60=0,0,(DW60-DV60)/DV60*100)</f>
        <v>0</v>
      </c>
      <c r="DY60" s="833">
        <f>IF(DY62=0,0,(DY61*DY62+DY63*DY64*6)/DY62)</f>
        <v>0</v>
      </c>
      <c r="DZ60" s="833">
        <f>IF(DZ62=0,0,(DZ61*DZ62+DZ63*DZ64*6)/DZ62)</f>
        <v>0</v>
      </c>
      <c r="EA60" s="723">
        <f>IF(DY60=0,0,(DZ60-DY60)/DY60*100)</f>
        <v>0</v>
      </c>
      <c r="EB60" s="833">
        <f>IF(EB62=0,0,(EB61*EB62+EB63*EB64*6)/EB62)</f>
        <v>0</v>
      </c>
      <c r="EC60" s="833">
        <f>IF(EC62=0,0,(EC61*EC62+EC63*EC64*6)/EC62)</f>
        <v>0</v>
      </c>
      <c r="ED60" s="723">
        <f>IF(EB60=0,0,(EC60-EB60)/EB60*100)</f>
        <v>0</v>
      </c>
      <c r="EE60" s="833">
        <f>IF(EE62=0,0,(EE61*EE62+EE63*EE64*6)/EE62)</f>
        <v>0</v>
      </c>
      <c r="EF60" s="833">
        <f>IF(EF62=0,0,(EF61*EF62+EF63*EF64*6)/EF62)</f>
        <v>0</v>
      </c>
      <c r="EG60" s="723">
        <f>IF(EE60=0,0,(EF60-EE60)/EE60*100)</f>
        <v>0</v>
      </c>
      <c r="EH60" s="833">
        <f>IF(EH62=0,0,(EH61*EH62+EH63*EH64*6)/EH62)</f>
        <v>0</v>
      </c>
      <c r="EI60" s="833">
        <f>IF(EI62=0,0,(EI61*EI62+EI63*EI64*6)/EI62)</f>
        <v>0</v>
      </c>
      <c r="EJ60" s="723">
        <f>IF(EH60=0,0,(EI60-EH60)/EH60*100)</f>
        <v>0</v>
      </c>
      <c r="EK60" s="833">
        <f>IF(EK62=0,0,(EK61*EK62+EK63*EK64*6)/EK62)</f>
        <v>0</v>
      </c>
      <c r="EL60" s="833">
        <f>IF(EL62=0,0,(EL61*EL62+EL63*EL64*6)/EL62)</f>
        <v>0</v>
      </c>
      <c r="EM60" s="723">
        <f>IF(EK60=0,0,(EL60-EK60)/EK60*100)</f>
        <v>0</v>
      </c>
      <c r="EN60" s="833">
        <f>IF(EN62=0,0,(EN61*EN62+EN63*EN64*6)/EN62)</f>
        <v>0</v>
      </c>
      <c r="EO60" s="833">
        <f>IF(EO62=0,0,(EO61*EO62+EO63*EO64*6)/EO62)</f>
        <v>0</v>
      </c>
      <c r="EP60" s="723">
        <f>IF(EN60=0,0,(EO60-EN60)/EN60*100)</f>
        <v>0</v>
      </c>
      <c r="EQ60" s="833">
        <f>IF(EQ62=0,0,(EQ61*EQ62+EQ63*EQ64*6)/EQ62)</f>
        <v>0</v>
      </c>
      <c r="ER60" s="833">
        <f>IF(ER62=0,0,(ER61*ER62+ER63*ER64*6)/ER62)</f>
        <v>0</v>
      </c>
      <c r="ES60" s="723">
        <f>IF(EQ60=0,0,(ER60-EQ60)/EQ60*100)</f>
        <v>0</v>
      </c>
      <c r="ET60" s="833">
        <f>IF(ET62=0,0,(ET61*ET62+ET63*ET64*6)/ET62)</f>
        <v>0</v>
      </c>
      <c r="EU60" s="833">
        <f>IF(EU62=0,0,(EU61*EU62+EU63*EU64*6)/EU62)</f>
        <v>0</v>
      </c>
      <c r="EV60" s="723">
        <f>IF(ET60=0,0,(EU60-ET60)/ET60*100)</f>
        <v>0</v>
      </c>
      <c r="EW60" s="833">
        <f>IF(EW62=0,0,(EW61*EW62+EW63*EW64*6)/EW62)</f>
        <v>0</v>
      </c>
      <c r="EX60" s="833">
        <f>IF(EX62=0,0,(EX61*EX62+EX63*EX64*6)/EX62)</f>
        <v>0</v>
      </c>
      <c r="EY60" s="723">
        <f>IF(EW60=0,0,(EX60-EW60)/EW60*100)</f>
        <v>0</v>
      </c>
      <c r="EZ60" s="833">
        <f>IF(EZ62=0,0,(EZ61*EZ62+EZ63*EZ64*6)/EZ62)</f>
        <v>0</v>
      </c>
      <c r="FA60" s="833">
        <f>IF(FA62=0,0,(FA61*FA62+FA63*FA64*6)/FA62)</f>
        <v>0</v>
      </c>
      <c r="FB60" s="723">
        <f>IF(EZ60=0,0,(FA60-EZ60)/EZ60*100)</f>
        <v>0</v>
      </c>
      <c r="FC60" s="833">
        <f>IF(FC62=0,0,(FC61*FC62+FC63*FC64*6)/FC62)</f>
        <v>0</v>
      </c>
      <c r="FD60" s="833">
        <f>IF(FD62=0,0,(FD61*FD62+FD63*FD64*6)/FD62)</f>
        <v>0</v>
      </c>
      <c r="FE60" s="723">
        <f>IF(FC60=0,0,(FD60-FC60)/FC60*100)</f>
        <v>0</v>
      </c>
      <c r="FF60" s="833">
        <f>IF(FF62=0,0,(FF61*FF62+FF63*FF64*6)/FF62)</f>
        <v>0</v>
      </c>
      <c r="FG60" s="833">
        <f>IF(FG62=0,0,(FG61*FG62+FG63*FG64*6)/FG62)</f>
        <v>0</v>
      </c>
      <c r="FH60" s="723">
        <f>IF(FF60=0,0,(FG60-FF60)/FF60*100)</f>
        <v>0</v>
      </c>
      <c r="FI60" s="833">
        <f>IF(FI62=0,0,(FI61*FI62+FI63*FI64*6)/FI62)</f>
        <v>0</v>
      </c>
      <c r="FJ60" s="833">
        <f>IF(FJ62=0,0,(FJ61*FJ62+FJ63*FJ64*6)/FJ62)</f>
        <v>0</v>
      </c>
      <c r="FK60" s="723">
        <f>IF(FI60=0,0,(FJ60-FI60)/FI60*100)</f>
        <v>0</v>
      </c>
      <c r="FL60" s="833">
        <f>IF(FL62=0,0,(FL61*FL62+FL63*FL64*6)/FL62)</f>
        <v>0</v>
      </c>
      <c r="FM60" s="833">
        <f>IF(FM62=0,0,(FM61*FM62+FM63*FM64*6)/FM62)</f>
        <v>0</v>
      </c>
      <c r="FN60" s="723">
        <f>IF(FL60=0,0,(FM60-FL60)/FL60*100)</f>
        <v>0</v>
      </c>
      <c r="FO60" s="833">
        <f>IF(FO62=0,0,(FO61*FO62+FO63*FO64*6)/FO62)</f>
        <v>0</v>
      </c>
      <c r="FP60" s="833">
        <f>IF(FP62=0,0,(FP61*FP62+FP63*FP64*6)/FP62)</f>
        <v>0</v>
      </c>
      <c r="FQ60" s="723">
        <f>IF(FO60=0,0,(FP60-FO60)/FO60*100)</f>
        <v>0</v>
      </c>
      <c r="FR60" s="833">
        <f>IF(FR62=0,0,(FR61*FR62+FR63*FR64*6)/FR62)</f>
        <v>0</v>
      </c>
      <c r="FS60" s="833">
        <f>IF(FS62=0,0,(FS61*FS62+FS63*FS64*6)/FS62)</f>
        <v>0</v>
      </c>
      <c r="FT60" s="723">
        <f>IF(FR60=0,0,(FS60-FR60)/FR60*100)</f>
        <v>0</v>
      </c>
      <c r="FU60" s="833">
        <f>IF(FU62=0,0,(FU61*FU62+FU63*FU64*6)/FU62)</f>
        <v>0</v>
      </c>
      <c r="FV60" s="833">
        <f>IF(FV62=0,0,(FV61*FV62+FV63*FV64*6)/FV62)</f>
        <v>0</v>
      </c>
      <c r="FW60" s="723">
        <f>IF(FU60=0,0,(FV60-FU60)/FU60*100)</f>
        <v>0</v>
      </c>
      <c r="FZ60" s="700" t="s">
        <v>1678</v>
      </c>
    </row>
    <row r="61" spans="1:182" ht="14.65" hidden="1" customHeight="1">
      <c r="A61" s="78"/>
      <c r="B61" s="622" t="b" cm="1">
        <f t="array" ref="B61">B60</f>
        <v>0</v>
      </c>
      <c r="C61" s="78"/>
      <c r="D61" s="78"/>
      <c r="E61" s="473">
        <v>15</v>
      </c>
      <c r="F61" s="3" cm="1">
        <f t="array" aca="1" ref="F61" ca="1">OFFSET(E61,-1,1)</f>
        <v>0</v>
      </c>
      <c r="G61" s="78"/>
      <c r="H61" s="78" t="s">
        <v>1566</v>
      </c>
      <c r="I61" s="78" t="s">
        <v>1637</v>
      </c>
      <c r="J61" s="78"/>
      <c r="K61" s="78"/>
      <c r="L61" s="78"/>
      <c r="M61" s="78"/>
      <c r="N61" s="78"/>
      <c r="O61" s="78"/>
      <c r="P61" s="78"/>
      <c r="Q61" s="78"/>
      <c r="R61" s="78"/>
      <c r="S61" s="78"/>
      <c r="T61" s="365" t="b" cm="1">
        <f t="array" aca="1" ref="T61" ca="1">T60</f>
        <v>0</v>
      </c>
      <c r="U61" s="78"/>
      <c r="V61" s="78"/>
      <c r="W61" s="78"/>
      <c r="X61" s="1094"/>
      <c r="Y61" s="78"/>
      <c r="Z61" s="1064"/>
      <c r="AA61" s="78"/>
      <c r="AB61" s="124" t="str">
        <f>"ставка платы за "&amp;IF(Q29="Водоснабжение","потребление 1 куб.м холодной воды","объем принятых сточных вод")</f>
        <v>ставка платы за объем принятых сточных вод</v>
      </c>
      <c r="AC61" s="31" t="s">
        <v>1624</v>
      </c>
      <c r="AD61" s="833"/>
      <c r="AE61" s="833"/>
      <c r="AF61" s="723">
        <f>IF(AD61=0,0,(AE61-AD61)/AD61*100)</f>
        <v>0</v>
      </c>
      <c r="AG61" s="833"/>
      <c r="AH61" s="833"/>
      <c r="AI61" s="723">
        <f>IF(AG61=0,0,(AH61-AG61)/AG61*100)</f>
        <v>0</v>
      </c>
      <c r="AJ61" s="833"/>
      <c r="AK61" s="833"/>
      <c r="AL61" s="723">
        <f>IF(AJ61=0,0,(AK61-AJ61)/AJ61*100)</f>
        <v>0</v>
      </c>
      <c r="AM61" s="833"/>
      <c r="AN61" s="833"/>
      <c r="AO61" s="723">
        <f>IF(AM61=0,0,(AN61-AM61)/AM61*100)</f>
        <v>0</v>
      </c>
      <c r="AP61" s="833"/>
      <c r="AQ61" s="833"/>
      <c r="AR61" s="723">
        <f>IF(AP61=0,0,(AQ61-AP61)/AP61*100)</f>
        <v>0</v>
      </c>
      <c r="AS61" s="833"/>
      <c r="AT61" s="833"/>
      <c r="AU61" s="723">
        <f>IF(AS61=0,0,(AT61-AS61)/AS61*100)</f>
        <v>0</v>
      </c>
      <c r="AV61" s="833"/>
      <c r="AW61" s="833"/>
      <c r="AX61" s="723">
        <f>IF(AV61=0,0,(AW61-AV61)/AV61*100)</f>
        <v>0</v>
      </c>
      <c r="AY61" s="833"/>
      <c r="AZ61" s="833"/>
      <c r="BA61" s="723">
        <f>IF(AY61=0,0,(AZ61-AY61)/AY61*100)</f>
        <v>0</v>
      </c>
      <c r="BB61" s="833"/>
      <c r="BC61" s="833"/>
      <c r="BD61" s="723">
        <f>IF(BB61=0,0,(BC61-BB61)/BB61*100)</f>
        <v>0</v>
      </c>
      <c r="BE61" s="833"/>
      <c r="BF61" s="833"/>
      <c r="BG61" s="723">
        <f>IF(BE61=0,0,(BF61-BE61)/BE61*100)</f>
        <v>0</v>
      </c>
      <c r="BH61" s="833"/>
      <c r="BI61" s="833"/>
      <c r="BJ61" s="723">
        <f>IF(BH61=0,0,(BI61-BH61)/BH61*100)</f>
        <v>0</v>
      </c>
      <c r="BK61" s="833"/>
      <c r="BL61" s="833"/>
      <c r="BM61" s="723">
        <f>IF(BK61=0,0,(BL61-BK61)/BK61*100)</f>
        <v>0</v>
      </c>
      <c r="BN61" s="833"/>
      <c r="BO61" s="833"/>
      <c r="BP61" s="723">
        <f>IF(BN61=0,0,(BO61-BN61)/BN61*100)</f>
        <v>0</v>
      </c>
      <c r="BQ61" s="833"/>
      <c r="BR61" s="833"/>
      <c r="BS61" s="723">
        <f>IF(BQ61=0,0,(BR61-BQ61)/BQ61*100)</f>
        <v>0</v>
      </c>
      <c r="BT61" s="833"/>
      <c r="BU61" s="833"/>
      <c r="BV61" s="723">
        <f>IF(BT61=0,0,(BU61-BT61)/BT61*100)</f>
        <v>0</v>
      </c>
      <c r="BW61" s="833"/>
      <c r="BX61" s="833"/>
      <c r="BY61" s="723">
        <f>IF(BW61=0,0,(BX61-BW61)/BW61*100)</f>
        <v>0</v>
      </c>
      <c r="BZ61" s="833"/>
      <c r="CA61" s="833"/>
      <c r="CB61" s="723">
        <f>IF(BZ61=0,0,(CA61-BZ61)/BZ61*100)</f>
        <v>0</v>
      </c>
      <c r="CC61" s="833"/>
      <c r="CD61" s="833"/>
      <c r="CE61" s="723">
        <f>IF(CC61=0,0,(CD61-CC61)/CC61*100)</f>
        <v>0</v>
      </c>
      <c r="CF61" s="833"/>
      <c r="CG61" s="833"/>
      <c r="CH61" s="723">
        <f>IF(CF61=0,0,(CG61-CF61)/CF61*100)</f>
        <v>0</v>
      </c>
      <c r="CI61" s="833"/>
      <c r="CJ61" s="833"/>
      <c r="CK61" s="723">
        <f>IF(CI61=0,0,(CJ61-CI61)/CI61*100)</f>
        <v>0</v>
      </c>
      <c r="CL61" s="833"/>
      <c r="CM61" s="833"/>
      <c r="CN61" s="723">
        <f>IF(CL61=0,0,(CM61-CL61)/CL61*100)</f>
        <v>0</v>
      </c>
      <c r="CO61" s="833"/>
      <c r="CP61" s="833"/>
      <c r="CQ61" s="723">
        <f>IF(CO61=0,0,(CP61-CO61)/CO61*100)</f>
        <v>0</v>
      </c>
      <c r="CR61" s="833"/>
      <c r="CS61" s="833"/>
      <c r="CT61" s="723">
        <f>IF(CR61=0,0,(CS61-CR61)/CR61*100)</f>
        <v>0</v>
      </c>
      <c r="CU61" s="833"/>
      <c r="CV61" s="833"/>
      <c r="CW61" s="723">
        <f>IF(CU61=0,0,(CV61-CU61)/CU61*100)</f>
        <v>0</v>
      </c>
      <c r="CX61" s="833"/>
      <c r="CY61" s="833"/>
      <c r="CZ61" s="723">
        <f>IF(CX61=0,0,(CY61-CX61)/CX61*100)</f>
        <v>0</v>
      </c>
      <c r="DA61" s="833"/>
      <c r="DB61" s="833"/>
      <c r="DC61" s="723">
        <f>IF(DA61=0,0,(DB61-DA61)/DA61*100)</f>
        <v>0</v>
      </c>
      <c r="DD61" s="833"/>
      <c r="DE61" s="833"/>
      <c r="DF61" s="723">
        <f>IF(DD61=0,0,(DE61-DD61)/DD61*100)</f>
        <v>0</v>
      </c>
      <c r="DG61" s="833"/>
      <c r="DH61" s="833"/>
      <c r="DI61" s="723">
        <f>IF(DG61=0,0,(DH61-DG61)/DG61*100)</f>
        <v>0</v>
      </c>
      <c r="DJ61" s="833"/>
      <c r="DK61" s="833"/>
      <c r="DL61" s="723">
        <f>IF(DJ61=0,0,(DK61-DJ61)/DJ61*100)</f>
        <v>0</v>
      </c>
      <c r="DM61" s="833"/>
      <c r="DN61" s="833"/>
      <c r="DO61" s="723">
        <f>IF(DM61=0,0,(DN61-DM61)/DM61*100)</f>
        <v>0</v>
      </c>
      <c r="DP61" s="833"/>
      <c r="DQ61" s="833"/>
      <c r="DR61" s="723">
        <f>IF(DP61=0,0,(DQ61-DP61)/DP61*100)</f>
        <v>0</v>
      </c>
      <c r="DS61" s="833"/>
      <c r="DT61" s="833"/>
      <c r="DU61" s="723">
        <f>IF(DS61=0,0,(DT61-DS61)/DS61*100)</f>
        <v>0</v>
      </c>
      <c r="DV61" s="833"/>
      <c r="DW61" s="833"/>
      <c r="DX61" s="723">
        <f>IF(DV61=0,0,(DW61-DV61)/DV61*100)</f>
        <v>0</v>
      </c>
      <c r="DY61" s="833"/>
      <c r="DZ61" s="833"/>
      <c r="EA61" s="723">
        <f>IF(DY61=0,0,(DZ61-DY61)/DY61*100)</f>
        <v>0</v>
      </c>
      <c r="EB61" s="833"/>
      <c r="EC61" s="833"/>
      <c r="ED61" s="723">
        <f>IF(EB61=0,0,(EC61-EB61)/EB61*100)</f>
        <v>0</v>
      </c>
      <c r="EE61" s="833"/>
      <c r="EF61" s="833"/>
      <c r="EG61" s="723">
        <f>IF(EE61=0,0,(EF61-EE61)/EE61*100)</f>
        <v>0</v>
      </c>
      <c r="EH61" s="833"/>
      <c r="EI61" s="833"/>
      <c r="EJ61" s="723">
        <f>IF(EH61=0,0,(EI61-EH61)/EH61*100)</f>
        <v>0</v>
      </c>
      <c r="EK61" s="833"/>
      <c r="EL61" s="833"/>
      <c r="EM61" s="723">
        <f>IF(EK61=0,0,(EL61-EK61)/EK61*100)</f>
        <v>0</v>
      </c>
      <c r="EN61" s="833"/>
      <c r="EO61" s="833"/>
      <c r="EP61" s="723">
        <f>IF(EN61=0,0,(EO61-EN61)/EN61*100)</f>
        <v>0</v>
      </c>
      <c r="EQ61" s="833"/>
      <c r="ER61" s="833"/>
      <c r="ES61" s="723">
        <f>IF(EQ61=0,0,(ER61-EQ61)/EQ61*100)</f>
        <v>0</v>
      </c>
      <c r="ET61" s="833"/>
      <c r="EU61" s="833"/>
      <c r="EV61" s="723">
        <f>IF(ET61=0,0,(EU61-ET61)/ET61*100)</f>
        <v>0</v>
      </c>
      <c r="EW61" s="833"/>
      <c r="EX61" s="833"/>
      <c r="EY61" s="723">
        <f>IF(EW61=0,0,(EX61-EW61)/EW61*100)</f>
        <v>0</v>
      </c>
      <c r="EZ61" s="833"/>
      <c r="FA61" s="833"/>
      <c r="FB61" s="723">
        <f>IF(EZ61=0,0,(FA61-EZ61)/EZ61*100)</f>
        <v>0</v>
      </c>
      <c r="FC61" s="833"/>
      <c r="FD61" s="833"/>
      <c r="FE61" s="723">
        <f>IF(FC61=0,0,(FD61-FC61)/FC61*100)</f>
        <v>0</v>
      </c>
      <c r="FF61" s="833"/>
      <c r="FG61" s="833"/>
      <c r="FH61" s="723">
        <f>IF(FF61=0,0,(FG61-FF61)/FF61*100)</f>
        <v>0</v>
      </c>
      <c r="FI61" s="833"/>
      <c r="FJ61" s="833"/>
      <c r="FK61" s="723">
        <f>IF(FI61=0,0,(FJ61-FI61)/FI61*100)</f>
        <v>0</v>
      </c>
      <c r="FL61" s="833"/>
      <c r="FM61" s="833"/>
      <c r="FN61" s="723">
        <f>IF(FL61=0,0,(FM61-FL61)/FL61*100)</f>
        <v>0</v>
      </c>
      <c r="FO61" s="833"/>
      <c r="FP61" s="833"/>
      <c r="FQ61" s="723">
        <f>IF(FO61=0,0,(FP61-FO61)/FO61*100)</f>
        <v>0</v>
      </c>
      <c r="FR61" s="833"/>
      <c r="FS61" s="833"/>
      <c r="FT61" s="723">
        <f>IF(FR61=0,0,(FS61-FR61)/FR61*100)</f>
        <v>0</v>
      </c>
      <c r="FU61" s="833"/>
      <c r="FV61" s="833"/>
      <c r="FW61" s="723">
        <f>IF(FU61=0,0,(FV61-FU61)/FU61*100)</f>
        <v>0</v>
      </c>
      <c r="FZ61" s="700" t="s">
        <v>1679</v>
      </c>
    </row>
    <row r="62" spans="1:182" ht="14.65" hidden="1" customHeight="1">
      <c r="A62" s="78"/>
      <c r="B62" s="622" t="b" cm="1">
        <f t="array" ref="B62">B61</f>
        <v>0</v>
      </c>
      <c r="C62" s="78"/>
      <c r="D62" s="78"/>
      <c r="E62" s="473">
        <v>15</v>
      </c>
      <c r="F62" s="3" cm="1">
        <f t="array" aca="1" ref="F62" ca="1">OFFSET(E62,-1,1)</f>
        <v>0</v>
      </c>
      <c r="G62" s="44" t="s">
        <v>1680</v>
      </c>
      <c r="H62" s="78" t="s">
        <v>1661</v>
      </c>
      <c r="I62" s="78" t="s">
        <v>1637</v>
      </c>
      <c r="J62" s="78"/>
      <c r="K62" s="78"/>
      <c r="L62" s="78"/>
      <c r="M62" s="78"/>
      <c r="N62" s="78"/>
      <c r="O62" s="78"/>
      <c r="P62" s="78"/>
      <c r="Q62" s="78"/>
      <c r="R62" s="78"/>
      <c r="S62" s="78"/>
      <c r="T62" s="365" t="b" cm="1">
        <f t="array" aca="1" ref="T62" ca="1">T61</f>
        <v>0</v>
      </c>
      <c r="U62" s="78"/>
      <c r="V62" s="78"/>
      <c r="W62" s="78"/>
      <c r="X62" s="1094"/>
      <c r="Y62" s="78"/>
      <c r="Z62" s="1064"/>
      <c r="AA62" s="78"/>
      <c r="AB62" s="124" t="str">
        <f>"объём "&amp;IF(Q29="Водоснабжение","потребления холодной воды","водоотведения")</f>
        <v>объём водоотведения</v>
      </c>
      <c r="AC62" s="31" t="s">
        <v>534</v>
      </c>
      <c r="AD62" s="849">
        <f ca="1">IF(AND(method_reg="Метод индексации",god&lt;&gt;first_year),SUMIFS(INDEX('Калькуляция (МИ корр)'!$AJ$25:$BC$459,,MATCH(AD$8,'Калькуляция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(МИ)'!$AJ$25:$BC$459,,MATCH(AD$8,'Калькуляция (МИ)'!$AJ$8:$BC$8,0)),'Калькуляция (МИ)'!$F$25:$F$459,$F62,'Калькуляция (МИ)'!$G$25:$G$459,$G62))))</f>
        <v>0</v>
      </c>
      <c r="AE62" s="849">
        <f ca="1">IF(AND(method_reg="Метод индексации",god&lt;&gt;first_year),SUMIFS(INDEX('Калькуляция (МИ корр)'!$AJ$25:$BC$459,,MATCH(AE$8,'Калькуляция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(МИ)'!$AJ$25:$BC$459,,MATCH(AE$8,'Калькуляция (МИ)'!$AJ$8:$BC$8,0)),'Калькуляция (МИ)'!$F$25:$F$459,$F62,'Калькуляция (МИ)'!$G$25:$G$459,$G62))))</f>
        <v>0</v>
      </c>
      <c r="AF62" s="724">
        <f ca="1">IF(AD62=0,0,(AE62-AD62)/AD62*100)</f>
        <v>0</v>
      </c>
      <c r="AG62" s="849">
        <f ca="1">IF(AND(method_reg="Метод индексации",god&lt;&gt;first_year),SUMIFS(INDEX('Калькуляция (МИ корр)'!$AJ$25:$BC$459,,MATCH(AG$8,'Калькуляция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(МИ)'!$AJ$25:$BC$459,,MATCH(AG$8,'Калькуляция (МИ)'!$AJ$8:$BC$8,0)),'Калькуляция (МИ)'!$F$25:$F$459,$F62,'Калькуляция (МИ)'!$G$25:$G$459,$G62))))</f>
        <v>0</v>
      </c>
      <c r="AH62" s="849">
        <f ca="1">IF(AND(method_reg="Метод индексации",god&lt;&gt;first_year),SUMIFS(INDEX('Калькуляция (МИ корр)'!$AJ$25:$BC$459,,MATCH(AH$8,'Калькуляция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(МИ)'!$AJ$25:$BC$459,,MATCH(AH$8,'Калькуляция (МИ)'!$AJ$8:$BC$8,0)),'Калькуляция (МИ)'!$F$25:$F$459,$F62,'Калькуляция (МИ)'!$G$25:$G$459,$G62))))</f>
        <v>0</v>
      </c>
      <c r="AI62" s="724">
        <f ca="1">IF(AG62=0,0,(AH62-AG62)/AG62*100)</f>
        <v>0</v>
      </c>
      <c r="AJ62" s="849">
        <f ca="1">IF(AND(method_reg="Метод индексации",god&lt;&gt;first_year),SUMIFS(INDEX('Калькуляция (МИ корр)'!$AJ$25:$BC$459,,MATCH(AJ$8,'Калькуляция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(МИ)'!$AJ$25:$BC$459,,MATCH(AJ$8,'Калькуляция (МИ)'!$AJ$8:$BC$8,0)),'Калькуляция (МИ)'!$F$25:$F$459,$F62,'Калькуляция (МИ)'!$G$25:$G$459,$G62))))</f>
        <v>0</v>
      </c>
      <c r="AK62" s="849">
        <f ca="1">IF(AND(method_reg="Метод индексации",god&lt;&gt;first_year),SUMIFS(INDEX('Калькуляция (МИ корр)'!$AJ$25:$BC$459,,MATCH(AK$8,'Калькуляция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(МИ)'!$AJ$25:$BC$459,,MATCH(AK$8,'Калькуляция (МИ)'!$AJ$8:$BC$8,0)),'Калькуляция (МИ)'!$F$25:$F$459,$F62,'Калькуляция (МИ)'!$G$25:$G$459,$G62))))</f>
        <v>0</v>
      </c>
      <c r="AL62" s="724">
        <f ca="1">IF(AJ62=0,0,(AK62-AJ62)/AJ62*100)</f>
        <v>0</v>
      </c>
      <c r="AM62" s="849">
        <f ca="1">IF(AND(method_reg="Метод индексации",god&lt;&gt;first_year),SUMIFS(INDEX('Калькуляция (МИ корр)'!$AJ$25:$BC$459,,MATCH(AM$8,'Калькуляция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(МИ)'!$AJ$25:$BC$459,,MATCH(AM$8,'Калькуляция (МИ)'!$AJ$8:$BC$8,0)),'Калькуляция (МИ)'!$F$25:$F$459,$F62,'Калькуляция (МИ)'!$G$25:$G$459,$G62))))</f>
        <v>0</v>
      </c>
      <c r="AN62" s="849">
        <f ca="1">IF(AND(method_reg="Метод индексации",god&lt;&gt;first_year),SUMIFS(INDEX('Калькуляция (МИ корр)'!$AJ$25:$BC$459,,MATCH(AN$8,'Калькуляция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(МИ)'!$AJ$25:$BC$459,,MATCH(AN$8,'Калькуляция (МИ)'!$AJ$8:$BC$8,0)),'Калькуляция (МИ)'!$F$25:$F$459,$F62,'Калькуляция (МИ)'!$G$25:$G$459,$G62))))</f>
        <v>0</v>
      </c>
      <c r="AO62" s="724">
        <f ca="1">IF(AM62=0,0,(AN62-AM62)/AM62*100)</f>
        <v>0</v>
      </c>
      <c r="AP62" s="849">
        <f ca="1">IF(AND(method_reg="Метод индексации",god&lt;&gt;first_year),SUMIFS(INDEX('Калькуляция (МИ корр)'!$AJ$25:$BC$459,,MATCH(AP$8,'Калькуляция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(МИ)'!$AJ$25:$BC$459,,MATCH(AP$8,'Калькуляция (МИ)'!$AJ$8:$BC$8,0)),'Калькуляция (МИ)'!$F$25:$F$459,$F62,'Калькуляция (МИ)'!$G$25:$G$459,$G62))))</f>
        <v>0</v>
      </c>
      <c r="AQ62" s="849">
        <f ca="1">IF(AND(method_reg="Метод индексации",god&lt;&gt;first_year),SUMIFS(INDEX('Калькуляция (МИ корр)'!$AJ$25:$BC$459,,MATCH(AQ$8,'Калькуляция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(МИ)'!$AJ$25:$BC$459,,MATCH(AQ$8,'Калькуляция (МИ)'!$AJ$8:$BC$8,0)),'Калькуляция (МИ)'!$F$25:$F$459,$F62,'Калькуляция (МИ)'!$G$25:$G$459,$G62))))</f>
        <v>0</v>
      </c>
      <c r="AR62" s="724">
        <f ca="1">IF(AP62=0,0,(AQ62-AP62)/AP62*100)</f>
        <v>0</v>
      </c>
      <c r="AS62" s="849">
        <f ca="1">IF(AND(method_reg="Метод индексации",god&lt;&gt;first_year),SUMIFS(INDEX('Калькуляция (МИ корр)'!$AJ$25:$BC$459,,MATCH(AS$8,'Калькуляция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(МИ)'!$AJ$25:$BC$459,,MATCH(AS$8,'Калькуляция (МИ)'!$AJ$8:$BC$8,0)),'Калькуляция (МИ)'!$F$25:$F$459,$F62,'Калькуляция (МИ)'!$G$25:$G$459,$G62))))</f>
        <v>0</v>
      </c>
      <c r="AT62" s="849">
        <f ca="1">IF(AND(method_reg="Метод индексации",god&lt;&gt;first_year),SUMIFS(INDEX('Калькуляция (МИ корр)'!$AJ$25:$BC$459,,MATCH(AT$8,'Калькуляция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(МИ)'!$AJ$25:$BC$459,,MATCH(AT$8,'Калькуляция (МИ)'!$AJ$8:$BC$8,0)),'Калькуляция (МИ)'!$F$25:$F$459,$F62,'Калькуляция (МИ)'!$G$25:$G$459,$G62))))</f>
        <v>0</v>
      </c>
      <c r="AU62" s="724">
        <f ca="1">IF(AS62=0,0,(AT62-AS62)/AS62*100)</f>
        <v>0</v>
      </c>
      <c r="AV62" s="849">
        <f ca="1">IF(AND(method_reg="Метод индексации",god&lt;&gt;first_year),SUMIFS(INDEX('Калькуляция (МИ корр)'!$AJ$25:$BC$459,,MATCH(AV$8,'Калькуляция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(МИ)'!$AJ$25:$BC$459,,MATCH(AV$8,'Калькуляция (МИ)'!$AJ$8:$BC$8,0)),'Калькуляция (МИ)'!$F$25:$F$459,$F62,'Калькуляция (МИ)'!$G$25:$G$459,$G62))))</f>
        <v>0</v>
      </c>
      <c r="AW62" s="849">
        <f ca="1">IF(AND(method_reg="Метод индексации",god&lt;&gt;first_year),SUMIFS(INDEX('Калькуляция (МИ корр)'!$AJ$25:$BC$459,,MATCH(AW$8,'Калькуляция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(МИ)'!$AJ$25:$BC$459,,MATCH(AW$8,'Калькуляция (МИ)'!$AJ$8:$BC$8,0)),'Калькуляция (МИ)'!$F$25:$F$459,$F62,'Калькуляция (МИ)'!$G$25:$G$459,$G62))))</f>
        <v>0</v>
      </c>
      <c r="AX62" s="724">
        <f ca="1">IF(AV62=0,0,(AW62-AV62)/AV62*100)</f>
        <v>0</v>
      </c>
      <c r="AY62" s="849">
        <f ca="1">IF(AND(method_reg="Метод индексации",god&lt;&gt;first_year),SUMIFS(INDEX('Калькуляция (МИ корр)'!$AJ$25:$BC$459,,MATCH(AY$8,'Калькуляция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(МИ)'!$AJ$25:$BC$459,,MATCH(AY$8,'Калькуляция (МИ)'!$AJ$8:$BC$8,0)),'Калькуляция (МИ)'!$F$25:$F$459,$F62,'Калькуляция (МИ)'!$G$25:$G$459,$G62))))</f>
        <v>0</v>
      </c>
      <c r="AZ62" s="849">
        <f ca="1">IF(AND(method_reg="Метод индексации",god&lt;&gt;first_year),SUMIFS(INDEX('Калькуляция (МИ корр)'!$AJ$25:$BC$459,,MATCH(AZ$8,'Калькуляция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(МИ)'!$AJ$25:$BC$459,,MATCH(AZ$8,'Калькуляция (МИ)'!$AJ$8:$BC$8,0)),'Калькуляция (МИ)'!$F$25:$F$459,$F62,'Калькуляция (МИ)'!$G$25:$G$459,$G62))))</f>
        <v>0</v>
      </c>
      <c r="BA62" s="724">
        <f ca="1">IF(AY62=0,0,(AZ62-AY62)/AY62*100)</f>
        <v>0</v>
      </c>
      <c r="BB62" s="849">
        <f ca="1">IF(AND(method_reg="Метод индексации",god&lt;&gt;first_year),SUMIFS(INDEX('Калькуляция (МИ корр)'!$AJ$25:$BC$459,,MATCH(BB$8,'Калькуляция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(МИ)'!$AJ$25:$BC$459,,MATCH(BB$8,'Калькуляция (МИ)'!$AJ$8:$BC$8,0)),'Калькуляция (МИ)'!$F$25:$F$459,$F62,'Калькуляция (МИ)'!$G$25:$G$459,$G62))))</f>
        <v>0</v>
      </c>
      <c r="BC62" s="849">
        <f ca="1">IF(AND(method_reg="Метод индексации",god&lt;&gt;first_year),SUMIFS(INDEX('Калькуляция (МИ корр)'!$AJ$25:$BC$459,,MATCH(BC$8,'Калькуляция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(МИ)'!$AJ$25:$BC$459,,MATCH(BC$8,'Калькуляция (МИ)'!$AJ$8:$BC$8,0)),'Калькуляция (МИ)'!$F$25:$F$459,$F62,'Калькуляция (МИ)'!$G$25:$G$459,$G62))))</f>
        <v>0</v>
      </c>
      <c r="BD62" s="724">
        <f ca="1">IF(BB62=0,0,(BC62-BB62)/BB62*100)</f>
        <v>0</v>
      </c>
      <c r="BE62" s="849">
        <f ca="1">IF(AND(method_reg="Метод индексации",god&lt;&gt;first_year),SUMIFS(INDEX('Калькуляция (МИ корр)'!$AJ$25:$BC$459,,MATCH(BE$8,'Калькуляция (МИ корр)'!$AJ$8:$BC$8,0)),'Калькуляция (МИ корр)'!$F$25:$F$459,$F62,'Калькуляция (МИ корр)'!$G$25:$G$459,$G62),IF(method_reg="Метод экономически обоснованных расходов",SUMIFS('Калькуляция (МЭОР)'!$AJ$25:$AJ$282,'Калькуляция (МЭОР)'!$F$25:$F$282,$F62,'Калькуляция (МЭОР)'!$G$25:$G$282,$G62),IF(method_reg="Метод сравнения аналогов",SUMIFS('Калькуляция (МСА)'!$AE$25:$AE$84,'Калькуляция (МСА)'!$F$25:$F$84,$F62,'Калькуляция (МСА)'!$G$25:$G$84,$G62),SUMIFS(INDEX('Калькуляция (МИ)'!$AJ$25:$BC$459,,MATCH(BE$8,'Калькуляция (МИ)'!$AJ$8:$BC$8,0)),'Калькуляция (МИ)'!$F$25:$F$459,$F62,'Калькуляция (МИ)'!$G$25:$G$459,$G62))))</f>
        <v>0</v>
      </c>
      <c r="BF62" s="849">
        <f ca="1">IF(AND(method_reg="Метод индексации",god&lt;&gt;first_year),SUMIFS(INDEX('Калькуляция (МИ корр)'!$AJ$25:$BC$459,,MATCH(BF$8,'Калькуляция (МИ корр)'!$AJ$8:$BC$8,0)),'Калькуляция (МИ корр)'!$F$25:$F$459,$F62,'Калькуляция (МИ корр)'!$G$25:$G$459,$G62),IF(method_reg="Метод экономически обоснованных расходов",SUMIFS('Калькуляция (МЭОР)'!$AK$25:$AK$282,'Калькуляция (МЭОР)'!$F$25:$F$282,$F62,'Калькуляция (МЭОР)'!$G$25:$G$282,$G62),IF(method_reg="Метод сравнения аналогов",SUMIFS('Калькуляция (МСА)'!$AF$25:$AF$84,'Калькуляция (МСА)'!$F$25:$F$84,$F62,'Калькуляция (МСА)'!$G$25:$G$84,$G62),SUMIFS(INDEX('Калькуляция (МИ)'!$AJ$25:$BC$459,,MATCH(BF$8,'Калькуляция (МИ)'!$AJ$8:$BC$8,0)),'Калькуляция (МИ)'!$F$25:$F$459,$F62,'Калькуляция (МИ)'!$G$25:$G$459,$G62))))</f>
        <v>0</v>
      </c>
      <c r="BG62" s="724">
        <f ca="1">IF(BE62=0,0,(BF62-BE62)/BE62*100)</f>
        <v>0</v>
      </c>
      <c r="BH62" s="849"/>
      <c r="BI62" s="849"/>
      <c r="BJ62" s="724">
        <f>IF(BH62=0,0,(BI62-BH62)/BH62*100)</f>
        <v>0</v>
      </c>
      <c r="BK62" s="849"/>
      <c r="BL62" s="849"/>
      <c r="BM62" s="724">
        <f>IF(BK62=0,0,(BL62-BK62)/BK62*100)</f>
        <v>0</v>
      </c>
      <c r="BN62" s="849"/>
      <c r="BO62" s="849"/>
      <c r="BP62" s="724">
        <f>IF(BN62=0,0,(BO62-BN62)/BN62*100)</f>
        <v>0</v>
      </c>
      <c r="BQ62" s="849"/>
      <c r="BR62" s="849"/>
      <c r="BS62" s="724">
        <f>IF(BQ62=0,0,(BR62-BQ62)/BQ62*100)</f>
        <v>0</v>
      </c>
      <c r="BT62" s="849"/>
      <c r="BU62" s="849"/>
      <c r="BV62" s="724">
        <f>IF(BT62=0,0,(BU62-BT62)/BT62*100)</f>
        <v>0</v>
      </c>
      <c r="BW62" s="849"/>
      <c r="BX62" s="849"/>
      <c r="BY62" s="724">
        <f>IF(BW62=0,0,(BX62-BW62)/BW62*100)</f>
        <v>0</v>
      </c>
      <c r="BZ62" s="849"/>
      <c r="CA62" s="849"/>
      <c r="CB62" s="724">
        <f>IF(BZ62=0,0,(CA62-BZ62)/BZ62*100)</f>
        <v>0</v>
      </c>
      <c r="CC62" s="849"/>
      <c r="CD62" s="849"/>
      <c r="CE62" s="724">
        <f>IF(CC62=0,0,(CD62-CC62)/CC62*100)</f>
        <v>0</v>
      </c>
      <c r="CF62" s="849"/>
      <c r="CG62" s="849"/>
      <c r="CH62" s="724">
        <f>IF(CF62=0,0,(CG62-CF62)/CF62*100)</f>
        <v>0</v>
      </c>
      <c r="CI62" s="849"/>
      <c r="CJ62" s="849"/>
      <c r="CK62" s="724">
        <f>IF(CI62=0,0,(CJ62-CI62)/CI62*100)</f>
        <v>0</v>
      </c>
      <c r="CL62" s="849"/>
      <c r="CM62" s="849"/>
      <c r="CN62" s="724">
        <f>IF(CL62=0,0,(CM62-CL62)/CL62*100)</f>
        <v>0</v>
      </c>
      <c r="CO62" s="849"/>
      <c r="CP62" s="849"/>
      <c r="CQ62" s="724">
        <f>IF(CO62=0,0,(CP62-CO62)/CO62*100)</f>
        <v>0</v>
      </c>
      <c r="CR62" s="849"/>
      <c r="CS62" s="849"/>
      <c r="CT62" s="724">
        <f>IF(CR62=0,0,(CS62-CR62)/CR62*100)</f>
        <v>0</v>
      </c>
      <c r="CU62" s="849"/>
      <c r="CV62" s="849"/>
      <c r="CW62" s="724">
        <f>IF(CU62=0,0,(CV62-CU62)/CU62*100)</f>
        <v>0</v>
      </c>
      <c r="CX62" s="849"/>
      <c r="CY62" s="849"/>
      <c r="CZ62" s="724">
        <f>IF(CX62=0,0,(CY62-CX62)/CX62*100)</f>
        <v>0</v>
      </c>
      <c r="DA62" s="849"/>
      <c r="DB62" s="849"/>
      <c r="DC62" s="724">
        <f>IF(DA62=0,0,(DB62-DA62)/DA62*100)</f>
        <v>0</v>
      </c>
      <c r="DD62" s="849"/>
      <c r="DE62" s="849"/>
      <c r="DF62" s="724">
        <f>IF(DD62=0,0,(DE62-DD62)/DD62*100)</f>
        <v>0</v>
      </c>
      <c r="DG62" s="849"/>
      <c r="DH62" s="849"/>
      <c r="DI62" s="724">
        <f>IF(DG62=0,0,(DH62-DG62)/DG62*100)</f>
        <v>0</v>
      </c>
      <c r="DJ62" s="849"/>
      <c r="DK62" s="849"/>
      <c r="DL62" s="724">
        <f>IF(DJ62=0,0,(DK62-DJ62)/DJ62*100)</f>
        <v>0</v>
      </c>
      <c r="DM62" s="849"/>
      <c r="DN62" s="849"/>
      <c r="DO62" s="724">
        <f>IF(DM62=0,0,(DN62-DM62)/DM62*100)</f>
        <v>0</v>
      </c>
      <c r="DP62" s="849"/>
      <c r="DQ62" s="849"/>
      <c r="DR62" s="724">
        <f>IF(DP62=0,0,(DQ62-DP62)/DP62*100)</f>
        <v>0</v>
      </c>
      <c r="DS62" s="849"/>
      <c r="DT62" s="849"/>
      <c r="DU62" s="724">
        <f>IF(DS62=0,0,(DT62-DS62)/DS62*100)</f>
        <v>0</v>
      </c>
      <c r="DV62" s="849"/>
      <c r="DW62" s="849"/>
      <c r="DX62" s="724">
        <f>IF(DV62=0,0,(DW62-DV62)/DV62*100)</f>
        <v>0</v>
      </c>
      <c r="DY62" s="849"/>
      <c r="DZ62" s="849"/>
      <c r="EA62" s="724">
        <f>IF(DY62=0,0,(DZ62-DY62)/DY62*100)</f>
        <v>0</v>
      </c>
      <c r="EB62" s="849"/>
      <c r="EC62" s="849"/>
      <c r="ED62" s="724">
        <f>IF(EB62=0,0,(EC62-EB62)/EB62*100)</f>
        <v>0</v>
      </c>
      <c r="EE62" s="849"/>
      <c r="EF62" s="849"/>
      <c r="EG62" s="724">
        <f>IF(EE62=0,0,(EF62-EE62)/EE62*100)</f>
        <v>0</v>
      </c>
      <c r="EH62" s="849"/>
      <c r="EI62" s="849"/>
      <c r="EJ62" s="724">
        <f>IF(EH62=0,0,(EI62-EH62)/EH62*100)</f>
        <v>0</v>
      </c>
      <c r="EK62" s="849"/>
      <c r="EL62" s="849"/>
      <c r="EM62" s="724">
        <f>IF(EK62=0,0,(EL62-EK62)/EK62*100)</f>
        <v>0</v>
      </c>
      <c r="EN62" s="849"/>
      <c r="EO62" s="849"/>
      <c r="EP62" s="724">
        <f>IF(EN62=0,0,(EO62-EN62)/EN62*100)</f>
        <v>0</v>
      </c>
      <c r="EQ62" s="849"/>
      <c r="ER62" s="849"/>
      <c r="ES62" s="724">
        <f>IF(EQ62=0,0,(ER62-EQ62)/EQ62*100)</f>
        <v>0</v>
      </c>
      <c r="ET62" s="849"/>
      <c r="EU62" s="849"/>
      <c r="EV62" s="724">
        <f>IF(ET62=0,0,(EU62-ET62)/ET62*100)</f>
        <v>0</v>
      </c>
      <c r="EW62" s="849"/>
      <c r="EX62" s="849"/>
      <c r="EY62" s="724">
        <f>IF(EW62=0,0,(EX62-EW62)/EW62*100)</f>
        <v>0</v>
      </c>
      <c r="EZ62" s="849"/>
      <c r="FA62" s="849"/>
      <c r="FB62" s="724">
        <f>IF(EZ62=0,0,(FA62-EZ62)/EZ62*100)</f>
        <v>0</v>
      </c>
      <c r="FC62" s="849"/>
      <c r="FD62" s="849"/>
      <c r="FE62" s="724">
        <f>IF(FC62=0,0,(FD62-FC62)/FC62*100)</f>
        <v>0</v>
      </c>
      <c r="FF62" s="849"/>
      <c r="FG62" s="849"/>
      <c r="FH62" s="724">
        <f>IF(FF62=0,0,(FG62-FF62)/FF62*100)</f>
        <v>0</v>
      </c>
      <c r="FI62" s="849"/>
      <c r="FJ62" s="849"/>
      <c r="FK62" s="724">
        <f>IF(FI62=0,0,(FJ62-FI62)/FI62*100)</f>
        <v>0</v>
      </c>
      <c r="FL62" s="849"/>
      <c r="FM62" s="849"/>
      <c r="FN62" s="724">
        <f>IF(FL62=0,0,(FM62-FL62)/FL62*100)</f>
        <v>0</v>
      </c>
      <c r="FO62" s="849"/>
      <c r="FP62" s="849"/>
      <c r="FQ62" s="724">
        <f>IF(FO62=0,0,(FP62-FO62)/FO62*100)</f>
        <v>0</v>
      </c>
      <c r="FR62" s="849"/>
      <c r="FS62" s="849"/>
      <c r="FT62" s="724">
        <f>IF(FR62=0,0,(FS62-FR62)/FR62*100)</f>
        <v>0</v>
      </c>
      <c r="FU62" s="849"/>
      <c r="FV62" s="849"/>
      <c r="FW62" s="724">
        <f>IF(FU62=0,0,(FV62-FU62)/FU62*100)</f>
        <v>0</v>
      </c>
      <c r="FZ62" s="700" t="s">
        <v>1681</v>
      </c>
    </row>
    <row r="63" spans="1:182" ht="21.95" hidden="1" customHeight="1">
      <c r="A63" s="78"/>
      <c r="B63" s="622" t="b" cm="1">
        <f t="array" ref="B63">B62</f>
        <v>0</v>
      </c>
      <c r="C63" s="78"/>
      <c r="D63" s="78"/>
      <c r="E63" s="473">
        <v>22.5</v>
      </c>
      <c r="F63" s="3" cm="1">
        <f t="array" aca="1" ref="F63" ca="1">OFFSET(E63,-1,1)</f>
        <v>0</v>
      </c>
      <c r="G63" s="78"/>
      <c r="H63" s="78" t="s">
        <v>1663</v>
      </c>
      <c r="I63" s="78" t="s">
        <v>1637</v>
      </c>
      <c r="J63" s="78"/>
      <c r="K63" s="78"/>
      <c r="L63" s="78"/>
      <c r="M63" s="78"/>
      <c r="N63" s="78"/>
      <c r="O63" s="78"/>
      <c r="P63" s="78"/>
      <c r="Q63" s="78"/>
      <c r="R63" s="78"/>
      <c r="S63" s="78"/>
      <c r="T63" s="365" t="b" cm="1">
        <f t="array" aca="1" ref="T63" ca="1">T62</f>
        <v>0</v>
      </c>
      <c r="U63" s="78"/>
      <c r="V63" s="78"/>
      <c r="W63" s="78"/>
      <c r="X63" s="1094"/>
      <c r="Y63" s="78"/>
      <c r="Z63" s="1064"/>
      <c r="AA63" s="78"/>
      <c r="AB63" s="12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31" t="s">
        <v>1664</v>
      </c>
      <c r="AD63" s="833"/>
      <c r="AE63" s="833"/>
      <c r="AF63" s="723">
        <f>IF(AD63=0,0,(AE63-AD63)/AD63*100)</f>
        <v>0</v>
      </c>
      <c r="AG63" s="833"/>
      <c r="AH63" s="833"/>
      <c r="AI63" s="723">
        <f>IF(AG63=0,0,(AH63-AG63)/AG63*100)</f>
        <v>0</v>
      </c>
      <c r="AJ63" s="833"/>
      <c r="AK63" s="833"/>
      <c r="AL63" s="723">
        <f>IF(AJ63=0,0,(AK63-AJ63)/AJ63*100)</f>
        <v>0</v>
      </c>
      <c r="AM63" s="833"/>
      <c r="AN63" s="833"/>
      <c r="AO63" s="723">
        <f>IF(AM63=0,0,(AN63-AM63)/AM63*100)</f>
        <v>0</v>
      </c>
      <c r="AP63" s="833"/>
      <c r="AQ63" s="833"/>
      <c r="AR63" s="723">
        <f>IF(AP63=0,0,(AQ63-AP63)/AP63*100)</f>
        <v>0</v>
      </c>
      <c r="AS63" s="833"/>
      <c r="AT63" s="833"/>
      <c r="AU63" s="723">
        <f>IF(AS63=0,0,(AT63-AS63)/AS63*100)</f>
        <v>0</v>
      </c>
      <c r="AV63" s="833"/>
      <c r="AW63" s="833"/>
      <c r="AX63" s="723">
        <f>IF(AV63=0,0,(AW63-AV63)/AV63*100)</f>
        <v>0</v>
      </c>
      <c r="AY63" s="833"/>
      <c r="AZ63" s="833"/>
      <c r="BA63" s="723">
        <f>IF(AY63=0,0,(AZ63-AY63)/AY63*100)</f>
        <v>0</v>
      </c>
      <c r="BB63" s="833"/>
      <c r="BC63" s="833"/>
      <c r="BD63" s="723">
        <f>IF(BB63=0,0,(BC63-BB63)/BB63*100)</f>
        <v>0</v>
      </c>
      <c r="BE63" s="833"/>
      <c r="BF63" s="833"/>
      <c r="BG63" s="723">
        <f>IF(BE63=0,0,(BF63-BE63)/BE63*100)</f>
        <v>0</v>
      </c>
      <c r="BH63" s="833"/>
      <c r="BI63" s="833"/>
      <c r="BJ63" s="723">
        <f>IF(BH63=0,0,(BI63-BH63)/BH63*100)</f>
        <v>0</v>
      </c>
      <c r="BK63" s="833"/>
      <c r="BL63" s="833"/>
      <c r="BM63" s="723">
        <f>IF(BK63=0,0,(BL63-BK63)/BK63*100)</f>
        <v>0</v>
      </c>
      <c r="BN63" s="833"/>
      <c r="BO63" s="833"/>
      <c r="BP63" s="723">
        <f>IF(BN63=0,0,(BO63-BN63)/BN63*100)</f>
        <v>0</v>
      </c>
      <c r="BQ63" s="833"/>
      <c r="BR63" s="833"/>
      <c r="BS63" s="723">
        <f>IF(BQ63=0,0,(BR63-BQ63)/BQ63*100)</f>
        <v>0</v>
      </c>
      <c r="BT63" s="833"/>
      <c r="BU63" s="833"/>
      <c r="BV63" s="723">
        <f>IF(BT63=0,0,(BU63-BT63)/BT63*100)</f>
        <v>0</v>
      </c>
      <c r="BW63" s="833"/>
      <c r="BX63" s="833"/>
      <c r="BY63" s="723">
        <f>IF(BW63=0,0,(BX63-BW63)/BW63*100)</f>
        <v>0</v>
      </c>
      <c r="BZ63" s="833"/>
      <c r="CA63" s="833"/>
      <c r="CB63" s="723">
        <f>IF(BZ63=0,0,(CA63-BZ63)/BZ63*100)</f>
        <v>0</v>
      </c>
      <c r="CC63" s="833"/>
      <c r="CD63" s="833"/>
      <c r="CE63" s="723">
        <f>IF(CC63=0,0,(CD63-CC63)/CC63*100)</f>
        <v>0</v>
      </c>
      <c r="CF63" s="833"/>
      <c r="CG63" s="833"/>
      <c r="CH63" s="723">
        <f>IF(CF63=0,0,(CG63-CF63)/CF63*100)</f>
        <v>0</v>
      </c>
      <c r="CI63" s="833"/>
      <c r="CJ63" s="833"/>
      <c r="CK63" s="723">
        <f>IF(CI63=0,0,(CJ63-CI63)/CI63*100)</f>
        <v>0</v>
      </c>
      <c r="CL63" s="833"/>
      <c r="CM63" s="833"/>
      <c r="CN63" s="723">
        <f>IF(CL63=0,0,(CM63-CL63)/CL63*100)</f>
        <v>0</v>
      </c>
      <c r="CO63" s="833"/>
      <c r="CP63" s="833"/>
      <c r="CQ63" s="723">
        <f>IF(CO63=0,0,(CP63-CO63)/CO63*100)</f>
        <v>0</v>
      </c>
      <c r="CR63" s="833"/>
      <c r="CS63" s="833"/>
      <c r="CT63" s="723">
        <f>IF(CR63=0,0,(CS63-CR63)/CR63*100)</f>
        <v>0</v>
      </c>
      <c r="CU63" s="833"/>
      <c r="CV63" s="833"/>
      <c r="CW63" s="723">
        <f>IF(CU63=0,0,(CV63-CU63)/CU63*100)</f>
        <v>0</v>
      </c>
      <c r="CX63" s="833"/>
      <c r="CY63" s="833"/>
      <c r="CZ63" s="723">
        <f>IF(CX63=0,0,(CY63-CX63)/CX63*100)</f>
        <v>0</v>
      </c>
      <c r="DA63" s="833"/>
      <c r="DB63" s="833"/>
      <c r="DC63" s="723">
        <f>IF(DA63=0,0,(DB63-DA63)/DA63*100)</f>
        <v>0</v>
      </c>
      <c r="DD63" s="833"/>
      <c r="DE63" s="833"/>
      <c r="DF63" s="723">
        <f>IF(DD63=0,0,(DE63-DD63)/DD63*100)</f>
        <v>0</v>
      </c>
      <c r="DG63" s="833"/>
      <c r="DH63" s="833"/>
      <c r="DI63" s="723">
        <f>IF(DG63=0,0,(DH63-DG63)/DG63*100)</f>
        <v>0</v>
      </c>
      <c r="DJ63" s="833"/>
      <c r="DK63" s="833"/>
      <c r="DL63" s="723">
        <f>IF(DJ63=0,0,(DK63-DJ63)/DJ63*100)</f>
        <v>0</v>
      </c>
      <c r="DM63" s="833"/>
      <c r="DN63" s="833"/>
      <c r="DO63" s="723">
        <f>IF(DM63=0,0,(DN63-DM63)/DM63*100)</f>
        <v>0</v>
      </c>
      <c r="DP63" s="833"/>
      <c r="DQ63" s="833"/>
      <c r="DR63" s="723">
        <f>IF(DP63=0,0,(DQ63-DP63)/DP63*100)</f>
        <v>0</v>
      </c>
      <c r="DS63" s="833"/>
      <c r="DT63" s="833"/>
      <c r="DU63" s="723">
        <f>IF(DS63=0,0,(DT63-DS63)/DS63*100)</f>
        <v>0</v>
      </c>
      <c r="DV63" s="833"/>
      <c r="DW63" s="833"/>
      <c r="DX63" s="723">
        <f>IF(DV63=0,0,(DW63-DV63)/DV63*100)</f>
        <v>0</v>
      </c>
      <c r="DY63" s="833"/>
      <c r="DZ63" s="833"/>
      <c r="EA63" s="723">
        <f>IF(DY63=0,0,(DZ63-DY63)/DY63*100)</f>
        <v>0</v>
      </c>
      <c r="EB63" s="833"/>
      <c r="EC63" s="833"/>
      <c r="ED63" s="723">
        <f>IF(EB63=0,0,(EC63-EB63)/EB63*100)</f>
        <v>0</v>
      </c>
      <c r="EE63" s="833"/>
      <c r="EF63" s="833"/>
      <c r="EG63" s="723">
        <f>IF(EE63=0,0,(EF63-EE63)/EE63*100)</f>
        <v>0</v>
      </c>
      <c r="EH63" s="833"/>
      <c r="EI63" s="833"/>
      <c r="EJ63" s="723">
        <f>IF(EH63=0,0,(EI63-EH63)/EH63*100)</f>
        <v>0</v>
      </c>
      <c r="EK63" s="833"/>
      <c r="EL63" s="833"/>
      <c r="EM63" s="723">
        <f>IF(EK63=0,0,(EL63-EK63)/EK63*100)</f>
        <v>0</v>
      </c>
      <c r="EN63" s="833"/>
      <c r="EO63" s="833"/>
      <c r="EP63" s="723">
        <f>IF(EN63=0,0,(EO63-EN63)/EN63*100)</f>
        <v>0</v>
      </c>
      <c r="EQ63" s="833"/>
      <c r="ER63" s="833"/>
      <c r="ES63" s="723">
        <f>IF(EQ63=0,0,(ER63-EQ63)/EQ63*100)</f>
        <v>0</v>
      </c>
      <c r="ET63" s="833"/>
      <c r="EU63" s="833"/>
      <c r="EV63" s="723">
        <f>IF(ET63=0,0,(EU63-ET63)/ET63*100)</f>
        <v>0</v>
      </c>
      <c r="EW63" s="833"/>
      <c r="EX63" s="833"/>
      <c r="EY63" s="723">
        <f>IF(EW63=0,0,(EX63-EW63)/EW63*100)</f>
        <v>0</v>
      </c>
      <c r="EZ63" s="833"/>
      <c r="FA63" s="833"/>
      <c r="FB63" s="723">
        <f>IF(EZ63=0,0,(FA63-EZ63)/EZ63*100)</f>
        <v>0</v>
      </c>
      <c r="FC63" s="833"/>
      <c r="FD63" s="833"/>
      <c r="FE63" s="723">
        <f>IF(FC63=0,0,(FD63-FC63)/FC63*100)</f>
        <v>0</v>
      </c>
      <c r="FF63" s="833"/>
      <c r="FG63" s="833"/>
      <c r="FH63" s="723">
        <f>IF(FF63=0,0,(FG63-FF63)/FF63*100)</f>
        <v>0</v>
      </c>
      <c r="FI63" s="833"/>
      <c r="FJ63" s="833"/>
      <c r="FK63" s="723">
        <f>IF(FI63=0,0,(FJ63-FI63)/FI63*100)</f>
        <v>0</v>
      </c>
      <c r="FL63" s="833"/>
      <c r="FM63" s="833"/>
      <c r="FN63" s="723">
        <f>IF(FL63=0,0,(FM63-FL63)/FL63*100)</f>
        <v>0</v>
      </c>
      <c r="FO63" s="833"/>
      <c r="FP63" s="833"/>
      <c r="FQ63" s="723">
        <f>IF(FO63=0,0,(FP63-FO63)/FO63*100)</f>
        <v>0</v>
      </c>
      <c r="FR63" s="833"/>
      <c r="FS63" s="833"/>
      <c r="FT63" s="723">
        <f>IF(FR63=0,0,(FS63-FR63)/FR63*100)</f>
        <v>0</v>
      </c>
      <c r="FU63" s="833"/>
      <c r="FV63" s="833"/>
      <c r="FW63" s="723">
        <f>IF(FU63=0,0,(FV63-FU63)/FU63*100)</f>
        <v>0</v>
      </c>
      <c r="FZ63" s="700" t="s">
        <v>1682</v>
      </c>
    </row>
    <row r="64" spans="1:182" ht="14.65" hidden="1" customHeight="1">
      <c r="A64" s="78"/>
      <c r="B64" s="622" t="b" cm="1">
        <f t="array" ref="B64">B63</f>
        <v>0</v>
      </c>
      <c r="C64" s="78"/>
      <c r="D64" s="78"/>
      <c r="E64" s="473">
        <v>15</v>
      </c>
      <c r="F64" s="3" cm="1">
        <f t="array" aca="1" ref="F64" ca="1">OFFSET(E64,-1,1)</f>
        <v>0</v>
      </c>
      <c r="G64" s="78"/>
      <c r="H64" s="78" t="s">
        <v>1666</v>
      </c>
      <c r="I64" s="78" t="s">
        <v>1637</v>
      </c>
      <c r="J64" s="78"/>
      <c r="K64" s="78"/>
      <c r="L64" s="78"/>
      <c r="M64" s="78"/>
      <c r="N64" s="78"/>
      <c r="O64" s="78"/>
      <c r="P64" s="78"/>
      <c r="Q64" s="78"/>
      <c r="R64" s="78"/>
      <c r="S64" s="78"/>
      <c r="T64" s="365" t="b" cm="1">
        <f t="array" aca="1" ref="T64" ca="1">T63</f>
        <v>0</v>
      </c>
      <c r="U64" s="78"/>
      <c r="V64" s="78"/>
      <c r="W64" s="78"/>
      <c r="X64" s="1094"/>
      <c r="Y64" s="78"/>
      <c r="Z64" s="1064"/>
      <c r="AA64" s="78"/>
      <c r="AB64" s="124" t="s">
        <v>1667</v>
      </c>
      <c r="AC64" s="31" t="s">
        <v>1668</v>
      </c>
      <c r="AD64" s="833"/>
      <c r="AE64" s="833"/>
      <c r="AF64" s="723">
        <f>IF(AD64=0,0,(AE64-AD64)/AD64*100)</f>
        <v>0</v>
      </c>
      <c r="AG64" s="833"/>
      <c r="AH64" s="833"/>
      <c r="AI64" s="723">
        <f>IF(AG64=0,0,(AH64-AG64)/AG64*100)</f>
        <v>0</v>
      </c>
      <c r="AJ64" s="833"/>
      <c r="AK64" s="833"/>
      <c r="AL64" s="723">
        <f>IF(AJ64=0,0,(AK64-AJ64)/AJ64*100)</f>
        <v>0</v>
      </c>
      <c r="AM64" s="833"/>
      <c r="AN64" s="833"/>
      <c r="AO64" s="723">
        <f>IF(AM64=0,0,(AN64-AM64)/AM64*100)</f>
        <v>0</v>
      </c>
      <c r="AP64" s="833"/>
      <c r="AQ64" s="833"/>
      <c r="AR64" s="723">
        <f>IF(AP64=0,0,(AQ64-AP64)/AP64*100)</f>
        <v>0</v>
      </c>
      <c r="AS64" s="833"/>
      <c r="AT64" s="833"/>
      <c r="AU64" s="723">
        <f>IF(AS64=0,0,(AT64-AS64)/AS64*100)</f>
        <v>0</v>
      </c>
      <c r="AV64" s="833"/>
      <c r="AW64" s="833"/>
      <c r="AX64" s="723">
        <f>IF(AV64=0,0,(AW64-AV64)/AV64*100)</f>
        <v>0</v>
      </c>
      <c r="AY64" s="833"/>
      <c r="AZ64" s="833"/>
      <c r="BA64" s="723">
        <f>IF(AY64=0,0,(AZ64-AY64)/AY64*100)</f>
        <v>0</v>
      </c>
      <c r="BB64" s="833"/>
      <c r="BC64" s="833"/>
      <c r="BD64" s="723">
        <f>IF(BB64=0,0,(BC64-BB64)/BB64*100)</f>
        <v>0</v>
      </c>
      <c r="BE64" s="833"/>
      <c r="BF64" s="833"/>
      <c r="BG64" s="723">
        <f>IF(BE64=0,0,(BF64-BE64)/BE64*100)</f>
        <v>0</v>
      </c>
      <c r="BH64" s="833"/>
      <c r="BI64" s="833"/>
      <c r="BJ64" s="723">
        <f>IF(BH64=0,0,(BI64-BH64)/BH64*100)</f>
        <v>0</v>
      </c>
      <c r="BK64" s="833"/>
      <c r="BL64" s="833"/>
      <c r="BM64" s="723">
        <f>IF(BK64=0,0,(BL64-BK64)/BK64*100)</f>
        <v>0</v>
      </c>
      <c r="BN64" s="833"/>
      <c r="BO64" s="833"/>
      <c r="BP64" s="723">
        <f>IF(BN64=0,0,(BO64-BN64)/BN64*100)</f>
        <v>0</v>
      </c>
      <c r="BQ64" s="833"/>
      <c r="BR64" s="833"/>
      <c r="BS64" s="723">
        <f>IF(BQ64=0,0,(BR64-BQ64)/BQ64*100)</f>
        <v>0</v>
      </c>
      <c r="BT64" s="833"/>
      <c r="BU64" s="833"/>
      <c r="BV64" s="723">
        <f>IF(BT64=0,0,(BU64-BT64)/BT64*100)</f>
        <v>0</v>
      </c>
      <c r="BW64" s="833"/>
      <c r="BX64" s="833"/>
      <c r="BY64" s="723">
        <f>IF(BW64=0,0,(BX64-BW64)/BW64*100)</f>
        <v>0</v>
      </c>
      <c r="BZ64" s="833"/>
      <c r="CA64" s="833"/>
      <c r="CB64" s="723">
        <f>IF(BZ64=0,0,(CA64-BZ64)/BZ64*100)</f>
        <v>0</v>
      </c>
      <c r="CC64" s="833"/>
      <c r="CD64" s="833"/>
      <c r="CE64" s="723">
        <f>IF(CC64=0,0,(CD64-CC64)/CC64*100)</f>
        <v>0</v>
      </c>
      <c r="CF64" s="833"/>
      <c r="CG64" s="833"/>
      <c r="CH64" s="723">
        <f>IF(CF64=0,0,(CG64-CF64)/CF64*100)</f>
        <v>0</v>
      </c>
      <c r="CI64" s="833"/>
      <c r="CJ64" s="833"/>
      <c r="CK64" s="723">
        <f>IF(CI64=0,0,(CJ64-CI64)/CI64*100)</f>
        <v>0</v>
      </c>
      <c r="CL64" s="833"/>
      <c r="CM64" s="833"/>
      <c r="CN64" s="723">
        <f>IF(CL64=0,0,(CM64-CL64)/CL64*100)</f>
        <v>0</v>
      </c>
      <c r="CO64" s="833"/>
      <c r="CP64" s="833"/>
      <c r="CQ64" s="723">
        <f>IF(CO64=0,0,(CP64-CO64)/CO64*100)</f>
        <v>0</v>
      </c>
      <c r="CR64" s="833"/>
      <c r="CS64" s="833"/>
      <c r="CT64" s="723">
        <f>IF(CR64=0,0,(CS64-CR64)/CR64*100)</f>
        <v>0</v>
      </c>
      <c r="CU64" s="833"/>
      <c r="CV64" s="833"/>
      <c r="CW64" s="723">
        <f>IF(CU64=0,0,(CV64-CU64)/CU64*100)</f>
        <v>0</v>
      </c>
      <c r="CX64" s="833"/>
      <c r="CY64" s="833"/>
      <c r="CZ64" s="723">
        <f>IF(CX64=0,0,(CY64-CX64)/CX64*100)</f>
        <v>0</v>
      </c>
      <c r="DA64" s="833"/>
      <c r="DB64" s="833"/>
      <c r="DC64" s="723">
        <f>IF(DA64=0,0,(DB64-DA64)/DA64*100)</f>
        <v>0</v>
      </c>
      <c r="DD64" s="833"/>
      <c r="DE64" s="833"/>
      <c r="DF64" s="723">
        <f>IF(DD64=0,0,(DE64-DD64)/DD64*100)</f>
        <v>0</v>
      </c>
      <c r="DG64" s="833"/>
      <c r="DH64" s="833"/>
      <c r="DI64" s="723">
        <f>IF(DG64=0,0,(DH64-DG64)/DG64*100)</f>
        <v>0</v>
      </c>
      <c r="DJ64" s="833"/>
      <c r="DK64" s="833"/>
      <c r="DL64" s="723">
        <f>IF(DJ64=0,0,(DK64-DJ64)/DJ64*100)</f>
        <v>0</v>
      </c>
      <c r="DM64" s="833"/>
      <c r="DN64" s="833"/>
      <c r="DO64" s="723">
        <f>IF(DM64=0,0,(DN64-DM64)/DM64*100)</f>
        <v>0</v>
      </c>
      <c r="DP64" s="833"/>
      <c r="DQ64" s="833"/>
      <c r="DR64" s="723">
        <f>IF(DP64=0,0,(DQ64-DP64)/DP64*100)</f>
        <v>0</v>
      </c>
      <c r="DS64" s="833"/>
      <c r="DT64" s="833"/>
      <c r="DU64" s="723">
        <f>IF(DS64=0,0,(DT64-DS64)/DS64*100)</f>
        <v>0</v>
      </c>
      <c r="DV64" s="833"/>
      <c r="DW64" s="833"/>
      <c r="DX64" s="723">
        <f>IF(DV64=0,0,(DW64-DV64)/DV64*100)</f>
        <v>0</v>
      </c>
      <c r="DY64" s="833"/>
      <c r="DZ64" s="833"/>
      <c r="EA64" s="723">
        <f>IF(DY64=0,0,(DZ64-DY64)/DY64*100)</f>
        <v>0</v>
      </c>
      <c r="EB64" s="833"/>
      <c r="EC64" s="833"/>
      <c r="ED64" s="723">
        <f>IF(EB64=0,0,(EC64-EB64)/EB64*100)</f>
        <v>0</v>
      </c>
      <c r="EE64" s="833"/>
      <c r="EF64" s="833"/>
      <c r="EG64" s="723">
        <f>IF(EE64=0,0,(EF64-EE64)/EE64*100)</f>
        <v>0</v>
      </c>
      <c r="EH64" s="833"/>
      <c r="EI64" s="833"/>
      <c r="EJ64" s="723">
        <f>IF(EH64=0,0,(EI64-EH64)/EH64*100)</f>
        <v>0</v>
      </c>
      <c r="EK64" s="833"/>
      <c r="EL64" s="833"/>
      <c r="EM64" s="723">
        <f>IF(EK64=0,0,(EL64-EK64)/EK64*100)</f>
        <v>0</v>
      </c>
      <c r="EN64" s="833"/>
      <c r="EO64" s="833"/>
      <c r="EP64" s="723">
        <f>IF(EN64=0,0,(EO64-EN64)/EN64*100)</f>
        <v>0</v>
      </c>
      <c r="EQ64" s="833"/>
      <c r="ER64" s="833"/>
      <c r="ES64" s="723">
        <f>IF(EQ64=0,0,(ER64-EQ64)/EQ64*100)</f>
        <v>0</v>
      </c>
      <c r="ET64" s="833"/>
      <c r="EU64" s="833"/>
      <c r="EV64" s="723">
        <f>IF(ET64=0,0,(EU64-ET64)/ET64*100)</f>
        <v>0</v>
      </c>
      <c r="EW64" s="833"/>
      <c r="EX64" s="833"/>
      <c r="EY64" s="723">
        <f>IF(EW64=0,0,(EX64-EW64)/EW64*100)</f>
        <v>0</v>
      </c>
      <c r="EZ64" s="833"/>
      <c r="FA64" s="833"/>
      <c r="FB64" s="723">
        <f>IF(EZ64=0,0,(FA64-EZ64)/EZ64*100)</f>
        <v>0</v>
      </c>
      <c r="FC64" s="833"/>
      <c r="FD64" s="833"/>
      <c r="FE64" s="723">
        <f>IF(FC64=0,0,(FD64-FC64)/FC64*100)</f>
        <v>0</v>
      </c>
      <c r="FF64" s="833"/>
      <c r="FG64" s="833"/>
      <c r="FH64" s="723">
        <f>IF(FF64=0,0,(FG64-FF64)/FF64*100)</f>
        <v>0</v>
      </c>
      <c r="FI64" s="833"/>
      <c r="FJ64" s="833"/>
      <c r="FK64" s="723">
        <f>IF(FI64=0,0,(FJ64-FI64)/FI64*100)</f>
        <v>0</v>
      </c>
      <c r="FL64" s="833"/>
      <c r="FM64" s="833"/>
      <c r="FN64" s="723">
        <f>IF(FL64=0,0,(FM64-FL64)/FL64*100)</f>
        <v>0</v>
      </c>
      <c r="FO64" s="833"/>
      <c r="FP64" s="833"/>
      <c r="FQ64" s="723">
        <f>IF(FO64=0,0,(FP64-FO64)/FO64*100)</f>
        <v>0</v>
      </c>
      <c r="FR64" s="833"/>
      <c r="FS64" s="833"/>
      <c r="FT64" s="723">
        <f>IF(FR64=0,0,(FS64-FR64)/FR64*100)</f>
        <v>0</v>
      </c>
      <c r="FU64" s="833"/>
      <c r="FV64" s="833"/>
      <c r="FW64" s="723">
        <f>IF(FU64=0,0,(FV64-FU64)/FU64*100)</f>
        <v>0</v>
      </c>
      <c r="FZ64" s="700" t="s">
        <v>1683</v>
      </c>
    </row>
    <row r="65" spans="1:186" ht="23.85" hidden="1" customHeight="1">
      <c r="A65" s="78"/>
      <c r="B65" s="622" t="b" cm="1">
        <f t="array" ref="B65">B64</f>
        <v>0</v>
      </c>
      <c r="C65" s="78"/>
      <c r="D65" s="78"/>
      <c r="E65" s="473">
        <v>24.5</v>
      </c>
      <c r="F65" s="3" cm="1">
        <f t="array" aca="1" ref="F65" ca="1">OFFSET(E65,-1,1)</f>
        <v>0</v>
      </c>
      <c r="G65" s="78"/>
      <c r="H65" s="78"/>
      <c r="I65" s="78"/>
      <c r="J65" s="78"/>
      <c r="K65" s="78"/>
      <c r="L65" s="78"/>
      <c r="M65" s="78"/>
      <c r="N65" s="78"/>
      <c r="O65" s="78"/>
      <c r="P65" s="78"/>
      <c r="Q65" s="78"/>
      <c r="R65" s="78"/>
      <c r="S65" s="78"/>
      <c r="T65" s="365" t="b" cm="1">
        <f t="array" aca="1" ref="T65" ca="1">T64</f>
        <v>0</v>
      </c>
      <c r="U65" s="78"/>
      <c r="V65" s="78"/>
      <c r="W65" s="78"/>
      <c r="X65" s="1094"/>
      <c r="Y65" s="78"/>
      <c r="Z65" s="1064"/>
      <c r="AA65" s="78"/>
      <c r="AB65" s="220" t="s">
        <v>1684</v>
      </c>
      <c r="AC65" s="606"/>
      <c r="AD65" s="727"/>
      <c r="AE65" s="727"/>
      <c r="AF65" s="727"/>
      <c r="AG65" s="727"/>
      <c r="AH65" s="727"/>
      <c r="AI65" s="727"/>
      <c r="AJ65" s="727"/>
      <c r="AK65" s="727"/>
      <c r="AL65" s="727"/>
      <c r="AM65" s="727"/>
      <c r="AN65" s="727"/>
      <c r="AO65" s="727"/>
      <c r="AP65" s="727"/>
      <c r="AQ65" s="727"/>
      <c r="AR65" s="727"/>
      <c r="AS65" s="727"/>
      <c r="AT65" s="727"/>
      <c r="AU65" s="727"/>
      <c r="AV65" s="727"/>
      <c r="AW65" s="727"/>
      <c r="AX65" s="727"/>
      <c r="AY65" s="727"/>
      <c r="AZ65" s="727"/>
      <c r="BA65" s="727"/>
      <c r="BB65" s="727"/>
      <c r="BC65" s="727"/>
      <c r="BD65" s="727"/>
      <c r="BE65" s="727"/>
      <c r="BF65" s="727"/>
      <c r="BG65" s="727"/>
      <c r="BH65" s="727"/>
      <c r="BI65" s="727"/>
      <c r="BJ65" s="727"/>
      <c r="BK65" s="727"/>
      <c r="BL65" s="727"/>
      <c r="BM65" s="727"/>
      <c r="BN65" s="727"/>
      <c r="BO65" s="727"/>
      <c r="BP65" s="727"/>
      <c r="BQ65" s="727"/>
      <c r="BR65" s="727"/>
      <c r="BS65" s="727"/>
      <c r="BT65" s="727"/>
      <c r="BU65" s="727"/>
      <c r="BV65" s="727"/>
      <c r="BW65" s="727"/>
      <c r="BX65" s="727"/>
      <c r="BY65" s="727"/>
      <c r="BZ65" s="727"/>
      <c r="CA65" s="727"/>
      <c r="CB65" s="727"/>
      <c r="CC65" s="727"/>
      <c r="CD65" s="727"/>
      <c r="CE65" s="727"/>
      <c r="CF65" s="727"/>
      <c r="CG65" s="727"/>
      <c r="CH65" s="727"/>
      <c r="CI65" s="727"/>
      <c r="CJ65" s="727"/>
      <c r="CK65" s="727"/>
      <c r="CL65" s="727"/>
      <c r="CM65" s="727"/>
      <c r="CN65" s="727"/>
      <c r="CO65" s="727"/>
      <c r="CP65" s="727"/>
      <c r="CQ65" s="727"/>
      <c r="CR65" s="727"/>
      <c r="CS65" s="727"/>
      <c r="CT65" s="727"/>
      <c r="CU65" s="727"/>
      <c r="CV65" s="727"/>
      <c r="CW65" s="727"/>
      <c r="CX65" s="727"/>
      <c r="CY65" s="727"/>
      <c r="CZ65" s="727"/>
      <c r="DA65" s="727"/>
      <c r="DB65" s="727"/>
      <c r="DC65" s="727"/>
      <c r="DD65" s="727"/>
      <c r="DE65" s="727"/>
      <c r="DF65" s="727"/>
      <c r="DG65" s="727"/>
      <c r="DH65" s="727"/>
      <c r="DI65" s="727"/>
      <c r="DJ65" s="727"/>
      <c r="DK65" s="727"/>
      <c r="DL65" s="727"/>
      <c r="DM65" s="727"/>
      <c r="DN65" s="727"/>
      <c r="DO65" s="727"/>
      <c r="DP65" s="727"/>
      <c r="DQ65" s="727"/>
      <c r="DR65" s="727"/>
      <c r="DS65" s="727"/>
      <c r="DT65" s="727"/>
      <c r="DU65" s="727"/>
      <c r="DV65" s="727"/>
      <c r="DW65" s="727"/>
      <c r="DX65" s="727"/>
      <c r="DY65" s="727"/>
      <c r="DZ65" s="727"/>
      <c r="EA65" s="727"/>
      <c r="EB65" s="727"/>
      <c r="EC65" s="727"/>
      <c r="ED65" s="727"/>
      <c r="EE65" s="727"/>
      <c r="EF65" s="727"/>
      <c r="EG65" s="727"/>
      <c r="EH65" s="727"/>
      <c r="EI65" s="727"/>
      <c r="EJ65" s="727"/>
      <c r="EK65" s="727"/>
      <c r="EL65" s="727"/>
      <c r="EM65" s="727"/>
      <c r="EN65" s="727"/>
      <c r="EO65" s="727"/>
      <c r="EP65" s="727"/>
      <c r="EQ65" s="727"/>
      <c r="ER65" s="727"/>
      <c r="ES65" s="727"/>
      <c r="ET65" s="727"/>
      <c r="EU65" s="727"/>
      <c r="EV65" s="727"/>
      <c r="EW65" s="727"/>
      <c r="EX65" s="727"/>
      <c r="EY65" s="727"/>
      <c r="EZ65" s="727"/>
      <c r="FA65" s="727"/>
      <c r="FB65" s="727"/>
      <c r="FC65" s="727"/>
      <c r="FD65" s="727"/>
      <c r="FE65" s="727"/>
      <c r="FF65" s="727"/>
      <c r="FG65" s="727"/>
      <c r="FH65" s="727"/>
      <c r="FI65" s="727"/>
      <c r="FJ65" s="727"/>
      <c r="FK65" s="727"/>
      <c r="FL65" s="727"/>
      <c r="FM65" s="727"/>
      <c r="FN65" s="727"/>
      <c r="FO65" s="727"/>
      <c r="FP65" s="727"/>
      <c r="FQ65" s="727"/>
      <c r="FR65" s="727"/>
      <c r="FS65" s="727"/>
      <c r="FT65" s="727"/>
      <c r="FU65" s="727"/>
      <c r="FV65" s="727"/>
      <c r="FW65" s="728"/>
      <c r="FZ65" s="700"/>
    </row>
    <row r="66" spans="1:186" ht="14.65" hidden="1" customHeight="1">
      <c r="A66" s="78"/>
      <c r="B66" s="622" t="b" cm="1">
        <f t="array" ref="B66">B65</f>
        <v>0</v>
      </c>
      <c r="C66" s="78"/>
      <c r="D66" s="78"/>
      <c r="E66" s="473">
        <v>15</v>
      </c>
      <c r="F66" s="3" cm="1">
        <f t="array" aca="1" ref="F66" ca="1">OFFSET(E66,-1,1)</f>
        <v>0</v>
      </c>
      <c r="G66" s="78"/>
      <c r="H66" s="78" t="s">
        <v>1562</v>
      </c>
      <c r="I66" s="78" t="s">
        <v>1641</v>
      </c>
      <c r="J66" s="78"/>
      <c r="K66" s="78"/>
      <c r="L66" s="78"/>
      <c r="M66" s="78"/>
      <c r="N66" s="78"/>
      <c r="O66" s="78"/>
      <c r="P66" s="78"/>
      <c r="Q66" s="78"/>
      <c r="R66" s="78"/>
      <c r="S66" s="78"/>
      <c r="T66" s="365" t="b" cm="1">
        <f t="array" aca="1" ref="T66" ca="1">T65</f>
        <v>0</v>
      </c>
      <c r="U66" s="78"/>
      <c r="V66" s="78"/>
      <c r="W66" s="78"/>
      <c r="X66" s="1094"/>
      <c r="Y66" s="78"/>
      <c r="Z66" s="1064"/>
      <c r="AA66" s="78"/>
      <c r="AB66" s="124" t="s">
        <v>1657</v>
      </c>
      <c r="AC66" s="31" t="s">
        <v>1624</v>
      </c>
      <c r="AD66" s="833">
        <f ca="1">IF(AD68=0,0,(AD67*AD68+AD69*AD70*IF(god=2026,3,6))/AD68)</f>
        <v>0</v>
      </c>
      <c r="AE66" s="833">
        <f ca="1">IF(AE68=0,0,(AE67*AE68+AE69*AE70*IF(god=2026,3,6))/AE68)</f>
        <v>0</v>
      </c>
      <c r="AF66" s="723">
        <f ca="1">IF(AD66=0,0,(AE66-AD66)/AD66*100)</f>
        <v>0</v>
      </c>
      <c r="AG66" s="833">
        <f ca="1">IF(AG68=0,0,(AG67*AG68+AG69*AG70*IF(god=2025,3,6))/AG68)</f>
        <v>0</v>
      </c>
      <c r="AH66" s="833">
        <f ca="1">IF(AH68=0,0,(AH67*AH68+AH69*AH70*IF(god=2025,3,6))/AH68)</f>
        <v>0</v>
      </c>
      <c r="AI66" s="723">
        <f ca="1">IF(AG66=0,0,(AH66-AG66)/AG66*100)</f>
        <v>0</v>
      </c>
      <c r="AJ66" s="833">
        <f ca="1">IF(AJ68=0,0,(AJ67*AJ68+AJ69*AJ70*6)/AJ68)</f>
        <v>0</v>
      </c>
      <c r="AK66" s="833">
        <f ca="1">IF(AK68=0,0,(AK67*AK68+AK69*AK70*6)/AK68)</f>
        <v>0</v>
      </c>
      <c r="AL66" s="723">
        <f ca="1">IF(AJ66=0,0,(AK66-AJ66)/AJ66*100)</f>
        <v>0</v>
      </c>
      <c r="AM66" s="833">
        <f ca="1">IF(AM68=0,0,(AM67*AM68+AM69*AM70*6)/AM68)</f>
        <v>0</v>
      </c>
      <c r="AN66" s="833">
        <f ca="1">IF(AN68=0,0,(AN67*AN68+AN69*AN70*6)/AN68)</f>
        <v>0</v>
      </c>
      <c r="AO66" s="723">
        <f ca="1">IF(AM66=0,0,(AN66-AM66)/AM66*100)</f>
        <v>0</v>
      </c>
      <c r="AP66" s="833">
        <f ca="1">IF(AP68=0,0,(AP67*AP68+AP69*AP70*6)/AP68)</f>
        <v>0</v>
      </c>
      <c r="AQ66" s="833">
        <f ca="1">IF(AQ68=0,0,(AQ67*AQ68+AQ69*AQ70*6)/AQ68)</f>
        <v>0</v>
      </c>
      <c r="AR66" s="723">
        <f ca="1">IF(AP66=0,0,(AQ66-AP66)/AP66*100)</f>
        <v>0</v>
      </c>
      <c r="AS66" s="833">
        <f ca="1">IF(AS68=0,0,(AS67*AS68+AS69*AS70*6)/AS68)</f>
        <v>0</v>
      </c>
      <c r="AT66" s="833">
        <f ca="1">IF(AT68=0,0,(AT67*AT68+AT69*AT70*6)/AT68)</f>
        <v>0</v>
      </c>
      <c r="AU66" s="723">
        <f ca="1">IF(AS66=0,0,(AT66-AS66)/AS66*100)</f>
        <v>0</v>
      </c>
      <c r="AV66" s="833">
        <f ca="1">IF(AV68=0,0,(AV67*AV68+AV69*AV70*6)/AV68)</f>
        <v>0</v>
      </c>
      <c r="AW66" s="833">
        <f ca="1">IF(AW68=0,0,(AW67*AW68+AW69*AW70*6)/AW68)</f>
        <v>0</v>
      </c>
      <c r="AX66" s="723">
        <f ca="1">IF(AV66=0,0,(AW66-AV66)/AV66*100)</f>
        <v>0</v>
      </c>
      <c r="AY66" s="833">
        <f ca="1">IF(AY68=0,0,(AY67*AY68+AY69*AY70*6)/AY68)</f>
        <v>0</v>
      </c>
      <c r="AZ66" s="833">
        <f ca="1">IF(AZ68=0,0,(AZ67*AZ68+AZ69*AZ70*6)/AZ68)</f>
        <v>0</v>
      </c>
      <c r="BA66" s="723">
        <f ca="1">IF(AY66=0,0,(AZ66-AY66)/AY66*100)</f>
        <v>0</v>
      </c>
      <c r="BB66" s="833">
        <f ca="1">IF(BB68=0,0,(BB67*BB68+BB69*BB70*6)/BB68)</f>
        <v>0</v>
      </c>
      <c r="BC66" s="833">
        <f ca="1">IF(BC68=0,0,(BC67*BC68+BC69*BC70*6)/BC68)</f>
        <v>0</v>
      </c>
      <c r="BD66" s="723">
        <f ca="1">IF(BB66=0,0,(BC66-BB66)/BB66*100)</f>
        <v>0</v>
      </c>
      <c r="BE66" s="833">
        <f ca="1">IF(BE68=0,0,(BE67*BE68+BE69*BE70*6)/BE68)</f>
        <v>0</v>
      </c>
      <c r="BF66" s="833">
        <f ca="1">IF(BF68=0,0,(BF67*BF68+BF69*BF70*6)/BF68)</f>
        <v>0</v>
      </c>
      <c r="BG66" s="723">
        <f ca="1">IF(BE66=0,0,(BF66-BE66)/BE66*100)</f>
        <v>0</v>
      </c>
      <c r="BH66" s="833">
        <f>IF(BH68=0,0,(BH67*BH68+BH69*BH70*6)/BH68)</f>
        <v>0</v>
      </c>
      <c r="BI66" s="833">
        <f>IF(BI68=0,0,(BI67*BI68+BI69*BI70*6)/BI68)</f>
        <v>0</v>
      </c>
      <c r="BJ66" s="723">
        <f>IF(BH66=0,0,(BI66-BH66)/BH66*100)</f>
        <v>0</v>
      </c>
      <c r="BK66" s="833">
        <f>IF(BK68=0,0,(BK67*BK68+BK69*BK70*6)/BK68)</f>
        <v>0</v>
      </c>
      <c r="BL66" s="833">
        <f>IF(BL68=0,0,(BL67*BL68+BL69*BL70*6)/BL68)</f>
        <v>0</v>
      </c>
      <c r="BM66" s="723">
        <f>IF(BK66=0,0,(BL66-BK66)/BK66*100)</f>
        <v>0</v>
      </c>
      <c r="BN66" s="833">
        <f>IF(BN68=0,0,(BN67*BN68+BN69*BN70*6)/BN68)</f>
        <v>0</v>
      </c>
      <c r="BO66" s="833">
        <f>IF(BO68=0,0,(BO67*BO68+BO69*BO70*6)/BO68)</f>
        <v>0</v>
      </c>
      <c r="BP66" s="723">
        <f>IF(BN66=0,0,(BO66-BN66)/BN66*100)</f>
        <v>0</v>
      </c>
      <c r="BQ66" s="833">
        <f>IF(BQ68=0,0,(BQ67*BQ68+BQ69*BQ70*6)/BQ68)</f>
        <v>0</v>
      </c>
      <c r="BR66" s="833">
        <f>IF(BR68=0,0,(BR67*BR68+BR69*BR70*6)/BR68)</f>
        <v>0</v>
      </c>
      <c r="BS66" s="723">
        <f>IF(BQ66=0,0,(BR66-BQ66)/BQ66*100)</f>
        <v>0</v>
      </c>
      <c r="BT66" s="833">
        <f>IF(BT68=0,0,(BT67*BT68+BT69*BT70*6)/BT68)</f>
        <v>0</v>
      </c>
      <c r="BU66" s="833">
        <f>IF(BU68=0,0,(BU67*BU68+BU69*BU70*6)/BU68)</f>
        <v>0</v>
      </c>
      <c r="BV66" s="723">
        <f>IF(BT66=0,0,(BU66-BT66)/BT66*100)</f>
        <v>0</v>
      </c>
      <c r="BW66" s="833">
        <f>IF(BW68=0,0,(BW67*BW68+BW69*BW70*6)/BW68)</f>
        <v>0</v>
      </c>
      <c r="BX66" s="833">
        <f>IF(BX68=0,0,(BX67*BX68+BX69*BX70*6)/BX68)</f>
        <v>0</v>
      </c>
      <c r="BY66" s="723">
        <f>IF(BW66=0,0,(BX66-BW66)/BW66*100)</f>
        <v>0</v>
      </c>
      <c r="BZ66" s="833">
        <f>IF(BZ68=0,0,(BZ67*BZ68+BZ69*BZ70*6)/BZ68)</f>
        <v>0</v>
      </c>
      <c r="CA66" s="833">
        <f>IF(CA68=0,0,(CA67*CA68+CA69*CA70*6)/CA68)</f>
        <v>0</v>
      </c>
      <c r="CB66" s="723">
        <f>IF(BZ66=0,0,(CA66-BZ66)/BZ66*100)</f>
        <v>0</v>
      </c>
      <c r="CC66" s="833">
        <f>IF(CC68=0,0,(CC67*CC68+CC69*CC70*6)/CC68)</f>
        <v>0</v>
      </c>
      <c r="CD66" s="833">
        <f>IF(CD68=0,0,(CD67*CD68+CD69*CD70*6)/CD68)</f>
        <v>0</v>
      </c>
      <c r="CE66" s="723">
        <f>IF(CC66=0,0,(CD66-CC66)/CC66*100)</f>
        <v>0</v>
      </c>
      <c r="CF66" s="833">
        <f>IF(CF68=0,0,(CF67*CF68+CF69*CF70*6)/CF68)</f>
        <v>0</v>
      </c>
      <c r="CG66" s="833">
        <f>IF(CG68=0,0,(CG67*CG68+CG69*CG70*6)/CG68)</f>
        <v>0</v>
      </c>
      <c r="CH66" s="723">
        <f>IF(CF66=0,0,(CG66-CF66)/CF66*100)</f>
        <v>0</v>
      </c>
      <c r="CI66" s="833">
        <f>IF(CI68=0,0,(CI67*CI68+CI69*CI70*6)/CI68)</f>
        <v>0</v>
      </c>
      <c r="CJ66" s="833">
        <f>IF(CJ68=0,0,(CJ67*CJ68+CJ69*CJ70*6)/CJ68)</f>
        <v>0</v>
      </c>
      <c r="CK66" s="723">
        <f>IF(CI66=0,0,(CJ66-CI66)/CI66*100)</f>
        <v>0</v>
      </c>
      <c r="CL66" s="833">
        <f>IF(CL68=0,0,(CL67*CL68+CL69*CL70*6)/CL68)</f>
        <v>0</v>
      </c>
      <c r="CM66" s="833">
        <f>IF(CM68=0,0,(CM67*CM68+CM69*CM70*6)/CM68)</f>
        <v>0</v>
      </c>
      <c r="CN66" s="723">
        <f>IF(CL66=0,0,(CM66-CL66)/CL66*100)</f>
        <v>0</v>
      </c>
      <c r="CO66" s="833">
        <f>IF(CO68=0,0,(CO67*CO68+CO69*CO70*6)/CO68)</f>
        <v>0</v>
      </c>
      <c r="CP66" s="833">
        <f>IF(CP68=0,0,(CP67*CP68+CP69*CP70*6)/CP68)</f>
        <v>0</v>
      </c>
      <c r="CQ66" s="723">
        <f>IF(CO66=0,0,(CP66-CO66)/CO66*100)</f>
        <v>0</v>
      </c>
      <c r="CR66" s="833">
        <f>IF(CR68=0,0,(CR67*CR68+CR69*CR70*6)/CR68)</f>
        <v>0</v>
      </c>
      <c r="CS66" s="833">
        <f>IF(CS68=0,0,(CS67*CS68+CS69*CS70*6)/CS68)</f>
        <v>0</v>
      </c>
      <c r="CT66" s="723">
        <f>IF(CR66=0,0,(CS66-CR66)/CR66*100)</f>
        <v>0</v>
      </c>
      <c r="CU66" s="833">
        <f>IF(CU68=0,0,(CU67*CU68+CU69*CU70*6)/CU68)</f>
        <v>0</v>
      </c>
      <c r="CV66" s="833">
        <f>IF(CV68=0,0,(CV67*CV68+CV69*CV70*6)/CV68)</f>
        <v>0</v>
      </c>
      <c r="CW66" s="723">
        <f>IF(CU66=0,0,(CV66-CU66)/CU66*100)</f>
        <v>0</v>
      </c>
      <c r="CX66" s="833">
        <f>IF(CX68=0,0,(CX67*CX68+CX69*CX70*6)/CX68)</f>
        <v>0</v>
      </c>
      <c r="CY66" s="833">
        <f>IF(CY68=0,0,(CY67*CY68+CY69*CY70*6)/CY68)</f>
        <v>0</v>
      </c>
      <c r="CZ66" s="723">
        <f>IF(CX66=0,0,(CY66-CX66)/CX66*100)</f>
        <v>0</v>
      </c>
      <c r="DA66" s="833">
        <f>IF(DA68=0,0,(DA67*DA68+DA69*DA70*6)/DA68)</f>
        <v>0</v>
      </c>
      <c r="DB66" s="833">
        <f>IF(DB68=0,0,(DB67*DB68+DB69*DB70*6)/DB68)</f>
        <v>0</v>
      </c>
      <c r="DC66" s="723">
        <f>IF(DA66=0,0,(DB66-DA66)/DA66*100)</f>
        <v>0</v>
      </c>
      <c r="DD66" s="833">
        <f>IF(DD68=0,0,(DD67*DD68+DD69*DD70*6)/DD68)</f>
        <v>0</v>
      </c>
      <c r="DE66" s="833">
        <f>IF(DE68=0,0,(DE67*DE68+DE69*DE70*6)/DE68)</f>
        <v>0</v>
      </c>
      <c r="DF66" s="723">
        <f>IF(DD66=0,0,(DE66-DD66)/DD66*100)</f>
        <v>0</v>
      </c>
      <c r="DG66" s="833">
        <f>IF(DG68=0,0,(DG67*DG68+DG69*DG70*6)/DG68)</f>
        <v>0</v>
      </c>
      <c r="DH66" s="833">
        <f>IF(DH68=0,0,(DH67*DH68+DH69*DH70*6)/DH68)</f>
        <v>0</v>
      </c>
      <c r="DI66" s="723">
        <f>IF(DG66=0,0,(DH66-DG66)/DG66*100)</f>
        <v>0</v>
      </c>
      <c r="DJ66" s="833">
        <f>IF(DJ68=0,0,(DJ67*DJ68+DJ69*DJ70*6)/DJ68)</f>
        <v>0</v>
      </c>
      <c r="DK66" s="833">
        <f>IF(DK68=0,0,(DK67*DK68+DK69*DK70*6)/DK68)</f>
        <v>0</v>
      </c>
      <c r="DL66" s="723">
        <f>IF(DJ66=0,0,(DK66-DJ66)/DJ66*100)</f>
        <v>0</v>
      </c>
      <c r="DM66" s="833">
        <f>IF(DM68=0,0,(DM67*DM68+DM69*DM70*6)/DM68)</f>
        <v>0</v>
      </c>
      <c r="DN66" s="833">
        <f>IF(DN68=0,0,(DN67*DN68+DN69*DN70*6)/DN68)</f>
        <v>0</v>
      </c>
      <c r="DO66" s="723">
        <f>IF(DM66=0,0,(DN66-DM66)/DM66*100)</f>
        <v>0</v>
      </c>
      <c r="DP66" s="833">
        <f>IF(DP68=0,0,(DP67*DP68+DP69*DP70*6)/DP68)</f>
        <v>0</v>
      </c>
      <c r="DQ66" s="833">
        <f>IF(DQ68=0,0,(DQ67*DQ68+DQ69*DQ70*6)/DQ68)</f>
        <v>0</v>
      </c>
      <c r="DR66" s="723">
        <f>IF(DP66=0,0,(DQ66-DP66)/DP66*100)</f>
        <v>0</v>
      </c>
      <c r="DS66" s="833">
        <f>IF(DS68=0,0,(DS67*DS68+DS69*DS70*6)/DS68)</f>
        <v>0</v>
      </c>
      <c r="DT66" s="833">
        <f>IF(DT68=0,0,(DT67*DT68+DT69*DT70*6)/DT68)</f>
        <v>0</v>
      </c>
      <c r="DU66" s="723">
        <f>IF(DS66=0,0,(DT66-DS66)/DS66*100)</f>
        <v>0</v>
      </c>
      <c r="DV66" s="833">
        <f>IF(DV68=0,0,(DV67*DV68+DV69*DV70*6)/DV68)</f>
        <v>0</v>
      </c>
      <c r="DW66" s="833">
        <f>IF(DW68=0,0,(DW67*DW68+DW69*DW70*6)/DW68)</f>
        <v>0</v>
      </c>
      <c r="DX66" s="723">
        <f>IF(DV66=0,0,(DW66-DV66)/DV66*100)</f>
        <v>0</v>
      </c>
      <c r="DY66" s="833">
        <f>IF(DY68=0,0,(DY67*DY68+DY69*DY70*6)/DY68)</f>
        <v>0</v>
      </c>
      <c r="DZ66" s="833">
        <f>IF(DZ68=0,0,(DZ67*DZ68+DZ69*DZ70*6)/DZ68)</f>
        <v>0</v>
      </c>
      <c r="EA66" s="723">
        <f>IF(DY66=0,0,(DZ66-DY66)/DY66*100)</f>
        <v>0</v>
      </c>
      <c r="EB66" s="833">
        <f>IF(EB68=0,0,(EB67*EB68+EB69*EB70*6)/EB68)</f>
        <v>0</v>
      </c>
      <c r="EC66" s="833">
        <f>IF(EC68=0,0,(EC67*EC68+EC69*EC70*6)/EC68)</f>
        <v>0</v>
      </c>
      <c r="ED66" s="723">
        <f>IF(EB66=0,0,(EC66-EB66)/EB66*100)</f>
        <v>0</v>
      </c>
      <c r="EE66" s="833">
        <f>IF(EE68=0,0,(EE67*EE68+EE69*EE70*6)/EE68)</f>
        <v>0</v>
      </c>
      <c r="EF66" s="833">
        <f>IF(EF68=0,0,(EF67*EF68+EF69*EF70*6)/EF68)</f>
        <v>0</v>
      </c>
      <c r="EG66" s="723">
        <f>IF(EE66=0,0,(EF66-EE66)/EE66*100)</f>
        <v>0</v>
      </c>
      <c r="EH66" s="833">
        <f>IF(EH68=0,0,(EH67*EH68+EH69*EH70*6)/EH68)</f>
        <v>0</v>
      </c>
      <c r="EI66" s="833">
        <f>IF(EI68=0,0,(EI67*EI68+EI69*EI70*6)/EI68)</f>
        <v>0</v>
      </c>
      <c r="EJ66" s="723">
        <f>IF(EH66=0,0,(EI66-EH66)/EH66*100)</f>
        <v>0</v>
      </c>
      <c r="EK66" s="833">
        <f>IF(EK68=0,0,(EK67*EK68+EK69*EK70*6)/EK68)</f>
        <v>0</v>
      </c>
      <c r="EL66" s="833">
        <f>IF(EL68=0,0,(EL67*EL68+EL69*EL70*6)/EL68)</f>
        <v>0</v>
      </c>
      <c r="EM66" s="723">
        <f>IF(EK66=0,0,(EL66-EK66)/EK66*100)</f>
        <v>0</v>
      </c>
      <c r="EN66" s="833">
        <f>IF(EN68=0,0,(EN67*EN68+EN69*EN70*6)/EN68)</f>
        <v>0</v>
      </c>
      <c r="EO66" s="833">
        <f>IF(EO68=0,0,(EO67*EO68+EO69*EO70*6)/EO68)</f>
        <v>0</v>
      </c>
      <c r="EP66" s="723">
        <f>IF(EN66=0,0,(EO66-EN66)/EN66*100)</f>
        <v>0</v>
      </c>
      <c r="EQ66" s="833">
        <f>IF(EQ68=0,0,(EQ67*EQ68+EQ69*EQ70*6)/EQ68)</f>
        <v>0</v>
      </c>
      <c r="ER66" s="833">
        <f>IF(ER68=0,0,(ER67*ER68+ER69*ER70*6)/ER68)</f>
        <v>0</v>
      </c>
      <c r="ES66" s="723">
        <f>IF(EQ66=0,0,(ER66-EQ66)/EQ66*100)</f>
        <v>0</v>
      </c>
      <c r="ET66" s="833">
        <f>IF(ET68=0,0,(ET67*ET68+ET69*ET70*6)/ET68)</f>
        <v>0</v>
      </c>
      <c r="EU66" s="833">
        <f>IF(EU68=0,0,(EU67*EU68+EU69*EU70*6)/EU68)</f>
        <v>0</v>
      </c>
      <c r="EV66" s="723">
        <f>IF(ET66=0,0,(EU66-ET66)/ET66*100)</f>
        <v>0</v>
      </c>
      <c r="EW66" s="833">
        <f>IF(EW68=0,0,(EW67*EW68+EW69*EW70*6)/EW68)</f>
        <v>0</v>
      </c>
      <c r="EX66" s="833">
        <f>IF(EX68=0,0,(EX67*EX68+EX69*EX70*6)/EX68)</f>
        <v>0</v>
      </c>
      <c r="EY66" s="723">
        <f>IF(EW66=0,0,(EX66-EW66)/EW66*100)</f>
        <v>0</v>
      </c>
      <c r="EZ66" s="833">
        <f>IF(EZ68=0,0,(EZ67*EZ68+EZ69*EZ70*6)/EZ68)</f>
        <v>0</v>
      </c>
      <c r="FA66" s="833">
        <f>IF(FA68=0,0,(FA67*FA68+FA69*FA70*6)/FA68)</f>
        <v>0</v>
      </c>
      <c r="FB66" s="723">
        <f>IF(EZ66=0,0,(FA66-EZ66)/EZ66*100)</f>
        <v>0</v>
      </c>
      <c r="FC66" s="833">
        <f>IF(FC68=0,0,(FC67*FC68+FC69*FC70*6)/FC68)</f>
        <v>0</v>
      </c>
      <c r="FD66" s="833">
        <f>IF(FD68=0,0,(FD67*FD68+FD69*FD70*6)/FD68)</f>
        <v>0</v>
      </c>
      <c r="FE66" s="723">
        <f>IF(FC66=0,0,(FD66-FC66)/FC66*100)</f>
        <v>0</v>
      </c>
      <c r="FF66" s="833">
        <f>IF(FF68=0,0,(FF67*FF68+FF69*FF70*6)/FF68)</f>
        <v>0</v>
      </c>
      <c r="FG66" s="833">
        <f>IF(FG68=0,0,(FG67*FG68+FG69*FG70*6)/FG68)</f>
        <v>0</v>
      </c>
      <c r="FH66" s="723">
        <f>IF(FF66=0,0,(FG66-FF66)/FF66*100)</f>
        <v>0</v>
      </c>
      <c r="FI66" s="833">
        <f>IF(FI68=0,0,(FI67*FI68+FI69*FI70*6)/FI68)</f>
        <v>0</v>
      </c>
      <c r="FJ66" s="833">
        <f>IF(FJ68=0,0,(FJ67*FJ68+FJ69*FJ70*6)/FJ68)</f>
        <v>0</v>
      </c>
      <c r="FK66" s="723">
        <f>IF(FI66=0,0,(FJ66-FI66)/FI66*100)</f>
        <v>0</v>
      </c>
      <c r="FL66" s="833">
        <f>IF(FL68=0,0,(FL67*FL68+FL69*FL70*6)/FL68)</f>
        <v>0</v>
      </c>
      <c r="FM66" s="833">
        <f>IF(FM68=0,0,(FM67*FM68+FM69*FM70*6)/FM68)</f>
        <v>0</v>
      </c>
      <c r="FN66" s="723">
        <f>IF(FL66=0,0,(FM66-FL66)/FL66*100)</f>
        <v>0</v>
      </c>
      <c r="FO66" s="833">
        <f>IF(FO68=0,0,(FO67*FO68+FO69*FO70*6)/FO68)</f>
        <v>0</v>
      </c>
      <c r="FP66" s="833">
        <f>IF(FP68=0,0,(FP67*FP68+FP69*FP70*6)/FP68)</f>
        <v>0</v>
      </c>
      <c r="FQ66" s="723">
        <f>IF(FO66=0,0,(FP66-FO66)/FO66*100)</f>
        <v>0</v>
      </c>
      <c r="FR66" s="833">
        <f>IF(FR68=0,0,(FR67*FR68+FR69*FR70*6)/FR68)</f>
        <v>0</v>
      </c>
      <c r="FS66" s="833">
        <f>IF(FS68=0,0,(FS67*FS68+FS69*FS70*6)/FS68)</f>
        <v>0</v>
      </c>
      <c r="FT66" s="723">
        <f>IF(FR66=0,0,(FS66-FR66)/FR66*100)</f>
        <v>0</v>
      </c>
      <c r="FU66" s="833">
        <f>IF(FU68=0,0,(FU67*FU68+FU69*FU70*6)/FU68)</f>
        <v>0</v>
      </c>
      <c r="FV66" s="833">
        <f>IF(FV68=0,0,(FV67*FV68+FV69*FV70*6)/FV68)</f>
        <v>0</v>
      </c>
      <c r="FW66" s="723">
        <f>IF(FU66=0,0,(FV66-FU66)/FU66*100)</f>
        <v>0</v>
      </c>
      <c r="FZ66" s="700" t="s">
        <v>1685</v>
      </c>
    </row>
    <row r="67" spans="1:186" ht="14.65" hidden="1" customHeight="1">
      <c r="A67" s="78"/>
      <c r="B67" s="622" t="b" cm="1">
        <f t="array" ref="B67">B66</f>
        <v>0</v>
      </c>
      <c r="C67" s="78"/>
      <c r="D67" s="78"/>
      <c r="E67" s="473">
        <v>15</v>
      </c>
      <c r="F67" s="3" cm="1">
        <f t="array" aca="1" ref="F67" ca="1">OFFSET(E67,-1,1)</f>
        <v>0</v>
      </c>
      <c r="G67" s="78"/>
      <c r="H67" s="78" t="s">
        <v>1566</v>
      </c>
      <c r="I67" s="78" t="s">
        <v>1641</v>
      </c>
      <c r="J67" s="78"/>
      <c r="K67" s="78"/>
      <c r="L67" s="78"/>
      <c r="M67" s="78"/>
      <c r="N67" s="78"/>
      <c r="O67" s="78"/>
      <c r="P67" s="78"/>
      <c r="Q67" s="78"/>
      <c r="R67" s="78"/>
      <c r="S67" s="78"/>
      <c r="T67" s="365" t="b" cm="1">
        <f t="array" aca="1" ref="T67" ca="1">T66</f>
        <v>0</v>
      </c>
      <c r="U67" s="78"/>
      <c r="V67" s="78"/>
      <c r="W67" s="78"/>
      <c r="X67" s="1094"/>
      <c r="Y67" s="78"/>
      <c r="Z67" s="1064"/>
      <c r="AA67" s="78"/>
      <c r="AB67" s="124" t="str">
        <f>"ставка платы за "&amp;IF(Q29="Водоснабжение","потребление 1 куб.м холодной воды","объем принятых сточных вод")</f>
        <v>ставка платы за объем принятых сточных вод</v>
      </c>
      <c r="AC67" s="31" t="s">
        <v>1624</v>
      </c>
      <c r="AD67" s="833"/>
      <c r="AE67" s="833"/>
      <c r="AF67" s="723">
        <f>IF(AD67=0,0,(AE67-AD67)/AD67*100)</f>
        <v>0</v>
      </c>
      <c r="AG67" s="833"/>
      <c r="AH67" s="833"/>
      <c r="AI67" s="723">
        <f>IF(AG67=0,0,(AH67-AG67)/AG67*100)</f>
        <v>0</v>
      </c>
      <c r="AJ67" s="833"/>
      <c r="AK67" s="833"/>
      <c r="AL67" s="723">
        <f>IF(AJ67=0,0,(AK67-AJ67)/AJ67*100)</f>
        <v>0</v>
      </c>
      <c r="AM67" s="833"/>
      <c r="AN67" s="833"/>
      <c r="AO67" s="723">
        <f>IF(AM67=0,0,(AN67-AM67)/AM67*100)</f>
        <v>0</v>
      </c>
      <c r="AP67" s="833"/>
      <c r="AQ67" s="833"/>
      <c r="AR67" s="723">
        <f>IF(AP67=0,0,(AQ67-AP67)/AP67*100)</f>
        <v>0</v>
      </c>
      <c r="AS67" s="833"/>
      <c r="AT67" s="833"/>
      <c r="AU67" s="723">
        <f>IF(AS67=0,0,(AT67-AS67)/AS67*100)</f>
        <v>0</v>
      </c>
      <c r="AV67" s="833"/>
      <c r="AW67" s="833"/>
      <c r="AX67" s="723">
        <f>IF(AV67=0,0,(AW67-AV67)/AV67*100)</f>
        <v>0</v>
      </c>
      <c r="AY67" s="833"/>
      <c r="AZ67" s="833"/>
      <c r="BA67" s="723">
        <f>IF(AY67=0,0,(AZ67-AY67)/AY67*100)</f>
        <v>0</v>
      </c>
      <c r="BB67" s="833"/>
      <c r="BC67" s="833"/>
      <c r="BD67" s="723">
        <f>IF(BB67=0,0,(BC67-BB67)/BB67*100)</f>
        <v>0</v>
      </c>
      <c r="BE67" s="833"/>
      <c r="BF67" s="833"/>
      <c r="BG67" s="723">
        <f>IF(BE67=0,0,(BF67-BE67)/BE67*100)</f>
        <v>0</v>
      </c>
      <c r="BH67" s="833"/>
      <c r="BI67" s="833"/>
      <c r="BJ67" s="723">
        <f>IF(BH67=0,0,(BI67-BH67)/BH67*100)</f>
        <v>0</v>
      </c>
      <c r="BK67" s="833"/>
      <c r="BL67" s="833"/>
      <c r="BM67" s="723">
        <f>IF(BK67=0,0,(BL67-BK67)/BK67*100)</f>
        <v>0</v>
      </c>
      <c r="BN67" s="833"/>
      <c r="BO67" s="833"/>
      <c r="BP67" s="723">
        <f>IF(BN67=0,0,(BO67-BN67)/BN67*100)</f>
        <v>0</v>
      </c>
      <c r="BQ67" s="833"/>
      <c r="BR67" s="833"/>
      <c r="BS67" s="723">
        <f>IF(BQ67=0,0,(BR67-BQ67)/BQ67*100)</f>
        <v>0</v>
      </c>
      <c r="BT67" s="833"/>
      <c r="BU67" s="833"/>
      <c r="BV67" s="723">
        <f>IF(BT67=0,0,(BU67-BT67)/BT67*100)</f>
        <v>0</v>
      </c>
      <c r="BW67" s="833"/>
      <c r="BX67" s="833"/>
      <c r="BY67" s="723">
        <f>IF(BW67=0,0,(BX67-BW67)/BW67*100)</f>
        <v>0</v>
      </c>
      <c r="BZ67" s="833"/>
      <c r="CA67" s="833"/>
      <c r="CB67" s="723">
        <f>IF(BZ67=0,0,(CA67-BZ67)/BZ67*100)</f>
        <v>0</v>
      </c>
      <c r="CC67" s="833"/>
      <c r="CD67" s="833"/>
      <c r="CE67" s="723">
        <f>IF(CC67=0,0,(CD67-CC67)/CC67*100)</f>
        <v>0</v>
      </c>
      <c r="CF67" s="833"/>
      <c r="CG67" s="833"/>
      <c r="CH67" s="723">
        <f>IF(CF67=0,0,(CG67-CF67)/CF67*100)</f>
        <v>0</v>
      </c>
      <c r="CI67" s="833"/>
      <c r="CJ67" s="833"/>
      <c r="CK67" s="723">
        <f>IF(CI67=0,0,(CJ67-CI67)/CI67*100)</f>
        <v>0</v>
      </c>
      <c r="CL67" s="833"/>
      <c r="CM67" s="833"/>
      <c r="CN67" s="723">
        <f>IF(CL67=0,0,(CM67-CL67)/CL67*100)</f>
        <v>0</v>
      </c>
      <c r="CO67" s="833"/>
      <c r="CP67" s="833"/>
      <c r="CQ67" s="723">
        <f>IF(CO67=0,0,(CP67-CO67)/CO67*100)</f>
        <v>0</v>
      </c>
      <c r="CR67" s="833"/>
      <c r="CS67" s="833"/>
      <c r="CT67" s="723">
        <f>IF(CR67=0,0,(CS67-CR67)/CR67*100)</f>
        <v>0</v>
      </c>
      <c r="CU67" s="833"/>
      <c r="CV67" s="833"/>
      <c r="CW67" s="723">
        <f>IF(CU67=0,0,(CV67-CU67)/CU67*100)</f>
        <v>0</v>
      </c>
      <c r="CX67" s="833"/>
      <c r="CY67" s="833"/>
      <c r="CZ67" s="723">
        <f>IF(CX67=0,0,(CY67-CX67)/CX67*100)</f>
        <v>0</v>
      </c>
      <c r="DA67" s="833"/>
      <c r="DB67" s="833"/>
      <c r="DC67" s="723">
        <f>IF(DA67=0,0,(DB67-DA67)/DA67*100)</f>
        <v>0</v>
      </c>
      <c r="DD67" s="833"/>
      <c r="DE67" s="833"/>
      <c r="DF67" s="723">
        <f>IF(DD67=0,0,(DE67-DD67)/DD67*100)</f>
        <v>0</v>
      </c>
      <c r="DG67" s="833"/>
      <c r="DH67" s="833"/>
      <c r="DI67" s="723">
        <f>IF(DG67=0,0,(DH67-DG67)/DG67*100)</f>
        <v>0</v>
      </c>
      <c r="DJ67" s="833"/>
      <c r="DK67" s="833"/>
      <c r="DL67" s="723">
        <f>IF(DJ67=0,0,(DK67-DJ67)/DJ67*100)</f>
        <v>0</v>
      </c>
      <c r="DM67" s="833"/>
      <c r="DN67" s="833"/>
      <c r="DO67" s="723">
        <f>IF(DM67=0,0,(DN67-DM67)/DM67*100)</f>
        <v>0</v>
      </c>
      <c r="DP67" s="833"/>
      <c r="DQ67" s="833"/>
      <c r="DR67" s="723">
        <f>IF(DP67=0,0,(DQ67-DP67)/DP67*100)</f>
        <v>0</v>
      </c>
      <c r="DS67" s="833"/>
      <c r="DT67" s="833"/>
      <c r="DU67" s="723">
        <f>IF(DS67=0,0,(DT67-DS67)/DS67*100)</f>
        <v>0</v>
      </c>
      <c r="DV67" s="833"/>
      <c r="DW67" s="833"/>
      <c r="DX67" s="723">
        <f>IF(DV67=0,0,(DW67-DV67)/DV67*100)</f>
        <v>0</v>
      </c>
      <c r="DY67" s="833"/>
      <c r="DZ67" s="833"/>
      <c r="EA67" s="723">
        <f>IF(DY67=0,0,(DZ67-DY67)/DY67*100)</f>
        <v>0</v>
      </c>
      <c r="EB67" s="833"/>
      <c r="EC67" s="833"/>
      <c r="ED67" s="723">
        <f>IF(EB67=0,0,(EC67-EB67)/EB67*100)</f>
        <v>0</v>
      </c>
      <c r="EE67" s="833"/>
      <c r="EF67" s="833"/>
      <c r="EG67" s="723">
        <f>IF(EE67=0,0,(EF67-EE67)/EE67*100)</f>
        <v>0</v>
      </c>
      <c r="EH67" s="833"/>
      <c r="EI67" s="833"/>
      <c r="EJ67" s="723">
        <f>IF(EH67=0,0,(EI67-EH67)/EH67*100)</f>
        <v>0</v>
      </c>
      <c r="EK67" s="833"/>
      <c r="EL67" s="833"/>
      <c r="EM67" s="723">
        <f>IF(EK67=0,0,(EL67-EK67)/EK67*100)</f>
        <v>0</v>
      </c>
      <c r="EN67" s="833"/>
      <c r="EO67" s="833"/>
      <c r="EP67" s="723">
        <f>IF(EN67=0,0,(EO67-EN67)/EN67*100)</f>
        <v>0</v>
      </c>
      <c r="EQ67" s="833"/>
      <c r="ER67" s="833"/>
      <c r="ES67" s="723">
        <f>IF(EQ67=0,0,(ER67-EQ67)/EQ67*100)</f>
        <v>0</v>
      </c>
      <c r="ET67" s="833"/>
      <c r="EU67" s="833"/>
      <c r="EV67" s="723">
        <f>IF(ET67=0,0,(EU67-ET67)/ET67*100)</f>
        <v>0</v>
      </c>
      <c r="EW67" s="833"/>
      <c r="EX67" s="833"/>
      <c r="EY67" s="723">
        <f>IF(EW67=0,0,(EX67-EW67)/EW67*100)</f>
        <v>0</v>
      </c>
      <c r="EZ67" s="833"/>
      <c r="FA67" s="833"/>
      <c r="FB67" s="723">
        <f>IF(EZ67=0,0,(FA67-EZ67)/EZ67*100)</f>
        <v>0</v>
      </c>
      <c r="FC67" s="833"/>
      <c r="FD67" s="833"/>
      <c r="FE67" s="723">
        <f>IF(FC67=0,0,(FD67-FC67)/FC67*100)</f>
        <v>0</v>
      </c>
      <c r="FF67" s="833"/>
      <c r="FG67" s="833"/>
      <c r="FH67" s="723">
        <f>IF(FF67=0,0,(FG67-FF67)/FF67*100)</f>
        <v>0</v>
      </c>
      <c r="FI67" s="833"/>
      <c r="FJ67" s="833"/>
      <c r="FK67" s="723">
        <f>IF(FI67=0,0,(FJ67-FI67)/FI67*100)</f>
        <v>0</v>
      </c>
      <c r="FL67" s="833"/>
      <c r="FM67" s="833"/>
      <c r="FN67" s="723">
        <f>IF(FL67=0,0,(FM67-FL67)/FL67*100)</f>
        <v>0</v>
      </c>
      <c r="FO67" s="833"/>
      <c r="FP67" s="833"/>
      <c r="FQ67" s="723">
        <f>IF(FO67=0,0,(FP67-FO67)/FO67*100)</f>
        <v>0</v>
      </c>
      <c r="FR67" s="833"/>
      <c r="FS67" s="833"/>
      <c r="FT67" s="723">
        <f>IF(FR67=0,0,(FS67-FR67)/FR67*100)</f>
        <v>0</v>
      </c>
      <c r="FU67" s="833"/>
      <c r="FV67" s="833"/>
      <c r="FW67" s="723">
        <f>IF(FU67=0,0,(FV67-FU67)/FU67*100)</f>
        <v>0</v>
      </c>
      <c r="FZ67" s="700" t="s">
        <v>1686</v>
      </c>
    </row>
    <row r="68" spans="1:186" ht="14.65" hidden="1" customHeight="1">
      <c r="A68" s="78"/>
      <c r="B68" s="622" t="b" cm="1">
        <f t="array" ref="B68">B67</f>
        <v>0</v>
      </c>
      <c r="C68" s="78"/>
      <c r="D68" s="78"/>
      <c r="E68" s="473">
        <v>15</v>
      </c>
      <c r="F68" s="3" cm="1">
        <f t="array" aca="1" ref="F68" ca="1">OFFSET(E68,-1,1)</f>
        <v>0</v>
      </c>
      <c r="G68" s="44" t="s">
        <v>1687</v>
      </c>
      <c r="H68" s="78" t="s">
        <v>1661</v>
      </c>
      <c r="I68" s="78" t="s">
        <v>1641</v>
      </c>
      <c r="J68" s="78"/>
      <c r="K68" s="78"/>
      <c r="L68" s="78"/>
      <c r="M68" s="78"/>
      <c r="N68" s="78"/>
      <c r="O68" s="78"/>
      <c r="P68" s="78"/>
      <c r="Q68" s="78"/>
      <c r="R68" s="78"/>
      <c r="S68" s="78"/>
      <c r="T68" s="365" t="b" cm="1">
        <f t="array" aca="1" ref="T68" ca="1">T67</f>
        <v>0</v>
      </c>
      <c r="U68" s="78"/>
      <c r="V68" s="78"/>
      <c r="W68" s="78"/>
      <c r="X68" s="1094"/>
      <c r="Y68" s="78"/>
      <c r="Z68" s="1064"/>
      <c r="AA68" s="78"/>
      <c r="AB68" s="124" t="str">
        <f>"объём "&amp;IF(Q29="Водоснабжение","потребления холодной воды","водоотведения")</f>
        <v>объём водоотведения</v>
      </c>
      <c r="AC68" s="31" t="s">
        <v>534</v>
      </c>
      <c r="AD68" s="849">
        <f ca="1">IF(AND(method_reg="Метод индексации",god&lt;&gt;first_year),SUMIFS(INDEX('Калькуляция (МИ корр)'!$AJ$25:$BC$459,,MATCH(AD$8,'Калькуляция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(МИ)'!$AJ$25:$BC$459,,MATCH(AD$8,'Калькуляция (МИ)'!$AJ$8:$BC$8,0)),'Калькуляция (МИ)'!$F$25:$F$459,$F68,'Калькуляция (МИ)'!$G$25:$G$459,$G68))))</f>
        <v>0</v>
      </c>
      <c r="AE68" s="849">
        <f ca="1">IF(AND(method_reg="Метод индексации",god&lt;&gt;first_year),SUMIFS(INDEX('Калькуляция (МИ корр)'!$AJ$25:$BC$459,,MATCH(AE$8,'Калькуляция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(МИ)'!$AJ$25:$BC$459,,MATCH(AE$8,'Калькуляция (МИ)'!$AJ$8:$BC$8,0)),'Калькуляция (МИ)'!$F$25:$F$459,$F68,'Калькуляция (МИ)'!$G$25:$G$459,$G68))))</f>
        <v>0</v>
      </c>
      <c r="AF68" s="724">
        <f ca="1">IF(AD68=0,0,(AE68-AD68)/AD68*100)</f>
        <v>0</v>
      </c>
      <c r="AG68" s="849">
        <f ca="1">IF(AND(method_reg="Метод индексации",god&lt;&gt;first_year),SUMIFS(INDEX('Калькуляция (МИ корр)'!$AJ$25:$BC$459,,MATCH(AG$8,'Калькуляция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(МИ)'!$AJ$25:$BC$459,,MATCH(AG$8,'Калькуляция (МИ)'!$AJ$8:$BC$8,0)),'Калькуляция (МИ)'!$F$25:$F$459,$F68,'Калькуляция (МИ)'!$G$25:$G$459,$G68))))</f>
        <v>0</v>
      </c>
      <c r="AH68" s="849">
        <f ca="1">IF(AND(method_reg="Метод индексации",god&lt;&gt;first_year),SUMIFS(INDEX('Калькуляция (МИ корр)'!$AJ$25:$BC$459,,MATCH(AH$8,'Калькуляция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(МИ)'!$AJ$25:$BC$459,,MATCH(AH$8,'Калькуляция (МИ)'!$AJ$8:$BC$8,0)),'Калькуляция (МИ)'!$F$25:$F$459,$F68,'Калькуляция (МИ)'!$G$25:$G$459,$G68))))</f>
        <v>0</v>
      </c>
      <c r="AI68" s="724">
        <f ca="1">IF(AG68=0,0,(AH68-AG68)/AG68*100)</f>
        <v>0</v>
      </c>
      <c r="AJ68" s="849">
        <f ca="1">IF(AND(method_reg="Метод индексации",god&lt;&gt;first_year),SUMIFS(INDEX('Калькуляция (МИ корр)'!$AJ$25:$BC$459,,MATCH(AJ$8,'Калькуляция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(МИ)'!$AJ$25:$BC$459,,MATCH(AJ$8,'Калькуляция (МИ)'!$AJ$8:$BC$8,0)),'Калькуляция (МИ)'!$F$25:$F$459,$F68,'Калькуляция (МИ)'!$G$25:$G$459,$G68))))</f>
        <v>0</v>
      </c>
      <c r="AK68" s="849">
        <f ca="1">IF(AND(method_reg="Метод индексации",god&lt;&gt;first_year),SUMIFS(INDEX('Калькуляция (МИ корр)'!$AJ$25:$BC$459,,MATCH(AK$8,'Калькуляция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(МИ)'!$AJ$25:$BC$459,,MATCH(AK$8,'Калькуляция (МИ)'!$AJ$8:$BC$8,0)),'Калькуляция (МИ)'!$F$25:$F$459,$F68,'Калькуляция (МИ)'!$G$25:$G$459,$G68))))</f>
        <v>0</v>
      </c>
      <c r="AL68" s="724">
        <f ca="1">IF(AJ68=0,0,(AK68-AJ68)/AJ68*100)</f>
        <v>0</v>
      </c>
      <c r="AM68" s="849">
        <f ca="1">IF(AND(method_reg="Метод индексации",god&lt;&gt;first_year),SUMIFS(INDEX('Калькуляция (МИ корр)'!$AJ$25:$BC$459,,MATCH(AM$8,'Калькуляция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(МИ)'!$AJ$25:$BC$459,,MATCH(AM$8,'Калькуляция (МИ)'!$AJ$8:$BC$8,0)),'Калькуляция (МИ)'!$F$25:$F$459,$F68,'Калькуляция (МИ)'!$G$25:$G$459,$G68))))</f>
        <v>0</v>
      </c>
      <c r="AN68" s="849">
        <f ca="1">IF(AND(method_reg="Метод индексации",god&lt;&gt;first_year),SUMIFS(INDEX('Калькуляция (МИ корр)'!$AJ$25:$BC$459,,MATCH(AN$8,'Калькуляция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(МИ)'!$AJ$25:$BC$459,,MATCH(AN$8,'Калькуляция (МИ)'!$AJ$8:$BC$8,0)),'Калькуляция (МИ)'!$F$25:$F$459,$F68,'Калькуляция (МИ)'!$G$25:$G$459,$G68))))</f>
        <v>0</v>
      </c>
      <c r="AO68" s="724">
        <f ca="1">IF(AM68=0,0,(AN68-AM68)/AM68*100)</f>
        <v>0</v>
      </c>
      <c r="AP68" s="849">
        <f ca="1">IF(AND(method_reg="Метод индексации",god&lt;&gt;first_year),SUMIFS(INDEX('Калькуляция (МИ корр)'!$AJ$25:$BC$459,,MATCH(AP$8,'Калькуляция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(МИ)'!$AJ$25:$BC$459,,MATCH(AP$8,'Калькуляция (МИ)'!$AJ$8:$BC$8,0)),'Калькуляция (МИ)'!$F$25:$F$459,$F68,'Калькуляция (МИ)'!$G$25:$G$459,$G68))))</f>
        <v>0</v>
      </c>
      <c r="AQ68" s="849">
        <f ca="1">IF(AND(method_reg="Метод индексации",god&lt;&gt;first_year),SUMIFS(INDEX('Калькуляция (МИ корр)'!$AJ$25:$BC$459,,MATCH(AQ$8,'Калькуляция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(МИ)'!$AJ$25:$BC$459,,MATCH(AQ$8,'Калькуляция (МИ)'!$AJ$8:$BC$8,0)),'Калькуляция (МИ)'!$F$25:$F$459,$F68,'Калькуляция (МИ)'!$G$25:$G$459,$G68))))</f>
        <v>0</v>
      </c>
      <c r="AR68" s="724">
        <f ca="1">IF(AP68=0,0,(AQ68-AP68)/AP68*100)</f>
        <v>0</v>
      </c>
      <c r="AS68" s="849">
        <f ca="1">IF(AND(method_reg="Метод индексации",god&lt;&gt;first_year),SUMIFS(INDEX('Калькуляция (МИ корр)'!$AJ$25:$BC$459,,MATCH(AS$8,'Калькуляция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(МИ)'!$AJ$25:$BC$459,,MATCH(AS$8,'Калькуляция (МИ)'!$AJ$8:$BC$8,0)),'Калькуляция (МИ)'!$F$25:$F$459,$F68,'Калькуляция (МИ)'!$G$25:$G$459,$G68))))</f>
        <v>0</v>
      </c>
      <c r="AT68" s="849">
        <f ca="1">IF(AND(method_reg="Метод индексации",god&lt;&gt;first_year),SUMIFS(INDEX('Калькуляция (МИ корр)'!$AJ$25:$BC$459,,MATCH(AT$8,'Калькуляция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(МИ)'!$AJ$25:$BC$459,,MATCH(AT$8,'Калькуляция (МИ)'!$AJ$8:$BC$8,0)),'Калькуляция (МИ)'!$F$25:$F$459,$F68,'Калькуляция (МИ)'!$G$25:$G$459,$G68))))</f>
        <v>0</v>
      </c>
      <c r="AU68" s="724">
        <f ca="1">IF(AS68=0,0,(AT68-AS68)/AS68*100)</f>
        <v>0</v>
      </c>
      <c r="AV68" s="849">
        <f ca="1">IF(AND(method_reg="Метод индексации",god&lt;&gt;first_year),SUMIFS(INDEX('Калькуляция (МИ корр)'!$AJ$25:$BC$459,,MATCH(AV$8,'Калькуляция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(МИ)'!$AJ$25:$BC$459,,MATCH(AV$8,'Калькуляция (МИ)'!$AJ$8:$BC$8,0)),'Калькуляция (МИ)'!$F$25:$F$459,$F68,'Калькуляция (МИ)'!$G$25:$G$459,$G68))))</f>
        <v>0</v>
      </c>
      <c r="AW68" s="849">
        <f ca="1">IF(AND(method_reg="Метод индексации",god&lt;&gt;first_year),SUMIFS(INDEX('Калькуляция (МИ корр)'!$AJ$25:$BC$459,,MATCH(AW$8,'Калькуляция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(МИ)'!$AJ$25:$BC$459,,MATCH(AW$8,'Калькуляция (МИ)'!$AJ$8:$BC$8,0)),'Калькуляция (МИ)'!$F$25:$F$459,$F68,'Калькуляция (МИ)'!$G$25:$G$459,$G68))))</f>
        <v>0</v>
      </c>
      <c r="AX68" s="724">
        <f ca="1">IF(AV68=0,0,(AW68-AV68)/AV68*100)</f>
        <v>0</v>
      </c>
      <c r="AY68" s="849">
        <f ca="1">IF(AND(method_reg="Метод индексации",god&lt;&gt;first_year),SUMIFS(INDEX('Калькуляция (МИ корр)'!$AJ$25:$BC$459,,MATCH(AY$8,'Калькуляция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(МИ)'!$AJ$25:$BC$459,,MATCH(AY$8,'Калькуляция (МИ)'!$AJ$8:$BC$8,0)),'Калькуляция (МИ)'!$F$25:$F$459,$F68,'Калькуляция (МИ)'!$G$25:$G$459,$G68))))</f>
        <v>0</v>
      </c>
      <c r="AZ68" s="849">
        <f ca="1">IF(AND(method_reg="Метод индексации",god&lt;&gt;first_year),SUMIFS(INDEX('Калькуляция (МИ корр)'!$AJ$25:$BC$459,,MATCH(AZ$8,'Калькуляция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(МИ)'!$AJ$25:$BC$459,,MATCH(AZ$8,'Калькуляция (МИ)'!$AJ$8:$BC$8,0)),'Калькуляция (МИ)'!$F$25:$F$459,$F68,'Калькуляция (МИ)'!$G$25:$G$459,$G68))))</f>
        <v>0</v>
      </c>
      <c r="BA68" s="724">
        <f ca="1">IF(AY68=0,0,(AZ68-AY68)/AY68*100)</f>
        <v>0</v>
      </c>
      <c r="BB68" s="849">
        <f ca="1">IF(AND(method_reg="Метод индексации",god&lt;&gt;first_year),SUMIFS(INDEX('Калькуляция (МИ корр)'!$AJ$25:$BC$459,,MATCH(BB$8,'Калькуляция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(МИ)'!$AJ$25:$BC$459,,MATCH(BB$8,'Калькуляция (МИ)'!$AJ$8:$BC$8,0)),'Калькуляция (МИ)'!$F$25:$F$459,$F68,'Калькуляция (МИ)'!$G$25:$G$459,$G68))))</f>
        <v>0</v>
      </c>
      <c r="BC68" s="849">
        <f ca="1">IF(AND(method_reg="Метод индексации",god&lt;&gt;first_year),SUMIFS(INDEX('Калькуляция (МИ корр)'!$AJ$25:$BC$459,,MATCH(BC$8,'Калькуляция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(МИ)'!$AJ$25:$BC$459,,MATCH(BC$8,'Калькуляция (МИ)'!$AJ$8:$BC$8,0)),'Калькуляция (МИ)'!$F$25:$F$459,$F68,'Калькуляция (МИ)'!$G$25:$G$459,$G68))))</f>
        <v>0</v>
      </c>
      <c r="BD68" s="724">
        <f ca="1">IF(BB68=0,0,(BC68-BB68)/BB68*100)</f>
        <v>0</v>
      </c>
      <c r="BE68" s="849">
        <f ca="1">IF(AND(method_reg="Метод индексации",god&lt;&gt;first_year),SUMIFS(INDEX('Калькуляция (МИ корр)'!$AJ$25:$BC$459,,MATCH(BE$8,'Калькуляция (МИ корр)'!$AJ$8:$BC$8,0)),'Калькуляция (МИ корр)'!$F$25:$F$459,$F68,'Калькуляция (МИ корр)'!$G$25:$G$459,$G68),IF(method_reg="Метод экономически обоснованных расходов",SUMIFS('Калькуляция (МЭОР)'!$AJ$25:$AJ$282,'Калькуляция (МЭОР)'!$F$25:$F$282,$F68,'Калькуляция (МЭОР)'!$G$25:$G$282,$G68),IF(method_reg="Метод сравнения аналогов",SUMIFS('Калькуляция (МСА)'!$AE$25:$AE$84,'Калькуляция (МСА)'!$F$25:$F$84,$F68,'Калькуляция (МСА)'!$G$25:$G$84,$G68),SUMIFS(INDEX('Калькуляция (МИ)'!$AJ$25:$BC$459,,MATCH(BE$8,'Калькуляция (МИ)'!$AJ$8:$BC$8,0)),'Калькуляция (МИ)'!$F$25:$F$459,$F68,'Калькуляция (МИ)'!$G$25:$G$459,$G68))))</f>
        <v>0</v>
      </c>
      <c r="BF68" s="849">
        <f ca="1">IF(AND(method_reg="Метод индексации",god&lt;&gt;first_year),SUMIFS(INDEX('Калькуляция (МИ корр)'!$AJ$25:$BC$459,,MATCH(BF$8,'Калькуляция (МИ корр)'!$AJ$8:$BC$8,0)),'Калькуляция (МИ корр)'!$F$25:$F$459,$F68,'Калькуляция (МИ корр)'!$G$25:$G$459,$G68),IF(method_reg="Метод экономически обоснованных расходов",SUMIFS('Калькуляция (МЭОР)'!$AK$25:$AK$282,'Калькуляция (МЭОР)'!$F$25:$F$282,$F68,'Калькуляция (МЭОР)'!$G$25:$G$282,$G68),IF(method_reg="Метод сравнения аналогов",SUMIFS('Калькуляция (МСА)'!$AF$25:$AF$84,'Калькуляция (МСА)'!$F$25:$F$84,$F68,'Калькуляция (МСА)'!$G$25:$G$84,$G68),SUMIFS(INDEX('Калькуляция (МИ)'!$AJ$25:$BC$459,,MATCH(BF$8,'Калькуляция (МИ)'!$AJ$8:$BC$8,0)),'Калькуляция (МИ)'!$F$25:$F$459,$F68,'Калькуляция (МИ)'!$G$25:$G$459,$G68))))</f>
        <v>0</v>
      </c>
      <c r="BG68" s="724">
        <f ca="1">IF(BE68=0,0,(BF68-BE68)/BE68*100)</f>
        <v>0</v>
      </c>
      <c r="BH68" s="849"/>
      <c r="BI68" s="849"/>
      <c r="BJ68" s="724">
        <f>IF(BH68=0,0,(BI68-BH68)/BH68*100)</f>
        <v>0</v>
      </c>
      <c r="BK68" s="849"/>
      <c r="BL68" s="849"/>
      <c r="BM68" s="724">
        <f>IF(BK68=0,0,(BL68-BK68)/BK68*100)</f>
        <v>0</v>
      </c>
      <c r="BN68" s="849"/>
      <c r="BO68" s="849"/>
      <c r="BP68" s="724">
        <f>IF(BN68=0,0,(BO68-BN68)/BN68*100)</f>
        <v>0</v>
      </c>
      <c r="BQ68" s="849"/>
      <c r="BR68" s="849"/>
      <c r="BS68" s="724">
        <f>IF(BQ68=0,0,(BR68-BQ68)/BQ68*100)</f>
        <v>0</v>
      </c>
      <c r="BT68" s="849"/>
      <c r="BU68" s="849"/>
      <c r="BV68" s="724">
        <f>IF(BT68=0,0,(BU68-BT68)/BT68*100)</f>
        <v>0</v>
      </c>
      <c r="BW68" s="849"/>
      <c r="BX68" s="849"/>
      <c r="BY68" s="724">
        <f>IF(BW68=0,0,(BX68-BW68)/BW68*100)</f>
        <v>0</v>
      </c>
      <c r="BZ68" s="849"/>
      <c r="CA68" s="849"/>
      <c r="CB68" s="724">
        <f>IF(BZ68=0,0,(CA68-BZ68)/BZ68*100)</f>
        <v>0</v>
      </c>
      <c r="CC68" s="849"/>
      <c r="CD68" s="849"/>
      <c r="CE68" s="724">
        <f>IF(CC68=0,0,(CD68-CC68)/CC68*100)</f>
        <v>0</v>
      </c>
      <c r="CF68" s="849"/>
      <c r="CG68" s="849"/>
      <c r="CH68" s="724">
        <f>IF(CF68=0,0,(CG68-CF68)/CF68*100)</f>
        <v>0</v>
      </c>
      <c r="CI68" s="849"/>
      <c r="CJ68" s="849"/>
      <c r="CK68" s="724">
        <f>IF(CI68=0,0,(CJ68-CI68)/CI68*100)</f>
        <v>0</v>
      </c>
      <c r="CL68" s="849"/>
      <c r="CM68" s="849"/>
      <c r="CN68" s="724">
        <f>IF(CL68=0,0,(CM68-CL68)/CL68*100)</f>
        <v>0</v>
      </c>
      <c r="CO68" s="849"/>
      <c r="CP68" s="849"/>
      <c r="CQ68" s="724">
        <f>IF(CO68=0,0,(CP68-CO68)/CO68*100)</f>
        <v>0</v>
      </c>
      <c r="CR68" s="849"/>
      <c r="CS68" s="849"/>
      <c r="CT68" s="724">
        <f>IF(CR68=0,0,(CS68-CR68)/CR68*100)</f>
        <v>0</v>
      </c>
      <c r="CU68" s="849"/>
      <c r="CV68" s="849"/>
      <c r="CW68" s="724">
        <f>IF(CU68=0,0,(CV68-CU68)/CU68*100)</f>
        <v>0</v>
      </c>
      <c r="CX68" s="849"/>
      <c r="CY68" s="849"/>
      <c r="CZ68" s="724">
        <f>IF(CX68=0,0,(CY68-CX68)/CX68*100)</f>
        <v>0</v>
      </c>
      <c r="DA68" s="849"/>
      <c r="DB68" s="849"/>
      <c r="DC68" s="724">
        <f>IF(DA68=0,0,(DB68-DA68)/DA68*100)</f>
        <v>0</v>
      </c>
      <c r="DD68" s="849"/>
      <c r="DE68" s="849"/>
      <c r="DF68" s="724">
        <f>IF(DD68=0,0,(DE68-DD68)/DD68*100)</f>
        <v>0</v>
      </c>
      <c r="DG68" s="849"/>
      <c r="DH68" s="849"/>
      <c r="DI68" s="724">
        <f>IF(DG68=0,0,(DH68-DG68)/DG68*100)</f>
        <v>0</v>
      </c>
      <c r="DJ68" s="849"/>
      <c r="DK68" s="849"/>
      <c r="DL68" s="724">
        <f>IF(DJ68=0,0,(DK68-DJ68)/DJ68*100)</f>
        <v>0</v>
      </c>
      <c r="DM68" s="849"/>
      <c r="DN68" s="849"/>
      <c r="DO68" s="724">
        <f>IF(DM68=0,0,(DN68-DM68)/DM68*100)</f>
        <v>0</v>
      </c>
      <c r="DP68" s="849"/>
      <c r="DQ68" s="849"/>
      <c r="DR68" s="724">
        <f>IF(DP68=0,0,(DQ68-DP68)/DP68*100)</f>
        <v>0</v>
      </c>
      <c r="DS68" s="849"/>
      <c r="DT68" s="849"/>
      <c r="DU68" s="724">
        <f>IF(DS68=0,0,(DT68-DS68)/DS68*100)</f>
        <v>0</v>
      </c>
      <c r="DV68" s="849"/>
      <c r="DW68" s="849"/>
      <c r="DX68" s="724">
        <f>IF(DV68=0,0,(DW68-DV68)/DV68*100)</f>
        <v>0</v>
      </c>
      <c r="DY68" s="849"/>
      <c r="DZ68" s="849"/>
      <c r="EA68" s="724">
        <f>IF(DY68=0,0,(DZ68-DY68)/DY68*100)</f>
        <v>0</v>
      </c>
      <c r="EB68" s="849"/>
      <c r="EC68" s="849"/>
      <c r="ED68" s="724">
        <f>IF(EB68=0,0,(EC68-EB68)/EB68*100)</f>
        <v>0</v>
      </c>
      <c r="EE68" s="849"/>
      <c r="EF68" s="849"/>
      <c r="EG68" s="724">
        <f>IF(EE68=0,0,(EF68-EE68)/EE68*100)</f>
        <v>0</v>
      </c>
      <c r="EH68" s="849"/>
      <c r="EI68" s="849"/>
      <c r="EJ68" s="724">
        <f>IF(EH68=0,0,(EI68-EH68)/EH68*100)</f>
        <v>0</v>
      </c>
      <c r="EK68" s="849"/>
      <c r="EL68" s="849"/>
      <c r="EM68" s="724">
        <f>IF(EK68=0,0,(EL68-EK68)/EK68*100)</f>
        <v>0</v>
      </c>
      <c r="EN68" s="849"/>
      <c r="EO68" s="849"/>
      <c r="EP68" s="724">
        <f>IF(EN68=0,0,(EO68-EN68)/EN68*100)</f>
        <v>0</v>
      </c>
      <c r="EQ68" s="849"/>
      <c r="ER68" s="849"/>
      <c r="ES68" s="724">
        <f>IF(EQ68=0,0,(ER68-EQ68)/EQ68*100)</f>
        <v>0</v>
      </c>
      <c r="ET68" s="849"/>
      <c r="EU68" s="849"/>
      <c r="EV68" s="724">
        <f>IF(ET68=0,0,(EU68-ET68)/ET68*100)</f>
        <v>0</v>
      </c>
      <c r="EW68" s="849"/>
      <c r="EX68" s="849"/>
      <c r="EY68" s="724">
        <f>IF(EW68=0,0,(EX68-EW68)/EW68*100)</f>
        <v>0</v>
      </c>
      <c r="EZ68" s="849"/>
      <c r="FA68" s="849"/>
      <c r="FB68" s="724">
        <f>IF(EZ68=0,0,(FA68-EZ68)/EZ68*100)</f>
        <v>0</v>
      </c>
      <c r="FC68" s="849"/>
      <c r="FD68" s="849"/>
      <c r="FE68" s="724">
        <f>IF(FC68=0,0,(FD68-FC68)/FC68*100)</f>
        <v>0</v>
      </c>
      <c r="FF68" s="849"/>
      <c r="FG68" s="849"/>
      <c r="FH68" s="724">
        <f>IF(FF68=0,0,(FG68-FF68)/FF68*100)</f>
        <v>0</v>
      </c>
      <c r="FI68" s="849"/>
      <c r="FJ68" s="849"/>
      <c r="FK68" s="724">
        <f>IF(FI68=0,0,(FJ68-FI68)/FI68*100)</f>
        <v>0</v>
      </c>
      <c r="FL68" s="849"/>
      <c r="FM68" s="849"/>
      <c r="FN68" s="724">
        <f>IF(FL68=0,0,(FM68-FL68)/FL68*100)</f>
        <v>0</v>
      </c>
      <c r="FO68" s="849"/>
      <c r="FP68" s="849"/>
      <c r="FQ68" s="724">
        <f>IF(FO68=0,0,(FP68-FO68)/FO68*100)</f>
        <v>0</v>
      </c>
      <c r="FR68" s="849"/>
      <c r="FS68" s="849"/>
      <c r="FT68" s="724">
        <f>IF(FR68=0,0,(FS68-FR68)/FR68*100)</f>
        <v>0</v>
      </c>
      <c r="FU68" s="849"/>
      <c r="FV68" s="849"/>
      <c r="FW68" s="724">
        <f>IF(FU68=0,0,(FV68-FU68)/FU68*100)</f>
        <v>0</v>
      </c>
      <c r="FZ68" s="700" t="s">
        <v>1688</v>
      </c>
    </row>
    <row r="69" spans="1:186" ht="21.95" hidden="1" customHeight="1">
      <c r="A69" s="78"/>
      <c r="B69" s="622" t="b" cm="1">
        <f t="array" ref="B69">B68</f>
        <v>0</v>
      </c>
      <c r="C69" s="78"/>
      <c r="D69" s="78"/>
      <c r="E69" s="473">
        <v>22.5</v>
      </c>
      <c r="F69" s="3" cm="1">
        <f t="array" aca="1" ref="F69" ca="1">OFFSET(E69,-1,1)</f>
        <v>0</v>
      </c>
      <c r="G69" s="78"/>
      <c r="H69" s="78" t="s">
        <v>1663</v>
      </c>
      <c r="I69" s="78" t="s">
        <v>1641</v>
      </c>
      <c r="J69" s="78"/>
      <c r="K69" s="78"/>
      <c r="L69" s="78"/>
      <c r="M69" s="78"/>
      <c r="N69" s="78"/>
      <c r="O69" s="78"/>
      <c r="P69" s="78"/>
      <c r="Q69" s="78"/>
      <c r="R69" s="78"/>
      <c r="S69" s="78"/>
      <c r="T69" s="365" t="b" cm="1">
        <f t="array" aca="1" ref="T69" ca="1">T68</f>
        <v>0</v>
      </c>
      <c r="U69" s="78"/>
      <c r="V69" s="78"/>
      <c r="W69" s="78"/>
      <c r="X69" s="1094"/>
      <c r="Y69" s="78"/>
      <c r="Z69" s="1064"/>
      <c r="AA69" s="78"/>
      <c r="AB69" s="12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31" t="s">
        <v>1664</v>
      </c>
      <c r="AD69" s="833"/>
      <c r="AE69" s="833"/>
      <c r="AF69" s="723">
        <f>IF(AD69=0,0,(AE69-AD69)/AD69*100)</f>
        <v>0</v>
      </c>
      <c r="AG69" s="833"/>
      <c r="AH69" s="833"/>
      <c r="AI69" s="723">
        <f>IF(AG69=0,0,(AH69-AG69)/AG69*100)</f>
        <v>0</v>
      </c>
      <c r="AJ69" s="833"/>
      <c r="AK69" s="833"/>
      <c r="AL69" s="723">
        <f>IF(AJ69=0,0,(AK69-AJ69)/AJ69*100)</f>
        <v>0</v>
      </c>
      <c r="AM69" s="833"/>
      <c r="AN69" s="833"/>
      <c r="AO69" s="723">
        <f>IF(AM69=0,0,(AN69-AM69)/AM69*100)</f>
        <v>0</v>
      </c>
      <c r="AP69" s="833"/>
      <c r="AQ69" s="833"/>
      <c r="AR69" s="723">
        <f>IF(AP69=0,0,(AQ69-AP69)/AP69*100)</f>
        <v>0</v>
      </c>
      <c r="AS69" s="833"/>
      <c r="AT69" s="833"/>
      <c r="AU69" s="723">
        <f>IF(AS69=0,0,(AT69-AS69)/AS69*100)</f>
        <v>0</v>
      </c>
      <c r="AV69" s="833"/>
      <c r="AW69" s="833"/>
      <c r="AX69" s="723">
        <f>IF(AV69=0,0,(AW69-AV69)/AV69*100)</f>
        <v>0</v>
      </c>
      <c r="AY69" s="833"/>
      <c r="AZ69" s="833"/>
      <c r="BA69" s="723">
        <f>IF(AY69=0,0,(AZ69-AY69)/AY69*100)</f>
        <v>0</v>
      </c>
      <c r="BB69" s="833"/>
      <c r="BC69" s="833"/>
      <c r="BD69" s="723">
        <f>IF(BB69=0,0,(BC69-BB69)/BB69*100)</f>
        <v>0</v>
      </c>
      <c r="BE69" s="833"/>
      <c r="BF69" s="833"/>
      <c r="BG69" s="723">
        <f>IF(BE69=0,0,(BF69-BE69)/BE69*100)</f>
        <v>0</v>
      </c>
      <c r="BH69" s="833"/>
      <c r="BI69" s="833"/>
      <c r="BJ69" s="723">
        <f>IF(BH69=0,0,(BI69-BH69)/BH69*100)</f>
        <v>0</v>
      </c>
      <c r="BK69" s="833"/>
      <c r="BL69" s="833"/>
      <c r="BM69" s="723">
        <f>IF(BK69=0,0,(BL69-BK69)/BK69*100)</f>
        <v>0</v>
      </c>
      <c r="BN69" s="833"/>
      <c r="BO69" s="833"/>
      <c r="BP69" s="723">
        <f>IF(BN69=0,0,(BO69-BN69)/BN69*100)</f>
        <v>0</v>
      </c>
      <c r="BQ69" s="833"/>
      <c r="BR69" s="833"/>
      <c r="BS69" s="723">
        <f>IF(BQ69=0,0,(BR69-BQ69)/BQ69*100)</f>
        <v>0</v>
      </c>
      <c r="BT69" s="833"/>
      <c r="BU69" s="833"/>
      <c r="BV69" s="723">
        <f>IF(BT69=0,0,(BU69-BT69)/BT69*100)</f>
        <v>0</v>
      </c>
      <c r="BW69" s="833"/>
      <c r="BX69" s="833"/>
      <c r="BY69" s="723">
        <f>IF(BW69=0,0,(BX69-BW69)/BW69*100)</f>
        <v>0</v>
      </c>
      <c r="BZ69" s="833"/>
      <c r="CA69" s="833"/>
      <c r="CB69" s="723">
        <f>IF(BZ69=0,0,(CA69-BZ69)/BZ69*100)</f>
        <v>0</v>
      </c>
      <c r="CC69" s="833"/>
      <c r="CD69" s="833"/>
      <c r="CE69" s="723">
        <f>IF(CC69=0,0,(CD69-CC69)/CC69*100)</f>
        <v>0</v>
      </c>
      <c r="CF69" s="833"/>
      <c r="CG69" s="833"/>
      <c r="CH69" s="723">
        <f>IF(CF69=0,0,(CG69-CF69)/CF69*100)</f>
        <v>0</v>
      </c>
      <c r="CI69" s="833"/>
      <c r="CJ69" s="833"/>
      <c r="CK69" s="723">
        <f>IF(CI69=0,0,(CJ69-CI69)/CI69*100)</f>
        <v>0</v>
      </c>
      <c r="CL69" s="833"/>
      <c r="CM69" s="833"/>
      <c r="CN69" s="723">
        <f>IF(CL69=0,0,(CM69-CL69)/CL69*100)</f>
        <v>0</v>
      </c>
      <c r="CO69" s="833"/>
      <c r="CP69" s="833"/>
      <c r="CQ69" s="723">
        <f>IF(CO69=0,0,(CP69-CO69)/CO69*100)</f>
        <v>0</v>
      </c>
      <c r="CR69" s="833"/>
      <c r="CS69" s="833"/>
      <c r="CT69" s="723">
        <f>IF(CR69=0,0,(CS69-CR69)/CR69*100)</f>
        <v>0</v>
      </c>
      <c r="CU69" s="833"/>
      <c r="CV69" s="833"/>
      <c r="CW69" s="723">
        <f>IF(CU69=0,0,(CV69-CU69)/CU69*100)</f>
        <v>0</v>
      </c>
      <c r="CX69" s="833"/>
      <c r="CY69" s="833"/>
      <c r="CZ69" s="723">
        <f>IF(CX69=0,0,(CY69-CX69)/CX69*100)</f>
        <v>0</v>
      </c>
      <c r="DA69" s="833"/>
      <c r="DB69" s="833"/>
      <c r="DC69" s="723">
        <f>IF(DA69=0,0,(DB69-DA69)/DA69*100)</f>
        <v>0</v>
      </c>
      <c r="DD69" s="833"/>
      <c r="DE69" s="833"/>
      <c r="DF69" s="723">
        <f>IF(DD69=0,0,(DE69-DD69)/DD69*100)</f>
        <v>0</v>
      </c>
      <c r="DG69" s="833"/>
      <c r="DH69" s="833"/>
      <c r="DI69" s="723">
        <f>IF(DG69=0,0,(DH69-DG69)/DG69*100)</f>
        <v>0</v>
      </c>
      <c r="DJ69" s="833"/>
      <c r="DK69" s="833"/>
      <c r="DL69" s="723">
        <f>IF(DJ69=0,0,(DK69-DJ69)/DJ69*100)</f>
        <v>0</v>
      </c>
      <c r="DM69" s="833"/>
      <c r="DN69" s="833"/>
      <c r="DO69" s="723">
        <f>IF(DM69=0,0,(DN69-DM69)/DM69*100)</f>
        <v>0</v>
      </c>
      <c r="DP69" s="833"/>
      <c r="DQ69" s="833"/>
      <c r="DR69" s="723">
        <f>IF(DP69=0,0,(DQ69-DP69)/DP69*100)</f>
        <v>0</v>
      </c>
      <c r="DS69" s="833"/>
      <c r="DT69" s="833"/>
      <c r="DU69" s="723">
        <f>IF(DS69=0,0,(DT69-DS69)/DS69*100)</f>
        <v>0</v>
      </c>
      <c r="DV69" s="833"/>
      <c r="DW69" s="833"/>
      <c r="DX69" s="723">
        <f>IF(DV69=0,0,(DW69-DV69)/DV69*100)</f>
        <v>0</v>
      </c>
      <c r="DY69" s="833"/>
      <c r="DZ69" s="833"/>
      <c r="EA69" s="723">
        <f>IF(DY69=0,0,(DZ69-DY69)/DY69*100)</f>
        <v>0</v>
      </c>
      <c r="EB69" s="833"/>
      <c r="EC69" s="833"/>
      <c r="ED69" s="723">
        <f>IF(EB69=0,0,(EC69-EB69)/EB69*100)</f>
        <v>0</v>
      </c>
      <c r="EE69" s="833"/>
      <c r="EF69" s="833"/>
      <c r="EG69" s="723">
        <f>IF(EE69=0,0,(EF69-EE69)/EE69*100)</f>
        <v>0</v>
      </c>
      <c r="EH69" s="833"/>
      <c r="EI69" s="833"/>
      <c r="EJ69" s="723">
        <f>IF(EH69=0,0,(EI69-EH69)/EH69*100)</f>
        <v>0</v>
      </c>
      <c r="EK69" s="833"/>
      <c r="EL69" s="833"/>
      <c r="EM69" s="723">
        <f>IF(EK69=0,0,(EL69-EK69)/EK69*100)</f>
        <v>0</v>
      </c>
      <c r="EN69" s="833"/>
      <c r="EO69" s="833"/>
      <c r="EP69" s="723">
        <f>IF(EN69=0,0,(EO69-EN69)/EN69*100)</f>
        <v>0</v>
      </c>
      <c r="EQ69" s="833"/>
      <c r="ER69" s="833"/>
      <c r="ES69" s="723">
        <f>IF(EQ69=0,0,(ER69-EQ69)/EQ69*100)</f>
        <v>0</v>
      </c>
      <c r="ET69" s="833"/>
      <c r="EU69" s="833"/>
      <c r="EV69" s="723">
        <f>IF(ET69=0,0,(EU69-ET69)/ET69*100)</f>
        <v>0</v>
      </c>
      <c r="EW69" s="833"/>
      <c r="EX69" s="833"/>
      <c r="EY69" s="723">
        <f>IF(EW69=0,0,(EX69-EW69)/EW69*100)</f>
        <v>0</v>
      </c>
      <c r="EZ69" s="833"/>
      <c r="FA69" s="833"/>
      <c r="FB69" s="723">
        <f>IF(EZ69=0,0,(FA69-EZ69)/EZ69*100)</f>
        <v>0</v>
      </c>
      <c r="FC69" s="833"/>
      <c r="FD69" s="833"/>
      <c r="FE69" s="723">
        <f>IF(FC69=0,0,(FD69-FC69)/FC69*100)</f>
        <v>0</v>
      </c>
      <c r="FF69" s="833"/>
      <c r="FG69" s="833"/>
      <c r="FH69" s="723">
        <f>IF(FF69=0,0,(FG69-FF69)/FF69*100)</f>
        <v>0</v>
      </c>
      <c r="FI69" s="833"/>
      <c r="FJ69" s="833"/>
      <c r="FK69" s="723">
        <f>IF(FI69=0,0,(FJ69-FI69)/FI69*100)</f>
        <v>0</v>
      </c>
      <c r="FL69" s="833"/>
      <c r="FM69" s="833"/>
      <c r="FN69" s="723">
        <f>IF(FL69=0,0,(FM69-FL69)/FL69*100)</f>
        <v>0</v>
      </c>
      <c r="FO69" s="833"/>
      <c r="FP69" s="833"/>
      <c r="FQ69" s="723">
        <f>IF(FO69=0,0,(FP69-FO69)/FO69*100)</f>
        <v>0</v>
      </c>
      <c r="FR69" s="833"/>
      <c r="FS69" s="833"/>
      <c r="FT69" s="723">
        <f>IF(FR69=0,0,(FS69-FR69)/FR69*100)</f>
        <v>0</v>
      </c>
      <c r="FU69" s="833"/>
      <c r="FV69" s="833"/>
      <c r="FW69" s="723">
        <f>IF(FU69=0,0,(FV69-FU69)/FU69*100)</f>
        <v>0</v>
      </c>
      <c r="FZ69" s="700" t="s">
        <v>1689</v>
      </c>
    </row>
    <row r="70" spans="1:186" ht="14.65" hidden="1" customHeight="1">
      <c r="A70" s="78"/>
      <c r="B70" s="622" t="b" cm="1">
        <f t="array" ref="B70">B69</f>
        <v>0</v>
      </c>
      <c r="C70" s="78"/>
      <c r="D70" s="78"/>
      <c r="E70" s="473">
        <v>15</v>
      </c>
      <c r="F70" s="3" cm="1">
        <f t="array" aca="1" ref="F70" ca="1">OFFSET(E70,-1,1)</f>
        <v>0</v>
      </c>
      <c r="G70" s="78"/>
      <c r="H70" s="78" t="s">
        <v>1666</v>
      </c>
      <c r="I70" s="78" t="s">
        <v>1641</v>
      </c>
      <c r="J70" s="78"/>
      <c r="K70" s="78"/>
      <c r="L70" s="78"/>
      <c r="M70" s="78"/>
      <c r="N70" s="78"/>
      <c r="O70" s="78"/>
      <c r="P70" s="78"/>
      <c r="Q70" s="78"/>
      <c r="R70" s="78"/>
      <c r="S70" s="78"/>
      <c r="T70" s="365" t="b" cm="1">
        <f t="array" aca="1" ref="T70" ca="1">T69</f>
        <v>0</v>
      </c>
      <c r="U70" s="78"/>
      <c r="V70" s="78"/>
      <c r="W70" s="78"/>
      <c r="X70" s="1094"/>
      <c r="Y70" s="78"/>
      <c r="Z70" s="1064"/>
      <c r="AA70" s="78"/>
      <c r="AB70" s="124" t="s">
        <v>1667</v>
      </c>
      <c r="AC70" s="31" t="s">
        <v>1668</v>
      </c>
      <c r="AD70" s="833"/>
      <c r="AE70" s="833"/>
      <c r="AF70" s="723">
        <f>IF(AD70=0,0,(AE70-AD70)/AD70*100)</f>
        <v>0</v>
      </c>
      <c r="AG70" s="833"/>
      <c r="AH70" s="833"/>
      <c r="AI70" s="723">
        <f>IF(AG70=0,0,(AH70-AG70)/AG70*100)</f>
        <v>0</v>
      </c>
      <c r="AJ70" s="833"/>
      <c r="AK70" s="833"/>
      <c r="AL70" s="723">
        <f>IF(AJ70=0,0,(AK70-AJ70)/AJ70*100)</f>
        <v>0</v>
      </c>
      <c r="AM70" s="833"/>
      <c r="AN70" s="833"/>
      <c r="AO70" s="723">
        <f>IF(AM70=0,0,(AN70-AM70)/AM70*100)</f>
        <v>0</v>
      </c>
      <c r="AP70" s="833"/>
      <c r="AQ70" s="833"/>
      <c r="AR70" s="723">
        <f>IF(AP70=0,0,(AQ70-AP70)/AP70*100)</f>
        <v>0</v>
      </c>
      <c r="AS70" s="833"/>
      <c r="AT70" s="833"/>
      <c r="AU70" s="723">
        <f>IF(AS70=0,0,(AT70-AS70)/AS70*100)</f>
        <v>0</v>
      </c>
      <c r="AV70" s="833"/>
      <c r="AW70" s="833"/>
      <c r="AX70" s="723">
        <f>IF(AV70=0,0,(AW70-AV70)/AV70*100)</f>
        <v>0</v>
      </c>
      <c r="AY70" s="833"/>
      <c r="AZ70" s="833"/>
      <c r="BA70" s="723">
        <f>IF(AY70=0,0,(AZ70-AY70)/AY70*100)</f>
        <v>0</v>
      </c>
      <c r="BB70" s="833"/>
      <c r="BC70" s="833"/>
      <c r="BD70" s="723">
        <f>IF(BB70=0,0,(BC70-BB70)/BB70*100)</f>
        <v>0</v>
      </c>
      <c r="BE70" s="833"/>
      <c r="BF70" s="833"/>
      <c r="BG70" s="723">
        <f>IF(BE70=0,0,(BF70-BE70)/BE70*100)</f>
        <v>0</v>
      </c>
      <c r="BH70" s="833"/>
      <c r="BI70" s="833"/>
      <c r="BJ70" s="723">
        <f>IF(BH70=0,0,(BI70-BH70)/BH70*100)</f>
        <v>0</v>
      </c>
      <c r="BK70" s="833"/>
      <c r="BL70" s="833"/>
      <c r="BM70" s="723">
        <f>IF(BK70=0,0,(BL70-BK70)/BK70*100)</f>
        <v>0</v>
      </c>
      <c r="BN70" s="833"/>
      <c r="BO70" s="833"/>
      <c r="BP70" s="723">
        <f>IF(BN70=0,0,(BO70-BN70)/BN70*100)</f>
        <v>0</v>
      </c>
      <c r="BQ70" s="833"/>
      <c r="BR70" s="833"/>
      <c r="BS70" s="723">
        <f>IF(BQ70=0,0,(BR70-BQ70)/BQ70*100)</f>
        <v>0</v>
      </c>
      <c r="BT70" s="833"/>
      <c r="BU70" s="833"/>
      <c r="BV70" s="723">
        <f>IF(BT70=0,0,(BU70-BT70)/BT70*100)</f>
        <v>0</v>
      </c>
      <c r="BW70" s="833"/>
      <c r="BX70" s="833"/>
      <c r="BY70" s="723">
        <f>IF(BW70=0,0,(BX70-BW70)/BW70*100)</f>
        <v>0</v>
      </c>
      <c r="BZ70" s="833"/>
      <c r="CA70" s="833"/>
      <c r="CB70" s="723">
        <f>IF(BZ70=0,0,(CA70-BZ70)/BZ70*100)</f>
        <v>0</v>
      </c>
      <c r="CC70" s="833"/>
      <c r="CD70" s="833"/>
      <c r="CE70" s="723">
        <f>IF(CC70=0,0,(CD70-CC70)/CC70*100)</f>
        <v>0</v>
      </c>
      <c r="CF70" s="833"/>
      <c r="CG70" s="833"/>
      <c r="CH70" s="723">
        <f>IF(CF70=0,0,(CG70-CF70)/CF70*100)</f>
        <v>0</v>
      </c>
      <c r="CI70" s="833"/>
      <c r="CJ70" s="833"/>
      <c r="CK70" s="723">
        <f>IF(CI70=0,0,(CJ70-CI70)/CI70*100)</f>
        <v>0</v>
      </c>
      <c r="CL70" s="833"/>
      <c r="CM70" s="833"/>
      <c r="CN70" s="723">
        <f>IF(CL70=0,0,(CM70-CL70)/CL70*100)</f>
        <v>0</v>
      </c>
      <c r="CO70" s="833"/>
      <c r="CP70" s="833"/>
      <c r="CQ70" s="723">
        <f>IF(CO70=0,0,(CP70-CO70)/CO70*100)</f>
        <v>0</v>
      </c>
      <c r="CR70" s="833"/>
      <c r="CS70" s="833"/>
      <c r="CT70" s="723">
        <f>IF(CR70=0,0,(CS70-CR70)/CR70*100)</f>
        <v>0</v>
      </c>
      <c r="CU70" s="833"/>
      <c r="CV70" s="833"/>
      <c r="CW70" s="723">
        <f>IF(CU70=0,0,(CV70-CU70)/CU70*100)</f>
        <v>0</v>
      </c>
      <c r="CX70" s="833"/>
      <c r="CY70" s="833"/>
      <c r="CZ70" s="723">
        <f>IF(CX70=0,0,(CY70-CX70)/CX70*100)</f>
        <v>0</v>
      </c>
      <c r="DA70" s="833"/>
      <c r="DB70" s="833"/>
      <c r="DC70" s="723">
        <f>IF(DA70=0,0,(DB70-DA70)/DA70*100)</f>
        <v>0</v>
      </c>
      <c r="DD70" s="833"/>
      <c r="DE70" s="833"/>
      <c r="DF70" s="723">
        <f>IF(DD70=0,0,(DE70-DD70)/DD70*100)</f>
        <v>0</v>
      </c>
      <c r="DG70" s="833"/>
      <c r="DH70" s="833"/>
      <c r="DI70" s="723">
        <f>IF(DG70=0,0,(DH70-DG70)/DG70*100)</f>
        <v>0</v>
      </c>
      <c r="DJ70" s="833"/>
      <c r="DK70" s="833"/>
      <c r="DL70" s="723">
        <f>IF(DJ70=0,0,(DK70-DJ70)/DJ70*100)</f>
        <v>0</v>
      </c>
      <c r="DM70" s="833"/>
      <c r="DN70" s="833"/>
      <c r="DO70" s="723">
        <f>IF(DM70=0,0,(DN70-DM70)/DM70*100)</f>
        <v>0</v>
      </c>
      <c r="DP70" s="833"/>
      <c r="DQ70" s="833"/>
      <c r="DR70" s="723">
        <f>IF(DP70=0,0,(DQ70-DP70)/DP70*100)</f>
        <v>0</v>
      </c>
      <c r="DS70" s="833"/>
      <c r="DT70" s="833"/>
      <c r="DU70" s="723">
        <f>IF(DS70=0,0,(DT70-DS70)/DS70*100)</f>
        <v>0</v>
      </c>
      <c r="DV70" s="833"/>
      <c r="DW70" s="833"/>
      <c r="DX70" s="723">
        <f>IF(DV70=0,0,(DW70-DV70)/DV70*100)</f>
        <v>0</v>
      </c>
      <c r="DY70" s="833"/>
      <c r="DZ70" s="833"/>
      <c r="EA70" s="723">
        <f>IF(DY70=0,0,(DZ70-DY70)/DY70*100)</f>
        <v>0</v>
      </c>
      <c r="EB70" s="833"/>
      <c r="EC70" s="833"/>
      <c r="ED70" s="723">
        <f>IF(EB70=0,0,(EC70-EB70)/EB70*100)</f>
        <v>0</v>
      </c>
      <c r="EE70" s="833"/>
      <c r="EF70" s="833"/>
      <c r="EG70" s="723">
        <f>IF(EE70=0,0,(EF70-EE70)/EE70*100)</f>
        <v>0</v>
      </c>
      <c r="EH70" s="833"/>
      <c r="EI70" s="833"/>
      <c r="EJ70" s="723">
        <f>IF(EH70=0,0,(EI70-EH70)/EH70*100)</f>
        <v>0</v>
      </c>
      <c r="EK70" s="833"/>
      <c r="EL70" s="833"/>
      <c r="EM70" s="723">
        <f>IF(EK70=0,0,(EL70-EK70)/EK70*100)</f>
        <v>0</v>
      </c>
      <c r="EN70" s="833"/>
      <c r="EO70" s="833"/>
      <c r="EP70" s="723">
        <f>IF(EN70=0,0,(EO70-EN70)/EN70*100)</f>
        <v>0</v>
      </c>
      <c r="EQ70" s="833"/>
      <c r="ER70" s="833"/>
      <c r="ES70" s="723">
        <f>IF(EQ70=0,0,(ER70-EQ70)/EQ70*100)</f>
        <v>0</v>
      </c>
      <c r="ET70" s="833"/>
      <c r="EU70" s="833"/>
      <c r="EV70" s="723">
        <f>IF(ET70=0,0,(EU70-ET70)/ET70*100)</f>
        <v>0</v>
      </c>
      <c r="EW70" s="833"/>
      <c r="EX70" s="833"/>
      <c r="EY70" s="723">
        <f>IF(EW70=0,0,(EX70-EW70)/EW70*100)</f>
        <v>0</v>
      </c>
      <c r="EZ70" s="833"/>
      <c r="FA70" s="833"/>
      <c r="FB70" s="723">
        <f>IF(EZ70=0,0,(FA70-EZ70)/EZ70*100)</f>
        <v>0</v>
      </c>
      <c r="FC70" s="833"/>
      <c r="FD70" s="833"/>
      <c r="FE70" s="723">
        <f>IF(FC70=0,0,(FD70-FC70)/FC70*100)</f>
        <v>0</v>
      </c>
      <c r="FF70" s="833"/>
      <c r="FG70" s="833"/>
      <c r="FH70" s="723">
        <f>IF(FF70=0,0,(FG70-FF70)/FF70*100)</f>
        <v>0</v>
      </c>
      <c r="FI70" s="833"/>
      <c r="FJ70" s="833"/>
      <c r="FK70" s="723">
        <f>IF(FI70=0,0,(FJ70-FI70)/FI70*100)</f>
        <v>0</v>
      </c>
      <c r="FL70" s="833"/>
      <c r="FM70" s="833"/>
      <c r="FN70" s="723">
        <f>IF(FL70=0,0,(FM70-FL70)/FL70*100)</f>
        <v>0</v>
      </c>
      <c r="FO70" s="833"/>
      <c r="FP70" s="833"/>
      <c r="FQ70" s="723">
        <f>IF(FO70=0,0,(FP70-FO70)/FO70*100)</f>
        <v>0</v>
      </c>
      <c r="FR70" s="833"/>
      <c r="FS70" s="833"/>
      <c r="FT70" s="723">
        <f>IF(FR70=0,0,(FS70-FR70)/FR70*100)</f>
        <v>0</v>
      </c>
      <c r="FU70" s="833"/>
      <c r="FV70" s="833"/>
      <c r="FW70" s="723">
        <f>IF(FU70=0,0,(FV70-FU70)/FU70*100)</f>
        <v>0</v>
      </c>
      <c r="FZ70" s="700" t="s">
        <v>1690</v>
      </c>
    </row>
    <row r="71" spans="1:186" ht="18.2" hidden="1" customHeight="1">
      <c r="A71" s="78"/>
      <c r="B71" s="622" t="b" cm="1">
        <f t="array" ref="B71">B70</f>
        <v>0</v>
      </c>
      <c r="C71" s="78"/>
      <c r="D71" s="78"/>
      <c r="E71" s="473">
        <v>18.75</v>
      </c>
      <c r="F71" s="3" cm="1">
        <f t="array" aca="1" ref="F71" ca="1">OFFSET(E71,-1,1)</f>
        <v>0</v>
      </c>
      <c r="G71" s="78"/>
      <c r="H71" s="78"/>
      <c r="I71" s="78"/>
      <c r="J71" s="78"/>
      <c r="K71" s="78"/>
      <c r="L71" s="78"/>
      <c r="M71" s="78"/>
      <c r="N71" s="78"/>
      <c r="O71" s="78"/>
      <c r="P71" s="78"/>
      <c r="Q71" s="78"/>
      <c r="R71" s="78"/>
      <c r="S71" s="78"/>
      <c r="T71" s="365" t="b">
        <f ca="1">AND(F71&gt;0,Y71&gt;0)</f>
        <v>0</v>
      </c>
      <c r="U71" s="78"/>
      <c r="V71" s="78"/>
      <c r="W71" s="78" t="s">
        <v>173</v>
      </c>
      <c r="X71" s="1094"/>
      <c r="Y71" s="1094">
        <v>0</v>
      </c>
      <c r="Z71" s="1064"/>
      <c r="AA71" s="1169" t="s">
        <v>174</v>
      </c>
      <c r="AB71" s="944"/>
      <c r="AC71" s="594"/>
      <c r="AD71" s="729"/>
      <c r="AE71" s="730"/>
      <c r="AF71" s="730"/>
      <c r="AG71" s="729"/>
      <c r="AH71" s="730"/>
      <c r="AI71" s="730"/>
      <c r="AJ71" s="729"/>
      <c r="AK71" s="730"/>
      <c r="AL71" s="730"/>
      <c r="AM71" s="729"/>
      <c r="AN71" s="730"/>
      <c r="AO71" s="730"/>
      <c r="AP71" s="729"/>
      <c r="AQ71" s="730"/>
      <c r="AR71" s="730"/>
      <c r="AS71" s="729"/>
      <c r="AT71" s="730"/>
      <c r="AU71" s="730"/>
      <c r="AV71" s="729"/>
      <c r="AW71" s="730"/>
      <c r="AX71" s="730"/>
      <c r="AY71" s="729"/>
      <c r="AZ71" s="730"/>
      <c r="BA71" s="730"/>
      <c r="BB71" s="729"/>
      <c r="BC71" s="730"/>
      <c r="BD71" s="730"/>
      <c r="BE71" s="729"/>
      <c r="BF71" s="730"/>
      <c r="BG71" s="730"/>
      <c r="BH71" s="729"/>
      <c r="BI71" s="730"/>
      <c r="BJ71" s="730"/>
      <c r="BK71" s="729"/>
      <c r="BL71" s="730"/>
      <c r="BM71" s="730"/>
      <c r="BN71" s="729"/>
      <c r="BO71" s="730"/>
      <c r="BP71" s="730"/>
      <c r="BQ71" s="729"/>
      <c r="BR71" s="730"/>
      <c r="BS71" s="730"/>
      <c r="BT71" s="729"/>
      <c r="BU71" s="730"/>
      <c r="BV71" s="730"/>
      <c r="BW71" s="729"/>
      <c r="BX71" s="730"/>
      <c r="BY71" s="730"/>
      <c r="BZ71" s="729"/>
      <c r="CA71" s="730"/>
      <c r="CB71" s="730"/>
      <c r="CC71" s="729"/>
      <c r="CD71" s="730"/>
      <c r="CE71" s="730"/>
      <c r="CF71" s="729"/>
      <c r="CG71" s="730"/>
      <c r="CH71" s="730"/>
      <c r="CI71" s="729"/>
      <c r="CJ71" s="730"/>
      <c r="CK71" s="730"/>
      <c r="CL71" s="729"/>
      <c r="CM71" s="730"/>
      <c r="CN71" s="730"/>
      <c r="CO71" s="729"/>
      <c r="CP71" s="730"/>
      <c r="CQ71" s="730"/>
      <c r="CR71" s="729"/>
      <c r="CS71" s="730"/>
      <c r="CT71" s="730"/>
      <c r="CU71" s="729"/>
      <c r="CV71" s="730"/>
      <c r="CW71" s="730"/>
      <c r="CX71" s="729"/>
      <c r="CY71" s="730"/>
      <c r="CZ71" s="730"/>
      <c r="DA71" s="729"/>
      <c r="DB71" s="730"/>
      <c r="DC71" s="730"/>
      <c r="DD71" s="729"/>
      <c r="DE71" s="730"/>
      <c r="DF71" s="730"/>
      <c r="DG71" s="729"/>
      <c r="DH71" s="730"/>
      <c r="DI71" s="730"/>
      <c r="DJ71" s="729"/>
      <c r="DK71" s="730"/>
      <c r="DL71" s="730"/>
      <c r="DM71" s="729"/>
      <c r="DN71" s="730"/>
      <c r="DO71" s="730"/>
      <c r="DP71" s="729"/>
      <c r="DQ71" s="730"/>
      <c r="DR71" s="730"/>
      <c r="DS71" s="729"/>
      <c r="DT71" s="730"/>
      <c r="DU71" s="730"/>
      <c r="DV71" s="729"/>
      <c r="DW71" s="730"/>
      <c r="DX71" s="730"/>
      <c r="DY71" s="729"/>
      <c r="DZ71" s="730"/>
      <c r="EA71" s="730"/>
      <c r="EB71" s="729"/>
      <c r="EC71" s="730"/>
      <c r="ED71" s="730"/>
      <c r="EE71" s="729"/>
      <c r="EF71" s="730"/>
      <c r="EG71" s="730"/>
      <c r="EH71" s="729"/>
      <c r="EI71" s="730"/>
      <c r="EJ71" s="730"/>
      <c r="EK71" s="729"/>
      <c r="EL71" s="730"/>
      <c r="EM71" s="730"/>
      <c r="EN71" s="729"/>
      <c r="EO71" s="730"/>
      <c r="EP71" s="730"/>
      <c r="EQ71" s="729"/>
      <c r="ER71" s="730"/>
      <c r="ES71" s="730"/>
      <c r="ET71" s="729"/>
      <c r="EU71" s="730"/>
      <c r="EV71" s="730"/>
      <c r="EW71" s="729"/>
      <c r="EX71" s="730"/>
      <c r="EY71" s="730"/>
      <c r="EZ71" s="729"/>
      <c r="FA71" s="730"/>
      <c r="FB71" s="730"/>
      <c r="FC71" s="729"/>
      <c r="FD71" s="730"/>
      <c r="FE71" s="730"/>
      <c r="FF71" s="729"/>
      <c r="FG71" s="730"/>
      <c r="FH71" s="730"/>
      <c r="FI71" s="729"/>
      <c r="FJ71" s="730"/>
      <c r="FK71" s="730"/>
      <c r="FL71" s="729"/>
      <c r="FM71" s="730"/>
      <c r="FN71" s="730"/>
      <c r="FO71" s="729"/>
      <c r="FP71" s="730"/>
      <c r="FQ71" s="730"/>
      <c r="FR71" s="729"/>
      <c r="FS71" s="730"/>
      <c r="FT71" s="730"/>
      <c r="FU71" s="729"/>
      <c r="FV71" s="730"/>
      <c r="FW71" s="731"/>
      <c r="FZ71" s="700"/>
      <c r="GD71" s="472" t="b">
        <v>1</v>
      </c>
    </row>
    <row r="72" spans="1:186" ht="14.65" hidden="1" customHeight="1">
      <c r="A72" s="78"/>
      <c r="B72" s="622" t="b" cm="1">
        <f t="array" ref="B72">B71</f>
        <v>0</v>
      </c>
      <c r="C72" s="78"/>
      <c r="D72" s="78"/>
      <c r="E72" s="473">
        <v>15</v>
      </c>
      <c r="F72" s="3" cm="1">
        <f t="array" aca="1" ref="F72" ca="1">OFFSET(E72,-1,1)</f>
        <v>0</v>
      </c>
      <c r="G72" s="78"/>
      <c r="H72" s="78" t="s">
        <v>1562</v>
      </c>
      <c r="I72" s="78" cm="1">
        <f t="array" ref="I72">AB71</f>
        <v>0</v>
      </c>
      <c r="J72" s="78"/>
      <c r="K72" s="78"/>
      <c r="L72" s="78"/>
      <c r="M72" s="78"/>
      <c r="N72" s="78"/>
      <c r="O72" s="78"/>
      <c r="P72" s="78"/>
      <c r="Q72" s="78"/>
      <c r="R72" s="78"/>
      <c r="S72" s="78"/>
      <c r="T72" s="365" t="b" cm="1">
        <f t="array" aca="1" ref="T72" ca="1">T71</f>
        <v>0</v>
      </c>
      <c r="U72" s="78"/>
      <c r="V72" s="78"/>
      <c r="W72" s="78"/>
      <c r="X72" s="1094"/>
      <c r="Y72" s="1094"/>
      <c r="Z72" s="1064"/>
      <c r="AA72" s="1169"/>
      <c r="AB72" s="124" t="s">
        <v>1657</v>
      </c>
      <c r="AC72" s="31" t="s">
        <v>1624</v>
      </c>
      <c r="AD72" s="833">
        <f>IF(AD74=0,0,(AD73*AD74+AD75*AD76*IF(god=2026,3,6))/AD74)</f>
        <v>0</v>
      </c>
      <c r="AE72" s="833">
        <f>IF(AE74=0,0,(AE73*AE74+AE75*AE76*IF(god=2026,3,6))/AE74)</f>
        <v>0</v>
      </c>
      <c r="AF72" s="723">
        <f>IF(AD72=0,0,(AE72-AD72)/AD72*100)</f>
        <v>0</v>
      </c>
      <c r="AG72" s="833">
        <f>IF(AG74=0,0,(AG73*AG74+AG75*AG76*IF(god=2025,3,6))/AG74)</f>
        <v>0</v>
      </c>
      <c r="AH72" s="833">
        <f>IF(AH74=0,0,(AH73*AH74+AH75*AH76*IF(god=2025,3,6))/AH74)</f>
        <v>0</v>
      </c>
      <c r="AI72" s="723">
        <f>IF(AG72=0,0,(AH72-AG72)/AG72*100)</f>
        <v>0</v>
      </c>
      <c r="AJ72" s="833">
        <f>IF(AJ74=0,0,(AJ73*AJ74+AJ75*AJ76*6)/AJ74)</f>
        <v>0</v>
      </c>
      <c r="AK72" s="833">
        <f>IF(AK74=0,0,(AK73*AK74+AK75*AK76*6)/AK74)</f>
        <v>0</v>
      </c>
      <c r="AL72" s="723">
        <f>IF(AJ72=0,0,(AK72-AJ72)/AJ72*100)</f>
        <v>0</v>
      </c>
      <c r="AM72" s="833">
        <f>IF(AM74=0,0,(AM73*AM74+AM75*AM76*6)/AM74)</f>
        <v>0</v>
      </c>
      <c r="AN72" s="833">
        <f>IF(AN74=0,0,(AN73*AN74+AN75*AN76*6)/AN74)</f>
        <v>0</v>
      </c>
      <c r="AO72" s="723">
        <f>IF(AM72=0,0,(AN72-AM72)/AM72*100)</f>
        <v>0</v>
      </c>
      <c r="AP72" s="833">
        <f>IF(AP74=0,0,(AP73*AP74+AP75*AP76*6)/AP74)</f>
        <v>0</v>
      </c>
      <c r="AQ72" s="833">
        <f>IF(AQ74=0,0,(AQ73*AQ74+AQ75*AQ76*6)/AQ74)</f>
        <v>0</v>
      </c>
      <c r="AR72" s="723">
        <f>IF(AP72=0,0,(AQ72-AP72)/AP72*100)</f>
        <v>0</v>
      </c>
      <c r="AS72" s="833">
        <f>IF(AS74=0,0,(AS73*AS74+AS75*AS76*6)/AS74)</f>
        <v>0</v>
      </c>
      <c r="AT72" s="833">
        <f>IF(AT74=0,0,(AT73*AT74+AT75*AT76*6)/AT74)</f>
        <v>0</v>
      </c>
      <c r="AU72" s="723">
        <f>IF(AS72=0,0,(AT72-AS72)/AS72*100)</f>
        <v>0</v>
      </c>
      <c r="AV72" s="833">
        <f>IF(AV74=0,0,(AV73*AV74+AV75*AV76*6)/AV74)</f>
        <v>0</v>
      </c>
      <c r="AW72" s="833">
        <f>IF(AW74=0,0,(AW73*AW74+AW75*AW76*6)/AW74)</f>
        <v>0</v>
      </c>
      <c r="AX72" s="723">
        <f>IF(AV72=0,0,(AW72-AV72)/AV72*100)</f>
        <v>0</v>
      </c>
      <c r="AY72" s="833">
        <f>IF(AY74=0,0,(AY73*AY74+AY75*AY76*6)/AY74)</f>
        <v>0</v>
      </c>
      <c r="AZ72" s="833">
        <f>IF(AZ74=0,0,(AZ73*AZ74+AZ75*AZ76*6)/AZ74)</f>
        <v>0</v>
      </c>
      <c r="BA72" s="723">
        <f>IF(AY72=0,0,(AZ72-AY72)/AY72*100)</f>
        <v>0</v>
      </c>
      <c r="BB72" s="833">
        <f>IF(BB74=0,0,(BB73*BB74+BB75*BB76*6)/BB74)</f>
        <v>0</v>
      </c>
      <c r="BC72" s="833">
        <f>IF(BC74=0,0,(BC73*BC74+BC75*BC76*6)/BC74)</f>
        <v>0</v>
      </c>
      <c r="BD72" s="723">
        <f>IF(BB72=0,0,(BC72-BB72)/BB72*100)</f>
        <v>0</v>
      </c>
      <c r="BE72" s="833">
        <f>IF(BE74=0,0,(BE73*BE74+BE75*BE76*6)/BE74)</f>
        <v>0</v>
      </c>
      <c r="BF72" s="833">
        <f>IF(BF74=0,0,(BF73*BF74+BF75*BF76*6)/BF74)</f>
        <v>0</v>
      </c>
      <c r="BG72" s="723">
        <f>IF(BE72=0,0,(BF72-BE72)/BE72*100)</f>
        <v>0</v>
      </c>
      <c r="BH72" s="833">
        <f>IF(BH74=0,0,(BH73*BH74+BH75*BH76*6)/BH74)</f>
        <v>0</v>
      </c>
      <c r="BI72" s="833">
        <f>IF(BI74=0,0,(BI73*BI74+BI75*BI76*6)/BI74)</f>
        <v>0</v>
      </c>
      <c r="BJ72" s="723">
        <f>IF(BH72=0,0,(BI72-BH72)/BH72*100)</f>
        <v>0</v>
      </c>
      <c r="BK72" s="833">
        <f>IF(BK74=0,0,(BK73*BK74+BK75*BK76*6)/BK74)</f>
        <v>0</v>
      </c>
      <c r="BL72" s="833">
        <f>IF(BL74=0,0,(BL73*BL74+BL75*BL76*6)/BL74)</f>
        <v>0</v>
      </c>
      <c r="BM72" s="723">
        <f>IF(BK72=0,0,(BL72-BK72)/BK72*100)</f>
        <v>0</v>
      </c>
      <c r="BN72" s="833">
        <f>IF(BN74=0,0,(BN73*BN74+BN75*BN76*6)/BN74)</f>
        <v>0</v>
      </c>
      <c r="BO72" s="833">
        <f>IF(BO74=0,0,(BO73*BO74+BO75*BO76*6)/BO74)</f>
        <v>0</v>
      </c>
      <c r="BP72" s="723">
        <f>IF(BN72=0,0,(BO72-BN72)/BN72*100)</f>
        <v>0</v>
      </c>
      <c r="BQ72" s="833">
        <f>IF(BQ74=0,0,(BQ73*BQ74+BQ75*BQ76*6)/BQ74)</f>
        <v>0</v>
      </c>
      <c r="BR72" s="833">
        <f>IF(BR74=0,0,(BR73*BR74+BR75*BR76*6)/BR74)</f>
        <v>0</v>
      </c>
      <c r="BS72" s="723">
        <f>IF(BQ72=0,0,(BR72-BQ72)/BQ72*100)</f>
        <v>0</v>
      </c>
      <c r="BT72" s="833">
        <f>IF(BT74=0,0,(BT73*BT74+BT75*BT76*6)/BT74)</f>
        <v>0</v>
      </c>
      <c r="BU72" s="833">
        <f>IF(BU74=0,0,(BU73*BU74+BU75*BU76*6)/BU74)</f>
        <v>0</v>
      </c>
      <c r="BV72" s="723">
        <f>IF(BT72=0,0,(BU72-BT72)/BT72*100)</f>
        <v>0</v>
      </c>
      <c r="BW72" s="833">
        <f>IF(BW74=0,0,(BW73*BW74+BW75*BW76*6)/BW74)</f>
        <v>0</v>
      </c>
      <c r="BX72" s="833">
        <f>IF(BX74=0,0,(BX73*BX74+BX75*BX76*6)/BX74)</f>
        <v>0</v>
      </c>
      <c r="BY72" s="723">
        <f>IF(BW72=0,0,(BX72-BW72)/BW72*100)</f>
        <v>0</v>
      </c>
      <c r="BZ72" s="833">
        <f>IF(BZ74=0,0,(BZ73*BZ74+BZ75*BZ76*6)/BZ74)</f>
        <v>0</v>
      </c>
      <c r="CA72" s="833">
        <f>IF(CA74=0,0,(CA73*CA74+CA75*CA76*6)/CA74)</f>
        <v>0</v>
      </c>
      <c r="CB72" s="723">
        <f>IF(BZ72=0,0,(CA72-BZ72)/BZ72*100)</f>
        <v>0</v>
      </c>
      <c r="CC72" s="833">
        <f>IF(CC74=0,0,(CC73*CC74+CC75*CC76*6)/CC74)</f>
        <v>0</v>
      </c>
      <c r="CD72" s="833">
        <f>IF(CD74=0,0,(CD73*CD74+CD75*CD76*6)/CD74)</f>
        <v>0</v>
      </c>
      <c r="CE72" s="723">
        <f>IF(CC72=0,0,(CD72-CC72)/CC72*100)</f>
        <v>0</v>
      </c>
      <c r="CF72" s="833">
        <f>IF(CF74=0,0,(CF73*CF74+CF75*CF76*6)/CF74)</f>
        <v>0</v>
      </c>
      <c r="CG72" s="833">
        <f>IF(CG74=0,0,(CG73*CG74+CG75*CG76*6)/CG74)</f>
        <v>0</v>
      </c>
      <c r="CH72" s="723">
        <f>IF(CF72=0,0,(CG72-CF72)/CF72*100)</f>
        <v>0</v>
      </c>
      <c r="CI72" s="833">
        <f>IF(CI74=0,0,(CI73*CI74+CI75*CI76*6)/CI74)</f>
        <v>0</v>
      </c>
      <c r="CJ72" s="833">
        <f>IF(CJ74=0,0,(CJ73*CJ74+CJ75*CJ76*6)/CJ74)</f>
        <v>0</v>
      </c>
      <c r="CK72" s="723">
        <f>IF(CI72=0,0,(CJ72-CI72)/CI72*100)</f>
        <v>0</v>
      </c>
      <c r="CL72" s="833">
        <f>IF(CL74=0,0,(CL73*CL74+CL75*CL76*6)/CL74)</f>
        <v>0</v>
      </c>
      <c r="CM72" s="833">
        <f>IF(CM74=0,0,(CM73*CM74+CM75*CM76*6)/CM74)</f>
        <v>0</v>
      </c>
      <c r="CN72" s="723">
        <f>IF(CL72=0,0,(CM72-CL72)/CL72*100)</f>
        <v>0</v>
      </c>
      <c r="CO72" s="833">
        <f>IF(CO74=0,0,(CO73*CO74+CO75*CO76*6)/CO74)</f>
        <v>0</v>
      </c>
      <c r="CP72" s="833">
        <f>IF(CP74=0,0,(CP73*CP74+CP75*CP76*6)/CP74)</f>
        <v>0</v>
      </c>
      <c r="CQ72" s="723">
        <f>IF(CO72=0,0,(CP72-CO72)/CO72*100)</f>
        <v>0</v>
      </c>
      <c r="CR72" s="833">
        <f>IF(CR74=0,0,(CR73*CR74+CR75*CR76*6)/CR74)</f>
        <v>0</v>
      </c>
      <c r="CS72" s="833">
        <f>IF(CS74=0,0,(CS73*CS74+CS75*CS76*6)/CS74)</f>
        <v>0</v>
      </c>
      <c r="CT72" s="723">
        <f>IF(CR72=0,0,(CS72-CR72)/CR72*100)</f>
        <v>0</v>
      </c>
      <c r="CU72" s="833">
        <f>IF(CU74=0,0,(CU73*CU74+CU75*CU76*6)/CU74)</f>
        <v>0</v>
      </c>
      <c r="CV72" s="833">
        <f>IF(CV74=0,0,(CV73*CV74+CV75*CV76*6)/CV74)</f>
        <v>0</v>
      </c>
      <c r="CW72" s="723">
        <f>IF(CU72=0,0,(CV72-CU72)/CU72*100)</f>
        <v>0</v>
      </c>
      <c r="CX72" s="833">
        <f>IF(CX74=0,0,(CX73*CX74+CX75*CX76*6)/CX74)</f>
        <v>0</v>
      </c>
      <c r="CY72" s="833">
        <f>IF(CY74=0,0,(CY73*CY74+CY75*CY76*6)/CY74)</f>
        <v>0</v>
      </c>
      <c r="CZ72" s="723">
        <f>IF(CX72=0,0,(CY72-CX72)/CX72*100)</f>
        <v>0</v>
      </c>
      <c r="DA72" s="833">
        <f>IF(DA74=0,0,(DA73*DA74+DA75*DA76*6)/DA74)</f>
        <v>0</v>
      </c>
      <c r="DB72" s="833">
        <f>IF(DB74=0,0,(DB73*DB74+DB75*DB76*6)/DB74)</f>
        <v>0</v>
      </c>
      <c r="DC72" s="723">
        <f>IF(DA72=0,0,(DB72-DA72)/DA72*100)</f>
        <v>0</v>
      </c>
      <c r="DD72" s="833">
        <f>IF(DD74=0,0,(DD73*DD74+DD75*DD76*6)/DD74)</f>
        <v>0</v>
      </c>
      <c r="DE72" s="833">
        <f>IF(DE74=0,0,(DE73*DE74+DE75*DE76*6)/DE74)</f>
        <v>0</v>
      </c>
      <c r="DF72" s="723">
        <f>IF(DD72=0,0,(DE72-DD72)/DD72*100)</f>
        <v>0</v>
      </c>
      <c r="DG72" s="833">
        <f>IF(DG74=0,0,(DG73*DG74+DG75*DG76*6)/DG74)</f>
        <v>0</v>
      </c>
      <c r="DH72" s="833">
        <f>IF(DH74=0,0,(DH73*DH74+DH75*DH76*6)/DH74)</f>
        <v>0</v>
      </c>
      <c r="DI72" s="723">
        <f>IF(DG72=0,0,(DH72-DG72)/DG72*100)</f>
        <v>0</v>
      </c>
      <c r="DJ72" s="833">
        <f>IF(DJ74=0,0,(DJ73*DJ74+DJ75*DJ76*6)/DJ74)</f>
        <v>0</v>
      </c>
      <c r="DK72" s="833">
        <f>IF(DK74=0,0,(DK73*DK74+DK75*DK76*6)/DK74)</f>
        <v>0</v>
      </c>
      <c r="DL72" s="723">
        <f>IF(DJ72=0,0,(DK72-DJ72)/DJ72*100)</f>
        <v>0</v>
      </c>
      <c r="DM72" s="833">
        <f>IF(DM74=0,0,(DM73*DM74+DM75*DM76*6)/DM74)</f>
        <v>0</v>
      </c>
      <c r="DN72" s="833">
        <f>IF(DN74=0,0,(DN73*DN74+DN75*DN76*6)/DN74)</f>
        <v>0</v>
      </c>
      <c r="DO72" s="723">
        <f>IF(DM72=0,0,(DN72-DM72)/DM72*100)</f>
        <v>0</v>
      </c>
      <c r="DP72" s="833">
        <f>IF(DP74=0,0,(DP73*DP74+DP75*DP76*6)/DP74)</f>
        <v>0</v>
      </c>
      <c r="DQ72" s="833">
        <f>IF(DQ74=0,0,(DQ73*DQ74+DQ75*DQ76*6)/DQ74)</f>
        <v>0</v>
      </c>
      <c r="DR72" s="723">
        <f>IF(DP72=0,0,(DQ72-DP72)/DP72*100)</f>
        <v>0</v>
      </c>
      <c r="DS72" s="833">
        <f>IF(DS74=0,0,(DS73*DS74+DS75*DS76*6)/DS74)</f>
        <v>0</v>
      </c>
      <c r="DT72" s="833">
        <f>IF(DT74=0,0,(DT73*DT74+DT75*DT76*6)/DT74)</f>
        <v>0</v>
      </c>
      <c r="DU72" s="723">
        <f>IF(DS72=0,0,(DT72-DS72)/DS72*100)</f>
        <v>0</v>
      </c>
      <c r="DV72" s="833">
        <f>IF(DV74=0,0,(DV73*DV74+DV75*DV76*6)/DV74)</f>
        <v>0</v>
      </c>
      <c r="DW72" s="833">
        <f>IF(DW74=0,0,(DW73*DW74+DW75*DW76*6)/DW74)</f>
        <v>0</v>
      </c>
      <c r="DX72" s="723">
        <f>IF(DV72=0,0,(DW72-DV72)/DV72*100)</f>
        <v>0</v>
      </c>
      <c r="DY72" s="833">
        <f>IF(DY74=0,0,(DY73*DY74+DY75*DY76*6)/DY74)</f>
        <v>0</v>
      </c>
      <c r="DZ72" s="833">
        <f>IF(DZ74=0,0,(DZ73*DZ74+DZ75*DZ76*6)/DZ74)</f>
        <v>0</v>
      </c>
      <c r="EA72" s="723">
        <f>IF(DY72=0,0,(DZ72-DY72)/DY72*100)</f>
        <v>0</v>
      </c>
      <c r="EB72" s="833">
        <f>IF(EB74=0,0,(EB73*EB74+EB75*EB76*6)/EB74)</f>
        <v>0</v>
      </c>
      <c r="EC72" s="833">
        <f>IF(EC74=0,0,(EC73*EC74+EC75*EC76*6)/EC74)</f>
        <v>0</v>
      </c>
      <c r="ED72" s="723">
        <f>IF(EB72=0,0,(EC72-EB72)/EB72*100)</f>
        <v>0</v>
      </c>
      <c r="EE72" s="833">
        <f>IF(EE74=0,0,(EE73*EE74+EE75*EE76*6)/EE74)</f>
        <v>0</v>
      </c>
      <c r="EF72" s="833">
        <f>IF(EF74=0,0,(EF73*EF74+EF75*EF76*6)/EF74)</f>
        <v>0</v>
      </c>
      <c r="EG72" s="723">
        <f>IF(EE72=0,0,(EF72-EE72)/EE72*100)</f>
        <v>0</v>
      </c>
      <c r="EH72" s="833">
        <f>IF(EH74=0,0,(EH73*EH74+EH75*EH76*6)/EH74)</f>
        <v>0</v>
      </c>
      <c r="EI72" s="833">
        <f>IF(EI74=0,0,(EI73*EI74+EI75*EI76*6)/EI74)</f>
        <v>0</v>
      </c>
      <c r="EJ72" s="723">
        <f>IF(EH72=0,0,(EI72-EH72)/EH72*100)</f>
        <v>0</v>
      </c>
      <c r="EK72" s="833">
        <f>IF(EK74=0,0,(EK73*EK74+EK75*EK76*6)/EK74)</f>
        <v>0</v>
      </c>
      <c r="EL72" s="833">
        <f>IF(EL74=0,0,(EL73*EL74+EL75*EL76*6)/EL74)</f>
        <v>0</v>
      </c>
      <c r="EM72" s="723">
        <f>IF(EK72=0,0,(EL72-EK72)/EK72*100)</f>
        <v>0</v>
      </c>
      <c r="EN72" s="833">
        <f>IF(EN74=0,0,(EN73*EN74+EN75*EN76*6)/EN74)</f>
        <v>0</v>
      </c>
      <c r="EO72" s="833">
        <f>IF(EO74=0,0,(EO73*EO74+EO75*EO76*6)/EO74)</f>
        <v>0</v>
      </c>
      <c r="EP72" s="723">
        <f>IF(EN72=0,0,(EO72-EN72)/EN72*100)</f>
        <v>0</v>
      </c>
      <c r="EQ72" s="833">
        <f>IF(EQ74=0,0,(EQ73*EQ74+EQ75*EQ76*6)/EQ74)</f>
        <v>0</v>
      </c>
      <c r="ER72" s="833">
        <f>IF(ER74=0,0,(ER73*ER74+ER75*ER76*6)/ER74)</f>
        <v>0</v>
      </c>
      <c r="ES72" s="723">
        <f>IF(EQ72=0,0,(ER72-EQ72)/EQ72*100)</f>
        <v>0</v>
      </c>
      <c r="ET72" s="833">
        <f>IF(ET74=0,0,(ET73*ET74+ET75*ET76*6)/ET74)</f>
        <v>0</v>
      </c>
      <c r="EU72" s="833">
        <f>IF(EU74=0,0,(EU73*EU74+EU75*EU76*6)/EU74)</f>
        <v>0</v>
      </c>
      <c r="EV72" s="723">
        <f>IF(ET72=0,0,(EU72-ET72)/ET72*100)</f>
        <v>0</v>
      </c>
      <c r="EW72" s="833">
        <f>IF(EW74=0,0,(EW73*EW74+EW75*EW76*6)/EW74)</f>
        <v>0</v>
      </c>
      <c r="EX72" s="833">
        <f>IF(EX74=0,0,(EX73*EX74+EX75*EX76*6)/EX74)</f>
        <v>0</v>
      </c>
      <c r="EY72" s="723">
        <f>IF(EW72=0,0,(EX72-EW72)/EW72*100)</f>
        <v>0</v>
      </c>
      <c r="EZ72" s="833">
        <f>IF(EZ74=0,0,(EZ73*EZ74+EZ75*EZ76*6)/EZ74)</f>
        <v>0</v>
      </c>
      <c r="FA72" s="833">
        <f>IF(FA74=0,0,(FA73*FA74+FA75*FA76*6)/FA74)</f>
        <v>0</v>
      </c>
      <c r="FB72" s="723">
        <f>IF(EZ72=0,0,(FA72-EZ72)/EZ72*100)</f>
        <v>0</v>
      </c>
      <c r="FC72" s="833">
        <f>IF(FC74=0,0,(FC73*FC74+FC75*FC76*6)/FC74)</f>
        <v>0</v>
      </c>
      <c r="FD72" s="833">
        <f>IF(FD74=0,0,(FD73*FD74+FD75*FD76*6)/FD74)</f>
        <v>0</v>
      </c>
      <c r="FE72" s="723">
        <f>IF(FC72=0,0,(FD72-FC72)/FC72*100)</f>
        <v>0</v>
      </c>
      <c r="FF72" s="833">
        <f>IF(FF74=0,0,(FF73*FF74+FF75*FF76*6)/FF74)</f>
        <v>0</v>
      </c>
      <c r="FG72" s="833">
        <f>IF(FG74=0,0,(FG73*FG74+FG75*FG76*6)/FG74)</f>
        <v>0</v>
      </c>
      <c r="FH72" s="723">
        <f>IF(FF72=0,0,(FG72-FF72)/FF72*100)</f>
        <v>0</v>
      </c>
      <c r="FI72" s="833">
        <f>IF(FI74=0,0,(FI73*FI74+FI75*FI76*6)/FI74)</f>
        <v>0</v>
      </c>
      <c r="FJ72" s="833">
        <f>IF(FJ74=0,0,(FJ73*FJ74+FJ75*FJ76*6)/FJ74)</f>
        <v>0</v>
      </c>
      <c r="FK72" s="723">
        <f>IF(FI72=0,0,(FJ72-FI72)/FI72*100)</f>
        <v>0</v>
      </c>
      <c r="FL72" s="833">
        <f>IF(FL74=0,0,(FL73*FL74+FL75*FL76*6)/FL74)</f>
        <v>0</v>
      </c>
      <c r="FM72" s="833">
        <f>IF(FM74=0,0,(FM73*FM74+FM75*FM76*6)/FM74)</f>
        <v>0</v>
      </c>
      <c r="FN72" s="723">
        <f>IF(FL72=0,0,(FM72-FL72)/FL72*100)</f>
        <v>0</v>
      </c>
      <c r="FO72" s="833">
        <f>IF(FO74=0,0,(FO73*FO74+FO75*FO76*6)/FO74)</f>
        <v>0</v>
      </c>
      <c r="FP72" s="833">
        <f>IF(FP74=0,0,(FP73*FP74+FP75*FP76*6)/FP74)</f>
        <v>0</v>
      </c>
      <c r="FQ72" s="723">
        <f>IF(FO72=0,0,(FP72-FO72)/FO72*100)</f>
        <v>0</v>
      </c>
      <c r="FR72" s="833">
        <f>IF(FR74=0,0,(FR73*FR74+FR75*FR76*6)/FR74)</f>
        <v>0</v>
      </c>
      <c r="FS72" s="833">
        <f>IF(FS74=0,0,(FS73*FS74+FS75*FS76*6)/FS74)</f>
        <v>0</v>
      </c>
      <c r="FT72" s="723">
        <f>IF(FR72=0,0,(FS72-FR72)/FR72*100)</f>
        <v>0</v>
      </c>
      <c r="FU72" s="833">
        <f>IF(FU74=0,0,(FU73*FU74+FU75*FU76*6)/FU74)</f>
        <v>0</v>
      </c>
      <c r="FV72" s="833">
        <f>IF(FV74=0,0,(FV73*FV74+FV75*FV76*6)/FV74)</f>
        <v>0</v>
      </c>
      <c r="FW72" s="723">
        <f>IF(FU72=0,0,(FV72-FU72)/FU72*100)</f>
        <v>0</v>
      </c>
      <c r="FZ72" s="700" t="s">
        <v>1691</v>
      </c>
      <c r="GA72" s="680" t="s">
        <v>865</v>
      </c>
      <c r="GB72" s="702" cm="1">
        <f t="array" ref="GB72">AB71</f>
        <v>0</v>
      </c>
    </row>
    <row r="73" spans="1:186" ht="14.65" hidden="1" customHeight="1">
      <c r="A73" s="78"/>
      <c r="B73" s="622" t="b" cm="1">
        <f t="array" ref="B73">B72</f>
        <v>0</v>
      </c>
      <c r="C73" s="78"/>
      <c r="D73" s="78"/>
      <c r="E73" s="473">
        <v>15</v>
      </c>
      <c r="F73" s="3" cm="1">
        <f t="array" aca="1" ref="F73" ca="1">OFFSET(E73,-1,1)</f>
        <v>0</v>
      </c>
      <c r="G73" s="78"/>
      <c r="H73" s="78" t="s">
        <v>1566</v>
      </c>
      <c r="I73" s="78" cm="1">
        <f t="array" ref="I73">I72</f>
        <v>0</v>
      </c>
      <c r="J73" s="78"/>
      <c r="K73" s="78"/>
      <c r="L73" s="78"/>
      <c r="M73" s="78"/>
      <c r="N73" s="78"/>
      <c r="O73" s="78"/>
      <c r="P73" s="78"/>
      <c r="Q73" s="78"/>
      <c r="R73" s="78"/>
      <c r="S73" s="78"/>
      <c r="T73" s="365" t="b" cm="1">
        <f t="array" aca="1" ref="T73" ca="1">T72</f>
        <v>0</v>
      </c>
      <c r="U73" s="78"/>
      <c r="V73" s="78"/>
      <c r="W73" s="78"/>
      <c r="X73" s="1094"/>
      <c r="Y73" s="1094"/>
      <c r="Z73" s="1064"/>
      <c r="AA73" s="1169"/>
      <c r="AB73" s="124" t="str">
        <f>"ставка платы за "&amp;IF(Q29="Водоснабжение","потребление 1 куб.м холодной воды","объем принятых сточных вод")</f>
        <v>ставка платы за объем принятых сточных вод</v>
      </c>
      <c r="AC73" s="31" t="s">
        <v>1624</v>
      </c>
      <c r="AD73" s="833"/>
      <c r="AE73" s="833"/>
      <c r="AF73" s="723">
        <f>IF(AD73=0,0,(AE73-AD73)/AD73*100)</f>
        <v>0</v>
      </c>
      <c r="AG73" s="833"/>
      <c r="AH73" s="833"/>
      <c r="AI73" s="723">
        <f>IF(AG73=0,0,(AH73-AG73)/AG73*100)</f>
        <v>0</v>
      </c>
      <c r="AJ73" s="833"/>
      <c r="AK73" s="833"/>
      <c r="AL73" s="723">
        <f>IF(AJ73=0,0,(AK73-AJ73)/AJ73*100)</f>
        <v>0</v>
      </c>
      <c r="AM73" s="833"/>
      <c r="AN73" s="833"/>
      <c r="AO73" s="723">
        <f>IF(AM73=0,0,(AN73-AM73)/AM73*100)</f>
        <v>0</v>
      </c>
      <c r="AP73" s="833"/>
      <c r="AQ73" s="833"/>
      <c r="AR73" s="723">
        <f>IF(AP73=0,0,(AQ73-AP73)/AP73*100)</f>
        <v>0</v>
      </c>
      <c r="AS73" s="833"/>
      <c r="AT73" s="833"/>
      <c r="AU73" s="723">
        <f>IF(AS73=0,0,(AT73-AS73)/AS73*100)</f>
        <v>0</v>
      </c>
      <c r="AV73" s="833"/>
      <c r="AW73" s="833"/>
      <c r="AX73" s="723">
        <f>IF(AV73=0,0,(AW73-AV73)/AV73*100)</f>
        <v>0</v>
      </c>
      <c r="AY73" s="833"/>
      <c r="AZ73" s="833"/>
      <c r="BA73" s="723">
        <f>IF(AY73=0,0,(AZ73-AY73)/AY73*100)</f>
        <v>0</v>
      </c>
      <c r="BB73" s="833"/>
      <c r="BC73" s="833"/>
      <c r="BD73" s="723">
        <f>IF(BB73=0,0,(BC73-BB73)/BB73*100)</f>
        <v>0</v>
      </c>
      <c r="BE73" s="833"/>
      <c r="BF73" s="833"/>
      <c r="BG73" s="723">
        <f>IF(BE73=0,0,(BF73-BE73)/BE73*100)</f>
        <v>0</v>
      </c>
      <c r="BH73" s="833"/>
      <c r="BI73" s="833"/>
      <c r="BJ73" s="723">
        <f>IF(BH73=0,0,(BI73-BH73)/BH73*100)</f>
        <v>0</v>
      </c>
      <c r="BK73" s="833"/>
      <c r="BL73" s="833"/>
      <c r="BM73" s="723">
        <f>IF(BK73=0,0,(BL73-BK73)/BK73*100)</f>
        <v>0</v>
      </c>
      <c r="BN73" s="833"/>
      <c r="BO73" s="833"/>
      <c r="BP73" s="723">
        <f>IF(BN73=0,0,(BO73-BN73)/BN73*100)</f>
        <v>0</v>
      </c>
      <c r="BQ73" s="833"/>
      <c r="BR73" s="833"/>
      <c r="BS73" s="723">
        <f>IF(BQ73=0,0,(BR73-BQ73)/BQ73*100)</f>
        <v>0</v>
      </c>
      <c r="BT73" s="833"/>
      <c r="BU73" s="833"/>
      <c r="BV73" s="723">
        <f>IF(BT73=0,0,(BU73-BT73)/BT73*100)</f>
        <v>0</v>
      </c>
      <c r="BW73" s="833"/>
      <c r="BX73" s="833"/>
      <c r="BY73" s="723">
        <f>IF(BW73=0,0,(BX73-BW73)/BW73*100)</f>
        <v>0</v>
      </c>
      <c r="BZ73" s="833"/>
      <c r="CA73" s="833"/>
      <c r="CB73" s="723">
        <f>IF(BZ73=0,0,(CA73-BZ73)/BZ73*100)</f>
        <v>0</v>
      </c>
      <c r="CC73" s="833"/>
      <c r="CD73" s="833"/>
      <c r="CE73" s="723">
        <f>IF(CC73=0,0,(CD73-CC73)/CC73*100)</f>
        <v>0</v>
      </c>
      <c r="CF73" s="833"/>
      <c r="CG73" s="833"/>
      <c r="CH73" s="723">
        <f>IF(CF73=0,0,(CG73-CF73)/CF73*100)</f>
        <v>0</v>
      </c>
      <c r="CI73" s="833"/>
      <c r="CJ73" s="833"/>
      <c r="CK73" s="723">
        <f>IF(CI73=0,0,(CJ73-CI73)/CI73*100)</f>
        <v>0</v>
      </c>
      <c r="CL73" s="833"/>
      <c r="CM73" s="833"/>
      <c r="CN73" s="723">
        <f>IF(CL73=0,0,(CM73-CL73)/CL73*100)</f>
        <v>0</v>
      </c>
      <c r="CO73" s="833"/>
      <c r="CP73" s="833"/>
      <c r="CQ73" s="723">
        <f>IF(CO73=0,0,(CP73-CO73)/CO73*100)</f>
        <v>0</v>
      </c>
      <c r="CR73" s="833"/>
      <c r="CS73" s="833"/>
      <c r="CT73" s="723">
        <f>IF(CR73=0,0,(CS73-CR73)/CR73*100)</f>
        <v>0</v>
      </c>
      <c r="CU73" s="833"/>
      <c r="CV73" s="833"/>
      <c r="CW73" s="723">
        <f>IF(CU73=0,0,(CV73-CU73)/CU73*100)</f>
        <v>0</v>
      </c>
      <c r="CX73" s="833"/>
      <c r="CY73" s="833"/>
      <c r="CZ73" s="723">
        <f>IF(CX73=0,0,(CY73-CX73)/CX73*100)</f>
        <v>0</v>
      </c>
      <c r="DA73" s="833"/>
      <c r="DB73" s="833"/>
      <c r="DC73" s="723">
        <f>IF(DA73=0,0,(DB73-DA73)/DA73*100)</f>
        <v>0</v>
      </c>
      <c r="DD73" s="833"/>
      <c r="DE73" s="833"/>
      <c r="DF73" s="723">
        <f>IF(DD73=0,0,(DE73-DD73)/DD73*100)</f>
        <v>0</v>
      </c>
      <c r="DG73" s="833"/>
      <c r="DH73" s="833"/>
      <c r="DI73" s="723">
        <f>IF(DG73=0,0,(DH73-DG73)/DG73*100)</f>
        <v>0</v>
      </c>
      <c r="DJ73" s="833"/>
      <c r="DK73" s="833"/>
      <c r="DL73" s="723">
        <f>IF(DJ73=0,0,(DK73-DJ73)/DJ73*100)</f>
        <v>0</v>
      </c>
      <c r="DM73" s="833"/>
      <c r="DN73" s="833"/>
      <c r="DO73" s="723">
        <f>IF(DM73=0,0,(DN73-DM73)/DM73*100)</f>
        <v>0</v>
      </c>
      <c r="DP73" s="833"/>
      <c r="DQ73" s="833"/>
      <c r="DR73" s="723">
        <f>IF(DP73=0,0,(DQ73-DP73)/DP73*100)</f>
        <v>0</v>
      </c>
      <c r="DS73" s="833"/>
      <c r="DT73" s="833"/>
      <c r="DU73" s="723">
        <f>IF(DS73=0,0,(DT73-DS73)/DS73*100)</f>
        <v>0</v>
      </c>
      <c r="DV73" s="833"/>
      <c r="DW73" s="833"/>
      <c r="DX73" s="723">
        <f>IF(DV73=0,0,(DW73-DV73)/DV73*100)</f>
        <v>0</v>
      </c>
      <c r="DY73" s="833"/>
      <c r="DZ73" s="833"/>
      <c r="EA73" s="723">
        <f>IF(DY73=0,0,(DZ73-DY73)/DY73*100)</f>
        <v>0</v>
      </c>
      <c r="EB73" s="833"/>
      <c r="EC73" s="833"/>
      <c r="ED73" s="723">
        <f>IF(EB73=0,0,(EC73-EB73)/EB73*100)</f>
        <v>0</v>
      </c>
      <c r="EE73" s="833"/>
      <c r="EF73" s="833"/>
      <c r="EG73" s="723">
        <f>IF(EE73=0,0,(EF73-EE73)/EE73*100)</f>
        <v>0</v>
      </c>
      <c r="EH73" s="833"/>
      <c r="EI73" s="833"/>
      <c r="EJ73" s="723">
        <f>IF(EH73=0,0,(EI73-EH73)/EH73*100)</f>
        <v>0</v>
      </c>
      <c r="EK73" s="833"/>
      <c r="EL73" s="833"/>
      <c r="EM73" s="723">
        <f>IF(EK73=0,0,(EL73-EK73)/EK73*100)</f>
        <v>0</v>
      </c>
      <c r="EN73" s="833"/>
      <c r="EO73" s="833"/>
      <c r="EP73" s="723">
        <f>IF(EN73=0,0,(EO73-EN73)/EN73*100)</f>
        <v>0</v>
      </c>
      <c r="EQ73" s="833"/>
      <c r="ER73" s="833"/>
      <c r="ES73" s="723">
        <f>IF(EQ73=0,0,(ER73-EQ73)/EQ73*100)</f>
        <v>0</v>
      </c>
      <c r="ET73" s="833"/>
      <c r="EU73" s="833"/>
      <c r="EV73" s="723">
        <f>IF(ET73=0,0,(EU73-ET73)/ET73*100)</f>
        <v>0</v>
      </c>
      <c r="EW73" s="833"/>
      <c r="EX73" s="833"/>
      <c r="EY73" s="723">
        <f>IF(EW73=0,0,(EX73-EW73)/EW73*100)</f>
        <v>0</v>
      </c>
      <c r="EZ73" s="833"/>
      <c r="FA73" s="833"/>
      <c r="FB73" s="723">
        <f>IF(EZ73=0,0,(FA73-EZ73)/EZ73*100)</f>
        <v>0</v>
      </c>
      <c r="FC73" s="833"/>
      <c r="FD73" s="833"/>
      <c r="FE73" s="723">
        <f>IF(FC73=0,0,(FD73-FC73)/FC73*100)</f>
        <v>0</v>
      </c>
      <c r="FF73" s="833"/>
      <c r="FG73" s="833"/>
      <c r="FH73" s="723">
        <f>IF(FF73=0,0,(FG73-FF73)/FF73*100)</f>
        <v>0</v>
      </c>
      <c r="FI73" s="833"/>
      <c r="FJ73" s="833"/>
      <c r="FK73" s="723">
        <f>IF(FI73=0,0,(FJ73-FI73)/FI73*100)</f>
        <v>0</v>
      </c>
      <c r="FL73" s="833"/>
      <c r="FM73" s="833"/>
      <c r="FN73" s="723">
        <f>IF(FL73=0,0,(FM73-FL73)/FL73*100)</f>
        <v>0</v>
      </c>
      <c r="FO73" s="833"/>
      <c r="FP73" s="833"/>
      <c r="FQ73" s="723">
        <f>IF(FO73=0,0,(FP73-FO73)/FO73*100)</f>
        <v>0</v>
      </c>
      <c r="FR73" s="833"/>
      <c r="FS73" s="833"/>
      <c r="FT73" s="723">
        <f>IF(FR73=0,0,(FS73-FR73)/FR73*100)</f>
        <v>0</v>
      </c>
      <c r="FU73" s="833"/>
      <c r="FV73" s="833"/>
      <c r="FW73" s="723">
        <f>IF(FU73=0,0,(FV73-FU73)/FU73*100)</f>
        <v>0</v>
      </c>
      <c r="FZ73" s="700" t="s">
        <v>1692</v>
      </c>
      <c r="GA73" s="680" t="s">
        <v>865</v>
      </c>
      <c r="GB73" s="680" cm="1">
        <f t="array" ref="GB73">GB72</f>
        <v>0</v>
      </c>
    </row>
    <row r="74" spans="1:186" ht="14.65" hidden="1" customHeight="1">
      <c r="A74" s="78"/>
      <c r="B74" s="622" t="b" cm="1">
        <f t="array" ref="B74">B73</f>
        <v>0</v>
      </c>
      <c r="C74" s="78"/>
      <c r="D74" s="78"/>
      <c r="E74" s="473">
        <v>15</v>
      </c>
      <c r="F74" s="3" cm="1">
        <f t="array" aca="1" ref="F74" ca="1">OFFSET(E74,-1,1)</f>
        <v>0</v>
      </c>
      <c r="G74" s="78"/>
      <c r="H74" s="78" t="s">
        <v>1661</v>
      </c>
      <c r="I74" s="78" cm="1">
        <f t="array" ref="I74">I73</f>
        <v>0</v>
      </c>
      <c r="J74" s="78"/>
      <c r="K74" s="78"/>
      <c r="L74" s="78"/>
      <c r="M74" s="78"/>
      <c r="N74" s="78"/>
      <c r="O74" s="78"/>
      <c r="P74" s="78"/>
      <c r="Q74" s="78"/>
      <c r="R74" s="78"/>
      <c r="S74" s="78"/>
      <c r="T74" s="365" t="b" cm="1">
        <f t="array" aca="1" ref="T74" ca="1">T73</f>
        <v>0</v>
      </c>
      <c r="U74" s="78"/>
      <c r="V74" s="78"/>
      <c r="W74" s="78"/>
      <c r="X74" s="1094"/>
      <c r="Y74" s="1094"/>
      <c r="Z74" s="1064"/>
      <c r="AA74" s="1169"/>
      <c r="AB74" s="124" t="str">
        <f>"объём "&amp;IF(Q29="Водоснабжение","потребления холодной воды","водоотведения")</f>
        <v>объём водоотведения</v>
      </c>
      <c r="AC74" s="31" t="s">
        <v>534</v>
      </c>
      <c r="AD74" s="849"/>
      <c r="AE74" s="849"/>
      <c r="AF74" s="724">
        <f>IF(AD74=0,0,(AE74-AD74)/AD74*100)</f>
        <v>0</v>
      </c>
      <c r="AG74" s="849"/>
      <c r="AH74" s="849"/>
      <c r="AI74" s="724">
        <f>IF(AG74=0,0,(AH74-AG74)/AG74*100)</f>
        <v>0</v>
      </c>
      <c r="AJ74" s="849"/>
      <c r="AK74" s="849"/>
      <c r="AL74" s="724">
        <f>IF(AJ74=0,0,(AK74-AJ74)/AJ74*100)</f>
        <v>0</v>
      </c>
      <c r="AM74" s="849"/>
      <c r="AN74" s="849"/>
      <c r="AO74" s="724">
        <f>IF(AM74=0,0,(AN74-AM74)/AM74*100)</f>
        <v>0</v>
      </c>
      <c r="AP74" s="849"/>
      <c r="AQ74" s="849"/>
      <c r="AR74" s="724">
        <f>IF(AP74=0,0,(AQ74-AP74)/AP74*100)</f>
        <v>0</v>
      </c>
      <c r="AS74" s="849"/>
      <c r="AT74" s="849"/>
      <c r="AU74" s="724">
        <f>IF(AS74=0,0,(AT74-AS74)/AS74*100)</f>
        <v>0</v>
      </c>
      <c r="AV74" s="849"/>
      <c r="AW74" s="849"/>
      <c r="AX74" s="724">
        <f>IF(AV74=0,0,(AW74-AV74)/AV74*100)</f>
        <v>0</v>
      </c>
      <c r="AY74" s="849"/>
      <c r="AZ74" s="849"/>
      <c r="BA74" s="724">
        <f>IF(AY74=0,0,(AZ74-AY74)/AY74*100)</f>
        <v>0</v>
      </c>
      <c r="BB74" s="849"/>
      <c r="BC74" s="849"/>
      <c r="BD74" s="724">
        <f>IF(BB74=0,0,(BC74-BB74)/BB74*100)</f>
        <v>0</v>
      </c>
      <c r="BE74" s="849"/>
      <c r="BF74" s="849"/>
      <c r="BG74" s="724">
        <f>IF(BE74=0,0,(BF74-BE74)/BE74*100)</f>
        <v>0</v>
      </c>
      <c r="BH74" s="849"/>
      <c r="BI74" s="849"/>
      <c r="BJ74" s="724">
        <f>IF(BH74=0,0,(BI74-BH74)/BH74*100)</f>
        <v>0</v>
      </c>
      <c r="BK74" s="849"/>
      <c r="BL74" s="849"/>
      <c r="BM74" s="724">
        <f>IF(BK74=0,0,(BL74-BK74)/BK74*100)</f>
        <v>0</v>
      </c>
      <c r="BN74" s="849"/>
      <c r="BO74" s="849"/>
      <c r="BP74" s="724">
        <f>IF(BN74=0,0,(BO74-BN74)/BN74*100)</f>
        <v>0</v>
      </c>
      <c r="BQ74" s="849"/>
      <c r="BR74" s="849"/>
      <c r="BS74" s="724">
        <f>IF(BQ74=0,0,(BR74-BQ74)/BQ74*100)</f>
        <v>0</v>
      </c>
      <c r="BT74" s="849"/>
      <c r="BU74" s="849"/>
      <c r="BV74" s="724">
        <f>IF(BT74=0,0,(BU74-BT74)/BT74*100)</f>
        <v>0</v>
      </c>
      <c r="BW74" s="849"/>
      <c r="BX74" s="849"/>
      <c r="BY74" s="724">
        <f>IF(BW74=0,0,(BX74-BW74)/BW74*100)</f>
        <v>0</v>
      </c>
      <c r="BZ74" s="849"/>
      <c r="CA74" s="849"/>
      <c r="CB74" s="724">
        <f>IF(BZ74=0,0,(CA74-BZ74)/BZ74*100)</f>
        <v>0</v>
      </c>
      <c r="CC74" s="849"/>
      <c r="CD74" s="849"/>
      <c r="CE74" s="724">
        <f>IF(CC74=0,0,(CD74-CC74)/CC74*100)</f>
        <v>0</v>
      </c>
      <c r="CF74" s="849"/>
      <c r="CG74" s="849"/>
      <c r="CH74" s="724">
        <f>IF(CF74=0,0,(CG74-CF74)/CF74*100)</f>
        <v>0</v>
      </c>
      <c r="CI74" s="849"/>
      <c r="CJ74" s="849"/>
      <c r="CK74" s="724">
        <f>IF(CI74=0,0,(CJ74-CI74)/CI74*100)</f>
        <v>0</v>
      </c>
      <c r="CL74" s="849"/>
      <c r="CM74" s="849"/>
      <c r="CN74" s="724">
        <f>IF(CL74=0,0,(CM74-CL74)/CL74*100)</f>
        <v>0</v>
      </c>
      <c r="CO74" s="849"/>
      <c r="CP74" s="849"/>
      <c r="CQ74" s="724">
        <f>IF(CO74=0,0,(CP74-CO74)/CO74*100)</f>
        <v>0</v>
      </c>
      <c r="CR74" s="849"/>
      <c r="CS74" s="849"/>
      <c r="CT74" s="724">
        <f>IF(CR74=0,0,(CS74-CR74)/CR74*100)</f>
        <v>0</v>
      </c>
      <c r="CU74" s="849"/>
      <c r="CV74" s="849"/>
      <c r="CW74" s="724">
        <f>IF(CU74=0,0,(CV74-CU74)/CU74*100)</f>
        <v>0</v>
      </c>
      <c r="CX74" s="849"/>
      <c r="CY74" s="849"/>
      <c r="CZ74" s="724">
        <f>IF(CX74=0,0,(CY74-CX74)/CX74*100)</f>
        <v>0</v>
      </c>
      <c r="DA74" s="849"/>
      <c r="DB74" s="849"/>
      <c r="DC74" s="724">
        <f>IF(DA74=0,0,(DB74-DA74)/DA74*100)</f>
        <v>0</v>
      </c>
      <c r="DD74" s="849"/>
      <c r="DE74" s="849"/>
      <c r="DF74" s="724">
        <f>IF(DD74=0,0,(DE74-DD74)/DD74*100)</f>
        <v>0</v>
      </c>
      <c r="DG74" s="849"/>
      <c r="DH74" s="849"/>
      <c r="DI74" s="724">
        <f>IF(DG74=0,0,(DH74-DG74)/DG74*100)</f>
        <v>0</v>
      </c>
      <c r="DJ74" s="849"/>
      <c r="DK74" s="849"/>
      <c r="DL74" s="724">
        <f>IF(DJ74=0,0,(DK74-DJ74)/DJ74*100)</f>
        <v>0</v>
      </c>
      <c r="DM74" s="849"/>
      <c r="DN74" s="849"/>
      <c r="DO74" s="724">
        <f>IF(DM74=0,0,(DN74-DM74)/DM74*100)</f>
        <v>0</v>
      </c>
      <c r="DP74" s="849"/>
      <c r="DQ74" s="849"/>
      <c r="DR74" s="724">
        <f>IF(DP74=0,0,(DQ74-DP74)/DP74*100)</f>
        <v>0</v>
      </c>
      <c r="DS74" s="849"/>
      <c r="DT74" s="849"/>
      <c r="DU74" s="724">
        <f>IF(DS74=0,0,(DT74-DS74)/DS74*100)</f>
        <v>0</v>
      </c>
      <c r="DV74" s="849"/>
      <c r="DW74" s="849"/>
      <c r="DX74" s="724">
        <f>IF(DV74=0,0,(DW74-DV74)/DV74*100)</f>
        <v>0</v>
      </c>
      <c r="DY74" s="849"/>
      <c r="DZ74" s="849"/>
      <c r="EA74" s="724">
        <f>IF(DY74=0,0,(DZ74-DY74)/DY74*100)</f>
        <v>0</v>
      </c>
      <c r="EB74" s="849"/>
      <c r="EC74" s="849"/>
      <c r="ED74" s="724">
        <f>IF(EB74=0,0,(EC74-EB74)/EB74*100)</f>
        <v>0</v>
      </c>
      <c r="EE74" s="849"/>
      <c r="EF74" s="849"/>
      <c r="EG74" s="724">
        <f>IF(EE74=0,0,(EF74-EE74)/EE74*100)</f>
        <v>0</v>
      </c>
      <c r="EH74" s="849"/>
      <c r="EI74" s="849"/>
      <c r="EJ74" s="724">
        <f>IF(EH74=0,0,(EI74-EH74)/EH74*100)</f>
        <v>0</v>
      </c>
      <c r="EK74" s="849"/>
      <c r="EL74" s="849"/>
      <c r="EM74" s="724">
        <f>IF(EK74=0,0,(EL74-EK74)/EK74*100)</f>
        <v>0</v>
      </c>
      <c r="EN74" s="849"/>
      <c r="EO74" s="849"/>
      <c r="EP74" s="724">
        <f>IF(EN74=0,0,(EO74-EN74)/EN74*100)</f>
        <v>0</v>
      </c>
      <c r="EQ74" s="849"/>
      <c r="ER74" s="849"/>
      <c r="ES74" s="724">
        <f>IF(EQ74=0,0,(ER74-EQ74)/EQ74*100)</f>
        <v>0</v>
      </c>
      <c r="ET74" s="849"/>
      <c r="EU74" s="849"/>
      <c r="EV74" s="724">
        <f>IF(ET74=0,0,(EU74-ET74)/ET74*100)</f>
        <v>0</v>
      </c>
      <c r="EW74" s="849"/>
      <c r="EX74" s="849"/>
      <c r="EY74" s="724">
        <f>IF(EW74=0,0,(EX74-EW74)/EW74*100)</f>
        <v>0</v>
      </c>
      <c r="EZ74" s="849"/>
      <c r="FA74" s="849"/>
      <c r="FB74" s="724">
        <f>IF(EZ74=0,0,(FA74-EZ74)/EZ74*100)</f>
        <v>0</v>
      </c>
      <c r="FC74" s="849"/>
      <c r="FD74" s="849"/>
      <c r="FE74" s="724">
        <f>IF(FC74=0,0,(FD74-FC74)/FC74*100)</f>
        <v>0</v>
      </c>
      <c r="FF74" s="849"/>
      <c r="FG74" s="849"/>
      <c r="FH74" s="724">
        <f>IF(FF74=0,0,(FG74-FF74)/FF74*100)</f>
        <v>0</v>
      </c>
      <c r="FI74" s="849"/>
      <c r="FJ74" s="849"/>
      <c r="FK74" s="724">
        <f>IF(FI74=0,0,(FJ74-FI74)/FI74*100)</f>
        <v>0</v>
      </c>
      <c r="FL74" s="849"/>
      <c r="FM74" s="849"/>
      <c r="FN74" s="724">
        <f>IF(FL74=0,0,(FM74-FL74)/FL74*100)</f>
        <v>0</v>
      </c>
      <c r="FO74" s="849"/>
      <c r="FP74" s="849"/>
      <c r="FQ74" s="724">
        <f>IF(FO74=0,0,(FP74-FO74)/FO74*100)</f>
        <v>0</v>
      </c>
      <c r="FR74" s="849"/>
      <c r="FS74" s="849"/>
      <c r="FT74" s="724">
        <f>IF(FR74=0,0,(FS74-FR74)/FR74*100)</f>
        <v>0</v>
      </c>
      <c r="FU74" s="849"/>
      <c r="FV74" s="849"/>
      <c r="FW74" s="724">
        <f>IF(FU74=0,0,(FV74-FU74)/FU74*100)</f>
        <v>0</v>
      </c>
      <c r="FZ74" s="700" t="s">
        <v>1693</v>
      </c>
      <c r="GA74" s="680" t="s">
        <v>865</v>
      </c>
      <c r="GB74" s="680" cm="1">
        <f t="array" ref="GB74">GB73</f>
        <v>0</v>
      </c>
    </row>
    <row r="75" spans="1:186" ht="21.95" hidden="1" customHeight="1">
      <c r="A75" s="78"/>
      <c r="B75" s="622" t="b" cm="1">
        <f t="array" ref="B75">B74</f>
        <v>0</v>
      </c>
      <c r="C75" s="78"/>
      <c r="D75" s="78"/>
      <c r="E75" s="473">
        <v>22.5</v>
      </c>
      <c r="F75" s="3" cm="1">
        <f t="array" aca="1" ref="F75" ca="1">OFFSET(E75,-1,1)</f>
        <v>0</v>
      </c>
      <c r="G75" s="78"/>
      <c r="H75" s="78" t="s">
        <v>1663</v>
      </c>
      <c r="I75" s="78" cm="1">
        <f t="array" ref="I75">I74</f>
        <v>0</v>
      </c>
      <c r="J75" s="78"/>
      <c r="K75" s="78"/>
      <c r="L75" s="78"/>
      <c r="M75" s="78"/>
      <c r="N75" s="78"/>
      <c r="O75" s="78"/>
      <c r="P75" s="78"/>
      <c r="Q75" s="78"/>
      <c r="R75" s="78"/>
      <c r="S75" s="78"/>
      <c r="T75" s="365" t="b" cm="1">
        <f t="array" aca="1" ref="T75" ca="1">T74</f>
        <v>0</v>
      </c>
      <c r="U75" s="78"/>
      <c r="V75" s="78"/>
      <c r="W75" s="78"/>
      <c r="X75" s="1094"/>
      <c r="Y75" s="1094"/>
      <c r="Z75" s="1064"/>
      <c r="AA75" s="1169"/>
      <c r="AB75" s="12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31" t="s">
        <v>1664</v>
      </c>
      <c r="AD75" s="833"/>
      <c r="AE75" s="833"/>
      <c r="AF75" s="723">
        <f>IF(AD75=0,0,(AE75-AD75)/AD75*100)</f>
        <v>0</v>
      </c>
      <c r="AG75" s="833"/>
      <c r="AH75" s="833"/>
      <c r="AI75" s="723">
        <f>IF(AG75=0,0,(AH75-AG75)/AG75*100)</f>
        <v>0</v>
      </c>
      <c r="AJ75" s="833"/>
      <c r="AK75" s="833"/>
      <c r="AL75" s="723">
        <f>IF(AJ75=0,0,(AK75-AJ75)/AJ75*100)</f>
        <v>0</v>
      </c>
      <c r="AM75" s="833"/>
      <c r="AN75" s="833"/>
      <c r="AO75" s="723">
        <f>IF(AM75=0,0,(AN75-AM75)/AM75*100)</f>
        <v>0</v>
      </c>
      <c r="AP75" s="833"/>
      <c r="AQ75" s="833"/>
      <c r="AR75" s="723">
        <f>IF(AP75=0,0,(AQ75-AP75)/AP75*100)</f>
        <v>0</v>
      </c>
      <c r="AS75" s="833"/>
      <c r="AT75" s="833"/>
      <c r="AU75" s="723">
        <f>IF(AS75=0,0,(AT75-AS75)/AS75*100)</f>
        <v>0</v>
      </c>
      <c r="AV75" s="833"/>
      <c r="AW75" s="833"/>
      <c r="AX75" s="723">
        <f>IF(AV75=0,0,(AW75-AV75)/AV75*100)</f>
        <v>0</v>
      </c>
      <c r="AY75" s="833"/>
      <c r="AZ75" s="833"/>
      <c r="BA75" s="723">
        <f>IF(AY75=0,0,(AZ75-AY75)/AY75*100)</f>
        <v>0</v>
      </c>
      <c r="BB75" s="833"/>
      <c r="BC75" s="833"/>
      <c r="BD75" s="723">
        <f>IF(BB75=0,0,(BC75-BB75)/BB75*100)</f>
        <v>0</v>
      </c>
      <c r="BE75" s="833"/>
      <c r="BF75" s="833"/>
      <c r="BG75" s="723">
        <f>IF(BE75=0,0,(BF75-BE75)/BE75*100)</f>
        <v>0</v>
      </c>
      <c r="BH75" s="833"/>
      <c r="BI75" s="833"/>
      <c r="BJ75" s="723">
        <f>IF(BH75=0,0,(BI75-BH75)/BH75*100)</f>
        <v>0</v>
      </c>
      <c r="BK75" s="833"/>
      <c r="BL75" s="833"/>
      <c r="BM75" s="723">
        <f>IF(BK75=0,0,(BL75-BK75)/BK75*100)</f>
        <v>0</v>
      </c>
      <c r="BN75" s="833"/>
      <c r="BO75" s="833"/>
      <c r="BP75" s="723">
        <f>IF(BN75=0,0,(BO75-BN75)/BN75*100)</f>
        <v>0</v>
      </c>
      <c r="BQ75" s="833"/>
      <c r="BR75" s="833"/>
      <c r="BS75" s="723">
        <f>IF(BQ75=0,0,(BR75-BQ75)/BQ75*100)</f>
        <v>0</v>
      </c>
      <c r="BT75" s="833"/>
      <c r="BU75" s="833"/>
      <c r="BV75" s="723">
        <f>IF(BT75=0,0,(BU75-BT75)/BT75*100)</f>
        <v>0</v>
      </c>
      <c r="BW75" s="833"/>
      <c r="BX75" s="833"/>
      <c r="BY75" s="723">
        <f>IF(BW75=0,0,(BX75-BW75)/BW75*100)</f>
        <v>0</v>
      </c>
      <c r="BZ75" s="833"/>
      <c r="CA75" s="833"/>
      <c r="CB75" s="723">
        <f>IF(BZ75=0,0,(CA75-BZ75)/BZ75*100)</f>
        <v>0</v>
      </c>
      <c r="CC75" s="833"/>
      <c r="CD75" s="833"/>
      <c r="CE75" s="723">
        <f>IF(CC75=0,0,(CD75-CC75)/CC75*100)</f>
        <v>0</v>
      </c>
      <c r="CF75" s="833"/>
      <c r="CG75" s="833"/>
      <c r="CH75" s="723">
        <f>IF(CF75=0,0,(CG75-CF75)/CF75*100)</f>
        <v>0</v>
      </c>
      <c r="CI75" s="833"/>
      <c r="CJ75" s="833"/>
      <c r="CK75" s="723">
        <f>IF(CI75=0,0,(CJ75-CI75)/CI75*100)</f>
        <v>0</v>
      </c>
      <c r="CL75" s="833"/>
      <c r="CM75" s="833"/>
      <c r="CN75" s="723">
        <f>IF(CL75=0,0,(CM75-CL75)/CL75*100)</f>
        <v>0</v>
      </c>
      <c r="CO75" s="833"/>
      <c r="CP75" s="833"/>
      <c r="CQ75" s="723">
        <f>IF(CO75=0,0,(CP75-CO75)/CO75*100)</f>
        <v>0</v>
      </c>
      <c r="CR75" s="833"/>
      <c r="CS75" s="833"/>
      <c r="CT75" s="723">
        <f>IF(CR75=0,0,(CS75-CR75)/CR75*100)</f>
        <v>0</v>
      </c>
      <c r="CU75" s="833"/>
      <c r="CV75" s="833"/>
      <c r="CW75" s="723">
        <f>IF(CU75=0,0,(CV75-CU75)/CU75*100)</f>
        <v>0</v>
      </c>
      <c r="CX75" s="833"/>
      <c r="CY75" s="833"/>
      <c r="CZ75" s="723">
        <f>IF(CX75=0,0,(CY75-CX75)/CX75*100)</f>
        <v>0</v>
      </c>
      <c r="DA75" s="833"/>
      <c r="DB75" s="833"/>
      <c r="DC75" s="723">
        <f>IF(DA75=0,0,(DB75-DA75)/DA75*100)</f>
        <v>0</v>
      </c>
      <c r="DD75" s="833"/>
      <c r="DE75" s="833"/>
      <c r="DF75" s="723">
        <f>IF(DD75=0,0,(DE75-DD75)/DD75*100)</f>
        <v>0</v>
      </c>
      <c r="DG75" s="833"/>
      <c r="DH75" s="833"/>
      <c r="DI75" s="723">
        <f>IF(DG75=0,0,(DH75-DG75)/DG75*100)</f>
        <v>0</v>
      </c>
      <c r="DJ75" s="833"/>
      <c r="DK75" s="833"/>
      <c r="DL75" s="723">
        <f>IF(DJ75=0,0,(DK75-DJ75)/DJ75*100)</f>
        <v>0</v>
      </c>
      <c r="DM75" s="833"/>
      <c r="DN75" s="833"/>
      <c r="DO75" s="723">
        <f>IF(DM75=0,0,(DN75-DM75)/DM75*100)</f>
        <v>0</v>
      </c>
      <c r="DP75" s="833"/>
      <c r="DQ75" s="833"/>
      <c r="DR75" s="723">
        <f>IF(DP75=0,0,(DQ75-DP75)/DP75*100)</f>
        <v>0</v>
      </c>
      <c r="DS75" s="833"/>
      <c r="DT75" s="833"/>
      <c r="DU75" s="723">
        <f>IF(DS75=0,0,(DT75-DS75)/DS75*100)</f>
        <v>0</v>
      </c>
      <c r="DV75" s="833"/>
      <c r="DW75" s="833"/>
      <c r="DX75" s="723">
        <f>IF(DV75=0,0,(DW75-DV75)/DV75*100)</f>
        <v>0</v>
      </c>
      <c r="DY75" s="833"/>
      <c r="DZ75" s="833"/>
      <c r="EA75" s="723">
        <f>IF(DY75=0,0,(DZ75-DY75)/DY75*100)</f>
        <v>0</v>
      </c>
      <c r="EB75" s="833"/>
      <c r="EC75" s="833"/>
      <c r="ED75" s="723">
        <f>IF(EB75=0,0,(EC75-EB75)/EB75*100)</f>
        <v>0</v>
      </c>
      <c r="EE75" s="833"/>
      <c r="EF75" s="833"/>
      <c r="EG75" s="723">
        <f>IF(EE75=0,0,(EF75-EE75)/EE75*100)</f>
        <v>0</v>
      </c>
      <c r="EH75" s="833"/>
      <c r="EI75" s="833"/>
      <c r="EJ75" s="723">
        <f>IF(EH75=0,0,(EI75-EH75)/EH75*100)</f>
        <v>0</v>
      </c>
      <c r="EK75" s="833"/>
      <c r="EL75" s="833"/>
      <c r="EM75" s="723">
        <f>IF(EK75=0,0,(EL75-EK75)/EK75*100)</f>
        <v>0</v>
      </c>
      <c r="EN75" s="833"/>
      <c r="EO75" s="833"/>
      <c r="EP75" s="723">
        <f>IF(EN75=0,0,(EO75-EN75)/EN75*100)</f>
        <v>0</v>
      </c>
      <c r="EQ75" s="833"/>
      <c r="ER75" s="833"/>
      <c r="ES75" s="723">
        <f>IF(EQ75=0,0,(ER75-EQ75)/EQ75*100)</f>
        <v>0</v>
      </c>
      <c r="ET75" s="833"/>
      <c r="EU75" s="833"/>
      <c r="EV75" s="723">
        <f>IF(ET75=0,0,(EU75-ET75)/ET75*100)</f>
        <v>0</v>
      </c>
      <c r="EW75" s="833"/>
      <c r="EX75" s="833"/>
      <c r="EY75" s="723">
        <f>IF(EW75=0,0,(EX75-EW75)/EW75*100)</f>
        <v>0</v>
      </c>
      <c r="EZ75" s="833"/>
      <c r="FA75" s="833"/>
      <c r="FB75" s="723">
        <f>IF(EZ75=0,0,(FA75-EZ75)/EZ75*100)</f>
        <v>0</v>
      </c>
      <c r="FC75" s="833"/>
      <c r="FD75" s="833"/>
      <c r="FE75" s="723">
        <f>IF(FC75=0,0,(FD75-FC75)/FC75*100)</f>
        <v>0</v>
      </c>
      <c r="FF75" s="833"/>
      <c r="FG75" s="833"/>
      <c r="FH75" s="723">
        <f>IF(FF75=0,0,(FG75-FF75)/FF75*100)</f>
        <v>0</v>
      </c>
      <c r="FI75" s="833"/>
      <c r="FJ75" s="833"/>
      <c r="FK75" s="723">
        <f>IF(FI75=0,0,(FJ75-FI75)/FI75*100)</f>
        <v>0</v>
      </c>
      <c r="FL75" s="833"/>
      <c r="FM75" s="833"/>
      <c r="FN75" s="723">
        <f>IF(FL75=0,0,(FM75-FL75)/FL75*100)</f>
        <v>0</v>
      </c>
      <c r="FO75" s="833"/>
      <c r="FP75" s="833"/>
      <c r="FQ75" s="723">
        <f>IF(FO75=0,0,(FP75-FO75)/FO75*100)</f>
        <v>0</v>
      </c>
      <c r="FR75" s="833"/>
      <c r="FS75" s="833"/>
      <c r="FT75" s="723">
        <f>IF(FR75=0,0,(FS75-FR75)/FR75*100)</f>
        <v>0</v>
      </c>
      <c r="FU75" s="833"/>
      <c r="FV75" s="833"/>
      <c r="FW75" s="723">
        <f>IF(FU75=0,0,(FV75-FU75)/FU75*100)</f>
        <v>0</v>
      </c>
      <c r="FZ75" s="700" t="s">
        <v>1694</v>
      </c>
      <c r="GA75" s="680" t="s">
        <v>865</v>
      </c>
      <c r="GB75" s="680" cm="1">
        <f t="array" ref="GB75">GB74</f>
        <v>0</v>
      </c>
    </row>
    <row r="76" spans="1:186" ht="14.65" hidden="1" customHeight="1">
      <c r="A76" s="78"/>
      <c r="B76" s="622" t="b" cm="1">
        <f t="array" ref="B76">B75</f>
        <v>0</v>
      </c>
      <c r="C76" s="78"/>
      <c r="D76" s="78"/>
      <c r="E76" s="473">
        <v>15</v>
      </c>
      <c r="F76" s="3" cm="1">
        <f t="array" aca="1" ref="F76" ca="1">OFFSET(E76,-1,1)</f>
        <v>0</v>
      </c>
      <c r="G76" s="78"/>
      <c r="H76" s="78" t="s">
        <v>1666</v>
      </c>
      <c r="I76" s="78" cm="1">
        <f t="array" ref="I76">I75</f>
        <v>0</v>
      </c>
      <c r="J76" s="78"/>
      <c r="K76" s="78"/>
      <c r="L76" s="78"/>
      <c r="M76" s="78"/>
      <c r="N76" s="78"/>
      <c r="O76" s="78"/>
      <c r="P76" s="78"/>
      <c r="Q76" s="78"/>
      <c r="R76" s="78"/>
      <c r="S76" s="78"/>
      <c r="T76" s="365" t="b" cm="1">
        <f t="array" aca="1" ref="T76" ca="1">T75</f>
        <v>0</v>
      </c>
      <c r="U76" s="78"/>
      <c r="V76" s="78"/>
      <c r="W76" s="78"/>
      <c r="X76" s="1094"/>
      <c r="Y76" s="1094"/>
      <c r="Z76" s="1064"/>
      <c r="AA76" s="1169"/>
      <c r="AB76" s="124" t="s">
        <v>1667</v>
      </c>
      <c r="AC76" s="31" t="s">
        <v>1668</v>
      </c>
      <c r="AD76" s="833"/>
      <c r="AE76" s="833"/>
      <c r="AF76" s="723">
        <f>IF(AD76=0,0,(AE76-AD76)/AD76*100)</f>
        <v>0</v>
      </c>
      <c r="AG76" s="833"/>
      <c r="AH76" s="833"/>
      <c r="AI76" s="723">
        <f>IF(AG76=0,0,(AH76-AG76)/AG76*100)</f>
        <v>0</v>
      </c>
      <c r="AJ76" s="833"/>
      <c r="AK76" s="833"/>
      <c r="AL76" s="723">
        <f>IF(AJ76=0,0,(AK76-AJ76)/AJ76*100)</f>
        <v>0</v>
      </c>
      <c r="AM76" s="833"/>
      <c r="AN76" s="833"/>
      <c r="AO76" s="723">
        <f>IF(AM76=0,0,(AN76-AM76)/AM76*100)</f>
        <v>0</v>
      </c>
      <c r="AP76" s="833"/>
      <c r="AQ76" s="833"/>
      <c r="AR76" s="723">
        <f>IF(AP76=0,0,(AQ76-AP76)/AP76*100)</f>
        <v>0</v>
      </c>
      <c r="AS76" s="833"/>
      <c r="AT76" s="833"/>
      <c r="AU76" s="723">
        <f>IF(AS76=0,0,(AT76-AS76)/AS76*100)</f>
        <v>0</v>
      </c>
      <c r="AV76" s="833"/>
      <c r="AW76" s="833"/>
      <c r="AX76" s="723">
        <f>IF(AV76=0,0,(AW76-AV76)/AV76*100)</f>
        <v>0</v>
      </c>
      <c r="AY76" s="833"/>
      <c r="AZ76" s="833"/>
      <c r="BA76" s="723">
        <f>IF(AY76=0,0,(AZ76-AY76)/AY76*100)</f>
        <v>0</v>
      </c>
      <c r="BB76" s="833"/>
      <c r="BC76" s="833"/>
      <c r="BD76" s="723">
        <f>IF(BB76=0,0,(BC76-BB76)/BB76*100)</f>
        <v>0</v>
      </c>
      <c r="BE76" s="833"/>
      <c r="BF76" s="833"/>
      <c r="BG76" s="723">
        <f>IF(BE76=0,0,(BF76-BE76)/BE76*100)</f>
        <v>0</v>
      </c>
      <c r="BH76" s="833"/>
      <c r="BI76" s="833"/>
      <c r="BJ76" s="723">
        <f>IF(BH76=0,0,(BI76-BH76)/BH76*100)</f>
        <v>0</v>
      </c>
      <c r="BK76" s="833"/>
      <c r="BL76" s="833"/>
      <c r="BM76" s="723">
        <f>IF(BK76=0,0,(BL76-BK76)/BK76*100)</f>
        <v>0</v>
      </c>
      <c r="BN76" s="833"/>
      <c r="BO76" s="833"/>
      <c r="BP76" s="723">
        <f>IF(BN76=0,0,(BO76-BN76)/BN76*100)</f>
        <v>0</v>
      </c>
      <c r="BQ76" s="833"/>
      <c r="BR76" s="833"/>
      <c r="BS76" s="723">
        <f>IF(BQ76=0,0,(BR76-BQ76)/BQ76*100)</f>
        <v>0</v>
      </c>
      <c r="BT76" s="833"/>
      <c r="BU76" s="833"/>
      <c r="BV76" s="723">
        <f>IF(BT76=0,0,(BU76-BT76)/BT76*100)</f>
        <v>0</v>
      </c>
      <c r="BW76" s="833"/>
      <c r="BX76" s="833"/>
      <c r="BY76" s="723">
        <f>IF(BW76=0,0,(BX76-BW76)/BW76*100)</f>
        <v>0</v>
      </c>
      <c r="BZ76" s="833"/>
      <c r="CA76" s="833"/>
      <c r="CB76" s="723">
        <f>IF(BZ76=0,0,(CA76-BZ76)/BZ76*100)</f>
        <v>0</v>
      </c>
      <c r="CC76" s="833"/>
      <c r="CD76" s="833"/>
      <c r="CE76" s="723">
        <f>IF(CC76=0,0,(CD76-CC76)/CC76*100)</f>
        <v>0</v>
      </c>
      <c r="CF76" s="833"/>
      <c r="CG76" s="833"/>
      <c r="CH76" s="723">
        <f>IF(CF76=0,0,(CG76-CF76)/CF76*100)</f>
        <v>0</v>
      </c>
      <c r="CI76" s="833"/>
      <c r="CJ76" s="833"/>
      <c r="CK76" s="723">
        <f>IF(CI76=0,0,(CJ76-CI76)/CI76*100)</f>
        <v>0</v>
      </c>
      <c r="CL76" s="833"/>
      <c r="CM76" s="833"/>
      <c r="CN76" s="723">
        <f>IF(CL76=0,0,(CM76-CL76)/CL76*100)</f>
        <v>0</v>
      </c>
      <c r="CO76" s="833"/>
      <c r="CP76" s="833"/>
      <c r="CQ76" s="723">
        <f>IF(CO76=0,0,(CP76-CO76)/CO76*100)</f>
        <v>0</v>
      </c>
      <c r="CR76" s="833"/>
      <c r="CS76" s="833"/>
      <c r="CT76" s="723">
        <f>IF(CR76=0,0,(CS76-CR76)/CR76*100)</f>
        <v>0</v>
      </c>
      <c r="CU76" s="833"/>
      <c r="CV76" s="833"/>
      <c r="CW76" s="723">
        <f>IF(CU76=0,0,(CV76-CU76)/CU76*100)</f>
        <v>0</v>
      </c>
      <c r="CX76" s="833"/>
      <c r="CY76" s="833"/>
      <c r="CZ76" s="723">
        <f>IF(CX76=0,0,(CY76-CX76)/CX76*100)</f>
        <v>0</v>
      </c>
      <c r="DA76" s="833"/>
      <c r="DB76" s="833"/>
      <c r="DC76" s="723">
        <f>IF(DA76=0,0,(DB76-DA76)/DA76*100)</f>
        <v>0</v>
      </c>
      <c r="DD76" s="833"/>
      <c r="DE76" s="833"/>
      <c r="DF76" s="723">
        <f>IF(DD76=0,0,(DE76-DD76)/DD76*100)</f>
        <v>0</v>
      </c>
      <c r="DG76" s="833"/>
      <c r="DH76" s="833"/>
      <c r="DI76" s="723">
        <f>IF(DG76=0,0,(DH76-DG76)/DG76*100)</f>
        <v>0</v>
      </c>
      <c r="DJ76" s="833"/>
      <c r="DK76" s="833"/>
      <c r="DL76" s="723">
        <f>IF(DJ76=0,0,(DK76-DJ76)/DJ76*100)</f>
        <v>0</v>
      </c>
      <c r="DM76" s="833"/>
      <c r="DN76" s="833"/>
      <c r="DO76" s="723">
        <f>IF(DM76=0,0,(DN76-DM76)/DM76*100)</f>
        <v>0</v>
      </c>
      <c r="DP76" s="833"/>
      <c r="DQ76" s="833"/>
      <c r="DR76" s="723">
        <f>IF(DP76=0,0,(DQ76-DP76)/DP76*100)</f>
        <v>0</v>
      </c>
      <c r="DS76" s="833"/>
      <c r="DT76" s="833"/>
      <c r="DU76" s="723">
        <f>IF(DS76=0,0,(DT76-DS76)/DS76*100)</f>
        <v>0</v>
      </c>
      <c r="DV76" s="833"/>
      <c r="DW76" s="833"/>
      <c r="DX76" s="723">
        <f>IF(DV76=0,0,(DW76-DV76)/DV76*100)</f>
        <v>0</v>
      </c>
      <c r="DY76" s="833"/>
      <c r="DZ76" s="833"/>
      <c r="EA76" s="723">
        <f>IF(DY76=0,0,(DZ76-DY76)/DY76*100)</f>
        <v>0</v>
      </c>
      <c r="EB76" s="833"/>
      <c r="EC76" s="833"/>
      <c r="ED76" s="723">
        <f>IF(EB76=0,0,(EC76-EB76)/EB76*100)</f>
        <v>0</v>
      </c>
      <c r="EE76" s="833"/>
      <c r="EF76" s="833"/>
      <c r="EG76" s="723">
        <f>IF(EE76=0,0,(EF76-EE76)/EE76*100)</f>
        <v>0</v>
      </c>
      <c r="EH76" s="833"/>
      <c r="EI76" s="833"/>
      <c r="EJ76" s="723">
        <f>IF(EH76=0,0,(EI76-EH76)/EH76*100)</f>
        <v>0</v>
      </c>
      <c r="EK76" s="833"/>
      <c r="EL76" s="833"/>
      <c r="EM76" s="723">
        <f>IF(EK76=0,0,(EL76-EK76)/EK76*100)</f>
        <v>0</v>
      </c>
      <c r="EN76" s="833"/>
      <c r="EO76" s="833"/>
      <c r="EP76" s="723">
        <f>IF(EN76=0,0,(EO76-EN76)/EN76*100)</f>
        <v>0</v>
      </c>
      <c r="EQ76" s="833"/>
      <c r="ER76" s="833"/>
      <c r="ES76" s="723">
        <f>IF(EQ76=0,0,(ER76-EQ76)/EQ76*100)</f>
        <v>0</v>
      </c>
      <c r="ET76" s="833"/>
      <c r="EU76" s="833"/>
      <c r="EV76" s="723">
        <f>IF(ET76=0,0,(EU76-ET76)/ET76*100)</f>
        <v>0</v>
      </c>
      <c r="EW76" s="833"/>
      <c r="EX76" s="833"/>
      <c r="EY76" s="723">
        <f>IF(EW76=0,0,(EX76-EW76)/EW76*100)</f>
        <v>0</v>
      </c>
      <c r="EZ76" s="833"/>
      <c r="FA76" s="833"/>
      <c r="FB76" s="723">
        <f>IF(EZ76=0,0,(FA76-EZ76)/EZ76*100)</f>
        <v>0</v>
      </c>
      <c r="FC76" s="833"/>
      <c r="FD76" s="833"/>
      <c r="FE76" s="723">
        <f>IF(FC76=0,0,(FD76-FC76)/FC76*100)</f>
        <v>0</v>
      </c>
      <c r="FF76" s="833"/>
      <c r="FG76" s="833"/>
      <c r="FH76" s="723">
        <f>IF(FF76=0,0,(FG76-FF76)/FF76*100)</f>
        <v>0</v>
      </c>
      <c r="FI76" s="833"/>
      <c r="FJ76" s="833"/>
      <c r="FK76" s="723">
        <f>IF(FI76=0,0,(FJ76-FI76)/FI76*100)</f>
        <v>0</v>
      </c>
      <c r="FL76" s="833"/>
      <c r="FM76" s="833"/>
      <c r="FN76" s="723">
        <f>IF(FL76=0,0,(FM76-FL76)/FL76*100)</f>
        <v>0</v>
      </c>
      <c r="FO76" s="833"/>
      <c r="FP76" s="833"/>
      <c r="FQ76" s="723">
        <f>IF(FO76=0,0,(FP76-FO76)/FO76*100)</f>
        <v>0</v>
      </c>
      <c r="FR76" s="833"/>
      <c r="FS76" s="833"/>
      <c r="FT76" s="723">
        <f>IF(FR76=0,0,(FS76-FR76)/FR76*100)</f>
        <v>0</v>
      </c>
      <c r="FU76" s="833"/>
      <c r="FV76" s="833"/>
      <c r="FW76" s="723">
        <f>IF(FU76=0,0,(FV76-FU76)/FU76*100)</f>
        <v>0</v>
      </c>
      <c r="FZ76" s="700" t="s">
        <v>1695</v>
      </c>
      <c r="GA76" s="680" t="s">
        <v>865</v>
      </c>
      <c r="GB76" s="680" cm="1">
        <f t="array" ref="GB76">GB75</f>
        <v>0</v>
      </c>
    </row>
    <row r="77" spans="1:186" ht="18.600000000000001" hidden="1" customHeight="1">
      <c r="A77" s="78"/>
      <c r="B77" s="622" t="b" cm="1">
        <f t="array" ref="B77">B76</f>
        <v>0</v>
      </c>
      <c r="C77" s="78"/>
      <c r="D77" s="78"/>
      <c r="E77" s="473">
        <v>19</v>
      </c>
      <c r="F77" s="3" cm="1">
        <f t="array" aca="1" ref="F77" ca="1">OFFSET(E77,-1,1)</f>
        <v>0</v>
      </c>
      <c r="G77" s="78"/>
      <c r="H77" s="78"/>
      <c r="I77" s="78"/>
      <c r="J77" s="78"/>
      <c r="K77" s="78"/>
      <c r="L77" s="78"/>
      <c r="M77" s="78"/>
      <c r="N77" s="78"/>
      <c r="O77" s="78"/>
      <c r="P77" s="78"/>
      <c r="Q77" s="78"/>
      <c r="R77" s="78"/>
      <c r="S77" s="78"/>
      <c r="T77" s="365" t="b" cm="1">
        <f t="array" aca="1" ref="T77" ca="1">T76</f>
        <v>0</v>
      </c>
      <c r="U77" s="78"/>
      <c r="V77" s="78"/>
      <c r="W77" s="78"/>
      <c r="X77" s="1094"/>
      <c r="Y77" s="1094"/>
      <c r="Z77" s="1064"/>
      <c r="AA77" s="1169"/>
      <c r="AB77" s="944"/>
      <c r="AC77" s="594"/>
      <c r="AD77" s="729"/>
      <c r="AE77" s="730"/>
      <c r="AF77" s="730"/>
      <c r="AG77" s="729"/>
      <c r="AH77" s="730"/>
      <c r="AI77" s="730"/>
      <c r="AJ77" s="729"/>
      <c r="AK77" s="730"/>
      <c r="AL77" s="730"/>
      <c r="AM77" s="729"/>
      <c r="AN77" s="730"/>
      <c r="AO77" s="730"/>
      <c r="AP77" s="729"/>
      <c r="AQ77" s="730"/>
      <c r="AR77" s="730"/>
      <c r="AS77" s="729"/>
      <c r="AT77" s="730"/>
      <c r="AU77" s="730"/>
      <c r="AV77" s="729"/>
      <c r="AW77" s="730"/>
      <c r="AX77" s="730"/>
      <c r="AY77" s="729"/>
      <c r="AZ77" s="730"/>
      <c r="BA77" s="730"/>
      <c r="BB77" s="729"/>
      <c r="BC77" s="730"/>
      <c r="BD77" s="730"/>
      <c r="BE77" s="729"/>
      <c r="BF77" s="730"/>
      <c r="BG77" s="730"/>
      <c r="BH77" s="729"/>
      <c r="BI77" s="730"/>
      <c r="BJ77" s="730"/>
      <c r="BK77" s="729"/>
      <c r="BL77" s="730"/>
      <c r="BM77" s="730"/>
      <c r="BN77" s="729"/>
      <c r="BO77" s="730"/>
      <c r="BP77" s="730"/>
      <c r="BQ77" s="729"/>
      <c r="BR77" s="730"/>
      <c r="BS77" s="730"/>
      <c r="BT77" s="729"/>
      <c r="BU77" s="730"/>
      <c r="BV77" s="730"/>
      <c r="BW77" s="729"/>
      <c r="BX77" s="730"/>
      <c r="BY77" s="730"/>
      <c r="BZ77" s="729"/>
      <c r="CA77" s="730"/>
      <c r="CB77" s="730"/>
      <c r="CC77" s="729"/>
      <c r="CD77" s="730"/>
      <c r="CE77" s="730"/>
      <c r="CF77" s="729"/>
      <c r="CG77" s="730"/>
      <c r="CH77" s="730"/>
      <c r="CI77" s="729"/>
      <c r="CJ77" s="730"/>
      <c r="CK77" s="730"/>
      <c r="CL77" s="729"/>
      <c r="CM77" s="730"/>
      <c r="CN77" s="730"/>
      <c r="CO77" s="729"/>
      <c r="CP77" s="730"/>
      <c r="CQ77" s="730"/>
      <c r="CR77" s="729"/>
      <c r="CS77" s="730"/>
      <c r="CT77" s="730"/>
      <c r="CU77" s="729"/>
      <c r="CV77" s="730"/>
      <c r="CW77" s="730"/>
      <c r="CX77" s="729"/>
      <c r="CY77" s="730"/>
      <c r="CZ77" s="730"/>
      <c r="DA77" s="729"/>
      <c r="DB77" s="730"/>
      <c r="DC77" s="730"/>
      <c r="DD77" s="729"/>
      <c r="DE77" s="730"/>
      <c r="DF77" s="730"/>
      <c r="DG77" s="729"/>
      <c r="DH77" s="730"/>
      <c r="DI77" s="730"/>
      <c r="DJ77" s="729"/>
      <c r="DK77" s="730"/>
      <c r="DL77" s="730"/>
      <c r="DM77" s="729"/>
      <c r="DN77" s="730"/>
      <c r="DO77" s="730"/>
      <c r="DP77" s="729"/>
      <c r="DQ77" s="730"/>
      <c r="DR77" s="730"/>
      <c r="DS77" s="729"/>
      <c r="DT77" s="730"/>
      <c r="DU77" s="730"/>
      <c r="DV77" s="729"/>
      <c r="DW77" s="730"/>
      <c r="DX77" s="730"/>
      <c r="DY77" s="729"/>
      <c r="DZ77" s="730"/>
      <c r="EA77" s="730"/>
      <c r="EB77" s="729"/>
      <c r="EC77" s="730"/>
      <c r="ED77" s="730"/>
      <c r="EE77" s="729"/>
      <c r="EF77" s="730"/>
      <c r="EG77" s="730"/>
      <c r="EH77" s="729"/>
      <c r="EI77" s="730"/>
      <c r="EJ77" s="730"/>
      <c r="EK77" s="729"/>
      <c r="EL77" s="730"/>
      <c r="EM77" s="730"/>
      <c r="EN77" s="729"/>
      <c r="EO77" s="730"/>
      <c r="EP77" s="730"/>
      <c r="EQ77" s="729"/>
      <c r="ER77" s="730"/>
      <c r="ES77" s="730"/>
      <c r="ET77" s="729"/>
      <c r="EU77" s="730"/>
      <c r="EV77" s="730"/>
      <c r="EW77" s="729"/>
      <c r="EX77" s="730"/>
      <c r="EY77" s="730"/>
      <c r="EZ77" s="729"/>
      <c r="FA77" s="730"/>
      <c r="FB77" s="730"/>
      <c r="FC77" s="729"/>
      <c r="FD77" s="730"/>
      <c r="FE77" s="730"/>
      <c r="FF77" s="729"/>
      <c r="FG77" s="730"/>
      <c r="FH77" s="730"/>
      <c r="FI77" s="729"/>
      <c r="FJ77" s="730"/>
      <c r="FK77" s="730"/>
      <c r="FL77" s="729"/>
      <c r="FM77" s="730"/>
      <c r="FN77" s="730"/>
      <c r="FO77" s="729"/>
      <c r="FP77" s="730"/>
      <c r="FQ77" s="730"/>
      <c r="FR77" s="729"/>
      <c r="FS77" s="730"/>
      <c r="FT77" s="730"/>
      <c r="FU77" s="729"/>
      <c r="FV77" s="730"/>
      <c r="FW77" s="731"/>
      <c r="GA77" s="680" t="s">
        <v>225</v>
      </c>
      <c r="GB77" s="680" cm="1">
        <f t="array" ref="GB77">GB76</f>
        <v>0</v>
      </c>
    </row>
    <row r="78" spans="1:186" ht="18.600000000000001" hidden="1" customHeight="1">
      <c r="A78" s="78"/>
      <c r="B78" s="622" t="b" cm="1">
        <f t="array" ref="B78">B77</f>
        <v>0</v>
      </c>
      <c r="C78" s="78"/>
      <c r="D78" s="78"/>
      <c r="E78" s="473">
        <v>19</v>
      </c>
      <c r="F78" s="3" cm="1">
        <f t="array" aca="1" ref="F78" ca="1">OFFSET(E78,-1,1)</f>
        <v>0</v>
      </c>
      <c r="G78" s="78"/>
      <c r="H78" s="78"/>
      <c r="I78" s="78"/>
      <c r="J78" s="78"/>
      <c r="K78" s="78"/>
      <c r="L78" s="78"/>
      <c r="M78" s="78"/>
      <c r="N78" s="78"/>
      <c r="O78" s="78"/>
      <c r="P78" s="78"/>
      <c r="Q78" s="78"/>
      <c r="R78" s="78"/>
      <c r="S78" s="78"/>
      <c r="T78" s="365" t="b" cm="1">
        <f t="array" aca="1" ref="T78" ca="1">T77</f>
        <v>0</v>
      </c>
      <c r="U78" s="78"/>
      <c r="V78" s="78"/>
      <c r="W78" s="78"/>
      <c r="X78" s="1094"/>
      <c r="Y78" s="1094"/>
      <c r="Z78" s="1064"/>
      <c r="AA78" s="1169"/>
      <c r="AB78" s="124" t="s">
        <v>1657</v>
      </c>
      <c r="AC78" s="31" t="s">
        <v>1624</v>
      </c>
      <c r="AD78" s="833"/>
      <c r="AE78" s="833"/>
      <c r="AF78" s="723">
        <f>IF(AD78=0,0,(AE78-AD78)/AD78*100)</f>
        <v>0</v>
      </c>
      <c r="AG78" s="833"/>
      <c r="AH78" s="833"/>
      <c r="AI78" s="723">
        <f>IF(AG78=0,0,(AH78-AG78)/AG78*100)</f>
        <v>0</v>
      </c>
      <c r="AJ78" s="833"/>
      <c r="AK78" s="833"/>
      <c r="AL78" s="723">
        <f>IF(AJ78=0,0,(AK78-AJ78)/AJ78*100)</f>
        <v>0</v>
      </c>
      <c r="AM78" s="833"/>
      <c r="AN78" s="833"/>
      <c r="AO78" s="723">
        <f>IF(AM78=0,0,(AN78-AM78)/AM78*100)</f>
        <v>0</v>
      </c>
      <c r="AP78" s="833"/>
      <c r="AQ78" s="833"/>
      <c r="AR78" s="723">
        <f>IF(AP78=0,0,(AQ78-AP78)/AP78*100)</f>
        <v>0</v>
      </c>
      <c r="AS78" s="833"/>
      <c r="AT78" s="833"/>
      <c r="AU78" s="723">
        <f>IF(AS78=0,0,(AT78-AS78)/AS78*100)</f>
        <v>0</v>
      </c>
      <c r="AV78" s="833"/>
      <c r="AW78" s="833"/>
      <c r="AX78" s="723">
        <f>IF(AV78=0,0,(AW78-AV78)/AV78*100)</f>
        <v>0</v>
      </c>
      <c r="AY78" s="833"/>
      <c r="AZ78" s="833"/>
      <c r="BA78" s="723">
        <f>IF(AY78=0,0,(AZ78-AY78)/AY78*100)</f>
        <v>0</v>
      </c>
      <c r="BB78" s="833"/>
      <c r="BC78" s="833"/>
      <c r="BD78" s="723">
        <f>IF(BB78=0,0,(BC78-BB78)/BB78*100)</f>
        <v>0</v>
      </c>
      <c r="BE78" s="833"/>
      <c r="BF78" s="833"/>
      <c r="BG78" s="723">
        <f>IF(BE78=0,0,(BF78-BE78)/BE78*100)</f>
        <v>0</v>
      </c>
      <c r="BH78" s="833"/>
      <c r="BI78" s="833"/>
      <c r="BJ78" s="723">
        <f>IF(BH78=0,0,(BI78-BH78)/BH78*100)</f>
        <v>0</v>
      </c>
      <c r="BK78" s="833"/>
      <c r="BL78" s="833"/>
      <c r="BM78" s="723">
        <f>IF(BK78=0,0,(BL78-BK78)/BK78*100)</f>
        <v>0</v>
      </c>
      <c r="BN78" s="833"/>
      <c r="BO78" s="833"/>
      <c r="BP78" s="723">
        <f>IF(BN78=0,0,(BO78-BN78)/BN78*100)</f>
        <v>0</v>
      </c>
      <c r="BQ78" s="833"/>
      <c r="BR78" s="833"/>
      <c r="BS78" s="723">
        <f>IF(BQ78=0,0,(BR78-BQ78)/BQ78*100)</f>
        <v>0</v>
      </c>
      <c r="BT78" s="833"/>
      <c r="BU78" s="833"/>
      <c r="BV78" s="723">
        <f>IF(BT78=0,0,(BU78-BT78)/BT78*100)</f>
        <v>0</v>
      </c>
      <c r="BW78" s="833"/>
      <c r="BX78" s="833"/>
      <c r="BY78" s="723">
        <f>IF(BW78=0,0,(BX78-BW78)/BW78*100)</f>
        <v>0</v>
      </c>
      <c r="BZ78" s="833"/>
      <c r="CA78" s="833"/>
      <c r="CB78" s="723">
        <f>IF(BZ78=0,0,(CA78-BZ78)/BZ78*100)</f>
        <v>0</v>
      </c>
      <c r="CC78" s="833"/>
      <c r="CD78" s="833"/>
      <c r="CE78" s="723">
        <f>IF(CC78=0,0,(CD78-CC78)/CC78*100)</f>
        <v>0</v>
      </c>
      <c r="CF78" s="833"/>
      <c r="CG78" s="833"/>
      <c r="CH78" s="723">
        <f>IF(CF78=0,0,(CG78-CF78)/CF78*100)</f>
        <v>0</v>
      </c>
      <c r="CI78" s="833"/>
      <c r="CJ78" s="833"/>
      <c r="CK78" s="723">
        <f>IF(CI78=0,0,(CJ78-CI78)/CI78*100)</f>
        <v>0</v>
      </c>
      <c r="CL78" s="833"/>
      <c r="CM78" s="833"/>
      <c r="CN78" s="723">
        <f>IF(CL78=0,0,(CM78-CL78)/CL78*100)</f>
        <v>0</v>
      </c>
      <c r="CO78" s="833"/>
      <c r="CP78" s="833"/>
      <c r="CQ78" s="723">
        <f>IF(CO78=0,0,(CP78-CO78)/CO78*100)</f>
        <v>0</v>
      </c>
      <c r="CR78" s="833"/>
      <c r="CS78" s="833"/>
      <c r="CT78" s="723">
        <f>IF(CR78=0,0,(CS78-CR78)/CR78*100)</f>
        <v>0</v>
      </c>
      <c r="CU78" s="833"/>
      <c r="CV78" s="833"/>
      <c r="CW78" s="723">
        <f>IF(CU78=0,0,(CV78-CU78)/CU78*100)</f>
        <v>0</v>
      </c>
      <c r="CX78" s="833"/>
      <c r="CY78" s="833"/>
      <c r="CZ78" s="723">
        <f>IF(CX78=0,0,(CY78-CX78)/CX78*100)</f>
        <v>0</v>
      </c>
      <c r="DA78" s="833"/>
      <c r="DB78" s="833"/>
      <c r="DC78" s="723">
        <f>IF(DA78=0,0,(DB78-DA78)/DA78*100)</f>
        <v>0</v>
      </c>
      <c r="DD78" s="833"/>
      <c r="DE78" s="833"/>
      <c r="DF78" s="723">
        <f>IF(DD78=0,0,(DE78-DD78)/DD78*100)</f>
        <v>0</v>
      </c>
      <c r="DG78" s="833"/>
      <c r="DH78" s="833"/>
      <c r="DI78" s="723">
        <f>IF(DG78=0,0,(DH78-DG78)/DG78*100)</f>
        <v>0</v>
      </c>
      <c r="DJ78" s="833"/>
      <c r="DK78" s="833"/>
      <c r="DL78" s="723">
        <f>IF(DJ78=0,0,(DK78-DJ78)/DJ78*100)</f>
        <v>0</v>
      </c>
      <c r="DM78" s="833"/>
      <c r="DN78" s="833"/>
      <c r="DO78" s="723">
        <f>IF(DM78=0,0,(DN78-DM78)/DM78*100)</f>
        <v>0</v>
      </c>
      <c r="DP78" s="833"/>
      <c r="DQ78" s="833"/>
      <c r="DR78" s="723">
        <f>IF(DP78=0,0,(DQ78-DP78)/DP78*100)</f>
        <v>0</v>
      </c>
      <c r="DS78" s="833"/>
      <c r="DT78" s="833"/>
      <c r="DU78" s="723">
        <f>IF(DS78=0,0,(DT78-DS78)/DS78*100)</f>
        <v>0</v>
      </c>
      <c r="DV78" s="833"/>
      <c r="DW78" s="833"/>
      <c r="DX78" s="723">
        <f>IF(DV78=0,0,(DW78-DV78)/DV78*100)</f>
        <v>0</v>
      </c>
      <c r="DY78" s="833"/>
      <c r="DZ78" s="833"/>
      <c r="EA78" s="723">
        <f>IF(DY78=0,0,(DZ78-DY78)/DY78*100)</f>
        <v>0</v>
      </c>
      <c r="EB78" s="833"/>
      <c r="EC78" s="833"/>
      <c r="ED78" s="723">
        <f>IF(EB78=0,0,(EC78-EB78)/EB78*100)</f>
        <v>0</v>
      </c>
      <c r="EE78" s="833"/>
      <c r="EF78" s="833"/>
      <c r="EG78" s="723">
        <f>IF(EE78=0,0,(EF78-EE78)/EE78*100)</f>
        <v>0</v>
      </c>
      <c r="EH78" s="833"/>
      <c r="EI78" s="833"/>
      <c r="EJ78" s="723">
        <f>IF(EH78=0,0,(EI78-EH78)/EH78*100)</f>
        <v>0</v>
      </c>
      <c r="EK78" s="833"/>
      <c r="EL78" s="833"/>
      <c r="EM78" s="723">
        <f>IF(EK78=0,0,(EL78-EK78)/EK78*100)</f>
        <v>0</v>
      </c>
      <c r="EN78" s="833"/>
      <c r="EO78" s="833"/>
      <c r="EP78" s="723">
        <f>IF(EN78=0,0,(EO78-EN78)/EN78*100)</f>
        <v>0</v>
      </c>
      <c r="EQ78" s="833"/>
      <c r="ER78" s="833"/>
      <c r="ES78" s="723">
        <f>IF(EQ78=0,0,(ER78-EQ78)/EQ78*100)</f>
        <v>0</v>
      </c>
      <c r="ET78" s="833"/>
      <c r="EU78" s="833"/>
      <c r="EV78" s="723">
        <f>IF(ET78=0,0,(EU78-ET78)/ET78*100)</f>
        <v>0</v>
      </c>
      <c r="EW78" s="833"/>
      <c r="EX78" s="833"/>
      <c r="EY78" s="723">
        <f>IF(EW78=0,0,(EX78-EW78)/EW78*100)</f>
        <v>0</v>
      </c>
      <c r="EZ78" s="833"/>
      <c r="FA78" s="833"/>
      <c r="FB78" s="723">
        <f>IF(EZ78=0,0,(FA78-EZ78)/EZ78*100)</f>
        <v>0</v>
      </c>
      <c r="FC78" s="833"/>
      <c r="FD78" s="833"/>
      <c r="FE78" s="723">
        <f>IF(FC78=0,0,(FD78-FC78)/FC78*100)</f>
        <v>0</v>
      </c>
      <c r="FF78" s="833"/>
      <c r="FG78" s="833"/>
      <c r="FH78" s="723">
        <f>IF(FF78=0,0,(FG78-FF78)/FF78*100)</f>
        <v>0</v>
      </c>
      <c r="FI78" s="833"/>
      <c r="FJ78" s="833"/>
      <c r="FK78" s="723">
        <f>IF(FI78=0,0,(FJ78-FI78)/FI78*100)</f>
        <v>0</v>
      </c>
      <c r="FL78" s="833"/>
      <c r="FM78" s="833"/>
      <c r="FN78" s="723">
        <f>IF(FL78=0,0,(FM78-FL78)/FL78*100)</f>
        <v>0</v>
      </c>
      <c r="FO78" s="833"/>
      <c r="FP78" s="833"/>
      <c r="FQ78" s="723">
        <f>IF(FO78=0,0,(FP78-FO78)/FO78*100)</f>
        <v>0</v>
      </c>
      <c r="FR78" s="833"/>
      <c r="FS78" s="833"/>
      <c r="FT78" s="723">
        <f>IF(FR78=0,0,(FS78-FR78)/FR78*100)</f>
        <v>0</v>
      </c>
      <c r="FU78" s="833"/>
      <c r="FV78" s="833"/>
      <c r="FW78" s="723">
        <f>IF(FU78=0,0,(FV78-FU78)/FU78*100)</f>
        <v>0</v>
      </c>
      <c r="FZ78" s="680" t="s">
        <v>1696</v>
      </c>
      <c r="GA78" s="680" t="s">
        <v>865</v>
      </c>
      <c r="GB78" s="680" cm="1">
        <f t="array" ref="GB78">GB77</f>
        <v>0</v>
      </c>
    </row>
    <row r="79" spans="1:186" ht="18.600000000000001" hidden="1" customHeight="1">
      <c r="A79" s="78"/>
      <c r="B79" s="622" t="b" cm="1">
        <f t="array" ref="B79">B78</f>
        <v>0</v>
      </c>
      <c r="C79" s="78"/>
      <c r="D79" s="78"/>
      <c r="E79" s="473">
        <v>19</v>
      </c>
      <c r="F79" s="3" cm="1">
        <f t="array" aca="1" ref="F79" ca="1">OFFSET(E79,-1,1)</f>
        <v>0</v>
      </c>
      <c r="G79" s="78"/>
      <c r="H79" s="78"/>
      <c r="I79" s="78"/>
      <c r="J79" s="78"/>
      <c r="K79" s="78"/>
      <c r="L79" s="78"/>
      <c r="M79" s="78"/>
      <c r="N79" s="78"/>
      <c r="O79" s="78"/>
      <c r="P79" s="78"/>
      <c r="Q79" s="78"/>
      <c r="R79" s="78"/>
      <c r="S79" s="78"/>
      <c r="T79" s="365" t="b" cm="1">
        <f t="array" aca="1" ref="T79" ca="1">T78</f>
        <v>0</v>
      </c>
      <c r="U79" s="78"/>
      <c r="V79" s="78"/>
      <c r="W79" s="78"/>
      <c r="X79" s="1094"/>
      <c r="Y79" s="1094"/>
      <c r="Z79" s="1064"/>
      <c r="AA79" s="1169"/>
      <c r="AB79" s="124" t="str">
        <f>"ставка платы за "&amp;IF(Q35="Водоснабжение","потребление 1 куб.м холодной воды","объем принятых сточных вод")</f>
        <v>ставка платы за объем принятых сточных вод</v>
      </c>
      <c r="AC79" s="31" t="s">
        <v>1624</v>
      </c>
      <c r="AD79" s="833"/>
      <c r="AE79" s="833"/>
      <c r="AF79" s="723">
        <f>IF(AD79=0,0,(AE79-AD79)/AD79*100)</f>
        <v>0</v>
      </c>
      <c r="AG79" s="833"/>
      <c r="AH79" s="833"/>
      <c r="AI79" s="723">
        <f>IF(AG79=0,0,(AH79-AG79)/AG79*100)</f>
        <v>0</v>
      </c>
      <c r="AJ79" s="833"/>
      <c r="AK79" s="833"/>
      <c r="AL79" s="723">
        <f>IF(AJ79=0,0,(AK79-AJ79)/AJ79*100)</f>
        <v>0</v>
      </c>
      <c r="AM79" s="833"/>
      <c r="AN79" s="833"/>
      <c r="AO79" s="723">
        <f>IF(AM79=0,0,(AN79-AM79)/AM79*100)</f>
        <v>0</v>
      </c>
      <c r="AP79" s="833"/>
      <c r="AQ79" s="833"/>
      <c r="AR79" s="723">
        <f>IF(AP79=0,0,(AQ79-AP79)/AP79*100)</f>
        <v>0</v>
      </c>
      <c r="AS79" s="833"/>
      <c r="AT79" s="833"/>
      <c r="AU79" s="723">
        <f>IF(AS79=0,0,(AT79-AS79)/AS79*100)</f>
        <v>0</v>
      </c>
      <c r="AV79" s="833"/>
      <c r="AW79" s="833"/>
      <c r="AX79" s="723">
        <f>IF(AV79=0,0,(AW79-AV79)/AV79*100)</f>
        <v>0</v>
      </c>
      <c r="AY79" s="833"/>
      <c r="AZ79" s="833"/>
      <c r="BA79" s="723">
        <f>IF(AY79=0,0,(AZ79-AY79)/AY79*100)</f>
        <v>0</v>
      </c>
      <c r="BB79" s="833"/>
      <c r="BC79" s="833"/>
      <c r="BD79" s="723">
        <f>IF(BB79=0,0,(BC79-BB79)/BB79*100)</f>
        <v>0</v>
      </c>
      <c r="BE79" s="833"/>
      <c r="BF79" s="833"/>
      <c r="BG79" s="723">
        <f>IF(BE79=0,0,(BF79-BE79)/BE79*100)</f>
        <v>0</v>
      </c>
      <c r="BH79" s="833"/>
      <c r="BI79" s="833"/>
      <c r="BJ79" s="723">
        <f>IF(BH79=0,0,(BI79-BH79)/BH79*100)</f>
        <v>0</v>
      </c>
      <c r="BK79" s="833"/>
      <c r="BL79" s="833"/>
      <c r="BM79" s="723">
        <f>IF(BK79=0,0,(BL79-BK79)/BK79*100)</f>
        <v>0</v>
      </c>
      <c r="BN79" s="833"/>
      <c r="BO79" s="833"/>
      <c r="BP79" s="723">
        <f>IF(BN79=0,0,(BO79-BN79)/BN79*100)</f>
        <v>0</v>
      </c>
      <c r="BQ79" s="833"/>
      <c r="BR79" s="833"/>
      <c r="BS79" s="723">
        <f>IF(BQ79=0,0,(BR79-BQ79)/BQ79*100)</f>
        <v>0</v>
      </c>
      <c r="BT79" s="833"/>
      <c r="BU79" s="833"/>
      <c r="BV79" s="723">
        <f>IF(BT79=0,0,(BU79-BT79)/BT79*100)</f>
        <v>0</v>
      </c>
      <c r="BW79" s="833"/>
      <c r="BX79" s="833"/>
      <c r="BY79" s="723">
        <f>IF(BW79=0,0,(BX79-BW79)/BW79*100)</f>
        <v>0</v>
      </c>
      <c r="BZ79" s="833"/>
      <c r="CA79" s="833"/>
      <c r="CB79" s="723">
        <f>IF(BZ79=0,0,(CA79-BZ79)/BZ79*100)</f>
        <v>0</v>
      </c>
      <c r="CC79" s="833"/>
      <c r="CD79" s="833"/>
      <c r="CE79" s="723">
        <f>IF(CC79=0,0,(CD79-CC79)/CC79*100)</f>
        <v>0</v>
      </c>
      <c r="CF79" s="833"/>
      <c r="CG79" s="833"/>
      <c r="CH79" s="723">
        <f>IF(CF79=0,0,(CG79-CF79)/CF79*100)</f>
        <v>0</v>
      </c>
      <c r="CI79" s="833"/>
      <c r="CJ79" s="833"/>
      <c r="CK79" s="723">
        <f>IF(CI79=0,0,(CJ79-CI79)/CI79*100)</f>
        <v>0</v>
      </c>
      <c r="CL79" s="833"/>
      <c r="CM79" s="833"/>
      <c r="CN79" s="723">
        <f>IF(CL79=0,0,(CM79-CL79)/CL79*100)</f>
        <v>0</v>
      </c>
      <c r="CO79" s="833"/>
      <c r="CP79" s="833"/>
      <c r="CQ79" s="723">
        <f>IF(CO79=0,0,(CP79-CO79)/CO79*100)</f>
        <v>0</v>
      </c>
      <c r="CR79" s="833"/>
      <c r="CS79" s="833"/>
      <c r="CT79" s="723">
        <f>IF(CR79=0,0,(CS79-CR79)/CR79*100)</f>
        <v>0</v>
      </c>
      <c r="CU79" s="833"/>
      <c r="CV79" s="833"/>
      <c r="CW79" s="723">
        <f>IF(CU79=0,0,(CV79-CU79)/CU79*100)</f>
        <v>0</v>
      </c>
      <c r="CX79" s="833"/>
      <c r="CY79" s="833"/>
      <c r="CZ79" s="723">
        <f>IF(CX79=0,0,(CY79-CX79)/CX79*100)</f>
        <v>0</v>
      </c>
      <c r="DA79" s="833"/>
      <c r="DB79" s="833"/>
      <c r="DC79" s="723">
        <f>IF(DA79=0,0,(DB79-DA79)/DA79*100)</f>
        <v>0</v>
      </c>
      <c r="DD79" s="833"/>
      <c r="DE79" s="833"/>
      <c r="DF79" s="723">
        <f>IF(DD79=0,0,(DE79-DD79)/DD79*100)</f>
        <v>0</v>
      </c>
      <c r="DG79" s="833"/>
      <c r="DH79" s="833"/>
      <c r="DI79" s="723">
        <f>IF(DG79=0,0,(DH79-DG79)/DG79*100)</f>
        <v>0</v>
      </c>
      <c r="DJ79" s="833"/>
      <c r="DK79" s="833"/>
      <c r="DL79" s="723">
        <f>IF(DJ79=0,0,(DK79-DJ79)/DJ79*100)</f>
        <v>0</v>
      </c>
      <c r="DM79" s="833"/>
      <c r="DN79" s="833"/>
      <c r="DO79" s="723">
        <f>IF(DM79=0,0,(DN79-DM79)/DM79*100)</f>
        <v>0</v>
      </c>
      <c r="DP79" s="833"/>
      <c r="DQ79" s="833"/>
      <c r="DR79" s="723">
        <f>IF(DP79=0,0,(DQ79-DP79)/DP79*100)</f>
        <v>0</v>
      </c>
      <c r="DS79" s="833"/>
      <c r="DT79" s="833"/>
      <c r="DU79" s="723">
        <f>IF(DS79=0,0,(DT79-DS79)/DS79*100)</f>
        <v>0</v>
      </c>
      <c r="DV79" s="833"/>
      <c r="DW79" s="833"/>
      <c r="DX79" s="723">
        <f>IF(DV79=0,0,(DW79-DV79)/DV79*100)</f>
        <v>0</v>
      </c>
      <c r="DY79" s="833"/>
      <c r="DZ79" s="833"/>
      <c r="EA79" s="723">
        <f>IF(DY79=0,0,(DZ79-DY79)/DY79*100)</f>
        <v>0</v>
      </c>
      <c r="EB79" s="833"/>
      <c r="EC79" s="833"/>
      <c r="ED79" s="723">
        <f>IF(EB79=0,0,(EC79-EB79)/EB79*100)</f>
        <v>0</v>
      </c>
      <c r="EE79" s="833"/>
      <c r="EF79" s="833"/>
      <c r="EG79" s="723">
        <f>IF(EE79=0,0,(EF79-EE79)/EE79*100)</f>
        <v>0</v>
      </c>
      <c r="EH79" s="833"/>
      <c r="EI79" s="833"/>
      <c r="EJ79" s="723">
        <f>IF(EH79=0,0,(EI79-EH79)/EH79*100)</f>
        <v>0</v>
      </c>
      <c r="EK79" s="833"/>
      <c r="EL79" s="833"/>
      <c r="EM79" s="723">
        <f>IF(EK79=0,0,(EL79-EK79)/EK79*100)</f>
        <v>0</v>
      </c>
      <c r="EN79" s="833"/>
      <c r="EO79" s="833"/>
      <c r="EP79" s="723">
        <f>IF(EN79=0,0,(EO79-EN79)/EN79*100)</f>
        <v>0</v>
      </c>
      <c r="EQ79" s="833"/>
      <c r="ER79" s="833"/>
      <c r="ES79" s="723">
        <f>IF(EQ79=0,0,(ER79-EQ79)/EQ79*100)</f>
        <v>0</v>
      </c>
      <c r="ET79" s="833"/>
      <c r="EU79" s="833"/>
      <c r="EV79" s="723">
        <f>IF(ET79=0,0,(EU79-ET79)/ET79*100)</f>
        <v>0</v>
      </c>
      <c r="EW79" s="833"/>
      <c r="EX79" s="833"/>
      <c r="EY79" s="723">
        <f>IF(EW79=0,0,(EX79-EW79)/EW79*100)</f>
        <v>0</v>
      </c>
      <c r="EZ79" s="833"/>
      <c r="FA79" s="833"/>
      <c r="FB79" s="723">
        <f>IF(EZ79=0,0,(FA79-EZ79)/EZ79*100)</f>
        <v>0</v>
      </c>
      <c r="FC79" s="833"/>
      <c r="FD79" s="833"/>
      <c r="FE79" s="723">
        <f>IF(FC79=0,0,(FD79-FC79)/FC79*100)</f>
        <v>0</v>
      </c>
      <c r="FF79" s="833"/>
      <c r="FG79" s="833"/>
      <c r="FH79" s="723">
        <f>IF(FF79=0,0,(FG79-FF79)/FF79*100)</f>
        <v>0</v>
      </c>
      <c r="FI79" s="833"/>
      <c r="FJ79" s="833"/>
      <c r="FK79" s="723">
        <f>IF(FI79=0,0,(FJ79-FI79)/FI79*100)</f>
        <v>0</v>
      </c>
      <c r="FL79" s="833"/>
      <c r="FM79" s="833"/>
      <c r="FN79" s="723">
        <f>IF(FL79=0,0,(FM79-FL79)/FL79*100)</f>
        <v>0</v>
      </c>
      <c r="FO79" s="833"/>
      <c r="FP79" s="833"/>
      <c r="FQ79" s="723">
        <f>IF(FO79=0,0,(FP79-FO79)/FO79*100)</f>
        <v>0</v>
      </c>
      <c r="FR79" s="833"/>
      <c r="FS79" s="833"/>
      <c r="FT79" s="723">
        <f>IF(FR79=0,0,(FS79-FR79)/FR79*100)</f>
        <v>0</v>
      </c>
      <c r="FU79" s="833"/>
      <c r="FV79" s="833"/>
      <c r="FW79" s="723">
        <f>IF(FU79=0,0,(FV79-FU79)/FU79*100)</f>
        <v>0</v>
      </c>
      <c r="FZ79" s="680" t="s">
        <v>1697</v>
      </c>
      <c r="GA79" s="680" t="s">
        <v>865</v>
      </c>
      <c r="GB79" s="680" cm="1">
        <f t="array" ref="GB79">GB78</f>
        <v>0</v>
      </c>
    </row>
    <row r="80" spans="1:186" ht="18.600000000000001" hidden="1" customHeight="1">
      <c r="A80" s="78"/>
      <c r="B80" s="622" t="b" cm="1">
        <f t="array" ref="B80">B79</f>
        <v>0</v>
      </c>
      <c r="C80" s="78"/>
      <c r="D80" s="78"/>
      <c r="E80" s="473">
        <v>19</v>
      </c>
      <c r="F80" s="3" cm="1">
        <f t="array" aca="1" ref="F80" ca="1">OFFSET(E80,-1,1)</f>
        <v>0</v>
      </c>
      <c r="G80" s="78"/>
      <c r="H80" s="78"/>
      <c r="I80" s="78"/>
      <c r="J80" s="78"/>
      <c r="K80" s="78"/>
      <c r="L80" s="78"/>
      <c r="M80" s="78"/>
      <c r="N80" s="78"/>
      <c r="O80" s="78"/>
      <c r="P80" s="78"/>
      <c r="Q80" s="78"/>
      <c r="R80" s="78"/>
      <c r="S80" s="78"/>
      <c r="T80" s="365" t="b" cm="1">
        <f t="array" aca="1" ref="T80" ca="1">T79</f>
        <v>0</v>
      </c>
      <c r="U80" s="78"/>
      <c r="V80" s="78"/>
      <c r="W80" s="78"/>
      <c r="X80" s="1094"/>
      <c r="Y80" s="1094"/>
      <c r="Z80" s="1064"/>
      <c r="AA80" s="1169"/>
      <c r="AB80" s="124" t="str">
        <f>"объём "&amp;IF(Q35="Водоснабжение","потребления холодной воды","водоотведения")</f>
        <v>объём водоотведения</v>
      </c>
      <c r="AC80" s="31" t="s">
        <v>534</v>
      </c>
      <c r="AD80" s="849"/>
      <c r="AE80" s="849"/>
      <c r="AF80" s="724">
        <f>IF(AD80=0,0,(AE80-AD80)/AD80*100)</f>
        <v>0</v>
      </c>
      <c r="AG80" s="849"/>
      <c r="AH80" s="849"/>
      <c r="AI80" s="724">
        <f>IF(AG80=0,0,(AH80-AG80)/AG80*100)</f>
        <v>0</v>
      </c>
      <c r="AJ80" s="849"/>
      <c r="AK80" s="849"/>
      <c r="AL80" s="724">
        <f>IF(AJ80=0,0,(AK80-AJ80)/AJ80*100)</f>
        <v>0</v>
      </c>
      <c r="AM80" s="849"/>
      <c r="AN80" s="849"/>
      <c r="AO80" s="724">
        <f>IF(AM80=0,0,(AN80-AM80)/AM80*100)</f>
        <v>0</v>
      </c>
      <c r="AP80" s="849"/>
      <c r="AQ80" s="849"/>
      <c r="AR80" s="724">
        <f>IF(AP80=0,0,(AQ80-AP80)/AP80*100)</f>
        <v>0</v>
      </c>
      <c r="AS80" s="849"/>
      <c r="AT80" s="849"/>
      <c r="AU80" s="724">
        <f>IF(AS80=0,0,(AT80-AS80)/AS80*100)</f>
        <v>0</v>
      </c>
      <c r="AV80" s="849"/>
      <c r="AW80" s="849"/>
      <c r="AX80" s="724">
        <f>IF(AV80=0,0,(AW80-AV80)/AV80*100)</f>
        <v>0</v>
      </c>
      <c r="AY80" s="849"/>
      <c r="AZ80" s="849"/>
      <c r="BA80" s="724">
        <f>IF(AY80=0,0,(AZ80-AY80)/AY80*100)</f>
        <v>0</v>
      </c>
      <c r="BB80" s="849"/>
      <c r="BC80" s="849"/>
      <c r="BD80" s="724">
        <f>IF(BB80=0,0,(BC80-BB80)/BB80*100)</f>
        <v>0</v>
      </c>
      <c r="BE80" s="849"/>
      <c r="BF80" s="849"/>
      <c r="BG80" s="724">
        <f>IF(BE80=0,0,(BF80-BE80)/BE80*100)</f>
        <v>0</v>
      </c>
      <c r="BH80" s="849"/>
      <c r="BI80" s="849"/>
      <c r="BJ80" s="724">
        <f>IF(BH80=0,0,(BI80-BH80)/BH80*100)</f>
        <v>0</v>
      </c>
      <c r="BK80" s="849"/>
      <c r="BL80" s="849"/>
      <c r="BM80" s="724">
        <f>IF(BK80=0,0,(BL80-BK80)/BK80*100)</f>
        <v>0</v>
      </c>
      <c r="BN80" s="849"/>
      <c r="BO80" s="849"/>
      <c r="BP80" s="724">
        <f>IF(BN80=0,0,(BO80-BN80)/BN80*100)</f>
        <v>0</v>
      </c>
      <c r="BQ80" s="849"/>
      <c r="BR80" s="849"/>
      <c r="BS80" s="724">
        <f>IF(BQ80=0,0,(BR80-BQ80)/BQ80*100)</f>
        <v>0</v>
      </c>
      <c r="BT80" s="849"/>
      <c r="BU80" s="849"/>
      <c r="BV80" s="724">
        <f>IF(BT80=0,0,(BU80-BT80)/BT80*100)</f>
        <v>0</v>
      </c>
      <c r="BW80" s="849"/>
      <c r="BX80" s="849"/>
      <c r="BY80" s="724">
        <f>IF(BW80=0,0,(BX80-BW80)/BW80*100)</f>
        <v>0</v>
      </c>
      <c r="BZ80" s="849"/>
      <c r="CA80" s="849"/>
      <c r="CB80" s="724">
        <f>IF(BZ80=0,0,(CA80-BZ80)/BZ80*100)</f>
        <v>0</v>
      </c>
      <c r="CC80" s="849"/>
      <c r="CD80" s="849"/>
      <c r="CE80" s="724">
        <f>IF(CC80=0,0,(CD80-CC80)/CC80*100)</f>
        <v>0</v>
      </c>
      <c r="CF80" s="849"/>
      <c r="CG80" s="849"/>
      <c r="CH80" s="724">
        <f>IF(CF80=0,0,(CG80-CF80)/CF80*100)</f>
        <v>0</v>
      </c>
      <c r="CI80" s="849"/>
      <c r="CJ80" s="849"/>
      <c r="CK80" s="724">
        <f>IF(CI80=0,0,(CJ80-CI80)/CI80*100)</f>
        <v>0</v>
      </c>
      <c r="CL80" s="849"/>
      <c r="CM80" s="849"/>
      <c r="CN80" s="724">
        <f>IF(CL80=0,0,(CM80-CL80)/CL80*100)</f>
        <v>0</v>
      </c>
      <c r="CO80" s="849"/>
      <c r="CP80" s="849"/>
      <c r="CQ80" s="724">
        <f>IF(CO80=0,0,(CP80-CO80)/CO80*100)</f>
        <v>0</v>
      </c>
      <c r="CR80" s="849"/>
      <c r="CS80" s="849"/>
      <c r="CT80" s="724">
        <f>IF(CR80=0,0,(CS80-CR80)/CR80*100)</f>
        <v>0</v>
      </c>
      <c r="CU80" s="849"/>
      <c r="CV80" s="849"/>
      <c r="CW80" s="724">
        <f>IF(CU80=0,0,(CV80-CU80)/CU80*100)</f>
        <v>0</v>
      </c>
      <c r="CX80" s="849"/>
      <c r="CY80" s="849"/>
      <c r="CZ80" s="724">
        <f>IF(CX80=0,0,(CY80-CX80)/CX80*100)</f>
        <v>0</v>
      </c>
      <c r="DA80" s="849"/>
      <c r="DB80" s="849"/>
      <c r="DC80" s="724">
        <f>IF(DA80=0,0,(DB80-DA80)/DA80*100)</f>
        <v>0</v>
      </c>
      <c r="DD80" s="849"/>
      <c r="DE80" s="849"/>
      <c r="DF80" s="724">
        <f>IF(DD80=0,0,(DE80-DD80)/DD80*100)</f>
        <v>0</v>
      </c>
      <c r="DG80" s="849"/>
      <c r="DH80" s="849"/>
      <c r="DI80" s="724">
        <f>IF(DG80=0,0,(DH80-DG80)/DG80*100)</f>
        <v>0</v>
      </c>
      <c r="DJ80" s="849"/>
      <c r="DK80" s="849"/>
      <c r="DL80" s="724">
        <f>IF(DJ80=0,0,(DK80-DJ80)/DJ80*100)</f>
        <v>0</v>
      </c>
      <c r="DM80" s="849"/>
      <c r="DN80" s="849"/>
      <c r="DO80" s="724">
        <f>IF(DM80=0,0,(DN80-DM80)/DM80*100)</f>
        <v>0</v>
      </c>
      <c r="DP80" s="849"/>
      <c r="DQ80" s="849"/>
      <c r="DR80" s="724">
        <f>IF(DP80=0,0,(DQ80-DP80)/DP80*100)</f>
        <v>0</v>
      </c>
      <c r="DS80" s="849"/>
      <c r="DT80" s="849"/>
      <c r="DU80" s="724">
        <f>IF(DS80=0,0,(DT80-DS80)/DS80*100)</f>
        <v>0</v>
      </c>
      <c r="DV80" s="849"/>
      <c r="DW80" s="849"/>
      <c r="DX80" s="724">
        <f>IF(DV80=0,0,(DW80-DV80)/DV80*100)</f>
        <v>0</v>
      </c>
      <c r="DY80" s="849"/>
      <c r="DZ80" s="849"/>
      <c r="EA80" s="724">
        <f>IF(DY80=0,0,(DZ80-DY80)/DY80*100)</f>
        <v>0</v>
      </c>
      <c r="EB80" s="849"/>
      <c r="EC80" s="849"/>
      <c r="ED80" s="724">
        <f>IF(EB80=0,0,(EC80-EB80)/EB80*100)</f>
        <v>0</v>
      </c>
      <c r="EE80" s="849"/>
      <c r="EF80" s="849"/>
      <c r="EG80" s="724">
        <f>IF(EE80=0,0,(EF80-EE80)/EE80*100)</f>
        <v>0</v>
      </c>
      <c r="EH80" s="849"/>
      <c r="EI80" s="849"/>
      <c r="EJ80" s="724">
        <f>IF(EH80=0,0,(EI80-EH80)/EH80*100)</f>
        <v>0</v>
      </c>
      <c r="EK80" s="849"/>
      <c r="EL80" s="849"/>
      <c r="EM80" s="724">
        <f>IF(EK80=0,0,(EL80-EK80)/EK80*100)</f>
        <v>0</v>
      </c>
      <c r="EN80" s="849"/>
      <c r="EO80" s="849"/>
      <c r="EP80" s="724">
        <f>IF(EN80=0,0,(EO80-EN80)/EN80*100)</f>
        <v>0</v>
      </c>
      <c r="EQ80" s="849"/>
      <c r="ER80" s="849"/>
      <c r="ES80" s="724">
        <f>IF(EQ80=0,0,(ER80-EQ80)/EQ80*100)</f>
        <v>0</v>
      </c>
      <c r="ET80" s="849"/>
      <c r="EU80" s="849"/>
      <c r="EV80" s="724">
        <f>IF(ET80=0,0,(EU80-ET80)/ET80*100)</f>
        <v>0</v>
      </c>
      <c r="EW80" s="849"/>
      <c r="EX80" s="849"/>
      <c r="EY80" s="724">
        <f>IF(EW80=0,0,(EX80-EW80)/EW80*100)</f>
        <v>0</v>
      </c>
      <c r="EZ80" s="849"/>
      <c r="FA80" s="849"/>
      <c r="FB80" s="724">
        <f>IF(EZ80=0,0,(FA80-EZ80)/EZ80*100)</f>
        <v>0</v>
      </c>
      <c r="FC80" s="849"/>
      <c r="FD80" s="849"/>
      <c r="FE80" s="724">
        <f>IF(FC80=0,0,(FD80-FC80)/FC80*100)</f>
        <v>0</v>
      </c>
      <c r="FF80" s="849"/>
      <c r="FG80" s="849"/>
      <c r="FH80" s="724">
        <f>IF(FF80=0,0,(FG80-FF80)/FF80*100)</f>
        <v>0</v>
      </c>
      <c r="FI80" s="849"/>
      <c r="FJ80" s="849"/>
      <c r="FK80" s="724">
        <f>IF(FI80=0,0,(FJ80-FI80)/FI80*100)</f>
        <v>0</v>
      </c>
      <c r="FL80" s="849"/>
      <c r="FM80" s="849"/>
      <c r="FN80" s="724">
        <f>IF(FL80=0,0,(FM80-FL80)/FL80*100)</f>
        <v>0</v>
      </c>
      <c r="FO80" s="849"/>
      <c r="FP80" s="849"/>
      <c r="FQ80" s="724">
        <f>IF(FO80=0,0,(FP80-FO80)/FO80*100)</f>
        <v>0</v>
      </c>
      <c r="FR80" s="849"/>
      <c r="FS80" s="849"/>
      <c r="FT80" s="724">
        <f>IF(FR80=0,0,(FS80-FR80)/FR80*100)</f>
        <v>0</v>
      </c>
      <c r="FU80" s="849"/>
      <c r="FV80" s="849"/>
      <c r="FW80" s="724">
        <f>IF(FU80=0,0,(FV80-FU80)/FU80*100)</f>
        <v>0</v>
      </c>
      <c r="FZ80" s="680" t="s">
        <v>1698</v>
      </c>
      <c r="GA80" s="680" t="s">
        <v>865</v>
      </c>
      <c r="GB80" s="680" cm="1">
        <f t="array" ref="GB80">GB79</f>
        <v>0</v>
      </c>
    </row>
    <row r="81" spans="1:186" ht="23.25" hidden="1" customHeight="1">
      <c r="A81" s="78"/>
      <c r="B81" s="622" t="b" cm="1">
        <f t="array" ref="B81">B80</f>
        <v>0</v>
      </c>
      <c r="C81" s="78"/>
      <c r="D81" s="78"/>
      <c r="E81" s="473">
        <v>19</v>
      </c>
      <c r="F81" s="3" cm="1">
        <f t="array" aca="1" ref="F81" ca="1">OFFSET(E81,-1,1)</f>
        <v>0</v>
      </c>
      <c r="G81" s="78"/>
      <c r="H81" s="78"/>
      <c r="I81" s="78"/>
      <c r="J81" s="78"/>
      <c r="K81" s="78"/>
      <c r="L81" s="78"/>
      <c r="M81" s="78"/>
      <c r="N81" s="78"/>
      <c r="O81" s="78"/>
      <c r="P81" s="78"/>
      <c r="Q81" s="78"/>
      <c r="R81" s="78"/>
      <c r="S81" s="78"/>
      <c r="T81" s="365" t="b" cm="1">
        <f t="array" aca="1" ref="T81" ca="1">T80</f>
        <v>0</v>
      </c>
      <c r="U81" s="78"/>
      <c r="V81" s="78"/>
      <c r="W81" s="78"/>
      <c r="X81" s="1094"/>
      <c r="Y81" s="1094"/>
      <c r="Z81" s="1064"/>
      <c r="AA81" s="1169"/>
      <c r="AB81" s="124"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31" t="s">
        <v>1664</v>
      </c>
      <c r="AD81" s="833"/>
      <c r="AE81" s="833"/>
      <c r="AF81" s="723">
        <f>IF(AD81=0,0,(AE81-AD81)/AD81*100)</f>
        <v>0</v>
      </c>
      <c r="AG81" s="833"/>
      <c r="AH81" s="833"/>
      <c r="AI81" s="723">
        <f>IF(AG81=0,0,(AH81-AG81)/AG81*100)</f>
        <v>0</v>
      </c>
      <c r="AJ81" s="833"/>
      <c r="AK81" s="833"/>
      <c r="AL81" s="723">
        <f>IF(AJ81=0,0,(AK81-AJ81)/AJ81*100)</f>
        <v>0</v>
      </c>
      <c r="AM81" s="833"/>
      <c r="AN81" s="833"/>
      <c r="AO81" s="723">
        <f>IF(AM81=0,0,(AN81-AM81)/AM81*100)</f>
        <v>0</v>
      </c>
      <c r="AP81" s="833"/>
      <c r="AQ81" s="833"/>
      <c r="AR81" s="723">
        <f>IF(AP81=0,0,(AQ81-AP81)/AP81*100)</f>
        <v>0</v>
      </c>
      <c r="AS81" s="833"/>
      <c r="AT81" s="833"/>
      <c r="AU81" s="723">
        <f>IF(AS81=0,0,(AT81-AS81)/AS81*100)</f>
        <v>0</v>
      </c>
      <c r="AV81" s="833"/>
      <c r="AW81" s="833"/>
      <c r="AX81" s="723">
        <f>IF(AV81=0,0,(AW81-AV81)/AV81*100)</f>
        <v>0</v>
      </c>
      <c r="AY81" s="833"/>
      <c r="AZ81" s="833"/>
      <c r="BA81" s="723">
        <f>IF(AY81=0,0,(AZ81-AY81)/AY81*100)</f>
        <v>0</v>
      </c>
      <c r="BB81" s="833"/>
      <c r="BC81" s="833"/>
      <c r="BD81" s="723">
        <f>IF(BB81=0,0,(BC81-BB81)/BB81*100)</f>
        <v>0</v>
      </c>
      <c r="BE81" s="833"/>
      <c r="BF81" s="833"/>
      <c r="BG81" s="723">
        <f>IF(BE81=0,0,(BF81-BE81)/BE81*100)</f>
        <v>0</v>
      </c>
      <c r="BH81" s="833"/>
      <c r="BI81" s="833"/>
      <c r="BJ81" s="723">
        <f>IF(BH81=0,0,(BI81-BH81)/BH81*100)</f>
        <v>0</v>
      </c>
      <c r="BK81" s="833"/>
      <c r="BL81" s="833"/>
      <c r="BM81" s="723">
        <f>IF(BK81=0,0,(BL81-BK81)/BK81*100)</f>
        <v>0</v>
      </c>
      <c r="BN81" s="833"/>
      <c r="BO81" s="833"/>
      <c r="BP81" s="723">
        <f>IF(BN81=0,0,(BO81-BN81)/BN81*100)</f>
        <v>0</v>
      </c>
      <c r="BQ81" s="833"/>
      <c r="BR81" s="833"/>
      <c r="BS81" s="723">
        <f>IF(BQ81=0,0,(BR81-BQ81)/BQ81*100)</f>
        <v>0</v>
      </c>
      <c r="BT81" s="833"/>
      <c r="BU81" s="833"/>
      <c r="BV81" s="723">
        <f>IF(BT81=0,0,(BU81-BT81)/BT81*100)</f>
        <v>0</v>
      </c>
      <c r="BW81" s="833"/>
      <c r="BX81" s="833"/>
      <c r="BY81" s="723">
        <f>IF(BW81=0,0,(BX81-BW81)/BW81*100)</f>
        <v>0</v>
      </c>
      <c r="BZ81" s="833"/>
      <c r="CA81" s="833"/>
      <c r="CB81" s="723">
        <f>IF(BZ81=0,0,(CA81-BZ81)/BZ81*100)</f>
        <v>0</v>
      </c>
      <c r="CC81" s="833"/>
      <c r="CD81" s="833"/>
      <c r="CE81" s="723">
        <f>IF(CC81=0,0,(CD81-CC81)/CC81*100)</f>
        <v>0</v>
      </c>
      <c r="CF81" s="833"/>
      <c r="CG81" s="833"/>
      <c r="CH81" s="723">
        <f>IF(CF81=0,0,(CG81-CF81)/CF81*100)</f>
        <v>0</v>
      </c>
      <c r="CI81" s="833"/>
      <c r="CJ81" s="833"/>
      <c r="CK81" s="723">
        <f>IF(CI81=0,0,(CJ81-CI81)/CI81*100)</f>
        <v>0</v>
      </c>
      <c r="CL81" s="833"/>
      <c r="CM81" s="833"/>
      <c r="CN81" s="723">
        <f>IF(CL81=0,0,(CM81-CL81)/CL81*100)</f>
        <v>0</v>
      </c>
      <c r="CO81" s="833"/>
      <c r="CP81" s="833"/>
      <c r="CQ81" s="723">
        <f>IF(CO81=0,0,(CP81-CO81)/CO81*100)</f>
        <v>0</v>
      </c>
      <c r="CR81" s="833"/>
      <c r="CS81" s="833"/>
      <c r="CT81" s="723">
        <f>IF(CR81=0,0,(CS81-CR81)/CR81*100)</f>
        <v>0</v>
      </c>
      <c r="CU81" s="833"/>
      <c r="CV81" s="833"/>
      <c r="CW81" s="723">
        <f>IF(CU81=0,0,(CV81-CU81)/CU81*100)</f>
        <v>0</v>
      </c>
      <c r="CX81" s="833"/>
      <c r="CY81" s="833"/>
      <c r="CZ81" s="723">
        <f>IF(CX81=0,0,(CY81-CX81)/CX81*100)</f>
        <v>0</v>
      </c>
      <c r="DA81" s="833"/>
      <c r="DB81" s="833"/>
      <c r="DC81" s="723">
        <f>IF(DA81=0,0,(DB81-DA81)/DA81*100)</f>
        <v>0</v>
      </c>
      <c r="DD81" s="833"/>
      <c r="DE81" s="833"/>
      <c r="DF81" s="723">
        <f>IF(DD81=0,0,(DE81-DD81)/DD81*100)</f>
        <v>0</v>
      </c>
      <c r="DG81" s="833"/>
      <c r="DH81" s="833"/>
      <c r="DI81" s="723">
        <f>IF(DG81=0,0,(DH81-DG81)/DG81*100)</f>
        <v>0</v>
      </c>
      <c r="DJ81" s="833"/>
      <c r="DK81" s="833"/>
      <c r="DL81" s="723">
        <f>IF(DJ81=0,0,(DK81-DJ81)/DJ81*100)</f>
        <v>0</v>
      </c>
      <c r="DM81" s="833"/>
      <c r="DN81" s="833"/>
      <c r="DO81" s="723">
        <f>IF(DM81=0,0,(DN81-DM81)/DM81*100)</f>
        <v>0</v>
      </c>
      <c r="DP81" s="833"/>
      <c r="DQ81" s="833"/>
      <c r="DR81" s="723">
        <f>IF(DP81=0,0,(DQ81-DP81)/DP81*100)</f>
        <v>0</v>
      </c>
      <c r="DS81" s="833"/>
      <c r="DT81" s="833"/>
      <c r="DU81" s="723">
        <f>IF(DS81=0,0,(DT81-DS81)/DS81*100)</f>
        <v>0</v>
      </c>
      <c r="DV81" s="833"/>
      <c r="DW81" s="833"/>
      <c r="DX81" s="723">
        <f>IF(DV81=0,0,(DW81-DV81)/DV81*100)</f>
        <v>0</v>
      </c>
      <c r="DY81" s="833"/>
      <c r="DZ81" s="833"/>
      <c r="EA81" s="723">
        <f>IF(DY81=0,0,(DZ81-DY81)/DY81*100)</f>
        <v>0</v>
      </c>
      <c r="EB81" s="833"/>
      <c r="EC81" s="833"/>
      <c r="ED81" s="723">
        <f>IF(EB81=0,0,(EC81-EB81)/EB81*100)</f>
        <v>0</v>
      </c>
      <c r="EE81" s="833"/>
      <c r="EF81" s="833"/>
      <c r="EG81" s="723">
        <f>IF(EE81=0,0,(EF81-EE81)/EE81*100)</f>
        <v>0</v>
      </c>
      <c r="EH81" s="833"/>
      <c r="EI81" s="833"/>
      <c r="EJ81" s="723">
        <f>IF(EH81=0,0,(EI81-EH81)/EH81*100)</f>
        <v>0</v>
      </c>
      <c r="EK81" s="833"/>
      <c r="EL81" s="833"/>
      <c r="EM81" s="723">
        <f>IF(EK81=0,0,(EL81-EK81)/EK81*100)</f>
        <v>0</v>
      </c>
      <c r="EN81" s="833"/>
      <c r="EO81" s="833"/>
      <c r="EP81" s="723">
        <f>IF(EN81=0,0,(EO81-EN81)/EN81*100)</f>
        <v>0</v>
      </c>
      <c r="EQ81" s="833"/>
      <c r="ER81" s="833"/>
      <c r="ES81" s="723">
        <f>IF(EQ81=0,0,(ER81-EQ81)/EQ81*100)</f>
        <v>0</v>
      </c>
      <c r="ET81" s="833"/>
      <c r="EU81" s="833"/>
      <c r="EV81" s="723">
        <f>IF(ET81=0,0,(EU81-ET81)/ET81*100)</f>
        <v>0</v>
      </c>
      <c r="EW81" s="833"/>
      <c r="EX81" s="833"/>
      <c r="EY81" s="723">
        <f>IF(EW81=0,0,(EX81-EW81)/EW81*100)</f>
        <v>0</v>
      </c>
      <c r="EZ81" s="833"/>
      <c r="FA81" s="833"/>
      <c r="FB81" s="723">
        <f>IF(EZ81=0,0,(FA81-EZ81)/EZ81*100)</f>
        <v>0</v>
      </c>
      <c r="FC81" s="833"/>
      <c r="FD81" s="833"/>
      <c r="FE81" s="723">
        <f>IF(FC81=0,0,(FD81-FC81)/FC81*100)</f>
        <v>0</v>
      </c>
      <c r="FF81" s="833"/>
      <c r="FG81" s="833"/>
      <c r="FH81" s="723">
        <f>IF(FF81=0,0,(FG81-FF81)/FF81*100)</f>
        <v>0</v>
      </c>
      <c r="FI81" s="833"/>
      <c r="FJ81" s="833"/>
      <c r="FK81" s="723">
        <f>IF(FI81=0,0,(FJ81-FI81)/FI81*100)</f>
        <v>0</v>
      </c>
      <c r="FL81" s="833"/>
      <c r="FM81" s="833"/>
      <c r="FN81" s="723">
        <f>IF(FL81=0,0,(FM81-FL81)/FL81*100)</f>
        <v>0</v>
      </c>
      <c r="FO81" s="833"/>
      <c r="FP81" s="833"/>
      <c r="FQ81" s="723">
        <f>IF(FO81=0,0,(FP81-FO81)/FO81*100)</f>
        <v>0</v>
      </c>
      <c r="FR81" s="833"/>
      <c r="FS81" s="833"/>
      <c r="FT81" s="723">
        <f>IF(FR81=0,0,(FS81-FR81)/FR81*100)</f>
        <v>0</v>
      </c>
      <c r="FU81" s="833"/>
      <c r="FV81" s="833"/>
      <c r="FW81" s="723">
        <f>IF(FU81=0,0,(FV81-FU81)/FU81*100)</f>
        <v>0</v>
      </c>
      <c r="FZ81" s="680" t="s">
        <v>1699</v>
      </c>
      <c r="GA81" s="680" t="s">
        <v>865</v>
      </c>
      <c r="GB81" s="680" cm="1">
        <f t="array" ref="GB81">GB80</f>
        <v>0</v>
      </c>
    </row>
    <row r="82" spans="1:186" ht="18.600000000000001" hidden="1" customHeight="1">
      <c r="A82" s="78"/>
      <c r="B82" s="622" t="b" cm="1">
        <f t="array" ref="B82">B81</f>
        <v>0</v>
      </c>
      <c r="C82" s="78"/>
      <c r="D82" s="78"/>
      <c r="E82" s="473">
        <v>19</v>
      </c>
      <c r="F82" s="3" cm="1">
        <f t="array" aca="1" ref="F82" ca="1">OFFSET(E82,-1,1)</f>
        <v>0</v>
      </c>
      <c r="G82" s="78"/>
      <c r="H82" s="78"/>
      <c r="I82" s="78"/>
      <c r="J82" s="78"/>
      <c r="K82" s="78"/>
      <c r="L82" s="78"/>
      <c r="M82" s="78"/>
      <c r="N82" s="78"/>
      <c r="O82" s="78"/>
      <c r="P82" s="78"/>
      <c r="Q82" s="78"/>
      <c r="R82" s="78"/>
      <c r="S82" s="78"/>
      <c r="T82" s="365" t="b" cm="1">
        <f t="array" aca="1" ref="T82" ca="1">T81</f>
        <v>0</v>
      </c>
      <c r="U82" s="78"/>
      <c r="V82" s="78"/>
      <c r="W82" s="78"/>
      <c r="X82" s="1094"/>
      <c r="Y82" s="1094"/>
      <c r="Z82" s="1064"/>
      <c r="AA82" s="1169"/>
      <c r="AB82" s="124" t="s">
        <v>1667</v>
      </c>
      <c r="AC82" s="31" t="s">
        <v>1668</v>
      </c>
      <c r="AD82" s="833"/>
      <c r="AE82" s="833"/>
      <c r="AF82" s="723">
        <f>IF(AD82=0,0,(AE82-AD82)/AD82*100)</f>
        <v>0</v>
      </c>
      <c r="AG82" s="833"/>
      <c r="AH82" s="833"/>
      <c r="AI82" s="723">
        <f>IF(AG82=0,0,(AH82-AG82)/AG82*100)</f>
        <v>0</v>
      </c>
      <c r="AJ82" s="833"/>
      <c r="AK82" s="833"/>
      <c r="AL82" s="723">
        <f>IF(AJ82=0,0,(AK82-AJ82)/AJ82*100)</f>
        <v>0</v>
      </c>
      <c r="AM82" s="833"/>
      <c r="AN82" s="833"/>
      <c r="AO82" s="723">
        <f>IF(AM82=0,0,(AN82-AM82)/AM82*100)</f>
        <v>0</v>
      </c>
      <c r="AP82" s="833"/>
      <c r="AQ82" s="833"/>
      <c r="AR82" s="723">
        <f>IF(AP82=0,0,(AQ82-AP82)/AP82*100)</f>
        <v>0</v>
      </c>
      <c r="AS82" s="833"/>
      <c r="AT82" s="833"/>
      <c r="AU82" s="723">
        <f>IF(AS82=0,0,(AT82-AS82)/AS82*100)</f>
        <v>0</v>
      </c>
      <c r="AV82" s="833"/>
      <c r="AW82" s="833"/>
      <c r="AX82" s="723">
        <f>IF(AV82=0,0,(AW82-AV82)/AV82*100)</f>
        <v>0</v>
      </c>
      <c r="AY82" s="833"/>
      <c r="AZ82" s="833"/>
      <c r="BA82" s="723">
        <f>IF(AY82=0,0,(AZ82-AY82)/AY82*100)</f>
        <v>0</v>
      </c>
      <c r="BB82" s="833"/>
      <c r="BC82" s="833"/>
      <c r="BD82" s="723">
        <f>IF(BB82=0,0,(BC82-BB82)/BB82*100)</f>
        <v>0</v>
      </c>
      <c r="BE82" s="833"/>
      <c r="BF82" s="833"/>
      <c r="BG82" s="723">
        <f>IF(BE82=0,0,(BF82-BE82)/BE82*100)</f>
        <v>0</v>
      </c>
      <c r="BH82" s="833"/>
      <c r="BI82" s="833"/>
      <c r="BJ82" s="723">
        <f>IF(BH82=0,0,(BI82-BH82)/BH82*100)</f>
        <v>0</v>
      </c>
      <c r="BK82" s="833"/>
      <c r="BL82" s="833"/>
      <c r="BM82" s="723">
        <f>IF(BK82=0,0,(BL82-BK82)/BK82*100)</f>
        <v>0</v>
      </c>
      <c r="BN82" s="833"/>
      <c r="BO82" s="833"/>
      <c r="BP82" s="723">
        <f>IF(BN82=0,0,(BO82-BN82)/BN82*100)</f>
        <v>0</v>
      </c>
      <c r="BQ82" s="833"/>
      <c r="BR82" s="833"/>
      <c r="BS82" s="723">
        <f>IF(BQ82=0,0,(BR82-BQ82)/BQ82*100)</f>
        <v>0</v>
      </c>
      <c r="BT82" s="833"/>
      <c r="BU82" s="833"/>
      <c r="BV82" s="723">
        <f>IF(BT82=0,0,(BU82-BT82)/BT82*100)</f>
        <v>0</v>
      </c>
      <c r="BW82" s="833"/>
      <c r="BX82" s="833"/>
      <c r="BY82" s="723">
        <f>IF(BW82=0,0,(BX82-BW82)/BW82*100)</f>
        <v>0</v>
      </c>
      <c r="BZ82" s="833"/>
      <c r="CA82" s="833"/>
      <c r="CB82" s="723">
        <f>IF(BZ82=0,0,(CA82-BZ82)/BZ82*100)</f>
        <v>0</v>
      </c>
      <c r="CC82" s="833"/>
      <c r="CD82" s="833"/>
      <c r="CE82" s="723">
        <f>IF(CC82=0,0,(CD82-CC82)/CC82*100)</f>
        <v>0</v>
      </c>
      <c r="CF82" s="833"/>
      <c r="CG82" s="833"/>
      <c r="CH82" s="723">
        <f>IF(CF82=0,0,(CG82-CF82)/CF82*100)</f>
        <v>0</v>
      </c>
      <c r="CI82" s="833"/>
      <c r="CJ82" s="833"/>
      <c r="CK82" s="723">
        <f>IF(CI82=0,0,(CJ82-CI82)/CI82*100)</f>
        <v>0</v>
      </c>
      <c r="CL82" s="833"/>
      <c r="CM82" s="833"/>
      <c r="CN82" s="723">
        <f>IF(CL82=0,0,(CM82-CL82)/CL82*100)</f>
        <v>0</v>
      </c>
      <c r="CO82" s="833"/>
      <c r="CP82" s="833"/>
      <c r="CQ82" s="723">
        <f>IF(CO82=0,0,(CP82-CO82)/CO82*100)</f>
        <v>0</v>
      </c>
      <c r="CR82" s="833"/>
      <c r="CS82" s="833"/>
      <c r="CT82" s="723">
        <f>IF(CR82=0,0,(CS82-CR82)/CR82*100)</f>
        <v>0</v>
      </c>
      <c r="CU82" s="833"/>
      <c r="CV82" s="833"/>
      <c r="CW82" s="723">
        <f>IF(CU82=0,0,(CV82-CU82)/CU82*100)</f>
        <v>0</v>
      </c>
      <c r="CX82" s="833"/>
      <c r="CY82" s="833"/>
      <c r="CZ82" s="723">
        <f>IF(CX82=0,0,(CY82-CX82)/CX82*100)</f>
        <v>0</v>
      </c>
      <c r="DA82" s="833"/>
      <c r="DB82" s="833"/>
      <c r="DC82" s="723">
        <f>IF(DA82=0,0,(DB82-DA82)/DA82*100)</f>
        <v>0</v>
      </c>
      <c r="DD82" s="833"/>
      <c r="DE82" s="833"/>
      <c r="DF82" s="723">
        <f>IF(DD82=0,0,(DE82-DD82)/DD82*100)</f>
        <v>0</v>
      </c>
      <c r="DG82" s="833"/>
      <c r="DH82" s="833"/>
      <c r="DI82" s="723">
        <f>IF(DG82=0,0,(DH82-DG82)/DG82*100)</f>
        <v>0</v>
      </c>
      <c r="DJ82" s="833"/>
      <c r="DK82" s="833"/>
      <c r="DL82" s="723">
        <f>IF(DJ82=0,0,(DK82-DJ82)/DJ82*100)</f>
        <v>0</v>
      </c>
      <c r="DM82" s="833"/>
      <c r="DN82" s="833"/>
      <c r="DO82" s="723">
        <f>IF(DM82=0,0,(DN82-DM82)/DM82*100)</f>
        <v>0</v>
      </c>
      <c r="DP82" s="833"/>
      <c r="DQ82" s="833"/>
      <c r="DR82" s="723">
        <f>IF(DP82=0,0,(DQ82-DP82)/DP82*100)</f>
        <v>0</v>
      </c>
      <c r="DS82" s="833"/>
      <c r="DT82" s="833"/>
      <c r="DU82" s="723">
        <f>IF(DS82=0,0,(DT82-DS82)/DS82*100)</f>
        <v>0</v>
      </c>
      <c r="DV82" s="833"/>
      <c r="DW82" s="833"/>
      <c r="DX82" s="723">
        <f>IF(DV82=0,0,(DW82-DV82)/DV82*100)</f>
        <v>0</v>
      </c>
      <c r="DY82" s="833"/>
      <c r="DZ82" s="833"/>
      <c r="EA82" s="723">
        <f>IF(DY82=0,0,(DZ82-DY82)/DY82*100)</f>
        <v>0</v>
      </c>
      <c r="EB82" s="833"/>
      <c r="EC82" s="833"/>
      <c r="ED82" s="723">
        <f>IF(EB82=0,0,(EC82-EB82)/EB82*100)</f>
        <v>0</v>
      </c>
      <c r="EE82" s="833"/>
      <c r="EF82" s="833"/>
      <c r="EG82" s="723">
        <f>IF(EE82=0,0,(EF82-EE82)/EE82*100)</f>
        <v>0</v>
      </c>
      <c r="EH82" s="833"/>
      <c r="EI82" s="833"/>
      <c r="EJ82" s="723">
        <f>IF(EH82=0,0,(EI82-EH82)/EH82*100)</f>
        <v>0</v>
      </c>
      <c r="EK82" s="833"/>
      <c r="EL82" s="833"/>
      <c r="EM82" s="723">
        <f>IF(EK82=0,0,(EL82-EK82)/EK82*100)</f>
        <v>0</v>
      </c>
      <c r="EN82" s="833"/>
      <c r="EO82" s="833"/>
      <c r="EP82" s="723">
        <f>IF(EN82=0,0,(EO82-EN82)/EN82*100)</f>
        <v>0</v>
      </c>
      <c r="EQ82" s="833"/>
      <c r="ER82" s="833"/>
      <c r="ES82" s="723">
        <f>IF(EQ82=0,0,(ER82-EQ82)/EQ82*100)</f>
        <v>0</v>
      </c>
      <c r="ET82" s="833"/>
      <c r="EU82" s="833"/>
      <c r="EV82" s="723">
        <f>IF(ET82=0,0,(EU82-ET82)/ET82*100)</f>
        <v>0</v>
      </c>
      <c r="EW82" s="833"/>
      <c r="EX82" s="833"/>
      <c r="EY82" s="723">
        <f>IF(EW82=0,0,(EX82-EW82)/EW82*100)</f>
        <v>0</v>
      </c>
      <c r="EZ82" s="833"/>
      <c r="FA82" s="833"/>
      <c r="FB82" s="723">
        <f>IF(EZ82=0,0,(FA82-EZ82)/EZ82*100)</f>
        <v>0</v>
      </c>
      <c r="FC82" s="833"/>
      <c r="FD82" s="833"/>
      <c r="FE82" s="723">
        <f>IF(FC82=0,0,(FD82-FC82)/FC82*100)</f>
        <v>0</v>
      </c>
      <c r="FF82" s="833"/>
      <c r="FG82" s="833"/>
      <c r="FH82" s="723">
        <f>IF(FF82=0,0,(FG82-FF82)/FF82*100)</f>
        <v>0</v>
      </c>
      <c r="FI82" s="833"/>
      <c r="FJ82" s="833"/>
      <c r="FK82" s="723">
        <f>IF(FI82=0,0,(FJ82-FI82)/FI82*100)</f>
        <v>0</v>
      </c>
      <c r="FL82" s="833"/>
      <c r="FM82" s="833"/>
      <c r="FN82" s="723">
        <f>IF(FL82=0,0,(FM82-FL82)/FL82*100)</f>
        <v>0</v>
      </c>
      <c r="FO82" s="833"/>
      <c r="FP82" s="833"/>
      <c r="FQ82" s="723">
        <f>IF(FO82=0,0,(FP82-FO82)/FO82*100)</f>
        <v>0</v>
      </c>
      <c r="FR82" s="833"/>
      <c r="FS82" s="833"/>
      <c r="FT82" s="723">
        <f>IF(FR82=0,0,(FS82-FR82)/FR82*100)</f>
        <v>0</v>
      </c>
      <c r="FU82" s="833"/>
      <c r="FV82" s="833"/>
      <c r="FW82" s="723">
        <f>IF(FU82=0,0,(FV82-FU82)/FU82*100)</f>
        <v>0</v>
      </c>
      <c r="FZ82" s="680" t="s">
        <v>1700</v>
      </c>
      <c r="GA82" s="680" t="s">
        <v>865</v>
      </c>
      <c r="GB82" s="680" cm="1">
        <f t="array" ref="GB82">GB81</f>
        <v>0</v>
      </c>
    </row>
    <row r="83" spans="1:186" ht="14.65" hidden="1" customHeight="1">
      <c r="A83" s="78"/>
      <c r="B83" s="622" t="b" cm="1">
        <f t="array" ref="B83">B76</f>
        <v>0</v>
      </c>
      <c r="C83" s="78"/>
      <c r="D83" s="78"/>
      <c r="E83" s="473">
        <v>15</v>
      </c>
      <c r="F83" s="3" cm="1">
        <f t="array" aca="1" ref="F83" ca="1">OFFSET(E83,-1,1)</f>
        <v>0</v>
      </c>
      <c r="G83" s="78"/>
      <c r="H83" s="78"/>
      <c r="I83" s="36" t="s">
        <v>1701</v>
      </c>
      <c r="J83" s="78"/>
      <c r="K83" s="78"/>
      <c r="L83" s="78"/>
      <c r="M83" s="78"/>
      <c r="N83" s="78"/>
      <c r="O83" s="78"/>
      <c r="P83" s="78"/>
      <c r="Q83" s="78"/>
      <c r="R83" s="78"/>
      <c r="S83" s="78"/>
      <c r="T83" s="365" t="b">
        <f ca="1">F83&gt;0</f>
        <v>0</v>
      </c>
      <c r="U83" s="78"/>
      <c r="W83" s="528" t="s">
        <v>1654</v>
      </c>
      <c r="X83" s="1094"/>
      <c r="Z83" s="1064"/>
      <c r="AB83" s="191" t="s">
        <v>177</v>
      </c>
      <c r="AC83" s="195"/>
      <c r="AD83" s="725"/>
      <c r="AE83" s="725"/>
      <c r="AF83" s="725"/>
      <c r="AG83" s="725"/>
      <c r="AH83" s="725"/>
      <c r="AI83" s="725"/>
      <c r="AJ83" s="725"/>
      <c r="AK83" s="725"/>
      <c r="AL83" s="725"/>
      <c r="AM83" s="725"/>
      <c r="AN83" s="725"/>
      <c r="AO83" s="725"/>
      <c r="AP83" s="725"/>
      <c r="AQ83" s="725"/>
      <c r="AR83" s="725"/>
      <c r="AS83" s="725"/>
      <c r="AT83" s="725"/>
      <c r="AU83" s="725"/>
      <c r="AV83" s="725"/>
      <c r="AW83" s="725"/>
      <c r="AX83" s="725"/>
      <c r="AY83" s="725"/>
      <c r="AZ83" s="725"/>
      <c r="BA83" s="725"/>
      <c r="BB83" s="725"/>
      <c r="BC83" s="725"/>
      <c r="BD83" s="725"/>
      <c r="BE83" s="725"/>
      <c r="BF83" s="725"/>
      <c r="BG83" s="725"/>
      <c r="BH83" s="725"/>
      <c r="BI83" s="725"/>
      <c r="BJ83" s="725"/>
      <c r="BK83" s="725"/>
      <c r="BL83" s="725"/>
      <c r="BM83" s="725"/>
      <c r="BN83" s="725"/>
      <c r="BO83" s="725"/>
      <c r="BP83" s="725"/>
      <c r="BQ83" s="725"/>
      <c r="BR83" s="725"/>
      <c r="BS83" s="725"/>
      <c r="BT83" s="725"/>
      <c r="BU83" s="725"/>
      <c r="BV83" s="725"/>
      <c r="BW83" s="725"/>
      <c r="BX83" s="725"/>
      <c r="BY83" s="725"/>
      <c r="BZ83" s="725"/>
      <c r="CA83" s="725"/>
      <c r="CB83" s="725"/>
      <c r="CC83" s="725"/>
      <c r="CD83" s="725"/>
      <c r="CE83" s="725"/>
      <c r="CF83" s="725"/>
      <c r="CG83" s="725"/>
      <c r="CH83" s="725"/>
      <c r="CI83" s="725"/>
      <c r="CJ83" s="725"/>
      <c r="CK83" s="725"/>
      <c r="CL83" s="725"/>
      <c r="CM83" s="725"/>
      <c r="CN83" s="725"/>
      <c r="CO83" s="725"/>
      <c r="CP83" s="725"/>
      <c r="CQ83" s="725"/>
      <c r="CR83" s="725"/>
      <c r="CS83" s="725"/>
      <c r="CT83" s="725"/>
      <c r="CU83" s="725"/>
      <c r="CV83" s="725"/>
      <c r="CW83" s="725"/>
      <c r="CX83" s="725"/>
      <c r="CY83" s="725"/>
      <c r="CZ83" s="725"/>
      <c r="DA83" s="725"/>
      <c r="DB83" s="725"/>
      <c r="DC83" s="725"/>
      <c r="DD83" s="725"/>
      <c r="DE83" s="725"/>
      <c r="DF83" s="725"/>
      <c r="DG83" s="725"/>
      <c r="DH83" s="725"/>
      <c r="DI83" s="725"/>
      <c r="DJ83" s="725"/>
      <c r="DK83" s="725"/>
      <c r="DL83" s="725"/>
      <c r="DM83" s="725"/>
      <c r="DN83" s="725"/>
      <c r="DO83" s="725"/>
      <c r="DP83" s="725"/>
      <c r="DQ83" s="725"/>
      <c r="DR83" s="725"/>
      <c r="DS83" s="725"/>
      <c r="DT83" s="725"/>
      <c r="DU83" s="725"/>
      <c r="DV83" s="725"/>
      <c r="DW83" s="725"/>
      <c r="DX83" s="725"/>
      <c r="DY83" s="725"/>
      <c r="DZ83" s="725"/>
      <c r="EA83" s="725"/>
      <c r="EB83" s="725"/>
      <c r="EC83" s="725"/>
      <c r="ED83" s="725"/>
      <c r="EE83" s="725"/>
      <c r="EF83" s="725"/>
      <c r="EG83" s="725"/>
      <c r="EH83" s="725"/>
      <c r="EI83" s="725"/>
      <c r="EJ83" s="725"/>
      <c r="EK83" s="725"/>
      <c r="EL83" s="725"/>
      <c r="EM83" s="725"/>
      <c r="EN83" s="725"/>
      <c r="EO83" s="725"/>
      <c r="EP83" s="725"/>
      <c r="EQ83" s="725"/>
      <c r="ER83" s="725"/>
      <c r="ES83" s="725"/>
      <c r="ET83" s="725"/>
      <c r="EU83" s="725"/>
      <c r="EV83" s="725"/>
      <c r="EW83" s="725"/>
      <c r="EX83" s="725"/>
      <c r="EY83" s="725"/>
      <c r="EZ83" s="725"/>
      <c r="FA83" s="725"/>
      <c r="FB83" s="725"/>
      <c r="FC83" s="725"/>
      <c r="FD83" s="725"/>
      <c r="FE83" s="725"/>
      <c r="FF83" s="725"/>
      <c r="FG83" s="725"/>
      <c r="FH83" s="725"/>
      <c r="FI83" s="725"/>
      <c r="FJ83" s="725"/>
      <c r="FK83" s="725"/>
      <c r="FL83" s="725"/>
      <c r="FM83" s="725"/>
      <c r="FN83" s="725"/>
      <c r="FO83" s="725"/>
      <c r="FP83" s="725"/>
      <c r="FQ83" s="725"/>
      <c r="FR83" s="725"/>
      <c r="FS83" s="725"/>
      <c r="FT83" s="725"/>
      <c r="FU83" s="725"/>
      <c r="FV83" s="725"/>
      <c r="FW83" s="726"/>
      <c r="FZ83" s="700" t="s">
        <v>225</v>
      </c>
      <c r="GC83" s="472" t="s">
        <v>865</v>
      </c>
    </row>
    <row r="84" spans="1:186" ht="11.25" hidden="1" customHeight="1">
      <c r="A84" s="327"/>
      <c r="B84" s="622"/>
      <c r="C84" s="327"/>
      <c r="D84" s="327"/>
      <c r="E84" s="491">
        <v>0</v>
      </c>
      <c r="F84" s="774" cm="1">
        <f t="array" aca="1" ref="F84" ca="1">OFFSET(E84,-1,1)</f>
        <v>0</v>
      </c>
      <c r="G84" s="327"/>
      <c r="H84" s="327"/>
      <c r="I84" s="327"/>
      <c r="J84" s="327"/>
      <c r="K84" s="327"/>
      <c r="L84" s="327"/>
      <c r="M84" s="327"/>
      <c r="N84" s="327"/>
      <c r="O84" s="327"/>
      <c r="P84" s="327"/>
      <c r="Q84" s="327"/>
      <c r="R84" s="327"/>
      <c r="S84" s="327"/>
      <c r="T84" s="365" t="b">
        <v>0</v>
      </c>
      <c r="U84" s="327"/>
      <c r="V84" s="327"/>
      <c r="W84" s="327"/>
      <c r="X84" s="1094"/>
      <c r="Y84" s="327"/>
      <c r="Z84" s="1064"/>
      <c r="AA84" s="327"/>
      <c r="AB84"/>
      <c r="AC84" s="327"/>
      <c r="AD84" s="327"/>
      <c r="AE84" s="327"/>
      <c r="AF84" s="327"/>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0" t="s">
        <v>225</v>
      </c>
      <c r="GA84" s="670"/>
      <c r="GB84" s="664"/>
      <c r="GC84" s="465"/>
      <c r="GD84" s="465"/>
    </row>
    <row r="85" spans="1:186" s="219" customFormat="1" ht="23.85" hidden="1" customHeight="1">
      <c r="A85" s="603"/>
      <c r="B85" s="622" t="b" cm="1">
        <f t="array" ref="B85">S29</f>
        <v>0</v>
      </c>
      <c r="C85" s="603"/>
      <c r="D85" s="603"/>
      <c r="E85" s="473">
        <v>24.5</v>
      </c>
      <c r="F85" s="3" cm="1">
        <f t="array" aca="1" ref="F85" ca="1">OFFSET(E85,-1,1)</f>
        <v>0</v>
      </c>
      <c r="G85" s="44" t="s">
        <v>1621</v>
      </c>
      <c r="H85" s="78" t="s">
        <v>461</v>
      </c>
      <c r="I85" s="78" t="s">
        <v>1702</v>
      </c>
      <c r="J85" s="603"/>
      <c r="K85" s="603"/>
      <c r="L85" s="603"/>
      <c r="M85" s="603"/>
      <c r="N85" s="603"/>
      <c r="O85" s="603"/>
      <c r="P85" s="603"/>
      <c r="Q85" s="603"/>
      <c r="R85" s="603"/>
      <c r="S85" s="78"/>
      <c r="T85" s="365" t="b" cm="1">
        <f t="array" aca="1" ref="T85" ca="1">T83</f>
        <v>0</v>
      </c>
      <c r="U85" s="603"/>
      <c r="V85" s="603"/>
      <c r="W85" s="603"/>
      <c r="X85" s="1094"/>
      <c r="Y85" s="603"/>
      <c r="Z85" s="1064"/>
      <c r="AA85" s="603"/>
      <c r="AB85" s="151" t="s">
        <v>1703</v>
      </c>
      <c r="AC85" s="166" t="s">
        <v>1624</v>
      </c>
      <c r="AD85" s="946">
        <f ca="1">IF(AND(method_reg="Метод индексации",god&lt;&gt;first_year),SUMIFS(INDEX('Калькуляция (МИ корр)'!$AJ$25:$BC$459,,MATCH(AD$8,'Калькуляция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(МИ)'!$AJ$25:$BC$459,,MATCH(AD$8,'Калькуляция (МИ)'!$AJ$8:$BC$8,0)),'Калькуляция (МИ)'!$F$25:$F$459,$F85,'Калькуляция (МИ)'!$G$25:$G$459,$G85))))</f>
        <v>0</v>
      </c>
      <c r="AE85" s="946">
        <f ca="1">IF(AND(method_reg="Метод индексации",god&lt;&gt;first_year),SUMIFS(INDEX('Калькуляция (МИ корр)'!$AJ$25:$BC$459,,MATCH(AE$8,'Калькуляция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(МИ)'!$AJ$25:$BC$459,,MATCH(AE$8,'Калькуляция (МИ)'!$AJ$8:$BC$8,0)),'Калькуляция (МИ)'!$F$25:$F$459,$F85,'Калькуляция (МИ)'!$G$25:$G$459,$G85))))</f>
        <v>0</v>
      </c>
      <c r="AF85" s="222">
        <f ca="1">IF(AD85=0,0,(AE85-AD85)/AD85*100)</f>
        <v>0</v>
      </c>
      <c r="AG85" s="946">
        <f ca="1">IF(AND(method_reg="Метод индексации",god&lt;&gt;first_year),SUMIFS(INDEX('Калькуляция (МИ корр)'!$AJ$25:$BC$459,,MATCH(AG$8,'Калькуляция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(МИ)'!$AJ$25:$BC$459,,MATCH(AG$8,'Калькуляция (МИ)'!$AJ$8:$BC$8,0)),'Калькуляция (МИ)'!$F$25:$F$459,$F85,'Калькуляция (МИ)'!$G$25:$G$459,$G85))))</f>
        <v>0</v>
      </c>
      <c r="AH85" s="946">
        <f ca="1">IF(AND(method_reg="Метод индексации",god&lt;&gt;first_year),SUMIFS(INDEX('Калькуляция (МИ корр)'!$AJ$25:$BC$459,,MATCH(AH$8,'Калькуляция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(МИ)'!$AJ$25:$BC$459,,MATCH(AH$8,'Калькуляция (МИ)'!$AJ$8:$BC$8,0)),'Калькуляция (МИ)'!$F$25:$F$459,$F85,'Калькуляция (МИ)'!$G$25:$G$459,$G85))))</f>
        <v>0</v>
      </c>
      <c r="AI85" s="222">
        <f ca="1">IF(AG85=0,0,(AH85-AG85)/AG85*100)</f>
        <v>0</v>
      </c>
      <c r="AJ85" s="946">
        <f ca="1">IF(AND(method_reg="Метод индексации",god&lt;&gt;first_year),SUMIFS(INDEX('Калькуляция (МИ корр)'!$AJ$25:$BC$459,,MATCH(AJ$8,'Калькуляция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(МИ)'!$AJ$25:$BC$459,,MATCH(AJ$8,'Калькуляция (МИ)'!$AJ$8:$BC$8,0)),'Калькуляция (МИ)'!$F$25:$F$459,$F85,'Калькуляция (МИ)'!$G$25:$G$459,$G85))))</f>
        <v>0</v>
      </c>
      <c r="AK85" s="946">
        <f ca="1">IF(AND(method_reg="Метод индексации",god&lt;&gt;first_year),SUMIFS(INDEX('Калькуляция (МИ корр)'!$AJ$25:$BC$459,,MATCH(AK$8,'Калькуляция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(МИ)'!$AJ$25:$BC$459,,MATCH(AK$8,'Калькуляция (МИ)'!$AJ$8:$BC$8,0)),'Калькуляция (МИ)'!$F$25:$F$459,$F85,'Калькуляция (МИ)'!$G$25:$G$459,$G85))))</f>
        <v>0</v>
      </c>
      <c r="AL85" s="222">
        <f ca="1">IF(AJ85=0,0,(AK85-AJ85)/AJ85*100)</f>
        <v>0</v>
      </c>
      <c r="AM85" s="946">
        <f ca="1">IF(AND(method_reg="Метод индексации",god&lt;&gt;first_year),SUMIFS(INDEX('Калькуляция (МИ корр)'!$AJ$25:$BC$459,,MATCH(AM$8,'Калькуляция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(МИ)'!$AJ$25:$BC$459,,MATCH(AM$8,'Калькуляция (МИ)'!$AJ$8:$BC$8,0)),'Калькуляция (МИ)'!$F$25:$F$459,$F85,'Калькуляция (МИ)'!$G$25:$G$459,$G85))))</f>
        <v>0</v>
      </c>
      <c r="AN85" s="946">
        <f ca="1">IF(AND(method_reg="Метод индексации",god&lt;&gt;first_year),SUMIFS(INDEX('Калькуляция (МИ корр)'!$AJ$25:$BC$459,,MATCH(AN$8,'Калькуляция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(МИ)'!$AJ$25:$BC$459,,MATCH(AN$8,'Калькуляция (МИ)'!$AJ$8:$BC$8,0)),'Калькуляция (МИ)'!$F$25:$F$459,$F85,'Калькуляция (МИ)'!$G$25:$G$459,$G85))))</f>
        <v>0</v>
      </c>
      <c r="AO85" s="222">
        <f ca="1">IF(AM85=0,0,(AN85-AM85)/AM85*100)</f>
        <v>0</v>
      </c>
      <c r="AP85" s="946">
        <f ca="1">IF(AND(method_reg="Метод индексации",god&lt;&gt;first_year),SUMIFS(INDEX('Калькуляция (МИ корр)'!$AJ$25:$BC$459,,MATCH(AP$8,'Калькуляция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(МИ)'!$AJ$25:$BC$459,,MATCH(AP$8,'Калькуляция (МИ)'!$AJ$8:$BC$8,0)),'Калькуляция (МИ)'!$F$25:$F$459,$F85,'Калькуляция (МИ)'!$G$25:$G$459,$G85))))</f>
        <v>0</v>
      </c>
      <c r="AQ85" s="946">
        <f ca="1">IF(AND(method_reg="Метод индексации",god&lt;&gt;first_year),SUMIFS(INDEX('Калькуляция (МИ корр)'!$AJ$25:$BC$459,,MATCH(AQ$8,'Калькуляция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(МИ)'!$AJ$25:$BC$459,,MATCH(AQ$8,'Калькуляция (МИ)'!$AJ$8:$BC$8,0)),'Калькуляция (МИ)'!$F$25:$F$459,$F85,'Калькуляция (МИ)'!$G$25:$G$459,$G85))))</f>
        <v>0</v>
      </c>
      <c r="AR85" s="222">
        <f ca="1">IF(AP85=0,0,(AQ85-AP85)/AP85*100)</f>
        <v>0</v>
      </c>
      <c r="AS85" s="946">
        <f ca="1">IF(AND(method_reg="Метод индексации",god&lt;&gt;first_year),SUMIFS(INDEX('Калькуляция (МИ корр)'!$AJ$25:$BC$459,,MATCH(AS$8,'Калькуляция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(МИ)'!$AJ$25:$BC$459,,MATCH(AS$8,'Калькуляция (МИ)'!$AJ$8:$BC$8,0)),'Калькуляция (МИ)'!$F$25:$F$459,$F85,'Калькуляция (МИ)'!$G$25:$G$459,$G85))))</f>
        <v>0</v>
      </c>
      <c r="AT85" s="946">
        <f ca="1">IF(AND(method_reg="Метод индексации",god&lt;&gt;first_year),SUMIFS(INDEX('Калькуляция (МИ корр)'!$AJ$25:$BC$459,,MATCH(AT$8,'Калькуляция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(МИ)'!$AJ$25:$BC$459,,MATCH(AT$8,'Калькуляция (МИ)'!$AJ$8:$BC$8,0)),'Калькуляция (МИ)'!$F$25:$F$459,$F85,'Калькуляция (МИ)'!$G$25:$G$459,$G85))))</f>
        <v>0</v>
      </c>
      <c r="AU85" s="222">
        <f ca="1">IF(AS85=0,0,(AT85-AS85)/AS85*100)</f>
        <v>0</v>
      </c>
      <c r="AV85" s="946">
        <f ca="1">IF(AND(method_reg="Метод индексации",god&lt;&gt;first_year),SUMIFS(INDEX('Калькуляция (МИ корр)'!$AJ$25:$BC$459,,MATCH(AV$8,'Калькуляция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(МИ)'!$AJ$25:$BC$459,,MATCH(AV$8,'Калькуляция (МИ)'!$AJ$8:$BC$8,0)),'Калькуляция (МИ)'!$F$25:$F$459,$F85,'Калькуляция (МИ)'!$G$25:$G$459,$G85))))</f>
        <v>0</v>
      </c>
      <c r="AW85" s="946">
        <f ca="1">IF(AND(method_reg="Метод индексации",god&lt;&gt;first_year),SUMIFS(INDEX('Калькуляция (МИ корр)'!$AJ$25:$BC$459,,MATCH(AW$8,'Калькуляция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(МИ)'!$AJ$25:$BC$459,,MATCH(AW$8,'Калькуляция (МИ)'!$AJ$8:$BC$8,0)),'Калькуляция (МИ)'!$F$25:$F$459,$F85,'Калькуляция (МИ)'!$G$25:$G$459,$G85))))</f>
        <v>0</v>
      </c>
      <c r="AX85" s="222">
        <f ca="1">IF(AV85=0,0,(AW85-AV85)/AV85*100)</f>
        <v>0</v>
      </c>
      <c r="AY85" s="946">
        <f ca="1">IF(AND(method_reg="Метод индексации",god&lt;&gt;first_year),SUMIFS(INDEX('Калькуляция (МИ корр)'!$AJ$25:$BC$459,,MATCH(AY$8,'Калькуляция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(МИ)'!$AJ$25:$BC$459,,MATCH(AY$8,'Калькуляция (МИ)'!$AJ$8:$BC$8,0)),'Калькуляция (МИ)'!$F$25:$F$459,$F85,'Калькуляция (МИ)'!$G$25:$G$459,$G85))))</f>
        <v>0</v>
      </c>
      <c r="AZ85" s="946">
        <f ca="1">IF(AND(method_reg="Метод индексации",god&lt;&gt;first_year),SUMIFS(INDEX('Калькуляция (МИ корр)'!$AJ$25:$BC$459,,MATCH(AZ$8,'Калькуляция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(МИ)'!$AJ$25:$BC$459,,MATCH(AZ$8,'Калькуляция (МИ)'!$AJ$8:$BC$8,0)),'Калькуляция (МИ)'!$F$25:$F$459,$F85,'Калькуляция (МИ)'!$G$25:$G$459,$G85))))</f>
        <v>0</v>
      </c>
      <c r="BA85" s="222">
        <f ca="1">IF(AY85=0,0,(AZ85-AY85)/AY85*100)</f>
        <v>0</v>
      </c>
      <c r="BB85" s="946">
        <f ca="1">IF(AND(method_reg="Метод индексации",god&lt;&gt;first_year),SUMIFS(INDEX('Калькуляция (МИ корр)'!$AJ$25:$BC$459,,MATCH(BB$8,'Калькуляция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(МИ)'!$AJ$25:$BC$459,,MATCH(BB$8,'Калькуляция (МИ)'!$AJ$8:$BC$8,0)),'Калькуляция (МИ)'!$F$25:$F$459,$F85,'Калькуляция (МИ)'!$G$25:$G$459,$G85))))</f>
        <v>0</v>
      </c>
      <c r="BC85" s="946">
        <f ca="1">IF(AND(method_reg="Метод индексации",god&lt;&gt;first_year),SUMIFS(INDEX('Калькуляция (МИ корр)'!$AJ$25:$BC$459,,MATCH(BC$8,'Калькуляция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(МИ)'!$AJ$25:$BC$459,,MATCH(BC$8,'Калькуляция (МИ)'!$AJ$8:$BC$8,0)),'Калькуляция (МИ)'!$F$25:$F$459,$F85,'Калькуляция (МИ)'!$G$25:$G$459,$G85))))</f>
        <v>0</v>
      </c>
      <c r="BD85" s="222">
        <f ca="1">IF(BB85=0,0,(BC85-BB85)/BB85*100)</f>
        <v>0</v>
      </c>
      <c r="BE85" s="946">
        <f ca="1">IF(AND(method_reg="Метод индексации",god&lt;&gt;first_year),SUMIFS(INDEX('Калькуляция (МИ корр)'!$AJ$25:$BC$459,,MATCH(BE$8,'Калькуляция (МИ корр)'!$AJ$8:$BC$8,0)),'Калькуляция (МИ корр)'!$F$25:$F$459,$F85,'Калькуляция (МИ корр)'!$G$25:$G$459,$G85),IF(method_reg="Метод экономически обоснованных расходов",SUMIFS('Калькуляция (МЭОР)'!$AJ$25:$AJ$282,'Калькуляция (МЭОР)'!$F$25:$F$282,$F85,'Калькуляция (МЭОР)'!$G$25:$G$282,$G85),IF(method_reg="Метод сравнения аналогов",SUMIFS('Калькуляция (МСА)'!$AE$25:$AE$84,'Калькуляция (МСА)'!$F$25:$F$84,$F85,'Калькуляция (МСА)'!$G$25:$G$84,$G85),SUMIFS(INDEX('Калькуляция (МИ)'!$AJ$25:$BC$459,,MATCH(BE$8,'Калькуляция (МИ)'!$AJ$8:$BC$8,0)),'Калькуляция (МИ)'!$F$25:$F$459,$F85,'Калькуляция (МИ)'!$G$25:$G$459,$G85))))</f>
        <v>0</v>
      </c>
      <c r="BF85" s="946">
        <f ca="1">IF(AND(method_reg="Метод индексации",god&lt;&gt;first_year),SUMIFS(INDEX('Калькуляция (МИ корр)'!$AJ$25:$BC$459,,MATCH(BF$8,'Калькуляция (МИ корр)'!$AJ$8:$BC$8,0)),'Калькуляция (МИ корр)'!$F$25:$F$459,$F85,'Калькуляция (МИ корр)'!$G$25:$G$459,$G85),IF(method_reg="Метод экономически обоснованных расходов",SUMIFS('Калькуляция (МЭОР)'!$AK$25:$AK$282,'Калькуляция (МЭОР)'!$F$25:$F$282,$F85,'Калькуляция (МЭОР)'!$G$25:$G$282,$G85),IF(method_reg="Метод сравнения аналогов",SUMIFS('Калькуляция (МСА)'!$AF$25:$AF$84,'Калькуляция (МСА)'!$F$25:$F$84,$F85,'Калькуляция (МСА)'!$G$25:$G$84,$G85),SUMIFS(INDEX('Калькуляция (МИ)'!$AJ$25:$BC$459,,MATCH(BF$8,'Калькуляция (МИ)'!$AJ$8:$BC$8,0)),'Калькуляция (МИ)'!$F$25:$F$459,$F85,'Калькуляция (МИ)'!$G$25:$G$459,$G85))))</f>
        <v>0</v>
      </c>
      <c r="BG85" s="222">
        <f ca="1">IF(BE85=0,0,(BF85-BE85)/BE85*100)</f>
        <v>0</v>
      </c>
      <c r="BH85" s="946"/>
      <c r="BI85" s="946"/>
      <c r="BJ85" s="222">
        <f>IF(BH85=0,0,(BI85-BH85)/BH85*100)</f>
        <v>0</v>
      </c>
      <c r="BK85" s="946"/>
      <c r="BL85" s="946"/>
      <c r="BM85" s="222">
        <f>IF(BK85=0,0,(BL85-BK85)/BK85*100)</f>
        <v>0</v>
      </c>
      <c r="BN85" s="946"/>
      <c r="BO85" s="946"/>
      <c r="BP85" s="222">
        <f>IF(BN85=0,0,(BO85-BN85)/BN85*100)</f>
        <v>0</v>
      </c>
      <c r="BQ85" s="946"/>
      <c r="BR85" s="946"/>
      <c r="BS85" s="222">
        <f>IF(BQ85=0,0,(BR85-BQ85)/BQ85*100)</f>
        <v>0</v>
      </c>
      <c r="BT85" s="946"/>
      <c r="BU85" s="946"/>
      <c r="BV85" s="222">
        <f>IF(BT85=0,0,(BU85-BT85)/BT85*100)</f>
        <v>0</v>
      </c>
      <c r="BW85" s="946"/>
      <c r="BX85" s="946"/>
      <c r="BY85" s="222">
        <f>IF(BW85=0,0,(BX85-BW85)/BW85*100)</f>
        <v>0</v>
      </c>
      <c r="BZ85" s="946"/>
      <c r="CA85" s="946"/>
      <c r="CB85" s="222">
        <f>IF(BZ85=0,0,(CA85-BZ85)/BZ85*100)</f>
        <v>0</v>
      </c>
      <c r="CC85" s="946"/>
      <c r="CD85" s="946"/>
      <c r="CE85" s="222">
        <f>IF(CC85=0,0,(CD85-CC85)/CC85*100)</f>
        <v>0</v>
      </c>
      <c r="CF85" s="946"/>
      <c r="CG85" s="946"/>
      <c r="CH85" s="222">
        <f>IF(CF85=0,0,(CG85-CF85)/CF85*100)</f>
        <v>0</v>
      </c>
      <c r="CI85" s="946"/>
      <c r="CJ85" s="946"/>
      <c r="CK85" s="222">
        <f>IF(CI85=0,0,(CJ85-CI85)/CI85*100)</f>
        <v>0</v>
      </c>
      <c r="CL85" s="946"/>
      <c r="CM85" s="946"/>
      <c r="CN85" s="222">
        <f>IF(CL85=0,0,(CM85-CL85)/CL85*100)</f>
        <v>0</v>
      </c>
      <c r="CO85" s="946"/>
      <c r="CP85" s="946"/>
      <c r="CQ85" s="222">
        <f>IF(CO85=0,0,(CP85-CO85)/CO85*100)</f>
        <v>0</v>
      </c>
      <c r="CR85" s="946"/>
      <c r="CS85" s="946"/>
      <c r="CT85" s="222">
        <f>IF(CR85=0,0,(CS85-CR85)/CR85*100)</f>
        <v>0</v>
      </c>
      <c r="CU85" s="946"/>
      <c r="CV85" s="946"/>
      <c r="CW85" s="222">
        <f>IF(CU85=0,0,(CV85-CU85)/CU85*100)</f>
        <v>0</v>
      </c>
      <c r="CX85" s="946"/>
      <c r="CY85" s="946"/>
      <c r="CZ85" s="222">
        <f>IF(CX85=0,0,(CY85-CX85)/CX85*100)</f>
        <v>0</v>
      </c>
      <c r="DA85" s="946"/>
      <c r="DB85" s="946"/>
      <c r="DC85" s="222">
        <f>IF(DA85=0,0,(DB85-DA85)/DA85*100)</f>
        <v>0</v>
      </c>
      <c r="DD85" s="946"/>
      <c r="DE85" s="946"/>
      <c r="DF85" s="222">
        <f>IF(DD85=0,0,(DE85-DD85)/DD85*100)</f>
        <v>0</v>
      </c>
      <c r="DG85" s="946"/>
      <c r="DH85" s="946"/>
      <c r="DI85" s="222">
        <f>IF(DG85=0,0,(DH85-DG85)/DG85*100)</f>
        <v>0</v>
      </c>
      <c r="DJ85" s="946"/>
      <c r="DK85" s="946"/>
      <c r="DL85" s="222">
        <f>IF(DJ85=0,0,(DK85-DJ85)/DJ85*100)</f>
        <v>0</v>
      </c>
      <c r="DM85" s="946"/>
      <c r="DN85" s="946"/>
      <c r="DO85" s="222">
        <f>IF(DM85=0,0,(DN85-DM85)/DM85*100)</f>
        <v>0</v>
      </c>
      <c r="DP85" s="946"/>
      <c r="DQ85" s="946"/>
      <c r="DR85" s="222">
        <f>IF(DP85=0,0,(DQ85-DP85)/DP85*100)</f>
        <v>0</v>
      </c>
      <c r="DS85" s="946"/>
      <c r="DT85" s="946"/>
      <c r="DU85" s="222">
        <f>IF(DS85=0,0,(DT85-DS85)/DS85*100)</f>
        <v>0</v>
      </c>
      <c r="DV85" s="946"/>
      <c r="DW85" s="946"/>
      <c r="DX85" s="222">
        <f>IF(DV85=0,0,(DW85-DV85)/DV85*100)</f>
        <v>0</v>
      </c>
      <c r="DY85" s="946"/>
      <c r="DZ85" s="946"/>
      <c r="EA85" s="222">
        <f>IF(DY85=0,0,(DZ85-DY85)/DY85*100)</f>
        <v>0</v>
      </c>
      <c r="EB85" s="946"/>
      <c r="EC85" s="946"/>
      <c r="ED85" s="222">
        <f>IF(EB85=0,0,(EC85-EB85)/EB85*100)</f>
        <v>0</v>
      </c>
      <c r="EE85" s="946"/>
      <c r="EF85" s="946"/>
      <c r="EG85" s="222">
        <f>IF(EE85=0,0,(EF85-EE85)/EE85*100)</f>
        <v>0</v>
      </c>
      <c r="EH85" s="946"/>
      <c r="EI85" s="946"/>
      <c r="EJ85" s="222">
        <f>IF(EH85=0,0,(EI85-EH85)/EH85*100)</f>
        <v>0</v>
      </c>
      <c r="EK85" s="946"/>
      <c r="EL85" s="946"/>
      <c r="EM85" s="222">
        <f>IF(EK85=0,0,(EL85-EK85)/EK85*100)</f>
        <v>0</v>
      </c>
      <c r="EN85" s="946"/>
      <c r="EO85" s="946"/>
      <c r="EP85" s="222">
        <f>IF(EN85=0,0,(EO85-EN85)/EN85*100)</f>
        <v>0</v>
      </c>
      <c r="EQ85" s="946"/>
      <c r="ER85" s="946"/>
      <c r="ES85" s="222">
        <f>IF(EQ85=0,0,(ER85-EQ85)/EQ85*100)</f>
        <v>0</v>
      </c>
      <c r="ET85" s="946"/>
      <c r="EU85" s="946"/>
      <c r="EV85" s="222">
        <f>IF(ET85=0,0,(EU85-ET85)/ET85*100)</f>
        <v>0</v>
      </c>
      <c r="EW85" s="946"/>
      <c r="EX85" s="946"/>
      <c r="EY85" s="222">
        <f>IF(EW85=0,0,(EX85-EW85)/EW85*100)</f>
        <v>0</v>
      </c>
      <c r="EZ85" s="946"/>
      <c r="FA85" s="946"/>
      <c r="FB85" s="222">
        <f>IF(EZ85=0,0,(FA85-EZ85)/EZ85*100)</f>
        <v>0</v>
      </c>
      <c r="FC85" s="946"/>
      <c r="FD85" s="946"/>
      <c r="FE85" s="222">
        <f>IF(FC85=0,0,(FD85-FC85)/FC85*100)</f>
        <v>0</v>
      </c>
      <c r="FF85" s="946"/>
      <c r="FG85" s="946"/>
      <c r="FH85" s="222">
        <f>IF(FF85=0,0,(FG85-FF85)/FF85*100)</f>
        <v>0</v>
      </c>
      <c r="FI85" s="946"/>
      <c r="FJ85" s="946"/>
      <c r="FK85" s="222">
        <f>IF(FI85=0,0,(FJ85-FI85)/FI85*100)</f>
        <v>0</v>
      </c>
      <c r="FL85" s="946"/>
      <c r="FM85" s="946"/>
      <c r="FN85" s="222">
        <f>IF(FL85=0,0,(FM85-FL85)/FL85*100)</f>
        <v>0</v>
      </c>
      <c r="FO85" s="946"/>
      <c r="FP85" s="946"/>
      <c r="FQ85" s="222">
        <f>IF(FO85=0,0,(FP85-FO85)/FO85*100)</f>
        <v>0</v>
      </c>
      <c r="FR85" s="946"/>
      <c r="FS85" s="946"/>
      <c r="FT85" s="222">
        <f>IF(FR85=0,0,(FS85-FR85)/FR85*100)</f>
        <v>0</v>
      </c>
      <c r="FU85" s="946"/>
      <c r="FV85" s="946"/>
      <c r="FW85" s="222">
        <f>IF(FU85=0,0,(FV85-FU85)/FU85*100)</f>
        <v>0</v>
      </c>
      <c r="FZ85" s="700" t="s">
        <v>1704</v>
      </c>
      <c r="GA85" s="700"/>
      <c r="GB85" s="700"/>
      <c r="GC85" s="701"/>
      <c r="GD85" s="701"/>
    </row>
    <row r="86" spans="1:186" s="219" customFormat="1" ht="23.85" hidden="1" customHeight="1">
      <c r="A86" s="603"/>
      <c r="B86" s="622" t="b" cm="1">
        <f t="array" ref="B86">B85</f>
        <v>0</v>
      </c>
      <c r="C86" s="603"/>
      <c r="D86" s="603"/>
      <c r="E86" s="473">
        <v>24.5</v>
      </c>
      <c r="F86" s="3" cm="1">
        <f t="array" aca="1" ref="F86" ca="1">OFFSET(E86,-1,1)</f>
        <v>0</v>
      </c>
      <c r="G86" s="44" t="s">
        <v>1626</v>
      </c>
      <c r="H86" s="78" t="s">
        <v>461</v>
      </c>
      <c r="I86" s="78" t="s">
        <v>1705</v>
      </c>
      <c r="J86" s="603"/>
      <c r="K86" s="603"/>
      <c r="L86" s="603"/>
      <c r="M86" s="603"/>
      <c r="N86" s="603"/>
      <c r="O86" s="603"/>
      <c r="P86" s="603"/>
      <c r="Q86" s="603"/>
      <c r="R86" s="603"/>
      <c r="S86" s="78"/>
      <c r="T86" s="365" t="b" cm="1">
        <f t="array" aca="1" ref="T86" ca="1">T85</f>
        <v>0</v>
      </c>
      <c r="U86" s="603"/>
      <c r="V86" s="603"/>
      <c r="W86" s="603"/>
      <c r="X86" s="1094"/>
      <c r="Y86" s="603"/>
      <c r="Z86" s="1064"/>
      <c r="AA86" s="603"/>
      <c r="AB86" s="151" t="s">
        <v>1706</v>
      </c>
      <c r="AC86" s="166" t="s">
        <v>1624</v>
      </c>
      <c r="AD86" s="946">
        <f ca="1">IF(AND(method_reg="Метод индексации",god&lt;&gt;first_year),SUMIFS(INDEX('Калькуляция (МИ корр)'!$AJ$25:$BC$459,,MATCH(AD$8,'Калькуляция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(МИ)'!$AJ$25:$BC$459,,MATCH(AD$8,'Калькуляция (МИ)'!$AJ$8:$BC$8,0)),'Калькуляция (МИ)'!$F$25:$F$459,$F86,'Калькуляция (МИ)'!$G$25:$G$459,$G86))))</f>
        <v>0</v>
      </c>
      <c r="AE86" s="946">
        <f ca="1">IF(AND(method_reg="Метод индексации",god&lt;&gt;first_year),SUMIFS(INDEX('Калькуляция (МИ корр)'!$AJ$25:$BC$459,,MATCH(AE$8,'Калькуляция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(МИ)'!$AJ$25:$BC$459,,MATCH(AE$8,'Калькуляция (МИ)'!$AJ$8:$BC$8,0)),'Калькуляция (МИ)'!$F$25:$F$459,$F86,'Калькуляция (МИ)'!$G$25:$G$459,$G86))))</f>
        <v>0</v>
      </c>
      <c r="AF86" s="222">
        <f ca="1">IF(AD86=0,0,(AE86-AD86)/AD86*100)</f>
        <v>0</v>
      </c>
      <c r="AG86" s="946">
        <f ca="1">IF(AND(method_reg="Метод индексации",god&lt;&gt;first_year),SUMIFS(INDEX('Калькуляция (МИ корр)'!$AJ$25:$BC$459,,MATCH(AG$8,'Калькуляция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(МИ)'!$AJ$25:$BC$459,,MATCH(AG$8,'Калькуляция (МИ)'!$AJ$8:$BC$8,0)),'Калькуляция (МИ)'!$F$25:$F$459,$F86,'Калькуляция (МИ)'!$G$25:$G$459,$G86))))</f>
        <v>0</v>
      </c>
      <c r="AH86" s="946">
        <f ca="1">IF(AND(method_reg="Метод индексации",god&lt;&gt;first_year),SUMIFS(INDEX('Калькуляция (МИ корр)'!$AJ$25:$BC$459,,MATCH(AH$8,'Калькуляция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(МИ)'!$AJ$25:$BC$459,,MATCH(AH$8,'Калькуляция (МИ)'!$AJ$8:$BC$8,0)),'Калькуляция (МИ)'!$F$25:$F$459,$F86,'Калькуляция (МИ)'!$G$25:$G$459,$G86))))</f>
        <v>0</v>
      </c>
      <c r="AI86" s="222">
        <f ca="1">IF(AG86=0,0,(AH86-AG86)/AG86*100)</f>
        <v>0</v>
      </c>
      <c r="AJ86" s="946">
        <f ca="1">IF(AND(method_reg="Метод индексации",god&lt;&gt;first_year),SUMIFS(INDEX('Калькуляция (МИ корр)'!$AJ$25:$BC$459,,MATCH(AJ$8,'Калькуляция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(МИ)'!$AJ$25:$BC$459,,MATCH(AJ$8,'Калькуляция (МИ)'!$AJ$8:$BC$8,0)),'Калькуляция (МИ)'!$F$25:$F$459,$F86,'Калькуляция (МИ)'!$G$25:$G$459,$G86))))</f>
        <v>0</v>
      </c>
      <c r="AK86" s="946">
        <f ca="1">IF(AND(method_reg="Метод индексации",god&lt;&gt;first_year),SUMIFS(INDEX('Калькуляция (МИ корр)'!$AJ$25:$BC$459,,MATCH(AK$8,'Калькуляция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(МИ)'!$AJ$25:$BC$459,,MATCH(AK$8,'Калькуляция (МИ)'!$AJ$8:$BC$8,0)),'Калькуляция (МИ)'!$F$25:$F$459,$F86,'Калькуляция (МИ)'!$G$25:$G$459,$G86))))</f>
        <v>0</v>
      </c>
      <c r="AL86" s="222">
        <f ca="1">IF(AJ86=0,0,(AK86-AJ86)/AJ86*100)</f>
        <v>0</v>
      </c>
      <c r="AM86" s="946">
        <f ca="1">IF(AND(method_reg="Метод индексации",god&lt;&gt;first_year),SUMIFS(INDEX('Калькуляция (МИ корр)'!$AJ$25:$BC$459,,MATCH(AM$8,'Калькуляция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(МИ)'!$AJ$25:$BC$459,,MATCH(AM$8,'Калькуляция (МИ)'!$AJ$8:$BC$8,0)),'Калькуляция (МИ)'!$F$25:$F$459,$F86,'Калькуляция (МИ)'!$G$25:$G$459,$G86))))</f>
        <v>0</v>
      </c>
      <c r="AN86" s="946">
        <f ca="1">IF(AND(method_reg="Метод индексации",god&lt;&gt;first_year),SUMIFS(INDEX('Калькуляция (МИ корр)'!$AJ$25:$BC$459,,MATCH(AN$8,'Калькуляция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(МИ)'!$AJ$25:$BC$459,,MATCH(AN$8,'Калькуляция (МИ)'!$AJ$8:$BC$8,0)),'Калькуляция (МИ)'!$F$25:$F$459,$F86,'Калькуляция (МИ)'!$G$25:$G$459,$G86))))</f>
        <v>0</v>
      </c>
      <c r="AO86" s="222">
        <f ca="1">IF(AM86=0,0,(AN86-AM86)/AM86*100)</f>
        <v>0</v>
      </c>
      <c r="AP86" s="946">
        <f ca="1">IF(AND(method_reg="Метод индексации",god&lt;&gt;first_year),SUMIFS(INDEX('Калькуляция (МИ корр)'!$AJ$25:$BC$459,,MATCH(AP$8,'Калькуляция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(МИ)'!$AJ$25:$BC$459,,MATCH(AP$8,'Калькуляция (МИ)'!$AJ$8:$BC$8,0)),'Калькуляция (МИ)'!$F$25:$F$459,$F86,'Калькуляция (МИ)'!$G$25:$G$459,$G86))))</f>
        <v>0</v>
      </c>
      <c r="AQ86" s="946">
        <f ca="1">IF(AND(method_reg="Метод индексации",god&lt;&gt;first_year),SUMIFS(INDEX('Калькуляция (МИ корр)'!$AJ$25:$BC$459,,MATCH(AQ$8,'Калькуляция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(МИ)'!$AJ$25:$BC$459,,MATCH(AQ$8,'Калькуляция (МИ)'!$AJ$8:$BC$8,0)),'Калькуляция (МИ)'!$F$25:$F$459,$F86,'Калькуляция (МИ)'!$G$25:$G$459,$G86))))</f>
        <v>0</v>
      </c>
      <c r="AR86" s="222">
        <f ca="1">IF(AP86=0,0,(AQ86-AP86)/AP86*100)</f>
        <v>0</v>
      </c>
      <c r="AS86" s="946">
        <f ca="1">IF(AND(method_reg="Метод индексации",god&lt;&gt;first_year),SUMIFS(INDEX('Калькуляция (МИ корр)'!$AJ$25:$BC$459,,MATCH(AS$8,'Калькуляция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(МИ)'!$AJ$25:$BC$459,,MATCH(AS$8,'Калькуляция (МИ)'!$AJ$8:$BC$8,0)),'Калькуляция (МИ)'!$F$25:$F$459,$F86,'Калькуляция (МИ)'!$G$25:$G$459,$G86))))</f>
        <v>0</v>
      </c>
      <c r="AT86" s="946">
        <f ca="1">IF(AND(method_reg="Метод индексации",god&lt;&gt;first_year),SUMIFS(INDEX('Калькуляция (МИ корр)'!$AJ$25:$BC$459,,MATCH(AT$8,'Калькуляция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(МИ)'!$AJ$25:$BC$459,,MATCH(AT$8,'Калькуляция (МИ)'!$AJ$8:$BC$8,0)),'Калькуляция (МИ)'!$F$25:$F$459,$F86,'Калькуляция (МИ)'!$G$25:$G$459,$G86))))</f>
        <v>0</v>
      </c>
      <c r="AU86" s="222">
        <f ca="1">IF(AS86=0,0,(AT86-AS86)/AS86*100)</f>
        <v>0</v>
      </c>
      <c r="AV86" s="946">
        <f ca="1">IF(AND(method_reg="Метод индексации",god&lt;&gt;first_year),SUMIFS(INDEX('Калькуляция (МИ корр)'!$AJ$25:$BC$459,,MATCH(AV$8,'Калькуляция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(МИ)'!$AJ$25:$BC$459,,MATCH(AV$8,'Калькуляция (МИ)'!$AJ$8:$BC$8,0)),'Калькуляция (МИ)'!$F$25:$F$459,$F86,'Калькуляция (МИ)'!$G$25:$G$459,$G86))))</f>
        <v>0</v>
      </c>
      <c r="AW86" s="946">
        <f ca="1">IF(AND(method_reg="Метод индексации",god&lt;&gt;first_year),SUMIFS(INDEX('Калькуляция (МИ корр)'!$AJ$25:$BC$459,,MATCH(AW$8,'Калькуляция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(МИ)'!$AJ$25:$BC$459,,MATCH(AW$8,'Калькуляция (МИ)'!$AJ$8:$BC$8,0)),'Калькуляция (МИ)'!$F$25:$F$459,$F86,'Калькуляция (МИ)'!$G$25:$G$459,$G86))))</f>
        <v>0</v>
      </c>
      <c r="AX86" s="222">
        <f ca="1">IF(AV86=0,0,(AW86-AV86)/AV86*100)</f>
        <v>0</v>
      </c>
      <c r="AY86" s="946">
        <f ca="1">IF(AND(method_reg="Метод индексации",god&lt;&gt;first_year),SUMIFS(INDEX('Калькуляция (МИ корр)'!$AJ$25:$BC$459,,MATCH(AY$8,'Калькуляция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(МИ)'!$AJ$25:$BC$459,,MATCH(AY$8,'Калькуляция (МИ)'!$AJ$8:$BC$8,0)),'Калькуляция (МИ)'!$F$25:$F$459,$F86,'Калькуляция (МИ)'!$G$25:$G$459,$G86))))</f>
        <v>0</v>
      </c>
      <c r="AZ86" s="946">
        <f ca="1">IF(AND(method_reg="Метод индексации",god&lt;&gt;first_year),SUMIFS(INDEX('Калькуляция (МИ корр)'!$AJ$25:$BC$459,,MATCH(AZ$8,'Калькуляция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(МИ)'!$AJ$25:$BC$459,,MATCH(AZ$8,'Калькуляция (МИ)'!$AJ$8:$BC$8,0)),'Калькуляция (МИ)'!$F$25:$F$459,$F86,'Калькуляция (МИ)'!$G$25:$G$459,$G86))))</f>
        <v>0</v>
      </c>
      <c r="BA86" s="222">
        <f ca="1">IF(AY86=0,0,(AZ86-AY86)/AY86*100)</f>
        <v>0</v>
      </c>
      <c r="BB86" s="946">
        <f ca="1">IF(AND(method_reg="Метод индексации",god&lt;&gt;first_year),SUMIFS(INDEX('Калькуляция (МИ корр)'!$AJ$25:$BC$459,,MATCH(BB$8,'Калькуляция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(МИ)'!$AJ$25:$BC$459,,MATCH(BB$8,'Калькуляция (МИ)'!$AJ$8:$BC$8,0)),'Калькуляция (МИ)'!$F$25:$F$459,$F86,'Калькуляция (МИ)'!$G$25:$G$459,$G86))))</f>
        <v>0</v>
      </c>
      <c r="BC86" s="946">
        <f ca="1">IF(AND(method_reg="Метод индексации",god&lt;&gt;first_year),SUMIFS(INDEX('Калькуляция (МИ корр)'!$AJ$25:$BC$459,,MATCH(BC$8,'Калькуляция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(МИ)'!$AJ$25:$BC$459,,MATCH(BC$8,'Калькуляция (МИ)'!$AJ$8:$BC$8,0)),'Калькуляция (МИ)'!$F$25:$F$459,$F86,'Калькуляция (МИ)'!$G$25:$G$459,$G86))))</f>
        <v>0</v>
      </c>
      <c r="BD86" s="222">
        <f ca="1">IF(BB86=0,0,(BC86-BB86)/BB86*100)</f>
        <v>0</v>
      </c>
      <c r="BE86" s="946">
        <f ca="1">IF(AND(method_reg="Метод индексации",god&lt;&gt;first_year),SUMIFS(INDEX('Калькуляция (МИ корр)'!$AJ$25:$BC$459,,MATCH(BE$8,'Калькуляция (МИ корр)'!$AJ$8:$BC$8,0)),'Калькуляция (МИ корр)'!$F$25:$F$459,$F86,'Калькуляция (МИ корр)'!$G$25:$G$459,$G86),IF(method_reg="Метод экономически обоснованных расходов",SUMIFS('Калькуляция (МЭОР)'!$AJ$25:$AJ$282,'Калькуляция (МЭОР)'!$F$25:$F$282,$F86,'Калькуляция (МЭОР)'!$G$25:$G$282,$G86),IF(method_reg="Метод сравнения аналогов",SUMIFS('Калькуляция (МСА)'!$AE$25:$AE$84,'Калькуляция (МСА)'!$F$25:$F$84,$F86,'Калькуляция (МСА)'!$G$25:$G$84,$G86),SUMIFS(INDEX('Калькуляция (МИ)'!$AJ$25:$BC$459,,MATCH(BE$8,'Калькуляция (МИ)'!$AJ$8:$BC$8,0)),'Калькуляция (МИ)'!$F$25:$F$459,$F86,'Калькуляция (МИ)'!$G$25:$G$459,$G86))))</f>
        <v>0</v>
      </c>
      <c r="BF86" s="946">
        <f ca="1">IF(AND(method_reg="Метод индексации",god&lt;&gt;first_year),SUMIFS(INDEX('Калькуляция (МИ корр)'!$AJ$25:$BC$459,,MATCH(BF$8,'Калькуляция (МИ корр)'!$AJ$8:$BC$8,0)),'Калькуляция (МИ корр)'!$F$25:$F$459,$F86,'Калькуляция (МИ корр)'!$G$25:$G$459,$G86),IF(method_reg="Метод экономически обоснованных расходов",SUMIFS('Калькуляция (МЭОР)'!$AK$25:$AK$282,'Калькуляция (МЭОР)'!$F$25:$F$282,$F86,'Калькуляция (МЭОР)'!$G$25:$G$282,$G86),IF(method_reg="Метод сравнения аналогов",SUMIFS('Калькуляция (МСА)'!$AF$25:$AF$84,'Калькуляция (МСА)'!$F$25:$F$84,$F86,'Калькуляция (МСА)'!$G$25:$G$84,$G86),SUMIFS(INDEX('Калькуляция (МИ)'!$AJ$25:$BC$459,,MATCH(BF$8,'Калькуляция (МИ)'!$AJ$8:$BC$8,0)),'Калькуляция (МИ)'!$F$25:$F$459,$F86,'Калькуляция (МИ)'!$G$25:$G$459,$G86))))</f>
        <v>0</v>
      </c>
      <c r="BG86" s="222">
        <f ca="1">IF(BE86=0,0,(BF86-BE86)/BE86*100)</f>
        <v>0</v>
      </c>
      <c r="BH86" s="946"/>
      <c r="BI86" s="946"/>
      <c r="BJ86" s="222">
        <f>IF(BH86=0,0,(BI86-BH86)/BH86*100)</f>
        <v>0</v>
      </c>
      <c r="BK86" s="946"/>
      <c r="BL86" s="946"/>
      <c r="BM86" s="222">
        <f>IF(BK86=0,0,(BL86-BK86)/BK86*100)</f>
        <v>0</v>
      </c>
      <c r="BN86" s="946"/>
      <c r="BO86" s="946"/>
      <c r="BP86" s="222">
        <f>IF(BN86=0,0,(BO86-BN86)/BN86*100)</f>
        <v>0</v>
      </c>
      <c r="BQ86" s="946"/>
      <c r="BR86" s="946"/>
      <c r="BS86" s="222">
        <f>IF(BQ86=0,0,(BR86-BQ86)/BQ86*100)</f>
        <v>0</v>
      </c>
      <c r="BT86" s="946"/>
      <c r="BU86" s="946"/>
      <c r="BV86" s="222">
        <f>IF(BT86=0,0,(BU86-BT86)/BT86*100)</f>
        <v>0</v>
      </c>
      <c r="BW86" s="946"/>
      <c r="BX86" s="946"/>
      <c r="BY86" s="222">
        <f>IF(BW86=0,0,(BX86-BW86)/BW86*100)</f>
        <v>0</v>
      </c>
      <c r="BZ86" s="946"/>
      <c r="CA86" s="946"/>
      <c r="CB86" s="222">
        <f>IF(BZ86=0,0,(CA86-BZ86)/BZ86*100)</f>
        <v>0</v>
      </c>
      <c r="CC86" s="946"/>
      <c r="CD86" s="946"/>
      <c r="CE86" s="222">
        <f>IF(CC86=0,0,(CD86-CC86)/CC86*100)</f>
        <v>0</v>
      </c>
      <c r="CF86" s="946"/>
      <c r="CG86" s="946"/>
      <c r="CH86" s="222">
        <f>IF(CF86=0,0,(CG86-CF86)/CF86*100)</f>
        <v>0</v>
      </c>
      <c r="CI86" s="946"/>
      <c r="CJ86" s="946"/>
      <c r="CK86" s="222">
        <f>IF(CI86=0,0,(CJ86-CI86)/CI86*100)</f>
        <v>0</v>
      </c>
      <c r="CL86" s="946"/>
      <c r="CM86" s="946"/>
      <c r="CN86" s="222">
        <f>IF(CL86=0,0,(CM86-CL86)/CL86*100)</f>
        <v>0</v>
      </c>
      <c r="CO86" s="946"/>
      <c r="CP86" s="946"/>
      <c r="CQ86" s="222">
        <f>IF(CO86=0,0,(CP86-CO86)/CO86*100)</f>
        <v>0</v>
      </c>
      <c r="CR86" s="946"/>
      <c r="CS86" s="946"/>
      <c r="CT86" s="222">
        <f>IF(CR86=0,0,(CS86-CR86)/CR86*100)</f>
        <v>0</v>
      </c>
      <c r="CU86" s="946"/>
      <c r="CV86" s="946"/>
      <c r="CW86" s="222">
        <f>IF(CU86=0,0,(CV86-CU86)/CU86*100)</f>
        <v>0</v>
      </c>
      <c r="CX86" s="946"/>
      <c r="CY86" s="946"/>
      <c r="CZ86" s="222">
        <f>IF(CX86=0,0,(CY86-CX86)/CX86*100)</f>
        <v>0</v>
      </c>
      <c r="DA86" s="946"/>
      <c r="DB86" s="946"/>
      <c r="DC86" s="222">
        <f>IF(DA86=0,0,(DB86-DA86)/DA86*100)</f>
        <v>0</v>
      </c>
      <c r="DD86" s="946"/>
      <c r="DE86" s="946"/>
      <c r="DF86" s="222">
        <f>IF(DD86=0,0,(DE86-DD86)/DD86*100)</f>
        <v>0</v>
      </c>
      <c r="DG86" s="946"/>
      <c r="DH86" s="946"/>
      <c r="DI86" s="222">
        <f>IF(DG86=0,0,(DH86-DG86)/DG86*100)</f>
        <v>0</v>
      </c>
      <c r="DJ86" s="946"/>
      <c r="DK86" s="946"/>
      <c r="DL86" s="222">
        <f>IF(DJ86=0,0,(DK86-DJ86)/DJ86*100)</f>
        <v>0</v>
      </c>
      <c r="DM86" s="946"/>
      <c r="DN86" s="946"/>
      <c r="DO86" s="222">
        <f>IF(DM86=0,0,(DN86-DM86)/DM86*100)</f>
        <v>0</v>
      </c>
      <c r="DP86" s="946"/>
      <c r="DQ86" s="946"/>
      <c r="DR86" s="222">
        <f>IF(DP86=0,0,(DQ86-DP86)/DP86*100)</f>
        <v>0</v>
      </c>
      <c r="DS86" s="946"/>
      <c r="DT86" s="946"/>
      <c r="DU86" s="222">
        <f>IF(DS86=0,0,(DT86-DS86)/DS86*100)</f>
        <v>0</v>
      </c>
      <c r="DV86" s="946"/>
      <c r="DW86" s="946"/>
      <c r="DX86" s="222">
        <f>IF(DV86=0,0,(DW86-DV86)/DV86*100)</f>
        <v>0</v>
      </c>
      <c r="DY86" s="946"/>
      <c r="DZ86" s="946"/>
      <c r="EA86" s="222">
        <f>IF(DY86=0,0,(DZ86-DY86)/DY86*100)</f>
        <v>0</v>
      </c>
      <c r="EB86" s="946"/>
      <c r="EC86" s="946"/>
      <c r="ED86" s="222">
        <f>IF(EB86=0,0,(EC86-EB86)/EB86*100)</f>
        <v>0</v>
      </c>
      <c r="EE86" s="946"/>
      <c r="EF86" s="946"/>
      <c r="EG86" s="222">
        <f>IF(EE86=0,0,(EF86-EE86)/EE86*100)</f>
        <v>0</v>
      </c>
      <c r="EH86" s="946"/>
      <c r="EI86" s="946"/>
      <c r="EJ86" s="222">
        <f>IF(EH86=0,0,(EI86-EH86)/EH86*100)</f>
        <v>0</v>
      </c>
      <c r="EK86" s="946"/>
      <c r="EL86" s="946"/>
      <c r="EM86" s="222">
        <f>IF(EK86=0,0,(EL86-EK86)/EK86*100)</f>
        <v>0</v>
      </c>
      <c r="EN86" s="946"/>
      <c r="EO86" s="946"/>
      <c r="EP86" s="222">
        <f>IF(EN86=0,0,(EO86-EN86)/EN86*100)</f>
        <v>0</v>
      </c>
      <c r="EQ86" s="946"/>
      <c r="ER86" s="946"/>
      <c r="ES86" s="222">
        <f>IF(EQ86=0,0,(ER86-EQ86)/EQ86*100)</f>
        <v>0</v>
      </c>
      <c r="ET86" s="946"/>
      <c r="EU86" s="946"/>
      <c r="EV86" s="222">
        <f>IF(ET86=0,0,(EU86-ET86)/ET86*100)</f>
        <v>0</v>
      </c>
      <c r="EW86" s="946"/>
      <c r="EX86" s="946"/>
      <c r="EY86" s="222">
        <f>IF(EW86=0,0,(EX86-EW86)/EW86*100)</f>
        <v>0</v>
      </c>
      <c r="EZ86" s="946"/>
      <c r="FA86" s="946"/>
      <c r="FB86" s="222">
        <f>IF(EZ86=0,0,(FA86-EZ86)/EZ86*100)</f>
        <v>0</v>
      </c>
      <c r="FC86" s="946"/>
      <c r="FD86" s="946"/>
      <c r="FE86" s="222">
        <f>IF(FC86=0,0,(FD86-FC86)/FC86*100)</f>
        <v>0</v>
      </c>
      <c r="FF86" s="946"/>
      <c r="FG86" s="946"/>
      <c r="FH86" s="222">
        <f>IF(FF86=0,0,(FG86-FF86)/FF86*100)</f>
        <v>0</v>
      </c>
      <c r="FI86" s="946"/>
      <c r="FJ86" s="946"/>
      <c r="FK86" s="222">
        <f>IF(FI86=0,0,(FJ86-FI86)/FI86*100)</f>
        <v>0</v>
      </c>
      <c r="FL86" s="946"/>
      <c r="FM86" s="946"/>
      <c r="FN86" s="222">
        <f>IF(FL86=0,0,(FM86-FL86)/FL86*100)</f>
        <v>0</v>
      </c>
      <c r="FO86" s="946"/>
      <c r="FP86" s="946"/>
      <c r="FQ86" s="222">
        <f>IF(FO86=0,0,(FP86-FO86)/FO86*100)</f>
        <v>0</v>
      </c>
      <c r="FR86" s="946"/>
      <c r="FS86" s="946"/>
      <c r="FT86" s="222">
        <f>IF(FR86=0,0,(FS86-FR86)/FR86*100)</f>
        <v>0</v>
      </c>
      <c r="FU86" s="946"/>
      <c r="FV86" s="946"/>
      <c r="FW86" s="222">
        <f>IF(FU86=0,0,(FV86-FU86)/FU86*100)</f>
        <v>0</v>
      </c>
      <c r="FZ86" s="700" t="s">
        <v>1707</v>
      </c>
      <c r="GA86" s="700"/>
      <c r="GB86" s="700"/>
      <c r="GC86" s="701"/>
      <c r="GD86" s="701"/>
    </row>
    <row r="87" spans="1:186" ht="14.65" hidden="1" customHeight="1">
      <c r="A87" s="78"/>
      <c r="B87" s="622" t="b" cm="1">
        <f t="array" ref="B87">B86</f>
        <v>0</v>
      </c>
      <c r="C87" s="78"/>
      <c r="D87" s="78"/>
      <c r="E87" s="473">
        <v>15</v>
      </c>
      <c r="F87" s="3" cm="1">
        <f t="array" aca="1" ref="F87" ca="1">OFFSET(E87,-1,1)</f>
        <v>0</v>
      </c>
      <c r="G87" s="78"/>
      <c r="H87" s="78" t="s">
        <v>465</v>
      </c>
      <c r="I87" s="78"/>
      <c r="J87" s="78"/>
      <c r="K87" s="78"/>
      <c r="L87" s="78"/>
      <c r="M87" s="78"/>
      <c r="N87" s="78"/>
      <c r="O87" s="78"/>
      <c r="P87" s="78"/>
      <c r="Q87" s="78"/>
      <c r="R87" s="78"/>
      <c r="S87" s="78"/>
      <c r="T87" s="365" t="b" cm="1">
        <f t="array" aca="1" ref="T87" ca="1">T86</f>
        <v>0</v>
      </c>
      <c r="U87" s="78"/>
      <c r="V87" s="78"/>
      <c r="W87" s="78"/>
      <c r="X87" s="1094"/>
      <c r="Y87" s="78"/>
      <c r="Z87" s="1064"/>
      <c r="AA87" s="78"/>
      <c r="AB87" s="358" t="s">
        <v>1708</v>
      </c>
      <c r="AC87" s="28" t="s">
        <v>456</v>
      </c>
      <c r="AD87" s="629">
        <f ca="1">IF(AD85=0,0,AD86/AD85)*100</f>
        <v>0</v>
      </c>
      <c r="AE87" s="629">
        <f ca="1">IF(AE85=0,0,AE86/AE85)*100</f>
        <v>0</v>
      </c>
      <c r="AF87" s="732"/>
      <c r="AG87" s="629">
        <f ca="1">IF(AG85=0,0,AG86/AG85)*100</f>
        <v>0</v>
      </c>
      <c r="AH87" s="629">
        <f ca="1">IF(AH85=0,0,AH86/AH85)*100</f>
        <v>0</v>
      </c>
      <c r="AI87" s="732"/>
      <c r="AJ87" s="629">
        <f ca="1">IF(AJ85=0,0,AJ86/AJ85)*100</f>
        <v>0</v>
      </c>
      <c r="AK87" s="629">
        <f ca="1">IF(AK85=0,0,AK86/AK85)*100</f>
        <v>0</v>
      </c>
      <c r="AL87" s="732"/>
      <c r="AM87" s="629">
        <f ca="1">IF(AM85=0,0,AM86/AM85)*100</f>
        <v>0</v>
      </c>
      <c r="AN87" s="629">
        <f ca="1">IF(AN85=0,0,AN86/AN85)*100</f>
        <v>0</v>
      </c>
      <c r="AO87" s="732"/>
      <c r="AP87" s="629">
        <f ca="1">IF(AP85=0,0,AP86/AP85)*100</f>
        <v>0</v>
      </c>
      <c r="AQ87" s="629">
        <f ca="1">IF(AQ85=0,0,AQ86/AQ85)*100</f>
        <v>0</v>
      </c>
      <c r="AR87" s="732"/>
      <c r="AS87" s="629">
        <f ca="1">IF(AS85=0,0,AS86/AS85)*100</f>
        <v>0</v>
      </c>
      <c r="AT87" s="629">
        <f ca="1">IF(AT85=0,0,AT86/AT85)*100</f>
        <v>0</v>
      </c>
      <c r="AU87" s="732"/>
      <c r="AV87" s="629">
        <f ca="1">IF(AV85=0,0,AV86/AV85)*100</f>
        <v>0</v>
      </c>
      <c r="AW87" s="629">
        <f ca="1">IF(AW85=0,0,AW86/AW85)*100</f>
        <v>0</v>
      </c>
      <c r="AX87" s="732"/>
      <c r="AY87" s="629">
        <f ca="1">IF(AY85=0,0,AY86/AY85)*100</f>
        <v>0</v>
      </c>
      <c r="AZ87" s="629">
        <f ca="1">IF(AZ85=0,0,AZ86/AZ85)*100</f>
        <v>0</v>
      </c>
      <c r="BA87" s="732"/>
      <c r="BB87" s="629">
        <f ca="1">IF(BB85=0,0,BB86/BB85)*100</f>
        <v>0</v>
      </c>
      <c r="BC87" s="629">
        <f ca="1">IF(BC85=0,0,BC86/BC85)*100</f>
        <v>0</v>
      </c>
      <c r="BD87" s="732"/>
      <c r="BE87" s="629">
        <f ca="1">IF(BE85=0,0,BE86/BE85)*100</f>
        <v>0</v>
      </c>
      <c r="BF87" s="629">
        <f ca="1">IF(BF85=0,0,BF86/BF85)*100</f>
        <v>0</v>
      </c>
      <c r="BG87" s="732"/>
      <c r="BH87" s="629">
        <f>IF(BH85=0,0,BH86/BH85)*100</f>
        <v>0</v>
      </c>
      <c r="BI87" s="629">
        <f>IF(BI85=0,0,BI86/BI85)*100</f>
        <v>0</v>
      </c>
      <c r="BJ87" s="732"/>
      <c r="BK87" s="629">
        <f>IF(BK85=0,0,BK86/BK85)*100</f>
        <v>0</v>
      </c>
      <c r="BL87" s="629">
        <f>IF(BL85=0,0,BL86/BL85)*100</f>
        <v>0</v>
      </c>
      <c r="BM87" s="732"/>
      <c r="BN87" s="629">
        <f>IF(BN85=0,0,BN86/BN85)*100</f>
        <v>0</v>
      </c>
      <c r="BO87" s="629">
        <f>IF(BO85=0,0,BO86/BO85)*100</f>
        <v>0</v>
      </c>
      <c r="BP87" s="732"/>
      <c r="BQ87" s="629">
        <f>IF(BQ85=0,0,BQ86/BQ85)*100</f>
        <v>0</v>
      </c>
      <c r="BR87" s="629">
        <f>IF(BR85=0,0,BR86/BR85)*100</f>
        <v>0</v>
      </c>
      <c r="BS87" s="732"/>
      <c r="BT87" s="629">
        <f>IF(BT85=0,0,BT86/BT85)*100</f>
        <v>0</v>
      </c>
      <c r="BU87" s="629">
        <f>IF(BU85=0,0,BU86/BU85)*100</f>
        <v>0</v>
      </c>
      <c r="BV87" s="732"/>
      <c r="BW87" s="629">
        <f>IF(BW85=0,0,BW86/BW85)*100</f>
        <v>0</v>
      </c>
      <c r="BX87" s="629">
        <f>IF(BX85=0,0,BX86/BX85)*100</f>
        <v>0</v>
      </c>
      <c r="BY87" s="732"/>
      <c r="BZ87" s="629">
        <f>IF(BZ85=0,0,BZ86/BZ85)*100</f>
        <v>0</v>
      </c>
      <c r="CA87" s="629">
        <f>IF(CA85=0,0,CA86/CA85)*100</f>
        <v>0</v>
      </c>
      <c r="CB87" s="732"/>
      <c r="CC87" s="629">
        <f>IF(CC85=0,0,CC86/CC85)*100</f>
        <v>0</v>
      </c>
      <c r="CD87" s="629">
        <f>IF(CD85=0,0,CD86/CD85)*100</f>
        <v>0</v>
      </c>
      <c r="CE87" s="732"/>
      <c r="CF87" s="629">
        <f>IF(CF85=0,0,CF86/CF85)*100</f>
        <v>0</v>
      </c>
      <c r="CG87" s="629">
        <f>IF(CG85=0,0,CG86/CG85)*100</f>
        <v>0</v>
      </c>
      <c r="CH87" s="732"/>
      <c r="CI87" s="629">
        <f>IF(CI85=0,0,CI86/CI85)*100</f>
        <v>0</v>
      </c>
      <c r="CJ87" s="629">
        <f>IF(CJ85=0,0,CJ86/CJ85)*100</f>
        <v>0</v>
      </c>
      <c r="CK87" s="732"/>
      <c r="CL87" s="629">
        <f>IF(CL85=0,0,CL86/CL85)*100</f>
        <v>0</v>
      </c>
      <c r="CM87" s="629">
        <f>IF(CM85=0,0,CM86/CM85)*100</f>
        <v>0</v>
      </c>
      <c r="CN87" s="732"/>
      <c r="CO87" s="629">
        <f>IF(CO85=0,0,CO86/CO85)*100</f>
        <v>0</v>
      </c>
      <c r="CP87" s="629">
        <f>IF(CP85=0,0,CP86/CP85)*100</f>
        <v>0</v>
      </c>
      <c r="CQ87" s="732"/>
      <c r="CR87" s="629">
        <f>IF(CR85=0,0,CR86/CR85)*100</f>
        <v>0</v>
      </c>
      <c r="CS87" s="629">
        <f>IF(CS85=0,0,CS86/CS85)*100</f>
        <v>0</v>
      </c>
      <c r="CT87" s="732"/>
      <c r="CU87" s="629">
        <f>IF(CU85=0,0,CU86/CU85)*100</f>
        <v>0</v>
      </c>
      <c r="CV87" s="629">
        <f>IF(CV85=0,0,CV86/CV85)*100</f>
        <v>0</v>
      </c>
      <c r="CW87" s="732"/>
      <c r="CX87" s="629">
        <f>IF(CX85=0,0,CX86/CX85)*100</f>
        <v>0</v>
      </c>
      <c r="CY87" s="629">
        <f>IF(CY85=0,0,CY86/CY85)*100</f>
        <v>0</v>
      </c>
      <c r="CZ87" s="732"/>
      <c r="DA87" s="629">
        <f>IF(DA85=0,0,DA86/DA85)*100</f>
        <v>0</v>
      </c>
      <c r="DB87" s="629">
        <f>IF(DB85=0,0,DB86/DB85)*100</f>
        <v>0</v>
      </c>
      <c r="DC87" s="732"/>
      <c r="DD87" s="629">
        <f>IF(DD85=0,0,DD86/DD85)*100</f>
        <v>0</v>
      </c>
      <c r="DE87" s="629">
        <f>IF(DE85=0,0,DE86/DE85)*100</f>
        <v>0</v>
      </c>
      <c r="DF87" s="732"/>
      <c r="DG87" s="629">
        <f>IF(DG85=0,0,DG86/DG85)*100</f>
        <v>0</v>
      </c>
      <c r="DH87" s="629">
        <f>IF(DH85=0,0,DH86/DH85)*100</f>
        <v>0</v>
      </c>
      <c r="DI87" s="732"/>
      <c r="DJ87" s="629">
        <f>IF(DJ85=0,0,DJ86/DJ85)*100</f>
        <v>0</v>
      </c>
      <c r="DK87" s="629">
        <f>IF(DK85=0,0,DK86/DK85)*100</f>
        <v>0</v>
      </c>
      <c r="DL87" s="732"/>
      <c r="DM87" s="629">
        <f>IF(DM85=0,0,DM86/DM85)*100</f>
        <v>0</v>
      </c>
      <c r="DN87" s="629">
        <f>IF(DN85=0,0,DN86/DN85)*100</f>
        <v>0</v>
      </c>
      <c r="DO87" s="732"/>
      <c r="DP87" s="629">
        <f>IF(DP85=0,0,DP86/DP85)*100</f>
        <v>0</v>
      </c>
      <c r="DQ87" s="629">
        <f>IF(DQ85=0,0,DQ86/DQ85)*100</f>
        <v>0</v>
      </c>
      <c r="DR87" s="732"/>
      <c r="DS87" s="629">
        <f>IF(DS85=0,0,DS86/DS85)*100</f>
        <v>0</v>
      </c>
      <c r="DT87" s="629">
        <f>IF(DT85=0,0,DT86/DT85)*100</f>
        <v>0</v>
      </c>
      <c r="DU87" s="732"/>
      <c r="DV87" s="629">
        <f>IF(DV85=0,0,DV86/DV85)*100</f>
        <v>0</v>
      </c>
      <c r="DW87" s="629">
        <f>IF(DW85=0,0,DW86/DW85)*100</f>
        <v>0</v>
      </c>
      <c r="DX87" s="732"/>
      <c r="DY87" s="629">
        <f>IF(DY85=0,0,DY86/DY85)*100</f>
        <v>0</v>
      </c>
      <c r="DZ87" s="629">
        <f>IF(DZ85=0,0,DZ86/DZ85)*100</f>
        <v>0</v>
      </c>
      <c r="EA87" s="732"/>
      <c r="EB87" s="629">
        <f>IF(EB85=0,0,EB86/EB85)*100</f>
        <v>0</v>
      </c>
      <c r="EC87" s="629">
        <f>IF(EC85=0,0,EC86/EC85)*100</f>
        <v>0</v>
      </c>
      <c r="ED87" s="732"/>
      <c r="EE87" s="629">
        <f>IF(EE85=0,0,EE86/EE85)*100</f>
        <v>0</v>
      </c>
      <c r="EF87" s="629">
        <f>IF(EF85=0,0,EF86/EF85)*100</f>
        <v>0</v>
      </c>
      <c r="EG87" s="732"/>
      <c r="EH87" s="629">
        <f>IF(EH85=0,0,EH86/EH85)*100</f>
        <v>0</v>
      </c>
      <c r="EI87" s="629">
        <f>IF(EI85=0,0,EI86/EI85)*100</f>
        <v>0</v>
      </c>
      <c r="EJ87" s="732"/>
      <c r="EK87" s="629">
        <f>IF(EK85=0,0,EK86/EK85)*100</f>
        <v>0</v>
      </c>
      <c r="EL87" s="629">
        <f>IF(EL85=0,0,EL86/EL85)*100</f>
        <v>0</v>
      </c>
      <c r="EM87" s="732"/>
      <c r="EN87" s="629">
        <f>IF(EN85=0,0,EN86/EN85)*100</f>
        <v>0</v>
      </c>
      <c r="EO87" s="629">
        <f>IF(EO85=0,0,EO86/EO85)*100</f>
        <v>0</v>
      </c>
      <c r="EP87" s="732"/>
      <c r="EQ87" s="629">
        <f>IF(EQ85=0,0,EQ86/EQ85)*100</f>
        <v>0</v>
      </c>
      <c r="ER87" s="629">
        <f>IF(ER85=0,0,ER86/ER85)*100</f>
        <v>0</v>
      </c>
      <c r="ES87" s="732"/>
      <c r="ET87" s="629">
        <f>IF(ET85=0,0,ET86/ET85)*100</f>
        <v>0</v>
      </c>
      <c r="EU87" s="629">
        <f>IF(EU85=0,0,EU86/EU85)*100</f>
        <v>0</v>
      </c>
      <c r="EV87" s="732"/>
      <c r="EW87" s="629">
        <f>IF(EW85=0,0,EW86/EW85)*100</f>
        <v>0</v>
      </c>
      <c r="EX87" s="629">
        <f>IF(EX85=0,0,EX86/EX85)*100</f>
        <v>0</v>
      </c>
      <c r="EY87" s="732"/>
      <c r="EZ87" s="629">
        <f>IF(EZ85=0,0,EZ86/EZ85)*100</f>
        <v>0</v>
      </c>
      <c r="FA87" s="629">
        <f>IF(FA85=0,0,FA86/FA85)*100</f>
        <v>0</v>
      </c>
      <c r="FB87" s="732"/>
      <c r="FC87" s="629">
        <f>IF(FC85=0,0,FC86/FC85)*100</f>
        <v>0</v>
      </c>
      <c r="FD87" s="629">
        <f>IF(FD85=0,0,FD86/FD85)*100</f>
        <v>0</v>
      </c>
      <c r="FE87" s="732"/>
      <c r="FF87" s="629">
        <f>IF(FF85=0,0,FF86/FF85)*100</f>
        <v>0</v>
      </c>
      <c r="FG87" s="629">
        <f>IF(FG85=0,0,FG86/FG85)*100</f>
        <v>0</v>
      </c>
      <c r="FH87" s="732"/>
      <c r="FI87" s="629">
        <f>IF(FI85=0,0,FI86/FI85)*100</f>
        <v>0</v>
      </c>
      <c r="FJ87" s="629">
        <f>IF(FJ85=0,0,FJ86/FJ85)*100</f>
        <v>0</v>
      </c>
      <c r="FK87" s="732"/>
      <c r="FL87" s="629">
        <f>IF(FL85=0,0,FL86/FL85)*100</f>
        <v>0</v>
      </c>
      <c r="FM87" s="629">
        <f>IF(FM85=0,0,FM86/FM85)*100</f>
        <v>0</v>
      </c>
      <c r="FN87" s="732"/>
      <c r="FO87" s="629">
        <f>IF(FO85=0,0,FO86/FO85)*100</f>
        <v>0</v>
      </c>
      <c r="FP87" s="629">
        <f>IF(FP85=0,0,FP86/FP85)*100</f>
        <v>0</v>
      </c>
      <c r="FQ87" s="732"/>
      <c r="FR87" s="629">
        <f>IF(FR85=0,0,FR86/FR85)*100</f>
        <v>0</v>
      </c>
      <c r="FS87" s="629">
        <f>IF(FS85=0,0,FS86/FS85)*100</f>
        <v>0</v>
      </c>
      <c r="FT87" s="732"/>
      <c r="FU87" s="629">
        <f>IF(FU85=0,0,FU86/FU85)*100</f>
        <v>0</v>
      </c>
      <c r="FV87" s="629">
        <f>IF(FV85=0,0,FV86/FV85)*100</f>
        <v>0</v>
      </c>
      <c r="FW87" s="733"/>
      <c r="FX87" s="219"/>
      <c r="FZ87" s="700" t="s">
        <v>1709</v>
      </c>
    </row>
    <row r="88" spans="1:186" ht="14.65" hidden="1" customHeight="1">
      <c r="A88" s="78"/>
      <c r="B88" s="622" t="b" cm="1">
        <f t="array" ref="B88">B87</f>
        <v>0</v>
      </c>
      <c r="C88" s="78"/>
      <c r="D88" s="78"/>
      <c r="E88" s="473">
        <v>15</v>
      </c>
      <c r="F88" s="3" cm="1">
        <f t="array" aca="1" ref="F88" ca="1">OFFSET(E88,-1,1)</f>
        <v>0</v>
      </c>
      <c r="G88" s="44" t="s">
        <v>1633</v>
      </c>
      <c r="H88" s="78"/>
      <c r="I88" s="78"/>
      <c r="J88" s="78"/>
      <c r="K88" s="78"/>
      <c r="L88" s="78"/>
      <c r="M88" s="78"/>
      <c r="N88" s="78"/>
      <c r="O88" s="78"/>
      <c r="P88" s="78"/>
      <c r="Q88" s="78"/>
      <c r="R88" s="78"/>
      <c r="S88" s="78"/>
      <c r="T88" s="365" t="b" cm="1">
        <f t="array" aca="1" ref="T88" ca="1">T87</f>
        <v>0</v>
      </c>
      <c r="U88" s="78"/>
      <c r="V88" s="78"/>
      <c r="W88" s="78"/>
      <c r="X88" s="1094"/>
      <c r="Y88" s="78"/>
      <c r="Z88" s="1064"/>
      <c r="AA88" s="78"/>
      <c r="AB88" s="73" t="s">
        <v>1634</v>
      </c>
      <c r="AC88" s="31" t="s">
        <v>534</v>
      </c>
      <c r="AD88" s="849">
        <f ca="1">IF(AND(method_reg="Метод индексации",god&lt;&gt;first_year),SUMIFS(INDEX('Калькуляция (МИ корр)'!$AJ$25:$BC$459,,MATCH(AD$8,'Калькуляция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(МИ)'!$AJ$25:$BC$459,,MATCH(AD$8,'Калькуляция (МИ)'!$AJ$8:$BC$8,0)),'Калькуляция (МИ)'!$F$25:$F$459,$F88,'Калькуляция (МИ)'!$G$25:$G$459,$G88))))</f>
        <v>0</v>
      </c>
      <c r="AE88" s="849">
        <f ca="1">IF(AND(method_reg="Метод индексации",god&lt;&gt;first_year),SUMIFS(INDEX('Калькуляция (МИ корр)'!$AJ$25:$BC$459,,MATCH(AE$8,'Калькуляция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(МИ)'!$AJ$25:$BC$459,,MATCH(AE$8,'Калькуляция (МИ)'!$AJ$8:$BC$8,0)),'Калькуляция (МИ)'!$F$25:$F$459,$F88,'Калькуляция (МИ)'!$G$25:$G$459,$G88))))</f>
        <v>0</v>
      </c>
      <c r="AF88" s="724">
        <f ca="1">IF(AD88=0,0,(AE88-AD88)/AD88*100)</f>
        <v>0</v>
      </c>
      <c r="AG88" s="849">
        <f ca="1">IF(AND(method_reg="Метод индексации",god&lt;&gt;first_year),SUMIFS(INDEX('Калькуляция (МИ корр)'!$AJ$25:$BC$459,,MATCH(AG$8,'Калькуляция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(МИ)'!$AJ$25:$BC$459,,MATCH(AG$8,'Калькуляция (МИ)'!$AJ$8:$BC$8,0)),'Калькуляция (МИ)'!$F$25:$F$459,$F88,'Калькуляция (МИ)'!$G$25:$G$459,$G88))))</f>
        <v>0</v>
      </c>
      <c r="AH88" s="849">
        <f ca="1">IF(AND(method_reg="Метод индексации",god&lt;&gt;first_year),SUMIFS(INDEX('Калькуляция (МИ корр)'!$AJ$25:$BC$459,,MATCH(AH$8,'Калькуляция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(МИ)'!$AJ$25:$BC$459,,MATCH(AH$8,'Калькуляция (МИ)'!$AJ$8:$BC$8,0)),'Калькуляция (МИ)'!$F$25:$F$459,$F88,'Калькуляция (МИ)'!$G$25:$G$459,$G88))))</f>
        <v>0</v>
      </c>
      <c r="AI88" s="724">
        <f ca="1">IF(AG88=0,0,(AH88-AG88)/AG88*100)</f>
        <v>0</v>
      </c>
      <c r="AJ88" s="849">
        <f ca="1">IF(AND(method_reg="Метод индексации",god&lt;&gt;first_year),SUMIFS(INDEX('Калькуляция (МИ корр)'!$AJ$25:$BC$459,,MATCH(AJ$8,'Калькуляция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(МИ)'!$AJ$25:$BC$459,,MATCH(AJ$8,'Калькуляция (МИ)'!$AJ$8:$BC$8,0)),'Калькуляция (МИ)'!$F$25:$F$459,$F88,'Калькуляция (МИ)'!$G$25:$G$459,$G88))))</f>
        <v>0</v>
      </c>
      <c r="AK88" s="849">
        <f ca="1">IF(AND(method_reg="Метод индексации",god&lt;&gt;first_year),SUMIFS(INDEX('Калькуляция (МИ корр)'!$AJ$25:$BC$459,,MATCH(AK$8,'Калькуляция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(МИ)'!$AJ$25:$BC$459,,MATCH(AK$8,'Калькуляция (МИ)'!$AJ$8:$BC$8,0)),'Калькуляция (МИ)'!$F$25:$F$459,$F88,'Калькуляция (МИ)'!$G$25:$G$459,$G88))))</f>
        <v>0</v>
      </c>
      <c r="AL88" s="724">
        <f ca="1">IF(AJ88=0,0,(AK88-AJ88)/AJ88*100)</f>
        <v>0</v>
      </c>
      <c r="AM88" s="849">
        <f ca="1">IF(AND(method_reg="Метод индексации",god&lt;&gt;first_year),SUMIFS(INDEX('Калькуляция (МИ корр)'!$AJ$25:$BC$459,,MATCH(AM$8,'Калькуляция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(МИ)'!$AJ$25:$BC$459,,MATCH(AM$8,'Калькуляция (МИ)'!$AJ$8:$BC$8,0)),'Калькуляция (МИ)'!$F$25:$F$459,$F88,'Калькуляция (МИ)'!$G$25:$G$459,$G88))))</f>
        <v>0</v>
      </c>
      <c r="AN88" s="849">
        <f ca="1">IF(AND(method_reg="Метод индексации",god&lt;&gt;first_year),SUMIFS(INDEX('Калькуляция (МИ корр)'!$AJ$25:$BC$459,,MATCH(AN$8,'Калькуляция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(МИ)'!$AJ$25:$BC$459,,MATCH(AN$8,'Калькуляция (МИ)'!$AJ$8:$BC$8,0)),'Калькуляция (МИ)'!$F$25:$F$459,$F88,'Калькуляция (МИ)'!$G$25:$G$459,$G88))))</f>
        <v>0</v>
      </c>
      <c r="AO88" s="724">
        <f ca="1">IF(AM88=0,0,(AN88-AM88)/AM88*100)</f>
        <v>0</v>
      </c>
      <c r="AP88" s="849">
        <f ca="1">IF(AND(method_reg="Метод индексации",god&lt;&gt;first_year),SUMIFS(INDEX('Калькуляция (МИ корр)'!$AJ$25:$BC$459,,MATCH(AP$8,'Калькуляция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(МИ)'!$AJ$25:$BC$459,,MATCH(AP$8,'Калькуляция (МИ)'!$AJ$8:$BC$8,0)),'Калькуляция (МИ)'!$F$25:$F$459,$F88,'Калькуляция (МИ)'!$G$25:$G$459,$G88))))</f>
        <v>0</v>
      </c>
      <c r="AQ88" s="849">
        <f ca="1">IF(AND(method_reg="Метод индексации",god&lt;&gt;first_year),SUMIFS(INDEX('Калькуляция (МИ корр)'!$AJ$25:$BC$459,,MATCH(AQ$8,'Калькуляция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(МИ)'!$AJ$25:$BC$459,,MATCH(AQ$8,'Калькуляция (МИ)'!$AJ$8:$BC$8,0)),'Калькуляция (МИ)'!$F$25:$F$459,$F88,'Калькуляция (МИ)'!$G$25:$G$459,$G88))))</f>
        <v>0</v>
      </c>
      <c r="AR88" s="724">
        <f ca="1">IF(AP88=0,0,(AQ88-AP88)/AP88*100)</f>
        <v>0</v>
      </c>
      <c r="AS88" s="849">
        <f ca="1">IF(AND(method_reg="Метод индексации",god&lt;&gt;first_year),SUMIFS(INDEX('Калькуляция (МИ корр)'!$AJ$25:$BC$459,,MATCH(AS$8,'Калькуляция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(МИ)'!$AJ$25:$BC$459,,MATCH(AS$8,'Калькуляция (МИ)'!$AJ$8:$BC$8,0)),'Калькуляция (МИ)'!$F$25:$F$459,$F88,'Калькуляция (МИ)'!$G$25:$G$459,$G88))))</f>
        <v>0</v>
      </c>
      <c r="AT88" s="849">
        <f ca="1">IF(AND(method_reg="Метод индексации",god&lt;&gt;first_year),SUMIFS(INDEX('Калькуляция (МИ корр)'!$AJ$25:$BC$459,,MATCH(AT$8,'Калькуляция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(МИ)'!$AJ$25:$BC$459,,MATCH(AT$8,'Калькуляция (МИ)'!$AJ$8:$BC$8,0)),'Калькуляция (МИ)'!$F$25:$F$459,$F88,'Калькуляция (МИ)'!$G$25:$G$459,$G88))))</f>
        <v>0</v>
      </c>
      <c r="AU88" s="724">
        <f ca="1">IF(AS88=0,0,(AT88-AS88)/AS88*100)</f>
        <v>0</v>
      </c>
      <c r="AV88" s="849">
        <f ca="1">IF(AND(method_reg="Метод индексации",god&lt;&gt;first_year),SUMIFS(INDEX('Калькуляция (МИ корр)'!$AJ$25:$BC$459,,MATCH(AV$8,'Калькуляция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(МИ)'!$AJ$25:$BC$459,,MATCH(AV$8,'Калькуляция (МИ)'!$AJ$8:$BC$8,0)),'Калькуляция (МИ)'!$F$25:$F$459,$F88,'Калькуляция (МИ)'!$G$25:$G$459,$G88))))</f>
        <v>0</v>
      </c>
      <c r="AW88" s="849">
        <f ca="1">IF(AND(method_reg="Метод индексации",god&lt;&gt;first_year),SUMIFS(INDEX('Калькуляция (МИ корр)'!$AJ$25:$BC$459,,MATCH(AW$8,'Калькуляция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(МИ)'!$AJ$25:$BC$459,,MATCH(AW$8,'Калькуляция (МИ)'!$AJ$8:$BC$8,0)),'Калькуляция (МИ)'!$F$25:$F$459,$F88,'Калькуляция (МИ)'!$G$25:$G$459,$G88))))</f>
        <v>0</v>
      </c>
      <c r="AX88" s="724">
        <f ca="1">IF(AV88=0,0,(AW88-AV88)/AV88*100)</f>
        <v>0</v>
      </c>
      <c r="AY88" s="849">
        <f ca="1">IF(AND(method_reg="Метод индексации",god&lt;&gt;first_year),SUMIFS(INDEX('Калькуляция (МИ корр)'!$AJ$25:$BC$459,,MATCH(AY$8,'Калькуляция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(МИ)'!$AJ$25:$BC$459,,MATCH(AY$8,'Калькуляция (МИ)'!$AJ$8:$BC$8,0)),'Калькуляция (МИ)'!$F$25:$F$459,$F88,'Калькуляция (МИ)'!$G$25:$G$459,$G88))))</f>
        <v>0</v>
      </c>
      <c r="AZ88" s="849">
        <f ca="1">IF(AND(method_reg="Метод индексации",god&lt;&gt;first_year),SUMIFS(INDEX('Калькуляция (МИ корр)'!$AJ$25:$BC$459,,MATCH(AZ$8,'Калькуляция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(МИ)'!$AJ$25:$BC$459,,MATCH(AZ$8,'Калькуляция (МИ)'!$AJ$8:$BC$8,0)),'Калькуляция (МИ)'!$F$25:$F$459,$F88,'Калькуляция (МИ)'!$G$25:$G$459,$G88))))</f>
        <v>0</v>
      </c>
      <c r="BA88" s="724">
        <f ca="1">IF(AY88=0,0,(AZ88-AY88)/AY88*100)</f>
        <v>0</v>
      </c>
      <c r="BB88" s="849">
        <f ca="1">IF(AND(method_reg="Метод индексации",god&lt;&gt;first_year),SUMIFS(INDEX('Калькуляция (МИ корр)'!$AJ$25:$BC$459,,MATCH(BB$8,'Калькуляция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(МИ)'!$AJ$25:$BC$459,,MATCH(BB$8,'Калькуляция (МИ)'!$AJ$8:$BC$8,0)),'Калькуляция (МИ)'!$F$25:$F$459,$F88,'Калькуляция (МИ)'!$G$25:$G$459,$G88))))</f>
        <v>0</v>
      </c>
      <c r="BC88" s="849">
        <f ca="1">IF(AND(method_reg="Метод индексации",god&lt;&gt;first_year),SUMIFS(INDEX('Калькуляция (МИ корр)'!$AJ$25:$BC$459,,MATCH(BC$8,'Калькуляция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(МИ)'!$AJ$25:$BC$459,,MATCH(BC$8,'Калькуляция (МИ)'!$AJ$8:$BC$8,0)),'Калькуляция (МИ)'!$F$25:$F$459,$F88,'Калькуляция (МИ)'!$G$25:$G$459,$G88))))</f>
        <v>0</v>
      </c>
      <c r="BD88" s="724">
        <f ca="1">IF(BB88=0,0,(BC88-BB88)/BB88*100)</f>
        <v>0</v>
      </c>
      <c r="BE88" s="849">
        <f ca="1">IF(AND(method_reg="Метод индексации",god&lt;&gt;first_year),SUMIFS(INDEX('Калькуляция (МИ корр)'!$AJ$25:$BC$459,,MATCH(BE$8,'Калькуляция (МИ корр)'!$AJ$8:$BC$8,0)),'Калькуляция (МИ корр)'!$F$25:$F$459,$F88,'Калькуляция (МИ корр)'!$G$25:$G$459,$G88),IF(method_reg="Метод экономически обоснованных расходов",SUMIFS('Калькуляция (МЭОР)'!$AJ$25:$AJ$282,'Калькуляция (МЭОР)'!$F$25:$F$282,$F88,'Калькуляция (МЭОР)'!$G$25:$G$282,$G88),IF(method_reg="Метод сравнения аналогов",SUMIFS('Калькуляция (МСА)'!$AE$25:$AE$84,'Калькуляция (МСА)'!$F$25:$F$84,$F88,'Калькуляция (МСА)'!$G$25:$G$84,$G88),SUMIFS(INDEX('Калькуляция (МИ)'!$AJ$25:$BC$459,,MATCH(BE$8,'Калькуляция (МИ)'!$AJ$8:$BC$8,0)),'Калькуляция (МИ)'!$F$25:$F$459,$F88,'Калькуляция (МИ)'!$G$25:$G$459,$G88))))</f>
        <v>0</v>
      </c>
      <c r="BF88" s="849">
        <f ca="1">IF(AND(method_reg="Метод индексации",god&lt;&gt;first_year),SUMIFS(INDEX('Калькуляция (МИ корр)'!$AJ$25:$BC$459,,MATCH(BF$8,'Калькуляция (МИ корр)'!$AJ$8:$BC$8,0)),'Калькуляция (МИ корр)'!$F$25:$F$459,$F88,'Калькуляция (МИ корр)'!$G$25:$G$459,$G88),IF(method_reg="Метод экономически обоснованных расходов",SUMIFS('Калькуляция (МЭОР)'!$AK$25:$AK$282,'Калькуляция (МЭОР)'!$F$25:$F$282,$F88,'Калькуляция (МЭОР)'!$G$25:$G$282,$G88),IF(method_reg="Метод сравнения аналогов",SUMIFS('Калькуляция (МСА)'!$AF$25:$AF$84,'Калькуляция (МСА)'!$F$25:$F$84,$F88,'Калькуляция (МСА)'!$G$25:$G$84,$G88),SUMIFS(INDEX('Калькуляция (МИ)'!$AJ$25:$BC$459,,MATCH(BF$8,'Калькуляция (МИ)'!$AJ$8:$BC$8,0)),'Калькуляция (МИ)'!$F$25:$F$459,$F88,'Калькуляция (МИ)'!$G$25:$G$459,$G88))))</f>
        <v>0</v>
      </c>
      <c r="BG88" s="724">
        <f ca="1">IF(BE88=0,0,(BF88-BE88)/BE88*100)</f>
        <v>0</v>
      </c>
      <c r="BH88" s="849"/>
      <c r="BI88" s="849"/>
      <c r="BJ88" s="724">
        <f>IF(BH88=0,0,(BI88-BH88)/BH88*100)</f>
        <v>0</v>
      </c>
      <c r="BK88" s="849"/>
      <c r="BL88" s="849"/>
      <c r="BM88" s="724">
        <f>IF(BK88=0,0,(BL88-BK88)/BK88*100)</f>
        <v>0</v>
      </c>
      <c r="BN88" s="849"/>
      <c r="BO88" s="849"/>
      <c r="BP88" s="724">
        <f>IF(BN88=0,0,(BO88-BN88)/BN88*100)</f>
        <v>0</v>
      </c>
      <c r="BQ88" s="849"/>
      <c r="BR88" s="849"/>
      <c r="BS88" s="724">
        <f>IF(BQ88=0,0,(BR88-BQ88)/BQ88*100)</f>
        <v>0</v>
      </c>
      <c r="BT88" s="849"/>
      <c r="BU88" s="849"/>
      <c r="BV88" s="724">
        <f>IF(BT88=0,0,(BU88-BT88)/BT88*100)</f>
        <v>0</v>
      </c>
      <c r="BW88" s="849"/>
      <c r="BX88" s="849"/>
      <c r="BY88" s="724">
        <f>IF(BW88=0,0,(BX88-BW88)/BW88*100)</f>
        <v>0</v>
      </c>
      <c r="BZ88" s="849"/>
      <c r="CA88" s="849"/>
      <c r="CB88" s="724">
        <f>IF(BZ88=0,0,(CA88-BZ88)/BZ88*100)</f>
        <v>0</v>
      </c>
      <c r="CC88" s="849"/>
      <c r="CD88" s="849"/>
      <c r="CE88" s="724">
        <f>IF(CC88=0,0,(CD88-CC88)/CC88*100)</f>
        <v>0</v>
      </c>
      <c r="CF88" s="849"/>
      <c r="CG88" s="849"/>
      <c r="CH88" s="724">
        <f>IF(CF88=0,0,(CG88-CF88)/CF88*100)</f>
        <v>0</v>
      </c>
      <c r="CI88" s="849"/>
      <c r="CJ88" s="849"/>
      <c r="CK88" s="724">
        <f>IF(CI88=0,0,(CJ88-CI88)/CI88*100)</f>
        <v>0</v>
      </c>
      <c r="CL88" s="849"/>
      <c r="CM88" s="849"/>
      <c r="CN88" s="724">
        <f>IF(CL88=0,0,(CM88-CL88)/CL88*100)</f>
        <v>0</v>
      </c>
      <c r="CO88" s="849"/>
      <c r="CP88" s="849"/>
      <c r="CQ88" s="724">
        <f>IF(CO88=0,0,(CP88-CO88)/CO88*100)</f>
        <v>0</v>
      </c>
      <c r="CR88" s="849"/>
      <c r="CS88" s="849"/>
      <c r="CT88" s="724">
        <f>IF(CR88=0,0,(CS88-CR88)/CR88*100)</f>
        <v>0</v>
      </c>
      <c r="CU88" s="849"/>
      <c r="CV88" s="849"/>
      <c r="CW88" s="724">
        <f>IF(CU88=0,0,(CV88-CU88)/CU88*100)</f>
        <v>0</v>
      </c>
      <c r="CX88" s="849"/>
      <c r="CY88" s="849"/>
      <c r="CZ88" s="724">
        <f>IF(CX88=0,0,(CY88-CX88)/CX88*100)</f>
        <v>0</v>
      </c>
      <c r="DA88" s="849"/>
      <c r="DB88" s="849"/>
      <c r="DC88" s="724">
        <f>IF(DA88=0,0,(DB88-DA88)/DA88*100)</f>
        <v>0</v>
      </c>
      <c r="DD88" s="849"/>
      <c r="DE88" s="849"/>
      <c r="DF88" s="724">
        <f>IF(DD88=0,0,(DE88-DD88)/DD88*100)</f>
        <v>0</v>
      </c>
      <c r="DG88" s="849"/>
      <c r="DH88" s="849"/>
      <c r="DI88" s="724">
        <f>IF(DG88=0,0,(DH88-DG88)/DG88*100)</f>
        <v>0</v>
      </c>
      <c r="DJ88" s="849"/>
      <c r="DK88" s="849"/>
      <c r="DL88" s="724">
        <f>IF(DJ88=0,0,(DK88-DJ88)/DJ88*100)</f>
        <v>0</v>
      </c>
      <c r="DM88" s="849"/>
      <c r="DN88" s="849"/>
      <c r="DO88" s="724">
        <f>IF(DM88=0,0,(DN88-DM88)/DM88*100)</f>
        <v>0</v>
      </c>
      <c r="DP88" s="849"/>
      <c r="DQ88" s="849"/>
      <c r="DR88" s="724">
        <f>IF(DP88=0,0,(DQ88-DP88)/DP88*100)</f>
        <v>0</v>
      </c>
      <c r="DS88" s="849"/>
      <c r="DT88" s="849"/>
      <c r="DU88" s="724">
        <f>IF(DS88=0,0,(DT88-DS88)/DS88*100)</f>
        <v>0</v>
      </c>
      <c r="DV88" s="849"/>
      <c r="DW88" s="849"/>
      <c r="DX88" s="724">
        <f>IF(DV88=0,0,(DW88-DV88)/DV88*100)</f>
        <v>0</v>
      </c>
      <c r="DY88" s="849"/>
      <c r="DZ88" s="849"/>
      <c r="EA88" s="724">
        <f>IF(DY88=0,0,(DZ88-DY88)/DY88*100)</f>
        <v>0</v>
      </c>
      <c r="EB88" s="849"/>
      <c r="EC88" s="849"/>
      <c r="ED88" s="724">
        <f>IF(EB88=0,0,(EC88-EB88)/EB88*100)</f>
        <v>0</v>
      </c>
      <c r="EE88" s="849"/>
      <c r="EF88" s="849"/>
      <c r="EG88" s="724">
        <f>IF(EE88=0,0,(EF88-EE88)/EE88*100)</f>
        <v>0</v>
      </c>
      <c r="EH88" s="849"/>
      <c r="EI88" s="849"/>
      <c r="EJ88" s="724">
        <f>IF(EH88=0,0,(EI88-EH88)/EH88*100)</f>
        <v>0</v>
      </c>
      <c r="EK88" s="849"/>
      <c r="EL88" s="849"/>
      <c r="EM88" s="724">
        <f>IF(EK88=0,0,(EL88-EK88)/EK88*100)</f>
        <v>0</v>
      </c>
      <c r="EN88" s="849"/>
      <c r="EO88" s="849"/>
      <c r="EP88" s="724">
        <f>IF(EN88=0,0,(EO88-EN88)/EN88*100)</f>
        <v>0</v>
      </c>
      <c r="EQ88" s="849"/>
      <c r="ER88" s="849"/>
      <c r="ES88" s="724">
        <f>IF(EQ88=0,0,(ER88-EQ88)/EQ88*100)</f>
        <v>0</v>
      </c>
      <c r="ET88" s="849"/>
      <c r="EU88" s="849"/>
      <c r="EV88" s="724">
        <f>IF(ET88=0,0,(EU88-ET88)/ET88*100)</f>
        <v>0</v>
      </c>
      <c r="EW88" s="849"/>
      <c r="EX88" s="849"/>
      <c r="EY88" s="724">
        <f>IF(EW88=0,0,(EX88-EW88)/EW88*100)</f>
        <v>0</v>
      </c>
      <c r="EZ88" s="849"/>
      <c r="FA88" s="849"/>
      <c r="FB88" s="724">
        <f>IF(EZ88=0,0,(FA88-EZ88)/EZ88*100)</f>
        <v>0</v>
      </c>
      <c r="FC88" s="849"/>
      <c r="FD88" s="849"/>
      <c r="FE88" s="724">
        <f>IF(FC88=0,0,(FD88-FC88)/FC88*100)</f>
        <v>0</v>
      </c>
      <c r="FF88" s="849"/>
      <c r="FG88" s="849"/>
      <c r="FH88" s="724">
        <f>IF(FF88=0,0,(FG88-FF88)/FF88*100)</f>
        <v>0</v>
      </c>
      <c r="FI88" s="849"/>
      <c r="FJ88" s="849"/>
      <c r="FK88" s="724">
        <f>IF(FI88=0,0,(FJ88-FI88)/FI88*100)</f>
        <v>0</v>
      </c>
      <c r="FL88" s="849"/>
      <c r="FM88" s="849"/>
      <c r="FN88" s="724">
        <f>IF(FL88=0,0,(FM88-FL88)/FL88*100)</f>
        <v>0</v>
      </c>
      <c r="FO88" s="849"/>
      <c r="FP88" s="849"/>
      <c r="FQ88" s="724">
        <f>IF(FO88=0,0,(FP88-FO88)/FO88*100)</f>
        <v>0</v>
      </c>
      <c r="FR88" s="849"/>
      <c r="FS88" s="849"/>
      <c r="FT88" s="724">
        <f>IF(FR88=0,0,(FS88-FR88)/FR88*100)</f>
        <v>0</v>
      </c>
      <c r="FU88" s="849"/>
      <c r="FV88" s="849"/>
      <c r="FW88" s="724">
        <f>IF(FU88=0,0,(FV88-FU88)/FU88*100)</f>
        <v>0</v>
      </c>
      <c r="FX88" s="219"/>
      <c r="FZ88" s="700" t="s">
        <v>1710</v>
      </c>
    </row>
    <row r="89" spans="1:186" ht="18.2" hidden="1" customHeight="1">
      <c r="A89" s="78"/>
      <c r="B89" s="622" t="b" cm="1">
        <f t="array" ref="B89">B88</f>
        <v>0</v>
      </c>
      <c r="C89" s="78"/>
      <c r="D89" s="78"/>
      <c r="E89" s="473">
        <v>18.75</v>
      </c>
      <c r="F89" s="3" cm="1">
        <f t="array" aca="1" ref="F89" ca="1">OFFSET(E89,-1,1)</f>
        <v>0</v>
      </c>
      <c r="G89" s="78"/>
      <c r="H89" s="78" t="s">
        <v>461</v>
      </c>
      <c r="I89" s="78" cm="1">
        <f t="array" ref="I89">AB89</f>
        <v>0</v>
      </c>
      <c r="J89" s="78"/>
      <c r="K89" s="78"/>
      <c r="L89" s="78"/>
      <c r="M89" s="78"/>
      <c r="N89" s="78"/>
      <c r="O89" s="78"/>
      <c r="P89" s="78"/>
      <c r="Q89" s="78"/>
      <c r="R89" s="78"/>
      <c r="S89" s="78"/>
      <c r="T89" s="365" t="b">
        <f ca="1">AND(F89&gt;0,Y89&gt;0)</f>
        <v>0</v>
      </c>
      <c r="U89" s="78"/>
      <c r="V89" s="78"/>
      <c r="W89" s="78" t="s">
        <v>173</v>
      </c>
      <c r="X89" s="1094"/>
      <c r="Y89" s="78">
        <v>0</v>
      </c>
      <c r="Z89" s="1064"/>
      <c r="AA89" s="493" t="s">
        <v>174</v>
      </c>
      <c r="AB89" s="875"/>
      <c r="AC89" s="31" t="s">
        <v>1624</v>
      </c>
      <c r="AD89" s="833"/>
      <c r="AE89" s="945"/>
      <c r="AF89" s="723">
        <f>IF(AD89=0,0,(AE89-AD89)/AD89*100)</f>
        <v>0</v>
      </c>
      <c r="AG89" s="945"/>
      <c r="AH89" s="945"/>
      <c r="AI89" s="723">
        <f>IF(AG89=0,0,(AH89-AG89)/AG89*100)</f>
        <v>0</v>
      </c>
      <c r="AJ89" s="945"/>
      <c r="AK89" s="945"/>
      <c r="AL89" s="723">
        <f>IF(AJ89=0,0,(AK89-AJ89)/AJ89*100)</f>
        <v>0</v>
      </c>
      <c r="AM89" s="945"/>
      <c r="AN89" s="945"/>
      <c r="AO89" s="723">
        <f>IF(AM89=0,0,(AN89-AM89)/AM89*100)</f>
        <v>0</v>
      </c>
      <c r="AP89" s="945"/>
      <c r="AQ89" s="945"/>
      <c r="AR89" s="723">
        <f>IF(AP89=0,0,(AQ89-AP89)/AP89*100)</f>
        <v>0</v>
      </c>
      <c r="AS89" s="945"/>
      <c r="AT89" s="945"/>
      <c r="AU89" s="723">
        <f>IF(AS89=0,0,(AT89-AS89)/AS89*100)</f>
        <v>0</v>
      </c>
      <c r="AV89" s="945"/>
      <c r="AW89" s="945"/>
      <c r="AX89" s="723">
        <f>IF(AV89=0,0,(AW89-AV89)/AV89*100)</f>
        <v>0</v>
      </c>
      <c r="AY89" s="945"/>
      <c r="AZ89" s="945"/>
      <c r="BA89" s="723">
        <f>IF(AY89=0,0,(AZ89-AY89)/AY89*100)</f>
        <v>0</v>
      </c>
      <c r="BB89" s="945"/>
      <c r="BC89" s="945"/>
      <c r="BD89" s="723">
        <f>IF(BB89=0,0,(BC89-BB89)/BB89*100)</f>
        <v>0</v>
      </c>
      <c r="BE89" s="945"/>
      <c r="BF89" s="945"/>
      <c r="BG89" s="723">
        <f>IF(BE89=0,0,(BF89-BE89)/BE89*100)</f>
        <v>0</v>
      </c>
      <c r="BH89" s="945"/>
      <c r="BI89" s="945"/>
      <c r="BJ89" s="723">
        <f>IF(BH89=0,0,(BI89-BH89)/BH89*100)</f>
        <v>0</v>
      </c>
      <c r="BK89" s="945"/>
      <c r="BL89" s="945"/>
      <c r="BM89" s="723">
        <f>IF(BK89=0,0,(BL89-BK89)/BK89*100)</f>
        <v>0</v>
      </c>
      <c r="BN89" s="945"/>
      <c r="BO89" s="945"/>
      <c r="BP89" s="723">
        <f>IF(BN89=0,0,(BO89-BN89)/BN89*100)</f>
        <v>0</v>
      </c>
      <c r="BQ89" s="945"/>
      <c r="BR89" s="945"/>
      <c r="BS89" s="723">
        <f>IF(BQ89=0,0,(BR89-BQ89)/BQ89*100)</f>
        <v>0</v>
      </c>
      <c r="BT89" s="945"/>
      <c r="BU89" s="945"/>
      <c r="BV89" s="723">
        <f>IF(BT89=0,0,(BU89-BT89)/BT89*100)</f>
        <v>0</v>
      </c>
      <c r="BW89" s="945"/>
      <c r="BX89" s="945"/>
      <c r="BY89" s="723">
        <f>IF(BW89=0,0,(BX89-BW89)/BW89*100)</f>
        <v>0</v>
      </c>
      <c r="BZ89" s="945"/>
      <c r="CA89" s="945"/>
      <c r="CB89" s="723">
        <f>IF(BZ89=0,0,(CA89-BZ89)/BZ89*100)</f>
        <v>0</v>
      </c>
      <c r="CC89" s="945"/>
      <c r="CD89" s="945"/>
      <c r="CE89" s="723">
        <f>IF(CC89=0,0,(CD89-CC89)/CC89*100)</f>
        <v>0</v>
      </c>
      <c r="CF89" s="945"/>
      <c r="CG89" s="945"/>
      <c r="CH89" s="723">
        <f>IF(CF89=0,0,(CG89-CF89)/CF89*100)</f>
        <v>0</v>
      </c>
      <c r="CI89" s="945"/>
      <c r="CJ89" s="945"/>
      <c r="CK89" s="723">
        <f>IF(CI89=0,0,(CJ89-CI89)/CI89*100)</f>
        <v>0</v>
      </c>
      <c r="CL89" s="945"/>
      <c r="CM89" s="945"/>
      <c r="CN89" s="723">
        <f>IF(CL89=0,0,(CM89-CL89)/CL89*100)</f>
        <v>0</v>
      </c>
      <c r="CO89" s="945"/>
      <c r="CP89" s="945"/>
      <c r="CQ89" s="723">
        <f>IF(CO89=0,0,(CP89-CO89)/CO89*100)</f>
        <v>0</v>
      </c>
      <c r="CR89" s="945"/>
      <c r="CS89" s="945"/>
      <c r="CT89" s="723">
        <f>IF(CR89=0,0,(CS89-CR89)/CR89*100)</f>
        <v>0</v>
      </c>
      <c r="CU89" s="945"/>
      <c r="CV89" s="945"/>
      <c r="CW89" s="723">
        <f>IF(CU89=0,0,(CV89-CU89)/CU89*100)</f>
        <v>0</v>
      </c>
      <c r="CX89" s="945"/>
      <c r="CY89" s="945"/>
      <c r="CZ89" s="723">
        <f>IF(CX89=0,0,(CY89-CX89)/CX89*100)</f>
        <v>0</v>
      </c>
      <c r="DA89" s="945"/>
      <c r="DB89" s="945"/>
      <c r="DC89" s="723">
        <f>IF(DA89=0,0,(DB89-DA89)/DA89*100)</f>
        <v>0</v>
      </c>
      <c r="DD89" s="945"/>
      <c r="DE89" s="945"/>
      <c r="DF89" s="723">
        <f>IF(DD89=0,0,(DE89-DD89)/DD89*100)</f>
        <v>0</v>
      </c>
      <c r="DG89" s="945"/>
      <c r="DH89" s="945"/>
      <c r="DI89" s="723">
        <f>IF(DG89=0,0,(DH89-DG89)/DG89*100)</f>
        <v>0</v>
      </c>
      <c r="DJ89" s="945"/>
      <c r="DK89" s="945"/>
      <c r="DL89" s="723">
        <f>IF(DJ89=0,0,(DK89-DJ89)/DJ89*100)</f>
        <v>0</v>
      </c>
      <c r="DM89" s="945"/>
      <c r="DN89" s="945"/>
      <c r="DO89" s="723">
        <f>IF(DM89=0,0,(DN89-DM89)/DM89*100)</f>
        <v>0</v>
      </c>
      <c r="DP89" s="945"/>
      <c r="DQ89" s="945"/>
      <c r="DR89" s="723">
        <f>IF(DP89=0,0,(DQ89-DP89)/DP89*100)</f>
        <v>0</v>
      </c>
      <c r="DS89" s="945"/>
      <c r="DT89" s="945"/>
      <c r="DU89" s="723">
        <f>IF(DS89=0,0,(DT89-DS89)/DS89*100)</f>
        <v>0</v>
      </c>
      <c r="DV89" s="945"/>
      <c r="DW89" s="945"/>
      <c r="DX89" s="723">
        <f>IF(DV89=0,0,(DW89-DV89)/DV89*100)</f>
        <v>0</v>
      </c>
      <c r="DY89" s="945"/>
      <c r="DZ89" s="945"/>
      <c r="EA89" s="723">
        <f>IF(DY89=0,0,(DZ89-DY89)/DY89*100)</f>
        <v>0</v>
      </c>
      <c r="EB89" s="945"/>
      <c r="EC89" s="945"/>
      <c r="ED89" s="723">
        <f>IF(EB89=0,0,(EC89-EB89)/EB89*100)</f>
        <v>0</v>
      </c>
      <c r="EE89" s="945"/>
      <c r="EF89" s="945"/>
      <c r="EG89" s="723">
        <f>IF(EE89=0,0,(EF89-EE89)/EE89*100)</f>
        <v>0</v>
      </c>
      <c r="EH89" s="945"/>
      <c r="EI89" s="945"/>
      <c r="EJ89" s="723">
        <f>IF(EH89=0,0,(EI89-EH89)/EH89*100)</f>
        <v>0</v>
      </c>
      <c r="EK89" s="945"/>
      <c r="EL89" s="945"/>
      <c r="EM89" s="723">
        <f>IF(EK89=0,0,(EL89-EK89)/EK89*100)</f>
        <v>0</v>
      </c>
      <c r="EN89" s="945"/>
      <c r="EO89" s="945"/>
      <c r="EP89" s="723">
        <f>IF(EN89=0,0,(EO89-EN89)/EN89*100)</f>
        <v>0</v>
      </c>
      <c r="EQ89" s="945"/>
      <c r="ER89" s="945"/>
      <c r="ES89" s="723">
        <f>IF(EQ89=0,0,(ER89-EQ89)/EQ89*100)</f>
        <v>0</v>
      </c>
      <c r="ET89" s="945"/>
      <c r="EU89" s="945"/>
      <c r="EV89" s="723">
        <f>IF(ET89=0,0,(EU89-ET89)/ET89*100)</f>
        <v>0</v>
      </c>
      <c r="EW89" s="945"/>
      <c r="EX89" s="945"/>
      <c r="EY89" s="723">
        <f>IF(EW89=0,0,(EX89-EW89)/EW89*100)</f>
        <v>0</v>
      </c>
      <c r="EZ89" s="945"/>
      <c r="FA89" s="945"/>
      <c r="FB89" s="723">
        <f>IF(EZ89=0,0,(FA89-EZ89)/EZ89*100)</f>
        <v>0</v>
      </c>
      <c r="FC89" s="945"/>
      <c r="FD89" s="945"/>
      <c r="FE89" s="723">
        <f>IF(FC89=0,0,(FD89-FC89)/FC89*100)</f>
        <v>0</v>
      </c>
      <c r="FF89" s="945"/>
      <c r="FG89" s="945"/>
      <c r="FH89" s="723">
        <f>IF(FF89=0,0,(FG89-FF89)/FF89*100)</f>
        <v>0</v>
      </c>
      <c r="FI89" s="945"/>
      <c r="FJ89" s="945"/>
      <c r="FK89" s="723">
        <f>IF(FI89=0,0,(FJ89-FI89)/FI89*100)</f>
        <v>0</v>
      </c>
      <c r="FL89" s="945"/>
      <c r="FM89" s="945"/>
      <c r="FN89" s="723">
        <f>IF(FL89=0,0,(FM89-FL89)/FL89*100)</f>
        <v>0</v>
      </c>
      <c r="FO89" s="945"/>
      <c r="FP89" s="945"/>
      <c r="FQ89" s="723">
        <f>IF(FO89=0,0,(FP89-FO89)/FO89*100)</f>
        <v>0</v>
      </c>
      <c r="FR89" s="945"/>
      <c r="FS89" s="945"/>
      <c r="FT89" s="723">
        <f>IF(FR89=0,0,(FS89-FR89)/FR89*100)</f>
        <v>0</v>
      </c>
      <c r="FU89" s="945"/>
      <c r="FV89" s="945"/>
      <c r="FW89" s="723">
        <f>IF(FU89=0,0,(FV89-FU89)/FU89*100)</f>
        <v>0</v>
      </c>
      <c r="FX89" s="219"/>
      <c r="FZ89" s="700" t="s">
        <v>1711</v>
      </c>
      <c r="GA89" s="680" t="s">
        <v>1712</v>
      </c>
      <c r="GB89" s="680" cm="1">
        <f t="array" ref="GB89">AB89</f>
        <v>0</v>
      </c>
      <c r="GD89" s="472" t="b">
        <v>1</v>
      </c>
    </row>
    <row r="90" spans="1:186" ht="14.65" hidden="1" customHeight="1">
      <c r="B90" s="622" t="b" cm="1">
        <f t="array" ref="B90">B89</f>
        <v>0</v>
      </c>
      <c r="D90" s="78"/>
      <c r="E90" s="473">
        <v>15</v>
      </c>
      <c r="F90" s="3" cm="1">
        <f t="array" aca="1" ref="F90" ca="1">OFFSET(E90,-1,1)</f>
        <v>0</v>
      </c>
      <c r="G90" s="78"/>
      <c r="I90" s="36" t="s">
        <v>1713</v>
      </c>
      <c r="T90" s="365" t="b">
        <f ca="1">F90&gt;0</f>
        <v>0</v>
      </c>
      <c r="W90" s="528" t="s">
        <v>1654</v>
      </c>
      <c r="X90" s="1094"/>
      <c r="Z90" s="1064"/>
      <c r="AB90" s="191" t="s">
        <v>177</v>
      </c>
      <c r="AC90" s="195"/>
      <c r="AD90" s="193"/>
      <c r="AE90" s="193"/>
      <c r="AF90" s="193"/>
      <c r="AG90" s="193"/>
      <c r="AH90" s="193"/>
      <c r="AI90" s="193"/>
      <c r="AJ90" s="193"/>
      <c r="AK90" s="193"/>
      <c r="AL90" s="193"/>
      <c r="AM90" s="193"/>
      <c r="AN90" s="193"/>
      <c r="AO90" s="193"/>
      <c r="AP90" s="193"/>
      <c r="AQ90" s="193"/>
      <c r="AR90" s="193"/>
      <c r="AS90" s="193"/>
      <c r="AT90" s="193"/>
      <c r="AU90" s="193"/>
      <c r="AV90" s="193"/>
      <c r="AW90" s="193"/>
      <c r="AX90" s="193"/>
      <c r="AY90" s="193"/>
      <c r="AZ90" s="193"/>
      <c r="BA90" s="193"/>
      <c r="BB90" s="193"/>
      <c r="BC90" s="193"/>
      <c r="BD90" s="193"/>
      <c r="BE90" s="193"/>
      <c r="BF90" s="193"/>
      <c r="BG90" s="193"/>
      <c r="BH90" s="193"/>
      <c r="BI90" s="193"/>
      <c r="BJ90" s="193"/>
      <c r="BK90" s="193"/>
      <c r="BL90" s="193"/>
      <c r="BM90" s="193"/>
      <c r="BN90" s="193"/>
      <c r="BO90" s="193"/>
      <c r="BP90" s="193"/>
      <c r="BQ90" s="193"/>
      <c r="BR90" s="193"/>
      <c r="BS90" s="193"/>
      <c r="BT90" s="193"/>
      <c r="BU90" s="193"/>
      <c r="BV90" s="193"/>
      <c r="BW90" s="193"/>
      <c r="BX90" s="193"/>
      <c r="BY90" s="193"/>
      <c r="BZ90" s="193"/>
      <c r="CA90" s="193"/>
      <c r="CB90" s="193"/>
      <c r="CC90" s="193"/>
      <c r="CD90" s="193"/>
      <c r="CE90" s="193"/>
      <c r="CF90" s="193"/>
      <c r="CG90" s="193"/>
      <c r="CH90" s="193"/>
      <c r="CI90" s="193"/>
      <c r="CJ90" s="193"/>
      <c r="CK90" s="193"/>
      <c r="CL90" s="193"/>
      <c r="CM90" s="193"/>
      <c r="CN90" s="193"/>
      <c r="CO90" s="193"/>
      <c r="CP90" s="193"/>
      <c r="CQ90" s="193"/>
      <c r="CR90" s="193"/>
      <c r="CS90" s="193"/>
      <c r="CT90" s="193"/>
      <c r="CU90" s="193"/>
      <c r="CV90" s="193"/>
      <c r="CW90" s="193"/>
      <c r="CX90" s="193"/>
      <c r="CY90" s="193"/>
      <c r="CZ90" s="193"/>
      <c r="DA90" s="193"/>
      <c r="DB90" s="193"/>
      <c r="DC90" s="193"/>
      <c r="DD90" s="193"/>
      <c r="DE90" s="193"/>
      <c r="DF90" s="193"/>
      <c r="DG90" s="193"/>
      <c r="DH90" s="193"/>
      <c r="DI90" s="193"/>
      <c r="DJ90" s="193"/>
      <c r="DK90" s="193"/>
      <c r="DL90" s="193"/>
      <c r="DM90" s="193"/>
      <c r="DN90" s="193"/>
      <c r="DO90" s="193"/>
      <c r="DP90" s="193"/>
      <c r="DQ90" s="193"/>
      <c r="DR90" s="193"/>
      <c r="DS90" s="193"/>
      <c r="DT90" s="193"/>
      <c r="DU90" s="193"/>
      <c r="DV90" s="193"/>
      <c r="DW90" s="193"/>
      <c r="DX90" s="193"/>
      <c r="DY90" s="193"/>
      <c r="DZ90" s="193"/>
      <c r="EA90" s="193"/>
      <c r="EB90" s="193"/>
      <c r="EC90" s="193"/>
      <c r="ED90" s="193"/>
      <c r="EE90" s="193"/>
      <c r="EF90" s="193"/>
      <c r="EG90" s="193"/>
      <c r="EH90" s="193"/>
      <c r="EI90" s="193"/>
      <c r="EJ90" s="193"/>
      <c r="EK90" s="193"/>
      <c r="EL90" s="193"/>
      <c r="EM90" s="193"/>
      <c r="EN90" s="193"/>
      <c r="EO90" s="193"/>
      <c r="EP90" s="193"/>
      <c r="EQ90" s="193"/>
      <c r="ER90" s="193"/>
      <c r="ES90" s="193"/>
      <c r="ET90" s="193"/>
      <c r="EU90" s="193"/>
      <c r="EV90" s="193"/>
      <c r="EW90" s="193"/>
      <c r="EX90" s="193"/>
      <c r="EY90" s="193"/>
      <c r="EZ90" s="193"/>
      <c r="FA90" s="193"/>
      <c r="FB90" s="193"/>
      <c r="FC90" s="193"/>
      <c r="FD90" s="193"/>
      <c r="FE90" s="193"/>
      <c r="FF90" s="193"/>
      <c r="FG90" s="193"/>
      <c r="FH90" s="193"/>
      <c r="FI90" s="193"/>
      <c r="FJ90" s="193"/>
      <c r="FK90" s="193"/>
      <c r="FL90" s="193"/>
      <c r="FM90" s="193"/>
      <c r="FN90" s="193"/>
      <c r="FO90" s="193"/>
      <c r="FP90" s="193"/>
      <c r="FQ90" s="193"/>
      <c r="FR90" s="193"/>
      <c r="FS90" s="193"/>
      <c r="FT90" s="193"/>
      <c r="FU90" s="193"/>
      <c r="FV90" s="193"/>
      <c r="FW90" s="194"/>
      <c r="GC90" s="472" t="s">
        <v>1712</v>
      </c>
    </row>
    <row r="91" spans="1:186" ht="11.25" hidden="1" customHeight="1">
      <c r="B91" s="607"/>
      <c r="D91" s="78"/>
      <c r="E91" s="473">
        <v>11.5</v>
      </c>
      <c r="G91" s="78"/>
      <c r="T91" s="365" t="b" cm="1">
        <f t="array" aca="1" ref="T91" ca="1">T90</f>
        <v>0</v>
      </c>
      <c r="W91" s="528"/>
      <c r="X91" s="1094"/>
      <c r="Z91" s="1064"/>
      <c r="FZ91" s="670"/>
      <c r="GA91" s="670"/>
      <c r="GB91" s="664"/>
      <c r="GC91" s="465"/>
      <c r="GD91" s="465"/>
    </row>
    <row r="92" spans="1:186" ht="14.25" customHeight="1">
      <c r="A92" s="78"/>
      <c r="C92" s="78"/>
      <c r="D92" s="78"/>
      <c r="E92" s="473">
        <v>15</v>
      </c>
      <c r="F92" s="384" t="str" cm="1">
        <f t="array" ref="F92">X92</f>
        <v>1</v>
      </c>
      <c r="G92" s="78" t="str" cm="1">
        <f t="array" ref="G92">INDEX('Общие сведения'!$AK$179:$AK$222,MATCH($X92,'Общие сведения'!$Z$179:$Z$222,0))</f>
        <v>одноставочный</v>
      </c>
      <c r="H92" s="78"/>
      <c r="I92" s="78"/>
      <c r="J92" s="78"/>
      <c r="K92" s="78"/>
      <c r="L92" s="78"/>
      <c r="M92" s="78"/>
      <c r="N92" s="78"/>
      <c r="O92" s="78"/>
      <c r="P92" s="78"/>
      <c r="Q92" s="78" t="str" cm="1">
        <f t="array" ref="Q92">INDEX('Общие сведения'!$AE$179:$AE$222,MATCH($X92,'Общие сведения'!$Z$179:$Z$222,0))</f>
        <v>Водоснабжение</v>
      </c>
      <c r="R92" s="377" t="str" cm="1">
        <f t="array" ref="R92">INDEX('Общие сведения'!$AK$179:$AK$222,MATCH($X92,'Общие сведения'!$Z$179:$Z$222,0))</f>
        <v>одноставочный</v>
      </c>
      <c r="S92" s="78" t="b" cm="1">
        <f t="array" ref="S92">INDEX('Общие сведения'!$AN$179:$AN$222,MATCH($X92,'Общие сведения'!$Z$179:$Z$222,0))</f>
        <v>0</v>
      </c>
      <c r="T92" s="365" t="b">
        <f>X92&gt;0</f>
        <v>1</v>
      </c>
      <c r="U92" s="78"/>
      <c r="V92" s="78" t="str" cm="1">
        <f t="array" ref="V92">'Корректировка НВВ'!$AB$78</f>
        <v>Тариф 1 (Водоснабжение) - тариф на питьевую воду (Доп. признак не требуется)</v>
      </c>
      <c r="W92" s="78"/>
      <c r="X92" s="1094" t="s">
        <v>275</v>
      </c>
      <c r="Y92" s="78"/>
      <c r="Z92" s="1064"/>
      <c r="AA92" s="78"/>
      <c r="AB92" s="1173" t="s">
        <v>22</v>
      </c>
      <c r="AC92" s="1174"/>
      <c r="AD92" s="1170" t="str" cm="1">
        <f t="array" ref="AD92">'Корректировка НВВ'!$AB$78</f>
        <v>Тариф 1 (Водоснабжение) - тариф на питьевую воду (Доп. признак не требуется)</v>
      </c>
      <c r="AE92" s="1182"/>
      <c r="AF92" s="1182"/>
      <c r="AG92" s="1182"/>
      <c r="AH92" s="1182"/>
      <c r="AI92" s="1182"/>
      <c r="AJ92" s="1182"/>
      <c r="AK92" s="1182"/>
      <c r="AL92" s="1182"/>
      <c r="AM92" s="1182"/>
      <c r="AN92" s="1182"/>
      <c r="AO92" s="1182"/>
      <c r="AP92" s="1182"/>
      <c r="AQ92" s="1182"/>
      <c r="AR92" s="1182"/>
      <c r="AS92" s="1182"/>
      <c r="AT92" s="1182"/>
      <c r="AU92" s="1182"/>
      <c r="AV92" s="1182"/>
      <c r="AW92" s="1182"/>
      <c r="AX92" s="1182"/>
      <c r="AY92" s="1182"/>
      <c r="AZ92" s="1182"/>
      <c r="BA92" s="1182"/>
      <c r="BB92" s="1182"/>
      <c r="BC92" s="1182"/>
      <c r="BD92" s="1182"/>
      <c r="BE92" s="1182"/>
      <c r="BF92" s="1182"/>
      <c r="BG92" s="1182"/>
      <c r="BH92" s="1182"/>
      <c r="BI92" s="1182"/>
      <c r="BJ92" s="1182"/>
      <c r="BK92" s="1182"/>
      <c r="BL92" s="1182"/>
      <c r="BM92" s="1182"/>
      <c r="BN92" s="1182"/>
      <c r="BO92" s="1182"/>
      <c r="BP92" s="1182"/>
      <c r="BQ92" s="1182"/>
      <c r="BR92" s="1182"/>
      <c r="BS92" s="1182"/>
      <c r="BT92" s="1182"/>
      <c r="BU92" s="1182"/>
      <c r="BV92" s="1182"/>
      <c r="BW92" s="1182"/>
      <c r="BX92" s="1182"/>
      <c r="BY92" s="1182"/>
      <c r="BZ92" s="1182"/>
      <c r="CA92" s="1182"/>
      <c r="CB92" s="1182"/>
      <c r="CC92" s="1182"/>
      <c r="CD92" s="1182"/>
      <c r="CE92" s="1182"/>
      <c r="CF92" s="1182"/>
      <c r="CG92" s="1182"/>
      <c r="CH92" s="1182"/>
      <c r="CI92" s="1182"/>
      <c r="CJ92" s="1182"/>
      <c r="CK92" s="1182"/>
      <c r="CL92" s="1182"/>
      <c r="CM92" s="1182"/>
      <c r="CN92" s="1182"/>
      <c r="CO92" s="1182"/>
      <c r="CP92" s="1182"/>
      <c r="CQ92" s="1182"/>
      <c r="CR92" s="1182"/>
      <c r="CS92" s="1182"/>
      <c r="CT92" s="1182"/>
      <c r="CU92" s="1182"/>
      <c r="CV92" s="1182"/>
      <c r="CW92" s="1182"/>
      <c r="CX92" s="1182"/>
      <c r="CY92" s="1182"/>
      <c r="CZ92" s="1182"/>
      <c r="DA92" s="1182"/>
      <c r="DB92" s="1182"/>
      <c r="DC92" s="1182"/>
      <c r="DD92" s="1182"/>
      <c r="DE92" s="1182"/>
      <c r="DF92" s="1182"/>
      <c r="DG92" s="1182"/>
      <c r="DH92" s="1182"/>
      <c r="DI92" s="1182"/>
      <c r="DJ92" s="1182"/>
      <c r="DK92" s="1182"/>
      <c r="DL92" s="1182"/>
      <c r="DM92" s="1182"/>
      <c r="DN92" s="1182"/>
      <c r="DO92" s="1182"/>
      <c r="DP92" s="1182"/>
      <c r="DQ92" s="1182"/>
      <c r="DR92" s="1182"/>
      <c r="DS92" s="1182"/>
      <c r="DT92" s="1182"/>
      <c r="DU92" s="1182"/>
      <c r="DV92" s="1182"/>
      <c r="DW92" s="1182"/>
      <c r="DX92" s="1182"/>
      <c r="DY92" s="1182"/>
      <c r="DZ92" s="1182"/>
      <c r="EA92" s="1182"/>
      <c r="EB92" s="1182"/>
      <c r="EC92" s="1182"/>
      <c r="ED92" s="1182"/>
      <c r="EE92" s="1182"/>
      <c r="EF92" s="1182"/>
      <c r="EG92" s="1182"/>
      <c r="EH92" s="1182"/>
      <c r="EI92" s="1182"/>
      <c r="EJ92" s="1182"/>
      <c r="EK92" s="1182"/>
      <c r="EL92" s="1182"/>
      <c r="EM92" s="1182"/>
      <c r="EN92" s="1182"/>
      <c r="EO92" s="1182"/>
      <c r="EP92" s="1182"/>
      <c r="EQ92" s="1182"/>
      <c r="ER92" s="1182"/>
      <c r="ES92" s="1182"/>
      <c r="ET92" s="1182"/>
      <c r="EU92" s="1182"/>
      <c r="EV92" s="1182"/>
      <c r="EW92" s="1182"/>
      <c r="EX92" s="1182"/>
      <c r="EY92" s="1182"/>
      <c r="EZ92" s="1182"/>
      <c r="FA92" s="1182"/>
      <c r="FB92" s="1182"/>
      <c r="FC92" s="1182"/>
      <c r="FD92" s="1182"/>
      <c r="FE92" s="1182"/>
      <c r="FF92" s="1182"/>
      <c r="FG92" s="1182"/>
      <c r="FH92" s="1182"/>
      <c r="FI92" s="1182"/>
      <c r="FJ92" s="1182"/>
      <c r="FK92" s="1182"/>
      <c r="FL92" s="1182"/>
      <c r="FM92" s="1182"/>
      <c r="FN92" s="1182"/>
      <c r="FO92" s="1182"/>
      <c r="FP92" s="1182"/>
      <c r="FQ92" s="1182"/>
      <c r="FR92" s="1182"/>
      <c r="FS92" s="1182"/>
      <c r="FT92" s="1182"/>
      <c r="FU92" s="1182"/>
      <c r="FV92" s="1182"/>
      <c r="FW92" s="1183"/>
    </row>
    <row r="93" spans="1:186" ht="14.25" customHeight="1">
      <c r="A93" s="78"/>
      <c r="C93" s="78"/>
      <c r="D93" s="78"/>
      <c r="E93" s="473">
        <v>15</v>
      </c>
      <c r="F93" s="3" t="str" cm="1">
        <f t="array" aca="1" ref="F93" ca="1">OFFSET(E93,-1,1)</f>
        <v>1</v>
      </c>
      <c r="G93" s="78"/>
      <c r="H93" s="78"/>
      <c r="I93" s="78"/>
      <c r="J93" s="78"/>
      <c r="K93" s="78"/>
      <c r="L93" s="78"/>
      <c r="M93" s="78"/>
      <c r="N93" s="78"/>
      <c r="O93" s="78"/>
      <c r="P93" s="78"/>
      <c r="Q93" s="78"/>
      <c r="R93" s="377"/>
      <c r="S93" s="377"/>
      <c r="T93" s="365" t="b" cm="1">
        <f t="array" ref="T93">T92</f>
        <v>1</v>
      </c>
      <c r="U93" s="78"/>
      <c r="V93" s="78"/>
      <c r="W93" s="78"/>
      <c r="X93" s="1094"/>
      <c r="Y93" s="78"/>
      <c r="Z93" s="1064"/>
      <c r="AA93" s="78"/>
      <c r="AB93" s="1041" t="str">
        <f>"Вид "&amp;IF(ISERROR(SEARCH("Водоснабжение",AD92)),"сточных вод","воды")</f>
        <v>Вид воды</v>
      </c>
      <c r="AC93" s="1042"/>
      <c r="AD93" s="1170" t="str" cm="1">
        <f t="array" ref="AD93">INDEX('Общие сведения'!$AH$179:$AH$222,MATCH($X92,'Общие сведения'!$Z$179:$Z$222,0))</f>
        <v>питьевая вода</v>
      </c>
      <c r="AE93" s="1171"/>
      <c r="AF93" s="1171"/>
      <c r="AG93" s="1171"/>
      <c r="AH93" s="1171"/>
      <c r="AI93" s="1171"/>
      <c r="AJ93" s="1171"/>
      <c r="AK93" s="1171"/>
      <c r="AL93" s="1171"/>
      <c r="AM93" s="1171"/>
      <c r="AN93" s="1171"/>
      <c r="AO93" s="1171"/>
      <c r="AP93" s="1171"/>
      <c r="AQ93" s="1171"/>
      <c r="AR93" s="1171"/>
      <c r="AS93" s="1171"/>
      <c r="AT93" s="1171"/>
      <c r="AU93" s="1171"/>
      <c r="AV93" s="1171"/>
      <c r="AW93" s="1171"/>
      <c r="AX93" s="1171"/>
      <c r="AY93" s="1171"/>
      <c r="AZ93" s="1171"/>
      <c r="BA93" s="1171"/>
      <c r="BB93" s="1171"/>
      <c r="BC93" s="1171"/>
      <c r="BD93" s="1171"/>
      <c r="BE93" s="1171"/>
      <c r="BF93" s="1171"/>
      <c r="BG93" s="1171"/>
      <c r="BH93" s="1171"/>
      <c r="BI93" s="1171"/>
      <c r="BJ93" s="1171"/>
      <c r="BK93" s="1171"/>
      <c r="BL93" s="1171"/>
      <c r="BM93" s="1171"/>
      <c r="BN93" s="1171"/>
      <c r="BO93" s="1171"/>
      <c r="BP93" s="1171"/>
      <c r="BQ93" s="1171"/>
      <c r="BR93" s="1171"/>
      <c r="BS93" s="1171"/>
      <c r="BT93" s="1171"/>
      <c r="BU93" s="1171"/>
      <c r="BV93" s="1171"/>
      <c r="BW93" s="1171"/>
      <c r="BX93" s="1171"/>
      <c r="BY93" s="1171"/>
      <c r="BZ93" s="1171"/>
      <c r="CA93" s="1171"/>
      <c r="CB93" s="1171"/>
      <c r="CC93" s="1171"/>
      <c r="CD93" s="1171"/>
      <c r="CE93" s="1171"/>
      <c r="CF93" s="1171"/>
      <c r="CG93" s="1171"/>
      <c r="CH93" s="1171"/>
      <c r="CI93" s="1171"/>
      <c r="CJ93" s="1171"/>
      <c r="CK93" s="1171"/>
      <c r="CL93" s="1171"/>
      <c r="CM93" s="1171"/>
      <c r="CN93" s="1171"/>
      <c r="CO93" s="1171"/>
      <c r="CP93" s="1171"/>
      <c r="CQ93" s="1171"/>
      <c r="CR93" s="1171"/>
      <c r="CS93" s="1171"/>
      <c r="CT93" s="1171"/>
      <c r="CU93" s="1171"/>
      <c r="CV93" s="1171"/>
      <c r="CW93" s="1171"/>
      <c r="CX93" s="1171"/>
      <c r="CY93" s="1171"/>
      <c r="CZ93" s="1171"/>
      <c r="DA93" s="1171"/>
      <c r="DB93" s="1171"/>
      <c r="DC93" s="1171"/>
      <c r="DD93" s="1171"/>
      <c r="DE93" s="1171"/>
      <c r="DF93" s="1171"/>
      <c r="DG93" s="1171"/>
      <c r="DH93" s="1171"/>
      <c r="DI93" s="1171"/>
      <c r="DJ93" s="1171"/>
      <c r="DK93" s="1171"/>
      <c r="DL93" s="1171"/>
      <c r="DM93" s="1171"/>
      <c r="DN93" s="1171"/>
      <c r="DO93" s="1171"/>
      <c r="DP93" s="1171"/>
      <c r="DQ93" s="1171"/>
      <c r="DR93" s="1171"/>
      <c r="DS93" s="1171"/>
      <c r="DT93" s="1171"/>
      <c r="DU93" s="1171"/>
      <c r="DV93" s="1171"/>
      <c r="DW93" s="1171"/>
      <c r="DX93" s="1171"/>
      <c r="DY93" s="1171"/>
      <c r="DZ93" s="1171"/>
      <c r="EA93" s="1171"/>
      <c r="EB93" s="1171"/>
      <c r="EC93" s="1171"/>
      <c r="ED93" s="1171"/>
      <c r="EE93" s="1171"/>
      <c r="EF93" s="1171"/>
      <c r="EG93" s="1171"/>
      <c r="EH93" s="1171"/>
      <c r="EI93" s="1171"/>
      <c r="EJ93" s="1171"/>
      <c r="EK93" s="1171"/>
      <c r="EL93" s="1171"/>
      <c r="EM93" s="1171"/>
      <c r="EN93" s="1171"/>
      <c r="EO93" s="1171"/>
      <c r="EP93" s="1171"/>
      <c r="EQ93" s="1171"/>
      <c r="ER93" s="1171"/>
      <c r="ES93" s="1171"/>
      <c r="ET93" s="1171"/>
      <c r="EU93" s="1171"/>
      <c r="EV93" s="1171"/>
      <c r="EW93" s="1171"/>
      <c r="EX93" s="1171"/>
      <c r="EY93" s="1171"/>
      <c r="EZ93" s="1171"/>
      <c r="FA93" s="1171"/>
      <c r="FB93" s="1171"/>
      <c r="FC93" s="1171"/>
      <c r="FD93" s="1171"/>
      <c r="FE93" s="1171"/>
      <c r="FF93" s="1171"/>
      <c r="FG93" s="1171"/>
      <c r="FH93" s="1171"/>
      <c r="FI93" s="1171"/>
      <c r="FJ93" s="1171"/>
      <c r="FK93" s="1171"/>
      <c r="FL93" s="1171"/>
      <c r="FM93" s="1171"/>
      <c r="FN93" s="1171"/>
      <c r="FO93" s="1171"/>
      <c r="FP93" s="1171"/>
      <c r="FQ93" s="1171"/>
      <c r="FR93" s="1171"/>
      <c r="FS93" s="1171"/>
      <c r="FT93" s="1171"/>
      <c r="FU93" s="1171"/>
      <c r="FV93" s="1171"/>
      <c r="FW93" s="1172"/>
    </row>
    <row r="94" spans="1:186" ht="14.25" customHeight="1">
      <c r="A94" s="78"/>
      <c r="C94" s="78"/>
      <c r="D94" s="78"/>
      <c r="E94" s="473">
        <v>15</v>
      </c>
      <c r="F94" s="3" t="str" cm="1">
        <f t="array" aca="1" ref="F94" ca="1">OFFSET(E94,-1,1)</f>
        <v>1</v>
      </c>
      <c r="G94" s="78"/>
      <c r="H94" s="78"/>
      <c r="I94" s="78"/>
      <c r="J94" s="78"/>
      <c r="K94" s="78"/>
      <c r="L94" s="78"/>
      <c r="M94" s="78"/>
      <c r="N94" s="78"/>
      <c r="O94" s="78"/>
      <c r="P94" s="78"/>
      <c r="Q94" s="78"/>
      <c r="R94" s="377"/>
      <c r="S94" s="377"/>
      <c r="T94" s="365" t="b" cm="1">
        <f t="array" ref="T94">T93</f>
        <v>1</v>
      </c>
      <c r="U94" s="78"/>
      <c r="V94" s="78"/>
      <c r="W94" s="78"/>
      <c r="X94" s="1094"/>
      <c r="Y94" s="78"/>
      <c r="Z94" s="1064"/>
      <c r="AA94" s="78"/>
      <c r="AB94" s="1041" t="s">
        <v>1618</v>
      </c>
      <c r="AC94" s="1042"/>
      <c r="AD94" s="1170" t="str" cm="1">
        <f t="array" ref="AD94">INDEX('Общие сведения'!$AI$179:$AI$222,MATCH($X92,'Общие сведения'!$Z$179:$Z$222,0))</f>
        <v>тариф на питьевую воду</v>
      </c>
      <c r="AE94" s="1171"/>
      <c r="AF94" s="1171"/>
      <c r="AG94" s="1171"/>
      <c r="AH94" s="1171"/>
      <c r="AI94" s="1171"/>
      <c r="AJ94" s="1171"/>
      <c r="AK94" s="1171"/>
      <c r="AL94" s="1171"/>
      <c r="AM94" s="1171"/>
      <c r="AN94" s="1171"/>
      <c r="AO94" s="1171"/>
      <c r="AP94" s="1171"/>
      <c r="AQ94" s="1171"/>
      <c r="AR94" s="1171"/>
      <c r="AS94" s="1171"/>
      <c r="AT94" s="1171"/>
      <c r="AU94" s="1171"/>
      <c r="AV94" s="1171"/>
      <c r="AW94" s="1171"/>
      <c r="AX94" s="1171"/>
      <c r="AY94" s="1171"/>
      <c r="AZ94" s="1171"/>
      <c r="BA94" s="1171"/>
      <c r="BB94" s="1171"/>
      <c r="BC94" s="1171"/>
      <c r="BD94" s="1171"/>
      <c r="BE94" s="1171"/>
      <c r="BF94" s="1171"/>
      <c r="BG94" s="1171"/>
      <c r="BH94" s="1171"/>
      <c r="BI94" s="1171"/>
      <c r="BJ94" s="1171"/>
      <c r="BK94" s="1171"/>
      <c r="BL94" s="1171"/>
      <c r="BM94" s="1171"/>
      <c r="BN94" s="1171"/>
      <c r="BO94" s="1171"/>
      <c r="BP94" s="1171"/>
      <c r="BQ94" s="1171"/>
      <c r="BR94" s="1171"/>
      <c r="BS94" s="1171"/>
      <c r="BT94" s="1171"/>
      <c r="BU94" s="1171"/>
      <c r="BV94" s="1171"/>
      <c r="BW94" s="1171"/>
      <c r="BX94" s="1171"/>
      <c r="BY94" s="1171"/>
      <c r="BZ94" s="1171"/>
      <c r="CA94" s="1171"/>
      <c r="CB94" s="1171"/>
      <c r="CC94" s="1171"/>
      <c r="CD94" s="1171"/>
      <c r="CE94" s="1171"/>
      <c r="CF94" s="1171"/>
      <c r="CG94" s="1171"/>
      <c r="CH94" s="1171"/>
      <c r="CI94" s="1171"/>
      <c r="CJ94" s="1171"/>
      <c r="CK94" s="1171"/>
      <c r="CL94" s="1171"/>
      <c r="CM94" s="1171"/>
      <c r="CN94" s="1171"/>
      <c r="CO94" s="1171"/>
      <c r="CP94" s="1171"/>
      <c r="CQ94" s="1171"/>
      <c r="CR94" s="1171"/>
      <c r="CS94" s="1171"/>
      <c r="CT94" s="1171"/>
      <c r="CU94" s="1171"/>
      <c r="CV94" s="1171"/>
      <c r="CW94" s="1171"/>
      <c r="CX94" s="1171"/>
      <c r="CY94" s="1171"/>
      <c r="CZ94" s="1171"/>
      <c r="DA94" s="1171"/>
      <c r="DB94" s="1171"/>
      <c r="DC94" s="1171"/>
      <c r="DD94" s="1171"/>
      <c r="DE94" s="1171"/>
      <c r="DF94" s="1171"/>
      <c r="DG94" s="1171"/>
      <c r="DH94" s="1171"/>
      <c r="DI94" s="1171"/>
      <c r="DJ94" s="1171"/>
      <c r="DK94" s="1171"/>
      <c r="DL94" s="1171"/>
      <c r="DM94" s="1171"/>
      <c r="DN94" s="1171"/>
      <c r="DO94" s="1171"/>
      <c r="DP94" s="1171"/>
      <c r="DQ94" s="1171"/>
      <c r="DR94" s="1171"/>
      <c r="DS94" s="1171"/>
      <c r="DT94" s="1171"/>
      <c r="DU94" s="1171"/>
      <c r="DV94" s="1171"/>
      <c r="DW94" s="1171"/>
      <c r="DX94" s="1171"/>
      <c r="DY94" s="1171"/>
      <c r="DZ94" s="1171"/>
      <c r="EA94" s="1171"/>
      <c r="EB94" s="1171"/>
      <c r="EC94" s="1171"/>
      <c r="ED94" s="1171"/>
      <c r="EE94" s="1171"/>
      <c r="EF94" s="1171"/>
      <c r="EG94" s="1171"/>
      <c r="EH94" s="1171"/>
      <c r="EI94" s="1171"/>
      <c r="EJ94" s="1171"/>
      <c r="EK94" s="1171"/>
      <c r="EL94" s="1171"/>
      <c r="EM94" s="1171"/>
      <c r="EN94" s="1171"/>
      <c r="EO94" s="1171"/>
      <c r="EP94" s="1171"/>
      <c r="EQ94" s="1171"/>
      <c r="ER94" s="1171"/>
      <c r="ES94" s="1171"/>
      <c r="ET94" s="1171"/>
      <c r="EU94" s="1171"/>
      <c r="EV94" s="1171"/>
      <c r="EW94" s="1171"/>
      <c r="EX94" s="1171"/>
      <c r="EY94" s="1171"/>
      <c r="EZ94" s="1171"/>
      <c r="FA94" s="1171"/>
      <c r="FB94" s="1171"/>
      <c r="FC94" s="1171"/>
      <c r="FD94" s="1171"/>
      <c r="FE94" s="1171"/>
      <c r="FF94" s="1171"/>
      <c r="FG94" s="1171"/>
      <c r="FH94" s="1171"/>
      <c r="FI94" s="1171"/>
      <c r="FJ94" s="1171"/>
      <c r="FK94" s="1171"/>
      <c r="FL94" s="1171"/>
      <c r="FM94" s="1171"/>
      <c r="FN94" s="1171"/>
      <c r="FO94" s="1171"/>
      <c r="FP94" s="1171"/>
      <c r="FQ94" s="1171"/>
      <c r="FR94" s="1171"/>
      <c r="FS94" s="1171"/>
      <c r="FT94" s="1171"/>
      <c r="FU94" s="1171"/>
      <c r="FV94" s="1171"/>
      <c r="FW94" s="1172"/>
    </row>
    <row r="95" spans="1:186" ht="14.25" customHeight="1">
      <c r="A95" s="78"/>
      <c r="C95" s="78"/>
      <c r="D95" s="78"/>
      <c r="E95" s="473">
        <v>15</v>
      </c>
      <c r="F95" s="3" t="str" cm="1">
        <f t="array" aca="1" ref="F95" ca="1">OFFSET(E95,-1,1)</f>
        <v>1</v>
      </c>
      <c r="G95" s="78"/>
      <c r="H95" s="78"/>
      <c r="I95" s="78"/>
      <c r="J95" s="78"/>
      <c r="K95" s="78"/>
      <c r="L95" s="78"/>
      <c r="M95" s="78"/>
      <c r="N95" s="78"/>
      <c r="O95" s="78"/>
      <c r="P95" s="78"/>
      <c r="Q95" s="78"/>
      <c r="R95" s="78"/>
      <c r="S95" s="377"/>
      <c r="T95" s="365" t="b" cm="1">
        <f t="array" ref="T95">T94</f>
        <v>1</v>
      </c>
      <c r="U95" s="78"/>
      <c r="V95" s="78"/>
      <c r="W95" s="78"/>
      <c r="X95" s="1094"/>
      <c r="Y95" s="78"/>
      <c r="Z95" s="1064"/>
      <c r="AA95" s="78"/>
      <c r="AB95" s="1041" t="s">
        <v>1619</v>
      </c>
      <c r="AC95" s="1042"/>
      <c r="AD95" s="1170" t="str" cm="1">
        <f t="array" ref="AD95">INDEX('Общие сведения'!$AJ$179:$AJ$222,MATCH($X92,'Общие сведения'!$Z$179:$Z$222,0))</f>
        <v>Доп. признак не требуется</v>
      </c>
      <c r="AE95" s="1171"/>
      <c r="AF95" s="1171"/>
      <c r="AG95" s="1171"/>
      <c r="AH95" s="1171"/>
      <c r="AI95" s="1171"/>
      <c r="AJ95" s="1171"/>
      <c r="AK95" s="1171"/>
      <c r="AL95" s="1171"/>
      <c r="AM95" s="1171"/>
      <c r="AN95" s="1171"/>
      <c r="AO95" s="1171"/>
      <c r="AP95" s="1171"/>
      <c r="AQ95" s="1171"/>
      <c r="AR95" s="1171"/>
      <c r="AS95" s="1171"/>
      <c r="AT95" s="1171"/>
      <c r="AU95" s="1171"/>
      <c r="AV95" s="1171"/>
      <c r="AW95" s="1171"/>
      <c r="AX95" s="1171"/>
      <c r="AY95" s="1171"/>
      <c r="AZ95" s="1171"/>
      <c r="BA95" s="1171"/>
      <c r="BB95" s="1171"/>
      <c r="BC95" s="1171"/>
      <c r="BD95" s="1171"/>
      <c r="BE95" s="1171"/>
      <c r="BF95" s="1171"/>
      <c r="BG95" s="1171"/>
      <c r="BH95" s="1171"/>
      <c r="BI95" s="1171"/>
      <c r="BJ95" s="1171"/>
      <c r="BK95" s="1171"/>
      <c r="BL95" s="1171"/>
      <c r="BM95" s="1171"/>
      <c r="BN95" s="1171"/>
      <c r="BO95" s="1171"/>
      <c r="BP95" s="1171"/>
      <c r="BQ95" s="1171"/>
      <c r="BR95" s="1171"/>
      <c r="BS95" s="1171"/>
      <c r="BT95" s="1171"/>
      <c r="BU95" s="1171"/>
      <c r="BV95" s="1171"/>
      <c r="BW95" s="1171"/>
      <c r="BX95" s="1171"/>
      <c r="BY95" s="1171"/>
      <c r="BZ95" s="1171"/>
      <c r="CA95" s="1171"/>
      <c r="CB95" s="1171"/>
      <c r="CC95" s="1171"/>
      <c r="CD95" s="1171"/>
      <c r="CE95" s="1171"/>
      <c r="CF95" s="1171"/>
      <c r="CG95" s="1171"/>
      <c r="CH95" s="1171"/>
      <c r="CI95" s="1171"/>
      <c r="CJ95" s="1171"/>
      <c r="CK95" s="1171"/>
      <c r="CL95" s="1171"/>
      <c r="CM95" s="1171"/>
      <c r="CN95" s="1171"/>
      <c r="CO95" s="1171"/>
      <c r="CP95" s="1171"/>
      <c r="CQ95" s="1171"/>
      <c r="CR95" s="1171"/>
      <c r="CS95" s="1171"/>
      <c r="CT95" s="1171"/>
      <c r="CU95" s="1171"/>
      <c r="CV95" s="1171"/>
      <c r="CW95" s="1171"/>
      <c r="CX95" s="1171"/>
      <c r="CY95" s="1171"/>
      <c r="CZ95" s="1171"/>
      <c r="DA95" s="1171"/>
      <c r="DB95" s="1171"/>
      <c r="DC95" s="1171"/>
      <c r="DD95" s="1171"/>
      <c r="DE95" s="1171"/>
      <c r="DF95" s="1171"/>
      <c r="DG95" s="1171"/>
      <c r="DH95" s="1171"/>
      <c r="DI95" s="1171"/>
      <c r="DJ95" s="1171"/>
      <c r="DK95" s="1171"/>
      <c r="DL95" s="1171"/>
      <c r="DM95" s="1171"/>
      <c r="DN95" s="1171"/>
      <c r="DO95" s="1171"/>
      <c r="DP95" s="1171"/>
      <c r="DQ95" s="1171"/>
      <c r="DR95" s="1171"/>
      <c r="DS95" s="1171"/>
      <c r="DT95" s="1171"/>
      <c r="DU95" s="1171"/>
      <c r="DV95" s="1171"/>
      <c r="DW95" s="1171"/>
      <c r="DX95" s="1171"/>
      <c r="DY95" s="1171"/>
      <c r="DZ95" s="1171"/>
      <c r="EA95" s="1171"/>
      <c r="EB95" s="1171"/>
      <c r="EC95" s="1171"/>
      <c r="ED95" s="1171"/>
      <c r="EE95" s="1171"/>
      <c r="EF95" s="1171"/>
      <c r="EG95" s="1171"/>
      <c r="EH95" s="1171"/>
      <c r="EI95" s="1171"/>
      <c r="EJ95" s="1171"/>
      <c r="EK95" s="1171"/>
      <c r="EL95" s="1171"/>
      <c r="EM95" s="1171"/>
      <c r="EN95" s="1171"/>
      <c r="EO95" s="1171"/>
      <c r="EP95" s="1171"/>
      <c r="EQ95" s="1171"/>
      <c r="ER95" s="1171"/>
      <c r="ES95" s="1171"/>
      <c r="ET95" s="1171"/>
      <c r="EU95" s="1171"/>
      <c r="EV95" s="1171"/>
      <c r="EW95" s="1171"/>
      <c r="EX95" s="1171"/>
      <c r="EY95" s="1171"/>
      <c r="EZ95" s="1171"/>
      <c r="FA95" s="1171"/>
      <c r="FB95" s="1171"/>
      <c r="FC95" s="1171"/>
      <c r="FD95" s="1171"/>
      <c r="FE95" s="1171"/>
      <c r="FF95" s="1171"/>
      <c r="FG95" s="1171"/>
      <c r="FH95" s="1171"/>
      <c r="FI95" s="1171"/>
      <c r="FJ95" s="1171"/>
      <c r="FK95" s="1171"/>
      <c r="FL95" s="1171"/>
      <c r="FM95" s="1171"/>
      <c r="FN95" s="1171"/>
      <c r="FO95" s="1171"/>
      <c r="FP95" s="1171"/>
      <c r="FQ95" s="1171"/>
      <c r="FR95" s="1171"/>
      <c r="FS95" s="1171"/>
      <c r="FT95" s="1171"/>
      <c r="FU95" s="1171"/>
      <c r="FV95" s="1171"/>
      <c r="FW95" s="1172"/>
    </row>
    <row r="96" spans="1:186" ht="14.25" customHeight="1">
      <c r="A96" s="78"/>
      <c r="B96" s="622" t="b">
        <f>AND(R92="одноставочный",NOT(S92))</f>
        <v>1</v>
      </c>
      <c r="C96" s="78"/>
      <c r="D96" s="78"/>
      <c r="E96" s="473">
        <v>15</v>
      </c>
      <c r="F96" s="3" t="str" cm="1">
        <f t="array" aca="1" ref="F96" ca="1">OFFSET(E96,-1,1)</f>
        <v>1</v>
      </c>
      <c r="G96" s="78"/>
      <c r="H96" s="78"/>
      <c r="I96" s="78"/>
      <c r="J96" s="78"/>
      <c r="K96" s="78"/>
      <c r="L96" s="78"/>
      <c r="M96" s="78"/>
      <c r="N96" s="78"/>
      <c r="O96" s="78"/>
      <c r="P96" s="78"/>
      <c r="Q96" s="78"/>
      <c r="R96" s="78"/>
      <c r="S96" s="78"/>
      <c r="T96" s="365" t="b" cm="1">
        <f t="array" ref="T96">T95</f>
        <v>1</v>
      </c>
      <c r="U96" s="78"/>
      <c r="V96" s="78"/>
      <c r="W96" s="78"/>
      <c r="X96" s="1094"/>
      <c r="Y96" s="78"/>
      <c r="Z96" s="1064"/>
      <c r="AA96" s="78"/>
      <c r="AB96" s="601" t="s">
        <v>1620</v>
      </c>
      <c r="AC96" s="602"/>
      <c r="AD96" s="217"/>
      <c r="AE96" s="217"/>
      <c r="AF96" s="217"/>
      <c r="AG96" s="217"/>
      <c r="AH96" s="217"/>
      <c r="AI96" s="217"/>
      <c r="AJ96" s="217"/>
      <c r="AK96" s="217"/>
      <c r="AL96" s="217"/>
      <c r="AM96" s="217"/>
      <c r="AN96" s="217"/>
      <c r="AO96" s="217"/>
      <c r="AP96" s="217"/>
      <c r="AQ96" s="217"/>
      <c r="AR96" s="217"/>
      <c r="AS96" s="217"/>
      <c r="AT96" s="217"/>
      <c r="AU96" s="217"/>
      <c r="AV96" s="217"/>
      <c r="AW96" s="217"/>
      <c r="AX96" s="217"/>
      <c r="AY96" s="217"/>
      <c r="AZ96" s="217"/>
      <c r="BA96" s="217"/>
      <c r="BB96" s="217"/>
      <c r="BC96" s="217"/>
      <c r="BD96" s="217"/>
      <c r="BE96" s="217"/>
      <c r="BF96" s="217"/>
      <c r="BG96" s="217"/>
      <c r="BH96" s="217"/>
      <c r="BI96" s="217"/>
      <c r="BJ96" s="218"/>
      <c r="BK96" s="217"/>
      <c r="BL96" s="217"/>
      <c r="BM96" s="218"/>
      <c r="BN96" s="217"/>
      <c r="BO96" s="217"/>
      <c r="BP96" s="218"/>
      <c r="BQ96" s="217"/>
      <c r="BR96" s="217"/>
      <c r="BS96" s="218"/>
      <c r="BT96" s="217"/>
      <c r="BU96" s="217"/>
      <c r="BV96" s="218"/>
      <c r="BW96" s="217"/>
      <c r="BX96" s="217"/>
      <c r="BY96" s="218"/>
      <c r="BZ96" s="217"/>
      <c r="CA96" s="217"/>
      <c r="CB96" s="218"/>
      <c r="CC96" s="217"/>
      <c r="CD96" s="217"/>
      <c r="CE96" s="218"/>
      <c r="CF96" s="217"/>
      <c r="CG96" s="217"/>
      <c r="CH96" s="218"/>
      <c r="CI96" s="217"/>
      <c r="CJ96" s="217"/>
      <c r="CK96" s="218"/>
      <c r="CL96" s="217"/>
      <c r="CM96" s="217"/>
      <c r="CN96" s="218"/>
      <c r="CO96" s="217"/>
      <c r="CP96" s="217"/>
      <c r="CQ96" s="218"/>
      <c r="CR96" s="217"/>
      <c r="CS96" s="217"/>
      <c r="CT96" s="218"/>
      <c r="CU96" s="217"/>
      <c r="CV96" s="217"/>
      <c r="CW96" s="218"/>
      <c r="CX96" s="217"/>
      <c r="CY96" s="217"/>
      <c r="CZ96" s="218"/>
      <c r="DA96" s="217"/>
      <c r="DB96" s="217"/>
      <c r="DC96" s="218"/>
      <c r="DD96" s="217"/>
      <c r="DE96" s="217"/>
      <c r="DF96" s="218"/>
      <c r="DG96" s="217"/>
      <c r="DH96" s="217"/>
      <c r="DI96" s="218"/>
      <c r="DJ96" s="217"/>
      <c r="DK96" s="217"/>
      <c r="DL96" s="218"/>
      <c r="DM96" s="217"/>
      <c r="DN96" s="217"/>
      <c r="DO96" s="218"/>
      <c r="DP96" s="217"/>
      <c r="DQ96" s="217"/>
      <c r="DR96" s="218"/>
      <c r="DS96" s="217"/>
      <c r="DT96" s="217"/>
      <c r="DU96" s="218"/>
      <c r="DV96" s="217"/>
      <c r="DW96" s="217"/>
      <c r="DX96" s="218"/>
      <c r="DY96" s="217"/>
      <c r="DZ96" s="217"/>
      <c r="EA96" s="218"/>
      <c r="EB96" s="217"/>
      <c r="EC96" s="217"/>
      <c r="ED96" s="218"/>
      <c r="EE96" s="217"/>
      <c r="EF96" s="217"/>
      <c r="EG96" s="218"/>
      <c r="EH96" s="217"/>
      <c r="EI96" s="217"/>
      <c r="EJ96" s="218"/>
      <c r="EK96" s="217"/>
      <c r="EL96" s="217"/>
      <c r="EM96" s="218"/>
      <c r="EN96" s="217"/>
      <c r="EO96" s="217"/>
      <c r="EP96" s="218"/>
      <c r="EQ96" s="217"/>
      <c r="ER96" s="217"/>
      <c r="ES96" s="218"/>
      <c r="ET96" s="217"/>
      <c r="EU96" s="217"/>
      <c r="EV96" s="218"/>
      <c r="EW96" s="217"/>
      <c r="EX96" s="217"/>
      <c r="EY96" s="218"/>
      <c r="EZ96" s="217"/>
      <c r="FA96" s="217"/>
      <c r="FB96" s="218"/>
      <c r="FC96" s="217"/>
      <c r="FD96" s="217"/>
      <c r="FE96" s="218"/>
      <c r="FF96" s="217"/>
      <c r="FG96" s="217"/>
      <c r="FH96" s="218"/>
      <c r="FI96" s="217"/>
      <c r="FJ96" s="217"/>
      <c r="FK96" s="218"/>
      <c r="FL96" s="217"/>
      <c r="FM96" s="217"/>
      <c r="FN96" s="218"/>
      <c r="FO96" s="217"/>
      <c r="FP96" s="217"/>
      <c r="FQ96" s="218"/>
      <c r="FR96" s="217"/>
      <c r="FS96" s="217"/>
      <c r="FT96" s="218"/>
      <c r="FU96" s="217"/>
      <c r="FV96" s="217"/>
      <c r="FW96" s="218"/>
    </row>
    <row r="97" spans="1:186" s="947" customFormat="1" ht="23.25" customHeight="1">
      <c r="A97" s="603"/>
      <c r="B97" s="622" t="b" cm="1">
        <f t="array" ref="B97">B96</f>
        <v>1</v>
      </c>
      <c r="C97" s="603"/>
      <c r="D97" s="603"/>
      <c r="E97" s="604">
        <v>24.5</v>
      </c>
      <c r="F97" s="3" t="str" cm="1">
        <f t="array" aca="1" ref="F97" ca="1">OFFSET(E97,-1,1)</f>
        <v>1</v>
      </c>
      <c r="G97" s="78" t="s">
        <v>1621</v>
      </c>
      <c r="H97" s="78" t="s">
        <v>461</v>
      </c>
      <c r="I97" s="78" t="s">
        <v>1622</v>
      </c>
      <c r="J97" s="603"/>
      <c r="K97" s="603"/>
      <c r="L97" s="78"/>
      <c r="M97" s="603"/>
      <c r="N97" s="603"/>
      <c r="O97" s="603"/>
      <c r="P97" s="603"/>
      <c r="Q97" s="603"/>
      <c r="R97" s="603"/>
      <c r="S97" s="78"/>
      <c r="T97" s="365" t="b" cm="1">
        <f t="array" ref="T97">T96</f>
        <v>1</v>
      </c>
      <c r="U97" s="603"/>
      <c r="V97" s="603"/>
      <c r="W97" s="603"/>
      <c r="X97" s="1094"/>
      <c r="Y97" s="603"/>
      <c r="Z97" s="1064"/>
      <c r="AA97" s="603"/>
      <c r="AB97" s="220" t="s">
        <v>1623</v>
      </c>
      <c r="AC97" s="221" t="s">
        <v>1624</v>
      </c>
      <c r="AD97" s="605">
        <f ca="1">IF(AND(method_reg="Метод индексации",god&lt;&gt;first_year),SUMIFS(INDEX('Калькуляция (МИ корр)'!$AJ$25:$BC$459,,MATCH(AD$8,'Калькуляция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(МИ)'!$AJ$25:$BC$459,,MATCH(AD$8,'Калькуляция (МИ)'!$AJ$8:$BC$8,0)),'Калькуляция (МИ)'!$F$25:$F$459,$F97,'Калькуляция (МИ)'!$G$25:$G$459,$G97))))</f>
        <v>83.784821899090403</v>
      </c>
      <c r="AE97" s="605">
        <f ca="1">IF(AND(method_reg="Метод индексации",god&lt;&gt;first_year),SUMIFS(INDEX('Калькуляция (МИ корр)'!$AJ$25:$BC$459,,MATCH(AE$8,'Калькуляция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(МИ)'!$AJ$25:$BC$459,,MATCH(AE$8,'Калькуляция (МИ)'!$AJ$8:$BC$8,0)),'Калькуляция (МИ)'!$F$25:$F$459,$F97,'Калькуляция (МИ)'!$G$25:$G$459,$G97))))</f>
        <v>44.960451133699998</v>
      </c>
      <c r="AF97" s="222">
        <f ca="1">IF(AD97=0,0,(AE97-AD97)/AD97*100)</f>
        <v>-46.338190957963825</v>
      </c>
      <c r="AG97" s="942">
        <f ca="1">IF(AND(method_reg="Метод индексации",god&lt;&gt;first_year),SUMIFS(INDEX('Калькуляция (МИ корр)'!$AJ$25:$BC$459,,MATCH(AG$8,'Калькуляция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(МИ)'!$AJ$25:$BC$459,,MATCH(AG$8,'Калькуляция (МИ)'!$AJ$8:$BC$8,0)),'Калькуляция (МИ)'!$F$25:$F$459,$F97,'Калькуляция (МИ)'!$G$25:$G$459,$G97))))</f>
        <v>0</v>
      </c>
      <c r="AH97" s="942">
        <f ca="1">IF(AND(method_reg="Метод индексации",god&lt;&gt;first_year),SUMIFS(INDEX('Калькуляция (МИ корр)'!$AJ$25:$BC$459,,MATCH(AH$8,'Калькуляция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(МИ)'!$AJ$25:$BC$459,,MATCH(AH$8,'Калькуляция (МИ)'!$AJ$8:$BC$8,0)),'Калькуляция (МИ)'!$F$25:$F$459,$F97,'Калькуляция (МИ)'!$G$25:$G$459,$G97))))</f>
        <v>51.518638671407331</v>
      </c>
      <c r="AI97" s="222">
        <f ca="1">IF(AG97=0,0,(AH97-AG97)/AG97*100)</f>
        <v>0</v>
      </c>
      <c r="AJ97" s="942">
        <f ca="1">IF(AND(method_reg="Метод индексации",god&lt;&gt;first_year),SUMIFS(INDEX('Калькуляция (МИ корр)'!$AJ$25:$BC$459,,MATCH(AJ$8,'Калькуляция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(МИ)'!$AJ$25:$BC$459,,MATCH(AJ$8,'Калькуляция (МИ)'!$AJ$8:$BC$8,0)),'Калькуляция (МИ)'!$F$25:$F$459,$F97,'Калькуляция (МИ)'!$G$25:$G$459,$G97))))</f>
        <v>0</v>
      </c>
      <c r="AK97" s="942">
        <f ca="1">IF(AND(method_reg="Метод индексации",god&lt;&gt;first_year),SUMIFS(INDEX('Калькуляция (МИ корр)'!$AJ$25:$BC$459,,MATCH(AK$8,'Калькуляция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(МИ)'!$AJ$25:$BC$459,,MATCH(AK$8,'Калькуляция (МИ)'!$AJ$8:$BC$8,0)),'Калькуляция (МИ)'!$F$25:$F$459,$F97,'Калькуляция (МИ)'!$G$25:$G$459,$G97))))</f>
        <v>0</v>
      </c>
      <c r="AL97" s="222">
        <f ca="1">IF(AJ97=0,0,(AK97-AJ97)/AJ97*100)</f>
        <v>0</v>
      </c>
      <c r="AM97" s="942">
        <f ca="1">IF(AND(method_reg="Метод индексации",god&lt;&gt;first_year),SUMIFS(INDEX('Калькуляция (МИ корр)'!$AJ$25:$BC$459,,MATCH(AM$8,'Калькуляция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(МИ)'!$AJ$25:$BC$459,,MATCH(AM$8,'Калькуляция (МИ)'!$AJ$8:$BC$8,0)),'Калькуляция (МИ)'!$F$25:$F$459,$F97,'Калькуляция (МИ)'!$G$25:$G$459,$G97))))</f>
        <v>0</v>
      </c>
      <c r="AN97" s="942">
        <f ca="1">IF(AND(method_reg="Метод индексации",god&lt;&gt;first_year),SUMIFS(INDEX('Калькуляция (МИ корр)'!$AJ$25:$BC$459,,MATCH(AN$8,'Калькуляция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(МИ)'!$AJ$25:$BC$459,,MATCH(AN$8,'Калькуляция (МИ)'!$AJ$8:$BC$8,0)),'Калькуляция (МИ)'!$F$25:$F$459,$F97,'Калькуляция (МИ)'!$G$25:$G$459,$G97))))</f>
        <v>0</v>
      </c>
      <c r="AO97" s="222">
        <f ca="1">IF(AM97=0,0,(AN97-AM97)/AM97*100)</f>
        <v>0</v>
      </c>
      <c r="AP97" s="942">
        <f ca="1">IF(AND(method_reg="Метод индексации",god&lt;&gt;first_year),SUMIFS(INDEX('Калькуляция (МИ корр)'!$AJ$25:$BC$459,,MATCH(AP$8,'Калькуляция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(МИ)'!$AJ$25:$BC$459,,MATCH(AP$8,'Калькуляция (МИ)'!$AJ$8:$BC$8,0)),'Калькуляция (МИ)'!$F$25:$F$459,$F97,'Калькуляция (МИ)'!$G$25:$G$459,$G97))))</f>
        <v>0</v>
      </c>
      <c r="AQ97" s="942">
        <f ca="1">IF(AND(method_reg="Метод индексации",god&lt;&gt;first_year),SUMIFS(INDEX('Калькуляция (МИ корр)'!$AJ$25:$BC$459,,MATCH(AQ$8,'Калькуляция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(МИ)'!$AJ$25:$BC$459,,MATCH(AQ$8,'Калькуляция (МИ)'!$AJ$8:$BC$8,0)),'Калькуляция (МИ)'!$F$25:$F$459,$F97,'Калькуляция (МИ)'!$G$25:$G$459,$G97))))</f>
        <v>0</v>
      </c>
      <c r="AR97" s="222">
        <f ca="1">IF(AP97=0,0,(AQ97-AP97)/AP97*100)</f>
        <v>0</v>
      </c>
      <c r="AS97" s="942">
        <f ca="1">IF(AND(method_reg="Метод индексации",god&lt;&gt;first_year),SUMIFS(INDEX('Калькуляция (МИ корр)'!$AJ$25:$BC$459,,MATCH(AS$8,'Калькуляция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(МИ)'!$AJ$25:$BC$459,,MATCH(AS$8,'Калькуляция (МИ)'!$AJ$8:$BC$8,0)),'Калькуляция (МИ)'!$F$25:$F$459,$F97,'Калькуляция (МИ)'!$G$25:$G$459,$G97))))</f>
        <v>0</v>
      </c>
      <c r="AT97" s="942">
        <f ca="1">IF(AND(method_reg="Метод индексации",god&lt;&gt;first_year),SUMIFS(INDEX('Калькуляция (МИ корр)'!$AJ$25:$BC$459,,MATCH(AT$8,'Калькуляция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(МИ)'!$AJ$25:$BC$459,,MATCH(AT$8,'Калькуляция (МИ)'!$AJ$8:$BC$8,0)),'Калькуляция (МИ)'!$F$25:$F$459,$F97,'Калькуляция (МИ)'!$G$25:$G$459,$G97))))</f>
        <v>0</v>
      </c>
      <c r="AU97" s="222">
        <f ca="1">IF(AS97=0,0,(AT97-AS97)/AS97*100)</f>
        <v>0</v>
      </c>
      <c r="AV97" s="942">
        <f ca="1">IF(AND(method_reg="Метод индексации",god&lt;&gt;first_year),SUMIFS(INDEX('Калькуляция (МИ корр)'!$AJ$25:$BC$459,,MATCH(AV$8,'Калькуляция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(МИ)'!$AJ$25:$BC$459,,MATCH(AV$8,'Калькуляция (МИ)'!$AJ$8:$BC$8,0)),'Калькуляция (МИ)'!$F$25:$F$459,$F97,'Калькуляция (МИ)'!$G$25:$G$459,$G97))))</f>
        <v>0</v>
      </c>
      <c r="AW97" s="942">
        <f ca="1">IF(AND(method_reg="Метод индексации",god&lt;&gt;first_year),SUMIFS(INDEX('Калькуляция (МИ корр)'!$AJ$25:$BC$459,,MATCH(AW$8,'Калькуляция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(МИ)'!$AJ$25:$BC$459,,MATCH(AW$8,'Калькуляция (МИ)'!$AJ$8:$BC$8,0)),'Калькуляция (МИ)'!$F$25:$F$459,$F97,'Калькуляция (МИ)'!$G$25:$G$459,$G97))))</f>
        <v>0</v>
      </c>
      <c r="AX97" s="222">
        <f ca="1">IF(AV97=0,0,(AW97-AV97)/AV97*100)</f>
        <v>0</v>
      </c>
      <c r="AY97" s="942">
        <f ca="1">IF(AND(method_reg="Метод индексации",god&lt;&gt;first_year),SUMIFS(INDEX('Калькуляция (МИ корр)'!$AJ$25:$BC$459,,MATCH(AY$8,'Калькуляция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(МИ)'!$AJ$25:$BC$459,,MATCH(AY$8,'Калькуляция (МИ)'!$AJ$8:$BC$8,0)),'Калькуляция (МИ)'!$F$25:$F$459,$F97,'Калькуляция (МИ)'!$G$25:$G$459,$G97))))</f>
        <v>0</v>
      </c>
      <c r="AZ97" s="942">
        <f ca="1">IF(AND(method_reg="Метод индексации",god&lt;&gt;first_year),SUMIFS(INDEX('Калькуляция (МИ корр)'!$AJ$25:$BC$459,,MATCH(AZ$8,'Калькуляция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(МИ)'!$AJ$25:$BC$459,,MATCH(AZ$8,'Калькуляция (МИ)'!$AJ$8:$BC$8,0)),'Калькуляция (МИ)'!$F$25:$F$459,$F97,'Калькуляция (МИ)'!$G$25:$G$459,$G97))))</f>
        <v>0</v>
      </c>
      <c r="BA97" s="222">
        <f ca="1">IF(AY97=0,0,(AZ97-AY97)/AY97*100)</f>
        <v>0</v>
      </c>
      <c r="BB97" s="942">
        <f ca="1">IF(AND(method_reg="Метод индексации",god&lt;&gt;first_year),SUMIFS(INDEX('Калькуляция (МИ корр)'!$AJ$25:$BC$459,,MATCH(BB$8,'Калькуляция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(МИ)'!$AJ$25:$BC$459,,MATCH(BB$8,'Калькуляция (МИ)'!$AJ$8:$BC$8,0)),'Калькуляция (МИ)'!$F$25:$F$459,$F97,'Калькуляция (МИ)'!$G$25:$G$459,$G97))))</f>
        <v>0</v>
      </c>
      <c r="BC97" s="942">
        <f ca="1">IF(AND(method_reg="Метод индексации",god&lt;&gt;first_year),SUMIFS(INDEX('Калькуляция (МИ корр)'!$AJ$25:$BC$459,,MATCH(BC$8,'Калькуляция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(МИ)'!$AJ$25:$BC$459,,MATCH(BC$8,'Калькуляция (МИ)'!$AJ$8:$BC$8,0)),'Калькуляция (МИ)'!$F$25:$F$459,$F97,'Калькуляция (МИ)'!$G$25:$G$459,$G97))))</f>
        <v>0</v>
      </c>
      <c r="BD97" s="222">
        <f ca="1">IF(BB97=0,0,(BC97-BB97)/BB97*100)</f>
        <v>0</v>
      </c>
      <c r="BE97" s="942">
        <f ca="1">IF(AND(method_reg="Метод индексации",god&lt;&gt;first_year),SUMIFS(INDEX('Калькуляция (МИ корр)'!$AJ$25:$BC$459,,MATCH(BE$8,'Калькуляция (МИ корр)'!$AJ$8:$BC$8,0)),'Калькуляция (МИ корр)'!$F$25:$F$459,$F97,'Калькуляция (МИ корр)'!$G$25:$G$459,$G97),IF(method_reg="Метод экономически обоснованных расходов",SUMIFS('Калькуляция (МЭОР)'!$AJ$25:$AJ$282,'Калькуляция (МЭОР)'!$F$25:$F$282,$F97,'Калькуляция (МЭОР)'!$G$25:$G$282,$G97),IF(method_reg="Метод сравнения аналогов",SUMIFS('Калькуляция (МСА)'!$AE$25:$AE$84,'Калькуляция (МСА)'!$F$25:$F$84,$F97,'Калькуляция (МСА)'!$G$25:$G$84,$G97),SUMIFS(INDEX('Калькуляция (МИ)'!$AJ$25:$BC$459,,MATCH(BE$8,'Калькуляция (МИ)'!$AJ$8:$BC$8,0)),'Калькуляция (МИ)'!$F$25:$F$459,$F97,'Калькуляция (МИ)'!$G$25:$G$459,$G97))))</f>
        <v>0</v>
      </c>
      <c r="BF97" s="942">
        <f ca="1">IF(AND(method_reg="Метод индексации",god&lt;&gt;first_year),SUMIFS(INDEX('Калькуляция (МИ корр)'!$AJ$25:$BC$459,,MATCH(BF$8,'Калькуляция (МИ корр)'!$AJ$8:$BC$8,0)),'Калькуляция (МИ корр)'!$F$25:$F$459,$F97,'Калькуляция (МИ корр)'!$G$25:$G$459,$G97),IF(method_reg="Метод экономически обоснованных расходов",SUMIFS('Калькуляция (МЭОР)'!$AK$25:$AK$282,'Калькуляция (МЭОР)'!$F$25:$F$282,$F97,'Калькуляция (МЭОР)'!$G$25:$G$282,$G97),IF(method_reg="Метод сравнения аналогов",SUMIFS('Калькуляция (МСА)'!$AF$25:$AF$84,'Калькуляция (МСА)'!$F$25:$F$84,$F97,'Калькуляция (МСА)'!$G$25:$G$84,$G97),SUMIFS(INDEX('Калькуляция (МИ)'!$AJ$25:$BC$459,,MATCH(BF$8,'Калькуляция (МИ)'!$AJ$8:$BC$8,0)),'Калькуляция (МИ)'!$F$25:$F$459,$F97,'Калькуляция (МИ)'!$G$25:$G$459,$G97))))</f>
        <v>0</v>
      </c>
      <c r="BG97" s="222">
        <f ca="1">IF(BE97=0,0,(BF97-BE97)/BE97*100)</f>
        <v>0</v>
      </c>
      <c r="BH97" s="942"/>
      <c r="BI97" s="942"/>
      <c r="BJ97" s="222">
        <f>IF(BH97=0,0,(BI97-BH97)/BH97*100)</f>
        <v>0</v>
      </c>
      <c r="BK97" s="942"/>
      <c r="BL97" s="942"/>
      <c r="BM97" s="222">
        <f>IF(BK97=0,0,(BL97-BK97)/BK97*100)</f>
        <v>0</v>
      </c>
      <c r="BN97" s="942"/>
      <c r="BO97" s="942"/>
      <c r="BP97" s="222">
        <f>IF(BN97=0,0,(BO97-BN97)/BN97*100)</f>
        <v>0</v>
      </c>
      <c r="BQ97" s="942"/>
      <c r="BR97" s="942"/>
      <c r="BS97" s="222">
        <f>IF(BQ97=0,0,(BR97-BQ97)/BQ97*100)</f>
        <v>0</v>
      </c>
      <c r="BT97" s="942"/>
      <c r="BU97" s="942"/>
      <c r="BV97" s="222">
        <f>IF(BT97=0,0,(BU97-BT97)/BT97*100)</f>
        <v>0</v>
      </c>
      <c r="BW97" s="942"/>
      <c r="BX97" s="942"/>
      <c r="BY97" s="222">
        <f>IF(BW97=0,0,(BX97-BW97)/BW97*100)</f>
        <v>0</v>
      </c>
      <c r="BZ97" s="942"/>
      <c r="CA97" s="942"/>
      <c r="CB97" s="222">
        <f>IF(BZ97=0,0,(CA97-BZ97)/BZ97*100)</f>
        <v>0</v>
      </c>
      <c r="CC97" s="942"/>
      <c r="CD97" s="942"/>
      <c r="CE97" s="222">
        <f>IF(CC97=0,0,(CD97-CC97)/CC97*100)</f>
        <v>0</v>
      </c>
      <c r="CF97" s="942"/>
      <c r="CG97" s="942"/>
      <c r="CH97" s="222">
        <f>IF(CF97=0,0,(CG97-CF97)/CF97*100)</f>
        <v>0</v>
      </c>
      <c r="CI97" s="942"/>
      <c r="CJ97" s="942"/>
      <c r="CK97" s="222">
        <f>IF(CI97=0,0,(CJ97-CI97)/CI97*100)</f>
        <v>0</v>
      </c>
      <c r="CL97" s="942"/>
      <c r="CM97" s="942"/>
      <c r="CN97" s="222">
        <f>IF(CL97=0,0,(CM97-CL97)/CL97*100)</f>
        <v>0</v>
      </c>
      <c r="CO97" s="942"/>
      <c r="CP97" s="942"/>
      <c r="CQ97" s="222">
        <f>IF(CO97=0,0,(CP97-CO97)/CO97*100)</f>
        <v>0</v>
      </c>
      <c r="CR97" s="942"/>
      <c r="CS97" s="942"/>
      <c r="CT97" s="222">
        <f>IF(CR97=0,0,(CS97-CR97)/CR97*100)</f>
        <v>0</v>
      </c>
      <c r="CU97" s="942"/>
      <c r="CV97" s="942"/>
      <c r="CW97" s="222">
        <f>IF(CU97=0,0,(CV97-CU97)/CU97*100)</f>
        <v>0</v>
      </c>
      <c r="CX97" s="942"/>
      <c r="CY97" s="942"/>
      <c r="CZ97" s="222">
        <f>IF(CX97=0,0,(CY97-CX97)/CX97*100)</f>
        <v>0</v>
      </c>
      <c r="DA97" s="942"/>
      <c r="DB97" s="942"/>
      <c r="DC97" s="222">
        <f>IF(DA97=0,0,(DB97-DA97)/DA97*100)</f>
        <v>0</v>
      </c>
      <c r="DD97" s="942"/>
      <c r="DE97" s="942"/>
      <c r="DF97" s="222">
        <f>IF(DD97=0,0,(DE97-DD97)/DD97*100)</f>
        <v>0</v>
      </c>
      <c r="DG97" s="943"/>
      <c r="DH97" s="943"/>
      <c r="DI97" s="222">
        <f>IF(DG97=0,0,(DH97-DG97)/DG97*100)</f>
        <v>0</v>
      </c>
      <c r="DJ97" s="943"/>
      <c r="DK97" s="943"/>
      <c r="DL97" s="222">
        <f>IF(DJ97=0,0,(DK97-DJ97)/DJ97*100)</f>
        <v>0</v>
      </c>
      <c r="DM97" s="943"/>
      <c r="DN97" s="943"/>
      <c r="DO97" s="222">
        <f>IF(DM97=0,0,(DN97-DM97)/DM97*100)</f>
        <v>0</v>
      </c>
      <c r="DP97" s="943"/>
      <c r="DQ97" s="943"/>
      <c r="DR97" s="222">
        <f>IF(DP97=0,0,(DQ97-DP97)/DP97*100)</f>
        <v>0</v>
      </c>
      <c r="DS97" s="943"/>
      <c r="DT97" s="943"/>
      <c r="DU97" s="222">
        <f>IF(DS97=0,0,(DT97-DS97)/DS97*100)</f>
        <v>0</v>
      </c>
      <c r="DV97" s="943"/>
      <c r="DW97" s="943"/>
      <c r="DX97" s="222">
        <f>IF(DV97=0,0,(DW97-DV97)/DV97*100)</f>
        <v>0</v>
      </c>
      <c r="DY97" s="943"/>
      <c r="DZ97" s="943"/>
      <c r="EA97" s="222">
        <f>IF(DY97=0,0,(DZ97-DY97)/DY97*100)</f>
        <v>0</v>
      </c>
      <c r="EB97" s="943"/>
      <c r="EC97" s="943"/>
      <c r="ED97" s="222">
        <f>IF(EB97=0,0,(EC97-EB97)/EB97*100)</f>
        <v>0</v>
      </c>
      <c r="EE97" s="943"/>
      <c r="EF97" s="943"/>
      <c r="EG97" s="222">
        <f>IF(EE97=0,0,(EF97-EE97)/EE97*100)</f>
        <v>0</v>
      </c>
      <c r="EH97" s="943"/>
      <c r="EI97" s="943"/>
      <c r="EJ97" s="222">
        <f>IF(EH97=0,0,(EI97-EH97)/EH97*100)</f>
        <v>0</v>
      </c>
      <c r="EK97" s="943"/>
      <c r="EL97" s="943"/>
      <c r="EM97" s="222">
        <f>IF(EK97=0,0,(EL97-EK97)/EK97*100)</f>
        <v>0</v>
      </c>
      <c r="EN97" s="943"/>
      <c r="EO97" s="943"/>
      <c r="EP97" s="222">
        <f>IF(EN97=0,0,(EO97-EN97)/EN97*100)</f>
        <v>0</v>
      </c>
      <c r="EQ97" s="943"/>
      <c r="ER97" s="943"/>
      <c r="ES97" s="222">
        <f>IF(EQ97=0,0,(ER97-EQ97)/EQ97*100)</f>
        <v>0</v>
      </c>
      <c r="ET97" s="943"/>
      <c r="EU97" s="943"/>
      <c r="EV97" s="222">
        <f>IF(ET97=0,0,(EU97-ET97)/ET97*100)</f>
        <v>0</v>
      </c>
      <c r="EW97" s="943"/>
      <c r="EX97" s="943"/>
      <c r="EY97" s="222">
        <f>IF(EW97=0,0,(EX97-EW97)/EW97*100)</f>
        <v>0</v>
      </c>
      <c r="EZ97" s="943"/>
      <c r="FA97" s="943"/>
      <c r="FB97" s="222">
        <f>IF(EZ97=0,0,(FA97-EZ97)/EZ97*100)</f>
        <v>0</v>
      </c>
      <c r="FC97" s="943"/>
      <c r="FD97" s="943"/>
      <c r="FE97" s="222">
        <f>IF(FC97=0,0,(FD97-FC97)/FC97*100)</f>
        <v>0</v>
      </c>
      <c r="FF97" s="943"/>
      <c r="FG97" s="943"/>
      <c r="FH97" s="222">
        <f>IF(FF97=0,0,(FG97-FF97)/FF97*100)</f>
        <v>0</v>
      </c>
      <c r="FI97" s="943"/>
      <c r="FJ97" s="943"/>
      <c r="FK97" s="222">
        <f>IF(FI97=0,0,(FJ97-FI97)/FI97*100)</f>
        <v>0</v>
      </c>
      <c r="FL97" s="943"/>
      <c r="FM97" s="943"/>
      <c r="FN97" s="222">
        <f>IF(FL97=0,0,(FM97-FL97)/FL97*100)</f>
        <v>0</v>
      </c>
      <c r="FO97" s="943"/>
      <c r="FP97" s="943"/>
      <c r="FQ97" s="222">
        <f>IF(FO97=0,0,(FP97-FO97)/FO97*100)</f>
        <v>0</v>
      </c>
      <c r="FR97" s="943"/>
      <c r="FS97" s="943"/>
      <c r="FT97" s="222">
        <f>IF(FR97=0,0,(FS97-FR97)/FR97*100)</f>
        <v>0</v>
      </c>
      <c r="FU97" s="943"/>
      <c r="FV97" s="943"/>
      <c r="FW97" s="222">
        <f>IF(FU97=0,0,(FV97-FU97)/FU97*100)</f>
        <v>0</v>
      </c>
      <c r="FX97" s="219"/>
      <c r="FY97" s="219"/>
      <c r="FZ97" s="700" t="s">
        <v>1625</v>
      </c>
      <c r="GA97" s="700"/>
      <c r="GB97" s="700"/>
      <c r="GC97" s="701"/>
      <c r="GD97" s="701"/>
    </row>
    <row r="98" spans="1:186" s="947" customFormat="1" ht="23.25" customHeight="1">
      <c r="A98" s="603"/>
      <c r="B98" s="622" t="b" cm="1">
        <f t="array" ref="B98">B97</f>
        <v>1</v>
      </c>
      <c r="C98" s="603"/>
      <c r="D98" s="603"/>
      <c r="E98" s="604">
        <v>24.5</v>
      </c>
      <c r="F98" s="3" t="str" cm="1">
        <f t="array" aca="1" ref="F98" ca="1">OFFSET(E98,-1,1)</f>
        <v>1</v>
      </c>
      <c r="G98" s="78" t="s">
        <v>1626</v>
      </c>
      <c r="H98" s="78" t="s">
        <v>461</v>
      </c>
      <c r="I98" s="78" t="s">
        <v>1627</v>
      </c>
      <c r="J98" s="603"/>
      <c r="K98" s="603"/>
      <c r="L98" s="78"/>
      <c r="M98" s="603"/>
      <c r="N98" s="603"/>
      <c r="O98" s="603"/>
      <c r="P98" s="603"/>
      <c r="Q98" s="603"/>
      <c r="R98" s="603"/>
      <c r="S98" s="78"/>
      <c r="T98" s="365" t="b" cm="1">
        <f t="array" ref="T98">T97</f>
        <v>1</v>
      </c>
      <c r="U98" s="603"/>
      <c r="V98" s="603"/>
      <c r="W98" s="603"/>
      <c r="X98" s="1094"/>
      <c r="Y98" s="603"/>
      <c r="Z98" s="1064"/>
      <c r="AA98" s="603"/>
      <c r="AB98" s="220" t="s">
        <v>1628</v>
      </c>
      <c r="AC98" s="221" t="s">
        <v>1624</v>
      </c>
      <c r="AD98" s="605">
        <f ca="1">IF(AND(method_reg="Метод индексации",god&lt;&gt;first_year),SUMIFS(INDEX('Калькуляция (МИ корр)'!$AJ$25:$BC$459,,MATCH(AD$8,'Калькуляция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(МИ)'!$AJ$25:$BC$459,,MATCH(AD$8,'Калькуляция (МИ)'!$AJ$8:$BC$8,0)),'Калькуляция (МИ)'!$F$25:$F$459,$F98,'Калькуляция (МИ)'!$G$25:$G$459,$G98))))</f>
        <v>83.784804402480361</v>
      </c>
      <c r="AE98" s="605">
        <f ca="1">IF(AND(method_reg="Метод индексации",god&lt;&gt;first_year),SUMIFS(INDEX('Калькуляция (МИ корр)'!$AJ$25:$BC$459,,MATCH(AE$8,'Калькуляция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(МИ)'!$AJ$25:$BC$459,,MATCH(AE$8,'Калькуляция (МИ)'!$AJ$8:$BC$8,0)),'Калькуляция (МИ)'!$F$25:$F$459,$F98,'Калькуляция (МИ)'!$G$25:$G$459,$G98))))</f>
        <v>51.518638671407331</v>
      </c>
      <c r="AF98" s="222">
        <f ca="1">IF(AD98=0,0,(AE98-AD98)/AD98*100)</f>
        <v>-38.510760944281472</v>
      </c>
      <c r="AG98" s="942">
        <f ca="1">IF(AND(method_reg="Метод индексации",god&lt;&gt;first_year),SUMIFS(INDEX('Калькуляция (МИ корр)'!$AJ$25:$BC$459,,MATCH(AG$8,'Калькуляция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(МИ)'!$AJ$25:$BC$459,,MATCH(AG$8,'Калькуляция (МИ)'!$AJ$8:$BC$8,0)),'Калькуляция (МИ)'!$F$25:$F$459,$F98,'Калькуляция (МИ)'!$G$25:$G$459,$G98))))</f>
        <v>0</v>
      </c>
      <c r="AH98" s="942">
        <f ca="1">IF(AND(method_reg="Метод индексации",god&lt;&gt;first_year),SUMIFS(INDEX('Калькуляция (МИ корр)'!$AJ$25:$BC$459,,MATCH(AH$8,'Калькуляция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(МИ)'!$AJ$25:$BC$459,,MATCH(AH$8,'Калькуляция (МИ)'!$AJ$8:$BC$8,0)),'Калькуляция (МИ)'!$F$25:$F$459,$F98,'Калькуляция (МИ)'!$G$25:$G$459,$G98))))</f>
        <v>0</v>
      </c>
      <c r="AI98" s="222">
        <f ca="1">IF(AG98=0,0,(AH98-AG98)/AG98*100)</f>
        <v>0</v>
      </c>
      <c r="AJ98" s="942">
        <f ca="1">IF(AND(method_reg="Метод индексации",god&lt;&gt;first_year),SUMIFS(INDEX('Калькуляция (МИ корр)'!$AJ$25:$BC$459,,MATCH(AJ$8,'Калькуляция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(МИ)'!$AJ$25:$BC$459,,MATCH(AJ$8,'Калькуляция (МИ)'!$AJ$8:$BC$8,0)),'Калькуляция (МИ)'!$F$25:$F$459,$F98,'Калькуляция (МИ)'!$G$25:$G$459,$G98))))</f>
        <v>0</v>
      </c>
      <c r="AK98" s="942">
        <f ca="1">IF(AND(method_reg="Метод индексации",god&lt;&gt;first_year),SUMIFS(INDEX('Калькуляция (МИ корр)'!$AJ$25:$BC$459,,MATCH(AK$8,'Калькуляция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(МИ)'!$AJ$25:$BC$459,,MATCH(AK$8,'Калькуляция (МИ)'!$AJ$8:$BC$8,0)),'Калькуляция (МИ)'!$F$25:$F$459,$F98,'Калькуляция (МИ)'!$G$25:$G$459,$G98))))</f>
        <v>0</v>
      </c>
      <c r="AL98" s="222">
        <f ca="1">IF(AJ98=0,0,(AK98-AJ98)/AJ98*100)</f>
        <v>0</v>
      </c>
      <c r="AM98" s="942">
        <f ca="1">IF(AND(method_reg="Метод индексации",god&lt;&gt;first_year),SUMIFS(INDEX('Калькуляция (МИ корр)'!$AJ$25:$BC$459,,MATCH(AM$8,'Калькуляция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(МИ)'!$AJ$25:$BC$459,,MATCH(AM$8,'Калькуляция (МИ)'!$AJ$8:$BC$8,0)),'Калькуляция (МИ)'!$F$25:$F$459,$F98,'Калькуляция (МИ)'!$G$25:$G$459,$G98))))</f>
        <v>0</v>
      </c>
      <c r="AN98" s="942">
        <f ca="1">IF(AND(method_reg="Метод индексации",god&lt;&gt;first_year),SUMIFS(INDEX('Калькуляция (МИ корр)'!$AJ$25:$BC$459,,MATCH(AN$8,'Калькуляция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(МИ)'!$AJ$25:$BC$459,,MATCH(AN$8,'Калькуляция (МИ)'!$AJ$8:$BC$8,0)),'Калькуляция (МИ)'!$F$25:$F$459,$F98,'Калькуляция (МИ)'!$G$25:$G$459,$G98))))</f>
        <v>0</v>
      </c>
      <c r="AO98" s="222">
        <f ca="1">IF(AM98=0,0,(AN98-AM98)/AM98*100)</f>
        <v>0</v>
      </c>
      <c r="AP98" s="942">
        <f ca="1">IF(AND(method_reg="Метод индексации",god&lt;&gt;first_year),SUMIFS(INDEX('Калькуляция (МИ корр)'!$AJ$25:$BC$459,,MATCH(AP$8,'Калькуляция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(МИ)'!$AJ$25:$BC$459,,MATCH(AP$8,'Калькуляция (МИ)'!$AJ$8:$BC$8,0)),'Калькуляция (МИ)'!$F$25:$F$459,$F98,'Калькуляция (МИ)'!$G$25:$G$459,$G98))))</f>
        <v>0</v>
      </c>
      <c r="AQ98" s="942">
        <f ca="1">IF(AND(method_reg="Метод индексации",god&lt;&gt;first_year),SUMIFS(INDEX('Калькуляция (МИ корр)'!$AJ$25:$BC$459,,MATCH(AQ$8,'Калькуляция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(МИ)'!$AJ$25:$BC$459,,MATCH(AQ$8,'Калькуляция (МИ)'!$AJ$8:$BC$8,0)),'Калькуляция (МИ)'!$F$25:$F$459,$F98,'Калькуляция (МИ)'!$G$25:$G$459,$G98))))</f>
        <v>0</v>
      </c>
      <c r="AR98" s="222">
        <f ca="1">IF(AP98=0,0,(AQ98-AP98)/AP98*100)</f>
        <v>0</v>
      </c>
      <c r="AS98" s="942">
        <f ca="1">IF(AND(method_reg="Метод индексации",god&lt;&gt;first_year),SUMIFS(INDEX('Калькуляция (МИ корр)'!$AJ$25:$BC$459,,MATCH(AS$8,'Калькуляция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(МИ)'!$AJ$25:$BC$459,,MATCH(AS$8,'Калькуляция (МИ)'!$AJ$8:$BC$8,0)),'Калькуляция (МИ)'!$F$25:$F$459,$F98,'Калькуляция (МИ)'!$G$25:$G$459,$G98))))</f>
        <v>0</v>
      </c>
      <c r="AT98" s="942">
        <f ca="1">IF(AND(method_reg="Метод индексации",god&lt;&gt;first_year),SUMIFS(INDEX('Калькуляция (МИ корр)'!$AJ$25:$BC$459,,MATCH(AT$8,'Калькуляция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(МИ)'!$AJ$25:$BC$459,,MATCH(AT$8,'Калькуляция (МИ)'!$AJ$8:$BC$8,0)),'Калькуляция (МИ)'!$F$25:$F$459,$F98,'Калькуляция (МИ)'!$G$25:$G$459,$G98))))</f>
        <v>0</v>
      </c>
      <c r="AU98" s="222">
        <f ca="1">IF(AS98=0,0,(AT98-AS98)/AS98*100)</f>
        <v>0</v>
      </c>
      <c r="AV98" s="942">
        <f ca="1">IF(AND(method_reg="Метод индексации",god&lt;&gt;first_year),SUMIFS(INDEX('Калькуляция (МИ корр)'!$AJ$25:$BC$459,,MATCH(AV$8,'Калькуляция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(МИ)'!$AJ$25:$BC$459,,MATCH(AV$8,'Калькуляция (МИ)'!$AJ$8:$BC$8,0)),'Калькуляция (МИ)'!$F$25:$F$459,$F98,'Калькуляция (МИ)'!$G$25:$G$459,$G98))))</f>
        <v>0</v>
      </c>
      <c r="AW98" s="942">
        <f ca="1">IF(AND(method_reg="Метод индексации",god&lt;&gt;first_year),SUMIFS(INDEX('Калькуляция (МИ корр)'!$AJ$25:$BC$459,,MATCH(AW$8,'Калькуляция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(МИ)'!$AJ$25:$BC$459,,MATCH(AW$8,'Калькуляция (МИ)'!$AJ$8:$BC$8,0)),'Калькуляция (МИ)'!$F$25:$F$459,$F98,'Калькуляция (МИ)'!$G$25:$G$459,$G98))))</f>
        <v>0</v>
      </c>
      <c r="AX98" s="222">
        <f ca="1">IF(AV98=0,0,(AW98-AV98)/AV98*100)</f>
        <v>0</v>
      </c>
      <c r="AY98" s="942">
        <f ca="1">IF(AND(method_reg="Метод индексации",god&lt;&gt;first_year),SUMIFS(INDEX('Калькуляция (МИ корр)'!$AJ$25:$BC$459,,MATCH(AY$8,'Калькуляция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(МИ)'!$AJ$25:$BC$459,,MATCH(AY$8,'Калькуляция (МИ)'!$AJ$8:$BC$8,0)),'Калькуляция (МИ)'!$F$25:$F$459,$F98,'Калькуляция (МИ)'!$G$25:$G$459,$G98))))</f>
        <v>0</v>
      </c>
      <c r="AZ98" s="942">
        <f ca="1">IF(AND(method_reg="Метод индексации",god&lt;&gt;first_year),SUMIFS(INDEX('Калькуляция (МИ корр)'!$AJ$25:$BC$459,,MATCH(AZ$8,'Калькуляция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(МИ)'!$AJ$25:$BC$459,,MATCH(AZ$8,'Калькуляция (МИ)'!$AJ$8:$BC$8,0)),'Калькуляция (МИ)'!$F$25:$F$459,$F98,'Калькуляция (МИ)'!$G$25:$G$459,$G98))))</f>
        <v>0</v>
      </c>
      <c r="BA98" s="222">
        <f ca="1">IF(AY98=0,0,(AZ98-AY98)/AY98*100)</f>
        <v>0</v>
      </c>
      <c r="BB98" s="942">
        <f ca="1">IF(AND(method_reg="Метод индексации",god&lt;&gt;first_year),SUMIFS(INDEX('Калькуляция (МИ корр)'!$AJ$25:$BC$459,,MATCH(BB$8,'Калькуляция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(МИ)'!$AJ$25:$BC$459,,MATCH(BB$8,'Калькуляция (МИ)'!$AJ$8:$BC$8,0)),'Калькуляция (МИ)'!$F$25:$F$459,$F98,'Калькуляция (МИ)'!$G$25:$G$459,$G98))))</f>
        <v>0</v>
      </c>
      <c r="BC98" s="942">
        <f ca="1">IF(AND(method_reg="Метод индексации",god&lt;&gt;first_year),SUMIFS(INDEX('Калькуляция (МИ корр)'!$AJ$25:$BC$459,,MATCH(BC$8,'Калькуляция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(МИ)'!$AJ$25:$BC$459,,MATCH(BC$8,'Калькуляция (МИ)'!$AJ$8:$BC$8,0)),'Калькуляция (МИ)'!$F$25:$F$459,$F98,'Калькуляция (МИ)'!$G$25:$G$459,$G98))))</f>
        <v>0</v>
      </c>
      <c r="BD98" s="222">
        <f ca="1">IF(BB98=0,0,(BC98-BB98)/BB98*100)</f>
        <v>0</v>
      </c>
      <c r="BE98" s="942">
        <f ca="1">IF(AND(method_reg="Метод индексации",god&lt;&gt;first_year),SUMIFS(INDEX('Калькуляция (МИ корр)'!$AJ$25:$BC$459,,MATCH(BE$8,'Калькуляция (МИ корр)'!$AJ$8:$BC$8,0)),'Калькуляция (МИ корр)'!$F$25:$F$459,$F98,'Калькуляция (МИ корр)'!$G$25:$G$459,$G98),IF(method_reg="Метод экономически обоснованных расходов",SUMIFS('Калькуляция (МЭОР)'!$AJ$25:$AJ$282,'Калькуляция (МЭОР)'!$F$25:$F$282,$F98,'Калькуляция (МЭОР)'!$G$25:$G$282,$G98),IF(method_reg="Метод сравнения аналогов",SUMIFS('Калькуляция (МСА)'!$AE$25:$AE$84,'Калькуляция (МСА)'!$F$25:$F$84,$F98,'Калькуляция (МСА)'!$G$25:$G$84,$G98),SUMIFS(INDEX('Калькуляция (МИ)'!$AJ$25:$BC$459,,MATCH(BE$8,'Калькуляция (МИ)'!$AJ$8:$BC$8,0)),'Калькуляция (МИ)'!$F$25:$F$459,$F98,'Калькуляция (МИ)'!$G$25:$G$459,$G98))))</f>
        <v>0</v>
      </c>
      <c r="BF98" s="942">
        <f ca="1">IF(AND(method_reg="Метод индексации",god&lt;&gt;first_year),SUMIFS(INDEX('Калькуляция (МИ корр)'!$AJ$25:$BC$459,,MATCH(BF$8,'Калькуляция (МИ корр)'!$AJ$8:$BC$8,0)),'Калькуляция (МИ корр)'!$F$25:$F$459,$F98,'Калькуляция (МИ корр)'!$G$25:$G$459,$G98),IF(method_reg="Метод экономически обоснованных расходов",SUMIFS('Калькуляция (МЭОР)'!$AK$25:$AK$282,'Калькуляция (МЭОР)'!$F$25:$F$282,$F98,'Калькуляция (МЭОР)'!$G$25:$G$282,$G98),IF(method_reg="Метод сравнения аналогов",SUMIFS('Калькуляция (МСА)'!$AF$25:$AF$84,'Калькуляция (МСА)'!$F$25:$F$84,$F98,'Калькуляция (МСА)'!$G$25:$G$84,$G98),SUMIFS(INDEX('Калькуляция (МИ)'!$AJ$25:$BC$459,,MATCH(BF$8,'Калькуляция (МИ)'!$AJ$8:$BC$8,0)),'Калькуляция (МИ)'!$F$25:$F$459,$F98,'Калькуляция (МИ)'!$G$25:$G$459,$G98))))</f>
        <v>0</v>
      </c>
      <c r="BG98" s="222">
        <f ca="1">IF(BE98=0,0,(BF98-BE98)/BE98*100)</f>
        <v>0</v>
      </c>
      <c r="BH98" s="942"/>
      <c r="BI98" s="942"/>
      <c r="BJ98" s="222">
        <f>IF(BH98=0,0,(BI98-BH98)/BH98*100)</f>
        <v>0</v>
      </c>
      <c r="BK98" s="942"/>
      <c r="BL98" s="942"/>
      <c r="BM98" s="222">
        <f>IF(BK98=0,0,(BL98-BK98)/BK98*100)</f>
        <v>0</v>
      </c>
      <c r="BN98" s="942"/>
      <c r="BO98" s="942"/>
      <c r="BP98" s="222">
        <f>IF(BN98=0,0,(BO98-BN98)/BN98*100)</f>
        <v>0</v>
      </c>
      <c r="BQ98" s="942"/>
      <c r="BR98" s="942"/>
      <c r="BS98" s="222">
        <f>IF(BQ98=0,0,(BR98-BQ98)/BQ98*100)</f>
        <v>0</v>
      </c>
      <c r="BT98" s="942"/>
      <c r="BU98" s="942"/>
      <c r="BV98" s="222">
        <f>IF(BT98=0,0,(BU98-BT98)/BT98*100)</f>
        <v>0</v>
      </c>
      <c r="BW98" s="942"/>
      <c r="BX98" s="942"/>
      <c r="BY98" s="222">
        <f>IF(BW98=0,0,(BX98-BW98)/BW98*100)</f>
        <v>0</v>
      </c>
      <c r="BZ98" s="942"/>
      <c r="CA98" s="942"/>
      <c r="CB98" s="222">
        <f>IF(BZ98=0,0,(CA98-BZ98)/BZ98*100)</f>
        <v>0</v>
      </c>
      <c r="CC98" s="942"/>
      <c r="CD98" s="942"/>
      <c r="CE98" s="222">
        <f>IF(CC98=0,0,(CD98-CC98)/CC98*100)</f>
        <v>0</v>
      </c>
      <c r="CF98" s="942"/>
      <c r="CG98" s="942"/>
      <c r="CH98" s="222">
        <f>IF(CF98=0,0,(CG98-CF98)/CF98*100)</f>
        <v>0</v>
      </c>
      <c r="CI98" s="942"/>
      <c r="CJ98" s="942"/>
      <c r="CK98" s="222">
        <f>IF(CI98=0,0,(CJ98-CI98)/CI98*100)</f>
        <v>0</v>
      </c>
      <c r="CL98" s="942"/>
      <c r="CM98" s="942"/>
      <c r="CN98" s="222">
        <f>IF(CL98=0,0,(CM98-CL98)/CL98*100)</f>
        <v>0</v>
      </c>
      <c r="CO98" s="942"/>
      <c r="CP98" s="942"/>
      <c r="CQ98" s="222">
        <f>IF(CO98=0,0,(CP98-CO98)/CO98*100)</f>
        <v>0</v>
      </c>
      <c r="CR98" s="942"/>
      <c r="CS98" s="942"/>
      <c r="CT98" s="222">
        <f>IF(CR98=0,0,(CS98-CR98)/CR98*100)</f>
        <v>0</v>
      </c>
      <c r="CU98" s="942"/>
      <c r="CV98" s="942"/>
      <c r="CW98" s="222">
        <f>IF(CU98=0,0,(CV98-CU98)/CU98*100)</f>
        <v>0</v>
      </c>
      <c r="CX98" s="942"/>
      <c r="CY98" s="942"/>
      <c r="CZ98" s="222">
        <f>IF(CX98=0,0,(CY98-CX98)/CX98*100)</f>
        <v>0</v>
      </c>
      <c r="DA98" s="942"/>
      <c r="DB98" s="942"/>
      <c r="DC98" s="222">
        <f>IF(DA98=0,0,(DB98-DA98)/DA98*100)</f>
        <v>0</v>
      </c>
      <c r="DD98" s="942"/>
      <c r="DE98" s="942"/>
      <c r="DF98" s="222">
        <f>IF(DD98=0,0,(DE98-DD98)/DD98*100)</f>
        <v>0</v>
      </c>
      <c r="DG98" s="943"/>
      <c r="DH98" s="943"/>
      <c r="DI98" s="222">
        <f>IF(DG98=0,0,(DH98-DG98)/DG98*100)</f>
        <v>0</v>
      </c>
      <c r="DJ98" s="943"/>
      <c r="DK98" s="943"/>
      <c r="DL98" s="222">
        <f>IF(DJ98=0,0,(DK98-DJ98)/DJ98*100)</f>
        <v>0</v>
      </c>
      <c r="DM98" s="943"/>
      <c r="DN98" s="943"/>
      <c r="DO98" s="222">
        <f>IF(DM98=0,0,(DN98-DM98)/DM98*100)</f>
        <v>0</v>
      </c>
      <c r="DP98" s="943"/>
      <c r="DQ98" s="943"/>
      <c r="DR98" s="222">
        <f>IF(DP98=0,0,(DQ98-DP98)/DP98*100)</f>
        <v>0</v>
      </c>
      <c r="DS98" s="943"/>
      <c r="DT98" s="943"/>
      <c r="DU98" s="222">
        <f>IF(DS98=0,0,(DT98-DS98)/DS98*100)</f>
        <v>0</v>
      </c>
      <c r="DV98" s="943"/>
      <c r="DW98" s="943"/>
      <c r="DX98" s="222">
        <f>IF(DV98=0,0,(DW98-DV98)/DV98*100)</f>
        <v>0</v>
      </c>
      <c r="DY98" s="943"/>
      <c r="DZ98" s="943"/>
      <c r="EA98" s="222">
        <f>IF(DY98=0,0,(DZ98-DY98)/DY98*100)</f>
        <v>0</v>
      </c>
      <c r="EB98" s="943"/>
      <c r="EC98" s="943"/>
      <c r="ED98" s="222">
        <f>IF(EB98=0,0,(EC98-EB98)/EB98*100)</f>
        <v>0</v>
      </c>
      <c r="EE98" s="943"/>
      <c r="EF98" s="943"/>
      <c r="EG98" s="222">
        <f>IF(EE98=0,0,(EF98-EE98)/EE98*100)</f>
        <v>0</v>
      </c>
      <c r="EH98" s="943"/>
      <c r="EI98" s="943"/>
      <c r="EJ98" s="222">
        <f>IF(EH98=0,0,(EI98-EH98)/EH98*100)</f>
        <v>0</v>
      </c>
      <c r="EK98" s="943"/>
      <c r="EL98" s="943"/>
      <c r="EM98" s="222">
        <f>IF(EK98=0,0,(EL98-EK98)/EK98*100)</f>
        <v>0</v>
      </c>
      <c r="EN98" s="943"/>
      <c r="EO98" s="943"/>
      <c r="EP98" s="222">
        <f>IF(EN98=0,0,(EO98-EN98)/EN98*100)</f>
        <v>0</v>
      </c>
      <c r="EQ98" s="943"/>
      <c r="ER98" s="943"/>
      <c r="ES98" s="222">
        <f>IF(EQ98=0,0,(ER98-EQ98)/EQ98*100)</f>
        <v>0</v>
      </c>
      <c r="ET98" s="943"/>
      <c r="EU98" s="943"/>
      <c r="EV98" s="222">
        <f>IF(ET98=0,0,(EU98-ET98)/ET98*100)</f>
        <v>0</v>
      </c>
      <c r="EW98" s="943"/>
      <c r="EX98" s="943"/>
      <c r="EY98" s="222">
        <f>IF(EW98=0,0,(EX98-EW98)/EW98*100)</f>
        <v>0</v>
      </c>
      <c r="EZ98" s="943"/>
      <c r="FA98" s="943"/>
      <c r="FB98" s="222">
        <f>IF(EZ98=0,0,(FA98-EZ98)/EZ98*100)</f>
        <v>0</v>
      </c>
      <c r="FC98" s="943"/>
      <c r="FD98" s="943"/>
      <c r="FE98" s="222">
        <f>IF(FC98=0,0,(FD98-FC98)/FC98*100)</f>
        <v>0</v>
      </c>
      <c r="FF98" s="943"/>
      <c r="FG98" s="943"/>
      <c r="FH98" s="222">
        <f>IF(FF98=0,0,(FG98-FF98)/FF98*100)</f>
        <v>0</v>
      </c>
      <c r="FI98" s="943"/>
      <c r="FJ98" s="943"/>
      <c r="FK98" s="222">
        <f>IF(FI98=0,0,(FJ98-FI98)/FI98*100)</f>
        <v>0</v>
      </c>
      <c r="FL98" s="943"/>
      <c r="FM98" s="943"/>
      <c r="FN98" s="222">
        <f>IF(FL98=0,0,(FM98-FL98)/FL98*100)</f>
        <v>0</v>
      </c>
      <c r="FO98" s="943"/>
      <c r="FP98" s="943"/>
      <c r="FQ98" s="222">
        <f>IF(FO98=0,0,(FP98-FO98)/FO98*100)</f>
        <v>0</v>
      </c>
      <c r="FR98" s="943"/>
      <c r="FS98" s="943"/>
      <c r="FT98" s="222">
        <f>IF(FR98=0,0,(FS98-FR98)/FR98*100)</f>
        <v>0</v>
      </c>
      <c r="FU98" s="943"/>
      <c r="FV98" s="943"/>
      <c r="FW98" s="222">
        <f>IF(FU98=0,0,(FV98-FU98)/FU98*100)</f>
        <v>0</v>
      </c>
      <c r="FX98" s="219"/>
      <c r="FY98" s="219"/>
      <c r="FZ98" s="700" t="s">
        <v>1629</v>
      </c>
      <c r="GA98" s="700"/>
      <c r="GB98" s="700"/>
      <c r="GC98" s="701"/>
      <c r="GD98" s="701"/>
    </row>
    <row r="99" spans="1:186" ht="14.25" customHeight="1">
      <c r="A99" s="78"/>
      <c r="B99" s="622" t="b" cm="1">
        <f t="array" ref="B99">B98</f>
        <v>1</v>
      </c>
      <c r="C99" s="78"/>
      <c r="D99" s="78"/>
      <c r="E99" s="473">
        <v>15</v>
      </c>
      <c r="F99" s="3" t="str" cm="1">
        <f t="array" aca="1" ref="F99" ca="1">OFFSET(E99,-1,1)</f>
        <v>1</v>
      </c>
      <c r="G99" s="78"/>
      <c r="H99" s="78" t="s">
        <v>465</v>
      </c>
      <c r="I99" s="78" t="s">
        <v>1630</v>
      </c>
      <c r="J99" s="78"/>
      <c r="K99" s="78"/>
      <c r="L99" s="78"/>
      <c r="M99" s="78"/>
      <c r="N99" s="78"/>
      <c r="O99" s="78"/>
      <c r="P99" s="78"/>
      <c r="Q99" s="78"/>
      <c r="R99" s="78"/>
      <c r="S99" s="78"/>
      <c r="T99" s="365" t="b" cm="1">
        <f t="array" ref="T99">T98</f>
        <v>1</v>
      </c>
      <c r="U99" s="78"/>
      <c r="V99" s="78"/>
      <c r="W99" s="78"/>
      <c r="X99" s="1094"/>
      <c r="Y99" s="78"/>
      <c r="Z99" s="1064"/>
      <c r="AA99" s="78"/>
      <c r="AB99" s="73" t="s">
        <v>1631</v>
      </c>
      <c r="AC99" s="31" t="s">
        <v>456</v>
      </c>
      <c r="AD99" s="629">
        <f ca="1">IF(AD97=0,0,AD98/AD97)*100</f>
        <v>99.999979117208042</v>
      </c>
      <c r="AE99" s="629">
        <f ca="1">IF(AE97=0,0,AE98/AE97)*100</f>
        <v>114.5865696903376</v>
      </c>
      <c r="AF99" s="723"/>
      <c r="AG99" s="629">
        <f ca="1">IF(AG97=0,0,AG98/AG97)*100</f>
        <v>0</v>
      </c>
      <c r="AH99" s="629">
        <f ca="1">IF(AH97=0,0,AH98/AH97)*100</f>
        <v>0</v>
      </c>
      <c r="AI99" s="723"/>
      <c r="AJ99" s="629">
        <f ca="1">IF(AJ97=0,0,AJ98/AJ97)*100</f>
        <v>0</v>
      </c>
      <c r="AK99" s="629">
        <f ca="1">IF(AK97=0,0,AK98/AK97)*100</f>
        <v>0</v>
      </c>
      <c r="AL99" s="723"/>
      <c r="AM99" s="629">
        <f ca="1">IF(AM97=0,0,AM98/AM97)*100</f>
        <v>0</v>
      </c>
      <c r="AN99" s="629">
        <f ca="1">IF(AN97=0,0,AN98/AN97)*100</f>
        <v>0</v>
      </c>
      <c r="AO99" s="723"/>
      <c r="AP99" s="629">
        <f ca="1">IF(AP97=0,0,AP98/AP97)*100</f>
        <v>0</v>
      </c>
      <c r="AQ99" s="629">
        <f ca="1">IF(AQ97=0,0,AQ98/AQ97)*100</f>
        <v>0</v>
      </c>
      <c r="AR99" s="723"/>
      <c r="AS99" s="629">
        <f ca="1">IF(AS97=0,0,AS98/AS97)*100</f>
        <v>0</v>
      </c>
      <c r="AT99" s="629">
        <f ca="1">IF(AT97=0,0,AT98/AT97)*100</f>
        <v>0</v>
      </c>
      <c r="AU99" s="723"/>
      <c r="AV99" s="629">
        <f ca="1">IF(AV97=0,0,AV98/AV97)*100</f>
        <v>0</v>
      </c>
      <c r="AW99" s="629">
        <f ca="1">IF(AW97=0,0,AW98/AW97)*100</f>
        <v>0</v>
      </c>
      <c r="AX99" s="723"/>
      <c r="AY99" s="629">
        <f ca="1">IF(AY97=0,0,AY98/AY97)*100</f>
        <v>0</v>
      </c>
      <c r="AZ99" s="629">
        <f ca="1">IF(AZ97=0,0,AZ98/AZ97)*100</f>
        <v>0</v>
      </c>
      <c r="BA99" s="723"/>
      <c r="BB99" s="629">
        <f ca="1">IF(BB97=0,0,BB98/BB97)*100</f>
        <v>0</v>
      </c>
      <c r="BC99" s="629">
        <f ca="1">IF(BC97=0,0,BC98/BC97)*100</f>
        <v>0</v>
      </c>
      <c r="BD99" s="723"/>
      <c r="BE99" s="629">
        <f ca="1">IF(BE97=0,0,BE98/BE97)*100</f>
        <v>0</v>
      </c>
      <c r="BF99" s="629">
        <f ca="1">IF(BF97=0,0,BF98/BF97)*100</f>
        <v>0</v>
      </c>
      <c r="BG99" s="723"/>
      <c r="BH99" s="629">
        <f>IF(BH97=0,0,BH98/BH97)*100</f>
        <v>0</v>
      </c>
      <c r="BI99" s="629">
        <f>IF(BI97=0,0,BI98/BI97)*100</f>
        <v>0</v>
      </c>
      <c r="BJ99" s="723"/>
      <c r="BK99" s="629">
        <f>IF(BK97=0,0,BK98/BK97)*100</f>
        <v>0</v>
      </c>
      <c r="BL99" s="629">
        <f>IF(BL97=0,0,BL98/BL97)*100</f>
        <v>0</v>
      </c>
      <c r="BM99" s="723"/>
      <c r="BN99" s="629">
        <f>IF(BN97=0,0,BN98/BN97)*100</f>
        <v>0</v>
      </c>
      <c r="BO99" s="629">
        <f>IF(BO97=0,0,BO98/BO97)*100</f>
        <v>0</v>
      </c>
      <c r="BP99" s="723"/>
      <c r="BQ99" s="629">
        <f>IF(BQ97=0,0,BQ98/BQ97)*100</f>
        <v>0</v>
      </c>
      <c r="BR99" s="629">
        <f>IF(BR97=0,0,BR98/BR97)*100</f>
        <v>0</v>
      </c>
      <c r="BS99" s="723"/>
      <c r="BT99" s="629">
        <f>IF(BT97=0,0,BT98/BT97)*100</f>
        <v>0</v>
      </c>
      <c r="BU99" s="629">
        <f>IF(BU97=0,0,BU98/BU97)*100</f>
        <v>0</v>
      </c>
      <c r="BV99" s="723"/>
      <c r="BW99" s="629">
        <f>IF(BW97=0,0,BW98/BW97)*100</f>
        <v>0</v>
      </c>
      <c r="BX99" s="629">
        <f>IF(BX97=0,0,BX98/BX97)*100</f>
        <v>0</v>
      </c>
      <c r="BY99" s="723"/>
      <c r="BZ99" s="629">
        <f>IF(BZ97=0,0,BZ98/BZ97)*100</f>
        <v>0</v>
      </c>
      <c r="CA99" s="629">
        <f>IF(CA97=0,0,CA98/CA97)*100</f>
        <v>0</v>
      </c>
      <c r="CB99" s="723"/>
      <c r="CC99" s="629">
        <f>IF(CC97=0,0,CC98/CC97)*100</f>
        <v>0</v>
      </c>
      <c r="CD99" s="629">
        <f>IF(CD97=0,0,CD98/CD97)*100</f>
        <v>0</v>
      </c>
      <c r="CE99" s="723"/>
      <c r="CF99" s="629">
        <f>IF(CF97=0,0,CF98/CF97)*100</f>
        <v>0</v>
      </c>
      <c r="CG99" s="629">
        <f>IF(CG97=0,0,CG98/CG97)*100</f>
        <v>0</v>
      </c>
      <c r="CH99" s="723"/>
      <c r="CI99" s="629">
        <f>IF(CI97=0,0,CI98/CI97)*100</f>
        <v>0</v>
      </c>
      <c r="CJ99" s="629">
        <f>IF(CJ97=0,0,CJ98/CJ97)*100</f>
        <v>0</v>
      </c>
      <c r="CK99" s="723"/>
      <c r="CL99" s="629">
        <f>IF(CL97=0,0,CL98/CL97)*100</f>
        <v>0</v>
      </c>
      <c r="CM99" s="629">
        <f>IF(CM97=0,0,CM98/CM97)*100</f>
        <v>0</v>
      </c>
      <c r="CN99" s="723"/>
      <c r="CO99" s="629">
        <f>IF(CO97=0,0,CO98/CO97)*100</f>
        <v>0</v>
      </c>
      <c r="CP99" s="629">
        <f>IF(CP97=0,0,CP98/CP97)*100</f>
        <v>0</v>
      </c>
      <c r="CQ99" s="723"/>
      <c r="CR99" s="629">
        <f>IF(CR97=0,0,CR98/CR97)*100</f>
        <v>0</v>
      </c>
      <c r="CS99" s="629">
        <f>IF(CS97=0,0,CS98/CS97)*100</f>
        <v>0</v>
      </c>
      <c r="CT99" s="723"/>
      <c r="CU99" s="629">
        <f>IF(CU97=0,0,CU98/CU97)*100</f>
        <v>0</v>
      </c>
      <c r="CV99" s="629">
        <f>IF(CV97=0,0,CV98/CV97)*100</f>
        <v>0</v>
      </c>
      <c r="CW99" s="723"/>
      <c r="CX99" s="629">
        <f>IF(CX97=0,0,CX98/CX97)*100</f>
        <v>0</v>
      </c>
      <c r="CY99" s="629">
        <f>IF(CY97=0,0,CY98/CY97)*100</f>
        <v>0</v>
      </c>
      <c r="CZ99" s="723"/>
      <c r="DA99" s="629">
        <f>IF(DA97=0,0,DA98/DA97)*100</f>
        <v>0</v>
      </c>
      <c r="DB99" s="629">
        <f>IF(DB97=0,0,DB98/DB97)*100</f>
        <v>0</v>
      </c>
      <c r="DC99" s="723"/>
      <c r="DD99" s="629">
        <f>IF(DD97=0,0,DD98/DD97)*100</f>
        <v>0</v>
      </c>
      <c r="DE99" s="629">
        <f>IF(DE97=0,0,DE98/DE97)*100</f>
        <v>0</v>
      </c>
      <c r="DF99" s="723"/>
      <c r="DG99" s="629">
        <f>IF(DG97=0,0,DG98/DG97)*100</f>
        <v>0</v>
      </c>
      <c r="DH99" s="629">
        <f>IF(DH97=0,0,DH98/DH97)*100</f>
        <v>0</v>
      </c>
      <c r="DI99" s="723"/>
      <c r="DJ99" s="629">
        <f>IF(DJ97=0,0,DJ98/DJ97)*100</f>
        <v>0</v>
      </c>
      <c r="DK99" s="629">
        <f>IF(DK97=0,0,DK98/DK97)*100</f>
        <v>0</v>
      </c>
      <c r="DL99" s="723"/>
      <c r="DM99" s="629">
        <f>IF(DM97=0,0,DM98/DM97)*100</f>
        <v>0</v>
      </c>
      <c r="DN99" s="629">
        <f>IF(DN97=0,0,DN98/DN97)*100</f>
        <v>0</v>
      </c>
      <c r="DO99" s="723"/>
      <c r="DP99" s="629">
        <f>IF(DP97=0,0,DP98/DP97)*100</f>
        <v>0</v>
      </c>
      <c r="DQ99" s="629">
        <f>IF(DQ97=0,0,DQ98/DQ97)*100</f>
        <v>0</v>
      </c>
      <c r="DR99" s="723"/>
      <c r="DS99" s="629">
        <f>IF(DS97=0,0,DS98/DS97)*100</f>
        <v>0</v>
      </c>
      <c r="DT99" s="629">
        <f>IF(DT97=0,0,DT98/DT97)*100</f>
        <v>0</v>
      </c>
      <c r="DU99" s="723"/>
      <c r="DV99" s="629">
        <f>IF(DV97=0,0,DV98/DV97)*100</f>
        <v>0</v>
      </c>
      <c r="DW99" s="629">
        <f>IF(DW97=0,0,DW98/DW97)*100</f>
        <v>0</v>
      </c>
      <c r="DX99" s="723"/>
      <c r="DY99" s="629">
        <f>IF(DY97=0,0,DY98/DY97)*100</f>
        <v>0</v>
      </c>
      <c r="DZ99" s="629">
        <f>IF(DZ97=0,0,DZ98/DZ97)*100</f>
        <v>0</v>
      </c>
      <c r="EA99" s="723"/>
      <c r="EB99" s="629">
        <f>IF(EB97=0,0,EB98/EB97)*100</f>
        <v>0</v>
      </c>
      <c r="EC99" s="629">
        <f>IF(EC97=0,0,EC98/EC97)*100</f>
        <v>0</v>
      </c>
      <c r="ED99" s="723"/>
      <c r="EE99" s="629">
        <f>IF(EE97=0,0,EE98/EE97)*100</f>
        <v>0</v>
      </c>
      <c r="EF99" s="629">
        <f>IF(EF97=0,0,EF98/EF97)*100</f>
        <v>0</v>
      </c>
      <c r="EG99" s="723"/>
      <c r="EH99" s="629">
        <f>IF(EH97=0,0,EH98/EH97)*100</f>
        <v>0</v>
      </c>
      <c r="EI99" s="629">
        <f>IF(EI97=0,0,EI98/EI97)*100</f>
        <v>0</v>
      </c>
      <c r="EJ99" s="723"/>
      <c r="EK99" s="629">
        <f>IF(EK97=0,0,EK98/EK97)*100</f>
        <v>0</v>
      </c>
      <c r="EL99" s="629">
        <f>IF(EL97=0,0,EL98/EL97)*100</f>
        <v>0</v>
      </c>
      <c r="EM99" s="723"/>
      <c r="EN99" s="629">
        <f>IF(EN97=0,0,EN98/EN97)*100</f>
        <v>0</v>
      </c>
      <c r="EO99" s="629">
        <f>IF(EO97=0,0,EO98/EO97)*100</f>
        <v>0</v>
      </c>
      <c r="EP99" s="723"/>
      <c r="EQ99" s="629">
        <f>IF(EQ97=0,0,EQ98/EQ97)*100</f>
        <v>0</v>
      </c>
      <c r="ER99" s="629">
        <f>IF(ER97=0,0,ER98/ER97)*100</f>
        <v>0</v>
      </c>
      <c r="ES99" s="723"/>
      <c r="ET99" s="629">
        <f>IF(ET97=0,0,ET98/ET97)*100</f>
        <v>0</v>
      </c>
      <c r="EU99" s="629">
        <f>IF(EU97=0,0,EU98/EU97)*100</f>
        <v>0</v>
      </c>
      <c r="EV99" s="723"/>
      <c r="EW99" s="629">
        <f>IF(EW97=0,0,EW98/EW97)*100</f>
        <v>0</v>
      </c>
      <c r="EX99" s="629">
        <f>IF(EX97=0,0,EX98/EX97)*100</f>
        <v>0</v>
      </c>
      <c r="EY99" s="723"/>
      <c r="EZ99" s="629">
        <f>IF(EZ97=0,0,EZ98/EZ97)*100</f>
        <v>0</v>
      </c>
      <c r="FA99" s="629">
        <f>IF(FA97=0,0,FA98/FA97)*100</f>
        <v>0</v>
      </c>
      <c r="FB99" s="723"/>
      <c r="FC99" s="629">
        <f>IF(FC97=0,0,FC98/FC97)*100</f>
        <v>0</v>
      </c>
      <c r="FD99" s="629">
        <f>IF(FD97=0,0,FD98/FD97)*100</f>
        <v>0</v>
      </c>
      <c r="FE99" s="723"/>
      <c r="FF99" s="629">
        <f>IF(FF97=0,0,FF98/FF97)*100</f>
        <v>0</v>
      </c>
      <c r="FG99" s="629">
        <f>IF(FG97=0,0,FG98/FG97)*100</f>
        <v>0</v>
      </c>
      <c r="FH99" s="723"/>
      <c r="FI99" s="629">
        <f>IF(FI97=0,0,FI98/FI97)*100</f>
        <v>0</v>
      </c>
      <c r="FJ99" s="629">
        <f>IF(FJ97=0,0,FJ98/FJ97)*100</f>
        <v>0</v>
      </c>
      <c r="FK99" s="723"/>
      <c r="FL99" s="629">
        <f>IF(FL97=0,0,FL98/FL97)*100</f>
        <v>0</v>
      </c>
      <c r="FM99" s="629">
        <f>IF(FM97=0,0,FM98/FM97)*100</f>
        <v>0</v>
      </c>
      <c r="FN99" s="723"/>
      <c r="FO99" s="629">
        <f>IF(FO97=0,0,FO98/FO97)*100</f>
        <v>0</v>
      </c>
      <c r="FP99" s="629">
        <f>IF(FP97=0,0,FP98/FP97)*100</f>
        <v>0</v>
      </c>
      <c r="FQ99" s="723"/>
      <c r="FR99" s="629">
        <f>IF(FR97=0,0,FR98/FR97)*100</f>
        <v>0</v>
      </c>
      <c r="FS99" s="629">
        <f>IF(FS97=0,0,FS98/FS97)*100</f>
        <v>0</v>
      </c>
      <c r="FT99" s="723"/>
      <c r="FU99" s="629">
        <f>IF(FU97=0,0,FU98/FU97)*100</f>
        <v>0</v>
      </c>
      <c r="FV99" s="629">
        <f>IF(FV97=0,0,FV98/FV97)*100</f>
        <v>0</v>
      </c>
      <c r="FW99" s="723"/>
      <c r="FX99" s="219"/>
      <c r="FZ99" s="700" t="s">
        <v>1632</v>
      </c>
    </row>
    <row r="100" spans="1:186" ht="14.25" customHeight="1">
      <c r="A100" s="78"/>
      <c r="B100" s="622" t="b" cm="1">
        <f t="array" ref="B100">B99</f>
        <v>1</v>
      </c>
      <c r="C100" s="78"/>
      <c r="D100" s="78"/>
      <c r="E100" s="473">
        <v>15</v>
      </c>
      <c r="F100" s="3" t="str" cm="1">
        <f t="array" aca="1" ref="F100" ca="1">OFFSET(E100,-1,1)</f>
        <v>1</v>
      </c>
      <c r="G100" s="44" t="s">
        <v>1633</v>
      </c>
      <c r="H100" s="78" t="s">
        <v>468</v>
      </c>
      <c r="I100" s="78" t="s">
        <v>1630</v>
      </c>
      <c r="J100" s="78"/>
      <c r="K100" s="78"/>
      <c r="L100" s="78"/>
      <c r="M100" s="78"/>
      <c r="N100" s="78"/>
      <c r="O100" s="78"/>
      <c r="P100" s="78"/>
      <c r="Q100" s="78"/>
      <c r="R100" s="78"/>
      <c r="S100" s="78"/>
      <c r="T100" s="365" t="b" cm="1">
        <f t="array" ref="T100">T99</f>
        <v>1</v>
      </c>
      <c r="U100" s="78"/>
      <c r="V100" s="78"/>
      <c r="W100" s="78"/>
      <c r="X100" s="1094"/>
      <c r="Y100" s="78"/>
      <c r="Z100" s="1064"/>
      <c r="AA100" s="78"/>
      <c r="AB100" s="73" t="s">
        <v>1634</v>
      </c>
      <c r="AC100" s="31" t="s">
        <v>534</v>
      </c>
      <c r="AD100" s="210">
        <f ca="1">IF(AND(method_reg="Метод индексации",god&lt;&gt;first_year),SUMIFS(INDEX('Калькуляция (МИ корр)'!$AJ$25:$BC$459,,MATCH(AD$8,'Калькуляция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(МИ)'!$AJ$25:$BC$459,,MATCH(AD$8,'Калькуляция (МИ)'!$AJ$8:$BC$8,0)),'Калькуляция (МИ)'!$F$25:$F$459,$F100,'Калькуляция (МИ)'!$G$25:$G$459,$G100))))</f>
        <v>960.18599999999992</v>
      </c>
      <c r="AE100" s="210">
        <f ca="1">IF(AND(method_reg="Метод индексации",god&lt;&gt;first_year),SUMIFS(INDEX('Калькуляция (МИ корр)'!$AJ$25:$BC$459,,MATCH(AE$8,'Калькуляция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(МИ)'!$AJ$25:$BC$459,,MATCH(AE$8,'Калькуляция (МИ)'!$AJ$8:$BC$8,0)),'Калькуляция (МИ)'!$F$25:$F$459,$F100,'Калькуляция (МИ)'!$G$25:$G$459,$G100))))</f>
        <v>961.84399999999994</v>
      </c>
      <c r="AF100" s="724">
        <f ca="1">IF(AD100=0,0,(AE100-AD100)/AD100*100)</f>
        <v>0.17267487757580466</v>
      </c>
      <c r="AG100" s="849">
        <f ca="1">IF(AND(method_reg="Метод индексации",god&lt;&gt;first_year),SUMIFS(INDEX('Калькуляция (МИ корр)'!$AJ$25:$BC$459,,MATCH(AG$8,'Калькуляция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(МИ)'!$AJ$25:$BC$459,,MATCH(AG$8,'Калькуляция (МИ)'!$AJ$8:$BC$8,0)),'Калькуляция (МИ)'!$F$25:$F$459,$F100,'Калькуляция (МИ)'!$G$25:$G$459,$G100))))</f>
        <v>0</v>
      </c>
      <c r="AH100" s="849">
        <f ca="1">IF(AND(method_reg="Метод индексации",god&lt;&gt;first_year),SUMIFS(INDEX('Калькуляция (МИ корр)'!$AJ$25:$BC$459,,MATCH(AH$8,'Калькуляция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(МИ)'!$AJ$25:$BC$459,,MATCH(AH$8,'Калькуляция (МИ)'!$AJ$8:$BC$8,0)),'Калькуляция (МИ)'!$F$25:$F$459,$F100,'Калькуляция (МИ)'!$G$25:$G$459,$G100))))</f>
        <v>0</v>
      </c>
      <c r="AI100" s="724">
        <f ca="1">IF(AG100=0,0,(AH100-AG100)/AG100*100)</f>
        <v>0</v>
      </c>
      <c r="AJ100" s="849">
        <f ca="1">IF(AND(method_reg="Метод индексации",god&lt;&gt;first_year),SUMIFS(INDEX('Калькуляция (МИ корр)'!$AJ$25:$BC$459,,MATCH(AJ$8,'Калькуляция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(МИ)'!$AJ$25:$BC$459,,MATCH(AJ$8,'Калькуляция (МИ)'!$AJ$8:$BC$8,0)),'Калькуляция (МИ)'!$F$25:$F$459,$F100,'Калькуляция (МИ)'!$G$25:$G$459,$G100))))</f>
        <v>0</v>
      </c>
      <c r="AK100" s="849">
        <f ca="1">IF(AND(method_reg="Метод индексации",god&lt;&gt;first_year),SUMIFS(INDEX('Калькуляция (МИ корр)'!$AJ$25:$BC$459,,MATCH(AK$8,'Калькуляция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(МИ)'!$AJ$25:$BC$459,,MATCH(AK$8,'Калькуляция (МИ)'!$AJ$8:$BC$8,0)),'Калькуляция (МИ)'!$F$25:$F$459,$F100,'Калькуляция (МИ)'!$G$25:$G$459,$G100))))</f>
        <v>0</v>
      </c>
      <c r="AL100" s="724">
        <f ca="1">IF(AJ100=0,0,(AK100-AJ100)/AJ100*100)</f>
        <v>0</v>
      </c>
      <c r="AM100" s="849">
        <f ca="1">IF(AND(method_reg="Метод индексации",god&lt;&gt;first_year),SUMIFS(INDEX('Калькуляция (МИ корр)'!$AJ$25:$BC$459,,MATCH(AM$8,'Калькуляция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(МИ)'!$AJ$25:$BC$459,,MATCH(AM$8,'Калькуляция (МИ)'!$AJ$8:$BC$8,0)),'Калькуляция (МИ)'!$F$25:$F$459,$F100,'Калькуляция (МИ)'!$G$25:$G$459,$G100))))</f>
        <v>0</v>
      </c>
      <c r="AN100" s="849">
        <f ca="1">IF(AND(method_reg="Метод индексации",god&lt;&gt;first_year),SUMIFS(INDEX('Калькуляция (МИ корр)'!$AJ$25:$BC$459,,MATCH(AN$8,'Калькуляция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(МИ)'!$AJ$25:$BC$459,,MATCH(AN$8,'Калькуляция (МИ)'!$AJ$8:$BC$8,0)),'Калькуляция (МИ)'!$F$25:$F$459,$F100,'Калькуляция (МИ)'!$G$25:$G$459,$G100))))</f>
        <v>0</v>
      </c>
      <c r="AO100" s="724">
        <f ca="1">IF(AM100=0,0,(AN100-AM100)/AM100*100)</f>
        <v>0</v>
      </c>
      <c r="AP100" s="849">
        <f ca="1">IF(AND(method_reg="Метод индексации",god&lt;&gt;first_year),SUMIFS(INDEX('Калькуляция (МИ корр)'!$AJ$25:$BC$459,,MATCH(AP$8,'Калькуляция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(МИ)'!$AJ$25:$BC$459,,MATCH(AP$8,'Калькуляция (МИ)'!$AJ$8:$BC$8,0)),'Калькуляция (МИ)'!$F$25:$F$459,$F100,'Калькуляция (МИ)'!$G$25:$G$459,$G100))))</f>
        <v>0</v>
      </c>
      <c r="AQ100" s="849">
        <f ca="1">IF(AND(method_reg="Метод индексации",god&lt;&gt;first_year),SUMIFS(INDEX('Калькуляция (МИ корр)'!$AJ$25:$BC$459,,MATCH(AQ$8,'Калькуляция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(МИ)'!$AJ$25:$BC$459,,MATCH(AQ$8,'Калькуляция (МИ)'!$AJ$8:$BC$8,0)),'Калькуляция (МИ)'!$F$25:$F$459,$F100,'Калькуляция (МИ)'!$G$25:$G$459,$G100))))</f>
        <v>0</v>
      </c>
      <c r="AR100" s="724">
        <f ca="1">IF(AP100=0,0,(AQ100-AP100)/AP100*100)</f>
        <v>0</v>
      </c>
      <c r="AS100" s="849">
        <f ca="1">IF(AND(method_reg="Метод индексации",god&lt;&gt;first_year),SUMIFS(INDEX('Калькуляция (МИ корр)'!$AJ$25:$BC$459,,MATCH(AS$8,'Калькуляция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(МИ)'!$AJ$25:$BC$459,,MATCH(AS$8,'Калькуляция (МИ)'!$AJ$8:$BC$8,0)),'Калькуляция (МИ)'!$F$25:$F$459,$F100,'Калькуляция (МИ)'!$G$25:$G$459,$G100))))</f>
        <v>0</v>
      </c>
      <c r="AT100" s="849">
        <f ca="1">IF(AND(method_reg="Метод индексации",god&lt;&gt;first_year),SUMIFS(INDEX('Калькуляция (МИ корр)'!$AJ$25:$BC$459,,MATCH(AT$8,'Калькуляция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(МИ)'!$AJ$25:$BC$459,,MATCH(AT$8,'Калькуляция (МИ)'!$AJ$8:$BC$8,0)),'Калькуляция (МИ)'!$F$25:$F$459,$F100,'Калькуляция (МИ)'!$G$25:$G$459,$G100))))</f>
        <v>0</v>
      </c>
      <c r="AU100" s="724">
        <f ca="1">IF(AS100=0,0,(AT100-AS100)/AS100*100)</f>
        <v>0</v>
      </c>
      <c r="AV100" s="849">
        <f ca="1">IF(AND(method_reg="Метод индексации",god&lt;&gt;first_year),SUMIFS(INDEX('Калькуляция (МИ корр)'!$AJ$25:$BC$459,,MATCH(AV$8,'Калькуляция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(МИ)'!$AJ$25:$BC$459,,MATCH(AV$8,'Калькуляция (МИ)'!$AJ$8:$BC$8,0)),'Калькуляция (МИ)'!$F$25:$F$459,$F100,'Калькуляция (МИ)'!$G$25:$G$459,$G100))))</f>
        <v>0</v>
      </c>
      <c r="AW100" s="849">
        <f ca="1">IF(AND(method_reg="Метод индексации",god&lt;&gt;first_year),SUMIFS(INDEX('Калькуляция (МИ корр)'!$AJ$25:$BC$459,,MATCH(AW$8,'Калькуляция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(МИ)'!$AJ$25:$BC$459,,MATCH(AW$8,'Калькуляция (МИ)'!$AJ$8:$BC$8,0)),'Калькуляция (МИ)'!$F$25:$F$459,$F100,'Калькуляция (МИ)'!$G$25:$G$459,$G100))))</f>
        <v>0</v>
      </c>
      <c r="AX100" s="724">
        <f ca="1">IF(AV100=0,0,(AW100-AV100)/AV100*100)</f>
        <v>0</v>
      </c>
      <c r="AY100" s="849">
        <f ca="1">IF(AND(method_reg="Метод индексации",god&lt;&gt;first_year),SUMIFS(INDEX('Калькуляция (МИ корр)'!$AJ$25:$BC$459,,MATCH(AY$8,'Калькуляция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(МИ)'!$AJ$25:$BC$459,,MATCH(AY$8,'Калькуляция (МИ)'!$AJ$8:$BC$8,0)),'Калькуляция (МИ)'!$F$25:$F$459,$F100,'Калькуляция (МИ)'!$G$25:$G$459,$G100))))</f>
        <v>0</v>
      </c>
      <c r="AZ100" s="849">
        <f ca="1">IF(AND(method_reg="Метод индексации",god&lt;&gt;first_year),SUMIFS(INDEX('Калькуляция (МИ корр)'!$AJ$25:$BC$459,,MATCH(AZ$8,'Калькуляция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(МИ)'!$AJ$25:$BC$459,,MATCH(AZ$8,'Калькуляция (МИ)'!$AJ$8:$BC$8,0)),'Калькуляция (МИ)'!$F$25:$F$459,$F100,'Калькуляция (МИ)'!$G$25:$G$459,$G100))))</f>
        <v>0</v>
      </c>
      <c r="BA100" s="724">
        <f ca="1">IF(AY100=0,0,(AZ100-AY100)/AY100*100)</f>
        <v>0</v>
      </c>
      <c r="BB100" s="849">
        <f ca="1">IF(AND(method_reg="Метод индексации",god&lt;&gt;first_year),SUMIFS(INDEX('Калькуляция (МИ корр)'!$AJ$25:$BC$459,,MATCH(BB$8,'Калькуляция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(МИ)'!$AJ$25:$BC$459,,MATCH(BB$8,'Калькуляция (МИ)'!$AJ$8:$BC$8,0)),'Калькуляция (МИ)'!$F$25:$F$459,$F100,'Калькуляция (МИ)'!$G$25:$G$459,$G100))))</f>
        <v>0</v>
      </c>
      <c r="BC100" s="849">
        <f ca="1">IF(AND(method_reg="Метод индексации",god&lt;&gt;first_year),SUMIFS(INDEX('Калькуляция (МИ корр)'!$AJ$25:$BC$459,,MATCH(BC$8,'Калькуляция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(МИ)'!$AJ$25:$BC$459,,MATCH(BC$8,'Калькуляция (МИ)'!$AJ$8:$BC$8,0)),'Калькуляция (МИ)'!$F$25:$F$459,$F100,'Калькуляция (МИ)'!$G$25:$G$459,$G100))))</f>
        <v>0</v>
      </c>
      <c r="BD100" s="724">
        <f ca="1">IF(BB100=0,0,(BC100-BB100)/BB100*100)</f>
        <v>0</v>
      </c>
      <c r="BE100" s="849">
        <f ca="1">IF(AND(method_reg="Метод индексации",god&lt;&gt;first_year),SUMIFS(INDEX('Калькуляция (МИ корр)'!$AJ$25:$BC$459,,MATCH(BE$8,'Калькуляция (МИ корр)'!$AJ$8:$BC$8,0)),'Калькуляция (МИ корр)'!$F$25:$F$459,$F100,'Калькуляция (МИ корр)'!$G$25:$G$459,$G100),IF(method_reg="Метод экономически обоснованных расходов",SUMIFS('Калькуляция (МЭОР)'!$AJ$25:$AJ$282,'Калькуляция (МЭОР)'!$F$25:$F$282,$F100,'Калькуляция (МЭОР)'!$G$25:$G$282,$G100),IF(method_reg="Метод сравнения аналогов",SUMIFS('Калькуляция (МСА)'!$AE$25:$AE$84,'Калькуляция (МСА)'!$F$25:$F$84,$F100,'Калькуляция (МСА)'!$G$25:$G$84,$G100),SUMIFS(INDEX('Калькуляция (МИ)'!$AJ$25:$BC$459,,MATCH(BE$8,'Калькуляция (МИ)'!$AJ$8:$BC$8,0)),'Калькуляция (МИ)'!$F$25:$F$459,$F100,'Калькуляция (МИ)'!$G$25:$G$459,$G100))))</f>
        <v>0</v>
      </c>
      <c r="BF100" s="849">
        <f ca="1">IF(AND(method_reg="Метод индексации",god&lt;&gt;first_year),SUMIFS(INDEX('Калькуляция (МИ корр)'!$AJ$25:$BC$459,,MATCH(BF$8,'Калькуляция (МИ корр)'!$AJ$8:$BC$8,0)),'Калькуляция (МИ корр)'!$F$25:$F$459,$F100,'Калькуляция (МИ корр)'!$G$25:$G$459,$G100),IF(method_reg="Метод экономически обоснованных расходов",SUMIFS('Калькуляция (МЭОР)'!$AK$25:$AK$282,'Калькуляция (МЭОР)'!$F$25:$F$282,$F100,'Калькуляция (МЭОР)'!$G$25:$G$282,$G100),IF(method_reg="Метод сравнения аналогов",SUMIFS('Калькуляция (МСА)'!$AF$25:$AF$84,'Калькуляция (МСА)'!$F$25:$F$84,$F100,'Калькуляция (МСА)'!$G$25:$G$84,$G100),SUMIFS(INDEX('Калькуляция (МИ)'!$AJ$25:$BC$459,,MATCH(BF$8,'Калькуляция (МИ)'!$AJ$8:$BC$8,0)),'Калькуляция (МИ)'!$F$25:$F$459,$F100,'Калькуляция (МИ)'!$G$25:$G$459,$G100))))</f>
        <v>0</v>
      </c>
      <c r="BG100" s="724">
        <f ca="1">IF(BE100=0,0,(BF100-BE100)/BE100*100)</f>
        <v>0</v>
      </c>
      <c r="BH100" s="849"/>
      <c r="BI100" s="849"/>
      <c r="BJ100" s="724">
        <f>IF(BH100=0,0,(BI100-BH100)/BH100*100)</f>
        <v>0</v>
      </c>
      <c r="BK100" s="849"/>
      <c r="BL100" s="849"/>
      <c r="BM100" s="724">
        <f>IF(BK100=0,0,(BL100-BK100)/BK100*100)</f>
        <v>0</v>
      </c>
      <c r="BN100" s="849"/>
      <c r="BO100" s="849"/>
      <c r="BP100" s="724">
        <f>IF(BN100=0,0,(BO100-BN100)/BN100*100)</f>
        <v>0</v>
      </c>
      <c r="BQ100" s="849"/>
      <c r="BR100" s="849"/>
      <c r="BS100" s="724">
        <f>IF(BQ100=0,0,(BR100-BQ100)/BQ100*100)</f>
        <v>0</v>
      </c>
      <c r="BT100" s="849"/>
      <c r="BU100" s="849"/>
      <c r="BV100" s="724">
        <f>IF(BT100=0,0,(BU100-BT100)/BT100*100)</f>
        <v>0</v>
      </c>
      <c r="BW100" s="849"/>
      <c r="BX100" s="849"/>
      <c r="BY100" s="724">
        <f>IF(BW100=0,0,(BX100-BW100)/BW100*100)</f>
        <v>0</v>
      </c>
      <c r="BZ100" s="849"/>
      <c r="CA100" s="849"/>
      <c r="CB100" s="724">
        <f>IF(BZ100=0,0,(CA100-BZ100)/BZ100*100)</f>
        <v>0</v>
      </c>
      <c r="CC100" s="849"/>
      <c r="CD100" s="849"/>
      <c r="CE100" s="724">
        <f>IF(CC100=0,0,(CD100-CC100)/CC100*100)</f>
        <v>0</v>
      </c>
      <c r="CF100" s="849"/>
      <c r="CG100" s="849"/>
      <c r="CH100" s="724">
        <f>IF(CF100=0,0,(CG100-CF100)/CF100*100)</f>
        <v>0</v>
      </c>
      <c r="CI100" s="849"/>
      <c r="CJ100" s="849"/>
      <c r="CK100" s="724">
        <f>IF(CI100=0,0,(CJ100-CI100)/CI100*100)</f>
        <v>0</v>
      </c>
      <c r="CL100" s="849"/>
      <c r="CM100" s="849"/>
      <c r="CN100" s="724">
        <f>IF(CL100=0,0,(CM100-CL100)/CL100*100)</f>
        <v>0</v>
      </c>
      <c r="CO100" s="849"/>
      <c r="CP100" s="849"/>
      <c r="CQ100" s="724">
        <f>IF(CO100=0,0,(CP100-CO100)/CO100*100)</f>
        <v>0</v>
      </c>
      <c r="CR100" s="849"/>
      <c r="CS100" s="849"/>
      <c r="CT100" s="724">
        <f>IF(CR100=0,0,(CS100-CR100)/CR100*100)</f>
        <v>0</v>
      </c>
      <c r="CU100" s="849"/>
      <c r="CV100" s="849"/>
      <c r="CW100" s="724">
        <f>IF(CU100=0,0,(CV100-CU100)/CU100*100)</f>
        <v>0</v>
      </c>
      <c r="CX100" s="849"/>
      <c r="CY100" s="849"/>
      <c r="CZ100" s="724">
        <f>IF(CX100=0,0,(CY100-CX100)/CX100*100)</f>
        <v>0</v>
      </c>
      <c r="DA100" s="849"/>
      <c r="DB100" s="849"/>
      <c r="DC100" s="724">
        <f>IF(DA100=0,0,(DB100-DA100)/DA100*100)</f>
        <v>0</v>
      </c>
      <c r="DD100" s="849"/>
      <c r="DE100" s="849"/>
      <c r="DF100" s="724">
        <f>IF(DD100=0,0,(DE100-DD100)/DD100*100)</f>
        <v>0</v>
      </c>
      <c r="DG100" s="849"/>
      <c r="DH100" s="849"/>
      <c r="DI100" s="724">
        <f>IF(DG100=0,0,(DH100-DG100)/DG100*100)</f>
        <v>0</v>
      </c>
      <c r="DJ100" s="849"/>
      <c r="DK100" s="849"/>
      <c r="DL100" s="724">
        <f>IF(DJ100=0,0,(DK100-DJ100)/DJ100*100)</f>
        <v>0</v>
      </c>
      <c r="DM100" s="849"/>
      <c r="DN100" s="849"/>
      <c r="DO100" s="724">
        <f>IF(DM100=0,0,(DN100-DM100)/DM100*100)</f>
        <v>0</v>
      </c>
      <c r="DP100" s="849"/>
      <c r="DQ100" s="849"/>
      <c r="DR100" s="724">
        <f>IF(DP100=0,0,(DQ100-DP100)/DP100*100)</f>
        <v>0</v>
      </c>
      <c r="DS100" s="849"/>
      <c r="DT100" s="849"/>
      <c r="DU100" s="724">
        <f>IF(DS100=0,0,(DT100-DS100)/DS100*100)</f>
        <v>0</v>
      </c>
      <c r="DV100" s="849"/>
      <c r="DW100" s="849"/>
      <c r="DX100" s="724">
        <f>IF(DV100=0,0,(DW100-DV100)/DV100*100)</f>
        <v>0</v>
      </c>
      <c r="DY100" s="849"/>
      <c r="DZ100" s="849"/>
      <c r="EA100" s="724">
        <f>IF(DY100=0,0,(DZ100-DY100)/DY100*100)</f>
        <v>0</v>
      </c>
      <c r="EB100" s="849"/>
      <c r="EC100" s="849"/>
      <c r="ED100" s="724">
        <f>IF(EB100=0,0,(EC100-EB100)/EB100*100)</f>
        <v>0</v>
      </c>
      <c r="EE100" s="849"/>
      <c r="EF100" s="849"/>
      <c r="EG100" s="724">
        <f>IF(EE100=0,0,(EF100-EE100)/EE100*100)</f>
        <v>0</v>
      </c>
      <c r="EH100" s="849"/>
      <c r="EI100" s="849"/>
      <c r="EJ100" s="724">
        <f>IF(EH100=0,0,(EI100-EH100)/EH100*100)</f>
        <v>0</v>
      </c>
      <c r="EK100" s="849"/>
      <c r="EL100" s="849"/>
      <c r="EM100" s="724">
        <f>IF(EK100=0,0,(EL100-EK100)/EK100*100)</f>
        <v>0</v>
      </c>
      <c r="EN100" s="849"/>
      <c r="EO100" s="849"/>
      <c r="EP100" s="724">
        <f>IF(EN100=0,0,(EO100-EN100)/EN100*100)</f>
        <v>0</v>
      </c>
      <c r="EQ100" s="849"/>
      <c r="ER100" s="849"/>
      <c r="ES100" s="724">
        <f>IF(EQ100=0,0,(ER100-EQ100)/EQ100*100)</f>
        <v>0</v>
      </c>
      <c r="ET100" s="849"/>
      <c r="EU100" s="849"/>
      <c r="EV100" s="724">
        <f>IF(ET100=0,0,(EU100-ET100)/ET100*100)</f>
        <v>0</v>
      </c>
      <c r="EW100" s="849"/>
      <c r="EX100" s="849"/>
      <c r="EY100" s="724">
        <f>IF(EW100=0,0,(EX100-EW100)/EW100*100)</f>
        <v>0</v>
      </c>
      <c r="EZ100" s="849"/>
      <c r="FA100" s="849"/>
      <c r="FB100" s="724">
        <f>IF(EZ100=0,0,(FA100-EZ100)/EZ100*100)</f>
        <v>0</v>
      </c>
      <c r="FC100" s="849"/>
      <c r="FD100" s="849"/>
      <c r="FE100" s="724">
        <f>IF(FC100=0,0,(FD100-FC100)/FC100*100)</f>
        <v>0</v>
      </c>
      <c r="FF100" s="849"/>
      <c r="FG100" s="849"/>
      <c r="FH100" s="724">
        <f>IF(FF100=0,0,(FG100-FF100)/FF100*100)</f>
        <v>0</v>
      </c>
      <c r="FI100" s="849"/>
      <c r="FJ100" s="849"/>
      <c r="FK100" s="724">
        <f>IF(FI100=0,0,(FJ100-FI100)/FI100*100)</f>
        <v>0</v>
      </c>
      <c r="FL100" s="849"/>
      <c r="FM100" s="849"/>
      <c r="FN100" s="724">
        <f>IF(FL100=0,0,(FM100-FL100)/FL100*100)</f>
        <v>0</v>
      </c>
      <c r="FO100" s="849"/>
      <c r="FP100" s="849"/>
      <c r="FQ100" s="724">
        <f>IF(FO100=0,0,(FP100-FO100)/FO100*100)</f>
        <v>0</v>
      </c>
      <c r="FR100" s="849"/>
      <c r="FS100" s="849"/>
      <c r="FT100" s="724">
        <f>IF(FR100=0,0,(FS100-FR100)/FR100*100)</f>
        <v>0</v>
      </c>
      <c r="FU100" s="849"/>
      <c r="FV100" s="849"/>
      <c r="FW100" s="724">
        <f>IF(FU100=0,0,(FV100-FU100)/FU100*100)</f>
        <v>0</v>
      </c>
      <c r="FX100" s="219"/>
      <c r="FZ100" s="700" t="s">
        <v>1635</v>
      </c>
    </row>
    <row r="101" spans="1:186" s="947" customFormat="1" ht="23.25" customHeight="1">
      <c r="A101" s="603"/>
      <c r="B101" s="622" t="b" cm="1">
        <f t="array" ref="B101">B100</f>
        <v>1</v>
      </c>
      <c r="C101" s="603"/>
      <c r="D101" s="603"/>
      <c r="E101" s="604">
        <v>24.5</v>
      </c>
      <c r="F101" s="3" t="str" cm="1">
        <f t="array" aca="1" ref="F101" ca="1">OFFSET(E101,-1,1)</f>
        <v>1</v>
      </c>
      <c r="G101" s="44" t="s">
        <v>1636</v>
      </c>
      <c r="H101" s="78" t="s">
        <v>461</v>
      </c>
      <c r="I101" s="78" t="s">
        <v>1637</v>
      </c>
      <c r="J101" s="603"/>
      <c r="K101" s="603"/>
      <c r="L101" s="78"/>
      <c r="M101" s="603"/>
      <c r="N101" s="603"/>
      <c r="O101" s="603"/>
      <c r="P101" s="603"/>
      <c r="Q101" s="603"/>
      <c r="R101" s="78"/>
      <c r="S101" s="78"/>
      <c r="T101" s="365" t="b" cm="1">
        <f t="array" ref="T101">T100</f>
        <v>1</v>
      </c>
      <c r="U101" s="603"/>
      <c r="V101" s="603"/>
      <c r="W101" s="603"/>
      <c r="X101" s="1094"/>
      <c r="Y101" s="603"/>
      <c r="Z101" s="1064"/>
      <c r="AA101" s="603"/>
      <c r="AB101" s="220" t="s">
        <v>1638</v>
      </c>
      <c r="AC101" s="221" t="s">
        <v>1624</v>
      </c>
      <c r="AD101" s="605">
        <f ca="1">IF(AND(method_reg="Метод индексации",god&lt;&gt;first_year),SUMIFS(INDEX('Калькуляция (МИ корр)'!$AJ$25:$BC$459,,MATCH(AD$8,'Калькуляция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(МИ)'!$AJ$25:$BC$459,,MATCH(AD$8,'Калькуляция (МИ)'!$AJ$8:$BC$8,0)),'Калькуляция (МИ)'!$F$25:$F$459,$F101,'Калькуляция (МИ)'!$G$25:$G$459,$G101))))</f>
        <v>83.784821899090403</v>
      </c>
      <c r="AE101" s="605">
        <f ca="1">IF(AND(method_reg="Метод индексации",god&lt;&gt;first_year),SUMIFS(INDEX('Калькуляция (МИ корр)'!$AJ$25:$BC$459,,MATCH(AE$8,'Калькуляция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(МИ)'!$AJ$25:$BC$459,,MATCH(AE$8,'Калькуляция (МИ)'!$AJ$8:$BC$8,0)),'Калькуляция (МИ)'!$F$25:$F$459,$F101,'Калькуляция (МИ)'!$G$25:$G$459,$G101))))</f>
        <v>47.208473690384999</v>
      </c>
      <c r="AF101" s="222">
        <f ca="1">IF(AD101=0,0,(AE101-AD101)/AD101*100)</f>
        <v>-43.655100505862016</v>
      </c>
      <c r="AG101" s="942">
        <f ca="1">IF(AND(method_reg="Метод индексации",god&lt;&gt;first_year),SUMIFS(INDEX('Калькуляция (МИ корр)'!$AJ$25:$BC$459,,MATCH(AG$8,'Калькуляция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(МИ)'!$AJ$25:$BC$459,,MATCH(AG$8,'Калькуляция (МИ)'!$AJ$8:$BC$8,0)),'Калькуляция (МИ)'!$F$25:$F$459,$F101,'Калькуляция (МИ)'!$G$25:$G$459,$G101))))</f>
        <v>0</v>
      </c>
      <c r="AH101" s="942">
        <f ca="1">IF(AND(method_reg="Метод индексации",god&lt;&gt;first_year),SUMIFS(INDEX('Калькуляция (МИ корр)'!$AJ$25:$BC$459,,MATCH(AH$8,'Калькуляция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(МИ)'!$AJ$25:$BC$459,,MATCH(AH$8,'Калькуляция (МИ)'!$AJ$8:$BC$8,0)),'Калькуляция (МИ)'!$F$25:$F$459,$F101,'Калькуляция (МИ)'!$G$25:$G$459,$G101))))</f>
        <v>0</v>
      </c>
      <c r="AI101" s="222">
        <f ca="1">IF(AG101=0,0,(AH101-AG101)/AG101*100)</f>
        <v>0</v>
      </c>
      <c r="AJ101" s="942">
        <f ca="1">IF(AND(method_reg="Метод индексации",god&lt;&gt;first_year),SUMIFS(INDEX('Калькуляция (МИ корр)'!$AJ$25:$BC$459,,MATCH(AJ$8,'Калькуляция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(МИ)'!$AJ$25:$BC$459,,MATCH(AJ$8,'Калькуляция (МИ)'!$AJ$8:$BC$8,0)),'Калькуляция (МИ)'!$F$25:$F$459,$F101,'Калькуляция (МИ)'!$G$25:$G$459,$G101))))</f>
        <v>0</v>
      </c>
      <c r="AK101" s="942">
        <f ca="1">IF(AND(method_reg="Метод индексации",god&lt;&gt;first_year),SUMIFS(INDEX('Калькуляция (МИ корр)'!$AJ$25:$BC$459,,MATCH(AK$8,'Калькуляция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(МИ)'!$AJ$25:$BC$459,,MATCH(AK$8,'Калькуляция (МИ)'!$AJ$8:$BC$8,0)),'Калькуляция (МИ)'!$F$25:$F$459,$F101,'Калькуляция (МИ)'!$G$25:$G$459,$G101))))</f>
        <v>0</v>
      </c>
      <c r="AL101" s="222">
        <f ca="1">IF(AJ101=0,0,(AK101-AJ101)/AJ101*100)</f>
        <v>0</v>
      </c>
      <c r="AM101" s="942">
        <f ca="1">IF(AND(method_reg="Метод индексации",god&lt;&gt;first_year),SUMIFS(INDEX('Калькуляция (МИ корр)'!$AJ$25:$BC$459,,MATCH(AM$8,'Калькуляция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(МИ)'!$AJ$25:$BC$459,,MATCH(AM$8,'Калькуляция (МИ)'!$AJ$8:$BC$8,0)),'Калькуляция (МИ)'!$F$25:$F$459,$F101,'Калькуляция (МИ)'!$G$25:$G$459,$G101))))</f>
        <v>0</v>
      </c>
      <c r="AN101" s="942">
        <f ca="1">IF(AND(method_reg="Метод индексации",god&lt;&gt;first_year),SUMIFS(INDEX('Калькуляция (МИ корр)'!$AJ$25:$BC$459,,MATCH(AN$8,'Калькуляция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(МИ)'!$AJ$25:$BC$459,,MATCH(AN$8,'Калькуляция (МИ)'!$AJ$8:$BC$8,0)),'Калькуляция (МИ)'!$F$25:$F$459,$F101,'Калькуляция (МИ)'!$G$25:$G$459,$G101))))</f>
        <v>0</v>
      </c>
      <c r="AO101" s="222">
        <f ca="1">IF(AM101=0,0,(AN101-AM101)/AM101*100)</f>
        <v>0</v>
      </c>
      <c r="AP101" s="942">
        <f ca="1">IF(AND(method_reg="Метод индексации",god&lt;&gt;first_year),SUMIFS(INDEX('Калькуляция (МИ корр)'!$AJ$25:$BC$459,,MATCH(AP$8,'Калькуляция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(МИ)'!$AJ$25:$BC$459,,MATCH(AP$8,'Калькуляция (МИ)'!$AJ$8:$BC$8,0)),'Калькуляция (МИ)'!$F$25:$F$459,$F101,'Калькуляция (МИ)'!$G$25:$G$459,$G101))))</f>
        <v>0</v>
      </c>
      <c r="AQ101" s="942">
        <f ca="1">IF(AND(method_reg="Метод индексации",god&lt;&gt;first_year),SUMIFS(INDEX('Калькуляция (МИ корр)'!$AJ$25:$BC$459,,MATCH(AQ$8,'Калькуляция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(МИ)'!$AJ$25:$BC$459,,MATCH(AQ$8,'Калькуляция (МИ)'!$AJ$8:$BC$8,0)),'Калькуляция (МИ)'!$F$25:$F$459,$F101,'Калькуляция (МИ)'!$G$25:$G$459,$G101))))</f>
        <v>0</v>
      </c>
      <c r="AR101" s="222">
        <f ca="1">IF(AP101=0,0,(AQ101-AP101)/AP101*100)</f>
        <v>0</v>
      </c>
      <c r="AS101" s="942">
        <f ca="1">IF(AND(method_reg="Метод индексации",god&lt;&gt;first_year),SUMIFS(INDEX('Калькуляция (МИ корр)'!$AJ$25:$BC$459,,MATCH(AS$8,'Калькуляция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(МИ)'!$AJ$25:$BC$459,,MATCH(AS$8,'Калькуляция (МИ)'!$AJ$8:$BC$8,0)),'Калькуляция (МИ)'!$F$25:$F$459,$F101,'Калькуляция (МИ)'!$G$25:$G$459,$G101))))</f>
        <v>0</v>
      </c>
      <c r="AT101" s="942">
        <f ca="1">IF(AND(method_reg="Метод индексации",god&lt;&gt;first_year),SUMIFS(INDEX('Калькуляция (МИ корр)'!$AJ$25:$BC$459,,MATCH(AT$8,'Калькуляция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(МИ)'!$AJ$25:$BC$459,,MATCH(AT$8,'Калькуляция (МИ)'!$AJ$8:$BC$8,0)),'Калькуляция (МИ)'!$F$25:$F$459,$F101,'Калькуляция (МИ)'!$G$25:$G$459,$G101))))</f>
        <v>0</v>
      </c>
      <c r="AU101" s="222">
        <f ca="1">IF(AS101=0,0,(AT101-AS101)/AS101*100)</f>
        <v>0</v>
      </c>
      <c r="AV101" s="942">
        <f ca="1">IF(AND(method_reg="Метод индексации",god&lt;&gt;first_year),SUMIFS(INDEX('Калькуляция (МИ корр)'!$AJ$25:$BC$459,,MATCH(AV$8,'Калькуляция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(МИ)'!$AJ$25:$BC$459,,MATCH(AV$8,'Калькуляция (МИ)'!$AJ$8:$BC$8,0)),'Калькуляция (МИ)'!$F$25:$F$459,$F101,'Калькуляция (МИ)'!$G$25:$G$459,$G101))))</f>
        <v>0</v>
      </c>
      <c r="AW101" s="942">
        <f ca="1">IF(AND(method_reg="Метод индексации",god&lt;&gt;first_year),SUMIFS(INDEX('Калькуляция (МИ корр)'!$AJ$25:$BC$459,,MATCH(AW$8,'Калькуляция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(МИ)'!$AJ$25:$BC$459,,MATCH(AW$8,'Калькуляция (МИ)'!$AJ$8:$BC$8,0)),'Калькуляция (МИ)'!$F$25:$F$459,$F101,'Калькуляция (МИ)'!$G$25:$G$459,$G101))))</f>
        <v>0</v>
      </c>
      <c r="AX101" s="222">
        <f ca="1">IF(AV101=0,0,(AW101-AV101)/AV101*100)</f>
        <v>0</v>
      </c>
      <c r="AY101" s="942">
        <f ca="1">IF(AND(method_reg="Метод индексации",god&lt;&gt;first_year),SUMIFS(INDEX('Калькуляция (МИ корр)'!$AJ$25:$BC$459,,MATCH(AY$8,'Калькуляция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(МИ)'!$AJ$25:$BC$459,,MATCH(AY$8,'Калькуляция (МИ)'!$AJ$8:$BC$8,0)),'Калькуляция (МИ)'!$F$25:$F$459,$F101,'Калькуляция (МИ)'!$G$25:$G$459,$G101))))</f>
        <v>0</v>
      </c>
      <c r="AZ101" s="942">
        <f ca="1">IF(AND(method_reg="Метод индексации",god&lt;&gt;first_year),SUMIFS(INDEX('Калькуляция (МИ корр)'!$AJ$25:$BC$459,,MATCH(AZ$8,'Калькуляция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(МИ)'!$AJ$25:$BC$459,,MATCH(AZ$8,'Калькуляция (МИ)'!$AJ$8:$BC$8,0)),'Калькуляция (МИ)'!$F$25:$F$459,$F101,'Калькуляция (МИ)'!$G$25:$G$459,$G101))))</f>
        <v>0</v>
      </c>
      <c r="BA101" s="222">
        <f ca="1">IF(AY101=0,0,(AZ101-AY101)/AY101*100)</f>
        <v>0</v>
      </c>
      <c r="BB101" s="942">
        <f ca="1">IF(AND(method_reg="Метод индексации",god&lt;&gt;first_year),SUMIFS(INDEX('Калькуляция (МИ корр)'!$AJ$25:$BC$459,,MATCH(BB$8,'Калькуляция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(МИ)'!$AJ$25:$BC$459,,MATCH(BB$8,'Калькуляция (МИ)'!$AJ$8:$BC$8,0)),'Калькуляция (МИ)'!$F$25:$F$459,$F101,'Калькуляция (МИ)'!$G$25:$G$459,$G101))))</f>
        <v>0</v>
      </c>
      <c r="BC101" s="942">
        <f ca="1">IF(AND(method_reg="Метод индексации",god&lt;&gt;first_year),SUMIFS(INDEX('Калькуляция (МИ корр)'!$AJ$25:$BC$459,,MATCH(BC$8,'Калькуляция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(МИ)'!$AJ$25:$BC$459,,MATCH(BC$8,'Калькуляция (МИ)'!$AJ$8:$BC$8,0)),'Калькуляция (МИ)'!$F$25:$F$459,$F101,'Калькуляция (МИ)'!$G$25:$G$459,$G101))))</f>
        <v>0</v>
      </c>
      <c r="BD101" s="222">
        <f ca="1">IF(BB101=0,0,(BC101-BB101)/BB101*100)</f>
        <v>0</v>
      </c>
      <c r="BE101" s="942">
        <f ca="1">IF(AND(method_reg="Метод индексации",god&lt;&gt;first_year),SUMIFS(INDEX('Калькуляция (МИ корр)'!$AJ$25:$BC$459,,MATCH(BE$8,'Калькуляция (МИ корр)'!$AJ$8:$BC$8,0)),'Калькуляция (МИ корр)'!$F$25:$F$459,$F101,'Калькуляция (МИ корр)'!$G$25:$G$459,$G101),IF(method_reg="Метод экономически обоснованных расходов",SUMIFS('Калькуляция (МЭОР)'!$AJ$25:$AJ$282,'Калькуляция (МЭОР)'!$F$25:$F$282,$F101,'Калькуляция (МЭОР)'!$G$25:$G$282,$G101),IF(method_reg="Метод сравнения аналогов",SUMIFS('Калькуляция (МСА)'!$AE$25:$AE$84,'Калькуляция (МСА)'!$F$25:$F$84,$F101,'Калькуляция (МСА)'!$G$25:$G$84,$G101),SUMIFS(INDEX('Калькуляция (МИ)'!$AJ$25:$BC$459,,MATCH(BE$8,'Калькуляция (МИ)'!$AJ$8:$BC$8,0)),'Калькуляция (МИ)'!$F$25:$F$459,$F101,'Калькуляция (МИ)'!$G$25:$G$459,$G101))))</f>
        <v>0</v>
      </c>
      <c r="BF101" s="942">
        <f ca="1">IF(AND(method_reg="Метод индексации",god&lt;&gt;first_year),SUMIFS(INDEX('Калькуляция (МИ корр)'!$AJ$25:$BC$459,,MATCH(BF$8,'Калькуляция (МИ корр)'!$AJ$8:$BC$8,0)),'Калькуляция (МИ корр)'!$F$25:$F$459,$F101,'Калькуляция (МИ корр)'!$G$25:$G$459,$G101),IF(method_reg="Метод экономически обоснованных расходов",SUMIFS('Калькуляция (МЭОР)'!$AK$25:$AK$282,'Калькуляция (МЭОР)'!$F$25:$F$282,$F101,'Калькуляция (МЭОР)'!$G$25:$G$282,$G101),IF(method_reg="Метод сравнения аналогов",SUMIFS('Калькуляция (МСА)'!$AF$25:$AF$84,'Калькуляция (МСА)'!$F$25:$F$84,$F101,'Калькуляция (МСА)'!$G$25:$G$84,$G101),SUMIFS(INDEX('Калькуляция (МИ)'!$AJ$25:$BC$459,,MATCH(BF$8,'Калькуляция (МИ)'!$AJ$8:$BC$8,0)),'Калькуляция (МИ)'!$F$25:$F$459,$F101,'Калькуляция (МИ)'!$G$25:$G$459,$G101))))</f>
        <v>0</v>
      </c>
      <c r="BG101" s="222">
        <f ca="1">IF(BE101=0,0,(BF101-BE101)/BE101*100)</f>
        <v>0</v>
      </c>
      <c r="BH101" s="942"/>
      <c r="BI101" s="942"/>
      <c r="BJ101" s="222">
        <f>IF(BH101=0,0,(BI101-BH101)/BH101*100)</f>
        <v>0</v>
      </c>
      <c r="BK101" s="942"/>
      <c r="BL101" s="942"/>
      <c r="BM101" s="222">
        <f>IF(BK101=0,0,(BL101-BK101)/BK101*100)</f>
        <v>0</v>
      </c>
      <c r="BN101" s="942"/>
      <c r="BO101" s="942"/>
      <c r="BP101" s="222">
        <f>IF(BN101=0,0,(BO101-BN101)/BN101*100)</f>
        <v>0</v>
      </c>
      <c r="BQ101" s="942"/>
      <c r="BR101" s="942"/>
      <c r="BS101" s="222">
        <f>IF(BQ101=0,0,(BR101-BQ101)/BQ101*100)</f>
        <v>0</v>
      </c>
      <c r="BT101" s="942"/>
      <c r="BU101" s="942"/>
      <c r="BV101" s="222">
        <f>IF(BT101=0,0,(BU101-BT101)/BT101*100)</f>
        <v>0</v>
      </c>
      <c r="BW101" s="942"/>
      <c r="BX101" s="942"/>
      <c r="BY101" s="222">
        <f>IF(BW101=0,0,(BX101-BW101)/BW101*100)</f>
        <v>0</v>
      </c>
      <c r="BZ101" s="942"/>
      <c r="CA101" s="942"/>
      <c r="CB101" s="222">
        <f>IF(BZ101=0,0,(CA101-BZ101)/BZ101*100)</f>
        <v>0</v>
      </c>
      <c r="CC101" s="942"/>
      <c r="CD101" s="942"/>
      <c r="CE101" s="222">
        <f>IF(CC101=0,0,(CD101-CC101)/CC101*100)</f>
        <v>0</v>
      </c>
      <c r="CF101" s="942"/>
      <c r="CG101" s="942"/>
      <c r="CH101" s="222">
        <f>IF(CF101=0,0,(CG101-CF101)/CF101*100)</f>
        <v>0</v>
      </c>
      <c r="CI101" s="942"/>
      <c r="CJ101" s="942"/>
      <c r="CK101" s="222">
        <f>IF(CI101=0,0,(CJ101-CI101)/CI101*100)</f>
        <v>0</v>
      </c>
      <c r="CL101" s="942"/>
      <c r="CM101" s="942"/>
      <c r="CN101" s="222">
        <f>IF(CL101=0,0,(CM101-CL101)/CL101*100)</f>
        <v>0</v>
      </c>
      <c r="CO101" s="942"/>
      <c r="CP101" s="942"/>
      <c r="CQ101" s="222">
        <f>IF(CO101=0,0,(CP101-CO101)/CO101*100)</f>
        <v>0</v>
      </c>
      <c r="CR101" s="942"/>
      <c r="CS101" s="942"/>
      <c r="CT101" s="222">
        <f>IF(CR101=0,0,(CS101-CR101)/CR101*100)</f>
        <v>0</v>
      </c>
      <c r="CU101" s="942"/>
      <c r="CV101" s="942"/>
      <c r="CW101" s="222">
        <f>IF(CU101=0,0,(CV101-CU101)/CU101*100)</f>
        <v>0</v>
      </c>
      <c r="CX101" s="942"/>
      <c r="CY101" s="942"/>
      <c r="CZ101" s="222">
        <f>IF(CX101=0,0,(CY101-CX101)/CX101*100)</f>
        <v>0</v>
      </c>
      <c r="DA101" s="942"/>
      <c r="DB101" s="942"/>
      <c r="DC101" s="222">
        <f>IF(DA101=0,0,(DB101-DA101)/DA101*100)</f>
        <v>0</v>
      </c>
      <c r="DD101" s="942"/>
      <c r="DE101" s="942"/>
      <c r="DF101" s="222">
        <f>IF(DD101=0,0,(DE101-DD101)/DD101*100)</f>
        <v>0</v>
      </c>
      <c r="DG101" s="942"/>
      <c r="DH101" s="942"/>
      <c r="DI101" s="222">
        <f>IF(DG101=0,0,(DH101-DG101)/DG101*100)</f>
        <v>0</v>
      </c>
      <c r="DJ101" s="942"/>
      <c r="DK101" s="942"/>
      <c r="DL101" s="222">
        <f>IF(DJ101=0,0,(DK101-DJ101)/DJ101*100)</f>
        <v>0</v>
      </c>
      <c r="DM101" s="942"/>
      <c r="DN101" s="942"/>
      <c r="DO101" s="222">
        <f>IF(DM101=0,0,(DN101-DM101)/DM101*100)</f>
        <v>0</v>
      </c>
      <c r="DP101" s="942"/>
      <c r="DQ101" s="942"/>
      <c r="DR101" s="222">
        <f>IF(DP101=0,0,(DQ101-DP101)/DP101*100)</f>
        <v>0</v>
      </c>
      <c r="DS101" s="942"/>
      <c r="DT101" s="942"/>
      <c r="DU101" s="222">
        <f>IF(DS101=0,0,(DT101-DS101)/DS101*100)</f>
        <v>0</v>
      </c>
      <c r="DV101" s="942"/>
      <c r="DW101" s="942"/>
      <c r="DX101" s="222">
        <f>IF(DV101=0,0,(DW101-DV101)/DV101*100)</f>
        <v>0</v>
      </c>
      <c r="DY101" s="942"/>
      <c r="DZ101" s="942"/>
      <c r="EA101" s="222">
        <f>IF(DY101=0,0,(DZ101-DY101)/DY101*100)</f>
        <v>0</v>
      </c>
      <c r="EB101" s="942"/>
      <c r="EC101" s="942"/>
      <c r="ED101" s="222">
        <f>IF(EB101=0,0,(EC101-EB101)/EB101*100)</f>
        <v>0</v>
      </c>
      <c r="EE101" s="942"/>
      <c r="EF101" s="942"/>
      <c r="EG101" s="222">
        <f>IF(EE101=0,0,(EF101-EE101)/EE101*100)</f>
        <v>0</v>
      </c>
      <c r="EH101" s="942"/>
      <c r="EI101" s="942"/>
      <c r="EJ101" s="222">
        <f>IF(EH101=0,0,(EI101-EH101)/EH101*100)</f>
        <v>0</v>
      </c>
      <c r="EK101" s="942"/>
      <c r="EL101" s="942"/>
      <c r="EM101" s="222">
        <f>IF(EK101=0,0,(EL101-EK101)/EK101*100)</f>
        <v>0</v>
      </c>
      <c r="EN101" s="942"/>
      <c r="EO101" s="942"/>
      <c r="EP101" s="222">
        <f>IF(EN101=0,0,(EO101-EN101)/EN101*100)</f>
        <v>0</v>
      </c>
      <c r="EQ101" s="942"/>
      <c r="ER101" s="942"/>
      <c r="ES101" s="222">
        <f>IF(EQ101=0,0,(ER101-EQ101)/EQ101*100)</f>
        <v>0</v>
      </c>
      <c r="ET101" s="942"/>
      <c r="EU101" s="942"/>
      <c r="EV101" s="222">
        <f>IF(ET101=0,0,(EU101-ET101)/ET101*100)</f>
        <v>0</v>
      </c>
      <c r="EW101" s="942"/>
      <c r="EX101" s="942"/>
      <c r="EY101" s="222">
        <f>IF(EW101=0,0,(EX101-EW101)/EW101*100)</f>
        <v>0</v>
      </c>
      <c r="EZ101" s="942"/>
      <c r="FA101" s="942"/>
      <c r="FB101" s="222">
        <f>IF(EZ101=0,0,(FA101-EZ101)/EZ101*100)</f>
        <v>0</v>
      </c>
      <c r="FC101" s="942"/>
      <c r="FD101" s="942"/>
      <c r="FE101" s="222">
        <f>IF(FC101=0,0,(FD101-FC101)/FC101*100)</f>
        <v>0</v>
      </c>
      <c r="FF101" s="942"/>
      <c r="FG101" s="942"/>
      <c r="FH101" s="222">
        <f>IF(FF101=0,0,(FG101-FF101)/FF101*100)</f>
        <v>0</v>
      </c>
      <c r="FI101" s="942"/>
      <c r="FJ101" s="942"/>
      <c r="FK101" s="222">
        <f>IF(FI101=0,0,(FJ101-FI101)/FI101*100)</f>
        <v>0</v>
      </c>
      <c r="FL101" s="942"/>
      <c r="FM101" s="942"/>
      <c r="FN101" s="222">
        <f>IF(FL101=0,0,(FM101-FL101)/FL101*100)</f>
        <v>0</v>
      </c>
      <c r="FO101" s="942"/>
      <c r="FP101" s="942"/>
      <c r="FQ101" s="222">
        <f>IF(FO101=0,0,(FP101-FO101)/FO101*100)</f>
        <v>0</v>
      </c>
      <c r="FR101" s="942"/>
      <c r="FS101" s="942"/>
      <c r="FT101" s="222">
        <f>IF(FR101=0,0,(FS101-FR101)/FR101*100)</f>
        <v>0</v>
      </c>
      <c r="FU101" s="942"/>
      <c r="FV101" s="942"/>
      <c r="FW101" s="222">
        <f>IF(FU101=0,0,(FV101-FU101)/FU101*100)</f>
        <v>0</v>
      </c>
      <c r="FX101" s="219"/>
      <c r="FY101" s="219"/>
      <c r="FZ101" s="700" t="s">
        <v>1639</v>
      </c>
      <c r="GA101" s="700"/>
      <c r="GB101" s="700"/>
      <c r="GC101" s="701"/>
      <c r="GD101" s="701"/>
    </row>
    <row r="102" spans="1:186" s="947" customFormat="1" ht="23.25" customHeight="1">
      <c r="A102" s="603"/>
      <c r="B102" s="622" t="b" cm="1">
        <f t="array" ref="B102">B101</f>
        <v>1</v>
      </c>
      <c r="C102" s="603"/>
      <c r="D102" s="603"/>
      <c r="E102" s="604">
        <v>24.5</v>
      </c>
      <c r="F102" s="3" t="str" cm="1">
        <f t="array" aca="1" ref="F102" ca="1">OFFSET(E102,-1,1)</f>
        <v>1</v>
      </c>
      <c r="G102" s="44" t="s">
        <v>1640</v>
      </c>
      <c r="H102" s="78" t="s">
        <v>461</v>
      </c>
      <c r="I102" s="78" t="s">
        <v>1641</v>
      </c>
      <c r="J102" s="603"/>
      <c r="K102" s="603"/>
      <c r="L102" s="78"/>
      <c r="M102" s="603"/>
      <c r="N102" s="603"/>
      <c r="O102" s="603"/>
      <c r="P102" s="603"/>
      <c r="Q102" s="603"/>
      <c r="R102" s="78"/>
      <c r="S102" s="78"/>
      <c r="T102" s="365" t="b" cm="1">
        <f t="array" ref="T102">T101</f>
        <v>1</v>
      </c>
      <c r="U102" s="603"/>
      <c r="V102" s="603"/>
      <c r="W102" s="603"/>
      <c r="X102" s="1094"/>
      <c r="Y102" s="603"/>
      <c r="Z102" s="1064"/>
      <c r="AA102" s="603"/>
      <c r="AB102" s="722" t="s">
        <v>1642</v>
      </c>
      <c r="AC102" s="221" t="s">
        <v>1624</v>
      </c>
      <c r="AD102" s="605">
        <f ca="1">IF(AND(method_reg="Метод индексации",god&lt;&gt;first_year),SUMIFS(INDEX('Калькуляция (МИ корр)'!$AJ$25:$BC$459,,MATCH(AD$8,'Калькуляция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(МИ)'!$AJ$25:$BC$459,,MATCH(AD$8,'Калькуляция (МИ)'!$AJ$8:$BC$8,0)),'Калькуляция (МИ)'!$F$25:$F$459,$F102,'Калькуляция (МИ)'!$G$25:$G$459,$G102))))</f>
        <v>83.784804402480361</v>
      </c>
      <c r="AE102" s="605">
        <f ca="1">IF(AND(method_reg="Метод индексации",god&lt;&gt;first_year),SUMIFS(INDEX('Калькуляция (МИ корр)'!$AJ$25:$BC$459,,MATCH(AE$8,'Калькуляция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(МИ)'!$AJ$25:$BC$459,,MATCH(AE$8,'Калькуляция (МИ)'!$AJ$8:$BC$8,0)),'Калькуляция (МИ)'!$F$25:$F$459,$F102,'Калькуляция (МИ)'!$G$25:$G$459,$G102))))</f>
        <v>54.094570604977697</v>
      </c>
      <c r="AF102" s="222">
        <f ca="1">IF(AD102=0,0,(AE102-AD102)/AD102*100)</f>
        <v>-35.436298991495548</v>
      </c>
      <c r="AG102" s="942">
        <f ca="1">IF(AND(method_reg="Метод индексации",god&lt;&gt;first_year),SUMIFS(INDEX('Калькуляция (МИ корр)'!$AJ$25:$BC$459,,MATCH(AG$8,'Калькуляция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(МИ)'!$AJ$25:$BC$459,,MATCH(AG$8,'Калькуляция (МИ)'!$AJ$8:$BC$8,0)),'Калькуляция (МИ)'!$F$25:$F$459,$F102,'Калькуляция (МИ)'!$G$25:$G$459,$G102))))</f>
        <v>0</v>
      </c>
      <c r="AH102" s="942">
        <f ca="1">IF(AND(method_reg="Метод индексации",god&lt;&gt;first_year),SUMIFS(INDEX('Калькуляция (МИ корр)'!$AJ$25:$BC$459,,MATCH(AH$8,'Калькуляция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(МИ)'!$AJ$25:$BC$459,,MATCH(AH$8,'Калькуляция (МИ)'!$AJ$8:$BC$8,0)),'Калькуляция (МИ)'!$F$25:$F$459,$F102,'Калькуляция (МИ)'!$G$25:$G$459,$G102))))</f>
        <v>0</v>
      </c>
      <c r="AI102" s="222">
        <f ca="1">IF(AG102=0,0,(AH102-AG102)/AG102*100)</f>
        <v>0</v>
      </c>
      <c r="AJ102" s="942">
        <f ca="1">IF(AND(method_reg="Метод индексации",god&lt;&gt;first_year),SUMIFS(INDEX('Калькуляция (МИ корр)'!$AJ$25:$BC$459,,MATCH(AJ$8,'Калькуляция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(МИ)'!$AJ$25:$BC$459,,MATCH(AJ$8,'Калькуляция (МИ)'!$AJ$8:$BC$8,0)),'Калькуляция (МИ)'!$F$25:$F$459,$F102,'Калькуляция (МИ)'!$G$25:$G$459,$G102))))</f>
        <v>0</v>
      </c>
      <c r="AK102" s="942">
        <f ca="1">IF(AND(method_reg="Метод индексации",god&lt;&gt;first_year),SUMIFS(INDEX('Калькуляция (МИ корр)'!$AJ$25:$BC$459,,MATCH(AK$8,'Калькуляция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(МИ)'!$AJ$25:$BC$459,,MATCH(AK$8,'Калькуляция (МИ)'!$AJ$8:$BC$8,0)),'Калькуляция (МИ)'!$F$25:$F$459,$F102,'Калькуляция (МИ)'!$G$25:$G$459,$G102))))</f>
        <v>0</v>
      </c>
      <c r="AL102" s="222">
        <f ca="1">IF(AJ102=0,0,(AK102-AJ102)/AJ102*100)</f>
        <v>0</v>
      </c>
      <c r="AM102" s="942">
        <f ca="1">IF(AND(method_reg="Метод индексации",god&lt;&gt;first_year),SUMIFS(INDEX('Калькуляция (МИ корр)'!$AJ$25:$BC$459,,MATCH(AM$8,'Калькуляция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(МИ)'!$AJ$25:$BC$459,,MATCH(AM$8,'Калькуляция (МИ)'!$AJ$8:$BC$8,0)),'Калькуляция (МИ)'!$F$25:$F$459,$F102,'Калькуляция (МИ)'!$G$25:$G$459,$G102))))</f>
        <v>0</v>
      </c>
      <c r="AN102" s="942">
        <f ca="1">IF(AND(method_reg="Метод индексации",god&lt;&gt;first_year),SUMIFS(INDEX('Калькуляция (МИ корр)'!$AJ$25:$BC$459,,MATCH(AN$8,'Калькуляция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(МИ)'!$AJ$25:$BC$459,,MATCH(AN$8,'Калькуляция (МИ)'!$AJ$8:$BC$8,0)),'Калькуляция (МИ)'!$F$25:$F$459,$F102,'Калькуляция (МИ)'!$G$25:$G$459,$G102))))</f>
        <v>0</v>
      </c>
      <c r="AO102" s="222">
        <f ca="1">IF(AM102=0,0,(AN102-AM102)/AM102*100)</f>
        <v>0</v>
      </c>
      <c r="AP102" s="942">
        <f ca="1">IF(AND(method_reg="Метод индексации",god&lt;&gt;first_year),SUMIFS(INDEX('Калькуляция (МИ корр)'!$AJ$25:$BC$459,,MATCH(AP$8,'Калькуляция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(МИ)'!$AJ$25:$BC$459,,MATCH(AP$8,'Калькуляция (МИ)'!$AJ$8:$BC$8,0)),'Калькуляция (МИ)'!$F$25:$F$459,$F102,'Калькуляция (МИ)'!$G$25:$G$459,$G102))))</f>
        <v>0</v>
      </c>
      <c r="AQ102" s="942">
        <f ca="1">IF(AND(method_reg="Метод индексации",god&lt;&gt;first_year),SUMIFS(INDEX('Калькуляция (МИ корр)'!$AJ$25:$BC$459,,MATCH(AQ$8,'Калькуляция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(МИ)'!$AJ$25:$BC$459,,MATCH(AQ$8,'Калькуляция (МИ)'!$AJ$8:$BC$8,0)),'Калькуляция (МИ)'!$F$25:$F$459,$F102,'Калькуляция (МИ)'!$G$25:$G$459,$G102))))</f>
        <v>0</v>
      </c>
      <c r="AR102" s="222">
        <f ca="1">IF(AP102=0,0,(AQ102-AP102)/AP102*100)</f>
        <v>0</v>
      </c>
      <c r="AS102" s="942">
        <f ca="1">IF(AND(method_reg="Метод индексации",god&lt;&gt;first_year),SUMIFS(INDEX('Калькуляция (МИ корр)'!$AJ$25:$BC$459,,MATCH(AS$8,'Калькуляция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(МИ)'!$AJ$25:$BC$459,,MATCH(AS$8,'Калькуляция (МИ)'!$AJ$8:$BC$8,0)),'Калькуляция (МИ)'!$F$25:$F$459,$F102,'Калькуляция (МИ)'!$G$25:$G$459,$G102))))</f>
        <v>0</v>
      </c>
      <c r="AT102" s="942">
        <f ca="1">IF(AND(method_reg="Метод индексации",god&lt;&gt;first_year),SUMIFS(INDEX('Калькуляция (МИ корр)'!$AJ$25:$BC$459,,MATCH(AT$8,'Калькуляция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(МИ)'!$AJ$25:$BC$459,,MATCH(AT$8,'Калькуляция (МИ)'!$AJ$8:$BC$8,0)),'Калькуляция (МИ)'!$F$25:$F$459,$F102,'Калькуляция (МИ)'!$G$25:$G$459,$G102))))</f>
        <v>0</v>
      </c>
      <c r="AU102" s="222">
        <f ca="1">IF(AS102=0,0,(AT102-AS102)/AS102*100)</f>
        <v>0</v>
      </c>
      <c r="AV102" s="942">
        <f ca="1">IF(AND(method_reg="Метод индексации",god&lt;&gt;first_year),SUMIFS(INDEX('Калькуляция (МИ корр)'!$AJ$25:$BC$459,,MATCH(AV$8,'Калькуляция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(МИ)'!$AJ$25:$BC$459,,MATCH(AV$8,'Калькуляция (МИ)'!$AJ$8:$BC$8,0)),'Калькуляция (МИ)'!$F$25:$F$459,$F102,'Калькуляция (МИ)'!$G$25:$G$459,$G102))))</f>
        <v>0</v>
      </c>
      <c r="AW102" s="942">
        <f ca="1">IF(AND(method_reg="Метод индексации",god&lt;&gt;first_year),SUMIFS(INDEX('Калькуляция (МИ корр)'!$AJ$25:$BC$459,,MATCH(AW$8,'Калькуляция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(МИ)'!$AJ$25:$BC$459,,MATCH(AW$8,'Калькуляция (МИ)'!$AJ$8:$BC$8,0)),'Калькуляция (МИ)'!$F$25:$F$459,$F102,'Калькуляция (МИ)'!$G$25:$G$459,$G102))))</f>
        <v>0</v>
      </c>
      <c r="AX102" s="222">
        <f ca="1">IF(AV102=0,0,(AW102-AV102)/AV102*100)</f>
        <v>0</v>
      </c>
      <c r="AY102" s="942">
        <f ca="1">IF(AND(method_reg="Метод индексации",god&lt;&gt;first_year),SUMIFS(INDEX('Калькуляция (МИ корр)'!$AJ$25:$BC$459,,MATCH(AY$8,'Калькуляция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(МИ)'!$AJ$25:$BC$459,,MATCH(AY$8,'Калькуляция (МИ)'!$AJ$8:$BC$8,0)),'Калькуляция (МИ)'!$F$25:$F$459,$F102,'Калькуляция (МИ)'!$G$25:$G$459,$G102))))</f>
        <v>0</v>
      </c>
      <c r="AZ102" s="942">
        <f ca="1">IF(AND(method_reg="Метод индексации",god&lt;&gt;first_year),SUMIFS(INDEX('Калькуляция (МИ корр)'!$AJ$25:$BC$459,,MATCH(AZ$8,'Калькуляция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(МИ)'!$AJ$25:$BC$459,,MATCH(AZ$8,'Калькуляция (МИ)'!$AJ$8:$BC$8,0)),'Калькуляция (МИ)'!$F$25:$F$459,$F102,'Калькуляция (МИ)'!$G$25:$G$459,$G102))))</f>
        <v>0</v>
      </c>
      <c r="BA102" s="222">
        <f ca="1">IF(AY102=0,0,(AZ102-AY102)/AY102*100)</f>
        <v>0</v>
      </c>
      <c r="BB102" s="942">
        <f ca="1">IF(AND(method_reg="Метод индексации",god&lt;&gt;first_year),SUMIFS(INDEX('Калькуляция (МИ корр)'!$AJ$25:$BC$459,,MATCH(BB$8,'Калькуляция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(МИ)'!$AJ$25:$BC$459,,MATCH(BB$8,'Калькуляция (МИ)'!$AJ$8:$BC$8,0)),'Калькуляция (МИ)'!$F$25:$F$459,$F102,'Калькуляция (МИ)'!$G$25:$G$459,$G102))))</f>
        <v>0</v>
      </c>
      <c r="BC102" s="942">
        <f ca="1">IF(AND(method_reg="Метод индексации",god&lt;&gt;first_year),SUMIFS(INDEX('Калькуляция (МИ корр)'!$AJ$25:$BC$459,,MATCH(BC$8,'Калькуляция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(МИ)'!$AJ$25:$BC$459,,MATCH(BC$8,'Калькуляция (МИ)'!$AJ$8:$BC$8,0)),'Калькуляция (МИ)'!$F$25:$F$459,$F102,'Калькуляция (МИ)'!$G$25:$G$459,$G102))))</f>
        <v>0</v>
      </c>
      <c r="BD102" s="222">
        <f ca="1">IF(BB102=0,0,(BC102-BB102)/BB102*100)</f>
        <v>0</v>
      </c>
      <c r="BE102" s="942">
        <f ca="1">IF(AND(method_reg="Метод индексации",god&lt;&gt;first_year),SUMIFS(INDEX('Калькуляция (МИ корр)'!$AJ$25:$BC$459,,MATCH(BE$8,'Калькуляция (МИ корр)'!$AJ$8:$BC$8,0)),'Калькуляция (МИ корр)'!$F$25:$F$459,$F102,'Калькуляция (МИ корр)'!$G$25:$G$459,$G102),IF(method_reg="Метод экономически обоснованных расходов",SUMIFS('Калькуляция (МЭОР)'!$AJ$25:$AJ$282,'Калькуляция (МЭОР)'!$F$25:$F$282,$F102,'Калькуляция (МЭОР)'!$G$25:$G$282,$G102),IF(method_reg="Метод сравнения аналогов",SUMIFS('Калькуляция (МСА)'!$AE$25:$AE$84,'Калькуляция (МСА)'!$F$25:$F$84,$F102,'Калькуляция (МСА)'!$G$25:$G$84,$G102),SUMIFS(INDEX('Калькуляция (МИ)'!$AJ$25:$BC$459,,MATCH(BE$8,'Калькуляция (МИ)'!$AJ$8:$BC$8,0)),'Калькуляция (МИ)'!$F$25:$F$459,$F102,'Калькуляция (МИ)'!$G$25:$G$459,$G102))))</f>
        <v>0</v>
      </c>
      <c r="BF102" s="942">
        <f ca="1">IF(AND(method_reg="Метод индексации",god&lt;&gt;first_year),SUMIFS(INDEX('Калькуляция (МИ корр)'!$AJ$25:$BC$459,,MATCH(BF$8,'Калькуляция (МИ корр)'!$AJ$8:$BC$8,0)),'Калькуляция (МИ корр)'!$F$25:$F$459,$F102,'Калькуляция (МИ корр)'!$G$25:$G$459,$G102),IF(method_reg="Метод экономически обоснованных расходов",SUMIFS('Калькуляция (МЭОР)'!$AK$25:$AK$282,'Калькуляция (МЭОР)'!$F$25:$F$282,$F102,'Калькуляция (МЭОР)'!$G$25:$G$282,$G102),IF(method_reg="Метод сравнения аналогов",SUMIFS('Калькуляция (МСА)'!$AF$25:$AF$84,'Калькуляция (МСА)'!$F$25:$F$84,$F102,'Калькуляция (МСА)'!$G$25:$G$84,$G102),SUMIFS(INDEX('Калькуляция (МИ)'!$AJ$25:$BC$459,,MATCH(BF$8,'Калькуляция (МИ)'!$AJ$8:$BC$8,0)),'Калькуляция (МИ)'!$F$25:$F$459,$F102,'Калькуляция (МИ)'!$G$25:$G$459,$G102))))</f>
        <v>0</v>
      </c>
      <c r="BG102" s="222">
        <f ca="1">IF(BE102=0,0,(BF102-BE102)/BE102*100)</f>
        <v>0</v>
      </c>
      <c r="BH102" s="942"/>
      <c r="BI102" s="942"/>
      <c r="BJ102" s="222">
        <f>IF(BH102=0,0,(BI102-BH102)/BH102*100)</f>
        <v>0</v>
      </c>
      <c r="BK102" s="942"/>
      <c r="BL102" s="942"/>
      <c r="BM102" s="222">
        <f>IF(BK102=0,0,(BL102-BK102)/BK102*100)</f>
        <v>0</v>
      </c>
      <c r="BN102" s="942"/>
      <c r="BO102" s="942"/>
      <c r="BP102" s="222">
        <f>IF(BN102=0,0,(BO102-BN102)/BN102*100)</f>
        <v>0</v>
      </c>
      <c r="BQ102" s="942"/>
      <c r="BR102" s="942"/>
      <c r="BS102" s="222">
        <f>IF(BQ102=0,0,(BR102-BQ102)/BQ102*100)</f>
        <v>0</v>
      </c>
      <c r="BT102" s="942"/>
      <c r="BU102" s="942"/>
      <c r="BV102" s="222">
        <f>IF(BT102=0,0,(BU102-BT102)/BT102*100)</f>
        <v>0</v>
      </c>
      <c r="BW102" s="942"/>
      <c r="BX102" s="942"/>
      <c r="BY102" s="222">
        <f>IF(BW102=0,0,(BX102-BW102)/BW102*100)</f>
        <v>0</v>
      </c>
      <c r="BZ102" s="942"/>
      <c r="CA102" s="942"/>
      <c r="CB102" s="222">
        <f>IF(BZ102=0,0,(CA102-BZ102)/BZ102*100)</f>
        <v>0</v>
      </c>
      <c r="CC102" s="942"/>
      <c r="CD102" s="942"/>
      <c r="CE102" s="222">
        <f>IF(CC102=0,0,(CD102-CC102)/CC102*100)</f>
        <v>0</v>
      </c>
      <c r="CF102" s="942"/>
      <c r="CG102" s="942"/>
      <c r="CH102" s="222">
        <f>IF(CF102=0,0,(CG102-CF102)/CF102*100)</f>
        <v>0</v>
      </c>
      <c r="CI102" s="942"/>
      <c r="CJ102" s="942"/>
      <c r="CK102" s="222">
        <f>IF(CI102=0,0,(CJ102-CI102)/CI102*100)</f>
        <v>0</v>
      </c>
      <c r="CL102" s="942"/>
      <c r="CM102" s="942"/>
      <c r="CN102" s="222">
        <f>IF(CL102=0,0,(CM102-CL102)/CL102*100)</f>
        <v>0</v>
      </c>
      <c r="CO102" s="942"/>
      <c r="CP102" s="942"/>
      <c r="CQ102" s="222">
        <f>IF(CO102=0,0,(CP102-CO102)/CO102*100)</f>
        <v>0</v>
      </c>
      <c r="CR102" s="942"/>
      <c r="CS102" s="942"/>
      <c r="CT102" s="222">
        <f>IF(CR102=0,0,(CS102-CR102)/CR102*100)</f>
        <v>0</v>
      </c>
      <c r="CU102" s="942"/>
      <c r="CV102" s="942"/>
      <c r="CW102" s="222">
        <f>IF(CU102=0,0,(CV102-CU102)/CU102*100)</f>
        <v>0</v>
      </c>
      <c r="CX102" s="942"/>
      <c r="CY102" s="942"/>
      <c r="CZ102" s="222">
        <f>IF(CX102=0,0,(CY102-CX102)/CX102*100)</f>
        <v>0</v>
      </c>
      <c r="DA102" s="942"/>
      <c r="DB102" s="942"/>
      <c r="DC102" s="222">
        <f>IF(DA102=0,0,(DB102-DA102)/DA102*100)</f>
        <v>0</v>
      </c>
      <c r="DD102" s="942"/>
      <c r="DE102" s="942"/>
      <c r="DF102" s="222">
        <f>IF(DD102=0,0,(DE102-DD102)/DD102*100)</f>
        <v>0</v>
      </c>
      <c r="DG102" s="942"/>
      <c r="DH102" s="942"/>
      <c r="DI102" s="222">
        <f>IF(DG102=0,0,(DH102-DG102)/DG102*100)</f>
        <v>0</v>
      </c>
      <c r="DJ102" s="942"/>
      <c r="DK102" s="942"/>
      <c r="DL102" s="222">
        <f>IF(DJ102=0,0,(DK102-DJ102)/DJ102*100)</f>
        <v>0</v>
      </c>
      <c r="DM102" s="942"/>
      <c r="DN102" s="942"/>
      <c r="DO102" s="222">
        <f>IF(DM102=0,0,(DN102-DM102)/DM102*100)</f>
        <v>0</v>
      </c>
      <c r="DP102" s="942"/>
      <c r="DQ102" s="942"/>
      <c r="DR102" s="222">
        <f>IF(DP102=0,0,(DQ102-DP102)/DP102*100)</f>
        <v>0</v>
      </c>
      <c r="DS102" s="942"/>
      <c r="DT102" s="942"/>
      <c r="DU102" s="222">
        <f>IF(DS102=0,0,(DT102-DS102)/DS102*100)</f>
        <v>0</v>
      </c>
      <c r="DV102" s="942"/>
      <c r="DW102" s="942"/>
      <c r="DX102" s="222">
        <f>IF(DV102=0,0,(DW102-DV102)/DV102*100)</f>
        <v>0</v>
      </c>
      <c r="DY102" s="942"/>
      <c r="DZ102" s="942"/>
      <c r="EA102" s="222">
        <f>IF(DY102=0,0,(DZ102-DY102)/DY102*100)</f>
        <v>0</v>
      </c>
      <c r="EB102" s="942"/>
      <c r="EC102" s="942"/>
      <c r="ED102" s="222">
        <f>IF(EB102=0,0,(EC102-EB102)/EB102*100)</f>
        <v>0</v>
      </c>
      <c r="EE102" s="942"/>
      <c r="EF102" s="942"/>
      <c r="EG102" s="222">
        <f>IF(EE102=0,0,(EF102-EE102)/EE102*100)</f>
        <v>0</v>
      </c>
      <c r="EH102" s="942"/>
      <c r="EI102" s="942"/>
      <c r="EJ102" s="222">
        <f>IF(EH102=0,0,(EI102-EH102)/EH102*100)</f>
        <v>0</v>
      </c>
      <c r="EK102" s="942"/>
      <c r="EL102" s="942"/>
      <c r="EM102" s="222">
        <f>IF(EK102=0,0,(EL102-EK102)/EK102*100)</f>
        <v>0</v>
      </c>
      <c r="EN102" s="942"/>
      <c r="EO102" s="942"/>
      <c r="EP102" s="222">
        <f>IF(EN102=0,0,(EO102-EN102)/EN102*100)</f>
        <v>0</v>
      </c>
      <c r="EQ102" s="942"/>
      <c r="ER102" s="942"/>
      <c r="ES102" s="222">
        <f>IF(EQ102=0,0,(ER102-EQ102)/EQ102*100)</f>
        <v>0</v>
      </c>
      <c r="ET102" s="942"/>
      <c r="EU102" s="942"/>
      <c r="EV102" s="222">
        <f>IF(ET102=0,0,(EU102-ET102)/ET102*100)</f>
        <v>0</v>
      </c>
      <c r="EW102" s="942"/>
      <c r="EX102" s="942"/>
      <c r="EY102" s="222">
        <f>IF(EW102=0,0,(EX102-EW102)/EW102*100)</f>
        <v>0</v>
      </c>
      <c r="EZ102" s="942"/>
      <c r="FA102" s="942"/>
      <c r="FB102" s="222">
        <f>IF(EZ102=0,0,(FA102-EZ102)/EZ102*100)</f>
        <v>0</v>
      </c>
      <c r="FC102" s="942"/>
      <c r="FD102" s="942"/>
      <c r="FE102" s="222">
        <f>IF(FC102=0,0,(FD102-FC102)/FC102*100)</f>
        <v>0</v>
      </c>
      <c r="FF102" s="942"/>
      <c r="FG102" s="942"/>
      <c r="FH102" s="222">
        <f>IF(FF102=0,0,(FG102-FF102)/FF102*100)</f>
        <v>0</v>
      </c>
      <c r="FI102" s="942"/>
      <c r="FJ102" s="942"/>
      <c r="FK102" s="222">
        <f>IF(FI102=0,0,(FJ102-FI102)/FI102*100)</f>
        <v>0</v>
      </c>
      <c r="FL102" s="942"/>
      <c r="FM102" s="942"/>
      <c r="FN102" s="222">
        <f>IF(FL102=0,0,(FM102-FL102)/FL102*100)</f>
        <v>0</v>
      </c>
      <c r="FO102" s="942"/>
      <c r="FP102" s="942"/>
      <c r="FQ102" s="222">
        <f>IF(FO102=0,0,(FP102-FO102)/FO102*100)</f>
        <v>0</v>
      </c>
      <c r="FR102" s="942"/>
      <c r="FS102" s="942"/>
      <c r="FT102" s="222">
        <f>IF(FR102=0,0,(FS102-FR102)/FR102*100)</f>
        <v>0</v>
      </c>
      <c r="FU102" s="942"/>
      <c r="FV102" s="942"/>
      <c r="FW102" s="222">
        <f>IF(FU102=0,0,(FV102-FU102)/FU102*100)</f>
        <v>0</v>
      </c>
      <c r="FX102" s="219"/>
      <c r="FY102" s="219"/>
      <c r="FZ102" s="700" t="s">
        <v>1643</v>
      </c>
      <c r="GA102" s="700"/>
      <c r="GB102" s="700"/>
      <c r="GC102" s="701"/>
      <c r="GD102" s="701"/>
    </row>
    <row r="103" spans="1:186" ht="14.25" customHeight="1">
      <c r="A103" s="78"/>
      <c r="B103" s="622" t="b" cm="1">
        <f t="array" ref="B103">B102</f>
        <v>1</v>
      </c>
      <c r="C103" s="78"/>
      <c r="D103" s="78"/>
      <c r="E103" s="473">
        <v>15</v>
      </c>
      <c r="F103" s="3" t="str" cm="1">
        <f t="array" aca="1" ref="F103" ca="1">OFFSET(E103,-1,1)</f>
        <v>1</v>
      </c>
      <c r="G103" s="44"/>
      <c r="H103" s="78" t="s">
        <v>465</v>
      </c>
      <c r="I103" s="78" t="s">
        <v>1644</v>
      </c>
      <c r="J103" s="78"/>
      <c r="K103" s="78"/>
      <c r="L103" s="78"/>
      <c r="M103" s="78"/>
      <c r="N103" s="78"/>
      <c r="O103" s="78"/>
      <c r="P103" s="78"/>
      <c r="Q103" s="603"/>
      <c r="R103" s="78"/>
      <c r="S103" s="78"/>
      <c r="T103" s="365" t="b" cm="1">
        <f t="array" ref="T103">T102</f>
        <v>1</v>
      </c>
      <c r="U103" s="78"/>
      <c r="V103" s="78"/>
      <c r="W103" s="78"/>
      <c r="X103" s="1094"/>
      <c r="Y103" s="78"/>
      <c r="Z103" s="1064"/>
      <c r="AA103" s="78"/>
      <c r="AB103" s="73" t="s">
        <v>1631</v>
      </c>
      <c r="AC103" s="31" t="s">
        <v>456</v>
      </c>
      <c r="AD103" s="629">
        <f ca="1">IF(AD101=0,0,AD102/AD101)*100</f>
        <v>99.999979117208042</v>
      </c>
      <c r="AE103" s="629">
        <f ca="1">IF(AE101=0,0,AE102/AE101)*100</f>
        <v>114.5865696903376</v>
      </c>
      <c r="AF103" s="723"/>
      <c r="AG103" s="629">
        <f ca="1">IF(AG101=0,0,AG102/AG101)*100</f>
        <v>0</v>
      </c>
      <c r="AH103" s="629">
        <f ca="1">IF(AH101=0,0,AH102/AH101)*100</f>
        <v>0</v>
      </c>
      <c r="AI103" s="723"/>
      <c r="AJ103" s="629">
        <f ca="1">IF(AJ101=0,0,AJ102/AJ101)*100</f>
        <v>0</v>
      </c>
      <c r="AK103" s="629">
        <f ca="1">IF(AK101=0,0,AK102/AK101)*100</f>
        <v>0</v>
      </c>
      <c r="AL103" s="723"/>
      <c r="AM103" s="629">
        <f ca="1">IF(AM101=0,0,AM102/AM101)*100</f>
        <v>0</v>
      </c>
      <c r="AN103" s="629">
        <f ca="1">IF(AN101=0,0,AN102/AN101)*100</f>
        <v>0</v>
      </c>
      <c r="AO103" s="723"/>
      <c r="AP103" s="629">
        <f ca="1">IF(AP101=0,0,AP102/AP101)*100</f>
        <v>0</v>
      </c>
      <c r="AQ103" s="629">
        <f ca="1">IF(AQ101=0,0,AQ102/AQ101)*100</f>
        <v>0</v>
      </c>
      <c r="AR103" s="723"/>
      <c r="AS103" s="629">
        <f ca="1">IF(AS101=0,0,AS102/AS101)*100</f>
        <v>0</v>
      </c>
      <c r="AT103" s="629">
        <f ca="1">IF(AT101=0,0,AT102/AT101)*100</f>
        <v>0</v>
      </c>
      <c r="AU103" s="723"/>
      <c r="AV103" s="629">
        <f ca="1">IF(AV101=0,0,AV102/AV101)*100</f>
        <v>0</v>
      </c>
      <c r="AW103" s="629">
        <f ca="1">IF(AW101=0,0,AW102/AW101)*100</f>
        <v>0</v>
      </c>
      <c r="AX103" s="723"/>
      <c r="AY103" s="629">
        <f ca="1">IF(AY101=0,0,AY102/AY101)*100</f>
        <v>0</v>
      </c>
      <c r="AZ103" s="629">
        <f ca="1">IF(AZ101=0,0,AZ102/AZ101)*100</f>
        <v>0</v>
      </c>
      <c r="BA103" s="723"/>
      <c r="BB103" s="629">
        <f ca="1">IF(BB101=0,0,BB102/BB101)*100</f>
        <v>0</v>
      </c>
      <c r="BC103" s="629">
        <f ca="1">IF(BC101=0,0,BC102/BC101)*100</f>
        <v>0</v>
      </c>
      <c r="BD103" s="723"/>
      <c r="BE103" s="629">
        <f ca="1">IF(BE101=0,0,BE102/BE101)*100</f>
        <v>0</v>
      </c>
      <c r="BF103" s="629">
        <f ca="1">IF(BF101=0,0,BF102/BF101)*100</f>
        <v>0</v>
      </c>
      <c r="BG103" s="723"/>
      <c r="BH103" s="629">
        <f>IF(BH101=0,0,BH102/BH101)*100</f>
        <v>0</v>
      </c>
      <c r="BI103" s="629">
        <f>IF(BI101=0,0,BI102/BI101)*100</f>
        <v>0</v>
      </c>
      <c r="BJ103" s="723"/>
      <c r="BK103" s="629">
        <f>IF(BK101=0,0,BK102/BK101)*100</f>
        <v>0</v>
      </c>
      <c r="BL103" s="629">
        <f>IF(BL101=0,0,BL102/BL101)*100</f>
        <v>0</v>
      </c>
      <c r="BM103" s="723"/>
      <c r="BN103" s="629">
        <f>IF(BN101=0,0,BN102/BN101)*100</f>
        <v>0</v>
      </c>
      <c r="BO103" s="629">
        <f>IF(BO101=0,0,BO102/BO101)*100</f>
        <v>0</v>
      </c>
      <c r="BP103" s="723"/>
      <c r="BQ103" s="629">
        <f>IF(BQ101=0,0,BQ102/BQ101)*100</f>
        <v>0</v>
      </c>
      <c r="BR103" s="629">
        <f>IF(BR101=0,0,BR102/BR101)*100</f>
        <v>0</v>
      </c>
      <c r="BS103" s="723"/>
      <c r="BT103" s="629">
        <f>IF(BT101=0,0,BT102/BT101)*100</f>
        <v>0</v>
      </c>
      <c r="BU103" s="629">
        <f>IF(BU101=0,0,BU102/BU101)*100</f>
        <v>0</v>
      </c>
      <c r="BV103" s="723"/>
      <c r="BW103" s="629">
        <f>IF(BW101=0,0,BW102/BW101)*100</f>
        <v>0</v>
      </c>
      <c r="BX103" s="629">
        <f>IF(BX101=0,0,BX102/BX101)*100</f>
        <v>0</v>
      </c>
      <c r="BY103" s="723"/>
      <c r="BZ103" s="629">
        <f>IF(BZ101=0,0,BZ102/BZ101)*100</f>
        <v>0</v>
      </c>
      <c r="CA103" s="629">
        <f>IF(CA101=0,0,CA102/CA101)*100</f>
        <v>0</v>
      </c>
      <c r="CB103" s="723"/>
      <c r="CC103" s="629">
        <f>IF(CC101=0,0,CC102/CC101)*100</f>
        <v>0</v>
      </c>
      <c r="CD103" s="629">
        <f>IF(CD101=0,0,CD102/CD101)*100</f>
        <v>0</v>
      </c>
      <c r="CE103" s="723"/>
      <c r="CF103" s="629">
        <f>IF(CF101=0,0,CF102/CF101)*100</f>
        <v>0</v>
      </c>
      <c r="CG103" s="629">
        <f>IF(CG101=0,0,CG102/CG101)*100</f>
        <v>0</v>
      </c>
      <c r="CH103" s="723"/>
      <c r="CI103" s="629">
        <f>IF(CI101=0,0,CI102/CI101)*100</f>
        <v>0</v>
      </c>
      <c r="CJ103" s="629">
        <f>IF(CJ101=0,0,CJ102/CJ101)*100</f>
        <v>0</v>
      </c>
      <c r="CK103" s="723"/>
      <c r="CL103" s="629">
        <f>IF(CL101=0,0,CL102/CL101)*100</f>
        <v>0</v>
      </c>
      <c r="CM103" s="629">
        <f>IF(CM101=0,0,CM102/CM101)*100</f>
        <v>0</v>
      </c>
      <c r="CN103" s="723"/>
      <c r="CO103" s="629">
        <f>IF(CO101=0,0,CO102/CO101)*100</f>
        <v>0</v>
      </c>
      <c r="CP103" s="629">
        <f>IF(CP101=0,0,CP102/CP101)*100</f>
        <v>0</v>
      </c>
      <c r="CQ103" s="723"/>
      <c r="CR103" s="629">
        <f>IF(CR101=0,0,CR102/CR101)*100</f>
        <v>0</v>
      </c>
      <c r="CS103" s="629">
        <f>IF(CS101=0,0,CS102/CS101)*100</f>
        <v>0</v>
      </c>
      <c r="CT103" s="723"/>
      <c r="CU103" s="629">
        <f>IF(CU101=0,0,CU102/CU101)*100</f>
        <v>0</v>
      </c>
      <c r="CV103" s="629">
        <f>IF(CV101=0,0,CV102/CV101)*100</f>
        <v>0</v>
      </c>
      <c r="CW103" s="723"/>
      <c r="CX103" s="629">
        <f>IF(CX101=0,0,CX102/CX101)*100</f>
        <v>0</v>
      </c>
      <c r="CY103" s="629">
        <f>IF(CY101=0,0,CY102/CY101)*100</f>
        <v>0</v>
      </c>
      <c r="CZ103" s="723"/>
      <c r="DA103" s="629">
        <f>IF(DA101=0,0,DA102/DA101)*100</f>
        <v>0</v>
      </c>
      <c r="DB103" s="629">
        <f>IF(DB101=0,0,DB102/DB101)*100</f>
        <v>0</v>
      </c>
      <c r="DC103" s="723"/>
      <c r="DD103" s="629">
        <f>IF(DD101=0,0,DD102/DD101)*100</f>
        <v>0</v>
      </c>
      <c r="DE103" s="629">
        <f>IF(DE101=0,0,DE102/DE101)*100</f>
        <v>0</v>
      </c>
      <c r="DF103" s="723"/>
      <c r="DG103" s="629">
        <f>IF(DG101=0,0,DG102/DG101)*100</f>
        <v>0</v>
      </c>
      <c r="DH103" s="629">
        <f>IF(DH101=0,0,DH102/DH101)*100</f>
        <v>0</v>
      </c>
      <c r="DI103" s="723"/>
      <c r="DJ103" s="629">
        <f>IF(DJ101=0,0,DJ102/DJ101)*100</f>
        <v>0</v>
      </c>
      <c r="DK103" s="629">
        <f>IF(DK101=0,0,DK102/DK101)*100</f>
        <v>0</v>
      </c>
      <c r="DL103" s="723"/>
      <c r="DM103" s="629">
        <f>IF(DM101=0,0,DM102/DM101)*100</f>
        <v>0</v>
      </c>
      <c r="DN103" s="629">
        <f>IF(DN101=0,0,DN102/DN101)*100</f>
        <v>0</v>
      </c>
      <c r="DO103" s="723"/>
      <c r="DP103" s="629">
        <f>IF(DP101=0,0,DP102/DP101)*100</f>
        <v>0</v>
      </c>
      <c r="DQ103" s="629">
        <f>IF(DQ101=0,0,DQ102/DQ101)*100</f>
        <v>0</v>
      </c>
      <c r="DR103" s="723"/>
      <c r="DS103" s="629">
        <f>IF(DS101=0,0,DS102/DS101)*100</f>
        <v>0</v>
      </c>
      <c r="DT103" s="629">
        <f>IF(DT101=0,0,DT102/DT101)*100</f>
        <v>0</v>
      </c>
      <c r="DU103" s="723"/>
      <c r="DV103" s="629">
        <f>IF(DV101=0,0,DV102/DV101)*100</f>
        <v>0</v>
      </c>
      <c r="DW103" s="629">
        <f>IF(DW101=0,0,DW102/DW101)*100</f>
        <v>0</v>
      </c>
      <c r="DX103" s="723"/>
      <c r="DY103" s="629">
        <f>IF(DY101=0,0,DY102/DY101)*100</f>
        <v>0</v>
      </c>
      <c r="DZ103" s="629">
        <f>IF(DZ101=0,0,DZ102/DZ101)*100</f>
        <v>0</v>
      </c>
      <c r="EA103" s="723"/>
      <c r="EB103" s="629">
        <f>IF(EB101=0,0,EB102/EB101)*100</f>
        <v>0</v>
      </c>
      <c r="EC103" s="629">
        <f>IF(EC101=0,0,EC102/EC101)*100</f>
        <v>0</v>
      </c>
      <c r="ED103" s="723"/>
      <c r="EE103" s="629">
        <f>IF(EE101=0,0,EE102/EE101)*100</f>
        <v>0</v>
      </c>
      <c r="EF103" s="629">
        <f>IF(EF101=0,0,EF102/EF101)*100</f>
        <v>0</v>
      </c>
      <c r="EG103" s="723"/>
      <c r="EH103" s="629">
        <f>IF(EH101=0,0,EH102/EH101)*100</f>
        <v>0</v>
      </c>
      <c r="EI103" s="629">
        <f>IF(EI101=0,0,EI102/EI101)*100</f>
        <v>0</v>
      </c>
      <c r="EJ103" s="723"/>
      <c r="EK103" s="629">
        <f>IF(EK101=0,0,EK102/EK101)*100</f>
        <v>0</v>
      </c>
      <c r="EL103" s="629">
        <f>IF(EL101=0,0,EL102/EL101)*100</f>
        <v>0</v>
      </c>
      <c r="EM103" s="723"/>
      <c r="EN103" s="629">
        <f>IF(EN101=0,0,EN102/EN101)*100</f>
        <v>0</v>
      </c>
      <c r="EO103" s="629">
        <f>IF(EO101=0,0,EO102/EO101)*100</f>
        <v>0</v>
      </c>
      <c r="EP103" s="723"/>
      <c r="EQ103" s="629">
        <f>IF(EQ101=0,0,EQ102/EQ101)*100</f>
        <v>0</v>
      </c>
      <c r="ER103" s="629">
        <f>IF(ER101=0,0,ER102/ER101)*100</f>
        <v>0</v>
      </c>
      <c r="ES103" s="723"/>
      <c r="ET103" s="629">
        <f>IF(ET101=0,0,ET102/ET101)*100</f>
        <v>0</v>
      </c>
      <c r="EU103" s="629">
        <f>IF(EU101=0,0,EU102/EU101)*100</f>
        <v>0</v>
      </c>
      <c r="EV103" s="723"/>
      <c r="EW103" s="629">
        <f>IF(EW101=0,0,EW102/EW101)*100</f>
        <v>0</v>
      </c>
      <c r="EX103" s="629">
        <f>IF(EX101=0,0,EX102/EX101)*100</f>
        <v>0</v>
      </c>
      <c r="EY103" s="723"/>
      <c r="EZ103" s="629">
        <f>IF(EZ101=0,0,EZ102/EZ101)*100</f>
        <v>0</v>
      </c>
      <c r="FA103" s="629">
        <f>IF(FA101=0,0,FA102/FA101)*100</f>
        <v>0</v>
      </c>
      <c r="FB103" s="723"/>
      <c r="FC103" s="629">
        <f>IF(FC101=0,0,FC102/FC101)*100</f>
        <v>0</v>
      </c>
      <c r="FD103" s="629">
        <f>IF(FD101=0,0,FD102/FD101)*100</f>
        <v>0</v>
      </c>
      <c r="FE103" s="723"/>
      <c r="FF103" s="629">
        <f>IF(FF101=0,0,FF102/FF101)*100</f>
        <v>0</v>
      </c>
      <c r="FG103" s="629">
        <f>IF(FG101=0,0,FG102/FG101)*100</f>
        <v>0</v>
      </c>
      <c r="FH103" s="723"/>
      <c r="FI103" s="629">
        <f>IF(FI101=0,0,FI102/FI101)*100</f>
        <v>0</v>
      </c>
      <c r="FJ103" s="629">
        <f>IF(FJ101=0,0,FJ102/FJ101)*100</f>
        <v>0</v>
      </c>
      <c r="FK103" s="723"/>
      <c r="FL103" s="629">
        <f>IF(FL101=0,0,FL102/FL101)*100</f>
        <v>0</v>
      </c>
      <c r="FM103" s="629">
        <f>IF(FM101=0,0,FM102/FM101)*100</f>
        <v>0</v>
      </c>
      <c r="FN103" s="723"/>
      <c r="FO103" s="629">
        <f>IF(FO101=0,0,FO102/FO101)*100</f>
        <v>0</v>
      </c>
      <c r="FP103" s="629">
        <f>IF(FP101=0,0,FP102/FP101)*100</f>
        <v>0</v>
      </c>
      <c r="FQ103" s="723"/>
      <c r="FR103" s="629">
        <f>IF(FR101=0,0,FR102/FR101)*100</f>
        <v>0</v>
      </c>
      <c r="FS103" s="629">
        <f>IF(FS101=0,0,FS102/FS101)*100</f>
        <v>0</v>
      </c>
      <c r="FT103" s="723"/>
      <c r="FU103" s="629">
        <f>IF(FU101=0,0,FU102/FU101)*100</f>
        <v>0</v>
      </c>
      <c r="FV103" s="629">
        <f>IF(FV101=0,0,FV102/FV101)*100</f>
        <v>0</v>
      </c>
      <c r="FW103" s="723"/>
      <c r="FX103" s="219"/>
      <c r="FZ103" s="700" t="s">
        <v>1645</v>
      </c>
    </row>
    <row r="104" spans="1:186" ht="14.25" customHeight="1">
      <c r="A104" s="78"/>
      <c r="B104" s="622" t="b" cm="1">
        <f t="array" ref="B104">B103</f>
        <v>1</v>
      </c>
      <c r="C104" s="78"/>
      <c r="D104" s="78"/>
      <c r="E104" s="473">
        <v>15</v>
      </c>
      <c r="F104" s="3" t="str" cm="1">
        <f t="array" aca="1" ref="F104" ca="1">OFFSET(E104,-1,1)</f>
        <v>1</v>
      </c>
      <c r="G104" s="44" t="s">
        <v>1646</v>
      </c>
      <c r="H104" s="78" t="s">
        <v>468</v>
      </c>
      <c r="I104" s="78" t="s">
        <v>1644</v>
      </c>
      <c r="J104" s="78"/>
      <c r="K104" s="78"/>
      <c r="L104" s="78"/>
      <c r="M104" s="78"/>
      <c r="N104" s="78"/>
      <c r="O104" s="78"/>
      <c r="P104" s="78"/>
      <c r="Q104" s="603"/>
      <c r="R104" s="78"/>
      <c r="S104" s="78"/>
      <c r="T104" s="365" t="b" cm="1">
        <f t="array" ref="T104">T103</f>
        <v>1</v>
      </c>
      <c r="U104" s="78"/>
      <c r="V104" s="78"/>
      <c r="W104" s="78"/>
      <c r="X104" s="1094"/>
      <c r="Y104" s="78"/>
      <c r="Z104" s="1064"/>
      <c r="AA104" s="78"/>
      <c r="AB104" s="73" t="s">
        <v>1647</v>
      </c>
      <c r="AC104" s="31" t="s">
        <v>534</v>
      </c>
      <c r="AD104" s="210">
        <f ca="1">IF(AND(method_reg="Метод индексации",god&lt;&gt;first_year),SUMIFS(INDEX('Калькуляция (МИ корр)'!$AJ$25:$BC$459,,MATCH(AD$8,'Калькуляция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(МИ)'!$AJ$25:$BC$459,,MATCH(AD$8,'Калькуляция (МИ)'!$AJ$8:$BC$8,0)),'Калькуляция (МИ)'!$F$25:$F$459,$F104,'Калькуляция (МИ)'!$G$25:$G$459,$G104))))</f>
        <v>528.93499999999995</v>
      </c>
      <c r="AE104" s="210">
        <f ca="1">IF(AND(method_reg="Метод индексации",god&lt;&gt;first_year),SUMIFS(INDEX('Калькуляция (МИ корр)'!$AJ$25:$BC$459,,MATCH(AE$8,'Калькуляция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(МИ)'!$AJ$25:$BC$459,,MATCH(AE$8,'Калькуляция (МИ)'!$AJ$8:$BC$8,0)),'Калькуляция (МИ)'!$F$25:$F$459,$F104,'Калькуляция (МИ)'!$G$25:$G$459,$G104))))</f>
        <v>528.47699999999998</v>
      </c>
      <c r="AF104" s="724">
        <f ca="1">IF(AD104=0,0,(AE104-AD104)/AD104*100)</f>
        <v>-8.6589089396612071E-2</v>
      </c>
      <c r="AG104" s="849">
        <f ca="1">IF(AND(method_reg="Метод индексации",god&lt;&gt;first_year),SUMIFS(INDEX('Калькуляция (МИ корр)'!$AJ$25:$BC$459,,MATCH(AG$8,'Калькуляция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(МИ)'!$AJ$25:$BC$459,,MATCH(AG$8,'Калькуляция (МИ)'!$AJ$8:$BC$8,0)),'Калькуляция (МИ)'!$F$25:$F$459,$F104,'Калькуляция (МИ)'!$G$25:$G$459,$G104))))</f>
        <v>0</v>
      </c>
      <c r="AH104" s="849">
        <f ca="1">IF(AND(method_reg="Метод индексации",god&lt;&gt;first_year),SUMIFS(INDEX('Калькуляция (МИ корр)'!$AJ$25:$BC$459,,MATCH(AH$8,'Калькуляция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(МИ)'!$AJ$25:$BC$459,,MATCH(AH$8,'Калькуляция (МИ)'!$AJ$8:$BC$8,0)),'Калькуляция (МИ)'!$F$25:$F$459,$F104,'Калькуляция (МИ)'!$G$25:$G$459,$G104))))</f>
        <v>0</v>
      </c>
      <c r="AI104" s="724">
        <f ca="1">IF(AG104=0,0,(AH104-AG104)/AG104*100)</f>
        <v>0</v>
      </c>
      <c r="AJ104" s="849">
        <f ca="1">IF(AND(method_reg="Метод индексации",god&lt;&gt;first_year),SUMIFS(INDEX('Калькуляция (МИ корр)'!$AJ$25:$BC$459,,MATCH(AJ$8,'Калькуляция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(МИ)'!$AJ$25:$BC$459,,MATCH(AJ$8,'Калькуляция (МИ)'!$AJ$8:$BC$8,0)),'Калькуляция (МИ)'!$F$25:$F$459,$F104,'Калькуляция (МИ)'!$G$25:$G$459,$G104))))</f>
        <v>0</v>
      </c>
      <c r="AK104" s="849">
        <f ca="1">IF(AND(method_reg="Метод индексации",god&lt;&gt;first_year),SUMIFS(INDEX('Калькуляция (МИ корр)'!$AJ$25:$BC$459,,MATCH(AK$8,'Калькуляция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(МИ)'!$AJ$25:$BC$459,,MATCH(AK$8,'Калькуляция (МИ)'!$AJ$8:$BC$8,0)),'Калькуляция (МИ)'!$F$25:$F$459,$F104,'Калькуляция (МИ)'!$G$25:$G$459,$G104))))</f>
        <v>0</v>
      </c>
      <c r="AL104" s="724">
        <f ca="1">IF(AJ104=0,0,(AK104-AJ104)/AJ104*100)</f>
        <v>0</v>
      </c>
      <c r="AM104" s="849">
        <f ca="1">IF(AND(method_reg="Метод индексации",god&lt;&gt;first_year),SUMIFS(INDEX('Калькуляция (МИ корр)'!$AJ$25:$BC$459,,MATCH(AM$8,'Калькуляция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(МИ)'!$AJ$25:$BC$459,,MATCH(AM$8,'Калькуляция (МИ)'!$AJ$8:$BC$8,0)),'Калькуляция (МИ)'!$F$25:$F$459,$F104,'Калькуляция (МИ)'!$G$25:$G$459,$G104))))</f>
        <v>0</v>
      </c>
      <c r="AN104" s="849">
        <f ca="1">IF(AND(method_reg="Метод индексации",god&lt;&gt;first_year),SUMIFS(INDEX('Калькуляция (МИ корр)'!$AJ$25:$BC$459,,MATCH(AN$8,'Калькуляция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(МИ)'!$AJ$25:$BC$459,,MATCH(AN$8,'Калькуляция (МИ)'!$AJ$8:$BC$8,0)),'Калькуляция (МИ)'!$F$25:$F$459,$F104,'Калькуляция (МИ)'!$G$25:$G$459,$G104))))</f>
        <v>0</v>
      </c>
      <c r="AO104" s="724">
        <f ca="1">IF(AM104=0,0,(AN104-AM104)/AM104*100)</f>
        <v>0</v>
      </c>
      <c r="AP104" s="849">
        <f ca="1">IF(AND(method_reg="Метод индексации",god&lt;&gt;first_year),SUMIFS(INDEX('Калькуляция (МИ корр)'!$AJ$25:$BC$459,,MATCH(AP$8,'Калькуляция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(МИ)'!$AJ$25:$BC$459,,MATCH(AP$8,'Калькуляция (МИ)'!$AJ$8:$BC$8,0)),'Калькуляция (МИ)'!$F$25:$F$459,$F104,'Калькуляция (МИ)'!$G$25:$G$459,$G104))))</f>
        <v>0</v>
      </c>
      <c r="AQ104" s="849">
        <f ca="1">IF(AND(method_reg="Метод индексации",god&lt;&gt;first_year),SUMIFS(INDEX('Калькуляция (МИ корр)'!$AJ$25:$BC$459,,MATCH(AQ$8,'Калькуляция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(МИ)'!$AJ$25:$BC$459,,MATCH(AQ$8,'Калькуляция (МИ)'!$AJ$8:$BC$8,0)),'Калькуляция (МИ)'!$F$25:$F$459,$F104,'Калькуляция (МИ)'!$G$25:$G$459,$G104))))</f>
        <v>0</v>
      </c>
      <c r="AR104" s="724">
        <f ca="1">IF(AP104=0,0,(AQ104-AP104)/AP104*100)</f>
        <v>0</v>
      </c>
      <c r="AS104" s="849">
        <f ca="1">IF(AND(method_reg="Метод индексации",god&lt;&gt;first_year),SUMIFS(INDEX('Калькуляция (МИ корр)'!$AJ$25:$BC$459,,MATCH(AS$8,'Калькуляция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(МИ)'!$AJ$25:$BC$459,,MATCH(AS$8,'Калькуляция (МИ)'!$AJ$8:$BC$8,0)),'Калькуляция (МИ)'!$F$25:$F$459,$F104,'Калькуляция (МИ)'!$G$25:$G$459,$G104))))</f>
        <v>0</v>
      </c>
      <c r="AT104" s="849">
        <f ca="1">IF(AND(method_reg="Метод индексации",god&lt;&gt;first_year),SUMIFS(INDEX('Калькуляция (МИ корр)'!$AJ$25:$BC$459,,MATCH(AT$8,'Калькуляция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(МИ)'!$AJ$25:$BC$459,,MATCH(AT$8,'Калькуляция (МИ)'!$AJ$8:$BC$8,0)),'Калькуляция (МИ)'!$F$25:$F$459,$F104,'Калькуляция (МИ)'!$G$25:$G$459,$G104))))</f>
        <v>0</v>
      </c>
      <c r="AU104" s="724">
        <f ca="1">IF(AS104=0,0,(AT104-AS104)/AS104*100)</f>
        <v>0</v>
      </c>
      <c r="AV104" s="849">
        <f ca="1">IF(AND(method_reg="Метод индексации",god&lt;&gt;first_year),SUMIFS(INDEX('Калькуляция (МИ корр)'!$AJ$25:$BC$459,,MATCH(AV$8,'Калькуляция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(МИ)'!$AJ$25:$BC$459,,MATCH(AV$8,'Калькуляция (МИ)'!$AJ$8:$BC$8,0)),'Калькуляция (МИ)'!$F$25:$F$459,$F104,'Калькуляция (МИ)'!$G$25:$G$459,$G104))))</f>
        <v>0</v>
      </c>
      <c r="AW104" s="849">
        <f ca="1">IF(AND(method_reg="Метод индексации",god&lt;&gt;first_year),SUMIFS(INDEX('Калькуляция (МИ корр)'!$AJ$25:$BC$459,,MATCH(AW$8,'Калькуляция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(МИ)'!$AJ$25:$BC$459,,MATCH(AW$8,'Калькуляция (МИ)'!$AJ$8:$BC$8,0)),'Калькуляция (МИ)'!$F$25:$F$459,$F104,'Калькуляция (МИ)'!$G$25:$G$459,$G104))))</f>
        <v>0</v>
      </c>
      <c r="AX104" s="724">
        <f ca="1">IF(AV104=0,0,(AW104-AV104)/AV104*100)</f>
        <v>0</v>
      </c>
      <c r="AY104" s="849">
        <f ca="1">IF(AND(method_reg="Метод индексации",god&lt;&gt;first_year),SUMIFS(INDEX('Калькуляция (МИ корр)'!$AJ$25:$BC$459,,MATCH(AY$8,'Калькуляция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(МИ)'!$AJ$25:$BC$459,,MATCH(AY$8,'Калькуляция (МИ)'!$AJ$8:$BC$8,0)),'Калькуляция (МИ)'!$F$25:$F$459,$F104,'Калькуляция (МИ)'!$G$25:$G$459,$G104))))</f>
        <v>0</v>
      </c>
      <c r="AZ104" s="849">
        <f ca="1">IF(AND(method_reg="Метод индексации",god&lt;&gt;first_year),SUMIFS(INDEX('Калькуляция (МИ корр)'!$AJ$25:$BC$459,,MATCH(AZ$8,'Калькуляция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(МИ)'!$AJ$25:$BC$459,,MATCH(AZ$8,'Калькуляция (МИ)'!$AJ$8:$BC$8,0)),'Калькуляция (МИ)'!$F$25:$F$459,$F104,'Калькуляция (МИ)'!$G$25:$G$459,$G104))))</f>
        <v>0</v>
      </c>
      <c r="BA104" s="724">
        <f ca="1">IF(AY104=0,0,(AZ104-AY104)/AY104*100)</f>
        <v>0</v>
      </c>
      <c r="BB104" s="849">
        <f ca="1">IF(AND(method_reg="Метод индексации",god&lt;&gt;first_year),SUMIFS(INDEX('Калькуляция (МИ корр)'!$AJ$25:$BC$459,,MATCH(BB$8,'Калькуляция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(МИ)'!$AJ$25:$BC$459,,MATCH(BB$8,'Калькуляция (МИ)'!$AJ$8:$BC$8,0)),'Калькуляция (МИ)'!$F$25:$F$459,$F104,'Калькуляция (МИ)'!$G$25:$G$459,$G104))))</f>
        <v>0</v>
      </c>
      <c r="BC104" s="849">
        <f ca="1">IF(AND(method_reg="Метод индексации",god&lt;&gt;first_year),SUMIFS(INDEX('Калькуляция (МИ корр)'!$AJ$25:$BC$459,,MATCH(BC$8,'Калькуляция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(МИ)'!$AJ$25:$BC$459,,MATCH(BC$8,'Калькуляция (МИ)'!$AJ$8:$BC$8,0)),'Калькуляция (МИ)'!$F$25:$F$459,$F104,'Калькуляция (МИ)'!$G$25:$G$459,$G104))))</f>
        <v>0</v>
      </c>
      <c r="BD104" s="724">
        <f ca="1">IF(BB104=0,0,(BC104-BB104)/BB104*100)</f>
        <v>0</v>
      </c>
      <c r="BE104" s="849">
        <f ca="1">IF(AND(method_reg="Метод индексации",god&lt;&gt;first_year),SUMIFS(INDEX('Калькуляция (МИ корр)'!$AJ$25:$BC$459,,MATCH(BE$8,'Калькуляция (МИ корр)'!$AJ$8:$BC$8,0)),'Калькуляция (МИ корр)'!$F$25:$F$459,$F104,'Калькуляция (МИ корр)'!$G$25:$G$459,$G104),IF(method_reg="Метод экономически обоснованных расходов",SUMIFS('Калькуляция (МЭОР)'!$AJ$25:$AJ$282,'Калькуляция (МЭОР)'!$F$25:$F$282,$F104,'Калькуляция (МЭОР)'!$G$25:$G$282,$G104),IF(method_reg="Метод сравнения аналогов",SUMIFS('Калькуляция (МСА)'!$AE$25:$AE$84,'Калькуляция (МСА)'!$F$25:$F$84,$F104,'Калькуляция (МСА)'!$G$25:$G$84,$G104),SUMIFS(INDEX('Калькуляция (МИ)'!$AJ$25:$BC$459,,MATCH(BE$8,'Калькуляция (МИ)'!$AJ$8:$BC$8,0)),'Калькуляция (МИ)'!$F$25:$F$459,$F104,'Калькуляция (МИ)'!$G$25:$G$459,$G104))))</f>
        <v>0</v>
      </c>
      <c r="BF104" s="849">
        <f ca="1">IF(AND(method_reg="Метод индексации",god&lt;&gt;first_year),SUMIFS(INDEX('Калькуляция (МИ корр)'!$AJ$25:$BC$459,,MATCH(BF$8,'Калькуляция (МИ корр)'!$AJ$8:$BC$8,0)),'Калькуляция (МИ корр)'!$F$25:$F$459,$F104,'Калькуляция (МИ корр)'!$G$25:$G$459,$G104),IF(method_reg="Метод экономически обоснованных расходов",SUMIFS('Калькуляция (МЭОР)'!$AK$25:$AK$282,'Калькуляция (МЭОР)'!$F$25:$F$282,$F104,'Калькуляция (МЭОР)'!$G$25:$G$282,$G104),IF(method_reg="Метод сравнения аналогов",SUMIFS('Калькуляция (МСА)'!$AF$25:$AF$84,'Калькуляция (МСА)'!$F$25:$F$84,$F104,'Калькуляция (МСА)'!$G$25:$G$84,$G104),SUMIFS(INDEX('Калькуляция (МИ)'!$AJ$25:$BC$459,,MATCH(BF$8,'Калькуляция (МИ)'!$AJ$8:$BC$8,0)),'Калькуляция (МИ)'!$F$25:$F$459,$F104,'Калькуляция (МИ)'!$G$25:$G$459,$G104))))</f>
        <v>0</v>
      </c>
      <c r="BG104" s="724">
        <f ca="1">IF(BE104=0,0,(BF104-BE104)/BE104*100)</f>
        <v>0</v>
      </c>
      <c r="BH104" s="849"/>
      <c r="BI104" s="849"/>
      <c r="BJ104" s="724">
        <f>IF(BH104=0,0,(BI104-BH104)/BH104*100)</f>
        <v>0</v>
      </c>
      <c r="BK104" s="849"/>
      <c r="BL104" s="849"/>
      <c r="BM104" s="724">
        <f>IF(BK104=0,0,(BL104-BK104)/BK104*100)</f>
        <v>0</v>
      </c>
      <c r="BN104" s="849"/>
      <c r="BO104" s="849"/>
      <c r="BP104" s="724">
        <f>IF(BN104=0,0,(BO104-BN104)/BN104*100)</f>
        <v>0</v>
      </c>
      <c r="BQ104" s="849"/>
      <c r="BR104" s="849"/>
      <c r="BS104" s="724">
        <f>IF(BQ104=0,0,(BR104-BQ104)/BQ104*100)</f>
        <v>0</v>
      </c>
      <c r="BT104" s="849"/>
      <c r="BU104" s="849"/>
      <c r="BV104" s="724">
        <f>IF(BT104=0,0,(BU104-BT104)/BT104*100)</f>
        <v>0</v>
      </c>
      <c r="BW104" s="849"/>
      <c r="BX104" s="849"/>
      <c r="BY104" s="724">
        <f>IF(BW104=0,0,(BX104-BW104)/BW104*100)</f>
        <v>0</v>
      </c>
      <c r="BZ104" s="849"/>
      <c r="CA104" s="849"/>
      <c r="CB104" s="724">
        <f>IF(BZ104=0,0,(CA104-BZ104)/BZ104*100)</f>
        <v>0</v>
      </c>
      <c r="CC104" s="849"/>
      <c r="CD104" s="849"/>
      <c r="CE104" s="724">
        <f>IF(CC104=0,0,(CD104-CC104)/CC104*100)</f>
        <v>0</v>
      </c>
      <c r="CF104" s="849"/>
      <c r="CG104" s="849"/>
      <c r="CH104" s="724">
        <f>IF(CF104=0,0,(CG104-CF104)/CF104*100)</f>
        <v>0</v>
      </c>
      <c r="CI104" s="849"/>
      <c r="CJ104" s="849"/>
      <c r="CK104" s="724">
        <f>IF(CI104=0,0,(CJ104-CI104)/CI104*100)</f>
        <v>0</v>
      </c>
      <c r="CL104" s="849"/>
      <c r="CM104" s="849"/>
      <c r="CN104" s="724">
        <f>IF(CL104=0,0,(CM104-CL104)/CL104*100)</f>
        <v>0</v>
      </c>
      <c r="CO104" s="849"/>
      <c r="CP104" s="849"/>
      <c r="CQ104" s="724">
        <f>IF(CO104=0,0,(CP104-CO104)/CO104*100)</f>
        <v>0</v>
      </c>
      <c r="CR104" s="849"/>
      <c r="CS104" s="849"/>
      <c r="CT104" s="724">
        <f>IF(CR104=0,0,(CS104-CR104)/CR104*100)</f>
        <v>0</v>
      </c>
      <c r="CU104" s="849"/>
      <c r="CV104" s="849"/>
      <c r="CW104" s="724">
        <f>IF(CU104=0,0,(CV104-CU104)/CU104*100)</f>
        <v>0</v>
      </c>
      <c r="CX104" s="849"/>
      <c r="CY104" s="849"/>
      <c r="CZ104" s="724">
        <f>IF(CX104=0,0,(CY104-CX104)/CX104*100)</f>
        <v>0</v>
      </c>
      <c r="DA104" s="849"/>
      <c r="DB104" s="849"/>
      <c r="DC104" s="724">
        <f>IF(DA104=0,0,(DB104-DA104)/DA104*100)</f>
        <v>0</v>
      </c>
      <c r="DD104" s="849"/>
      <c r="DE104" s="849"/>
      <c r="DF104" s="724">
        <f>IF(DD104=0,0,(DE104-DD104)/DD104*100)</f>
        <v>0</v>
      </c>
      <c r="DG104" s="849"/>
      <c r="DH104" s="849"/>
      <c r="DI104" s="724">
        <f>IF(DG104=0,0,(DH104-DG104)/DG104*100)</f>
        <v>0</v>
      </c>
      <c r="DJ104" s="849"/>
      <c r="DK104" s="849"/>
      <c r="DL104" s="724">
        <f>IF(DJ104=0,0,(DK104-DJ104)/DJ104*100)</f>
        <v>0</v>
      </c>
      <c r="DM104" s="849"/>
      <c r="DN104" s="849"/>
      <c r="DO104" s="724">
        <f>IF(DM104=0,0,(DN104-DM104)/DM104*100)</f>
        <v>0</v>
      </c>
      <c r="DP104" s="849"/>
      <c r="DQ104" s="849"/>
      <c r="DR104" s="724">
        <f>IF(DP104=0,0,(DQ104-DP104)/DP104*100)</f>
        <v>0</v>
      </c>
      <c r="DS104" s="849"/>
      <c r="DT104" s="849"/>
      <c r="DU104" s="724">
        <f>IF(DS104=0,0,(DT104-DS104)/DS104*100)</f>
        <v>0</v>
      </c>
      <c r="DV104" s="849"/>
      <c r="DW104" s="849"/>
      <c r="DX104" s="724">
        <f>IF(DV104=0,0,(DW104-DV104)/DV104*100)</f>
        <v>0</v>
      </c>
      <c r="DY104" s="849"/>
      <c r="DZ104" s="849"/>
      <c r="EA104" s="724">
        <f>IF(DY104=0,0,(DZ104-DY104)/DY104*100)</f>
        <v>0</v>
      </c>
      <c r="EB104" s="849"/>
      <c r="EC104" s="849"/>
      <c r="ED104" s="724">
        <f>IF(EB104=0,0,(EC104-EB104)/EB104*100)</f>
        <v>0</v>
      </c>
      <c r="EE104" s="849"/>
      <c r="EF104" s="849"/>
      <c r="EG104" s="724">
        <f>IF(EE104=0,0,(EF104-EE104)/EE104*100)</f>
        <v>0</v>
      </c>
      <c r="EH104" s="849"/>
      <c r="EI104" s="849"/>
      <c r="EJ104" s="724">
        <f>IF(EH104=0,0,(EI104-EH104)/EH104*100)</f>
        <v>0</v>
      </c>
      <c r="EK104" s="849"/>
      <c r="EL104" s="849"/>
      <c r="EM104" s="724">
        <f>IF(EK104=0,0,(EL104-EK104)/EK104*100)</f>
        <v>0</v>
      </c>
      <c r="EN104" s="849"/>
      <c r="EO104" s="849"/>
      <c r="EP104" s="724">
        <f>IF(EN104=0,0,(EO104-EN104)/EN104*100)</f>
        <v>0</v>
      </c>
      <c r="EQ104" s="849"/>
      <c r="ER104" s="849"/>
      <c r="ES104" s="724">
        <f>IF(EQ104=0,0,(ER104-EQ104)/EQ104*100)</f>
        <v>0</v>
      </c>
      <c r="ET104" s="849"/>
      <c r="EU104" s="849"/>
      <c r="EV104" s="724">
        <f>IF(ET104=0,0,(EU104-ET104)/ET104*100)</f>
        <v>0</v>
      </c>
      <c r="EW104" s="849"/>
      <c r="EX104" s="849"/>
      <c r="EY104" s="724">
        <f>IF(EW104=0,0,(EX104-EW104)/EW104*100)</f>
        <v>0</v>
      </c>
      <c r="EZ104" s="849"/>
      <c r="FA104" s="849"/>
      <c r="FB104" s="724">
        <f>IF(EZ104=0,0,(FA104-EZ104)/EZ104*100)</f>
        <v>0</v>
      </c>
      <c r="FC104" s="849"/>
      <c r="FD104" s="849"/>
      <c r="FE104" s="724">
        <f>IF(FC104=0,0,(FD104-FC104)/FC104*100)</f>
        <v>0</v>
      </c>
      <c r="FF104" s="849"/>
      <c r="FG104" s="849"/>
      <c r="FH104" s="724">
        <f>IF(FF104=0,0,(FG104-FF104)/FF104*100)</f>
        <v>0</v>
      </c>
      <c r="FI104" s="849"/>
      <c r="FJ104" s="849"/>
      <c r="FK104" s="724">
        <f>IF(FI104=0,0,(FJ104-FI104)/FI104*100)</f>
        <v>0</v>
      </c>
      <c r="FL104" s="849"/>
      <c r="FM104" s="849"/>
      <c r="FN104" s="724">
        <f>IF(FL104=0,0,(FM104-FL104)/FL104*100)</f>
        <v>0</v>
      </c>
      <c r="FO104" s="849"/>
      <c r="FP104" s="849"/>
      <c r="FQ104" s="724">
        <f>IF(FO104=0,0,(FP104-FO104)/FO104*100)</f>
        <v>0</v>
      </c>
      <c r="FR104" s="849"/>
      <c r="FS104" s="849"/>
      <c r="FT104" s="724">
        <f>IF(FR104=0,0,(FS104-FR104)/FR104*100)</f>
        <v>0</v>
      </c>
      <c r="FU104" s="849"/>
      <c r="FV104" s="849"/>
      <c r="FW104" s="724">
        <f>IF(FU104=0,0,(FV104-FU104)/FU104*100)</f>
        <v>0</v>
      </c>
      <c r="FX104" s="219"/>
      <c r="FZ104" s="700" t="s">
        <v>1648</v>
      </c>
    </row>
    <row r="105" spans="1:186" ht="18" hidden="1" customHeight="1">
      <c r="A105" s="78"/>
      <c r="B105" s="622" t="b" cm="1">
        <f t="array" ref="B105">B104</f>
        <v>1</v>
      </c>
      <c r="C105" s="78"/>
      <c r="D105" s="78"/>
      <c r="E105" s="473">
        <v>18.75</v>
      </c>
      <c r="F105" s="3" t="str" cm="1">
        <f t="array" aca="1" ref="F105" ca="1">OFFSET(E105,-1,1)</f>
        <v>1</v>
      </c>
      <c r="G105" s="78"/>
      <c r="H105" s="78" t="s">
        <v>461</v>
      </c>
      <c r="I105" s="78" cm="1">
        <f t="array" ref="I105">AB105</f>
        <v>0</v>
      </c>
      <c r="J105" s="78"/>
      <c r="K105" s="78"/>
      <c r="L105" s="78"/>
      <c r="M105" s="78"/>
      <c r="N105" s="78"/>
      <c r="O105" s="78"/>
      <c r="P105" s="78"/>
      <c r="Q105" s="603"/>
      <c r="R105" s="78"/>
      <c r="S105" s="78"/>
      <c r="T105" s="365" t="b">
        <f ca="1">AND(F105&gt;0,Y105&gt;0)</f>
        <v>0</v>
      </c>
      <c r="U105" s="78"/>
      <c r="V105" s="78"/>
      <c r="W105" s="78" t="s">
        <v>173</v>
      </c>
      <c r="X105" s="1094"/>
      <c r="Y105" s="1094">
        <v>0</v>
      </c>
      <c r="Z105" s="1064"/>
      <c r="AA105" s="1049" t="s">
        <v>174</v>
      </c>
      <c r="AB105" s="944"/>
      <c r="AC105" s="31" t="s">
        <v>1624</v>
      </c>
      <c r="AD105" s="833"/>
      <c r="AE105" s="945"/>
      <c r="AF105" s="723">
        <f>IF(AD105=0,0,(AE105-AD105)/AD105*100)</f>
        <v>0</v>
      </c>
      <c r="AG105" s="833"/>
      <c r="AH105" s="945"/>
      <c r="AI105" s="723">
        <f>IF(AG105=0,0,(AH105-AG105)/AG105*100)</f>
        <v>0</v>
      </c>
      <c r="AJ105" s="833"/>
      <c r="AK105" s="945"/>
      <c r="AL105" s="723">
        <f>IF(AJ105=0,0,(AK105-AJ105)/AJ105*100)</f>
        <v>0</v>
      </c>
      <c r="AM105" s="833"/>
      <c r="AN105" s="945"/>
      <c r="AO105" s="723">
        <f>IF(AM105=0,0,(AN105-AM105)/AM105*100)</f>
        <v>0</v>
      </c>
      <c r="AP105" s="833"/>
      <c r="AQ105" s="945"/>
      <c r="AR105" s="723">
        <f>IF(AP105=0,0,(AQ105-AP105)/AP105*100)</f>
        <v>0</v>
      </c>
      <c r="AS105" s="833"/>
      <c r="AT105" s="945"/>
      <c r="AU105" s="723">
        <f>IF(AS105=0,0,(AT105-AS105)/AS105*100)</f>
        <v>0</v>
      </c>
      <c r="AV105" s="833"/>
      <c r="AW105" s="945"/>
      <c r="AX105" s="723">
        <f>IF(AV105=0,0,(AW105-AV105)/AV105*100)</f>
        <v>0</v>
      </c>
      <c r="AY105" s="833"/>
      <c r="AZ105" s="945"/>
      <c r="BA105" s="723">
        <f>IF(AY105=0,0,(AZ105-AY105)/AY105*100)</f>
        <v>0</v>
      </c>
      <c r="BB105" s="833"/>
      <c r="BC105" s="945"/>
      <c r="BD105" s="723">
        <f>IF(BB105=0,0,(BC105-BB105)/BB105*100)</f>
        <v>0</v>
      </c>
      <c r="BE105" s="833"/>
      <c r="BF105" s="945"/>
      <c r="BG105" s="723">
        <f>IF(BE105=0,0,(BF105-BE105)/BE105*100)</f>
        <v>0</v>
      </c>
      <c r="BH105" s="833"/>
      <c r="BI105" s="945"/>
      <c r="BJ105" s="723">
        <f>IF(BH105=0,0,(BI105-BH105)/BH105*100)</f>
        <v>0</v>
      </c>
      <c r="BK105" s="833"/>
      <c r="BL105" s="945"/>
      <c r="BM105" s="723">
        <f>IF(BK105=0,0,(BL105-BK105)/BK105*100)</f>
        <v>0</v>
      </c>
      <c r="BN105" s="833"/>
      <c r="BO105" s="945"/>
      <c r="BP105" s="723">
        <f>IF(BN105=0,0,(BO105-BN105)/BN105*100)</f>
        <v>0</v>
      </c>
      <c r="BQ105" s="833"/>
      <c r="BR105" s="945"/>
      <c r="BS105" s="723">
        <f>IF(BQ105=0,0,(BR105-BQ105)/BQ105*100)</f>
        <v>0</v>
      </c>
      <c r="BT105" s="833"/>
      <c r="BU105" s="945"/>
      <c r="BV105" s="723">
        <f>IF(BT105=0,0,(BU105-BT105)/BT105*100)</f>
        <v>0</v>
      </c>
      <c r="BW105" s="833"/>
      <c r="BX105" s="945"/>
      <c r="BY105" s="723">
        <f>IF(BW105=0,0,(BX105-BW105)/BW105*100)</f>
        <v>0</v>
      </c>
      <c r="BZ105" s="833"/>
      <c r="CA105" s="945"/>
      <c r="CB105" s="723">
        <f>IF(BZ105=0,0,(CA105-BZ105)/BZ105*100)</f>
        <v>0</v>
      </c>
      <c r="CC105" s="833"/>
      <c r="CD105" s="945"/>
      <c r="CE105" s="723">
        <f>IF(CC105=0,0,(CD105-CC105)/CC105*100)</f>
        <v>0</v>
      </c>
      <c r="CF105" s="833"/>
      <c r="CG105" s="945"/>
      <c r="CH105" s="723">
        <f>IF(CF105=0,0,(CG105-CF105)/CF105*100)</f>
        <v>0</v>
      </c>
      <c r="CI105" s="833"/>
      <c r="CJ105" s="945"/>
      <c r="CK105" s="723">
        <f>IF(CI105=0,0,(CJ105-CI105)/CI105*100)</f>
        <v>0</v>
      </c>
      <c r="CL105" s="833"/>
      <c r="CM105" s="945"/>
      <c r="CN105" s="723">
        <f>IF(CL105=0,0,(CM105-CL105)/CL105*100)</f>
        <v>0</v>
      </c>
      <c r="CO105" s="833"/>
      <c r="CP105" s="945"/>
      <c r="CQ105" s="723">
        <f>IF(CO105=0,0,(CP105-CO105)/CO105*100)</f>
        <v>0</v>
      </c>
      <c r="CR105" s="833"/>
      <c r="CS105" s="945"/>
      <c r="CT105" s="723">
        <f>IF(CR105=0,0,(CS105-CR105)/CR105*100)</f>
        <v>0</v>
      </c>
      <c r="CU105" s="833"/>
      <c r="CV105" s="945"/>
      <c r="CW105" s="723">
        <f>IF(CU105=0,0,(CV105-CU105)/CU105*100)</f>
        <v>0</v>
      </c>
      <c r="CX105" s="833"/>
      <c r="CY105" s="945"/>
      <c r="CZ105" s="723">
        <f>IF(CX105=0,0,(CY105-CX105)/CX105*100)</f>
        <v>0</v>
      </c>
      <c r="DA105" s="833"/>
      <c r="DB105" s="945"/>
      <c r="DC105" s="723">
        <f>IF(DA105=0,0,(DB105-DA105)/DA105*100)</f>
        <v>0</v>
      </c>
      <c r="DD105" s="833"/>
      <c r="DE105" s="945"/>
      <c r="DF105" s="723">
        <f>IF(DD105=0,0,(DE105-DD105)/DD105*100)</f>
        <v>0</v>
      </c>
      <c r="DG105" s="833"/>
      <c r="DH105" s="945"/>
      <c r="DI105" s="723">
        <f>IF(DG105=0,0,(DH105-DG105)/DG105*100)</f>
        <v>0</v>
      </c>
      <c r="DJ105" s="833"/>
      <c r="DK105" s="945"/>
      <c r="DL105" s="723">
        <f>IF(DJ105=0,0,(DK105-DJ105)/DJ105*100)</f>
        <v>0</v>
      </c>
      <c r="DM105" s="833"/>
      <c r="DN105" s="945"/>
      <c r="DO105" s="723">
        <f>IF(DM105=0,0,(DN105-DM105)/DM105*100)</f>
        <v>0</v>
      </c>
      <c r="DP105" s="833"/>
      <c r="DQ105" s="945"/>
      <c r="DR105" s="723">
        <f>IF(DP105=0,0,(DQ105-DP105)/DP105*100)</f>
        <v>0</v>
      </c>
      <c r="DS105" s="833"/>
      <c r="DT105" s="945"/>
      <c r="DU105" s="723">
        <f>IF(DS105=0,0,(DT105-DS105)/DS105*100)</f>
        <v>0</v>
      </c>
      <c r="DV105" s="833"/>
      <c r="DW105" s="945"/>
      <c r="DX105" s="723">
        <f>IF(DV105=0,0,(DW105-DV105)/DV105*100)</f>
        <v>0</v>
      </c>
      <c r="DY105" s="833"/>
      <c r="DZ105" s="945"/>
      <c r="EA105" s="723">
        <f>IF(DY105=0,0,(DZ105-DY105)/DY105*100)</f>
        <v>0</v>
      </c>
      <c r="EB105" s="833"/>
      <c r="EC105" s="945"/>
      <c r="ED105" s="723">
        <f>IF(EB105=0,0,(EC105-EB105)/EB105*100)</f>
        <v>0</v>
      </c>
      <c r="EE105" s="833"/>
      <c r="EF105" s="945"/>
      <c r="EG105" s="723">
        <f>IF(EE105=0,0,(EF105-EE105)/EE105*100)</f>
        <v>0</v>
      </c>
      <c r="EH105" s="833"/>
      <c r="EI105" s="945"/>
      <c r="EJ105" s="723">
        <f>IF(EH105=0,0,(EI105-EH105)/EH105*100)</f>
        <v>0</v>
      </c>
      <c r="EK105" s="833"/>
      <c r="EL105" s="945"/>
      <c r="EM105" s="723">
        <f>IF(EK105=0,0,(EL105-EK105)/EK105*100)</f>
        <v>0</v>
      </c>
      <c r="EN105" s="833"/>
      <c r="EO105" s="945"/>
      <c r="EP105" s="723">
        <f>IF(EN105=0,0,(EO105-EN105)/EN105*100)</f>
        <v>0</v>
      </c>
      <c r="EQ105" s="833"/>
      <c r="ER105" s="945"/>
      <c r="ES105" s="723">
        <f>IF(EQ105=0,0,(ER105-EQ105)/EQ105*100)</f>
        <v>0</v>
      </c>
      <c r="ET105" s="833"/>
      <c r="EU105" s="945"/>
      <c r="EV105" s="723">
        <f>IF(ET105=0,0,(EU105-ET105)/ET105*100)</f>
        <v>0</v>
      </c>
      <c r="EW105" s="833"/>
      <c r="EX105" s="945"/>
      <c r="EY105" s="723">
        <f>IF(EW105=0,0,(EX105-EW105)/EW105*100)</f>
        <v>0</v>
      </c>
      <c r="EZ105" s="833"/>
      <c r="FA105" s="945"/>
      <c r="FB105" s="723">
        <f>IF(EZ105=0,0,(FA105-EZ105)/EZ105*100)</f>
        <v>0</v>
      </c>
      <c r="FC105" s="833"/>
      <c r="FD105" s="945"/>
      <c r="FE105" s="723">
        <f>IF(FC105=0,0,(FD105-FC105)/FC105*100)</f>
        <v>0</v>
      </c>
      <c r="FF105" s="833"/>
      <c r="FG105" s="945"/>
      <c r="FH105" s="723">
        <f>IF(FF105=0,0,(FG105-FF105)/FF105*100)</f>
        <v>0</v>
      </c>
      <c r="FI105" s="833"/>
      <c r="FJ105" s="945"/>
      <c r="FK105" s="723">
        <f>IF(FI105=0,0,(FJ105-FI105)/FI105*100)</f>
        <v>0</v>
      </c>
      <c r="FL105" s="833"/>
      <c r="FM105" s="945"/>
      <c r="FN105" s="723">
        <f>IF(FL105=0,0,(FM105-FL105)/FL105*100)</f>
        <v>0</v>
      </c>
      <c r="FO105" s="833"/>
      <c r="FP105" s="945"/>
      <c r="FQ105" s="723">
        <f>IF(FO105=0,0,(FP105-FO105)/FO105*100)</f>
        <v>0</v>
      </c>
      <c r="FR105" s="833"/>
      <c r="FS105" s="945"/>
      <c r="FT105" s="723">
        <f>IF(FR105=0,0,(FS105-FR105)/FR105*100)</f>
        <v>0</v>
      </c>
      <c r="FU105" s="833"/>
      <c r="FV105" s="945"/>
      <c r="FW105" s="723">
        <f>IF(FU105=0,0,(FV105-FU105)/FU105*100)</f>
        <v>0</v>
      </c>
      <c r="FX105" s="219"/>
      <c r="FZ105" s="700" t="s">
        <v>1649</v>
      </c>
      <c r="GA105" s="680" t="s">
        <v>1650</v>
      </c>
      <c r="GB105" s="680" cm="1">
        <f t="array" ref="GB105">AB105</f>
        <v>0</v>
      </c>
      <c r="GD105" s="472" t="b">
        <v>1</v>
      </c>
    </row>
    <row r="106" spans="1:186" ht="18.600000000000001" hidden="1" customHeight="1">
      <c r="A106" s="78"/>
      <c r="B106" s="622" t="b" cm="1">
        <f t="array" ref="B106">B105</f>
        <v>1</v>
      </c>
      <c r="C106" s="78"/>
      <c r="D106" s="78"/>
      <c r="E106" s="473">
        <v>19</v>
      </c>
      <c r="F106" s="3" t="str" cm="1">
        <f t="array" aca="1" ref="F106" ca="1">OFFSET(E106,-1,1)</f>
        <v>1</v>
      </c>
      <c r="G106" s="78"/>
      <c r="H106" s="78"/>
      <c r="I106" s="78"/>
      <c r="J106" s="78"/>
      <c r="K106" s="78"/>
      <c r="L106" s="78"/>
      <c r="M106" s="78"/>
      <c r="N106" s="78"/>
      <c r="O106" s="78"/>
      <c r="P106" s="78"/>
      <c r="Q106" s="603"/>
      <c r="R106" s="78"/>
      <c r="S106" s="78"/>
      <c r="T106" s="365" t="b" cm="1">
        <f t="array" aca="1" ref="T106" ca="1">T105</f>
        <v>0</v>
      </c>
      <c r="U106" s="78"/>
      <c r="V106" s="78"/>
      <c r="W106" s="78"/>
      <c r="X106" s="1094"/>
      <c r="Y106" s="1094"/>
      <c r="Z106" s="1064"/>
      <c r="AA106" s="1049"/>
      <c r="AB106" s="944"/>
      <c r="AC106" s="31" t="s">
        <v>1624</v>
      </c>
      <c r="AD106" s="833"/>
      <c r="AE106" s="945"/>
      <c r="AF106" s="723">
        <f>IF(AD106=0,0,(AE106-AD106)/AD106*100)</f>
        <v>0</v>
      </c>
      <c r="AG106" s="833"/>
      <c r="AH106" s="945"/>
      <c r="AI106" s="723">
        <f>IF(AG106=0,0,(AH106-AG106)/AG106*100)</f>
        <v>0</v>
      </c>
      <c r="AJ106" s="833"/>
      <c r="AK106" s="945"/>
      <c r="AL106" s="723">
        <f>IF(AJ106=0,0,(AK106-AJ106)/AJ106*100)</f>
        <v>0</v>
      </c>
      <c r="AM106" s="833"/>
      <c r="AN106" s="945"/>
      <c r="AO106" s="723">
        <f>IF(AM106=0,0,(AN106-AM106)/AM106*100)</f>
        <v>0</v>
      </c>
      <c r="AP106" s="833"/>
      <c r="AQ106" s="945"/>
      <c r="AR106" s="723">
        <f>IF(AP106=0,0,(AQ106-AP106)/AP106*100)</f>
        <v>0</v>
      </c>
      <c r="AS106" s="833"/>
      <c r="AT106" s="945"/>
      <c r="AU106" s="723">
        <f>IF(AS106=0,0,(AT106-AS106)/AS106*100)</f>
        <v>0</v>
      </c>
      <c r="AV106" s="833"/>
      <c r="AW106" s="945"/>
      <c r="AX106" s="723">
        <f>IF(AV106=0,0,(AW106-AV106)/AV106*100)</f>
        <v>0</v>
      </c>
      <c r="AY106" s="833"/>
      <c r="AZ106" s="945"/>
      <c r="BA106" s="723">
        <f>IF(AY106=0,0,(AZ106-AY106)/AY106*100)</f>
        <v>0</v>
      </c>
      <c r="BB106" s="833"/>
      <c r="BC106" s="945"/>
      <c r="BD106" s="723">
        <f>IF(BB106=0,0,(BC106-BB106)/BB106*100)</f>
        <v>0</v>
      </c>
      <c r="BE106" s="833"/>
      <c r="BF106" s="945"/>
      <c r="BG106" s="723">
        <f>IF(BE106=0,0,(BF106-BE106)/BE106*100)</f>
        <v>0</v>
      </c>
      <c r="BH106" s="833"/>
      <c r="BI106" s="945"/>
      <c r="BJ106" s="723">
        <f>IF(BH106=0,0,(BI106-BH106)/BH106*100)</f>
        <v>0</v>
      </c>
      <c r="BK106" s="833"/>
      <c r="BL106" s="945"/>
      <c r="BM106" s="723">
        <f>IF(BK106=0,0,(BL106-BK106)/BK106*100)</f>
        <v>0</v>
      </c>
      <c r="BN106" s="833"/>
      <c r="BO106" s="945"/>
      <c r="BP106" s="723">
        <f>IF(BN106=0,0,(BO106-BN106)/BN106*100)</f>
        <v>0</v>
      </c>
      <c r="BQ106" s="833"/>
      <c r="BR106" s="945"/>
      <c r="BS106" s="723">
        <f>IF(BQ106=0,0,(BR106-BQ106)/BQ106*100)</f>
        <v>0</v>
      </c>
      <c r="BT106" s="833"/>
      <c r="BU106" s="945"/>
      <c r="BV106" s="723">
        <f>IF(BT106=0,0,(BU106-BT106)/BT106*100)</f>
        <v>0</v>
      </c>
      <c r="BW106" s="833"/>
      <c r="BX106" s="945"/>
      <c r="BY106" s="723">
        <f>IF(BW106=0,0,(BX106-BW106)/BW106*100)</f>
        <v>0</v>
      </c>
      <c r="BZ106" s="833"/>
      <c r="CA106" s="945"/>
      <c r="CB106" s="723">
        <f>IF(BZ106=0,0,(CA106-BZ106)/BZ106*100)</f>
        <v>0</v>
      </c>
      <c r="CC106" s="833"/>
      <c r="CD106" s="945"/>
      <c r="CE106" s="723">
        <f>IF(CC106=0,0,(CD106-CC106)/CC106*100)</f>
        <v>0</v>
      </c>
      <c r="CF106" s="833"/>
      <c r="CG106" s="945"/>
      <c r="CH106" s="723">
        <f>IF(CF106=0,0,(CG106-CF106)/CF106*100)</f>
        <v>0</v>
      </c>
      <c r="CI106" s="833"/>
      <c r="CJ106" s="945"/>
      <c r="CK106" s="723">
        <f>IF(CI106=0,0,(CJ106-CI106)/CI106*100)</f>
        <v>0</v>
      </c>
      <c r="CL106" s="833"/>
      <c r="CM106" s="945"/>
      <c r="CN106" s="723">
        <f>IF(CL106=0,0,(CM106-CL106)/CL106*100)</f>
        <v>0</v>
      </c>
      <c r="CO106" s="833"/>
      <c r="CP106" s="945"/>
      <c r="CQ106" s="723">
        <f>IF(CO106=0,0,(CP106-CO106)/CO106*100)</f>
        <v>0</v>
      </c>
      <c r="CR106" s="833"/>
      <c r="CS106" s="945"/>
      <c r="CT106" s="723">
        <f>IF(CR106=0,0,(CS106-CR106)/CR106*100)</f>
        <v>0</v>
      </c>
      <c r="CU106" s="833"/>
      <c r="CV106" s="945"/>
      <c r="CW106" s="723">
        <f>IF(CU106=0,0,(CV106-CU106)/CU106*100)</f>
        <v>0</v>
      </c>
      <c r="CX106" s="833"/>
      <c r="CY106" s="945"/>
      <c r="CZ106" s="723">
        <f>IF(CX106=0,0,(CY106-CX106)/CX106*100)</f>
        <v>0</v>
      </c>
      <c r="DA106" s="833"/>
      <c r="DB106" s="945"/>
      <c r="DC106" s="723">
        <f>IF(DA106=0,0,(DB106-DA106)/DA106*100)</f>
        <v>0</v>
      </c>
      <c r="DD106" s="833"/>
      <c r="DE106" s="945"/>
      <c r="DF106" s="723">
        <f>IF(DD106=0,0,(DE106-DD106)/DD106*100)</f>
        <v>0</v>
      </c>
      <c r="DG106" s="833"/>
      <c r="DH106" s="945"/>
      <c r="DI106" s="723">
        <f>IF(DG106=0,0,(DH106-DG106)/DG106*100)</f>
        <v>0</v>
      </c>
      <c r="DJ106" s="833"/>
      <c r="DK106" s="945"/>
      <c r="DL106" s="723">
        <f>IF(DJ106=0,0,(DK106-DJ106)/DJ106*100)</f>
        <v>0</v>
      </c>
      <c r="DM106" s="833"/>
      <c r="DN106" s="945"/>
      <c r="DO106" s="723">
        <f>IF(DM106=0,0,(DN106-DM106)/DM106*100)</f>
        <v>0</v>
      </c>
      <c r="DP106" s="833"/>
      <c r="DQ106" s="945"/>
      <c r="DR106" s="723">
        <f>IF(DP106=0,0,(DQ106-DP106)/DP106*100)</f>
        <v>0</v>
      </c>
      <c r="DS106" s="833"/>
      <c r="DT106" s="945"/>
      <c r="DU106" s="723">
        <f>IF(DS106=0,0,(DT106-DS106)/DS106*100)</f>
        <v>0</v>
      </c>
      <c r="DV106" s="833"/>
      <c r="DW106" s="945"/>
      <c r="DX106" s="723">
        <f>IF(DV106=0,0,(DW106-DV106)/DV106*100)</f>
        <v>0</v>
      </c>
      <c r="DY106" s="833"/>
      <c r="DZ106" s="945"/>
      <c r="EA106" s="723">
        <f>IF(DY106=0,0,(DZ106-DY106)/DY106*100)</f>
        <v>0</v>
      </c>
      <c r="EB106" s="833"/>
      <c r="EC106" s="945"/>
      <c r="ED106" s="723">
        <f>IF(EB106=0,0,(EC106-EB106)/EB106*100)</f>
        <v>0</v>
      </c>
      <c r="EE106" s="833"/>
      <c r="EF106" s="945"/>
      <c r="EG106" s="723">
        <f>IF(EE106=0,0,(EF106-EE106)/EE106*100)</f>
        <v>0</v>
      </c>
      <c r="EH106" s="833"/>
      <c r="EI106" s="945"/>
      <c r="EJ106" s="723">
        <f>IF(EH106=0,0,(EI106-EH106)/EH106*100)</f>
        <v>0</v>
      </c>
      <c r="EK106" s="833"/>
      <c r="EL106" s="945"/>
      <c r="EM106" s="723">
        <f>IF(EK106=0,0,(EL106-EK106)/EK106*100)</f>
        <v>0</v>
      </c>
      <c r="EN106" s="833"/>
      <c r="EO106" s="945"/>
      <c r="EP106" s="723">
        <f>IF(EN106=0,0,(EO106-EN106)/EN106*100)</f>
        <v>0</v>
      </c>
      <c r="EQ106" s="833"/>
      <c r="ER106" s="945"/>
      <c r="ES106" s="723">
        <f>IF(EQ106=0,0,(ER106-EQ106)/EQ106*100)</f>
        <v>0</v>
      </c>
      <c r="ET106" s="833"/>
      <c r="EU106" s="945"/>
      <c r="EV106" s="723">
        <f>IF(ET106=0,0,(EU106-ET106)/ET106*100)</f>
        <v>0</v>
      </c>
      <c r="EW106" s="833"/>
      <c r="EX106" s="945"/>
      <c r="EY106" s="723">
        <f>IF(EW106=0,0,(EX106-EW106)/EW106*100)</f>
        <v>0</v>
      </c>
      <c r="EZ106" s="833"/>
      <c r="FA106" s="945"/>
      <c r="FB106" s="723">
        <f>IF(EZ106=0,0,(FA106-EZ106)/EZ106*100)</f>
        <v>0</v>
      </c>
      <c r="FC106" s="833"/>
      <c r="FD106" s="945"/>
      <c r="FE106" s="723">
        <f>IF(FC106=0,0,(FD106-FC106)/FC106*100)</f>
        <v>0</v>
      </c>
      <c r="FF106" s="833"/>
      <c r="FG106" s="945"/>
      <c r="FH106" s="723">
        <f>IF(FF106=0,0,(FG106-FF106)/FF106*100)</f>
        <v>0</v>
      </c>
      <c r="FI106" s="833"/>
      <c r="FJ106" s="945"/>
      <c r="FK106" s="723">
        <f>IF(FI106=0,0,(FJ106-FI106)/FI106*100)</f>
        <v>0</v>
      </c>
      <c r="FL106" s="833"/>
      <c r="FM106" s="945"/>
      <c r="FN106" s="723">
        <f>IF(FL106=0,0,(FM106-FL106)/FL106*100)</f>
        <v>0</v>
      </c>
      <c r="FO106" s="833"/>
      <c r="FP106" s="945"/>
      <c r="FQ106" s="723">
        <f>IF(FO106=0,0,(FP106-FO106)/FO106*100)</f>
        <v>0</v>
      </c>
      <c r="FR106" s="833"/>
      <c r="FS106" s="945"/>
      <c r="FT106" s="723">
        <f>IF(FR106=0,0,(FS106-FR106)/FR106*100)</f>
        <v>0</v>
      </c>
      <c r="FU106" s="833"/>
      <c r="FV106" s="945"/>
      <c r="FW106" s="723">
        <f>IF(FU106=0,0,(FV106-FU106)/FU106*100)</f>
        <v>0</v>
      </c>
      <c r="FZ106" s="680" t="s">
        <v>1651</v>
      </c>
      <c r="GA106" s="680" t="s">
        <v>1650</v>
      </c>
      <c r="GB106" s="680" cm="1">
        <f t="array" ref="GB106">GB105</f>
        <v>0</v>
      </c>
    </row>
    <row r="107" spans="1:186" ht="14.25" hidden="1" customHeight="1">
      <c r="A107" s="78"/>
      <c r="B107" s="622" t="b" cm="1">
        <f t="array" ref="B107">B105</f>
        <v>1</v>
      </c>
      <c r="C107" s="78"/>
      <c r="D107" s="78"/>
      <c r="E107" s="473">
        <v>15</v>
      </c>
      <c r="F107" s="3" t="str" cm="1">
        <f t="array" aca="1" ref="F107" ca="1">OFFSET(E107,-1,1)</f>
        <v>1</v>
      </c>
      <c r="G107" s="78"/>
      <c r="H107" s="78" t="s">
        <v>468</v>
      </c>
      <c r="I107" s="78" cm="1">
        <f t="array" ref="I107">I105</f>
        <v>0</v>
      </c>
      <c r="J107" s="78"/>
      <c r="K107" s="78"/>
      <c r="L107" s="78"/>
      <c r="M107" s="78"/>
      <c r="N107" s="78"/>
      <c r="O107" s="78"/>
      <c r="P107" s="78"/>
      <c r="Q107" s="603"/>
      <c r="R107" s="78"/>
      <c r="S107" s="78"/>
      <c r="T107" s="365" t="b" cm="1">
        <f t="array" aca="1" ref="T107" ca="1">T105</f>
        <v>0</v>
      </c>
      <c r="U107" s="78"/>
      <c r="V107" s="78"/>
      <c r="W107" s="78"/>
      <c r="X107" s="1094"/>
      <c r="Y107" s="1094"/>
      <c r="Z107" s="1064"/>
      <c r="AA107" s="1049"/>
      <c r="AB107" s="73" t="s">
        <v>1634</v>
      </c>
      <c r="AC107" s="26" t="s">
        <v>534</v>
      </c>
      <c r="AD107" s="849"/>
      <c r="AE107" s="849"/>
      <c r="AF107" s="724">
        <f>IF(AD107=0,0,(AE107-AD107)/AD107*100)</f>
        <v>0</v>
      </c>
      <c r="AG107" s="849"/>
      <c r="AH107" s="849"/>
      <c r="AI107" s="724">
        <f>IF(AG107=0,0,(AH107-AG107)/AG107*100)</f>
        <v>0</v>
      </c>
      <c r="AJ107" s="849"/>
      <c r="AK107" s="849"/>
      <c r="AL107" s="724">
        <f>IF(AJ107=0,0,(AK107-AJ107)/AJ107*100)</f>
        <v>0</v>
      </c>
      <c r="AM107" s="849"/>
      <c r="AN107" s="849"/>
      <c r="AO107" s="724">
        <f>IF(AM107=0,0,(AN107-AM107)/AM107*100)</f>
        <v>0</v>
      </c>
      <c r="AP107" s="849"/>
      <c r="AQ107" s="849"/>
      <c r="AR107" s="724">
        <f>IF(AP107=0,0,(AQ107-AP107)/AP107*100)</f>
        <v>0</v>
      </c>
      <c r="AS107" s="849"/>
      <c r="AT107" s="849"/>
      <c r="AU107" s="724">
        <f>IF(AS107=0,0,(AT107-AS107)/AS107*100)</f>
        <v>0</v>
      </c>
      <c r="AV107" s="849"/>
      <c r="AW107" s="849"/>
      <c r="AX107" s="724">
        <f>IF(AV107=0,0,(AW107-AV107)/AV107*100)</f>
        <v>0</v>
      </c>
      <c r="AY107" s="849"/>
      <c r="AZ107" s="849"/>
      <c r="BA107" s="724">
        <f>IF(AY107=0,0,(AZ107-AY107)/AY107*100)</f>
        <v>0</v>
      </c>
      <c r="BB107" s="849"/>
      <c r="BC107" s="849"/>
      <c r="BD107" s="724">
        <f>IF(BB107=0,0,(BC107-BB107)/BB107*100)</f>
        <v>0</v>
      </c>
      <c r="BE107" s="849"/>
      <c r="BF107" s="849"/>
      <c r="BG107" s="724">
        <f>IF(BE107=0,0,(BF107-BE107)/BE107*100)</f>
        <v>0</v>
      </c>
      <c r="BH107" s="849"/>
      <c r="BI107" s="849"/>
      <c r="BJ107" s="724">
        <f>IF(BH107=0,0,(BI107-BH107)/BH107*100)</f>
        <v>0</v>
      </c>
      <c r="BK107" s="849"/>
      <c r="BL107" s="849"/>
      <c r="BM107" s="724">
        <f>IF(BK107=0,0,(BL107-BK107)/BK107*100)</f>
        <v>0</v>
      </c>
      <c r="BN107" s="849"/>
      <c r="BO107" s="849"/>
      <c r="BP107" s="724">
        <f>IF(BN107=0,0,(BO107-BN107)/BN107*100)</f>
        <v>0</v>
      </c>
      <c r="BQ107" s="849"/>
      <c r="BR107" s="849"/>
      <c r="BS107" s="724">
        <f>IF(BQ107=0,0,(BR107-BQ107)/BQ107*100)</f>
        <v>0</v>
      </c>
      <c r="BT107" s="849"/>
      <c r="BU107" s="849"/>
      <c r="BV107" s="724">
        <f>IF(BT107=0,0,(BU107-BT107)/BT107*100)</f>
        <v>0</v>
      </c>
      <c r="BW107" s="849"/>
      <c r="BX107" s="849"/>
      <c r="BY107" s="724">
        <f>IF(BW107=0,0,(BX107-BW107)/BW107*100)</f>
        <v>0</v>
      </c>
      <c r="BZ107" s="849"/>
      <c r="CA107" s="849"/>
      <c r="CB107" s="724">
        <f>IF(BZ107=0,0,(CA107-BZ107)/BZ107*100)</f>
        <v>0</v>
      </c>
      <c r="CC107" s="849"/>
      <c r="CD107" s="849"/>
      <c r="CE107" s="724">
        <f>IF(CC107=0,0,(CD107-CC107)/CC107*100)</f>
        <v>0</v>
      </c>
      <c r="CF107" s="849"/>
      <c r="CG107" s="849"/>
      <c r="CH107" s="724">
        <f>IF(CF107=0,0,(CG107-CF107)/CF107*100)</f>
        <v>0</v>
      </c>
      <c r="CI107" s="849"/>
      <c r="CJ107" s="849"/>
      <c r="CK107" s="724">
        <f>IF(CI107=0,0,(CJ107-CI107)/CI107*100)</f>
        <v>0</v>
      </c>
      <c r="CL107" s="849"/>
      <c r="CM107" s="849"/>
      <c r="CN107" s="724">
        <f>IF(CL107=0,0,(CM107-CL107)/CL107*100)</f>
        <v>0</v>
      </c>
      <c r="CO107" s="849"/>
      <c r="CP107" s="849"/>
      <c r="CQ107" s="724">
        <f>IF(CO107=0,0,(CP107-CO107)/CO107*100)</f>
        <v>0</v>
      </c>
      <c r="CR107" s="849"/>
      <c r="CS107" s="849"/>
      <c r="CT107" s="724">
        <f>IF(CR107=0,0,(CS107-CR107)/CR107*100)</f>
        <v>0</v>
      </c>
      <c r="CU107" s="849"/>
      <c r="CV107" s="849"/>
      <c r="CW107" s="724">
        <f>IF(CU107=0,0,(CV107-CU107)/CU107*100)</f>
        <v>0</v>
      </c>
      <c r="CX107" s="849"/>
      <c r="CY107" s="849"/>
      <c r="CZ107" s="724">
        <f>IF(CX107=0,0,(CY107-CX107)/CX107*100)</f>
        <v>0</v>
      </c>
      <c r="DA107" s="849"/>
      <c r="DB107" s="849"/>
      <c r="DC107" s="724">
        <f>IF(DA107=0,0,(DB107-DA107)/DA107*100)</f>
        <v>0</v>
      </c>
      <c r="DD107" s="849"/>
      <c r="DE107" s="849"/>
      <c r="DF107" s="724">
        <f>IF(DD107=0,0,(DE107-DD107)/DD107*100)</f>
        <v>0</v>
      </c>
      <c r="DG107" s="849"/>
      <c r="DH107" s="849"/>
      <c r="DI107" s="724">
        <f>IF(DG107=0,0,(DH107-DG107)/DG107*100)</f>
        <v>0</v>
      </c>
      <c r="DJ107" s="849"/>
      <c r="DK107" s="849"/>
      <c r="DL107" s="724">
        <f>IF(DJ107=0,0,(DK107-DJ107)/DJ107*100)</f>
        <v>0</v>
      </c>
      <c r="DM107" s="849"/>
      <c r="DN107" s="849"/>
      <c r="DO107" s="724">
        <f>IF(DM107=0,0,(DN107-DM107)/DM107*100)</f>
        <v>0</v>
      </c>
      <c r="DP107" s="849"/>
      <c r="DQ107" s="849"/>
      <c r="DR107" s="724">
        <f>IF(DP107=0,0,(DQ107-DP107)/DP107*100)</f>
        <v>0</v>
      </c>
      <c r="DS107" s="849"/>
      <c r="DT107" s="849"/>
      <c r="DU107" s="724">
        <f>IF(DS107=0,0,(DT107-DS107)/DS107*100)</f>
        <v>0</v>
      </c>
      <c r="DV107" s="849"/>
      <c r="DW107" s="849"/>
      <c r="DX107" s="724">
        <f>IF(DV107=0,0,(DW107-DV107)/DV107*100)</f>
        <v>0</v>
      </c>
      <c r="DY107" s="849"/>
      <c r="DZ107" s="849"/>
      <c r="EA107" s="724">
        <f>IF(DY107=0,0,(DZ107-DY107)/DY107*100)</f>
        <v>0</v>
      </c>
      <c r="EB107" s="849"/>
      <c r="EC107" s="849"/>
      <c r="ED107" s="724">
        <f>IF(EB107=0,0,(EC107-EB107)/EB107*100)</f>
        <v>0</v>
      </c>
      <c r="EE107" s="849"/>
      <c r="EF107" s="849"/>
      <c r="EG107" s="724">
        <f>IF(EE107=0,0,(EF107-EE107)/EE107*100)</f>
        <v>0</v>
      </c>
      <c r="EH107" s="849"/>
      <c r="EI107" s="849"/>
      <c r="EJ107" s="724">
        <f>IF(EH107=0,0,(EI107-EH107)/EH107*100)</f>
        <v>0</v>
      </c>
      <c r="EK107" s="849"/>
      <c r="EL107" s="849"/>
      <c r="EM107" s="724">
        <f>IF(EK107=0,0,(EL107-EK107)/EK107*100)</f>
        <v>0</v>
      </c>
      <c r="EN107" s="849"/>
      <c r="EO107" s="849"/>
      <c r="EP107" s="724">
        <f>IF(EN107=0,0,(EO107-EN107)/EN107*100)</f>
        <v>0</v>
      </c>
      <c r="EQ107" s="849"/>
      <c r="ER107" s="849"/>
      <c r="ES107" s="724">
        <f>IF(EQ107=0,0,(ER107-EQ107)/EQ107*100)</f>
        <v>0</v>
      </c>
      <c r="ET107" s="849"/>
      <c r="EU107" s="849"/>
      <c r="EV107" s="724">
        <f>IF(ET107=0,0,(EU107-ET107)/ET107*100)</f>
        <v>0</v>
      </c>
      <c r="EW107" s="849"/>
      <c r="EX107" s="849"/>
      <c r="EY107" s="724">
        <f>IF(EW107=0,0,(EX107-EW107)/EW107*100)</f>
        <v>0</v>
      </c>
      <c r="EZ107" s="849"/>
      <c r="FA107" s="849"/>
      <c r="FB107" s="724">
        <f>IF(EZ107=0,0,(FA107-EZ107)/EZ107*100)</f>
        <v>0</v>
      </c>
      <c r="FC107" s="849"/>
      <c r="FD107" s="849"/>
      <c r="FE107" s="724">
        <f>IF(FC107=0,0,(FD107-FC107)/FC107*100)</f>
        <v>0</v>
      </c>
      <c r="FF107" s="849"/>
      <c r="FG107" s="849"/>
      <c r="FH107" s="724">
        <f>IF(FF107=0,0,(FG107-FF107)/FF107*100)</f>
        <v>0</v>
      </c>
      <c r="FI107" s="849"/>
      <c r="FJ107" s="849"/>
      <c r="FK107" s="724">
        <f>IF(FI107=0,0,(FJ107-FI107)/FI107*100)</f>
        <v>0</v>
      </c>
      <c r="FL107" s="849"/>
      <c r="FM107" s="849"/>
      <c r="FN107" s="724">
        <f>IF(FL107=0,0,(FM107-FL107)/FL107*100)</f>
        <v>0</v>
      </c>
      <c r="FO107" s="849"/>
      <c r="FP107" s="849"/>
      <c r="FQ107" s="724">
        <f>IF(FO107=0,0,(FP107-FO107)/FO107*100)</f>
        <v>0</v>
      </c>
      <c r="FR107" s="849"/>
      <c r="FS107" s="849"/>
      <c r="FT107" s="724">
        <f>IF(FR107=0,0,(FS107-FR107)/FR107*100)</f>
        <v>0</v>
      </c>
      <c r="FU107" s="849"/>
      <c r="FV107" s="849"/>
      <c r="FW107" s="724">
        <f>IF(FU107=0,0,(FV107-FU107)/FU107*100)</f>
        <v>0</v>
      </c>
      <c r="FX107" s="219"/>
      <c r="FZ107" s="700" t="s">
        <v>1652</v>
      </c>
      <c r="GA107" s="680" t="s">
        <v>1650</v>
      </c>
      <c r="GB107" s="680" cm="1">
        <f t="array" ref="GB107">GB105</f>
        <v>0</v>
      </c>
    </row>
    <row r="108" spans="1:186" ht="14.25" customHeight="1">
      <c r="A108" s="78"/>
      <c r="B108" s="622" t="b" cm="1">
        <f t="array" ref="B108">B107</f>
        <v>1</v>
      </c>
      <c r="C108" s="78"/>
      <c r="D108" s="78"/>
      <c r="E108" s="473">
        <v>15</v>
      </c>
      <c r="F108" s="3" t="str" cm="1">
        <f t="array" aca="1" ref="F108" ca="1">OFFSET(E108,-1,1)</f>
        <v>1</v>
      </c>
      <c r="G108" s="78"/>
      <c r="H108" s="78"/>
      <c r="I108" s="36" t="s">
        <v>1653</v>
      </c>
      <c r="J108" s="78"/>
      <c r="K108" s="78"/>
      <c r="L108" s="78"/>
      <c r="M108" s="78"/>
      <c r="N108" s="78"/>
      <c r="O108" s="78"/>
      <c r="P108" s="78"/>
      <c r="Q108" s="78"/>
      <c r="R108" s="23"/>
      <c r="S108" s="78"/>
      <c r="T108" s="365" t="b">
        <f ca="1">F108&gt;0</f>
        <v>1</v>
      </c>
      <c r="U108" s="78"/>
      <c r="W108" s="528" t="s">
        <v>1654</v>
      </c>
      <c r="X108" s="1094"/>
      <c r="Z108" s="1064"/>
      <c r="AB108" s="191" t="s">
        <v>177</v>
      </c>
      <c r="AC108" s="195"/>
      <c r="AD108" s="725"/>
      <c r="AE108" s="725"/>
      <c r="AF108" s="725"/>
      <c r="AG108" s="725"/>
      <c r="AH108" s="725"/>
      <c r="AI108" s="725"/>
      <c r="AJ108" s="725"/>
      <c r="AK108" s="725"/>
      <c r="AL108" s="725"/>
      <c r="AM108" s="725"/>
      <c r="AN108" s="725"/>
      <c r="AO108" s="725"/>
      <c r="AP108" s="725"/>
      <c r="AQ108" s="725"/>
      <c r="AR108" s="725"/>
      <c r="AS108" s="725"/>
      <c r="AT108" s="725"/>
      <c r="AU108" s="725"/>
      <c r="AV108" s="725"/>
      <c r="AW108" s="725"/>
      <c r="AX108" s="725"/>
      <c r="AY108" s="725"/>
      <c r="AZ108" s="725"/>
      <c r="BA108" s="725"/>
      <c r="BB108" s="725"/>
      <c r="BC108" s="725"/>
      <c r="BD108" s="725"/>
      <c r="BE108" s="725"/>
      <c r="BF108" s="725"/>
      <c r="BG108" s="725"/>
      <c r="BH108" s="725"/>
      <c r="BI108" s="725"/>
      <c r="BJ108" s="725"/>
      <c r="BK108" s="725"/>
      <c r="BL108" s="725"/>
      <c r="BM108" s="725"/>
      <c r="BN108" s="725"/>
      <c r="BO108" s="725"/>
      <c r="BP108" s="725"/>
      <c r="BQ108" s="725"/>
      <c r="BR108" s="725"/>
      <c r="BS108" s="725"/>
      <c r="BT108" s="725"/>
      <c r="BU108" s="725"/>
      <c r="BV108" s="725"/>
      <c r="BW108" s="725"/>
      <c r="BX108" s="725"/>
      <c r="BY108" s="725"/>
      <c r="BZ108" s="725"/>
      <c r="CA108" s="725"/>
      <c r="CB108" s="725"/>
      <c r="CC108" s="725"/>
      <c r="CD108" s="725"/>
      <c r="CE108" s="725"/>
      <c r="CF108" s="725"/>
      <c r="CG108" s="725"/>
      <c r="CH108" s="725"/>
      <c r="CI108" s="725"/>
      <c r="CJ108" s="725"/>
      <c r="CK108" s="725"/>
      <c r="CL108" s="725"/>
      <c r="CM108" s="725"/>
      <c r="CN108" s="725"/>
      <c r="CO108" s="725"/>
      <c r="CP108" s="725"/>
      <c r="CQ108" s="725"/>
      <c r="CR108" s="725"/>
      <c r="CS108" s="725"/>
      <c r="CT108" s="725"/>
      <c r="CU108" s="725"/>
      <c r="CV108" s="725"/>
      <c r="CW108" s="725"/>
      <c r="CX108" s="725"/>
      <c r="CY108" s="725"/>
      <c r="CZ108" s="725"/>
      <c r="DA108" s="725"/>
      <c r="DB108" s="725"/>
      <c r="DC108" s="725"/>
      <c r="DD108" s="725"/>
      <c r="DE108" s="725"/>
      <c r="DF108" s="725"/>
      <c r="DG108" s="725"/>
      <c r="DH108" s="725"/>
      <c r="DI108" s="725"/>
      <c r="DJ108" s="725"/>
      <c r="DK108" s="725"/>
      <c r="DL108" s="725"/>
      <c r="DM108" s="725"/>
      <c r="DN108" s="725"/>
      <c r="DO108" s="725"/>
      <c r="DP108" s="725"/>
      <c r="DQ108" s="725"/>
      <c r="DR108" s="725"/>
      <c r="DS108" s="725"/>
      <c r="DT108" s="725"/>
      <c r="DU108" s="725"/>
      <c r="DV108" s="725"/>
      <c r="DW108" s="725"/>
      <c r="DX108" s="725"/>
      <c r="DY108" s="725"/>
      <c r="DZ108" s="725"/>
      <c r="EA108" s="725"/>
      <c r="EB108" s="725"/>
      <c r="EC108" s="725"/>
      <c r="ED108" s="725"/>
      <c r="EE108" s="725"/>
      <c r="EF108" s="725"/>
      <c r="EG108" s="725"/>
      <c r="EH108" s="725"/>
      <c r="EI108" s="725"/>
      <c r="EJ108" s="725"/>
      <c r="EK108" s="725"/>
      <c r="EL108" s="725"/>
      <c r="EM108" s="725"/>
      <c r="EN108" s="725"/>
      <c r="EO108" s="725"/>
      <c r="EP108" s="725"/>
      <c r="EQ108" s="725"/>
      <c r="ER108" s="725"/>
      <c r="ES108" s="725"/>
      <c r="ET108" s="725"/>
      <c r="EU108" s="725"/>
      <c r="EV108" s="725"/>
      <c r="EW108" s="725"/>
      <c r="EX108" s="725"/>
      <c r="EY108" s="725"/>
      <c r="EZ108" s="725"/>
      <c r="FA108" s="725"/>
      <c r="FB108" s="725"/>
      <c r="FC108" s="725"/>
      <c r="FD108" s="725"/>
      <c r="FE108" s="725"/>
      <c r="FF108" s="725"/>
      <c r="FG108" s="725"/>
      <c r="FH108" s="725"/>
      <c r="FI108" s="725"/>
      <c r="FJ108" s="725"/>
      <c r="FK108" s="725"/>
      <c r="FL108" s="725"/>
      <c r="FM108" s="725"/>
      <c r="FN108" s="725"/>
      <c r="FO108" s="725"/>
      <c r="FP108" s="725"/>
      <c r="FQ108" s="725"/>
      <c r="FR108" s="725"/>
      <c r="FS108" s="725"/>
      <c r="FT108" s="725"/>
      <c r="FU108" s="725"/>
      <c r="FV108" s="725"/>
      <c r="FW108" s="726"/>
      <c r="FZ108" s="700" t="s">
        <v>225</v>
      </c>
      <c r="GC108" s="472" t="s">
        <v>1650</v>
      </c>
    </row>
    <row r="109" spans="1:186" ht="14.25" hidden="1" customHeight="1">
      <c r="A109" s="78"/>
      <c r="B109" s="622" t="b">
        <f>AND(R92="двухставочный",NOT(S92))</f>
        <v>0</v>
      </c>
      <c r="C109" s="78"/>
      <c r="D109" s="78"/>
      <c r="E109" s="473">
        <v>15</v>
      </c>
      <c r="F109" s="3" t="str" cm="1">
        <f t="array" aca="1" ref="F109" ca="1">OFFSET(E109,-1,1)</f>
        <v>1</v>
      </c>
      <c r="G109" s="78"/>
      <c r="H109" s="78"/>
      <c r="I109" s="78"/>
      <c r="J109" s="78"/>
      <c r="K109" s="78"/>
      <c r="L109" s="78"/>
      <c r="M109" s="78"/>
      <c r="N109" s="78"/>
      <c r="O109" s="78"/>
      <c r="P109" s="78"/>
      <c r="Q109" s="78"/>
      <c r="R109" s="23"/>
      <c r="S109" s="78"/>
      <c r="T109" s="365" t="b" cm="1">
        <f t="array" aca="1" ref="T109" ca="1">T108</f>
        <v>1</v>
      </c>
      <c r="U109" s="78"/>
      <c r="V109" s="78"/>
      <c r="W109" s="78"/>
      <c r="X109" s="1094"/>
      <c r="Y109" s="78"/>
      <c r="Z109" s="1064"/>
      <c r="AA109" s="78"/>
      <c r="AB109" s="601" t="s">
        <v>1655</v>
      </c>
      <c r="AC109" s="602"/>
      <c r="AD109" s="217"/>
      <c r="AE109" s="217"/>
      <c r="AF109" s="217"/>
      <c r="AG109" s="217"/>
      <c r="AH109" s="217"/>
      <c r="AI109" s="217"/>
      <c r="AJ109" s="217"/>
      <c r="AK109" s="217"/>
      <c r="AL109" s="217"/>
      <c r="AM109" s="217"/>
      <c r="AN109" s="217"/>
      <c r="AO109" s="217"/>
      <c r="AP109" s="217"/>
      <c r="AQ109" s="217"/>
      <c r="AR109" s="217"/>
      <c r="AS109" s="217"/>
      <c r="AT109" s="217"/>
      <c r="AU109" s="217"/>
      <c r="AV109" s="217"/>
      <c r="AW109" s="217"/>
      <c r="AX109" s="217"/>
      <c r="AY109" s="217"/>
      <c r="AZ109" s="217"/>
      <c r="BA109" s="217"/>
      <c r="BB109" s="217"/>
      <c r="BC109" s="217"/>
      <c r="BD109" s="217"/>
      <c r="BE109" s="217"/>
      <c r="BF109" s="217"/>
      <c r="BG109" s="217"/>
      <c r="BH109" s="217"/>
      <c r="BI109" s="217"/>
      <c r="BJ109" s="217"/>
      <c r="BK109" s="217"/>
      <c r="BL109" s="217"/>
      <c r="BM109" s="217"/>
      <c r="BN109" s="217"/>
      <c r="BO109" s="217"/>
      <c r="BP109" s="217"/>
      <c r="BQ109" s="217"/>
      <c r="BR109" s="217"/>
      <c r="BS109" s="217"/>
      <c r="BT109" s="217"/>
      <c r="BU109" s="217"/>
      <c r="BV109" s="217"/>
      <c r="BW109" s="217"/>
      <c r="BX109" s="217"/>
      <c r="BY109" s="217"/>
      <c r="BZ109" s="217"/>
      <c r="CA109" s="217"/>
      <c r="CB109" s="217"/>
      <c r="CC109" s="217"/>
      <c r="CD109" s="217"/>
      <c r="CE109" s="217"/>
      <c r="CF109" s="217"/>
      <c r="CG109" s="217"/>
      <c r="CH109" s="217"/>
      <c r="CI109" s="217"/>
      <c r="CJ109" s="217"/>
      <c r="CK109" s="217"/>
      <c r="CL109" s="217"/>
      <c r="CM109" s="217"/>
      <c r="CN109" s="217"/>
      <c r="CO109" s="217"/>
      <c r="CP109" s="217"/>
      <c r="CQ109" s="217"/>
      <c r="CR109" s="217"/>
      <c r="CS109" s="217"/>
      <c r="CT109" s="217"/>
      <c r="CU109" s="217"/>
      <c r="CV109" s="217"/>
      <c r="CW109" s="217"/>
      <c r="CX109" s="217"/>
      <c r="CY109" s="217"/>
      <c r="CZ109" s="217"/>
      <c r="DA109" s="217"/>
      <c r="DB109" s="217"/>
      <c r="DC109" s="217"/>
      <c r="DD109" s="217"/>
      <c r="DE109" s="217"/>
      <c r="DF109" s="217"/>
      <c r="DG109" s="217"/>
      <c r="DH109" s="217"/>
      <c r="DI109" s="217"/>
      <c r="DJ109" s="217"/>
      <c r="DK109" s="217"/>
      <c r="DL109" s="217"/>
      <c r="DM109" s="217"/>
      <c r="DN109" s="217"/>
      <c r="DO109" s="217"/>
      <c r="DP109" s="217"/>
      <c r="DQ109" s="217"/>
      <c r="DR109" s="217"/>
      <c r="DS109" s="217"/>
      <c r="DT109" s="217"/>
      <c r="DU109" s="217"/>
      <c r="DV109" s="217"/>
      <c r="DW109" s="217"/>
      <c r="DX109" s="217"/>
      <c r="DY109" s="217"/>
      <c r="DZ109" s="217"/>
      <c r="EA109" s="217"/>
      <c r="EB109" s="217"/>
      <c r="EC109" s="217"/>
      <c r="ED109" s="217"/>
      <c r="EE109" s="217"/>
      <c r="EF109" s="217"/>
      <c r="EG109" s="217"/>
      <c r="EH109" s="217"/>
      <c r="EI109" s="217"/>
      <c r="EJ109" s="217"/>
      <c r="EK109" s="217"/>
      <c r="EL109" s="217"/>
      <c r="EM109" s="217"/>
      <c r="EN109" s="217"/>
      <c r="EO109" s="217"/>
      <c r="EP109" s="217"/>
      <c r="EQ109" s="217"/>
      <c r="ER109" s="217"/>
      <c r="ES109" s="217"/>
      <c r="ET109" s="217"/>
      <c r="EU109" s="217"/>
      <c r="EV109" s="217"/>
      <c r="EW109" s="217"/>
      <c r="EX109" s="217"/>
      <c r="EY109" s="217"/>
      <c r="EZ109" s="217"/>
      <c r="FA109" s="217"/>
      <c r="FB109" s="217"/>
      <c r="FC109" s="217"/>
      <c r="FD109" s="217"/>
      <c r="FE109" s="217"/>
      <c r="FF109" s="217"/>
      <c r="FG109" s="217"/>
      <c r="FH109" s="217"/>
      <c r="FI109" s="217"/>
      <c r="FJ109" s="217"/>
      <c r="FK109" s="217"/>
      <c r="FL109" s="217"/>
      <c r="FM109" s="217"/>
      <c r="FN109" s="217"/>
      <c r="FO109" s="217"/>
      <c r="FP109" s="217"/>
      <c r="FQ109" s="217"/>
      <c r="FR109" s="217"/>
      <c r="FS109" s="217"/>
      <c r="FT109" s="217"/>
      <c r="FU109" s="217"/>
      <c r="FV109" s="217"/>
      <c r="FW109" s="218"/>
      <c r="FZ109" s="700" t="s">
        <v>225</v>
      </c>
    </row>
    <row r="110" spans="1:186" ht="23.25" hidden="1" customHeight="1">
      <c r="A110" s="78"/>
      <c r="B110" s="622" t="b" cm="1">
        <f t="array" ref="B110">B109</f>
        <v>0</v>
      </c>
      <c r="C110" s="78"/>
      <c r="D110" s="78"/>
      <c r="E110" s="473">
        <v>24.5</v>
      </c>
      <c r="F110" s="3" t="str" cm="1">
        <f t="array" aca="1" ref="F110" ca="1">OFFSET(E110,-1,1)</f>
        <v>1</v>
      </c>
      <c r="G110" s="78"/>
      <c r="H110" s="78"/>
      <c r="I110" s="78"/>
      <c r="J110" s="78"/>
      <c r="K110" s="78"/>
      <c r="L110" s="78"/>
      <c r="M110" s="78"/>
      <c r="N110" s="78"/>
      <c r="O110" s="78"/>
      <c r="P110" s="78"/>
      <c r="Q110" s="78"/>
      <c r="R110" s="78"/>
      <c r="S110" s="78"/>
      <c r="T110" s="365" t="b" cm="1">
        <f t="array" aca="1" ref="T110" ca="1">T109</f>
        <v>1</v>
      </c>
      <c r="U110" s="78"/>
      <c r="V110" s="78"/>
      <c r="W110" s="78"/>
      <c r="X110" s="1094"/>
      <c r="Y110" s="78"/>
      <c r="Z110" s="1064"/>
      <c r="AA110" s="78"/>
      <c r="AB110" s="220" t="s">
        <v>1656</v>
      </c>
      <c r="AC110" s="606"/>
      <c r="AD110" s="727"/>
      <c r="AE110" s="727"/>
      <c r="AF110" s="727"/>
      <c r="AG110" s="727"/>
      <c r="AH110" s="727"/>
      <c r="AI110" s="727"/>
      <c r="AJ110" s="727"/>
      <c r="AK110" s="727"/>
      <c r="AL110" s="727"/>
      <c r="AM110" s="727"/>
      <c r="AN110" s="727"/>
      <c r="AO110" s="727"/>
      <c r="AP110" s="727"/>
      <c r="AQ110" s="727"/>
      <c r="AR110" s="727"/>
      <c r="AS110" s="727"/>
      <c r="AT110" s="727"/>
      <c r="AU110" s="727"/>
      <c r="AV110" s="727"/>
      <c r="AW110" s="727"/>
      <c r="AX110" s="727"/>
      <c r="AY110" s="727"/>
      <c r="AZ110" s="727"/>
      <c r="BA110" s="727"/>
      <c r="BB110" s="727"/>
      <c r="BC110" s="727"/>
      <c r="BD110" s="727"/>
      <c r="BE110" s="727"/>
      <c r="BF110" s="727"/>
      <c r="BG110" s="727"/>
      <c r="BH110" s="727"/>
      <c r="BI110" s="727"/>
      <c r="BJ110" s="727"/>
      <c r="BK110" s="727"/>
      <c r="BL110" s="727"/>
      <c r="BM110" s="727"/>
      <c r="BN110" s="727"/>
      <c r="BO110" s="727"/>
      <c r="BP110" s="727"/>
      <c r="BQ110" s="727"/>
      <c r="BR110" s="727"/>
      <c r="BS110" s="727"/>
      <c r="BT110" s="727"/>
      <c r="BU110" s="727"/>
      <c r="BV110" s="727"/>
      <c r="BW110" s="727"/>
      <c r="BX110" s="727"/>
      <c r="BY110" s="727"/>
      <c r="BZ110" s="727"/>
      <c r="CA110" s="727"/>
      <c r="CB110" s="727"/>
      <c r="CC110" s="727"/>
      <c r="CD110" s="727"/>
      <c r="CE110" s="727"/>
      <c r="CF110" s="727"/>
      <c r="CG110" s="727"/>
      <c r="CH110" s="727"/>
      <c r="CI110" s="727"/>
      <c r="CJ110" s="727"/>
      <c r="CK110" s="727"/>
      <c r="CL110" s="727"/>
      <c r="CM110" s="727"/>
      <c r="CN110" s="727"/>
      <c r="CO110" s="727"/>
      <c r="CP110" s="727"/>
      <c r="CQ110" s="727"/>
      <c r="CR110" s="727"/>
      <c r="CS110" s="727"/>
      <c r="CT110" s="727"/>
      <c r="CU110" s="727"/>
      <c r="CV110" s="727"/>
      <c r="CW110" s="727"/>
      <c r="CX110" s="727"/>
      <c r="CY110" s="727"/>
      <c r="CZ110" s="727"/>
      <c r="DA110" s="727"/>
      <c r="DB110" s="727"/>
      <c r="DC110" s="727"/>
      <c r="DD110" s="727"/>
      <c r="DE110" s="727"/>
      <c r="DF110" s="727"/>
      <c r="DG110" s="727"/>
      <c r="DH110" s="727"/>
      <c r="DI110" s="727"/>
      <c r="DJ110" s="727"/>
      <c r="DK110" s="727"/>
      <c r="DL110" s="727"/>
      <c r="DM110" s="727"/>
      <c r="DN110" s="727"/>
      <c r="DO110" s="727"/>
      <c r="DP110" s="727"/>
      <c r="DQ110" s="727"/>
      <c r="DR110" s="727"/>
      <c r="DS110" s="727"/>
      <c r="DT110" s="727"/>
      <c r="DU110" s="727"/>
      <c r="DV110" s="727"/>
      <c r="DW110" s="727"/>
      <c r="DX110" s="727"/>
      <c r="DY110" s="727"/>
      <c r="DZ110" s="727"/>
      <c r="EA110" s="727"/>
      <c r="EB110" s="727"/>
      <c r="EC110" s="727"/>
      <c r="ED110" s="727"/>
      <c r="EE110" s="727"/>
      <c r="EF110" s="727"/>
      <c r="EG110" s="727"/>
      <c r="EH110" s="727"/>
      <c r="EI110" s="727"/>
      <c r="EJ110" s="727"/>
      <c r="EK110" s="727"/>
      <c r="EL110" s="727"/>
      <c r="EM110" s="727"/>
      <c r="EN110" s="727"/>
      <c r="EO110" s="727"/>
      <c r="EP110" s="727"/>
      <c r="EQ110" s="727"/>
      <c r="ER110" s="727"/>
      <c r="ES110" s="727"/>
      <c r="ET110" s="727"/>
      <c r="EU110" s="727"/>
      <c r="EV110" s="727"/>
      <c r="EW110" s="727"/>
      <c r="EX110" s="727"/>
      <c r="EY110" s="727"/>
      <c r="EZ110" s="727"/>
      <c r="FA110" s="727"/>
      <c r="FB110" s="727"/>
      <c r="FC110" s="727"/>
      <c r="FD110" s="727"/>
      <c r="FE110" s="727"/>
      <c r="FF110" s="727"/>
      <c r="FG110" s="727"/>
      <c r="FH110" s="727"/>
      <c r="FI110" s="727"/>
      <c r="FJ110" s="727"/>
      <c r="FK110" s="727"/>
      <c r="FL110" s="727"/>
      <c r="FM110" s="727"/>
      <c r="FN110" s="727"/>
      <c r="FO110" s="727"/>
      <c r="FP110" s="727"/>
      <c r="FQ110" s="727"/>
      <c r="FR110" s="727"/>
      <c r="FS110" s="727"/>
      <c r="FT110" s="727"/>
      <c r="FU110" s="727"/>
      <c r="FV110" s="727"/>
      <c r="FW110" s="728"/>
      <c r="FZ110" s="700" t="s">
        <v>225</v>
      </c>
    </row>
    <row r="111" spans="1:186" ht="14.25" hidden="1" customHeight="1">
      <c r="A111" s="78"/>
      <c r="B111" s="622" t="b" cm="1">
        <f t="array" ref="B111">B110</f>
        <v>0</v>
      </c>
      <c r="C111" s="78"/>
      <c r="D111" s="78"/>
      <c r="E111" s="473">
        <v>15</v>
      </c>
      <c r="F111" s="3" t="str" cm="1">
        <f t="array" aca="1" ref="F111" ca="1">OFFSET(E111,-1,1)</f>
        <v>1</v>
      </c>
      <c r="G111" s="78"/>
      <c r="H111" s="78" t="s">
        <v>1562</v>
      </c>
      <c r="I111" s="78" t="s">
        <v>1622</v>
      </c>
      <c r="J111" s="78"/>
      <c r="K111" s="78"/>
      <c r="L111" s="78"/>
      <c r="M111" s="78"/>
      <c r="N111" s="78"/>
      <c r="O111" s="78"/>
      <c r="P111" s="78"/>
      <c r="Q111" s="78"/>
      <c r="R111" s="78"/>
      <c r="S111" s="78"/>
      <c r="T111" s="365" t="b" cm="1">
        <f t="array" aca="1" ref="T111" ca="1">T110</f>
        <v>1</v>
      </c>
      <c r="U111" s="78"/>
      <c r="V111" s="78"/>
      <c r="W111" s="78"/>
      <c r="X111" s="1094"/>
      <c r="Y111" s="78"/>
      <c r="Z111" s="1064"/>
      <c r="AA111" s="78"/>
      <c r="AB111" s="124" t="s">
        <v>1657</v>
      </c>
      <c r="AC111" s="31" t="s">
        <v>1624</v>
      </c>
      <c r="AD111" s="833">
        <f ca="1">IF(AD113=0,0,(AD112*AD113+AD114*AD115*IF(god=2026,9,6))/AD113)</f>
        <v>0</v>
      </c>
      <c r="AE111" s="833">
        <f ca="1">IF(AE113=0,0,(AE112*AE113+AE114*AE115*IF(god=2026,9,6))/AE113)</f>
        <v>0</v>
      </c>
      <c r="AF111" s="723">
        <f ca="1">IF(AD111=0,0,(AE111-AD111)/AD111*100)</f>
        <v>0</v>
      </c>
      <c r="AG111" s="833">
        <f ca="1">IF(AG113=0,0,(AG112*AG113+AG114*AG115*IF(god=2025,9,6))/AG113)</f>
        <v>0</v>
      </c>
      <c r="AH111" s="833">
        <f ca="1">IF(AH113=0,0,(AH112*AH113+AH114*AH115*IF(god=2025,9,6))/AH113)</f>
        <v>0</v>
      </c>
      <c r="AI111" s="723">
        <f ca="1">IF(AG111=0,0,(AH111-AG111)/AG111*100)</f>
        <v>0</v>
      </c>
      <c r="AJ111" s="833">
        <f ca="1">IF(AJ113=0,0,(AJ112*AJ113+AJ114*AJ115*6)/AJ113)</f>
        <v>0</v>
      </c>
      <c r="AK111" s="833">
        <f ca="1">IF(AK113=0,0,(AK112*AK113+AK114*AK115*6)/AK113)</f>
        <v>0</v>
      </c>
      <c r="AL111" s="723">
        <f ca="1">IF(AJ111=0,0,(AK111-AJ111)/AJ111*100)</f>
        <v>0</v>
      </c>
      <c r="AM111" s="833">
        <f ca="1">IF(AM113=0,0,(AM112*AM113+AM114*AM115*6)/AM113)</f>
        <v>0</v>
      </c>
      <c r="AN111" s="833">
        <f ca="1">IF(AN113=0,0,(AN112*AN113+AN114*AN115*6)/AN113)</f>
        <v>0</v>
      </c>
      <c r="AO111" s="723">
        <f ca="1">IF(AM111=0,0,(AN111-AM111)/AM111*100)</f>
        <v>0</v>
      </c>
      <c r="AP111" s="833">
        <f ca="1">IF(AP113=0,0,(AP112*AP113+AP114*AP115*6)/AP113)</f>
        <v>0</v>
      </c>
      <c r="AQ111" s="833">
        <f ca="1">IF(AQ113=0,0,(AQ112*AQ113+AQ114*AQ115*6)/AQ113)</f>
        <v>0</v>
      </c>
      <c r="AR111" s="723">
        <f ca="1">IF(AP111=0,0,(AQ111-AP111)/AP111*100)</f>
        <v>0</v>
      </c>
      <c r="AS111" s="833">
        <f ca="1">IF(AS113=0,0,(AS112*AS113+AS114*AS115*6)/AS113)</f>
        <v>0</v>
      </c>
      <c r="AT111" s="833">
        <f ca="1">IF(AT113=0,0,(AT112*AT113+AT114*AT115*6)/AT113)</f>
        <v>0</v>
      </c>
      <c r="AU111" s="723">
        <f ca="1">IF(AS111=0,0,(AT111-AS111)/AS111*100)</f>
        <v>0</v>
      </c>
      <c r="AV111" s="833">
        <f ca="1">IF(AV113=0,0,(AV112*AV113+AV114*AV115*6)/AV113)</f>
        <v>0</v>
      </c>
      <c r="AW111" s="833">
        <f ca="1">IF(AW113=0,0,(AW112*AW113+AW114*AW115*6)/AW113)</f>
        <v>0</v>
      </c>
      <c r="AX111" s="723">
        <f ca="1">IF(AV111=0,0,(AW111-AV111)/AV111*100)</f>
        <v>0</v>
      </c>
      <c r="AY111" s="833">
        <f ca="1">IF(AY113=0,0,(AY112*AY113+AY114*AY115*6)/AY113)</f>
        <v>0</v>
      </c>
      <c r="AZ111" s="833">
        <f ca="1">IF(AZ113=0,0,(AZ112*AZ113+AZ114*AZ115*6)/AZ113)</f>
        <v>0</v>
      </c>
      <c r="BA111" s="723">
        <f ca="1">IF(AY111=0,0,(AZ111-AY111)/AY111*100)</f>
        <v>0</v>
      </c>
      <c r="BB111" s="833">
        <f ca="1">IF(BB113=0,0,(BB112*BB113+BB114*BB115*6)/BB113)</f>
        <v>0</v>
      </c>
      <c r="BC111" s="833">
        <f ca="1">IF(BC113=0,0,(BC112*BC113+BC114*BC115*6)/BC113)</f>
        <v>0</v>
      </c>
      <c r="BD111" s="723">
        <f ca="1">IF(BB111=0,0,(BC111-BB111)/BB111*100)</f>
        <v>0</v>
      </c>
      <c r="BE111" s="833">
        <f ca="1">IF(BE113=0,0,(BE112*BE113+BE114*BE115*6)/BE113)</f>
        <v>0</v>
      </c>
      <c r="BF111" s="833">
        <f ca="1">IF(BF113=0,0,(BF112*BF113+BF114*BF115*6)/BF113)</f>
        <v>0</v>
      </c>
      <c r="BG111" s="723">
        <f ca="1">IF(BE111=0,0,(BF111-BE111)/BE111*100)</f>
        <v>0</v>
      </c>
      <c r="BH111" s="833">
        <f>IF(BH113=0,0,(BH112*BH113+BH114*BH115*6)/BH113)</f>
        <v>0</v>
      </c>
      <c r="BI111" s="833">
        <f>IF(BI113=0,0,(BI112*BI113+BI114*BI115*6)/BI113)</f>
        <v>0</v>
      </c>
      <c r="BJ111" s="723">
        <f>IF(BH111=0,0,(BI111-BH111)/BH111*100)</f>
        <v>0</v>
      </c>
      <c r="BK111" s="833">
        <f>IF(BK113=0,0,(BK112*BK113+BK114*BK115*6)/BK113)</f>
        <v>0</v>
      </c>
      <c r="BL111" s="833">
        <f>IF(BL113=0,0,(BL112*BL113+BL114*BL115*6)/BL113)</f>
        <v>0</v>
      </c>
      <c r="BM111" s="723">
        <f>IF(BK111=0,0,(BL111-BK111)/BK111*100)</f>
        <v>0</v>
      </c>
      <c r="BN111" s="833">
        <f>IF(BN113=0,0,(BN112*BN113+BN114*BN115*6)/BN113)</f>
        <v>0</v>
      </c>
      <c r="BO111" s="833">
        <f>IF(BO113=0,0,(BO112*BO113+BO114*BO115*6)/BO113)</f>
        <v>0</v>
      </c>
      <c r="BP111" s="723">
        <f>IF(BN111=0,0,(BO111-BN111)/BN111*100)</f>
        <v>0</v>
      </c>
      <c r="BQ111" s="833">
        <f>IF(BQ113=0,0,(BQ112*BQ113+BQ114*BQ115*6)/BQ113)</f>
        <v>0</v>
      </c>
      <c r="BR111" s="833">
        <f>IF(BR113=0,0,(BR112*BR113+BR114*BR115*6)/BR113)</f>
        <v>0</v>
      </c>
      <c r="BS111" s="723">
        <f>IF(BQ111=0,0,(BR111-BQ111)/BQ111*100)</f>
        <v>0</v>
      </c>
      <c r="BT111" s="833">
        <f>IF(BT113=0,0,(BT112*BT113+BT114*BT115*6)/BT113)</f>
        <v>0</v>
      </c>
      <c r="BU111" s="833">
        <f>IF(BU113=0,0,(BU112*BU113+BU114*BU115*6)/BU113)</f>
        <v>0</v>
      </c>
      <c r="BV111" s="723">
        <f>IF(BT111=0,0,(BU111-BT111)/BT111*100)</f>
        <v>0</v>
      </c>
      <c r="BW111" s="833">
        <f>IF(BW113=0,0,(BW112*BW113+BW114*BW115*6)/BW113)</f>
        <v>0</v>
      </c>
      <c r="BX111" s="833">
        <f>IF(BX113=0,0,(BX112*BX113+BX114*BX115*6)/BX113)</f>
        <v>0</v>
      </c>
      <c r="BY111" s="723">
        <f>IF(BW111=0,0,(BX111-BW111)/BW111*100)</f>
        <v>0</v>
      </c>
      <c r="BZ111" s="833">
        <f>IF(BZ113=0,0,(BZ112*BZ113+BZ114*BZ115*6)/BZ113)</f>
        <v>0</v>
      </c>
      <c r="CA111" s="833">
        <f>IF(CA113=0,0,(CA112*CA113+CA114*CA115*6)/CA113)</f>
        <v>0</v>
      </c>
      <c r="CB111" s="723">
        <f>IF(BZ111=0,0,(CA111-BZ111)/BZ111*100)</f>
        <v>0</v>
      </c>
      <c r="CC111" s="833">
        <f>IF(CC113=0,0,(CC112*CC113+CC114*CC115*6)/CC113)</f>
        <v>0</v>
      </c>
      <c r="CD111" s="833">
        <f>IF(CD113=0,0,(CD112*CD113+CD114*CD115*6)/CD113)</f>
        <v>0</v>
      </c>
      <c r="CE111" s="723">
        <f>IF(CC111=0,0,(CD111-CC111)/CC111*100)</f>
        <v>0</v>
      </c>
      <c r="CF111" s="833">
        <f>IF(CF113=0,0,(CF112*CF113+CF114*CF115*6)/CF113)</f>
        <v>0</v>
      </c>
      <c r="CG111" s="833">
        <f>IF(CG113=0,0,(CG112*CG113+CG114*CG115*6)/CG113)</f>
        <v>0</v>
      </c>
      <c r="CH111" s="723">
        <f>IF(CF111=0,0,(CG111-CF111)/CF111*100)</f>
        <v>0</v>
      </c>
      <c r="CI111" s="833">
        <f>IF(CI113=0,0,(CI112*CI113+CI114*CI115*6)/CI113)</f>
        <v>0</v>
      </c>
      <c r="CJ111" s="833">
        <f>IF(CJ113=0,0,(CJ112*CJ113+CJ114*CJ115*6)/CJ113)</f>
        <v>0</v>
      </c>
      <c r="CK111" s="723">
        <f>IF(CI111=0,0,(CJ111-CI111)/CI111*100)</f>
        <v>0</v>
      </c>
      <c r="CL111" s="833">
        <f>IF(CL113=0,0,(CL112*CL113+CL114*CL115*6)/CL113)</f>
        <v>0</v>
      </c>
      <c r="CM111" s="833">
        <f>IF(CM113=0,0,(CM112*CM113+CM114*CM115*6)/CM113)</f>
        <v>0</v>
      </c>
      <c r="CN111" s="723">
        <f>IF(CL111=0,0,(CM111-CL111)/CL111*100)</f>
        <v>0</v>
      </c>
      <c r="CO111" s="833">
        <f>IF(CO113=0,0,(CO112*CO113+CO114*CO115*6)/CO113)</f>
        <v>0</v>
      </c>
      <c r="CP111" s="833">
        <f>IF(CP113=0,0,(CP112*CP113+CP114*CP115*6)/CP113)</f>
        <v>0</v>
      </c>
      <c r="CQ111" s="723">
        <f>IF(CO111=0,0,(CP111-CO111)/CO111*100)</f>
        <v>0</v>
      </c>
      <c r="CR111" s="833">
        <f>IF(CR113=0,0,(CR112*CR113+CR114*CR115*6)/CR113)</f>
        <v>0</v>
      </c>
      <c r="CS111" s="833">
        <f>IF(CS113=0,0,(CS112*CS113+CS114*CS115*6)/CS113)</f>
        <v>0</v>
      </c>
      <c r="CT111" s="723">
        <f>IF(CR111=0,0,(CS111-CR111)/CR111*100)</f>
        <v>0</v>
      </c>
      <c r="CU111" s="833">
        <f>IF(CU113=0,0,(CU112*CU113+CU114*CU115*6)/CU113)</f>
        <v>0</v>
      </c>
      <c r="CV111" s="833">
        <f>IF(CV113=0,0,(CV112*CV113+CV114*CV115*6)/CV113)</f>
        <v>0</v>
      </c>
      <c r="CW111" s="723">
        <f>IF(CU111=0,0,(CV111-CU111)/CU111*100)</f>
        <v>0</v>
      </c>
      <c r="CX111" s="833">
        <f>IF(CX113=0,0,(CX112*CX113+CX114*CX115*6)/CX113)</f>
        <v>0</v>
      </c>
      <c r="CY111" s="833">
        <f>IF(CY113=0,0,(CY112*CY113+CY114*CY115*6)/CY113)</f>
        <v>0</v>
      </c>
      <c r="CZ111" s="723">
        <f>IF(CX111=0,0,(CY111-CX111)/CX111*100)</f>
        <v>0</v>
      </c>
      <c r="DA111" s="833">
        <f>IF(DA113=0,0,(DA112*DA113+DA114*DA115*6)/DA113)</f>
        <v>0</v>
      </c>
      <c r="DB111" s="833">
        <f>IF(DB113=0,0,(DB112*DB113+DB114*DB115*6)/DB113)</f>
        <v>0</v>
      </c>
      <c r="DC111" s="723">
        <f>IF(DA111=0,0,(DB111-DA111)/DA111*100)</f>
        <v>0</v>
      </c>
      <c r="DD111" s="833">
        <f>IF(DD113=0,0,(DD112*DD113+DD114*DD115*6)/DD113)</f>
        <v>0</v>
      </c>
      <c r="DE111" s="833">
        <f>IF(DE113=0,0,(DE112*DE113+DE114*DE115*6)/DE113)</f>
        <v>0</v>
      </c>
      <c r="DF111" s="723">
        <f>IF(DD111=0,0,(DE111-DD111)/DD111*100)</f>
        <v>0</v>
      </c>
      <c r="DG111" s="833">
        <f>IF(DG113=0,0,(DG112*DG113+DG114*DG115*6)/DG113)</f>
        <v>0</v>
      </c>
      <c r="DH111" s="833">
        <f>IF(DH113=0,0,(DH112*DH113+DH114*DH115*6)/DH113)</f>
        <v>0</v>
      </c>
      <c r="DI111" s="723">
        <f>IF(DG111=0,0,(DH111-DG111)/DG111*100)</f>
        <v>0</v>
      </c>
      <c r="DJ111" s="833">
        <f>IF(DJ113=0,0,(DJ112*DJ113+DJ114*DJ115*6)/DJ113)</f>
        <v>0</v>
      </c>
      <c r="DK111" s="833">
        <f>IF(DK113=0,0,(DK112*DK113+DK114*DK115*6)/DK113)</f>
        <v>0</v>
      </c>
      <c r="DL111" s="723">
        <f>IF(DJ111=0,0,(DK111-DJ111)/DJ111*100)</f>
        <v>0</v>
      </c>
      <c r="DM111" s="833">
        <f>IF(DM113=0,0,(DM112*DM113+DM114*DM115*6)/DM113)</f>
        <v>0</v>
      </c>
      <c r="DN111" s="833">
        <f>IF(DN113=0,0,(DN112*DN113+DN114*DN115*6)/DN113)</f>
        <v>0</v>
      </c>
      <c r="DO111" s="723">
        <f>IF(DM111=0,0,(DN111-DM111)/DM111*100)</f>
        <v>0</v>
      </c>
      <c r="DP111" s="833">
        <f>IF(DP113=0,0,(DP112*DP113+DP114*DP115*6)/DP113)</f>
        <v>0</v>
      </c>
      <c r="DQ111" s="833">
        <f>IF(DQ113=0,0,(DQ112*DQ113+DQ114*DQ115*6)/DQ113)</f>
        <v>0</v>
      </c>
      <c r="DR111" s="723">
        <f>IF(DP111=0,0,(DQ111-DP111)/DP111*100)</f>
        <v>0</v>
      </c>
      <c r="DS111" s="833">
        <f>IF(DS113=0,0,(DS112*DS113+DS114*DS115*6)/DS113)</f>
        <v>0</v>
      </c>
      <c r="DT111" s="833">
        <f>IF(DT113=0,0,(DT112*DT113+DT114*DT115*6)/DT113)</f>
        <v>0</v>
      </c>
      <c r="DU111" s="723">
        <f>IF(DS111=0,0,(DT111-DS111)/DS111*100)</f>
        <v>0</v>
      </c>
      <c r="DV111" s="833">
        <f>IF(DV113=0,0,(DV112*DV113+DV114*DV115*6)/DV113)</f>
        <v>0</v>
      </c>
      <c r="DW111" s="833">
        <f>IF(DW113=0,0,(DW112*DW113+DW114*DW115*6)/DW113)</f>
        <v>0</v>
      </c>
      <c r="DX111" s="723">
        <f>IF(DV111=0,0,(DW111-DV111)/DV111*100)</f>
        <v>0</v>
      </c>
      <c r="DY111" s="833">
        <f>IF(DY113=0,0,(DY112*DY113+DY114*DY115*6)/DY113)</f>
        <v>0</v>
      </c>
      <c r="DZ111" s="833">
        <f>IF(DZ113=0,0,(DZ112*DZ113+DZ114*DZ115*6)/DZ113)</f>
        <v>0</v>
      </c>
      <c r="EA111" s="723">
        <f>IF(DY111=0,0,(DZ111-DY111)/DY111*100)</f>
        <v>0</v>
      </c>
      <c r="EB111" s="833">
        <f>IF(EB113=0,0,(EB112*EB113+EB114*EB115*6)/EB113)</f>
        <v>0</v>
      </c>
      <c r="EC111" s="833">
        <f>IF(EC113=0,0,(EC112*EC113+EC114*EC115*6)/EC113)</f>
        <v>0</v>
      </c>
      <c r="ED111" s="723">
        <f>IF(EB111=0,0,(EC111-EB111)/EB111*100)</f>
        <v>0</v>
      </c>
      <c r="EE111" s="833">
        <f>IF(EE113=0,0,(EE112*EE113+EE114*EE115*6)/EE113)</f>
        <v>0</v>
      </c>
      <c r="EF111" s="833">
        <f>IF(EF113=0,0,(EF112*EF113+EF114*EF115*6)/EF113)</f>
        <v>0</v>
      </c>
      <c r="EG111" s="723">
        <f>IF(EE111=0,0,(EF111-EE111)/EE111*100)</f>
        <v>0</v>
      </c>
      <c r="EH111" s="833">
        <f>IF(EH113=0,0,(EH112*EH113+EH114*EH115*6)/EH113)</f>
        <v>0</v>
      </c>
      <c r="EI111" s="833">
        <f>IF(EI113=0,0,(EI112*EI113+EI114*EI115*6)/EI113)</f>
        <v>0</v>
      </c>
      <c r="EJ111" s="723">
        <f>IF(EH111=0,0,(EI111-EH111)/EH111*100)</f>
        <v>0</v>
      </c>
      <c r="EK111" s="833">
        <f>IF(EK113=0,0,(EK112*EK113+EK114*EK115*6)/EK113)</f>
        <v>0</v>
      </c>
      <c r="EL111" s="833">
        <f>IF(EL113=0,0,(EL112*EL113+EL114*EL115*6)/EL113)</f>
        <v>0</v>
      </c>
      <c r="EM111" s="723">
        <f>IF(EK111=0,0,(EL111-EK111)/EK111*100)</f>
        <v>0</v>
      </c>
      <c r="EN111" s="833">
        <f>IF(EN113=0,0,(EN112*EN113+EN114*EN115*6)/EN113)</f>
        <v>0</v>
      </c>
      <c r="EO111" s="833">
        <f>IF(EO113=0,0,(EO112*EO113+EO114*EO115*6)/EO113)</f>
        <v>0</v>
      </c>
      <c r="EP111" s="723">
        <f>IF(EN111=0,0,(EO111-EN111)/EN111*100)</f>
        <v>0</v>
      </c>
      <c r="EQ111" s="833">
        <f>IF(EQ113=0,0,(EQ112*EQ113+EQ114*EQ115*6)/EQ113)</f>
        <v>0</v>
      </c>
      <c r="ER111" s="833">
        <f>IF(ER113=0,0,(ER112*ER113+ER114*ER115*6)/ER113)</f>
        <v>0</v>
      </c>
      <c r="ES111" s="723">
        <f>IF(EQ111=0,0,(ER111-EQ111)/EQ111*100)</f>
        <v>0</v>
      </c>
      <c r="ET111" s="833">
        <f>IF(ET113=0,0,(ET112*ET113+ET114*ET115*6)/ET113)</f>
        <v>0</v>
      </c>
      <c r="EU111" s="833">
        <f>IF(EU113=0,0,(EU112*EU113+EU114*EU115*6)/EU113)</f>
        <v>0</v>
      </c>
      <c r="EV111" s="723">
        <f>IF(ET111=0,0,(EU111-ET111)/ET111*100)</f>
        <v>0</v>
      </c>
      <c r="EW111" s="833">
        <f>IF(EW113=0,0,(EW112*EW113+EW114*EW115*6)/EW113)</f>
        <v>0</v>
      </c>
      <c r="EX111" s="833">
        <f>IF(EX113=0,0,(EX112*EX113+EX114*EX115*6)/EX113)</f>
        <v>0</v>
      </c>
      <c r="EY111" s="723">
        <f>IF(EW111=0,0,(EX111-EW111)/EW111*100)</f>
        <v>0</v>
      </c>
      <c r="EZ111" s="833">
        <f>IF(EZ113=0,0,(EZ112*EZ113+EZ114*EZ115*6)/EZ113)</f>
        <v>0</v>
      </c>
      <c r="FA111" s="833">
        <f>IF(FA113=0,0,(FA112*FA113+FA114*FA115*6)/FA113)</f>
        <v>0</v>
      </c>
      <c r="FB111" s="723">
        <f>IF(EZ111=0,0,(FA111-EZ111)/EZ111*100)</f>
        <v>0</v>
      </c>
      <c r="FC111" s="833">
        <f>IF(FC113=0,0,(FC112*FC113+FC114*FC115*6)/FC113)</f>
        <v>0</v>
      </c>
      <c r="FD111" s="833">
        <f>IF(FD113=0,0,(FD112*FD113+FD114*FD115*6)/FD113)</f>
        <v>0</v>
      </c>
      <c r="FE111" s="723">
        <f>IF(FC111=0,0,(FD111-FC111)/FC111*100)</f>
        <v>0</v>
      </c>
      <c r="FF111" s="833">
        <f>IF(FF113=0,0,(FF112*FF113+FF114*FF115*6)/FF113)</f>
        <v>0</v>
      </c>
      <c r="FG111" s="833">
        <f>IF(FG113=0,0,(FG112*FG113+FG114*FG115*6)/FG113)</f>
        <v>0</v>
      </c>
      <c r="FH111" s="723">
        <f>IF(FF111=0,0,(FG111-FF111)/FF111*100)</f>
        <v>0</v>
      </c>
      <c r="FI111" s="833">
        <f>IF(FI113=0,0,(FI112*FI113+FI114*FI115*6)/FI113)</f>
        <v>0</v>
      </c>
      <c r="FJ111" s="833">
        <f>IF(FJ113=0,0,(FJ112*FJ113+FJ114*FJ115*6)/FJ113)</f>
        <v>0</v>
      </c>
      <c r="FK111" s="723">
        <f>IF(FI111=0,0,(FJ111-FI111)/FI111*100)</f>
        <v>0</v>
      </c>
      <c r="FL111" s="833">
        <f>IF(FL113=0,0,(FL112*FL113+FL114*FL115*6)/FL113)</f>
        <v>0</v>
      </c>
      <c r="FM111" s="833">
        <f>IF(FM113=0,0,(FM112*FM113+FM114*FM115*6)/FM113)</f>
        <v>0</v>
      </c>
      <c r="FN111" s="723">
        <f>IF(FL111=0,0,(FM111-FL111)/FL111*100)</f>
        <v>0</v>
      </c>
      <c r="FO111" s="833">
        <f>IF(FO113=0,0,(FO112*FO113+FO114*FO115*6)/FO113)</f>
        <v>0</v>
      </c>
      <c r="FP111" s="833">
        <f>IF(FP113=0,0,(FP112*FP113+FP114*FP115*6)/FP113)</f>
        <v>0</v>
      </c>
      <c r="FQ111" s="723">
        <f>IF(FO111=0,0,(FP111-FO111)/FO111*100)</f>
        <v>0</v>
      </c>
      <c r="FR111" s="833">
        <f>IF(FR113=0,0,(FR112*FR113+FR114*FR115*6)/FR113)</f>
        <v>0</v>
      </c>
      <c r="FS111" s="833">
        <f>IF(FS113=0,0,(FS112*FS113+FS114*FS115*6)/FS113)</f>
        <v>0</v>
      </c>
      <c r="FT111" s="723">
        <f>IF(FR111=0,0,(FS111-FR111)/FR111*100)</f>
        <v>0</v>
      </c>
      <c r="FU111" s="833">
        <f>IF(FU113=0,0,(FU112*FU113+FU114*FU115*6)/FU113)</f>
        <v>0</v>
      </c>
      <c r="FV111" s="833">
        <f>IF(FV113=0,0,(FV112*FV113+FV114*FV115*6)/FV113)</f>
        <v>0</v>
      </c>
      <c r="FW111" s="723">
        <f>IF(FU111=0,0,(FV111-FU111)/FU111*100)</f>
        <v>0</v>
      </c>
      <c r="FZ111" s="700" t="s">
        <v>1658</v>
      </c>
    </row>
    <row r="112" spans="1:186" ht="14.25" hidden="1" customHeight="1">
      <c r="A112" s="78"/>
      <c r="B112" s="622" t="b" cm="1">
        <f t="array" ref="B112">B111</f>
        <v>0</v>
      </c>
      <c r="C112" s="78"/>
      <c r="D112" s="78"/>
      <c r="E112" s="473">
        <v>15</v>
      </c>
      <c r="F112" s="3" t="str" cm="1">
        <f t="array" aca="1" ref="F112" ca="1">OFFSET(E112,-1,1)</f>
        <v>1</v>
      </c>
      <c r="G112" s="78"/>
      <c r="H112" s="78" t="s">
        <v>1566</v>
      </c>
      <c r="I112" s="78" t="s">
        <v>1622</v>
      </c>
      <c r="J112" s="78"/>
      <c r="K112" s="78"/>
      <c r="L112" s="78"/>
      <c r="M112" s="78"/>
      <c r="N112" s="78"/>
      <c r="O112" s="78"/>
      <c r="P112" s="78"/>
      <c r="Q112" s="78"/>
      <c r="R112" s="78"/>
      <c r="S112" s="78"/>
      <c r="T112" s="365" t="b" cm="1">
        <f t="array" aca="1" ref="T112" ca="1">T111</f>
        <v>1</v>
      </c>
      <c r="U112" s="78"/>
      <c r="V112" s="78"/>
      <c r="W112" s="78"/>
      <c r="X112" s="1094"/>
      <c r="Y112" s="78"/>
      <c r="Z112" s="1064"/>
      <c r="AA112" s="78"/>
      <c r="AB112" s="12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31" t="s">
        <v>1624</v>
      </c>
      <c r="AD112" s="833"/>
      <c r="AE112" s="833"/>
      <c r="AF112" s="723">
        <f>IF(AD112=0,0,(AE112-AD112)/AD112*100)</f>
        <v>0</v>
      </c>
      <c r="AG112" s="833"/>
      <c r="AH112" s="833"/>
      <c r="AI112" s="723">
        <f>IF(AG112=0,0,(AH112-AG112)/AG112*100)</f>
        <v>0</v>
      </c>
      <c r="AJ112" s="833"/>
      <c r="AK112" s="833"/>
      <c r="AL112" s="723">
        <f>IF(AJ112=0,0,(AK112-AJ112)/AJ112*100)</f>
        <v>0</v>
      </c>
      <c r="AM112" s="833"/>
      <c r="AN112" s="833"/>
      <c r="AO112" s="723">
        <f>IF(AM112=0,0,(AN112-AM112)/AM112*100)</f>
        <v>0</v>
      </c>
      <c r="AP112" s="833"/>
      <c r="AQ112" s="833"/>
      <c r="AR112" s="723">
        <f>IF(AP112=0,0,(AQ112-AP112)/AP112*100)</f>
        <v>0</v>
      </c>
      <c r="AS112" s="833"/>
      <c r="AT112" s="833"/>
      <c r="AU112" s="723">
        <f>IF(AS112=0,0,(AT112-AS112)/AS112*100)</f>
        <v>0</v>
      </c>
      <c r="AV112" s="833"/>
      <c r="AW112" s="833"/>
      <c r="AX112" s="723">
        <f>IF(AV112=0,0,(AW112-AV112)/AV112*100)</f>
        <v>0</v>
      </c>
      <c r="AY112" s="833"/>
      <c r="AZ112" s="833"/>
      <c r="BA112" s="723">
        <f>IF(AY112=0,0,(AZ112-AY112)/AY112*100)</f>
        <v>0</v>
      </c>
      <c r="BB112" s="833"/>
      <c r="BC112" s="833"/>
      <c r="BD112" s="723">
        <f>IF(BB112=0,0,(BC112-BB112)/BB112*100)</f>
        <v>0</v>
      </c>
      <c r="BE112" s="833"/>
      <c r="BF112" s="833"/>
      <c r="BG112" s="723">
        <f>IF(BE112=0,0,(BF112-BE112)/BE112*100)</f>
        <v>0</v>
      </c>
      <c r="BH112" s="833"/>
      <c r="BI112" s="833"/>
      <c r="BJ112" s="723">
        <f>IF(BH112=0,0,(BI112-BH112)/BH112*100)</f>
        <v>0</v>
      </c>
      <c r="BK112" s="833"/>
      <c r="BL112" s="833"/>
      <c r="BM112" s="723">
        <f>IF(BK112=0,0,(BL112-BK112)/BK112*100)</f>
        <v>0</v>
      </c>
      <c r="BN112" s="833"/>
      <c r="BO112" s="833"/>
      <c r="BP112" s="723">
        <f>IF(BN112=0,0,(BO112-BN112)/BN112*100)</f>
        <v>0</v>
      </c>
      <c r="BQ112" s="833"/>
      <c r="BR112" s="833"/>
      <c r="BS112" s="723">
        <f>IF(BQ112=0,0,(BR112-BQ112)/BQ112*100)</f>
        <v>0</v>
      </c>
      <c r="BT112" s="833"/>
      <c r="BU112" s="833"/>
      <c r="BV112" s="723">
        <f>IF(BT112=0,0,(BU112-BT112)/BT112*100)</f>
        <v>0</v>
      </c>
      <c r="BW112" s="833"/>
      <c r="BX112" s="833"/>
      <c r="BY112" s="723">
        <f>IF(BW112=0,0,(BX112-BW112)/BW112*100)</f>
        <v>0</v>
      </c>
      <c r="BZ112" s="833"/>
      <c r="CA112" s="833"/>
      <c r="CB112" s="723">
        <f>IF(BZ112=0,0,(CA112-BZ112)/BZ112*100)</f>
        <v>0</v>
      </c>
      <c r="CC112" s="833"/>
      <c r="CD112" s="833"/>
      <c r="CE112" s="723">
        <f>IF(CC112=0,0,(CD112-CC112)/CC112*100)</f>
        <v>0</v>
      </c>
      <c r="CF112" s="833"/>
      <c r="CG112" s="833"/>
      <c r="CH112" s="723">
        <f>IF(CF112=0,0,(CG112-CF112)/CF112*100)</f>
        <v>0</v>
      </c>
      <c r="CI112" s="833"/>
      <c r="CJ112" s="833"/>
      <c r="CK112" s="723">
        <f>IF(CI112=0,0,(CJ112-CI112)/CI112*100)</f>
        <v>0</v>
      </c>
      <c r="CL112" s="833"/>
      <c r="CM112" s="833"/>
      <c r="CN112" s="723">
        <f>IF(CL112=0,0,(CM112-CL112)/CL112*100)</f>
        <v>0</v>
      </c>
      <c r="CO112" s="833"/>
      <c r="CP112" s="833"/>
      <c r="CQ112" s="723">
        <f>IF(CO112=0,0,(CP112-CO112)/CO112*100)</f>
        <v>0</v>
      </c>
      <c r="CR112" s="833"/>
      <c r="CS112" s="833"/>
      <c r="CT112" s="723">
        <f>IF(CR112=0,0,(CS112-CR112)/CR112*100)</f>
        <v>0</v>
      </c>
      <c r="CU112" s="833"/>
      <c r="CV112" s="833"/>
      <c r="CW112" s="723">
        <f>IF(CU112=0,0,(CV112-CU112)/CU112*100)</f>
        <v>0</v>
      </c>
      <c r="CX112" s="833"/>
      <c r="CY112" s="833"/>
      <c r="CZ112" s="723">
        <f>IF(CX112=0,0,(CY112-CX112)/CX112*100)</f>
        <v>0</v>
      </c>
      <c r="DA112" s="833"/>
      <c r="DB112" s="833"/>
      <c r="DC112" s="723">
        <f>IF(DA112=0,0,(DB112-DA112)/DA112*100)</f>
        <v>0</v>
      </c>
      <c r="DD112" s="833"/>
      <c r="DE112" s="833"/>
      <c r="DF112" s="723">
        <f>IF(DD112=0,0,(DE112-DD112)/DD112*100)</f>
        <v>0</v>
      </c>
      <c r="DG112" s="833"/>
      <c r="DH112" s="833"/>
      <c r="DI112" s="723">
        <f>IF(DG112=0,0,(DH112-DG112)/DG112*100)</f>
        <v>0</v>
      </c>
      <c r="DJ112" s="833"/>
      <c r="DK112" s="833"/>
      <c r="DL112" s="723">
        <f>IF(DJ112=0,0,(DK112-DJ112)/DJ112*100)</f>
        <v>0</v>
      </c>
      <c r="DM112" s="833"/>
      <c r="DN112" s="833"/>
      <c r="DO112" s="723">
        <f>IF(DM112=0,0,(DN112-DM112)/DM112*100)</f>
        <v>0</v>
      </c>
      <c r="DP112" s="833"/>
      <c r="DQ112" s="833"/>
      <c r="DR112" s="723">
        <f>IF(DP112=0,0,(DQ112-DP112)/DP112*100)</f>
        <v>0</v>
      </c>
      <c r="DS112" s="833"/>
      <c r="DT112" s="833"/>
      <c r="DU112" s="723">
        <f>IF(DS112=0,0,(DT112-DS112)/DS112*100)</f>
        <v>0</v>
      </c>
      <c r="DV112" s="833"/>
      <c r="DW112" s="833"/>
      <c r="DX112" s="723">
        <f>IF(DV112=0,0,(DW112-DV112)/DV112*100)</f>
        <v>0</v>
      </c>
      <c r="DY112" s="833"/>
      <c r="DZ112" s="833"/>
      <c r="EA112" s="723">
        <f>IF(DY112=0,0,(DZ112-DY112)/DY112*100)</f>
        <v>0</v>
      </c>
      <c r="EB112" s="833"/>
      <c r="EC112" s="833"/>
      <c r="ED112" s="723">
        <f>IF(EB112=0,0,(EC112-EB112)/EB112*100)</f>
        <v>0</v>
      </c>
      <c r="EE112" s="833"/>
      <c r="EF112" s="833"/>
      <c r="EG112" s="723">
        <f>IF(EE112=0,0,(EF112-EE112)/EE112*100)</f>
        <v>0</v>
      </c>
      <c r="EH112" s="833"/>
      <c r="EI112" s="833"/>
      <c r="EJ112" s="723">
        <f>IF(EH112=0,0,(EI112-EH112)/EH112*100)</f>
        <v>0</v>
      </c>
      <c r="EK112" s="833"/>
      <c r="EL112" s="833"/>
      <c r="EM112" s="723">
        <f>IF(EK112=0,0,(EL112-EK112)/EK112*100)</f>
        <v>0</v>
      </c>
      <c r="EN112" s="833"/>
      <c r="EO112" s="833"/>
      <c r="EP112" s="723">
        <f>IF(EN112=0,0,(EO112-EN112)/EN112*100)</f>
        <v>0</v>
      </c>
      <c r="EQ112" s="833"/>
      <c r="ER112" s="833"/>
      <c r="ES112" s="723">
        <f>IF(EQ112=0,0,(ER112-EQ112)/EQ112*100)</f>
        <v>0</v>
      </c>
      <c r="ET112" s="833"/>
      <c r="EU112" s="833"/>
      <c r="EV112" s="723">
        <f>IF(ET112=0,0,(EU112-ET112)/ET112*100)</f>
        <v>0</v>
      </c>
      <c r="EW112" s="833"/>
      <c r="EX112" s="833"/>
      <c r="EY112" s="723">
        <f>IF(EW112=0,0,(EX112-EW112)/EW112*100)</f>
        <v>0</v>
      </c>
      <c r="EZ112" s="833"/>
      <c r="FA112" s="833"/>
      <c r="FB112" s="723">
        <f>IF(EZ112=0,0,(FA112-EZ112)/EZ112*100)</f>
        <v>0</v>
      </c>
      <c r="FC112" s="833"/>
      <c r="FD112" s="833"/>
      <c r="FE112" s="723">
        <f>IF(FC112=0,0,(FD112-FC112)/FC112*100)</f>
        <v>0</v>
      </c>
      <c r="FF112" s="833"/>
      <c r="FG112" s="833"/>
      <c r="FH112" s="723">
        <f>IF(FF112=0,0,(FG112-FF112)/FF112*100)</f>
        <v>0</v>
      </c>
      <c r="FI112" s="833"/>
      <c r="FJ112" s="833"/>
      <c r="FK112" s="723">
        <f>IF(FI112=0,0,(FJ112-FI112)/FI112*100)</f>
        <v>0</v>
      </c>
      <c r="FL112" s="833"/>
      <c r="FM112" s="833"/>
      <c r="FN112" s="723">
        <f>IF(FL112=0,0,(FM112-FL112)/FL112*100)</f>
        <v>0</v>
      </c>
      <c r="FO112" s="833"/>
      <c r="FP112" s="833"/>
      <c r="FQ112" s="723">
        <f>IF(FO112=0,0,(FP112-FO112)/FO112*100)</f>
        <v>0</v>
      </c>
      <c r="FR112" s="833"/>
      <c r="FS112" s="833"/>
      <c r="FT112" s="723">
        <f>IF(FR112=0,0,(FS112-FR112)/FR112*100)</f>
        <v>0</v>
      </c>
      <c r="FU112" s="833"/>
      <c r="FV112" s="833"/>
      <c r="FW112" s="723">
        <f>IF(FU112=0,0,(FV112-FU112)/FU112*100)</f>
        <v>0</v>
      </c>
      <c r="FZ112" s="700" t="s">
        <v>1659</v>
      </c>
    </row>
    <row r="113" spans="1:182" ht="14.25" hidden="1" customHeight="1">
      <c r="A113" s="78"/>
      <c r="B113" s="622" t="b" cm="1">
        <f t="array" ref="B113">B112</f>
        <v>0</v>
      </c>
      <c r="C113" s="78"/>
      <c r="D113" s="78"/>
      <c r="E113" s="473">
        <v>15</v>
      </c>
      <c r="F113" s="3" t="str" cm="1">
        <f t="array" aca="1" ref="F113" ca="1">OFFSET(E113,-1,1)</f>
        <v>1</v>
      </c>
      <c r="G113" s="44" t="s">
        <v>1660</v>
      </c>
      <c r="H113" s="78" t="s">
        <v>1661</v>
      </c>
      <c r="I113" s="78" t="s">
        <v>1622</v>
      </c>
      <c r="J113" s="78"/>
      <c r="K113" s="78"/>
      <c r="L113" s="78"/>
      <c r="M113" s="78"/>
      <c r="N113" s="78"/>
      <c r="O113" s="78"/>
      <c r="P113" s="78"/>
      <c r="Q113" s="78"/>
      <c r="R113" s="78"/>
      <c r="S113" s="78"/>
      <c r="T113" s="365" t="b" cm="1">
        <f t="array" aca="1" ref="T113" ca="1">T112</f>
        <v>1</v>
      </c>
      <c r="U113" s="78"/>
      <c r="V113" s="78"/>
      <c r="W113" s="78"/>
      <c r="X113" s="1094"/>
      <c r="Y113" s="78"/>
      <c r="Z113" s="1064"/>
      <c r="AA113" s="78"/>
      <c r="AB113" s="124" t="str">
        <f>"объём "&amp;IF(Q92="Водоснабжение","потребления холодной воды","водоотведения")</f>
        <v>объём потребления холодной воды</v>
      </c>
      <c r="AC113" s="31" t="s">
        <v>534</v>
      </c>
      <c r="AD113" s="849">
        <f ca="1">IF(AND(method_reg="Метод индексации",god&lt;&gt;first_year),SUMIFS(INDEX('Калькуляция (МИ корр)'!$AJ$25:$BC$459,,MATCH(AD$8,'Калькуляция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(МИ)'!$AJ$25:$BC$459,,MATCH(AD$8,'Калькуляция (МИ)'!$AJ$8:$BC$8,0)),'Калькуляция (МИ)'!$F$25:$F$459,$F113,'Калькуляция (МИ)'!$G$25:$G$459,$G113))))</f>
        <v>720.13949999999988</v>
      </c>
      <c r="AE113" s="849">
        <f ca="1">IF(AND(method_reg="Метод индексации",god&lt;&gt;first_year),SUMIFS(INDEX('Калькуляция (МИ корр)'!$AJ$25:$BC$459,,MATCH(AE$8,'Калькуляция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(МИ)'!$AJ$25:$BC$459,,MATCH(AE$8,'Калькуляция (МИ)'!$AJ$8:$BC$8,0)),'Калькуляция (МИ)'!$F$25:$F$459,$F113,'Калькуляция (МИ)'!$G$25:$G$459,$G113))))</f>
        <v>721.38300000000004</v>
      </c>
      <c r="AF113" s="724">
        <f ca="1">IF(AD113=0,0,(AE113-AD113)/AD113*100)</f>
        <v>0.17267487757582439</v>
      </c>
      <c r="AG113" s="849">
        <f ca="1">IF(AND(method_reg="Метод индексации",god&lt;&gt;first_year),SUMIFS(INDEX('Калькуляция (МИ корр)'!$AJ$25:$BC$459,,MATCH(AG$8,'Калькуляция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(МИ)'!$AJ$25:$BC$459,,MATCH(AG$8,'Калькуляция (МИ)'!$AJ$8:$BC$8,0)),'Калькуляция (МИ)'!$F$25:$F$459,$F113,'Калькуляция (МИ)'!$G$25:$G$459,$G113))))</f>
        <v>0</v>
      </c>
      <c r="AH113" s="849">
        <f ca="1">IF(AND(method_reg="Метод индексации",god&lt;&gt;first_year),SUMIFS(INDEX('Калькуляция (МИ корр)'!$AJ$25:$BC$459,,MATCH(AH$8,'Калькуляция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(МИ)'!$AJ$25:$BC$459,,MATCH(AH$8,'Калькуляция (МИ)'!$AJ$8:$BC$8,0)),'Калькуляция (МИ)'!$F$25:$F$459,$F113,'Калькуляция (МИ)'!$G$25:$G$459,$G113))))</f>
        <v>0</v>
      </c>
      <c r="AI113" s="724">
        <f ca="1">IF(AG113=0,0,(AH113-AG113)/AG113*100)</f>
        <v>0</v>
      </c>
      <c r="AJ113" s="849">
        <f ca="1">IF(AND(method_reg="Метод индексации",god&lt;&gt;first_year),SUMIFS(INDEX('Калькуляция (МИ корр)'!$AJ$25:$BC$459,,MATCH(AJ$8,'Калькуляция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(МИ)'!$AJ$25:$BC$459,,MATCH(AJ$8,'Калькуляция (МИ)'!$AJ$8:$BC$8,0)),'Калькуляция (МИ)'!$F$25:$F$459,$F113,'Калькуляция (МИ)'!$G$25:$G$459,$G113))))</f>
        <v>0</v>
      </c>
      <c r="AK113" s="849">
        <f ca="1">IF(AND(method_reg="Метод индексации",god&lt;&gt;first_year),SUMIFS(INDEX('Калькуляция (МИ корр)'!$AJ$25:$BC$459,,MATCH(AK$8,'Калькуляция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(МИ)'!$AJ$25:$BC$459,,MATCH(AK$8,'Калькуляция (МИ)'!$AJ$8:$BC$8,0)),'Калькуляция (МИ)'!$F$25:$F$459,$F113,'Калькуляция (МИ)'!$G$25:$G$459,$G113))))</f>
        <v>0</v>
      </c>
      <c r="AL113" s="724">
        <f ca="1">IF(AJ113=0,0,(AK113-AJ113)/AJ113*100)</f>
        <v>0</v>
      </c>
      <c r="AM113" s="849">
        <f ca="1">IF(AND(method_reg="Метод индексации",god&lt;&gt;first_year),SUMIFS(INDEX('Калькуляция (МИ корр)'!$AJ$25:$BC$459,,MATCH(AM$8,'Калькуляция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(МИ)'!$AJ$25:$BC$459,,MATCH(AM$8,'Калькуляция (МИ)'!$AJ$8:$BC$8,0)),'Калькуляция (МИ)'!$F$25:$F$459,$F113,'Калькуляция (МИ)'!$G$25:$G$459,$G113))))</f>
        <v>0</v>
      </c>
      <c r="AN113" s="849">
        <f ca="1">IF(AND(method_reg="Метод индексации",god&lt;&gt;first_year),SUMIFS(INDEX('Калькуляция (МИ корр)'!$AJ$25:$BC$459,,MATCH(AN$8,'Калькуляция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(МИ)'!$AJ$25:$BC$459,,MATCH(AN$8,'Калькуляция (МИ)'!$AJ$8:$BC$8,0)),'Калькуляция (МИ)'!$F$25:$F$459,$F113,'Калькуляция (МИ)'!$G$25:$G$459,$G113))))</f>
        <v>0</v>
      </c>
      <c r="AO113" s="724">
        <f ca="1">IF(AM113=0,0,(AN113-AM113)/AM113*100)</f>
        <v>0</v>
      </c>
      <c r="AP113" s="849">
        <f ca="1">IF(AND(method_reg="Метод индексации",god&lt;&gt;first_year),SUMIFS(INDEX('Калькуляция (МИ корр)'!$AJ$25:$BC$459,,MATCH(AP$8,'Калькуляция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(МИ)'!$AJ$25:$BC$459,,MATCH(AP$8,'Калькуляция (МИ)'!$AJ$8:$BC$8,0)),'Калькуляция (МИ)'!$F$25:$F$459,$F113,'Калькуляция (МИ)'!$G$25:$G$459,$G113))))</f>
        <v>0</v>
      </c>
      <c r="AQ113" s="849">
        <f ca="1">IF(AND(method_reg="Метод индексации",god&lt;&gt;first_year),SUMIFS(INDEX('Калькуляция (МИ корр)'!$AJ$25:$BC$459,,MATCH(AQ$8,'Калькуляция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(МИ)'!$AJ$25:$BC$459,,MATCH(AQ$8,'Калькуляция (МИ)'!$AJ$8:$BC$8,0)),'Калькуляция (МИ)'!$F$25:$F$459,$F113,'Калькуляция (МИ)'!$G$25:$G$459,$G113))))</f>
        <v>0</v>
      </c>
      <c r="AR113" s="724">
        <f ca="1">IF(AP113=0,0,(AQ113-AP113)/AP113*100)</f>
        <v>0</v>
      </c>
      <c r="AS113" s="849">
        <f ca="1">IF(AND(method_reg="Метод индексации",god&lt;&gt;first_year),SUMIFS(INDEX('Калькуляция (МИ корр)'!$AJ$25:$BC$459,,MATCH(AS$8,'Калькуляция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(МИ)'!$AJ$25:$BC$459,,MATCH(AS$8,'Калькуляция (МИ)'!$AJ$8:$BC$8,0)),'Калькуляция (МИ)'!$F$25:$F$459,$F113,'Калькуляция (МИ)'!$G$25:$G$459,$G113))))</f>
        <v>0</v>
      </c>
      <c r="AT113" s="849">
        <f ca="1">IF(AND(method_reg="Метод индексации",god&lt;&gt;first_year),SUMIFS(INDEX('Калькуляция (МИ корр)'!$AJ$25:$BC$459,,MATCH(AT$8,'Калькуляция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(МИ)'!$AJ$25:$BC$459,,MATCH(AT$8,'Калькуляция (МИ)'!$AJ$8:$BC$8,0)),'Калькуляция (МИ)'!$F$25:$F$459,$F113,'Калькуляция (МИ)'!$G$25:$G$459,$G113))))</f>
        <v>0</v>
      </c>
      <c r="AU113" s="724">
        <f ca="1">IF(AS113=0,0,(AT113-AS113)/AS113*100)</f>
        <v>0</v>
      </c>
      <c r="AV113" s="849">
        <f ca="1">IF(AND(method_reg="Метод индексации",god&lt;&gt;first_year),SUMIFS(INDEX('Калькуляция (МИ корр)'!$AJ$25:$BC$459,,MATCH(AV$8,'Калькуляция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(МИ)'!$AJ$25:$BC$459,,MATCH(AV$8,'Калькуляция (МИ)'!$AJ$8:$BC$8,0)),'Калькуляция (МИ)'!$F$25:$F$459,$F113,'Калькуляция (МИ)'!$G$25:$G$459,$G113))))</f>
        <v>0</v>
      </c>
      <c r="AW113" s="849">
        <f ca="1">IF(AND(method_reg="Метод индексации",god&lt;&gt;first_year),SUMIFS(INDEX('Калькуляция (МИ корр)'!$AJ$25:$BC$459,,MATCH(AW$8,'Калькуляция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(МИ)'!$AJ$25:$BC$459,,MATCH(AW$8,'Калькуляция (МИ)'!$AJ$8:$BC$8,0)),'Калькуляция (МИ)'!$F$25:$F$459,$F113,'Калькуляция (МИ)'!$G$25:$G$459,$G113))))</f>
        <v>0</v>
      </c>
      <c r="AX113" s="724">
        <f ca="1">IF(AV113=0,0,(AW113-AV113)/AV113*100)</f>
        <v>0</v>
      </c>
      <c r="AY113" s="849">
        <f ca="1">IF(AND(method_reg="Метод индексации",god&lt;&gt;first_year),SUMIFS(INDEX('Калькуляция (МИ корр)'!$AJ$25:$BC$459,,MATCH(AY$8,'Калькуляция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(МИ)'!$AJ$25:$BC$459,,MATCH(AY$8,'Калькуляция (МИ)'!$AJ$8:$BC$8,0)),'Калькуляция (МИ)'!$F$25:$F$459,$F113,'Калькуляция (МИ)'!$G$25:$G$459,$G113))))</f>
        <v>0</v>
      </c>
      <c r="AZ113" s="849">
        <f ca="1">IF(AND(method_reg="Метод индексации",god&lt;&gt;first_year),SUMIFS(INDEX('Калькуляция (МИ корр)'!$AJ$25:$BC$459,,MATCH(AZ$8,'Калькуляция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(МИ)'!$AJ$25:$BC$459,,MATCH(AZ$8,'Калькуляция (МИ)'!$AJ$8:$BC$8,0)),'Калькуляция (МИ)'!$F$25:$F$459,$F113,'Калькуляция (МИ)'!$G$25:$G$459,$G113))))</f>
        <v>0</v>
      </c>
      <c r="BA113" s="724">
        <f ca="1">IF(AY113=0,0,(AZ113-AY113)/AY113*100)</f>
        <v>0</v>
      </c>
      <c r="BB113" s="849">
        <f ca="1">IF(AND(method_reg="Метод индексации",god&lt;&gt;first_year),SUMIFS(INDEX('Калькуляция (МИ корр)'!$AJ$25:$BC$459,,MATCH(BB$8,'Калькуляция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(МИ)'!$AJ$25:$BC$459,,MATCH(BB$8,'Калькуляция (МИ)'!$AJ$8:$BC$8,0)),'Калькуляция (МИ)'!$F$25:$F$459,$F113,'Калькуляция (МИ)'!$G$25:$G$459,$G113))))</f>
        <v>0</v>
      </c>
      <c r="BC113" s="849">
        <f ca="1">IF(AND(method_reg="Метод индексации",god&lt;&gt;first_year),SUMIFS(INDEX('Калькуляция (МИ корр)'!$AJ$25:$BC$459,,MATCH(BC$8,'Калькуляция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(МИ)'!$AJ$25:$BC$459,,MATCH(BC$8,'Калькуляция (МИ)'!$AJ$8:$BC$8,0)),'Калькуляция (МИ)'!$F$25:$F$459,$F113,'Калькуляция (МИ)'!$G$25:$G$459,$G113))))</f>
        <v>0</v>
      </c>
      <c r="BD113" s="724">
        <f ca="1">IF(BB113=0,0,(BC113-BB113)/BB113*100)</f>
        <v>0</v>
      </c>
      <c r="BE113" s="849">
        <f ca="1">IF(AND(method_reg="Метод индексации",god&lt;&gt;first_year),SUMIFS(INDEX('Калькуляция (МИ корр)'!$AJ$25:$BC$459,,MATCH(BE$8,'Калькуляция (МИ корр)'!$AJ$8:$BC$8,0)),'Калькуляция (МИ корр)'!$F$25:$F$459,$F113,'Калькуляция (МИ корр)'!$G$25:$G$459,$G113),IF(method_reg="Метод экономически обоснованных расходов",SUMIFS('Калькуляция (МЭОР)'!$AJ$25:$AJ$282,'Калькуляция (МЭОР)'!$F$25:$F$282,$F113,'Калькуляция (МЭОР)'!$G$25:$G$282,$G113),IF(method_reg="Метод сравнения аналогов",SUMIFS('Калькуляция (МСА)'!$AE$25:$AE$84,'Калькуляция (МСА)'!$F$25:$F$84,$F113,'Калькуляция (МСА)'!$G$25:$G$84,$G113),SUMIFS(INDEX('Калькуляция (МИ)'!$AJ$25:$BC$459,,MATCH(BE$8,'Калькуляция (МИ)'!$AJ$8:$BC$8,0)),'Калькуляция (МИ)'!$F$25:$F$459,$F113,'Калькуляция (МИ)'!$G$25:$G$459,$G113))))</f>
        <v>0</v>
      </c>
      <c r="BF113" s="849">
        <f ca="1">IF(AND(method_reg="Метод индексации",god&lt;&gt;first_year),SUMIFS(INDEX('Калькуляция (МИ корр)'!$AJ$25:$BC$459,,MATCH(BF$8,'Калькуляция (МИ корр)'!$AJ$8:$BC$8,0)),'Калькуляция (МИ корр)'!$F$25:$F$459,$F113,'Калькуляция (МИ корр)'!$G$25:$G$459,$G113),IF(method_reg="Метод экономически обоснованных расходов",SUMIFS('Калькуляция (МЭОР)'!$AK$25:$AK$282,'Калькуляция (МЭОР)'!$F$25:$F$282,$F113,'Калькуляция (МЭОР)'!$G$25:$G$282,$G113),IF(method_reg="Метод сравнения аналогов",SUMIFS('Калькуляция (МСА)'!$AF$25:$AF$84,'Калькуляция (МСА)'!$F$25:$F$84,$F113,'Калькуляция (МСА)'!$G$25:$G$84,$G113),SUMIFS(INDEX('Калькуляция (МИ)'!$AJ$25:$BC$459,,MATCH(BF$8,'Калькуляция (МИ)'!$AJ$8:$BC$8,0)),'Калькуляция (МИ)'!$F$25:$F$459,$F113,'Калькуляция (МИ)'!$G$25:$G$459,$G113))))</f>
        <v>0</v>
      </c>
      <c r="BG113" s="724">
        <f ca="1">IF(BE113=0,0,(BF113-BE113)/BE113*100)</f>
        <v>0</v>
      </c>
      <c r="BH113" s="849"/>
      <c r="BI113" s="849"/>
      <c r="BJ113" s="724">
        <f>IF(BH113=0,0,(BI113-BH113)/BH113*100)</f>
        <v>0</v>
      </c>
      <c r="BK113" s="849"/>
      <c r="BL113" s="849"/>
      <c r="BM113" s="724">
        <f>IF(BK113=0,0,(BL113-BK113)/BK113*100)</f>
        <v>0</v>
      </c>
      <c r="BN113" s="849"/>
      <c r="BO113" s="849"/>
      <c r="BP113" s="724">
        <f>IF(BN113=0,0,(BO113-BN113)/BN113*100)</f>
        <v>0</v>
      </c>
      <c r="BQ113" s="849"/>
      <c r="BR113" s="849"/>
      <c r="BS113" s="724">
        <f>IF(BQ113=0,0,(BR113-BQ113)/BQ113*100)</f>
        <v>0</v>
      </c>
      <c r="BT113" s="849"/>
      <c r="BU113" s="849"/>
      <c r="BV113" s="724">
        <f>IF(BT113=0,0,(BU113-BT113)/BT113*100)</f>
        <v>0</v>
      </c>
      <c r="BW113" s="849"/>
      <c r="BX113" s="849"/>
      <c r="BY113" s="724">
        <f>IF(BW113=0,0,(BX113-BW113)/BW113*100)</f>
        <v>0</v>
      </c>
      <c r="BZ113" s="849"/>
      <c r="CA113" s="849"/>
      <c r="CB113" s="724">
        <f>IF(BZ113=0,0,(CA113-BZ113)/BZ113*100)</f>
        <v>0</v>
      </c>
      <c r="CC113" s="849"/>
      <c r="CD113" s="849"/>
      <c r="CE113" s="724">
        <f>IF(CC113=0,0,(CD113-CC113)/CC113*100)</f>
        <v>0</v>
      </c>
      <c r="CF113" s="849"/>
      <c r="CG113" s="849"/>
      <c r="CH113" s="724">
        <f>IF(CF113=0,0,(CG113-CF113)/CF113*100)</f>
        <v>0</v>
      </c>
      <c r="CI113" s="849"/>
      <c r="CJ113" s="849"/>
      <c r="CK113" s="724">
        <f>IF(CI113=0,0,(CJ113-CI113)/CI113*100)</f>
        <v>0</v>
      </c>
      <c r="CL113" s="849"/>
      <c r="CM113" s="849"/>
      <c r="CN113" s="724">
        <f>IF(CL113=0,0,(CM113-CL113)/CL113*100)</f>
        <v>0</v>
      </c>
      <c r="CO113" s="849"/>
      <c r="CP113" s="849"/>
      <c r="CQ113" s="724">
        <f>IF(CO113=0,0,(CP113-CO113)/CO113*100)</f>
        <v>0</v>
      </c>
      <c r="CR113" s="849"/>
      <c r="CS113" s="849"/>
      <c r="CT113" s="724">
        <f>IF(CR113=0,0,(CS113-CR113)/CR113*100)</f>
        <v>0</v>
      </c>
      <c r="CU113" s="849"/>
      <c r="CV113" s="849"/>
      <c r="CW113" s="724">
        <f>IF(CU113=0,0,(CV113-CU113)/CU113*100)</f>
        <v>0</v>
      </c>
      <c r="CX113" s="849"/>
      <c r="CY113" s="849"/>
      <c r="CZ113" s="724">
        <f>IF(CX113=0,0,(CY113-CX113)/CX113*100)</f>
        <v>0</v>
      </c>
      <c r="DA113" s="849"/>
      <c r="DB113" s="849"/>
      <c r="DC113" s="724">
        <f>IF(DA113=0,0,(DB113-DA113)/DA113*100)</f>
        <v>0</v>
      </c>
      <c r="DD113" s="849"/>
      <c r="DE113" s="849"/>
      <c r="DF113" s="724">
        <f>IF(DD113=0,0,(DE113-DD113)/DD113*100)</f>
        <v>0</v>
      </c>
      <c r="DG113" s="849"/>
      <c r="DH113" s="849"/>
      <c r="DI113" s="724">
        <f>IF(DG113=0,0,(DH113-DG113)/DG113*100)</f>
        <v>0</v>
      </c>
      <c r="DJ113" s="849"/>
      <c r="DK113" s="849"/>
      <c r="DL113" s="724">
        <f>IF(DJ113=0,0,(DK113-DJ113)/DJ113*100)</f>
        <v>0</v>
      </c>
      <c r="DM113" s="849"/>
      <c r="DN113" s="849"/>
      <c r="DO113" s="724">
        <f>IF(DM113=0,0,(DN113-DM113)/DM113*100)</f>
        <v>0</v>
      </c>
      <c r="DP113" s="849"/>
      <c r="DQ113" s="849"/>
      <c r="DR113" s="724">
        <f>IF(DP113=0,0,(DQ113-DP113)/DP113*100)</f>
        <v>0</v>
      </c>
      <c r="DS113" s="849"/>
      <c r="DT113" s="849"/>
      <c r="DU113" s="724">
        <f>IF(DS113=0,0,(DT113-DS113)/DS113*100)</f>
        <v>0</v>
      </c>
      <c r="DV113" s="849"/>
      <c r="DW113" s="849"/>
      <c r="DX113" s="724">
        <f>IF(DV113=0,0,(DW113-DV113)/DV113*100)</f>
        <v>0</v>
      </c>
      <c r="DY113" s="849"/>
      <c r="DZ113" s="849"/>
      <c r="EA113" s="724">
        <f>IF(DY113=0,0,(DZ113-DY113)/DY113*100)</f>
        <v>0</v>
      </c>
      <c r="EB113" s="849"/>
      <c r="EC113" s="849"/>
      <c r="ED113" s="724">
        <f>IF(EB113=0,0,(EC113-EB113)/EB113*100)</f>
        <v>0</v>
      </c>
      <c r="EE113" s="849"/>
      <c r="EF113" s="849"/>
      <c r="EG113" s="724">
        <f>IF(EE113=0,0,(EF113-EE113)/EE113*100)</f>
        <v>0</v>
      </c>
      <c r="EH113" s="849"/>
      <c r="EI113" s="849"/>
      <c r="EJ113" s="724">
        <f>IF(EH113=0,0,(EI113-EH113)/EH113*100)</f>
        <v>0</v>
      </c>
      <c r="EK113" s="849"/>
      <c r="EL113" s="849"/>
      <c r="EM113" s="724">
        <f>IF(EK113=0,0,(EL113-EK113)/EK113*100)</f>
        <v>0</v>
      </c>
      <c r="EN113" s="849"/>
      <c r="EO113" s="849"/>
      <c r="EP113" s="724">
        <f>IF(EN113=0,0,(EO113-EN113)/EN113*100)</f>
        <v>0</v>
      </c>
      <c r="EQ113" s="849"/>
      <c r="ER113" s="849"/>
      <c r="ES113" s="724">
        <f>IF(EQ113=0,0,(ER113-EQ113)/EQ113*100)</f>
        <v>0</v>
      </c>
      <c r="ET113" s="849"/>
      <c r="EU113" s="849"/>
      <c r="EV113" s="724">
        <f>IF(ET113=0,0,(EU113-ET113)/ET113*100)</f>
        <v>0</v>
      </c>
      <c r="EW113" s="849"/>
      <c r="EX113" s="849"/>
      <c r="EY113" s="724">
        <f>IF(EW113=0,0,(EX113-EW113)/EW113*100)</f>
        <v>0</v>
      </c>
      <c r="EZ113" s="849"/>
      <c r="FA113" s="849"/>
      <c r="FB113" s="724">
        <f>IF(EZ113=0,0,(FA113-EZ113)/EZ113*100)</f>
        <v>0</v>
      </c>
      <c r="FC113" s="849"/>
      <c r="FD113" s="849"/>
      <c r="FE113" s="724">
        <f>IF(FC113=0,0,(FD113-FC113)/FC113*100)</f>
        <v>0</v>
      </c>
      <c r="FF113" s="849"/>
      <c r="FG113" s="849"/>
      <c r="FH113" s="724">
        <f>IF(FF113=0,0,(FG113-FF113)/FF113*100)</f>
        <v>0</v>
      </c>
      <c r="FI113" s="849"/>
      <c r="FJ113" s="849"/>
      <c r="FK113" s="724">
        <f>IF(FI113=0,0,(FJ113-FI113)/FI113*100)</f>
        <v>0</v>
      </c>
      <c r="FL113" s="849"/>
      <c r="FM113" s="849"/>
      <c r="FN113" s="724">
        <f>IF(FL113=0,0,(FM113-FL113)/FL113*100)</f>
        <v>0</v>
      </c>
      <c r="FO113" s="849"/>
      <c r="FP113" s="849"/>
      <c r="FQ113" s="724">
        <f>IF(FO113=0,0,(FP113-FO113)/FO113*100)</f>
        <v>0</v>
      </c>
      <c r="FR113" s="849"/>
      <c r="FS113" s="849"/>
      <c r="FT113" s="724">
        <f>IF(FR113=0,0,(FS113-FR113)/FR113*100)</f>
        <v>0</v>
      </c>
      <c r="FU113" s="849"/>
      <c r="FV113" s="849"/>
      <c r="FW113" s="724">
        <f>IF(FU113=0,0,(FV113-FU113)/FU113*100)</f>
        <v>0</v>
      </c>
      <c r="FZ113" s="700" t="s">
        <v>1662</v>
      </c>
    </row>
    <row r="114" spans="1:182" ht="24" hidden="1" customHeight="1">
      <c r="A114" s="78"/>
      <c r="B114" s="622" t="b" cm="1">
        <f t="array" ref="B114">B113</f>
        <v>0</v>
      </c>
      <c r="C114" s="78"/>
      <c r="D114" s="78"/>
      <c r="E114" s="473">
        <v>24.75</v>
      </c>
      <c r="F114" s="3" t="str" cm="1">
        <f t="array" aca="1" ref="F114" ca="1">OFFSET(E114,-1,1)</f>
        <v>1</v>
      </c>
      <c r="G114" s="78"/>
      <c r="H114" s="78" t="s">
        <v>1663</v>
      </c>
      <c r="I114" s="78" t="s">
        <v>1622</v>
      </c>
      <c r="J114" s="78"/>
      <c r="K114" s="78"/>
      <c r="L114" s="78"/>
      <c r="M114" s="78"/>
      <c r="N114" s="78"/>
      <c r="O114" s="78"/>
      <c r="P114" s="78"/>
      <c r="Q114" s="78"/>
      <c r="R114" s="78"/>
      <c r="S114" s="78"/>
      <c r="T114" s="365" t="b" cm="1">
        <f t="array" aca="1" ref="T114" ca="1">T113</f>
        <v>1</v>
      </c>
      <c r="U114" s="78"/>
      <c r="V114" s="78"/>
      <c r="W114" s="78"/>
      <c r="X114" s="1094"/>
      <c r="Y114" s="78"/>
      <c r="Z114" s="1064"/>
      <c r="AA114" s="78"/>
      <c r="AB114" s="12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31" t="s">
        <v>1664</v>
      </c>
      <c r="AD114" s="833"/>
      <c r="AE114" s="833"/>
      <c r="AF114" s="723">
        <f>IF(AD114=0,0,(AE114-AD114)/AD114*100)</f>
        <v>0</v>
      </c>
      <c r="AG114" s="833"/>
      <c r="AH114" s="833"/>
      <c r="AI114" s="723">
        <f>IF(AG114=0,0,(AH114-AG114)/AG114*100)</f>
        <v>0</v>
      </c>
      <c r="AJ114" s="833"/>
      <c r="AK114" s="833"/>
      <c r="AL114" s="723">
        <f>IF(AJ114=0,0,(AK114-AJ114)/AJ114*100)</f>
        <v>0</v>
      </c>
      <c r="AM114" s="833"/>
      <c r="AN114" s="833"/>
      <c r="AO114" s="723">
        <f>IF(AM114=0,0,(AN114-AM114)/AM114*100)</f>
        <v>0</v>
      </c>
      <c r="AP114" s="833"/>
      <c r="AQ114" s="833"/>
      <c r="AR114" s="723">
        <f>IF(AP114=0,0,(AQ114-AP114)/AP114*100)</f>
        <v>0</v>
      </c>
      <c r="AS114" s="833"/>
      <c r="AT114" s="833"/>
      <c r="AU114" s="723">
        <f>IF(AS114=0,0,(AT114-AS114)/AS114*100)</f>
        <v>0</v>
      </c>
      <c r="AV114" s="833"/>
      <c r="AW114" s="833"/>
      <c r="AX114" s="723">
        <f>IF(AV114=0,0,(AW114-AV114)/AV114*100)</f>
        <v>0</v>
      </c>
      <c r="AY114" s="833"/>
      <c r="AZ114" s="833"/>
      <c r="BA114" s="723">
        <f>IF(AY114=0,0,(AZ114-AY114)/AY114*100)</f>
        <v>0</v>
      </c>
      <c r="BB114" s="833"/>
      <c r="BC114" s="833"/>
      <c r="BD114" s="723">
        <f>IF(BB114=0,0,(BC114-BB114)/BB114*100)</f>
        <v>0</v>
      </c>
      <c r="BE114" s="833"/>
      <c r="BF114" s="833"/>
      <c r="BG114" s="723">
        <f>IF(BE114=0,0,(BF114-BE114)/BE114*100)</f>
        <v>0</v>
      </c>
      <c r="BH114" s="833"/>
      <c r="BI114" s="833"/>
      <c r="BJ114" s="723">
        <f>IF(BH114=0,0,(BI114-BH114)/BH114*100)</f>
        <v>0</v>
      </c>
      <c r="BK114" s="833"/>
      <c r="BL114" s="833"/>
      <c r="BM114" s="723">
        <f>IF(BK114=0,0,(BL114-BK114)/BK114*100)</f>
        <v>0</v>
      </c>
      <c r="BN114" s="833"/>
      <c r="BO114" s="833"/>
      <c r="BP114" s="723">
        <f>IF(BN114=0,0,(BO114-BN114)/BN114*100)</f>
        <v>0</v>
      </c>
      <c r="BQ114" s="833"/>
      <c r="BR114" s="833"/>
      <c r="BS114" s="723">
        <f>IF(BQ114=0,0,(BR114-BQ114)/BQ114*100)</f>
        <v>0</v>
      </c>
      <c r="BT114" s="833"/>
      <c r="BU114" s="833"/>
      <c r="BV114" s="723">
        <f>IF(BT114=0,0,(BU114-BT114)/BT114*100)</f>
        <v>0</v>
      </c>
      <c r="BW114" s="833"/>
      <c r="BX114" s="833"/>
      <c r="BY114" s="723">
        <f>IF(BW114=0,0,(BX114-BW114)/BW114*100)</f>
        <v>0</v>
      </c>
      <c r="BZ114" s="833"/>
      <c r="CA114" s="833"/>
      <c r="CB114" s="723">
        <f>IF(BZ114=0,0,(CA114-BZ114)/BZ114*100)</f>
        <v>0</v>
      </c>
      <c r="CC114" s="833"/>
      <c r="CD114" s="833"/>
      <c r="CE114" s="723">
        <f>IF(CC114=0,0,(CD114-CC114)/CC114*100)</f>
        <v>0</v>
      </c>
      <c r="CF114" s="833"/>
      <c r="CG114" s="833"/>
      <c r="CH114" s="723">
        <f>IF(CF114=0,0,(CG114-CF114)/CF114*100)</f>
        <v>0</v>
      </c>
      <c r="CI114" s="833"/>
      <c r="CJ114" s="833"/>
      <c r="CK114" s="723">
        <f>IF(CI114=0,0,(CJ114-CI114)/CI114*100)</f>
        <v>0</v>
      </c>
      <c r="CL114" s="833"/>
      <c r="CM114" s="833"/>
      <c r="CN114" s="723">
        <f>IF(CL114=0,0,(CM114-CL114)/CL114*100)</f>
        <v>0</v>
      </c>
      <c r="CO114" s="833"/>
      <c r="CP114" s="833"/>
      <c r="CQ114" s="723">
        <f>IF(CO114=0,0,(CP114-CO114)/CO114*100)</f>
        <v>0</v>
      </c>
      <c r="CR114" s="833"/>
      <c r="CS114" s="833"/>
      <c r="CT114" s="723">
        <f>IF(CR114=0,0,(CS114-CR114)/CR114*100)</f>
        <v>0</v>
      </c>
      <c r="CU114" s="833"/>
      <c r="CV114" s="833"/>
      <c r="CW114" s="723">
        <f>IF(CU114=0,0,(CV114-CU114)/CU114*100)</f>
        <v>0</v>
      </c>
      <c r="CX114" s="833"/>
      <c r="CY114" s="833"/>
      <c r="CZ114" s="723">
        <f>IF(CX114=0,0,(CY114-CX114)/CX114*100)</f>
        <v>0</v>
      </c>
      <c r="DA114" s="833"/>
      <c r="DB114" s="833"/>
      <c r="DC114" s="723">
        <f>IF(DA114=0,0,(DB114-DA114)/DA114*100)</f>
        <v>0</v>
      </c>
      <c r="DD114" s="833"/>
      <c r="DE114" s="833"/>
      <c r="DF114" s="723">
        <f>IF(DD114=0,0,(DE114-DD114)/DD114*100)</f>
        <v>0</v>
      </c>
      <c r="DG114" s="833"/>
      <c r="DH114" s="833"/>
      <c r="DI114" s="723">
        <f>IF(DG114=0,0,(DH114-DG114)/DG114*100)</f>
        <v>0</v>
      </c>
      <c r="DJ114" s="833"/>
      <c r="DK114" s="833"/>
      <c r="DL114" s="723">
        <f>IF(DJ114=0,0,(DK114-DJ114)/DJ114*100)</f>
        <v>0</v>
      </c>
      <c r="DM114" s="833"/>
      <c r="DN114" s="833"/>
      <c r="DO114" s="723">
        <f>IF(DM114=0,0,(DN114-DM114)/DM114*100)</f>
        <v>0</v>
      </c>
      <c r="DP114" s="833"/>
      <c r="DQ114" s="833"/>
      <c r="DR114" s="723">
        <f>IF(DP114=0,0,(DQ114-DP114)/DP114*100)</f>
        <v>0</v>
      </c>
      <c r="DS114" s="833"/>
      <c r="DT114" s="833"/>
      <c r="DU114" s="723">
        <f>IF(DS114=0,0,(DT114-DS114)/DS114*100)</f>
        <v>0</v>
      </c>
      <c r="DV114" s="833"/>
      <c r="DW114" s="833"/>
      <c r="DX114" s="723">
        <f>IF(DV114=0,0,(DW114-DV114)/DV114*100)</f>
        <v>0</v>
      </c>
      <c r="DY114" s="833"/>
      <c r="DZ114" s="833"/>
      <c r="EA114" s="723">
        <f>IF(DY114=0,0,(DZ114-DY114)/DY114*100)</f>
        <v>0</v>
      </c>
      <c r="EB114" s="833"/>
      <c r="EC114" s="833"/>
      <c r="ED114" s="723">
        <f>IF(EB114=0,0,(EC114-EB114)/EB114*100)</f>
        <v>0</v>
      </c>
      <c r="EE114" s="833"/>
      <c r="EF114" s="833"/>
      <c r="EG114" s="723">
        <f>IF(EE114=0,0,(EF114-EE114)/EE114*100)</f>
        <v>0</v>
      </c>
      <c r="EH114" s="833"/>
      <c r="EI114" s="833"/>
      <c r="EJ114" s="723">
        <f>IF(EH114=0,0,(EI114-EH114)/EH114*100)</f>
        <v>0</v>
      </c>
      <c r="EK114" s="833"/>
      <c r="EL114" s="833"/>
      <c r="EM114" s="723">
        <f>IF(EK114=0,0,(EL114-EK114)/EK114*100)</f>
        <v>0</v>
      </c>
      <c r="EN114" s="833"/>
      <c r="EO114" s="833"/>
      <c r="EP114" s="723">
        <f>IF(EN114=0,0,(EO114-EN114)/EN114*100)</f>
        <v>0</v>
      </c>
      <c r="EQ114" s="833"/>
      <c r="ER114" s="833"/>
      <c r="ES114" s="723">
        <f>IF(EQ114=0,0,(ER114-EQ114)/EQ114*100)</f>
        <v>0</v>
      </c>
      <c r="ET114" s="833"/>
      <c r="EU114" s="833"/>
      <c r="EV114" s="723">
        <f>IF(ET114=0,0,(EU114-ET114)/ET114*100)</f>
        <v>0</v>
      </c>
      <c r="EW114" s="833"/>
      <c r="EX114" s="833"/>
      <c r="EY114" s="723">
        <f>IF(EW114=0,0,(EX114-EW114)/EW114*100)</f>
        <v>0</v>
      </c>
      <c r="EZ114" s="833"/>
      <c r="FA114" s="833"/>
      <c r="FB114" s="723">
        <f>IF(EZ114=0,0,(FA114-EZ114)/EZ114*100)</f>
        <v>0</v>
      </c>
      <c r="FC114" s="833"/>
      <c r="FD114" s="833"/>
      <c r="FE114" s="723">
        <f>IF(FC114=0,0,(FD114-FC114)/FC114*100)</f>
        <v>0</v>
      </c>
      <c r="FF114" s="833"/>
      <c r="FG114" s="833"/>
      <c r="FH114" s="723">
        <f>IF(FF114=0,0,(FG114-FF114)/FF114*100)</f>
        <v>0</v>
      </c>
      <c r="FI114" s="833"/>
      <c r="FJ114" s="833"/>
      <c r="FK114" s="723">
        <f>IF(FI114=0,0,(FJ114-FI114)/FI114*100)</f>
        <v>0</v>
      </c>
      <c r="FL114" s="833"/>
      <c r="FM114" s="833"/>
      <c r="FN114" s="723">
        <f>IF(FL114=0,0,(FM114-FL114)/FL114*100)</f>
        <v>0</v>
      </c>
      <c r="FO114" s="833"/>
      <c r="FP114" s="833"/>
      <c r="FQ114" s="723">
        <f>IF(FO114=0,0,(FP114-FO114)/FO114*100)</f>
        <v>0</v>
      </c>
      <c r="FR114" s="833"/>
      <c r="FS114" s="833"/>
      <c r="FT114" s="723">
        <f>IF(FR114=0,0,(FS114-FR114)/FR114*100)</f>
        <v>0</v>
      </c>
      <c r="FU114" s="833"/>
      <c r="FV114" s="833"/>
      <c r="FW114" s="723">
        <f>IF(FU114=0,0,(FV114-FU114)/FU114*100)</f>
        <v>0</v>
      </c>
      <c r="FZ114" s="700" t="s">
        <v>1665</v>
      </c>
    </row>
    <row r="115" spans="1:182" ht="14.25" hidden="1" customHeight="1">
      <c r="A115" s="78"/>
      <c r="B115" s="622" t="b" cm="1">
        <f t="array" ref="B115">B114</f>
        <v>0</v>
      </c>
      <c r="C115" s="78"/>
      <c r="D115" s="78"/>
      <c r="E115" s="473">
        <v>15</v>
      </c>
      <c r="F115" s="3" t="str" cm="1">
        <f t="array" aca="1" ref="F115" ca="1">OFFSET(E115,-1,1)</f>
        <v>1</v>
      </c>
      <c r="G115" s="78"/>
      <c r="H115" s="78" t="s">
        <v>1666</v>
      </c>
      <c r="I115" s="78" t="s">
        <v>1622</v>
      </c>
      <c r="J115" s="78"/>
      <c r="K115" s="78"/>
      <c r="L115" s="78"/>
      <c r="M115" s="78"/>
      <c r="N115" s="78"/>
      <c r="O115" s="78"/>
      <c r="P115" s="78"/>
      <c r="Q115" s="78"/>
      <c r="R115" s="78"/>
      <c r="S115" s="78"/>
      <c r="T115" s="365" t="b" cm="1">
        <f t="array" aca="1" ref="T115" ca="1">T114</f>
        <v>1</v>
      </c>
      <c r="U115" s="78"/>
      <c r="V115" s="78"/>
      <c r="W115" s="78"/>
      <c r="X115" s="1094"/>
      <c r="Y115" s="78"/>
      <c r="Z115" s="1064"/>
      <c r="AA115" s="78"/>
      <c r="AB115" s="124" t="s">
        <v>1667</v>
      </c>
      <c r="AC115" s="31" t="s">
        <v>1668</v>
      </c>
      <c r="AD115" s="833"/>
      <c r="AE115" s="833"/>
      <c r="AF115" s="723">
        <f>IF(AD115=0,0,(AE115-AD115)/AD115*100)</f>
        <v>0</v>
      </c>
      <c r="AG115" s="833"/>
      <c r="AH115" s="833"/>
      <c r="AI115" s="723">
        <f>IF(AG115=0,0,(AH115-AG115)/AG115*100)</f>
        <v>0</v>
      </c>
      <c r="AJ115" s="833"/>
      <c r="AK115" s="833"/>
      <c r="AL115" s="723">
        <f>IF(AJ115=0,0,(AK115-AJ115)/AJ115*100)</f>
        <v>0</v>
      </c>
      <c r="AM115" s="833"/>
      <c r="AN115" s="833"/>
      <c r="AO115" s="723">
        <f>IF(AM115=0,0,(AN115-AM115)/AM115*100)</f>
        <v>0</v>
      </c>
      <c r="AP115" s="833"/>
      <c r="AQ115" s="833"/>
      <c r="AR115" s="723">
        <f>IF(AP115=0,0,(AQ115-AP115)/AP115*100)</f>
        <v>0</v>
      </c>
      <c r="AS115" s="833"/>
      <c r="AT115" s="833"/>
      <c r="AU115" s="723">
        <f>IF(AS115=0,0,(AT115-AS115)/AS115*100)</f>
        <v>0</v>
      </c>
      <c r="AV115" s="833"/>
      <c r="AW115" s="833"/>
      <c r="AX115" s="723">
        <f>IF(AV115=0,0,(AW115-AV115)/AV115*100)</f>
        <v>0</v>
      </c>
      <c r="AY115" s="833"/>
      <c r="AZ115" s="833"/>
      <c r="BA115" s="723">
        <f>IF(AY115=0,0,(AZ115-AY115)/AY115*100)</f>
        <v>0</v>
      </c>
      <c r="BB115" s="833"/>
      <c r="BC115" s="833"/>
      <c r="BD115" s="723">
        <f>IF(BB115=0,0,(BC115-BB115)/BB115*100)</f>
        <v>0</v>
      </c>
      <c r="BE115" s="833"/>
      <c r="BF115" s="833"/>
      <c r="BG115" s="723">
        <f>IF(BE115=0,0,(BF115-BE115)/BE115*100)</f>
        <v>0</v>
      </c>
      <c r="BH115" s="833"/>
      <c r="BI115" s="833"/>
      <c r="BJ115" s="723">
        <f>IF(BH115=0,0,(BI115-BH115)/BH115*100)</f>
        <v>0</v>
      </c>
      <c r="BK115" s="833"/>
      <c r="BL115" s="833"/>
      <c r="BM115" s="723">
        <f>IF(BK115=0,0,(BL115-BK115)/BK115*100)</f>
        <v>0</v>
      </c>
      <c r="BN115" s="833"/>
      <c r="BO115" s="833"/>
      <c r="BP115" s="723">
        <f>IF(BN115=0,0,(BO115-BN115)/BN115*100)</f>
        <v>0</v>
      </c>
      <c r="BQ115" s="833"/>
      <c r="BR115" s="833"/>
      <c r="BS115" s="723">
        <f>IF(BQ115=0,0,(BR115-BQ115)/BQ115*100)</f>
        <v>0</v>
      </c>
      <c r="BT115" s="833"/>
      <c r="BU115" s="833"/>
      <c r="BV115" s="723">
        <f>IF(BT115=0,0,(BU115-BT115)/BT115*100)</f>
        <v>0</v>
      </c>
      <c r="BW115" s="833"/>
      <c r="BX115" s="833"/>
      <c r="BY115" s="723">
        <f>IF(BW115=0,0,(BX115-BW115)/BW115*100)</f>
        <v>0</v>
      </c>
      <c r="BZ115" s="833"/>
      <c r="CA115" s="833"/>
      <c r="CB115" s="723">
        <f>IF(BZ115=0,0,(CA115-BZ115)/BZ115*100)</f>
        <v>0</v>
      </c>
      <c r="CC115" s="833"/>
      <c r="CD115" s="833"/>
      <c r="CE115" s="723">
        <f>IF(CC115=0,0,(CD115-CC115)/CC115*100)</f>
        <v>0</v>
      </c>
      <c r="CF115" s="833"/>
      <c r="CG115" s="833"/>
      <c r="CH115" s="723">
        <f>IF(CF115=0,0,(CG115-CF115)/CF115*100)</f>
        <v>0</v>
      </c>
      <c r="CI115" s="833"/>
      <c r="CJ115" s="833"/>
      <c r="CK115" s="723">
        <f>IF(CI115=0,0,(CJ115-CI115)/CI115*100)</f>
        <v>0</v>
      </c>
      <c r="CL115" s="833"/>
      <c r="CM115" s="833"/>
      <c r="CN115" s="723">
        <f>IF(CL115=0,0,(CM115-CL115)/CL115*100)</f>
        <v>0</v>
      </c>
      <c r="CO115" s="833"/>
      <c r="CP115" s="833"/>
      <c r="CQ115" s="723">
        <f>IF(CO115=0,0,(CP115-CO115)/CO115*100)</f>
        <v>0</v>
      </c>
      <c r="CR115" s="833"/>
      <c r="CS115" s="833"/>
      <c r="CT115" s="723">
        <f>IF(CR115=0,0,(CS115-CR115)/CR115*100)</f>
        <v>0</v>
      </c>
      <c r="CU115" s="833"/>
      <c r="CV115" s="833"/>
      <c r="CW115" s="723">
        <f>IF(CU115=0,0,(CV115-CU115)/CU115*100)</f>
        <v>0</v>
      </c>
      <c r="CX115" s="833"/>
      <c r="CY115" s="833"/>
      <c r="CZ115" s="723">
        <f>IF(CX115=0,0,(CY115-CX115)/CX115*100)</f>
        <v>0</v>
      </c>
      <c r="DA115" s="833"/>
      <c r="DB115" s="833"/>
      <c r="DC115" s="723">
        <f>IF(DA115=0,0,(DB115-DA115)/DA115*100)</f>
        <v>0</v>
      </c>
      <c r="DD115" s="833"/>
      <c r="DE115" s="833"/>
      <c r="DF115" s="723">
        <f>IF(DD115=0,0,(DE115-DD115)/DD115*100)</f>
        <v>0</v>
      </c>
      <c r="DG115" s="833"/>
      <c r="DH115" s="833"/>
      <c r="DI115" s="723">
        <f>IF(DG115=0,0,(DH115-DG115)/DG115*100)</f>
        <v>0</v>
      </c>
      <c r="DJ115" s="833"/>
      <c r="DK115" s="833"/>
      <c r="DL115" s="723">
        <f>IF(DJ115=0,0,(DK115-DJ115)/DJ115*100)</f>
        <v>0</v>
      </c>
      <c r="DM115" s="833"/>
      <c r="DN115" s="833"/>
      <c r="DO115" s="723">
        <f>IF(DM115=0,0,(DN115-DM115)/DM115*100)</f>
        <v>0</v>
      </c>
      <c r="DP115" s="833"/>
      <c r="DQ115" s="833"/>
      <c r="DR115" s="723">
        <f>IF(DP115=0,0,(DQ115-DP115)/DP115*100)</f>
        <v>0</v>
      </c>
      <c r="DS115" s="833"/>
      <c r="DT115" s="833"/>
      <c r="DU115" s="723">
        <f>IF(DS115=0,0,(DT115-DS115)/DS115*100)</f>
        <v>0</v>
      </c>
      <c r="DV115" s="833"/>
      <c r="DW115" s="833"/>
      <c r="DX115" s="723">
        <f>IF(DV115=0,0,(DW115-DV115)/DV115*100)</f>
        <v>0</v>
      </c>
      <c r="DY115" s="833"/>
      <c r="DZ115" s="833"/>
      <c r="EA115" s="723">
        <f>IF(DY115=0,0,(DZ115-DY115)/DY115*100)</f>
        <v>0</v>
      </c>
      <c r="EB115" s="833"/>
      <c r="EC115" s="833"/>
      <c r="ED115" s="723">
        <f>IF(EB115=0,0,(EC115-EB115)/EB115*100)</f>
        <v>0</v>
      </c>
      <c r="EE115" s="833"/>
      <c r="EF115" s="833"/>
      <c r="EG115" s="723">
        <f>IF(EE115=0,0,(EF115-EE115)/EE115*100)</f>
        <v>0</v>
      </c>
      <c r="EH115" s="833"/>
      <c r="EI115" s="833"/>
      <c r="EJ115" s="723">
        <f>IF(EH115=0,0,(EI115-EH115)/EH115*100)</f>
        <v>0</v>
      </c>
      <c r="EK115" s="833"/>
      <c r="EL115" s="833"/>
      <c r="EM115" s="723">
        <f>IF(EK115=0,0,(EL115-EK115)/EK115*100)</f>
        <v>0</v>
      </c>
      <c r="EN115" s="833"/>
      <c r="EO115" s="833"/>
      <c r="EP115" s="723">
        <f>IF(EN115=0,0,(EO115-EN115)/EN115*100)</f>
        <v>0</v>
      </c>
      <c r="EQ115" s="833"/>
      <c r="ER115" s="833"/>
      <c r="ES115" s="723">
        <f>IF(EQ115=0,0,(ER115-EQ115)/EQ115*100)</f>
        <v>0</v>
      </c>
      <c r="ET115" s="833"/>
      <c r="EU115" s="833"/>
      <c r="EV115" s="723">
        <f>IF(ET115=0,0,(EU115-ET115)/ET115*100)</f>
        <v>0</v>
      </c>
      <c r="EW115" s="833"/>
      <c r="EX115" s="833"/>
      <c r="EY115" s="723">
        <f>IF(EW115=0,0,(EX115-EW115)/EW115*100)</f>
        <v>0</v>
      </c>
      <c r="EZ115" s="833"/>
      <c r="FA115" s="833"/>
      <c r="FB115" s="723">
        <f>IF(EZ115=0,0,(FA115-EZ115)/EZ115*100)</f>
        <v>0</v>
      </c>
      <c r="FC115" s="833"/>
      <c r="FD115" s="833"/>
      <c r="FE115" s="723">
        <f>IF(FC115=0,0,(FD115-FC115)/FC115*100)</f>
        <v>0</v>
      </c>
      <c r="FF115" s="833"/>
      <c r="FG115" s="833"/>
      <c r="FH115" s="723">
        <f>IF(FF115=0,0,(FG115-FF115)/FF115*100)</f>
        <v>0</v>
      </c>
      <c r="FI115" s="833"/>
      <c r="FJ115" s="833"/>
      <c r="FK115" s="723">
        <f>IF(FI115=0,0,(FJ115-FI115)/FI115*100)</f>
        <v>0</v>
      </c>
      <c r="FL115" s="833"/>
      <c r="FM115" s="833"/>
      <c r="FN115" s="723">
        <f>IF(FL115=0,0,(FM115-FL115)/FL115*100)</f>
        <v>0</v>
      </c>
      <c r="FO115" s="833"/>
      <c r="FP115" s="833"/>
      <c r="FQ115" s="723">
        <f>IF(FO115=0,0,(FP115-FO115)/FO115*100)</f>
        <v>0</v>
      </c>
      <c r="FR115" s="833"/>
      <c r="FS115" s="833"/>
      <c r="FT115" s="723">
        <f>IF(FR115=0,0,(FS115-FR115)/FR115*100)</f>
        <v>0</v>
      </c>
      <c r="FU115" s="833"/>
      <c r="FV115" s="833"/>
      <c r="FW115" s="723">
        <f>IF(FU115=0,0,(FV115-FU115)/FU115*100)</f>
        <v>0</v>
      </c>
      <c r="FZ115" s="700" t="s">
        <v>1669</v>
      </c>
    </row>
    <row r="116" spans="1:182" ht="23.25" hidden="1" customHeight="1">
      <c r="A116" s="78"/>
      <c r="B116" s="622" t="b" cm="1">
        <f t="array" ref="B116">B115</f>
        <v>0</v>
      </c>
      <c r="C116" s="78"/>
      <c r="D116" s="78"/>
      <c r="E116" s="473">
        <v>24.5</v>
      </c>
      <c r="F116" s="3" t="str" cm="1">
        <f t="array" aca="1" ref="F116" ca="1">OFFSET(E116,-1,1)</f>
        <v>1</v>
      </c>
      <c r="G116" s="78"/>
      <c r="H116" s="78"/>
      <c r="I116" s="78"/>
      <c r="J116" s="78"/>
      <c r="K116" s="78"/>
      <c r="L116" s="78"/>
      <c r="M116" s="78"/>
      <c r="N116" s="78"/>
      <c r="O116" s="78"/>
      <c r="P116" s="78"/>
      <c r="Q116" s="78"/>
      <c r="R116" s="78"/>
      <c r="S116" s="78"/>
      <c r="T116" s="365" t="b" cm="1">
        <f t="array" aca="1" ref="T116" ca="1">T115</f>
        <v>1</v>
      </c>
      <c r="U116" s="78"/>
      <c r="V116" s="78"/>
      <c r="W116" s="78"/>
      <c r="X116" s="1094"/>
      <c r="Y116" s="78"/>
      <c r="Z116" s="1064"/>
      <c r="AA116" s="78"/>
      <c r="AB116" s="220" t="s">
        <v>1670</v>
      </c>
      <c r="AC116" s="606"/>
      <c r="AD116" s="727"/>
      <c r="AE116" s="727"/>
      <c r="AF116" s="727"/>
      <c r="AG116" s="727"/>
      <c r="AH116" s="727"/>
      <c r="AI116" s="727"/>
      <c r="AJ116" s="727"/>
      <c r="AK116" s="727"/>
      <c r="AL116" s="727"/>
      <c r="AM116" s="727"/>
      <c r="AN116" s="727"/>
      <c r="AO116" s="727"/>
      <c r="AP116" s="727"/>
      <c r="AQ116" s="727"/>
      <c r="AR116" s="727"/>
      <c r="AS116" s="727"/>
      <c r="AT116" s="727"/>
      <c r="AU116" s="727"/>
      <c r="AV116" s="727"/>
      <c r="AW116" s="727"/>
      <c r="AX116" s="727"/>
      <c r="AY116" s="727"/>
      <c r="AZ116" s="727"/>
      <c r="BA116" s="727"/>
      <c r="BB116" s="727"/>
      <c r="BC116" s="727"/>
      <c r="BD116" s="727"/>
      <c r="BE116" s="727"/>
      <c r="BF116" s="727"/>
      <c r="BG116" s="727"/>
      <c r="BH116" s="727"/>
      <c r="BI116" s="727"/>
      <c r="BJ116" s="727"/>
      <c r="BK116" s="727"/>
      <c r="BL116" s="727"/>
      <c r="BM116" s="727"/>
      <c r="BN116" s="727"/>
      <c r="BO116" s="727"/>
      <c r="BP116" s="727"/>
      <c r="BQ116" s="727"/>
      <c r="BR116" s="727"/>
      <c r="BS116" s="727"/>
      <c r="BT116" s="727"/>
      <c r="BU116" s="727"/>
      <c r="BV116" s="727"/>
      <c r="BW116" s="727"/>
      <c r="BX116" s="727"/>
      <c r="BY116" s="727"/>
      <c r="BZ116" s="727"/>
      <c r="CA116" s="727"/>
      <c r="CB116" s="727"/>
      <c r="CC116" s="727"/>
      <c r="CD116" s="727"/>
      <c r="CE116" s="727"/>
      <c r="CF116" s="727"/>
      <c r="CG116" s="727"/>
      <c r="CH116" s="727"/>
      <c r="CI116" s="727"/>
      <c r="CJ116" s="727"/>
      <c r="CK116" s="727"/>
      <c r="CL116" s="727"/>
      <c r="CM116" s="727"/>
      <c r="CN116" s="727"/>
      <c r="CO116" s="727"/>
      <c r="CP116" s="727"/>
      <c r="CQ116" s="727"/>
      <c r="CR116" s="727"/>
      <c r="CS116" s="727"/>
      <c r="CT116" s="727"/>
      <c r="CU116" s="727"/>
      <c r="CV116" s="727"/>
      <c r="CW116" s="727"/>
      <c r="CX116" s="727"/>
      <c r="CY116" s="727"/>
      <c r="CZ116" s="727"/>
      <c r="DA116" s="727"/>
      <c r="DB116" s="727"/>
      <c r="DC116" s="727"/>
      <c r="DD116" s="727"/>
      <c r="DE116" s="727"/>
      <c r="DF116" s="727"/>
      <c r="DG116" s="727"/>
      <c r="DH116" s="727"/>
      <c r="DI116" s="727"/>
      <c r="DJ116" s="727"/>
      <c r="DK116" s="727"/>
      <c r="DL116" s="727"/>
      <c r="DM116" s="727"/>
      <c r="DN116" s="727"/>
      <c r="DO116" s="727"/>
      <c r="DP116" s="727"/>
      <c r="DQ116" s="727"/>
      <c r="DR116" s="727"/>
      <c r="DS116" s="727"/>
      <c r="DT116" s="727"/>
      <c r="DU116" s="727"/>
      <c r="DV116" s="727"/>
      <c r="DW116" s="727"/>
      <c r="DX116" s="727"/>
      <c r="DY116" s="727"/>
      <c r="DZ116" s="727"/>
      <c r="EA116" s="727"/>
      <c r="EB116" s="727"/>
      <c r="EC116" s="727"/>
      <c r="ED116" s="727"/>
      <c r="EE116" s="727"/>
      <c r="EF116" s="727"/>
      <c r="EG116" s="727"/>
      <c r="EH116" s="727"/>
      <c r="EI116" s="727"/>
      <c r="EJ116" s="727"/>
      <c r="EK116" s="727"/>
      <c r="EL116" s="727"/>
      <c r="EM116" s="727"/>
      <c r="EN116" s="727"/>
      <c r="EO116" s="727"/>
      <c r="EP116" s="727"/>
      <c r="EQ116" s="727"/>
      <c r="ER116" s="727"/>
      <c r="ES116" s="727"/>
      <c r="ET116" s="727"/>
      <c r="EU116" s="727"/>
      <c r="EV116" s="727"/>
      <c r="EW116" s="727"/>
      <c r="EX116" s="727"/>
      <c r="EY116" s="727"/>
      <c r="EZ116" s="727"/>
      <c r="FA116" s="727"/>
      <c r="FB116" s="727"/>
      <c r="FC116" s="727"/>
      <c r="FD116" s="727"/>
      <c r="FE116" s="727"/>
      <c r="FF116" s="727"/>
      <c r="FG116" s="727"/>
      <c r="FH116" s="727"/>
      <c r="FI116" s="727"/>
      <c r="FJ116" s="727"/>
      <c r="FK116" s="727"/>
      <c r="FL116" s="727"/>
      <c r="FM116" s="727"/>
      <c r="FN116" s="727"/>
      <c r="FO116" s="727"/>
      <c r="FP116" s="727"/>
      <c r="FQ116" s="727"/>
      <c r="FR116" s="727"/>
      <c r="FS116" s="727"/>
      <c r="FT116" s="727"/>
      <c r="FU116" s="727"/>
      <c r="FV116" s="727"/>
      <c r="FW116" s="728"/>
      <c r="FZ116" s="700"/>
    </row>
    <row r="117" spans="1:182" ht="14.25" hidden="1" customHeight="1">
      <c r="A117" s="78"/>
      <c r="B117" s="622" t="b" cm="1">
        <f t="array" ref="B117">B116</f>
        <v>0</v>
      </c>
      <c r="C117" s="78"/>
      <c r="D117" s="78"/>
      <c r="E117" s="473">
        <v>15</v>
      </c>
      <c r="F117" s="3" t="str" cm="1">
        <f t="array" aca="1" ref="F117" ca="1">OFFSET(E117,-1,1)</f>
        <v>1</v>
      </c>
      <c r="G117" s="78"/>
      <c r="H117" s="78" t="s">
        <v>1562</v>
      </c>
      <c r="I117" s="78" t="s">
        <v>1627</v>
      </c>
      <c r="J117" s="78"/>
      <c r="K117" s="78"/>
      <c r="L117" s="78"/>
      <c r="M117" s="78"/>
      <c r="N117" s="78"/>
      <c r="O117" s="78"/>
      <c r="P117" s="78"/>
      <c r="Q117" s="78"/>
      <c r="R117" s="78"/>
      <c r="S117" s="78"/>
      <c r="T117" s="365" t="b" cm="1">
        <f t="array" aca="1" ref="T117" ca="1">T116</f>
        <v>1</v>
      </c>
      <c r="U117" s="78"/>
      <c r="V117" s="78"/>
      <c r="W117" s="78"/>
      <c r="X117" s="1094"/>
      <c r="Y117" s="78"/>
      <c r="Z117" s="1064"/>
      <c r="AA117" s="78"/>
      <c r="AB117" s="124" t="s">
        <v>1657</v>
      </c>
      <c r="AC117" s="31" t="s">
        <v>1624</v>
      </c>
      <c r="AD117" s="833">
        <f ca="1">IF(AD119=0,0,(AD118*AD119+AD120*AD121*IF(god=2026,3,6))/AD119)</f>
        <v>0</v>
      </c>
      <c r="AE117" s="833">
        <f ca="1">IF(AE119=0,0,(AE118*AE119+AE120*AE121*IF(god=2026,3,6))/AE119)</f>
        <v>0</v>
      </c>
      <c r="AF117" s="723">
        <f ca="1">IF(AD117=0,0,(AE117-AD117)/AD117*100)</f>
        <v>0</v>
      </c>
      <c r="AG117" s="833">
        <f ca="1">IF(AG119=0,0,(AG118*AG119+AG120*AG121*IF(god=2025,3,6))/AG119)</f>
        <v>0</v>
      </c>
      <c r="AH117" s="833">
        <f ca="1">IF(AH119=0,0,(AH118*AH119+AH120*AH121*IF(god=2025,3,6))/AH119)</f>
        <v>0</v>
      </c>
      <c r="AI117" s="723">
        <f ca="1">IF(AG117=0,0,(AH117-AG117)/AG117*100)</f>
        <v>0</v>
      </c>
      <c r="AJ117" s="833">
        <f ca="1">IF(AJ119=0,0,(AJ118*AJ119+AJ120*AJ121*6)/AJ119)</f>
        <v>0</v>
      </c>
      <c r="AK117" s="833">
        <f ca="1">IF(AK119=0,0,(AK118*AK119+AK120*AK121*6)/AK119)</f>
        <v>0</v>
      </c>
      <c r="AL117" s="723">
        <f ca="1">IF(AJ117=0,0,(AK117-AJ117)/AJ117*100)</f>
        <v>0</v>
      </c>
      <c r="AM117" s="833">
        <f ca="1">IF(AM119=0,0,(AM118*AM119+AM120*AM121*6)/AM119)</f>
        <v>0</v>
      </c>
      <c r="AN117" s="833">
        <f ca="1">IF(AN119=0,0,(AN118*AN119+AN120*AN121*6)/AN119)</f>
        <v>0</v>
      </c>
      <c r="AO117" s="723">
        <f ca="1">IF(AM117=0,0,(AN117-AM117)/AM117*100)</f>
        <v>0</v>
      </c>
      <c r="AP117" s="833">
        <f ca="1">IF(AP119=0,0,(AP118*AP119+AP120*AP121*6)/AP119)</f>
        <v>0</v>
      </c>
      <c r="AQ117" s="833">
        <f ca="1">IF(AQ119=0,0,(AQ118*AQ119+AQ120*AQ121*6)/AQ119)</f>
        <v>0</v>
      </c>
      <c r="AR117" s="723">
        <f ca="1">IF(AP117=0,0,(AQ117-AP117)/AP117*100)</f>
        <v>0</v>
      </c>
      <c r="AS117" s="833">
        <f ca="1">IF(AS119=0,0,(AS118*AS119+AS120*AS121*6)/AS119)</f>
        <v>0</v>
      </c>
      <c r="AT117" s="833">
        <f ca="1">IF(AT119=0,0,(AT118*AT119+AT120*AT121*6)/AT119)</f>
        <v>0</v>
      </c>
      <c r="AU117" s="723">
        <f ca="1">IF(AS117=0,0,(AT117-AS117)/AS117*100)</f>
        <v>0</v>
      </c>
      <c r="AV117" s="833">
        <f ca="1">IF(AV119=0,0,(AV118*AV119+AV120*AV121*6)/AV119)</f>
        <v>0</v>
      </c>
      <c r="AW117" s="833">
        <f ca="1">IF(AW119=0,0,(AW118*AW119+AW120*AW121*6)/AW119)</f>
        <v>0</v>
      </c>
      <c r="AX117" s="723">
        <f ca="1">IF(AV117=0,0,(AW117-AV117)/AV117*100)</f>
        <v>0</v>
      </c>
      <c r="AY117" s="833">
        <f ca="1">IF(AY119=0,0,(AY118*AY119+AY120*AY121*6)/AY119)</f>
        <v>0</v>
      </c>
      <c r="AZ117" s="833">
        <f ca="1">IF(AZ119=0,0,(AZ118*AZ119+AZ120*AZ121*6)/AZ119)</f>
        <v>0</v>
      </c>
      <c r="BA117" s="723">
        <f ca="1">IF(AY117=0,0,(AZ117-AY117)/AY117*100)</f>
        <v>0</v>
      </c>
      <c r="BB117" s="833">
        <f ca="1">IF(BB119=0,0,(BB118*BB119+BB120*BB121*6)/BB119)</f>
        <v>0</v>
      </c>
      <c r="BC117" s="833">
        <f ca="1">IF(BC119=0,0,(BC118*BC119+BC120*BC121*6)/BC119)</f>
        <v>0</v>
      </c>
      <c r="BD117" s="723">
        <f ca="1">IF(BB117=0,0,(BC117-BB117)/BB117*100)</f>
        <v>0</v>
      </c>
      <c r="BE117" s="833">
        <f ca="1">IF(BE119=0,0,(BE118*BE119+BE120*BE121*6)/BE119)</f>
        <v>0</v>
      </c>
      <c r="BF117" s="833">
        <f ca="1">IF(BF119=0,0,(BF118*BF119+BF120*BF121*6)/BF119)</f>
        <v>0</v>
      </c>
      <c r="BG117" s="723">
        <f ca="1">IF(BE117=0,0,(BF117-BE117)/BE117*100)</f>
        <v>0</v>
      </c>
      <c r="BH117" s="833">
        <f>IF(BH119=0,0,(BH118*BH119+BH120*BH121*6)/BH119)</f>
        <v>0</v>
      </c>
      <c r="BI117" s="833">
        <f>IF(BI119=0,0,(BI118*BI119+BI120*BI121*6)/BI119)</f>
        <v>0</v>
      </c>
      <c r="BJ117" s="723">
        <f>IF(BH117=0,0,(BI117-BH117)/BH117*100)</f>
        <v>0</v>
      </c>
      <c r="BK117" s="833">
        <f>IF(BK119=0,0,(BK118*BK119+BK120*BK121*6)/BK119)</f>
        <v>0</v>
      </c>
      <c r="BL117" s="833">
        <f>IF(BL119=0,0,(BL118*BL119+BL120*BL121*6)/BL119)</f>
        <v>0</v>
      </c>
      <c r="BM117" s="723">
        <f>IF(BK117=0,0,(BL117-BK117)/BK117*100)</f>
        <v>0</v>
      </c>
      <c r="BN117" s="833">
        <f>IF(BN119=0,0,(BN118*BN119+BN120*BN121*6)/BN119)</f>
        <v>0</v>
      </c>
      <c r="BO117" s="833">
        <f>IF(BO119=0,0,(BO118*BO119+BO120*BO121*6)/BO119)</f>
        <v>0</v>
      </c>
      <c r="BP117" s="723">
        <f>IF(BN117=0,0,(BO117-BN117)/BN117*100)</f>
        <v>0</v>
      </c>
      <c r="BQ117" s="833">
        <f>IF(BQ119=0,0,(BQ118*BQ119+BQ120*BQ121*6)/BQ119)</f>
        <v>0</v>
      </c>
      <c r="BR117" s="833">
        <f>IF(BR119=0,0,(BR118*BR119+BR120*BR121*6)/BR119)</f>
        <v>0</v>
      </c>
      <c r="BS117" s="723">
        <f>IF(BQ117=0,0,(BR117-BQ117)/BQ117*100)</f>
        <v>0</v>
      </c>
      <c r="BT117" s="833">
        <f>IF(BT119=0,0,(BT118*BT119+BT120*BT121*6)/BT119)</f>
        <v>0</v>
      </c>
      <c r="BU117" s="833">
        <f>IF(BU119=0,0,(BU118*BU119+BU120*BU121*6)/BU119)</f>
        <v>0</v>
      </c>
      <c r="BV117" s="723">
        <f>IF(BT117=0,0,(BU117-BT117)/BT117*100)</f>
        <v>0</v>
      </c>
      <c r="BW117" s="833">
        <f>IF(BW119=0,0,(BW118*BW119+BW120*BW121*6)/BW119)</f>
        <v>0</v>
      </c>
      <c r="BX117" s="833">
        <f>IF(BX119=0,0,(BX118*BX119+BX120*BX121*6)/BX119)</f>
        <v>0</v>
      </c>
      <c r="BY117" s="723">
        <f>IF(BW117=0,0,(BX117-BW117)/BW117*100)</f>
        <v>0</v>
      </c>
      <c r="BZ117" s="833">
        <f>IF(BZ119=0,0,(BZ118*BZ119+BZ120*BZ121*6)/BZ119)</f>
        <v>0</v>
      </c>
      <c r="CA117" s="833">
        <f>IF(CA119=0,0,(CA118*CA119+CA120*CA121*6)/CA119)</f>
        <v>0</v>
      </c>
      <c r="CB117" s="723">
        <f>IF(BZ117=0,0,(CA117-BZ117)/BZ117*100)</f>
        <v>0</v>
      </c>
      <c r="CC117" s="833">
        <f>IF(CC119=0,0,(CC118*CC119+CC120*CC121*6)/CC119)</f>
        <v>0</v>
      </c>
      <c r="CD117" s="833">
        <f>IF(CD119=0,0,(CD118*CD119+CD120*CD121*6)/CD119)</f>
        <v>0</v>
      </c>
      <c r="CE117" s="723">
        <f>IF(CC117=0,0,(CD117-CC117)/CC117*100)</f>
        <v>0</v>
      </c>
      <c r="CF117" s="833">
        <f>IF(CF119=0,0,(CF118*CF119+CF120*CF121*6)/CF119)</f>
        <v>0</v>
      </c>
      <c r="CG117" s="833">
        <f>IF(CG119=0,0,(CG118*CG119+CG120*CG121*6)/CG119)</f>
        <v>0</v>
      </c>
      <c r="CH117" s="723">
        <f>IF(CF117=0,0,(CG117-CF117)/CF117*100)</f>
        <v>0</v>
      </c>
      <c r="CI117" s="833">
        <f>IF(CI119=0,0,(CI118*CI119+CI120*CI121*6)/CI119)</f>
        <v>0</v>
      </c>
      <c r="CJ117" s="833">
        <f>IF(CJ119=0,0,(CJ118*CJ119+CJ120*CJ121*6)/CJ119)</f>
        <v>0</v>
      </c>
      <c r="CK117" s="723">
        <f>IF(CI117=0,0,(CJ117-CI117)/CI117*100)</f>
        <v>0</v>
      </c>
      <c r="CL117" s="833">
        <f>IF(CL119=0,0,(CL118*CL119+CL120*CL121*6)/CL119)</f>
        <v>0</v>
      </c>
      <c r="CM117" s="833">
        <f>IF(CM119=0,0,(CM118*CM119+CM120*CM121*6)/CM119)</f>
        <v>0</v>
      </c>
      <c r="CN117" s="723">
        <f>IF(CL117=0,0,(CM117-CL117)/CL117*100)</f>
        <v>0</v>
      </c>
      <c r="CO117" s="833">
        <f>IF(CO119=0,0,(CO118*CO119+CO120*CO121*6)/CO119)</f>
        <v>0</v>
      </c>
      <c r="CP117" s="833">
        <f>IF(CP119=0,0,(CP118*CP119+CP120*CP121*6)/CP119)</f>
        <v>0</v>
      </c>
      <c r="CQ117" s="723">
        <f>IF(CO117=0,0,(CP117-CO117)/CO117*100)</f>
        <v>0</v>
      </c>
      <c r="CR117" s="833">
        <f>IF(CR119=0,0,(CR118*CR119+CR120*CR121*6)/CR119)</f>
        <v>0</v>
      </c>
      <c r="CS117" s="833">
        <f>IF(CS119=0,0,(CS118*CS119+CS120*CS121*6)/CS119)</f>
        <v>0</v>
      </c>
      <c r="CT117" s="723">
        <f>IF(CR117=0,0,(CS117-CR117)/CR117*100)</f>
        <v>0</v>
      </c>
      <c r="CU117" s="833">
        <f>IF(CU119=0,0,(CU118*CU119+CU120*CU121*6)/CU119)</f>
        <v>0</v>
      </c>
      <c r="CV117" s="833">
        <f>IF(CV119=0,0,(CV118*CV119+CV120*CV121*6)/CV119)</f>
        <v>0</v>
      </c>
      <c r="CW117" s="723">
        <f>IF(CU117=0,0,(CV117-CU117)/CU117*100)</f>
        <v>0</v>
      </c>
      <c r="CX117" s="833">
        <f>IF(CX119=0,0,(CX118*CX119+CX120*CX121*6)/CX119)</f>
        <v>0</v>
      </c>
      <c r="CY117" s="833">
        <f>IF(CY119=0,0,(CY118*CY119+CY120*CY121*6)/CY119)</f>
        <v>0</v>
      </c>
      <c r="CZ117" s="723">
        <f>IF(CX117=0,0,(CY117-CX117)/CX117*100)</f>
        <v>0</v>
      </c>
      <c r="DA117" s="833">
        <f>IF(DA119=0,0,(DA118*DA119+DA120*DA121*6)/DA119)</f>
        <v>0</v>
      </c>
      <c r="DB117" s="833">
        <f>IF(DB119=0,0,(DB118*DB119+DB120*DB121*6)/DB119)</f>
        <v>0</v>
      </c>
      <c r="DC117" s="723">
        <f>IF(DA117=0,0,(DB117-DA117)/DA117*100)</f>
        <v>0</v>
      </c>
      <c r="DD117" s="833">
        <f>IF(DD119=0,0,(DD118*DD119+DD120*DD121*6)/DD119)</f>
        <v>0</v>
      </c>
      <c r="DE117" s="833">
        <f>IF(DE119=0,0,(DE118*DE119+DE120*DE121*6)/DE119)</f>
        <v>0</v>
      </c>
      <c r="DF117" s="723">
        <f>IF(DD117=0,0,(DE117-DD117)/DD117*100)</f>
        <v>0</v>
      </c>
      <c r="DG117" s="833">
        <f>IF(DG119=0,0,(DG118*DG119+DG120*DG121*6)/DG119)</f>
        <v>0</v>
      </c>
      <c r="DH117" s="833">
        <f>IF(DH119=0,0,(DH118*DH119+DH120*DH121*6)/DH119)</f>
        <v>0</v>
      </c>
      <c r="DI117" s="723">
        <f>IF(DG117=0,0,(DH117-DG117)/DG117*100)</f>
        <v>0</v>
      </c>
      <c r="DJ117" s="833">
        <f>IF(DJ119=0,0,(DJ118*DJ119+DJ120*DJ121*6)/DJ119)</f>
        <v>0</v>
      </c>
      <c r="DK117" s="833">
        <f>IF(DK119=0,0,(DK118*DK119+DK120*DK121*6)/DK119)</f>
        <v>0</v>
      </c>
      <c r="DL117" s="723">
        <f>IF(DJ117=0,0,(DK117-DJ117)/DJ117*100)</f>
        <v>0</v>
      </c>
      <c r="DM117" s="833">
        <f>IF(DM119=0,0,(DM118*DM119+DM120*DM121*6)/DM119)</f>
        <v>0</v>
      </c>
      <c r="DN117" s="833">
        <f>IF(DN119=0,0,(DN118*DN119+DN120*DN121*6)/DN119)</f>
        <v>0</v>
      </c>
      <c r="DO117" s="723">
        <f>IF(DM117=0,0,(DN117-DM117)/DM117*100)</f>
        <v>0</v>
      </c>
      <c r="DP117" s="833">
        <f>IF(DP119=0,0,(DP118*DP119+DP120*DP121*6)/DP119)</f>
        <v>0</v>
      </c>
      <c r="DQ117" s="833">
        <f>IF(DQ119=0,0,(DQ118*DQ119+DQ120*DQ121*6)/DQ119)</f>
        <v>0</v>
      </c>
      <c r="DR117" s="723">
        <f>IF(DP117=0,0,(DQ117-DP117)/DP117*100)</f>
        <v>0</v>
      </c>
      <c r="DS117" s="833">
        <f>IF(DS119=0,0,(DS118*DS119+DS120*DS121*6)/DS119)</f>
        <v>0</v>
      </c>
      <c r="DT117" s="833">
        <f>IF(DT119=0,0,(DT118*DT119+DT120*DT121*6)/DT119)</f>
        <v>0</v>
      </c>
      <c r="DU117" s="723">
        <f>IF(DS117=0,0,(DT117-DS117)/DS117*100)</f>
        <v>0</v>
      </c>
      <c r="DV117" s="833">
        <f>IF(DV119=0,0,(DV118*DV119+DV120*DV121*6)/DV119)</f>
        <v>0</v>
      </c>
      <c r="DW117" s="833">
        <f>IF(DW119=0,0,(DW118*DW119+DW120*DW121*6)/DW119)</f>
        <v>0</v>
      </c>
      <c r="DX117" s="723">
        <f>IF(DV117=0,0,(DW117-DV117)/DV117*100)</f>
        <v>0</v>
      </c>
      <c r="DY117" s="833">
        <f>IF(DY119=0,0,(DY118*DY119+DY120*DY121*6)/DY119)</f>
        <v>0</v>
      </c>
      <c r="DZ117" s="833">
        <f>IF(DZ119=0,0,(DZ118*DZ119+DZ120*DZ121*6)/DZ119)</f>
        <v>0</v>
      </c>
      <c r="EA117" s="723">
        <f>IF(DY117=0,0,(DZ117-DY117)/DY117*100)</f>
        <v>0</v>
      </c>
      <c r="EB117" s="833">
        <f>IF(EB119=0,0,(EB118*EB119+EB120*EB121*6)/EB119)</f>
        <v>0</v>
      </c>
      <c r="EC117" s="833">
        <f>IF(EC119=0,0,(EC118*EC119+EC120*EC121*6)/EC119)</f>
        <v>0</v>
      </c>
      <c r="ED117" s="723">
        <f>IF(EB117=0,0,(EC117-EB117)/EB117*100)</f>
        <v>0</v>
      </c>
      <c r="EE117" s="833">
        <f>IF(EE119=0,0,(EE118*EE119+EE120*EE121*6)/EE119)</f>
        <v>0</v>
      </c>
      <c r="EF117" s="833">
        <f>IF(EF119=0,0,(EF118*EF119+EF120*EF121*6)/EF119)</f>
        <v>0</v>
      </c>
      <c r="EG117" s="723">
        <f>IF(EE117=0,0,(EF117-EE117)/EE117*100)</f>
        <v>0</v>
      </c>
      <c r="EH117" s="833">
        <f>IF(EH119=0,0,(EH118*EH119+EH120*EH121*6)/EH119)</f>
        <v>0</v>
      </c>
      <c r="EI117" s="833">
        <f>IF(EI119=0,0,(EI118*EI119+EI120*EI121*6)/EI119)</f>
        <v>0</v>
      </c>
      <c r="EJ117" s="723">
        <f>IF(EH117=0,0,(EI117-EH117)/EH117*100)</f>
        <v>0</v>
      </c>
      <c r="EK117" s="833">
        <f>IF(EK119=0,0,(EK118*EK119+EK120*EK121*6)/EK119)</f>
        <v>0</v>
      </c>
      <c r="EL117" s="833">
        <f>IF(EL119=0,0,(EL118*EL119+EL120*EL121*6)/EL119)</f>
        <v>0</v>
      </c>
      <c r="EM117" s="723">
        <f>IF(EK117=0,0,(EL117-EK117)/EK117*100)</f>
        <v>0</v>
      </c>
      <c r="EN117" s="833">
        <f>IF(EN119=0,0,(EN118*EN119+EN120*EN121*6)/EN119)</f>
        <v>0</v>
      </c>
      <c r="EO117" s="833">
        <f>IF(EO119=0,0,(EO118*EO119+EO120*EO121*6)/EO119)</f>
        <v>0</v>
      </c>
      <c r="EP117" s="723">
        <f>IF(EN117=0,0,(EO117-EN117)/EN117*100)</f>
        <v>0</v>
      </c>
      <c r="EQ117" s="833">
        <f>IF(EQ119=0,0,(EQ118*EQ119+EQ120*EQ121*6)/EQ119)</f>
        <v>0</v>
      </c>
      <c r="ER117" s="833">
        <f>IF(ER119=0,0,(ER118*ER119+ER120*ER121*6)/ER119)</f>
        <v>0</v>
      </c>
      <c r="ES117" s="723">
        <f>IF(EQ117=0,0,(ER117-EQ117)/EQ117*100)</f>
        <v>0</v>
      </c>
      <c r="ET117" s="833">
        <f>IF(ET119=0,0,(ET118*ET119+ET120*ET121*6)/ET119)</f>
        <v>0</v>
      </c>
      <c r="EU117" s="833">
        <f>IF(EU119=0,0,(EU118*EU119+EU120*EU121*6)/EU119)</f>
        <v>0</v>
      </c>
      <c r="EV117" s="723">
        <f>IF(ET117=0,0,(EU117-ET117)/ET117*100)</f>
        <v>0</v>
      </c>
      <c r="EW117" s="833">
        <f>IF(EW119=0,0,(EW118*EW119+EW120*EW121*6)/EW119)</f>
        <v>0</v>
      </c>
      <c r="EX117" s="833">
        <f>IF(EX119=0,0,(EX118*EX119+EX120*EX121*6)/EX119)</f>
        <v>0</v>
      </c>
      <c r="EY117" s="723">
        <f>IF(EW117=0,0,(EX117-EW117)/EW117*100)</f>
        <v>0</v>
      </c>
      <c r="EZ117" s="833">
        <f>IF(EZ119=0,0,(EZ118*EZ119+EZ120*EZ121*6)/EZ119)</f>
        <v>0</v>
      </c>
      <c r="FA117" s="833">
        <f>IF(FA119=0,0,(FA118*FA119+FA120*FA121*6)/FA119)</f>
        <v>0</v>
      </c>
      <c r="FB117" s="723">
        <f>IF(EZ117=0,0,(FA117-EZ117)/EZ117*100)</f>
        <v>0</v>
      </c>
      <c r="FC117" s="833">
        <f>IF(FC119=0,0,(FC118*FC119+FC120*FC121*6)/FC119)</f>
        <v>0</v>
      </c>
      <c r="FD117" s="833">
        <f>IF(FD119=0,0,(FD118*FD119+FD120*FD121*6)/FD119)</f>
        <v>0</v>
      </c>
      <c r="FE117" s="723">
        <f>IF(FC117=0,0,(FD117-FC117)/FC117*100)</f>
        <v>0</v>
      </c>
      <c r="FF117" s="833">
        <f>IF(FF119=0,0,(FF118*FF119+FF120*FF121*6)/FF119)</f>
        <v>0</v>
      </c>
      <c r="FG117" s="833">
        <f>IF(FG119=0,0,(FG118*FG119+FG120*FG121*6)/FG119)</f>
        <v>0</v>
      </c>
      <c r="FH117" s="723">
        <f>IF(FF117=0,0,(FG117-FF117)/FF117*100)</f>
        <v>0</v>
      </c>
      <c r="FI117" s="833">
        <f>IF(FI119=0,0,(FI118*FI119+FI120*FI121*6)/FI119)</f>
        <v>0</v>
      </c>
      <c r="FJ117" s="833">
        <f>IF(FJ119=0,0,(FJ118*FJ119+FJ120*FJ121*6)/FJ119)</f>
        <v>0</v>
      </c>
      <c r="FK117" s="723">
        <f>IF(FI117=0,0,(FJ117-FI117)/FI117*100)</f>
        <v>0</v>
      </c>
      <c r="FL117" s="833">
        <f>IF(FL119=0,0,(FL118*FL119+FL120*FL121*6)/FL119)</f>
        <v>0</v>
      </c>
      <c r="FM117" s="833">
        <f>IF(FM119=0,0,(FM118*FM119+FM120*FM121*6)/FM119)</f>
        <v>0</v>
      </c>
      <c r="FN117" s="723">
        <f>IF(FL117=0,0,(FM117-FL117)/FL117*100)</f>
        <v>0</v>
      </c>
      <c r="FO117" s="833">
        <f>IF(FO119=0,0,(FO118*FO119+FO120*FO121*6)/FO119)</f>
        <v>0</v>
      </c>
      <c r="FP117" s="833">
        <f>IF(FP119=0,0,(FP118*FP119+FP120*FP121*6)/FP119)</f>
        <v>0</v>
      </c>
      <c r="FQ117" s="723">
        <f>IF(FO117=0,0,(FP117-FO117)/FO117*100)</f>
        <v>0</v>
      </c>
      <c r="FR117" s="833">
        <f>IF(FR119=0,0,(FR118*FR119+FR120*FR121*6)/FR119)</f>
        <v>0</v>
      </c>
      <c r="FS117" s="833">
        <f>IF(FS119=0,0,(FS118*FS119+FS120*FS121*6)/FS119)</f>
        <v>0</v>
      </c>
      <c r="FT117" s="723">
        <f>IF(FR117=0,0,(FS117-FR117)/FR117*100)</f>
        <v>0</v>
      </c>
      <c r="FU117" s="833">
        <f>IF(FU119=0,0,(FU118*FU119+FU120*FU121*6)/FU119)</f>
        <v>0</v>
      </c>
      <c r="FV117" s="833">
        <f>IF(FV119=0,0,(FV118*FV119+FV120*FV121*6)/FV119)</f>
        <v>0</v>
      </c>
      <c r="FW117" s="723">
        <f>IF(FU117=0,0,(FV117-FU117)/FU117*100)</f>
        <v>0</v>
      </c>
      <c r="FZ117" s="700" t="s">
        <v>1671</v>
      </c>
    </row>
    <row r="118" spans="1:182" ht="14.25" hidden="1" customHeight="1">
      <c r="A118" s="78"/>
      <c r="B118" s="622" t="b" cm="1">
        <f t="array" ref="B118">B117</f>
        <v>0</v>
      </c>
      <c r="C118" s="78"/>
      <c r="D118" s="78"/>
      <c r="E118" s="473">
        <v>15</v>
      </c>
      <c r="F118" s="3" t="str" cm="1">
        <f t="array" aca="1" ref="F118" ca="1">OFFSET(E118,-1,1)</f>
        <v>1</v>
      </c>
      <c r="G118" s="78"/>
      <c r="H118" s="78" t="s">
        <v>1566</v>
      </c>
      <c r="I118" s="78" t="s">
        <v>1627</v>
      </c>
      <c r="J118" s="78"/>
      <c r="K118" s="78"/>
      <c r="L118" s="78"/>
      <c r="M118" s="78"/>
      <c r="N118" s="78"/>
      <c r="O118" s="78"/>
      <c r="P118" s="78"/>
      <c r="Q118" s="78"/>
      <c r="R118" s="78"/>
      <c r="S118" s="78"/>
      <c r="T118" s="365" t="b" cm="1">
        <f t="array" aca="1" ref="T118" ca="1">T117</f>
        <v>1</v>
      </c>
      <c r="U118" s="78"/>
      <c r="V118" s="78"/>
      <c r="W118" s="78"/>
      <c r="X118" s="1094"/>
      <c r="Y118" s="78"/>
      <c r="Z118" s="1064"/>
      <c r="AA118" s="78"/>
      <c r="AB118" s="12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31" t="s">
        <v>1624</v>
      </c>
      <c r="AD118" s="833"/>
      <c r="AE118" s="833"/>
      <c r="AF118" s="723">
        <f>IF(AD118=0,0,(AE118-AD118)/AD118*100)</f>
        <v>0</v>
      </c>
      <c r="AG118" s="833"/>
      <c r="AH118" s="833"/>
      <c r="AI118" s="723">
        <f>IF(AG118=0,0,(AH118-AG118)/AG118*100)</f>
        <v>0</v>
      </c>
      <c r="AJ118" s="833"/>
      <c r="AK118" s="833"/>
      <c r="AL118" s="723">
        <f>IF(AJ118=0,0,(AK118-AJ118)/AJ118*100)</f>
        <v>0</v>
      </c>
      <c r="AM118" s="833"/>
      <c r="AN118" s="833"/>
      <c r="AO118" s="723">
        <f>IF(AM118=0,0,(AN118-AM118)/AM118*100)</f>
        <v>0</v>
      </c>
      <c r="AP118" s="833"/>
      <c r="AQ118" s="833"/>
      <c r="AR118" s="723">
        <f>IF(AP118=0,0,(AQ118-AP118)/AP118*100)</f>
        <v>0</v>
      </c>
      <c r="AS118" s="833"/>
      <c r="AT118" s="833"/>
      <c r="AU118" s="723">
        <f>IF(AS118=0,0,(AT118-AS118)/AS118*100)</f>
        <v>0</v>
      </c>
      <c r="AV118" s="833"/>
      <c r="AW118" s="833"/>
      <c r="AX118" s="723">
        <f>IF(AV118=0,0,(AW118-AV118)/AV118*100)</f>
        <v>0</v>
      </c>
      <c r="AY118" s="833"/>
      <c r="AZ118" s="833"/>
      <c r="BA118" s="723">
        <f>IF(AY118=0,0,(AZ118-AY118)/AY118*100)</f>
        <v>0</v>
      </c>
      <c r="BB118" s="833"/>
      <c r="BC118" s="833"/>
      <c r="BD118" s="723">
        <f>IF(BB118=0,0,(BC118-BB118)/BB118*100)</f>
        <v>0</v>
      </c>
      <c r="BE118" s="833"/>
      <c r="BF118" s="833"/>
      <c r="BG118" s="723">
        <f>IF(BE118=0,0,(BF118-BE118)/BE118*100)</f>
        <v>0</v>
      </c>
      <c r="BH118" s="833"/>
      <c r="BI118" s="833"/>
      <c r="BJ118" s="723">
        <f>IF(BH118=0,0,(BI118-BH118)/BH118*100)</f>
        <v>0</v>
      </c>
      <c r="BK118" s="833"/>
      <c r="BL118" s="833"/>
      <c r="BM118" s="723">
        <f>IF(BK118=0,0,(BL118-BK118)/BK118*100)</f>
        <v>0</v>
      </c>
      <c r="BN118" s="833"/>
      <c r="BO118" s="833"/>
      <c r="BP118" s="723">
        <f>IF(BN118=0,0,(BO118-BN118)/BN118*100)</f>
        <v>0</v>
      </c>
      <c r="BQ118" s="833"/>
      <c r="BR118" s="833"/>
      <c r="BS118" s="723">
        <f>IF(BQ118=0,0,(BR118-BQ118)/BQ118*100)</f>
        <v>0</v>
      </c>
      <c r="BT118" s="833"/>
      <c r="BU118" s="833"/>
      <c r="BV118" s="723">
        <f>IF(BT118=0,0,(BU118-BT118)/BT118*100)</f>
        <v>0</v>
      </c>
      <c r="BW118" s="833"/>
      <c r="BX118" s="833"/>
      <c r="BY118" s="723">
        <f>IF(BW118=0,0,(BX118-BW118)/BW118*100)</f>
        <v>0</v>
      </c>
      <c r="BZ118" s="833"/>
      <c r="CA118" s="833"/>
      <c r="CB118" s="723">
        <f>IF(BZ118=0,0,(CA118-BZ118)/BZ118*100)</f>
        <v>0</v>
      </c>
      <c r="CC118" s="833"/>
      <c r="CD118" s="833"/>
      <c r="CE118" s="723">
        <f>IF(CC118=0,0,(CD118-CC118)/CC118*100)</f>
        <v>0</v>
      </c>
      <c r="CF118" s="833"/>
      <c r="CG118" s="833"/>
      <c r="CH118" s="723">
        <f>IF(CF118=0,0,(CG118-CF118)/CF118*100)</f>
        <v>0</v>
      </c>
      <c r="CI118" s="833"/>
      <c r="CJ118" s="833"/>
      <c r="CK118" s="723">
        <f>IF(CI118=0,0,(CJ118-CI118)/CI118*100)</f>
        <v>0</v>
      </c>
      <c r="CL118" s="833"/>
      <c r="CM118" s="833"/>
      <c r="CN118" s="723">
        <f>IF(CL118=0,0,(CM118-CL118)/CL118*100)</f>
        <v>0</v>
      </c>
      <c r="CO118" s="833"/>
      <c r="CP118" s="833"/>
      <c r="CQ118" s="723">
        <f>IF(CO118=0,0,(CP118-CO118)/CO118*100)</f>
        <v>0</v>
      </c>
      <c r="CR118" s="833"/>
      <c r="CS118" s="833"/>
      <c r="CT118" s="723">
        <f>IF(CR118=0,0,(CS118-CR118)/CR118*100)</f>
        <v>0</v>
      </c>
      <c r="CU118" s="833"/>
      <c r="CV118" s="833"/>
      <c r="CW118" s="723">
        <f>IF(CU118=0,0,(CV118-CU118)/CU118*100)</f>
        <v>0</v>
      </c>
      <c r="CX118" s="833"/>
      <c r="CY118" s="833"/>
      <c r="CZ118" s="723">
        <f>IF(CX118=0,0,(CY118-CX118)/CX118*100)</f>
        <v>0</v>
      </c>
      <c r="DA118" s="833"/>
      <c r="DB118" s="833"/>
      <c r="DC118" s="723">
        <f>IF(DA118=0,0,(DB118-DA118)/DA118*100)</f>
        <v>0</v>
      </c>
      <c r="DD118" s="833"/>
      <c r="DE118" s="833"/>
      <c r="DF118" s="723">
        <f>IF(DD118=0,0,(DE118-DD118)/DD118*100)</f>
        <v>0</v>
      </c>
      <c r="DG118" s="833"/>
      <c r="DH118" s="833"/>
      <c r="DI118" s="723">
        <f>IF(DG118=0,0,(DH118-DG118)/DG118*100)</f>
        <v>0</v>
      </c>
      <c r="DJ118" s="833"/>
      <c r="DK118" s="833"/>
      <c r="DL118" s="723">
        <f>IF(DJ118=0,0,(DK118-DJ118)/DJ118*100)</f>
        <v>0</v>
      </c>
      <c r="DM118" s="833"/>
      <c r="DN118" s="833"/>
      <c r="DO118" s="723">
        <f>IF(DM118=0,0,(DN118-DM118)/DM118*100)</f>
        <v>0</v>
      </c>
      <c r="DP118" s="833"/>
      <c r="DQ118" s="833"/>
      <c r="DR118" s="723">
        <f>IF(DP118=0,0,(DQ118-DP118)/DP118*100)</f>
        <v>0</v>
      </c>
      <c r="DS118" s="833"/>
      <c r="DT118" s="833"/>
      <c r="DU118" s="723">
        <f>IF(DS118=0,0,(DT118-DS118)/DS118*100)</f>
        <v>0</v>
      </c>
      <c r="DV118" s="833"/>
      <c r="DW118" s="833"/>
      <c r="DX118" s="723">
        <f>IF(DV118=0,0,(DW118-DV118)/DV118*100)</f>
        <v>0</v>
      </c>
      <c r="DY118" s="833"/>
      <c r="DZ118" s="833"/>
      <c r="EA118" s="723">
        <f>IF(DY118=0,0,(DZ118-DY118)/DY118*100)</f>
        <v>0</v>
      </c>
      <c r="EB118" s="833"/>
      <c r="EC118" s="833"/>
      <c r="ED118" s="723">
        <f>IF(EB118=0,0,(EC118-EB118)/EB118*100)</f>
        <v>0</v>
      </c>
      <c r="EE118" s="833"/>
      <c r="EF118" s="833"/>
      <c r="EG118" s="723">
        <f>IF(EE118=0,0,(EF118-EE118)/EE118*100)</f>
        <v>0</v>
      </c>
      <c r="EH118" s="833"/>
      <c r="EI118" s="833"/>
      <c r="EJ118" s="723">
        <f>IF(EH118=0,0,(EI118-EH118)/EH118*100)</f>
        <v>0</v>
      </c>
      <c r="EK118" s="833"/>
      <c r="EL118" s="833"/>
      <c r="EM118" s="723">
        <f>IF(EK118=0,0,(EL118-EK118)/EK118*100)</f>
        <v>0</v>
      </c>
      <c r="EN118" s="833"/>
      <c r="EO118" s="833"/>
      <c r="EP118" s="723">
        <f>IF(EN118=0,0,(EO118-EN118)/EN118*100)</f>
        <v>0</v>
      </c>
      <c r="EQ118" s="833"/>
      <c r="ER118" s="833"/>
      <c r="ES118" s="723">
        <f>IF(EQ118=0,0,(ER118-EQ118)/EQ118*100)</f>
        <v>0</v>
      </c>
      <c r="ET118" s="833"/>
      <c r="EU118" s="833"/>
      <c r="EV118" s="723">
        <f>IF(ET118=0,0,(EU118-ET118)/ET118*100)</f>
        <v>0</v>
      </c>
      <c r="EW118" s="833"/>
      <c r="EX118" s="833"/>
      <c r="EY118" s="723">
        <f>IF(EW118=0,0,(EX118-EW118)/EW118*100)</f>
        <v>0</v>
      </c>
      <c r="EZ118" s="833"/>
      <c r="FA118" s="833"/>
      <c r="FB118" s="723">
        <f>IF(EZ118=0,0,(FA118-EZ118)/EZ118*100)</f>
        <v>0</v>
      </c>
      <c r="FC118" s="833"/>
      <c r="FD118" s="833"/>
      <c r="FE118" s="723">
        <f>IF(FC118=0,0,(FD118-FC118)/FC118*100)</f>
        <v>0</v>
      </c>
      <c r="FF118" s="833"/>
      <c r="FG118" s="833"/>
      <c r="FH118" s="723">
        <f>IF(FF118=0,0,(FG118-FF118)/FF118*100)</f>
        <v>0</v>
      </c>
      <c r="FI118" s="833"/>
      <c r="FJ118" s="833"/>
      <c r="FK118" s="723">
        <f>IF(FI118=0,0,(FJ118-FI118)/FI118*100)</f>
        <v>0</v>
      </c>
      <c r="FL118" s="833"/>
      <c r="FM118" s="833"/>
      <c r="FN118" s="723">
        <f>IF(FL118=0,0,(FM118-FL118)/FL118*100)</f>
        <v>0</v>
      </c>
      <c r="FO118" s="833"/>
      <c r="FP118" s="833"/>
      <c r="FQ118" s="723">
        <f>IF(FO118=0,0,(FP118-FO118)/FO118*100)</f>
        <v>0</v>
      </c>
      <c r="FR118" s="833"/>
      <c r="FS118" s="833"/>
      <c r="FT118" s="723">
        <f>IF(FR118=0,0,(FS118-FR118)/FR118*100)</f>
        <v>0</v>
      </c>
      <c r="FU118" s="833"/>
      <c r="FV118" s="833"/>
      <c r="FW118" s="723">
        <f>IF(FU118=0,0,(FV118-FU118)/FU118*100)</f>
        <v>0</v>
      </c>
      <c r="FZ118" s="700" t="s">
        <v>1672</v>
      </c>
    </row>
    <row r="119" spans="1:182" ht="14.25" hidden="1" customHeight="1">
      <c r="A119" s="78"/>
      <c r="B119" s="622" t="b" cm="1">
        <f t="array" ref="B119">B118</f>
        <v>0</v>
      </c>
      <c r="C119" s="78"/>
      <c r="D119" s="78"/>
      <c r="E119" s="473">
        <v>15</v>
      </c>
      <c r="F119" s="3" t="str" cm="1">
        <f t="array" aca="1" ref="F119" ca="1">OFFSET(E119,-1,1)</f>
        <v>1</v>
      </c>
      <c r="G119" s="44" t="s">
        <v>1673</v>
      </c>
      <c r="H119" s="78" t="s">
        <v>1661</v>
      </c>
      <c r="I119" s="78" t="s">
        <v>1627</v>
      </c>
      <c r="J119" s="78"/>
      <c r="K119" s="78"/>
      <c r="L119" s="78"/>
      <c r="M119" s="78"/>
      <c r="N119" s="78"/>
      <c r="O119" s="78"/>
      <c r="P119" s="78"/>
      <c r="Q119" s="78"/>
      <c r="R119" s="78"/>
      <c r="S119" s="78"/>
      <c r="T119" s="365" t="b" cm="1">
        <f t="array" aca="1" ref="T119" ca="1">T118</f>
        <v>1</v>
      </c>
      <c r="U119" s="78"/>
      <c r="V119" s="78"/>
      <c r="W119" s="78"/>
      <c r="X119" s="1094"/>
      <c r="Y119" s="78"/>
      <c r="Z119" s="1064"/>
      <c r="AA119" s="78"/>
      <c r="AB119" s="124" t="str">
        <f>"объём "&amp;IF(Q92="Водоснабжение","потребления холодной воды","водоотведения")</f>
        <v>объём потребления холодной воды</v>
      </c>
      <c r="AC119" s="31" t="s">
        <v>534</v>
      </c>
      <c r="AD119" s="849">
        <f ca="1">IF(AND(method_reg="Метод индексации",god&lt;&gt;first_year),SUMIFS(INDEX('Калькуляция (МИ корр)'!$AJ$25:$BC$459,,MATCH(AD$8,'Калькуляция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(МИ)'!$AJ$25:$BC$459,,MATCH(AD$8,'Калькуляция (МИ)'!$AJ$8:$BC$8,0)),'Калькуляция (МИ)'!$F$25:$F$459,$F119,'Калькуляция (МИ)'!$G$25:$G$459,$G119))))</f>
        <v>240.04650000000004</v>
      </c>
      <c r="AE119" s="849">
        <f ca="1">IF(AND(method_reg="Метод индексации",god&lt;&gt;first_year),SUMIFS(INDEX('Калькуляция (МИ корр)'!$AJ$25:$BC$459,,MATCH(AE$8,'Калькуляция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(МИ)'!$AJ$25:$BC$459,,MATCH(AE$8,'Калькуляция (МИ)'!$AJ$8:$BC$8,0)),'Калькуляция (МИ)'!$F$25:$F$459,$F119,'Калькуляция (МИ)'!$G$25:$G$459,$G119))))</f>
        <v>240.4609999999999</v>
      </c>
      <c r="AF119" s="724">
        <f ca="1">IF(AD119=0,0,(AE119-AD119)/AD119*100)</f>
        <v>0.1726748775757454</v>
      </c>
      <c r="AG119" s="849">
        <f ca="1">IF(AND(method_reg="Метод индексации",god&lt;&gt;first_year),SUMIFS(INDEX('Калькуляция (МИ корр)'!$AJ$25:$BC$459,,MATCH(AG$8,'Калькуляция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(МИ)'!$AJ$25:$BC$459,,MATCH(AG$8,'Калькуляция (МИ)'!$AJ$8:$BC$8,0)),'Калькуляция (МИ)'!$F$25:$F$459,$F119,'Калькуляция (МИ)'!$G$25:$G$459,$G119))))</f>
        <v>0</v>
      </c>
      <c r="AH119" s="849">
        <f ca="1">IF(AND(method_reg="Метод индексации",god&lt;&gt;first_year),SUMIFS(INDEX('Калькуляция (МИ корр)'!$AJ$25:$BC$459,,MATCH(AH$8,'Калькуляция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(МИ)'!$AJ$25:$BC$459,,MATCH(AH$8,'Калькуляция (МИ)'!$AJ$8:$BC$8,0)),'Калькуляция (МИ)'!$F$25:$F$459,$F119,'Калькуляция (МИ)'!$G$25:$G$459,$G119))))</f>
        <v>0</v>
      </c>
      <c r="AI119" s="724">
        <f ca="1">IF(AG119=0,0,(AH119-AG119)/AG119*100)</f>
        <v>0</v>
      </c>
      <c r="AJ119" s="849">
        <f ca="1">IF(AND(method_reg="Метод индексации",god&lt;&gt;first_year),SUMIFS(INDEX('Калькуляция (МИ корр)'!$AJ$25:$BC$459,,MATCH(AJ$8,'Калькуляция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(МИ)'!$AJ$25:$BC$459,,MATCH(AJ$8,'Калькуляция (МИ)'!$AJ$8:$BC$8,0)),'Калькуляция (МИ)'!$F$25:$F$459,$F119,'Калькуляция (МИ)'!$G$25:$G$459,$G119))))</f>
        <v>0</v>
      </c>
      <c r="AK119" s="849">
        <f ca="1">IF(AND(method_reg="Метод индексации",god&lt;&gt;first_year),SUMIFS(INDEX('Калькуляция (МИ корр)'!$AJ$25:$BC$459,,MATCH(AK$8,'Калькуляция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(МИ)'!$AJ$25:$BC$459,,MATCH(AK$8,'Калькуляция (МИ)'!$AJ$8:$BC$8,0)),'Калькуляция (МИ)'!$F$25:$F$459,$F119,'Калькуляция (МИ)'!$G$25:$G$459,$G119))))</f>
        <v>0</v>
      </c>
      <c r="AL119" s="724">
        <f ca="1">IF(AJ119=0,0,(AK119-AJ119)/AJ119*100)</f>
        <v>0</v>
      </c>
      <c r="AM119" s="849">
        <f ca="1">IF(AND(method_reg="Метод индексации",god&lt;&gt;first_year),SUMIFS(INDEX('Калькуляция (МИ корр)'!$AJ$25:$BC$459,,MATCH(AM$8,'Калькуляция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(МИ)'!$AJ$25:$BC$459,,MATCH(AM$8,'Калькуляция (МИ)'!$AJ$8:$BC$8,0)),'Калькуляция (МИ)'!$F$25:$F$459,$F119,'Калькуляция (МИ)'!$G$25:$G$459,$G119))))</f>
        <v>0</v>
      </c>
      <c r="AN119" s="849">
        <f ca="1">IF(AND(method_reg="Метод индексации",god&lt;&gt;first_year),SUMIFS(INDEX('Калькуляция (МИ корр)'!$AJ$25:$BC$459,,MATCH(AN$8,'Калькуляция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(МИ)'!$AJ$25:$BC$459,,MATCH(AN$8,'Калькуляция (МИ)'!$AJ$8:$BC$8,0)),'Калькуляция (МИ)'!$F$25:$F$459,$F119,'Калькуляция (МИ)'!$G$25:$G$459,$G119))))</f>
        <v>0</v>
      </c>
      <c r="AO119" s="724">
        <f ca="1">IF(AM119=0,0,(AN119-AM119)/AM119*100)</f>
        <v>0</v>
      </c>
      <c r="AP119" s="849">
        <f ca="1">IF(AND(method_reg="Метод индексации",god&lt;&gt;first_year),SUMIFS(INDEX('Калькуляция (МИ корр)'!$AJ$25:$BC$459,,MATCH(AP$8,'Калькуляция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(МИ)'!$AJ$25:$BC$459,,MATCH(AP$8,'Калькуляция (МИ)'!$AJ$8:$BC$8,0)),'Калькуляция (МИ)'!$F$25:$F$459,$F119,'Калькуляция (МИ)'!$G$25:$G$459,$G119))))</f>
        <v>0</v>
      </c>
      <c r="AQ119" s="849">
        <f ca="1">IF(AND(method_reg="Метод индексации",god&lt;&gt;first_year),SUMIFS(INDEX('Калькуляция (МИ корр)'!$AJ$25:$BC$459,,MATCH(AQ$8,'Калькуляция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(МИ)'!$AJ$25:$BC$459,,MATCH(AQ$8,'Калькуляция (МИ)'!$AJ$8:$BC$8,0)),'Калькуляция (МИ)'!$F$25:$F$459,$F119,'Калькуляция (МИ)'!$G$25:$G$459,$G119))))</f>
        <v>0</v>
      </c>
      <c r="AR119" s="724">
        <f ca="1">IF(AP119=0,0,(AQ119-AP119)/AP119*100)</f>
        <v>0</v>
      </c>
      <c r="AS119" s="849">
        <f ca="1">IF(AND(method_reg="Метод индексации",god&lt;&gt;first_year),SUMIFS(INDEX('Калькуляция (МИ корр)'!$AJ$25:$BC$459,,MATCH(AS$8,'Калькуляция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(МИ)'!$AJ$25:$BC$459,,MATCH(AS$8,'Калькуляция (МИ)'!$AJ$8:$BC$8,0)),'Калькуляция (МИ)'!$F$25:$F$459,$F119,'Калькуляция (МИ)'!$G$25:$G$459,$G119))))</f>
        <v>0</v>
      </c>
      <c r="AT119" s="849">
        <f ca="1">IF(AND(method_reg="Метод индексации",god&lt;&gt;first_year),SUMIFS(INDEX('Калькуляция (МИ корр)'!$AJ$25:$BC$459,,MATCH(AT$8,'Калькуляция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(МИ)'!$AJ$25:$BC$459,,MATCH(AT$8,'Калькуляция (МИ)'!$AJ$8:$BC$8,0)),'Калькуляция (МИ)'!$F$25:$F$459,$F119,'Калькуляция (МИ)'!$G$25:$G$459,$G119))))</f>
        <v>0</v>
      </c>
      <c r="AU119" s="724">
        <f ca="1">IF(AS119=0,0,(AT119-AS119)/AS119*100)</f>
        <v>0</v>
      </c>
      <c r="AV119" s="849">
        <f ca="1">IF(AND(method_reg="Метод индексации",god&lt;&gt;first_year),SUMIFS(INDEX('Калькуляция (МИ корр)'!$AJ$25:$BC$459,,MATCH(AV$8,'Калькуляция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(МИ)'!$AJ$25:$BC$459,,MATCH(AV$8,'Калькуляция (МИ)'!$AJ$8:$BC$8,0)),'Калькуляция (МИ)'!$F$25:$F$459,$F119,'Калькуляция (МИ)'!$G$25:$G$459,$G119))))</f>
        <v>0</v>
      </c>
      <c r="AW119" s="849">
        <f ca="1">IF(AND(method_reg="Метод индексации",god&lt;&gt;first_year),SUMIFS(INDEX('Калькуляция (МИ корр)'!$AJ$25:$BC$459,,MATCH(AW$8,'Калькуляция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(МИ)'!$AJ$25:$BC$459,,MATCH(AW$8,'Калькуляция (МИ)'!$AJ$8:$BC$8,0)),'Калькуляция (МИ)'!$F$25:$F$459,$F119,'Калькуляция (МИ)'!$G$25:$G$459,$G119))))</f>
        <v>0</v>
      </c>
      <c r="AX119" s="724">
        <f ca="1">IF(AV119=0,0,(AW119-AV119)/AV119*100)</f>
        <v>0</v>
      </c>
      <c r="AY119" s="849">
        <f ca="1">IF(AND(method_reg="Метод индексации",god&lt;&gt;first_year),SUMIFS(INDEX('Калькуляция (МИ корр)'!$AJ$25:$BC$459,,MATCH(AY$8,'Калькуляция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(МИ)'!$AJ$25:$BC$459,,MATCH(AY$8,'Калькуляция (МИ)'!$AJ$8:$BC$8,0)),'Калькуляция (МИ)'!$F$25:$F$459,$F119,'Калькуляция (МИ)'!$G$25:$G$459,$G119))))</f>
        <v>0</v>
      </c>
      <c r="AZ119" s="849">
        <f ca="1">IF(AND(method_reg="Метод индексации",god&lt;&gt;first_year),SUMIFS(INDEX('Калькуляция (МИ корр)'!$AJ$25:$BC$459,,MATCH(AZ$8,'Калькуляция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(МИ)'!$AJ$25:$BC$459,,MATCH(AZ$8,'Калькуляция (МИ)'!$AJ$8:$BC$8,0)),'Калькуляция (МИ)'!$F$25:$F$459,$F119,'Калькуляция (МИ)'!$G$25:$G$459,$G119))))</f>
        <v>0</v>
      </c>
      <c r="BA119" s="724">
        <f ca="1">IF(AY119=0,0,(AZ119-AY119)/AY119*100)</f>
        <v>0</v>
      </c>
      <c r="BB119" s="849">
        <f ca="1">IF(AND(method_reg="Метод индексации",god&lt;&gt;first_year),SUMIFS(INDEX('Калькуляция (МИ корр)'!$AJ$25:$BC$459,,MATCH(BB$8,'Калькуляция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(МИ)'!$AJ$25:$BC$459,,MATCH(BB$8,'Калькуляция (МИ)'!$AJ$8:$BC$8,0)),'Калькуляция (МИ)'!$F$25:$F$459,$F119,'Калькуляция (МИ)'!$G$25:$G$459,$G119))))</f>
        <v>0</v>
      </c>
      <c r="BC119" s="849">
        <f ca="1">IF(AND(method_reg="Метод индексации",god&lt;&gt;first_year),SUMIFS(INDEX('Калькуляция (МИ корр)'!$AJ$25:$BC$459,,MATCH(BC$8,'Калькуляция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(МИ)'!$AJ$25:$BC$459,,MATCH(BC$8,'Калькуляция (МИ)'!$AJ$8:$BC$8,0)),'Калькуляция (МИ)'!$F$25:$F$459,$F119,'Калькуляция (МИ)'!$G$25:$G$459,$G119))))</f>
        <v>0</v>
      </c>
      <c r="BD119" s="724">
        <f ca="1">IF(BB119=0,0,(BC119-BB119)/BB119*100)</f>
        <v>0</v>
      </c>
      <c r="BE119" s="849">
        <f ca="1">IF(AND(method_reg="Метод индексации",god&lt;&gt;first_year),SUMIFS(INDEX('Калькуляция (МИ корр)'!$AJ$25:$BC$459,,MATCH(BE$8,'Калькуляция (МИ корр)'!$AJ$8:$BC$8,0)),'Калькуляция (МИ корр)'!$F$25:$F$459,$F119,'Калькуляция (МИ корр)'!$G$25:$G$459,$G119),IF(method_reg="Метод экономически обоснованных расходов",SUMIFS('Калькуляция (МЭОР)'!$AJ$25:$AJ$282,'Калькуляция (МЭОР)'!$F$25:$F$282,$F119,'Калькуляция (МЭОР)'!$G$25:$G$282,$G119),IF(method_reg="Метод сравнения аналогов",SUMIFS('Калькуляция (МСА)'!$AE$25:$AE$84,'Калькуляция (МСА)'!$F$25:$F$84,$F119,'Калькуляция (МСА)'!$G$25:$G$84,$G119),SUMIFS(INDEX('Калькуляция (МИ)'!$AJ$25:$BC$459,,MATCH(BE$8,'Калькуляция (МИ)'!$AJ$8:$BC$8,0)),'Калькуляция (МИ)'!$F$25:$F$459,$F119,'Калькуляция (МИ)'!$G$25:$G$459,$G119))))</f>
        <v>0</v>
      </c>
      <c r="BF119" s="849">
        <f ca="1">IF(AND(method_reg="Метод индексации",god&lt;&gt;first_year),SUMIFS(INDEX('Калькуляция (МИ корр)'!$AJ$25:$BC$459,,MATCH(BF$8,'Калькуляция (МИ корр)'!$AJ$8:$BC$8,0)),'Калькуляция (МИ корр)'!$F$25:$F$459,$F119,'Калькуляция (МИ корр)'!$G$25:$G$459,$G119),IF(method_reg="Метод экономически обоснованных расходов",SUMIFS('Калькуляция (МЭОР)'!$AK$25:$AK$282,'Калькуляция (МЭОР)'!$F$25:$F$282,$F119,'Калькуляция (МЭОР)'!$G$25:$G$282,$G119),IF(method_reg="Метод сравнения аналогов",SUMIFS('Калькуляция (МСА)'!$AF$25:$AF$84,'Калькуляция (МСА)'!$F$25:$F$84,$F119,'Калькуляция (МСА)'!$G$25:$G$84,$G119),SUMIFS(INDEX('Калькуляция (МИ)'!$AJ$25:$BC$459,,MATCH(BF$8,'Калькуляция (МИ)'!$AJ$8:$BC$8,0)),'Калькуляция (МИ)'!$F$25:$F$459,$F119,'Калькуляция (МИ)'!$G$25:$G$459,$G119))))</f>
        <v>0</v>
      </c>
      <c r="BG119" s="724">
        <f ca="1">IF(BE119=0,0,(BF119-BE119)/BE119*100)</f>
        <v>0</v>
      </c>
      <c r="BH119" s="849"/>
      <c r="BI119" s="849"/>
      <c r="BJ119" s="724">
        <f>IF(BH119=0,0,(BI119-BH119)/BH119*100)</f>
        <v>0</v>
      </c>
      <c r="BK119" s="849"/>
      <c r="BL119" s="849"/>
      <c r="BM119" s="724">
        <f>IF(BK119=0,0,(BL119-BK119)/BK119*100)</f>
        <v>0</v>
      </c>
      <c r="BN119" s="849"/>
      <c r="BO119" s="849"/>
      <c r="BP119" s="724">
        <f>IF(BN119=0,0,(BO119-BN119)/BN119*100)</f>
        <v>0</v>
      </c>
      <c r="BQ119" s="849"/>
      <c r="BR119" s="849"/>
      <c r="BS119" s="724">
        <f>IF(BQ119=0,0,(BR119-BQ119)/BQ119*100)</f>
        <v>0</v>
      </c>
      <c r="BT119" s="849"/>
      <c r="BU119" s="849"/>
      <c r="BV119" s="724">
        <f>IF(BT119=0,0,(BU119-BT119)/BT119*100)</f>
        <v>0</v>
      </c>
      <c r="BW119" s="849"/>
      <c r="BX119" s="849"/>
      <c r="BY119" s="724">
        <f>IF(BW119=0,0,(BX119-BW119)/BW119*100)</f>
        <v>0</v>
      </c>
      <c r="BZ119" s="849"/>
      <c r="CA119" s="849"/>
      <c r="CB119" s="724">
        <f>IF(BZ119=0,0,(CA119-BZ119)/BZ119*100)</f>
        <v>0</v>
      </c>
      <c r="CC119" s="849"/>
      <c r="CD119" s="849"/>
      <c r="CE119" s="724">
        <f>IF(CC119=0,0,(CD119-CC119)/CC119*100)</f>
        <v>0</v>
      </c>
      <c r="CF119" s="849"/>
      <c r="CG119" s="849"/>
      <c r="CH119" s="724">
        <f>IF(CF119=0,0,(CG119-CF119)/CF119*100)</f>
        <v>0</v>
      </c>
      <c r="CI119" s="849"/>
      <c r="CJ119" s="849"/>
      <c r="CK119" s="724">
        <f>IF(CI119=0,0,(CJ119-CI119)/CI119*100)</f>
        <v>0</v>
      </c>
      <c r="CL119" s="849"/>
      <c r="CM119" s="849"/>
      <c r="CN119" s="724">
        <f>IF(CL119=0,0,(CM119-CL119)/CL119*100)</f>
        <v>0</v>
      </c>
      <c r="CO119" s="849"/>
      <c r="CP119" s="849"/>
      <c r="CQ119" s="724">
        <f>IF(CO119=0,0,(CP119-CO119)/CO119*100)</f>
        <v>0</v>
      </c>
      <c r="CR119" s="849"/>
      <c r="CS119" s="849"/>
      <c r="CT119" s="724">
        <f>IF(CR119=0,0,(CS119-CR119)/CR119*100)</f>
        <v>0</v>
      </c>
      <c r="CU119" s="849"/>
      <c r="CV119" s="849"/>
      <c r="CW119" s="724">
        <f>IF(CU119=0,0,(CV119-CU119)/CU119*100)</f>
        <v>0</v>
      </c>
      <c r="CX119" s="849"/>
      <c r="CY119" s="849"/>
      <c r="CZ119" s="724">
        <f>IF(CX119=0,0,(CY119-CX119)/CX119*100)</f>
        <v>0</v>
      </c>
      <c r="DA119" s="849"/>
      <c r="DB119" s="849"/>
      <c r="DC119" s="724">
        <f>IF(DA119=0,0,(DB119-DA119)/DA119*100)</f>
        <v>0</v>
      </c>
      <c r="DD119" s="849"/>
      <c r="DE119" s="849"/>
      <c r="DF119" s="724">
        <f>IF(DD119=0,0,(DE119-DD119)/DD119*100)</f>
        <v>0</v>
      </c>
      <c r="DG119" s="849"/>
      <c r="DH119" s="849"/>
      <c r="DI119" s="724">
        <f>IF(DG119=0,0,(DH119-DG119)/DG119*100)</f>
        <v>0</v>
      </c>
      <c r="DJ119" s="849"/>
      <c r="DK119" s="849"/>
      <c r="DL119" s="724">
        <f>IF(DJ119=0,0,(DK119-DJ119)/DJ119*100)</f>
        <v>0</v>
      </c>
      <c r="DM119" s="849"/>
      <c r="DN119" s="849"/>
      <c r="DO119" s="724">
        <f>IF(DM119=0,0,(DN119-DM119)/DM119*100)</f>
        <v>0</v>
      </c>
      <c r="DP119" s="849"/>
      <c r="DQ119" s="849"/>
      <c r="DR119" s="724">
        <f>IF(DP119=0,0,(DQ119-DP119)/DP119*100)</f>
        <v>0</v>
      </c>
      <c r="DS119" s="849"/>
      <c r="DT119" s="849"/>
      <c r="DU119" s="724">
        <f>IF(DS119=0,0,(DT119-DS119)/DS119*100)</f>
        <v>0</v>
      </c>
      <c r="DV119" s="849"/>
      <c r="DW119" s="849"/>
      <c r="DX119" s="724">
        <f>IF(DV119=0,0,(DW119-DV119)/DV119*100)</f>
        <v>0</v>
      </c>
      <c r="DY119" s="849"/>
      <c r="DZ119" s="849"/>
      <c r="EA119" s="724">
        <f>IF(DY119=0,0,(DZ119-DY119)/DY119*100)</f>
        <v>0</v>
      </c>
      <c r="EB119" s="849"/>
      <c r="EC119" s="849"/>
      <c r="ED119" s="724">
        <f>IF(EB119=0,0,(EC119-EB119)/EB119*100)</f>
        <v>0</v>
      </c>
      <c r="EE119" s="849"/>
      <c r="EF119" s="849"/>
      <c r="EG119" s="724">
        <f>IF(EE119=0,0,(EF119-EE119)/EE119*100)</f>
        <v>0</v>
      </c>
      <c r="EH119" s="849"/>
      <c r="EI119" s="849"/>
      <c r="EJ119" s="724">
        <f>IF(EH119=0,0,(EI119-EH119)/EH119*100)</f>
        <v>0</v>
      </c>
      <c r="EK119" s="849"/>
      <c r="EL119" s="849"/>
      <c r="EM119" s="724">
        <f>IF(EK119=0,0,(EL119-EK119)/EK119*100)</f>
        <v>0</v>
      </c>
      <c r="EN119" s="849"/>
      <c r="EO119" s="849"/>
      <c r="EP119" s="724">
        <f>IF(EN119=0,0,(EO119-EN119)/EN119*100)</f>
        <v>0</v>
      </c>
      <c r="EQ119" s="849"/>
      <c r="ER119" s="849"/>
      <c r="ES119" s="724">
        <f>IF(EQ119=0,0,(ER119-EQ119)/EQ119*100)</f>
        <v>0</v>
      </c>
      <c r="ET119" s="849"/>
      <c r="EU119" s="849"/>
      <c r="EV119" s="724">
        <f>IF(ET119=0,0,(EU119-ET119)/ET119*100)</f>
        <v>0</v>
      </c>
      <c r="EW119" s="849"/>
      <c r="EX119" s="849"/>
      <c r="EY119" s="724">
        <f>IF(EW119=0,0,(EX119-EW119)/EW119*100)</f>
        <v>0</v>
      </c>
      <c r="EZ119" s="849"/>
      <c r="FA119" s="849"/>
      <c r="FB119" s="724">
        <f>IF(EZ119=0,0,(FA119-EZ119)/EZ119*100)</f>
        <v>0</v>
      </c>
      <c r="FC119" s="849"/>
      <c r="FD119" s="849"/>
      <c r="FE119" s="724">
        <f>IF(FC119=0,0,(FD119-FC119)/FC119*100)</f>
        <v>0</v>
      </c>
      <c r="FF119" s="849"/>
      <c r="FG119" s="849"/>
      <c r="FH119" s="724">
        <f>IF(FF119=0,0,(FG119-FF119)/FF119*100)</f>
        <v>0</v>
      </c>
      <c r="FI119" s="849"/>
      <c r="FJ119" s="849"/>
      <c r="FK119" s="724">
        <f>IF(FI119=0,0,(FJ119-FI119)/FI119*100)</f>
        <v>0</v>
      </c>
      <c r="FL119" s="849"/>
      <c r="FM119" s="849"/>
      <c r="FN119" s="724">
        <f>IF(FL119=0,0,(FM119-FL119)/FL119*100)</f>
        <v>0</v>
      </c>
      <c r="FO119" s="849"/>
      <c r="FP119" s="849"/>
      <c r="FQ119" s="724">
        <f>IF(FO119=0,0,(FP119-FO119)/FO119*100)</f>
        <v>0</v>
      </c>
      <c r="FR119" s="849"/>
      <c r="FS119" s="849"/>
      <c r="FT119" s="724">
        <f>IF(FR119=0,0,(FS119-FR119)/FR119*100)</f>
        <v>0</v>
      </c>
      <c r="FU119" s="849"/>
      <c r="FV119" s="849"/>
      <c r="FW119" s="724">
        <f>IF(FU119=0,0,(FV119-FU119)/FU119*100)</f>
        <v>0</v>
      </c>
      <c r="FZ119" s="700" t="s">
        <v>1674</v>
      </c>
    </row>
    <row r="120" spans="1:182" ht="21.75" hidden="1" customHeight="1">
      <c r="A120" s="78"/>
      <c r="B120" s="622" t="b" cm="1">
        <f t="array" ref="B120">B119</f>
        <v>0</v>
      </c>
      <c r="C120" s="78"/>
      <c r="D120" s="78"/>
      <c r="E120" s="473">
        <v>22.5</v>
      </c>
      <c r="F120" s="3" t="str" cm="1">
        <f t="array" aca="1" ref="F120" ca="1">OFFSET(E120,-1,1)</f>
        <v>1</v>
      </c>
      <c r="G120" s="78"/>
      <c r="H120" s="78" t="s">
        <v>1663</v>
      </c>
      <c r="I120" s="78" t="s">
        <v>1627</v>
      </c>
      <c r="J120" s="78"/>
      <c r="K120" s="78"/>
      <c r="L120" s="78"/>
      <c r="M120" s="78"/>
      <c r="N120" s="78"/>
      <c r="O120" s="78"/>
      <c r="P120" s="78"/>
      <c r="Q120" s="78"/>
      <c r="R120" s="78"/>
      <c r="S120" s="78"/>
      <c r="T120" s="365" t="b" cm="1">
        <f t="array" aca="1" ref="T120" ca="1">T119</f>
        <v>1</v>
      </c>
      <c r="U120" s="78"/>
      <c r="V120" s="78"/>
      <c r="W120" s="78"/>
      <c r="X120" s="1094"/>
      <c r="Y120" s="78"/>
      <c r="Z120" s="1064"/>
      <c r="AA120" s="78"/>
      <c r="AB120" s="12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31" t="s">
        <v>1664</v>
      </c>
      <c r="AD120" s="833"/>
      <c r="AE120" s="833"/>
      <c r="AF120" s="723">
        <f>IF(AD120=0,0,(AE120-AD120)/AD120*100)</f>
        <v>0</v>
      </c>
      <c r="AG120" s="833"/>
      <c r="AH120" s="833"/>
      <c r="AI120" s="723">
        <f>IF(AG120=0,0,(AH120-AG120)/AG120*100)</f>
        <v>0</v>
      </c>
      <c r="AJ120" s="833"/>
      <c r="AK120" s="833"/>
      <c r="AL120" s="723">
        <f>IF(AJ120=0,0,(AK120-AJ120)/AJ120*100)</f>
        <v>0</v>
      </c>
      <c r="AM120" s="833"/>
      <c r="AN120" s="833"/>
      <c r="AO120" s="723">
        <f>IF(AM120=0,0,(AN120-AM120)/AM120*100)</f>
        <v>0</v>
      </c>
      <c r="AP120" s="833"/>
      <c r="AQ120" s="833"/>
      <c r="AR120" s="723">
        <f>IF(AP120=0,0,(AQ120-AP120)/AP120*100)</f>
        <v>0</v>
      </c>
      <c r="AS120" s="833"/>
      <c r="AT120" s="833"/>
      <c r="AU120" s="723">
        <f>IF(AS120=0,0,(AT120-AS120)/AS120*100)</f>
        <v>0</v>
      </c>
      <c r="AV120" s="833"/>
      <c r="AW120" s="833"/>
      <c r="AX120" s="723">
        <f>IF(AV120=0,0,(AW120-AV120)/AV120*100)</f>
        <v>0</v>
      </c>
      <c r="AY120" s="833"/>
      <c r="AZ120" s="833"/>
      <c r="BA120" s="723">
        <f>IF(AY120=0,0,(AZ120-AY120)/AY120*100)</f>
        <v>0</v>
      </c>
      <c r="BB120" s="833"/>
      <c r="BC120" s="833"/>
      <c r="BD120" s="723">
        <f>IF(BB120=0,0,(BC120-BB120)/BB120*100)</f>
        <v>0</v>
      </c>
      <c r="BE120" s="833"/>
      <c r="BF120" s="833"/>
      <c r="BG120" s="723">
        <f>IF(BE120=0,0,(BF120-BE120)/BE120*100)</f>
        <v>0</v>
      </c>
      <c r="BH120" s="833"/>
      <c r="BI120" s="833"/>
      <c r="BJ120" s="723">
        <f>IF(BH120=0,0,(BI120-BH120)/BH120*100)</f>
        <v>0</v>
      </c>
      <c r="BK120" s="833"/>
      <c r="BL120" s="833"/>
      <c r="BM120" s="723">
        <f>IF(BK120=0,0,(BL120-BK120)/BK120*100)</f>
        <v>0</v>
      </c>
      <c r="BN120" s="833"/>
      <c r="BO120" s="833"/>
      <c r="BP120" s="723">
        <f>IF(BN120=0,0,(BO120-BN120)/BN120*100)</f>
        <v>0</v>
      </c>
      <c r="BQ120" s="833"/>
      <c r="BR120" s="833"/>
      <c r="BS120" s="723">
        <f>IF(BQ120=0,0,(BR120-BQ120)/BQ120*100)</f>
        <v>0</v>
      </c>
      <c r="BT120" s="833"/>
      <c r="BU120" s="833"/>
      <c r="BV120" s="723">
        <f>IF(BT120=0,0,(BU120-BT120)/BT120*100)</f>
        <v>0</v>
      </c>
      <c r="BW120" s="833"/>
      <c r="BX120" s="833"/>
      <c r="BY120" s="723">
        <f>IF(BW120=0,0,(BX120-BW120)/BW120*100)</f>
        <v>0</v>
      </c>
      <c r="BZ120" s="833"/>
      <c r="CA120" s="833"/>
      <c r="CB120" s="723">
        <f>IF(BZ120=0,0,(CA120-BZ120)/BZ120*100)</f>
        <v>0</v>
      </c>
      <c r="CC120" s="833"/>
      <c r="CD120" s="833"/>
      <c r="CE120" s="723">
        <f>IF(CC120=0,0,(CD120-CC120)/CC120*100)</f>
        <v>0</v>
      </c>
      <c r="CF120" s="833"/>
      <c r="CG120" s="833"/>
      <c r="CH120" s="723">
        <f>IF(CF120=0,0,(CG120-CF120)/CF120*100)</f>
        <v>0</v>
      </c>
      <c r="CI120" s="833"/>
      <c r="CJ120" s="833"/>
      <c r="CK120" s="723">
        <f>IF(CI120=0,0,(CJ120-CI120)/CI120*100)</f>
        <v>0</v>
      </c>
      <c r="CL120" s="833"/>
      <c r="CM120" s="833"/>
      <c r="CN120" s="723">
        <f>IF(CL120=0,0,(CM120-CL120)/CL120*100)</f>
        <v>0</v>
      </c>
      <c r="CO120" s="833"/>
      <c r="CP120" s="833"/>
      <c r="CQ120" s="723">
        <f>IF(CO120=0,0,(CP120-CO120)/CO120*100)</f>
        <v>0</v>
      </c>
      <c r="CR120" s="833"/>
      <c r="CS120" s="833"/>
      <c r="CT120" s="723">
        <f>IF(CR120=0,0,(CS120-CR120)/CR120*100)</f>
        <v>0</v>
      </c>
      <c r="CU120" s="833"/>
      <c r="CV120" s="833"/>
      <c r="CW120" s="723">
        <f>IF(CU120=0,0,(CV120-CU120)/CU120*100)</f>
        <v>0</v>
      </c>
      <c r="CX120" s="833"/>
      <c r="CY120" s="833"/>
      <c r="CZ120" s="723">
        <f>IF(CX120=0,0,(CY120-CX120)/CX120*100)</f>
        <v>0</v>
      </c>
      <c r="DA120" s="833"/>
      <c r="DB120" s="833"/>
      <c r="DC120" s="723">
        <f>IF(DA120=0,0,(DB120-DA120)/DA120*100)</f>
        <v>0</v>
      </c>
      <c r="DD120" s="833"/>
      <c r="DE120" s="833"/>
      <c r="DF120" s="723">
        <f>IF(DD120=0,0,(DE120-DD120)/DD120*100)</f>
        <v>0</v>
      </c>
      <c r="DG120" s="833"/>
      <c r="DH120" s="833"/>
      <c r="DI120" s="723">
        <f>IF(DG120=0,0,(DH120-DG120)/DG120*100)</f>
        <v>0</v>
      </c>
      <c r="DJ120" s="833"/>
      <c r="DK120" s="833"/>
      <c r="DL120" s="723">
        <f>IF(DJ120=0,0,(DK120-DJ120)/DJ120*100)</f>
        <v>0</v>
      </c>
      <c r="DM120" s="833"/>
      <c r="DN120" s="833"/>
      <c r="DO120" s="723">
        <f>IF(DM120=0,0,(DN120-DM120)/DM120*100)</f>
        <v>0</v>
      </c>
      <c r="DP120" s="833"/>
      <c r="DQ120" s="833"/>
      <c r="DR120" s="723">
        <f>IF(DP120=0,0,(DQ120-DP120)/DP120*100)</f>
        <v>0</v>
      </c>
      <c r="DS120" s="833"/>
      <c r="DT120" s="833"/>
      <c r="DU120" s="723">
        <f>IF(DS120=0,0,(DT120-DS120)/DS120*100)</f>
        <v>0</v>
      </c>
      <c r="DV120" s="833"/>
      <c r="DW120" s="833"/>
      <c r="DX120" s="723">
        <f>IF(DV120=0,0,(DW120-DV120)/DV120*100)</f>
        <v>0</v>
      </c>
      <c r="DY120" s="833"/>
      <c r="DZ120" s="833"/>
      <c r="EA120" s="723">
        <f>IF(DY120=0,0,(DZ120-DY120)/DY120*100)</f>
        <v>0</v>
      </c>
      <c r="EB120" s="833"/>
      <c r="EC120" s="833"/>
      <c r="ED120" s="723">
        <f>IF(EB120=0,0,(EC120-EB120)/EB120*100)</f>
        <v>0</v>
      </c>
      <c r="EE120" s="833"/>
      <c r="EF120" s="833"/>
      <c r="EG120" s="723">
        <f>IF(EE120=0,0,(EF120-EE120)/EE120*100)</f>
        <v>0</v>
      </c>
      <c r="EH120" s="833"/>
      <c r="EI120" s="833"/>
      <c r="EJ120" s="723">
        <f>IF(EH120=0,0,(EI120-EH120)/EH120*100)</f>
        <v>0</v>
      </c>
      <c r="EK120" s="833"/>
      <c r="EL120" s="833"/>
      <c r="EM120" s="723">
        <f>IF(EK120=0,0,(EL120-EK120)/EK120*100)</f>
        <v>0</v>
      </c>
      <c r="EN120" s="833"/>
      <c r="EO120" s="833"/>
      <c r="EP120" s="723">
        <f>IF(EN120=0,0,(EO120-EN120)/EN120*100)</f>
        <v>0</v>
      </c>
      <c r="EQ120" s="833"/>
      <c r="ER120" s="833"/>
      <c r="ES120" s="723">
        <f>IF(EQ120=0,0,(ER120-EQ120)/EQ120*100)</f>
        <v>0</v>
      </c>
      <c r="ET120" s="833"/>
      <c r="EU120" s="833"/>
      <c r="EV120" s="723">
        <f>IF(ET120=0,0,(EU120-ET120)/ET120*100)</f>
        <v>0</v>
      </c>
      <c r="EW120" s="833"/>
      <c r="EX120" s="833"/>
      <c r="EY120" s="723">
        <f>IF(EW120=0,0,(EX120-EW120)/EW120*100)</f>
        <v>0</v>
      </c>
      <c r="EZ120" s="833"/>
      <c r="FA120" s="833"/>
      <c r="FB120" s="723">
        <f>IF(EZ120=0,0,(FA120-EZ120)/EZ120*100)</f>
        <v>0</v>
      </c>
      <c r="FC120" s="833"/>
      <c r="FD120" s="833"/>
      <c r="FE120" s="723">
        <f>IF(FC120=0,0,(FD120-FC120)/FC120*100)</f>
        <v>0</v>
      </c>
      <c r="FF120" s="833"/>
      <c r="FG120" s="833"/>
      <c r="FH120" s="723">
        <f>IF(FF120=0,0,(FG120-FF120)/FF120*100)</f>
        <v>0</v>
      </c>
      <c r="FI120" s="833"/>
      <c r="FJ120" s="833"/>
      <c r="FK120" s="723">
        <f>IF(FI120=0,0,(FJ120-FI120)/FI120*100)</f>
        <v>0</v>
      </c>
      <c r="FL120" s="833"/>
      <c r="FM120" s="833"/>
      <c r="FN120" s="723">
        <f>IF(FL120=0,0,(FM120-FL120)/FL120*100)</f>
        <v>0</v>
      </c>
      <c r="FO120" s="833"/>
      <c r="FP120" s="833"/>
      <c r="FQ120" s="723">
        <f>IF(FO120=0,0,(FP120-FO120)/FO120*100)</f>
        <v>0</v>
      </c>
      <c r="FR120" s="833"/>
      <c r="FS120" s="833"/>
      <c r="FT120" s="723">
        <f>IF(FR120=0,0,(FS120-FR120)/FR120*100)</f>
        <v>0</v>
      </c>
      <c r="FU120" s="833"/>
      <c r="FV120" s="833"/>
      <c r="FW120" s="723">
        <f>IF(FU120=0,0,(FV120-FU120)/FU120*100)</f>
        <v>0</v>
      </c>
      <c r="FZ120" s="700" t="s">
        <v>1675</v>
      </c>
    </row>
    <row r="121" spans="1:182" ht="14.25" hidden="1" customHeight="1">
      <c r="A121" s="78"/>
      <c r="B121" s="622" t="b" cm="1">
        <f t="array" ref="B121">B120</f>
        <v>0</v>
      </c>
      <c r="C121" s="78"/>
      <c r="D121" s="78"/>
      <c r="E121" s="473">
        <v>15</v>
      </c>
      <c r="F121" s="3" t="str" cm="1">
        <f t="array" aca="1" ref="F121" ca="1">OFFSET(E121,-1,1)</f>
        <v>1</v>
      </c>
      <c r="G121" s="78"/>
      <c r="H121" s="78" t="s">
        <v>1666</v>
      </c>
      <c r="I121" s="78" t="s">
        <v>1627</v>
      </c>
      <c r="J121" s="78"/>
      <c r="K121" s="78"/>
      <c r="L121" s="78"/>
      <c r="M121" s="78"/>
      <c r="N121" s="78"/>
      <c r="O121" s="78"/>
      <c r="P121" s="78"/>
      <c r="Q121" s="78"/>
      <c r="R121" s="78"/>
      <c r="S121" s="78"/>
      <c r="T121" s="365" t="b" cm="1">
        <f t="array" aca="1" ref="T121" ca="1">T120</f>
        <v>1</v>
      </c>
      <c r="U121" s="78"/>
      <c r="V121" s="78"/>
      <c r="W121" s="78"/>
      <c r="X121" s="1094"/>
      <c r="Y121" s="78"/>
      <c r="Z121" s="1064"/>
      <c r="AA121" s="78"/>
      <c r="AB121" s="124" t="s">
        <v>1667</v>
      </c>
      <c r="AC121" s="31" t="s">
        <v>1668</v>
      </c>
      <c r="AD121" s="833"/>
      <c r="AE121" s="833"/>
      <c r="AF121" s="723">
        <f>IF(AD121=0,0,(AE121-AD121)/AD121*100)</f>
        <v>0</v>
      </c>
      <c r="AG121" s="833"/>
      <c r="AH121" s="833"/>
      <c r="AI121" s="723">
        <f>IF(AG121=0,0,(AH121-AG121)/AG121*100)</f>
        <v>0</v>
      </c>
      <c r="AJ121" s="833"/>
      <c r="AK121" s="833"/>
      <c r="AL121" s="723">
        <f>IF(AJ121=0,0,(AK121-AJ121)/AJ121*100)</f>
        <v>0</v>
      </c>
      <c r="AM121" s="833"/>
      <c r="AN121" s="833"/>
      <c r="AO121" s="723">
        <f>IF(AM121=0,0,(AN121-AM121)/AM121*100)</f>
        <v>0</v>
      </c>
      <c r="AP121" s="833"/>
      <c r="AQ121" s="833"/>
      <c r="AR121" s="723">
        <f>IF(AP121=0,0,(AQ121-AP121)/AP121*100)</f>
        <v>0</v>
      </c>
      <c r="AS121" s="833"/>
      <c r="AT121" s="833"/>
      <c r="AU121" s="723">
        <f>IF(AS121=0,0,(AT121-AS121)/AS121*100)</f>
        <v>0</v>
      </c>
      <c r="AV121" s="833"/>
      <c r="AW121" s="833"/>
      <c r="AX121" s="723">
        <f>IF(AV121=0,0,(AW121-AV121)/AV121*100)</f>
        <v>0</v>
      </c>
      <c r="AY121" s="833"/>
      <c r="AZ121" s="833"/>
      <c r="BA121" s="723">
        <f>IF(AY121=0,0,(AZ121-AY121)/AY121*100)</f>
        <v>0</v>
      </c>
      <c r="BB121" s="833"/>
      <c r="BC121" s="833"/>
      <c r="BD121" s="723">
        <f>IF(BB121=0,0,(BC121-BB121)/BB121*100)</f>
        <v>0</v>
      </c>
      <c r="BE121" s="833"/>
      <c r="BF121" s="833"/>
      <c r="BG121" s="723">
        <f>IF(BE121=0,0,(BF121-BE121)/BE121*100)</f>
        <v>0</v>
      </c>
      <c r="BH121" s="833"/>
      <c r="BI121" s="833"/>
      <c r="BJ121" s="723">
        <f>IF(BH121=0,0,(BI121-BH121)/BH121*100)</f>
        <v>0</v>
      </c>
      <c r="BK121" s="833"/>
      <c r="BL121" s="833"/>
      <c r="BM121" s="723">
        <f>IF(BK121=0,0,(BL121-BK121)/BK121*100)</f>
        <v>0</v>
      </c>
      <c r="BN121" s="833"/>
      <c r="BO121" s="833"/>
      <c r="BP121" s="723">
        <f>IF(BN121=0,0,(BO121-BN121)/BN121*100)</f>
        <v>0</v>
      </c>
      <c r="BQ121" s="833"/>
      <c r="BR121" s="833"/>
      <c r="BS121" s="723">
        <f>IF(BQ121=0,0,(BR121-BQ121)/BQ121*100)</f>
        <v>0</v>
      </c>
      <c r="BT121" s="833"/>
      <c r="BU121" s="833"/>
      <c r="BV121" s="723">
        <f>IF(BT121=0,0,(BU121-BT121)/BT121*100)</f>
        <v>0</v>
      </c>
      <c r="BW121" s="833"/>
      <c r="BX121" s="833"/>
      <c r="BY121" s="723">
        <f>IF(BW121=0,0,(BX121-BW121)/BW121*100)</f>
        <v>0</v>
      </c>
      <c r="BZ121" s="833"/>
      <c r="CA121" s="833"/>
      <c r="CB121" s="723">
        <f>IF(BZ121=0,0,(CA121-BZ121)/BZ121*100)</f>
        <v>0</v>
      </c>
      <c r="CC121" s="833"/>
      <c r="CD121" s="833"/>
      <c r="CE121" s="723">
        <f>IF(CC121=0,0,(CD121-CC121)/CC121*100)</f>
        <v>0</v>
      </c>
      <c r="CF121" s="833"/>
      <c r="CG121" s="833"/>
      <c r="CH121" s="723">
        <f>IF(CF121=0,0,(CG121-CF121)/CF121*100)</f>
        <v>0</v>
      </c>
      <c r="CI121" s="833"/>
      <c r="CJ121" s="833"/>
      <c r="CK121" s="723">
        <f>IF(CI121=0,0,(CJ121-CI121)/CI121*100)</f>
        <v>0</v>
      </c>
      <c r="CL121" s="833"/>
      <c r="CM121" s="833"/>
      <c r="CN121" s="723">
        <f>IF(CL121=0,0,(CM121-CL121)/CL121*100)</f>
        <v>0</v>
      </c>
      <c r="CO121" s="833"/>
      <c r="CP121" s="833"/>
      <c r="CQ121" s="723">
        <f>IF(CO121=0,0,(CP121-CO121)/CO121*100)</f>
        <v>0</v>
      </c>
      <c r="CR121" s="833"/>
      <c r="CS121" s="833"/>
      <c r="CT121" s="723">
        <f>IF(CR121=0,0,(CS121-CR121)/CR121*100)</f>
        <v>0</v>
      </c>
      <c r="CU121" s="833"/>
      <c r="CV121" s="833"/>
      <c r="CW121" s="723">
        <f>IF(CU121=0,0,(CV121-CU121)/CU121*100)</f>
        <v>0</v>
      </c>
      <c r="CX121" s="833"/>
      <c r="CY121" s="833"/>
      <c r="CZ121" s="723">
        <f>IF(CX121=0,0,(CY121-CX121)/CX121*100)</f>
        <v>0</v>
      </c>
      <c r="DA121" s="833"/>
      <c r="DB121" s="833"/>
      <c r="DC121" s="723">
        <f>IF(DA121=0,0,(DB121-DA121)/DA121*100)</f>
        <v>0</v>
      </c>
      <c r="DD121" s="833"/>
      <c r="DE121" s="833"/>
      <c r="DF121" s="723">
        <f>IF(DD121=0,0,(DE121-DD121)/DD121*100)</f>
        <v>0</v>
      </c>
      <c r="DG121" s="833"/>
      <c r="DH121" s="833"/>
      <c r="DI121" s="723">
        <f>IF(DG121=0,0,(DH121-DG121)/DG121*100)</f>
        <v>0</v>
      </c>
      <c r="DJ121" s="833"/>
      <c r="DK121" s="833"/>
      <c r="DL121" s="723">
        <f>IF(DJ121=0,0,(DK121-DJ121)/DJ121*100)</f>
        <v>0</v>
      </c>
      <c r="DM121" s="833"/>
      <c r="DN121" s="833"/>
      <c r="DO121" s="723">
        <f>IF(DM121=0,0,(DN121-DM121)/DM121*100)</f>
        <v>0</v>
      </c>
      <c r="DP121" s="833"/>
      <c r="DQ121" s="833"/>
      <c r="DR121" s="723">
        <f>IF(DP121=0,0,(DQ121-DP121)/DP121*100)</f>
        <v>0</v>
      </c>
      <c r="DS121" s="833"/>
      <c r="DT121" s="833"/>
      <c r="DU121" s="723">
        <f>IF(DS121=0,0,(DT121-DS121)/DS121*100)</f>
        <v>0</v>
      </c>
      <c r="DV121" s="833"/>
      <c r="DW121" s="833"/>
      <c r="DX121" s="723">
        <f>IF(DV121=0,0,(DW121-DV121)/DV121*100)</f>
        <v>0</v>
      </c>
      <c r="DY121" s="833"/>
      <c r="DZ121" s="833"/>
      <c r="EA121" s="723">
        <f>IF(DY121=0,0,(DZ121-DY121)/DY121*100)</f>
        <v>0</v>
      </c>
      <c r="EB121" s="833"/>
      <c r="EC121" s="833"/>
      <c r="ED121" s="723">
        <f>IF(EB121=0,0,(EC121-EB121)/EB121*100)</f>
        <v>0</v>
      </c>
      <c r="EE121" s="833"/>
      <c r="EF121" s="833"/>
      <c r="EG121" s="723">
        <f>IF(EE121=0,0,(EF121-EE121)/EE121*100)</f>
        <v>0</v>
      </c>
      <c r="EH121" s="833"/>
      <c r="EI121" s="833"/>
      <c r="EJ121" s="723">
        <f>IF(EH121=0,0,(EI121-EH121)/EH121*100)</f>
        <v>0</v>
      </c>
      <c r="EK121" s="833"/>
      <c r="EL121" s="833"/>
      <c r="EM121" s="723">
        <f>IF(EK121=0,0,(EL121-EK121)/EK121*100)</f>
        <v>0</v>
      </c>
      <c r="EN121" s="833"/>
      <c r="EO121" s="833"/>
      <c r="EP121" s="723">
        <f>IF(EN121=0,0,(EO121-EN121)/EN121*100)</f>
        <v>0</v>
      </c>
      <c r="EQ121" s="833"/>
      <c r="ER121" s="833"/>
      <c r="ES121" s="723">
        <f>IF(EQ121=0,0,(ER121-EQ121)/EQ121*100)</f>
        <v>0</v>
      </c>
      <c r="ET121" s="833"/>
      <c r="EU121" s="833"/>
      <c r="EV121" s="723">
        <f>IF(ET121=0,0,(EU121-ET121)/ET121*100)</f>
        <v>0</v>
      </c>
      <c r="EW121" s="833"/>
      <c r="EX121" s="833"/>
      <c r="EY121" s="723">
        <f>IF(EW121=0,0,(EX121-EW121)/EW121*100)</f>
        <v>0</v>
      </c>
      <c r="EZ121" s="833"/>
      <c r="FA121" s="833"/>
      <c r="FB121" s="723">
        <f>IF(EZ121=0,0,(FA121-EZ121)/EZ121*100)</f>
        <v>0</v>
      </c>
      <c r="FC121" s="833"/>
      <c r="FD121" s="833"/>
      <c r="FE121" s="723">
        <f>IF(FC121=0,0,(FD121-FC121)/FC121*100)</f>
        <v>0</v>
      </c>
      <c r="FF121" s="833"/>
      <c r="FG121" s="833"/>
      <c r="FH121" s="723">
        <f>IF(FF121=0,0,(FG121-FF121)/FF121*100)</f>
        <v>0</v>
      </c>
      <c r="FI121" s="833"/>
      <c r="FJ121" s="833"/>
      <c r="FK121" s="723">
        <f>IF(FI121=0,0,(FJ121-FI121)/FI121*100)</f>
        <v>0</v>
      </c>
      <c r="FL121" s="833"/>
      <c r="FM121" s="833"/>
      <c r="FN121" s="723">
        <f>IF(FL121=0,0,(FM121-FL121)/FL121*100)</f>
        <v>0</v>
      </c>
      <c r="FO121" s="833"/>
      <c r="FP121" s="833"/>
      <c r="FQ121" s="723">
        <f>IF(FO121=0,0,(FP121-FO121)/FO121*100)</f>
        <v>0</v>
      </c>
      <c r="FR121" s="833"/>
      <c r="FS121" s="833"/>
      <c r="FT121" s="723">
        <f>IF(FR121=0,0,(FS121-FR121)/FR121*100)</f>
        <v>0</v>
      </c>
      <c r="FU121" s="833"/>
      <c r="FV121" s="833"/>
      <c r="FW121" s="723">
        <f>IF(FU121=0,0,(FV121-FU121)/FU121*100)</f>
        <v>0</v>
      </c>
      <c r="FZ121" s="700" t="s">
        <v>1676</v>
      </c>
    </row>
    <row r="122" spans="1:182" ht="23.25" hidden="1" customHeight="1">
      <c r="A122" s="78"/>
      <c r="B122" s="622" t="b" cm="1">
        <f t="array" ref="B122">B121</f>
        <v>0</v>
      </c>
      <c r="C122" s="78"/>
      <c r="D122" s="78"/>
      <c r="E122" s="473">
        <v>24.5</v>
      </c>
      <c r="F122" s="3" t="str" cm="1">
        <f t="array" aca="1" ref="F122" ca="1">OFFSET(E122,-1,1)</f>
        <v>1</v>
      </c>
      <c r="G122" s="78"/>
      <c r="H122" s="78"/>
      <c r="I122" s="78"/>
      <c r="J122" s="78"/>
      <c r="K122" s="78"/>
      <c r="L122" s="78"/>
      <c r="M122" s="78"/>
      <c r="N122" s="78"/>
      <c r="O122" s="78"/>
      <c r="P122" s="78"/>
      <c r="Q122" s="78"/>
      <c r="R122" s="78"/>
      <c r="S122" s="78"/>
      <c r="T122" s="365" t="b" cm="1">
        <f t="array" aca="1" ref="T122" ca="1">T121</f>
        <v>1</v>
      </c>
      <c r="U122" s="78"/>
      <c r="V122" s="78"/>
      <c r="W122" s="78"/>
      <c r="X122" s="1094"/>
      <c r="Y122" s="78"/>
      <c r="Z122" s="1064"/>
      <c r="AA122" s="78"/>
      <c r="AB122" s="220" t="s">
        <v>1677</v>
      </c>
      <c r="AC122" s="606"/>
      <c r="AD122" s="727"/>
      <c r="AE122" s="727"/>
      <c r="AF122" s="727"/>
      <c r="AG122" s="727"/>
      <c r="AH122" s="727"/>
      <c r="AI122" s="727"/>
      <c r="AJ122" s="727"/>
      <c r="AK122" s="727"/>
      <c r="AL122" s="727"/>
      <c r="AM122" s="727"/>
      <c r="AN122" s="727"/>
      <c r="AO122" s="727"/>
      <c r="AP122" s="727"/>
      <c r="AQ122" s="727"/>
      <c r="AR122" s="727"/>
      <c r="AS122" s="727"/>
      <c r="AT122" s="727"/>
      <c r="AU122" s="727"/>
      <c r="AV122" s="727"/>
      <c r="AW122" s="727"/>
      <c r="AX122" s="727"/>
      <c r="AY122" s="727"/>
      <c r="AZ122" s="727"/>
      <c r="BA122" s="727"/>
      <c r="BB122" s="727"/>
      <c r="BC122" s="727"/>
      <c r="BD122" s="727"/>
      <c r="BE122" s="727"/>
      <c r="BF122" s="727"/>
      <c r="BG122" s="727"/>
      <c r="BH122" s="727"/>
      <c r="BI122" s="727"/>
      <c r="BJ122" s="727"/>
      <c r="BK122" s="727"/>
      <c r="BL122" s="727"/>
      <c r="BM122" s="727"/>
      <c r="BN122" s="727"/>
      <c r="BO122" s="727"/>
      <c r="BP122" s="727"/>
      <c r="BQ122" s="727"/>
      <c r="BR122" s="727"/>
      <c r="BS122" s="727"/>
      <c r="BT122" s="727"/>
      <c r="BU122" s="727"/>
      <c r="BV122" s="727"/>
      <c r="BW122" s="727"/>
      <c r="BX122" s="727"/>
      <c r="BY122" s="727"/>
      <c r="BZ122" s="727"/>
      <c r="CA122" s="727"/>
      <c r="CB122" s="727"/>
      <c r="CC122" s="727"/>
      <c r="CD122" s="727"/>
      <c r="CE122" s="727"/>
      <c r="CF122" s="727"/>
      <c r="CG122" s="727"/>
      <c r="CH122" s="727"/>
      <c r="CI122" s="727"/>
      <c r="CJ122" s="727"/>
      <c r="CK122" s="727"/>
      <c r="CL122" s="727"/>
      <c r="CM122" s="727"/>
      <c r="CN122" s="727"/>
      <c r="CO122" s="727"/>
      <c r="CP122" s="727"/>
      <c r="CQ122" s="727"/>
      <c r="CR122" s="727"/>
      <c r="CS122" s="727"/>
      <c r="CT122" s="727"/>
      <c r="CU122" s="727"/>
      <c r="CV122" s="727"/>
      <c r="CW122" s="727"/>
      <c r="CX122" s="727"/>
      <c r="CY122" s="727"/>
      <c r="CZ122" s="727"/>
      <c r="DA122" s="727"/>
      <c r="DB122" s="727"/>
      <c r="DC122" s="727"/>
      <c r="DD122" s="727"/>
      <c r="DE122" s="727"/>
      <c r="DF122" s="727"/>
      <c r="DG122" s="727"/>
      <c r="DH122" s="727"/>
      <c r="DI122" s="727"/>
      <c r="DJ122" s="727"/>
      <c r="DK122" s="727"/>
      <c r="DL122" s="727"/>
      <c r="DM122" s="727"/>
      <c r="DN122" s="727"/>
      <c r="DO122" s="727"/>
      <c r="DP122" s="727"/>
      <c r="DQ122" s="727"/>
      <c r="DR122" s="727"/>
      <c r="DS122" s="727"/>
      <c r="DT122" s="727"/>
      <c r="DU122" s="727"/>
      <c r="DV122" s="727"/>
      <c r="DW122" s="727"/>
      <c r="DX122" s="727"/>
      <c r="DY122" s="727"/>
      <c r="DZ122" s="727"/>
      <c r="EA122" s="727"/>
      <c r="EB122" s="727"/>
      <c r="EC122" s="727"/>
      <c r="ED122" s="727"/>
      <c r="EE122" s="727"/>
      <c r="EF122" s="727"/>
      <c r="EG122" s="727"/>
      <c r="EH122" s="727"/>
      <c r="EI122" s="727"/>
      <c r="EJ122" s="727"/>
      <c r="EK122" s="727"/>
      <c r="EL122" s="727"/>
      <c r="EM122" s="727"/>
      <c r="EN122" s="727"/>
      <c r="EO122" s="727"/>
      <c r="EP122" s="727"/>
      <c r="EQ122" s="727"/>
      <c r="ER122" s="727"/>
      <c r="ES122" s="727"/>
      <c r="ET122" s="727"/>
      <c r="EU122" s="727"/>
      <c r="EV122" s="727"/>
      <c r="EW122" s="727"/>
      <c r="EX122" s="727"/>
      <c r="EY122" s="727"/>
      <c r="EZ122" s="727"/>
      <c r="FA122" s="727"/>
      <c r="FB122" s="727"/>
      <c r="FC122" s="727"/>
      <c r="FD122" s="727"/>
      <c r="FE122" s="727"/>
      <c r="FF122" s="727"/>
      <c r="FG122" s="727"/>
      <c r="FH122" s="727"/>
      <c r="FI122" s="727"/>
      <c r="FJ122" s="727"/>
      <c r="FK122" s="727"/>
      <c r="FL122" s="727"/>
      <c r="FM122" s="727"/>
      <c r="FN122" s="727"/>
      <c r="FO122" s="727"/>
      <c r="FP122" s="727"/>
      <c r="FQ122" s="727"/>
      <c r="FR122" s="727"/>
      <c r="FS122" s="727"/>
      <c r="FT122" s="727"/>
      <c r="FU122" s="727"/>
      <c r="FV122" s="727"/>
      <c r="FW122" s="728"/>
      <c r="FZ122" s="700"/>
    </row>
    <row r="123" spans="1:182" ht="14.25" hidden="1" customHeight="1">
      <c r="A123" s="78"/>
      <c r="B123" s="622" t="b" cm="1">
        <f t="array" ref="B123">B122</f>
        <v>0</v>
      </c>
      <c r="C123" s="78"/>
      <c r="D123" s="78"/>
      <c r="E123" s="473">
        <v>15</v>
      </c>
      <c r="F123" s="3" t="str" cm="1">
        <f t="array" aca="1" ref="F123" ca="1">OFFSET(E123,-1,1)</f>
        <v>1</v>
      </c>
      <c r="G123" s="78"/>
      <c r="H123" s="78" t="s">
        <v>1562</v>
      </c>
      <c r="I123" s="78" t="s">
        <v>1637</v>
      </c>
      <c r="J123" s="78"/>
      <c r="K123" s="78"/>
      <c r="L123" s="78"/>
      <c r="M123" s="78"/>
      <c r="N123" s="78"/>
      <c r="O123" s="78"/>
      <c r="P123" s="78"/>
      <c r="Q123" s="78"/>
      <c r="R123" s="78"/>
      <c r="S123" s="78"/>
      <c r="T123" s="365" t="b" cm="1">
        <f t="array" aca="1" ref="T123" ca="1">T122</f>
        <v>1</v>
      </c>
      <c r="U123" s="78"/>
      <c r="V123" s="78"/>
      <c r="W123" s="78"/>
      <c r="X123" s="1094"/>
      <c r="Y123" s="78"/>
      <c r="Z123" s="1064"/>
      <c r="AA123" s="78"/>
      <c r="AB123" s="124" t="s">
        <v>1657</v>
      </c>
      <c r="AC123" s="31" t="s">
        <v>1624</v>
      </c>
      <c r="AD123" s="833">
        <f ca="1">IF(AD125=0,0,(AD124*AD125+AD126*AD127*IF(god=2026,9,6))/AD125)</f>
        <v>0</v>
      </c>
      <c r="AE123" s="833">
        <f ca="1">IF(AE125=0,0,(AE124*AE125+AE126*AE127*IF(god=2026,9,6))/AE125)</f>
        <v>0</v>
      </c>
      <c r="AF123" s="723">
        <f ca="1">IF(AD123=0,0,(AE123-AD123)/AD123*100)</f>
        <v>0</v>
      </c>
      <c r="AG123" s="833">
        <f ca="1">IF(AG125=0,0,(AG124*AG125+AG126*AG127*IF(god=2025,9,6))/AG125)</f>
        <v>0</v>
      </c>
      <c r="AH123" s="833">
        <f ca="1">IF(AH125=0,0,(AH124*AH125+AH126*AH127*IF(god=2025,9,6))/AH125)</f>
        <v>0</v>
      </c>
      <c r="AI123" s="723">
        <f ca="1">IF(AG123=0,0,(AH123-AG123)/AG123*100)</f>
        <v>0</v>
      </c>
      <c r="AJ123" s="833">
        <f ca="1">IF(AJ125=0,0,(AJ124*AJ125+AJ126*AJ127*6)/AJ125)</f>
        <v>0</v>
      </c>
      <c r="AK123" s="833">
        <f ca="1">IF(AK125=0,0,(AK124*AK125+AK126*AK127*6)/AK125)</f>
        <v>0</v>
      </c>
      <c r="AL123" s="723">
        <f ca="1">IF(AJ123=0,0,(AK123-AJ123)/AJ123*100)</f>
        <v>0</v>
      </c>
      <c r="AM123" s="833">
        <f ca="1">IF(AM125=0,0,(AM124*AM125+AM126*AM127*6)/AM125)</f>
        <v>0</v>
      </c>
      <c r="AN123" s="833">
        <f ca="1">IF(AN125=0,0,(AN124*AN125+AN126*AN127*6)/AN125)</f>
        <v>0</v>
      </c>
      <c r="AO123" s="723">
        <f ca="1">IF(AM123=0,0,(AN123-AM123)/AM123*100)</f>
        <v>0</v>
      </c>
      <c r="AP123" s="833">
        <f ca="1">IF(AP125=0,0,(AP124*AP125+AP126*AP127*6)/AP125)</f>
        <v>0</v>
      </c>
      <c r="AQ123" s="833">
        <f ca="1">IF(AQ125=0,0,(AQ124*AQ125+AQ126*AQ127*6)/AQ125)</f>
        <v>0</v>
      </c>
      <c r="AR123" s="723">
        <f ca="1">IF(AP123=0,0,(AQ123-AP123)/AP123*100)</f>
        <v>0</v>
      </c>
      <c r="AS123" s="833">
        <f ca="1">IF(AS125=0,0,(AS124*AS125+AS126*AS127*6)/AS125)</f>
        <v>0</v>
      </c>
      <c r="AT123" s="833">
        <f ca="1">IF(AT125=0,0,(AT124*AT125+AT126*AT127*6)/AT125)</f>
        <v>0</v>
      </c>
      <c r="AU123" s="723">
        <f ca="1">IF(AS123=0,0,(AT123-AS123)/AS123*100)</f>
        <v>0</v>
      </c>
      <c r="AV123" s="833">
        <f ca="1">IF(AV125=0,0,(AV124*AV125+AV126*AV127*6)/AV125)</f>
        <v>0</v>
      </c>
      <c r="AW123" s="833">
        <f ca="1">IF(AW125=0,0,(AW124*AW125+AW126*AW127*6)/AW125)</f>
        <v>0</v>
      </c>
      <c r="AX123" s="723">
        <f ca="1">IF(AV123=0,0,(AW123-AV123)/AV123*100)</f>
        <v>0</v>
      </c>
      <c r="AY123" s="833">
        <f ca="1">IF(AY125=0,0,(AY124*AY125+AY126*AY127*6)/AY125)</f>
        <v>0</v>
      </c>
      <c r="AZ123" s="833">
        <f ca="1">IF(AZ125=0,0,(AZ124*AZ125+AZ126*AZ127*6)/AZ125)</f>
        <v>0</v>
      </c>
      <c r="BA123" s="723">
        <f ca="1">IF(AY123=0,0,(AZ123-AY123)/AY123*100)</f>
        <v>0</v>
      </c>
      <c r="BB123" s="833">
        <f ca="1">IF(BB125=0,0,(BB124*BB125+BB126*BB127*6)/BB125)</f>
        <v>0</v>
      </c>
      <c r="BC123" s="833">
        <f ca="1">IF(BC125=0,0,(BC124*BC125+BC126*BC127*6)/BC125)</f>
        <v>0</v>
      </c>
      <c r="BD123" s="723">
        <f ca="1">IF(BB123=0,0,(BC123-BB123)/BB123*100)</f>
        <v>0</v>
      </c>
      <c r="BE123" s="833">
        <f ca="1">IF(BE125=0,0,(BE124*BE125+BE126*BE127*6)/BE125)</f>
        <v>0</v>
      </c>
      <c r="BF123" s="833">
        <f ca="1">IF(BF125=0,0,(BF124*BF125+BF126*BF127*6)/BF125)</f>
        <v>0</v>
      </c>
      <c r="BG123" s="723">
        <f ca="1">IF(BE123=0,0,(BF123-BE123)/BE123*100)</f>
        <v>0</v>
      </c>
      <c r="BH123" s="833">
        <f>IF(BH125=0,0,(BH124*BH125+BH126*BH127*6)/BH125)</f>
        <v>0</v>
      </c>
      <c r="BI123" s="833">
        <f>IF(BI125=0,0,(BI124*BI125+BI126*BI127*6)/BI125)</f>
        <v>0</v>
      </c>
      <c r="BJ123" s="723">
        <f>IF(BH123=0,0,(BI123-BH123)/BH123*100)</f>
        <v>0</v>
      </c>
      <c r="BK123" s="833">
        <f>IF(BK125=0,0,(BK124*BK125+BK126*BK127*6)/BK125)</f>
        <v>0</v>
      </c>
      <c r="BL123" s="833">
        <f>IF(BL125=0,0,(BL124*BL125+BL126*BL127*6)/BL125)</f>
        <v>0</v>
      </c>
      <c r="BM123" s="723">
        <f>IF(BK123=0,0,(BL123-BK123)/BK123*100)</f>
        <v>0</v>
      </c>
      <c r="BN123" s="833">
        <f>IF(BN125=0,0,(BN124*BN125+BN126*BN127*6)/BN125)</f>
        <v>0</v>
      </c>
      <c r="BO123" s="833">
        <f>IF(BO125=0,0,(BO124*BO125+BO126*BO127*6)/BO125)</f>
        <v>0</v>
      </c>
      <c r="BP123" s="723">
        <f>IF(BN123=0,0,(BO123-BN123)/BN123*100)</f>
        <v>0</v>
      </c>
      <c r="BQ123" s="833">
        <f>IF(BQ125=0,0,(BQ124*BQ125+BQ126*BQ127*6)/BQ125)</f>
        <v>0</v>
      </c>
      <c r="BR123" s="833">
        <f>IF(BR125=0,0,(BR124*BR125+BR126*BR127*6)/BR125)</f>
        <v>0</v>
      </c>
      <c r="BS123" s="723">
        <f>IF(BQ123=0,0,(BR123-BQ123)/BQ123*100)</f>
        <v>0</v>
      </c>
      <c r="BT123" s="833">
        <f>IF(BT125=0,0,(BT124*BT125+BT126*BT127*6)/BT125)</f>
        <v>0</v>
      </c>
      <c r="BU123" s="833">
        <f>IF(BU125=0,0,(BU124*BU125+BU126*BU127*6)/BU125)</f>
        <v>0</v>
      </c>
      <c r="BV123" s="723">
        <f>IF(BT123=0,0,(BU123-BT123)/BT123*100)</f>
        <v>0</v>
      </c>
      <c r="BW123" s="833">
        <f>IF(BW125=0,0,(BW124*BW125+BW126*BW127*6)/BW125)</f>
        <v>0</v>
      </c>
      <c r="BX123" s="833">
        <f>IF(BX125=0,0,(BX124*BX125+BX126*BX127*6)/BX125)</f>
        <v>0</v>
      </c>
      <c r="BY123" s="723">
        <f>IF(BW123=0,0,(BX123-BW123)/BW123*100)</f>
        <v>0</v>
      </c>
      <c r="BZ123" s="833">
        <f>IF(BZ125=0,0,(BZ124*BZ125+BZ126*BZ127*6)/BZ125)</f>
        <v>0</v>
      </c>
      <c r="CA123" s="833">
        <f>IF(CA125=0,0,(CA124*CA125+CA126*CA127*6)/CA125)</f>
        <v>0</v>
      </c>
      <c r="CB123" s="723">
        <f>IF(BZ123=0,0,(CA123-BZ123)/BZ123*100)</f>
        <v>0</v>
      </c>
      <c r="CC123" s="833">
        <f>IF(CC125=0,0,(CC124*CC125+CC126*CC127*6)/CC125)</f>
        <v>0</v>
      </c>
      <c r="CD123" s="833">
        <f>IF(CD125=0,0,(CD124*CD125+CD126*CD127*6)/CD125)</f>
        <v>0</v>
      </c>
      <c r="CE123" s="723">
        <f>IF(CC123=0,0,(CD123-CC123)/CC123*100)</f>
        <v>0</v>
      </c>
      <c r="CF123" s="833">
        <f>IF(CF125=0,0,(CF124*CF125+CF126*CF127*6)/CF125)</f>
        <v>0</v>
      </c>
      <c r="CG123" s="833">
        <f>IF(CG125=0,0,(CG124*CG125+CG126*CG127*6)/CG125)</f>
        <v>0</v>
      </c>
      <c r="CH123" s="723">
        <f>IF(CF123=0,0,(CG123-CF123)/CF123*100)</f>
        <v>0</v>
      </c>
      <c r="CI123" s="833">
        <f>IF(CI125=0,0,(CI124*CI125+CI126*CI127*6)/CI125)</f>
        <v>0</v>
      </c>
      <c r="CJ123" s="833">
        <f>IF(CJ125=0,0,(CJ124*CJ125+CJ126*CJ127*6)/CJ125)</f>
        <v>0</v>
      </c>
      <c r="CK123" s="723">
        <f>IF(CI123=0,0,(CJ123-CI123)/CI123*100)</f>
        <v>0</v>
      </c>
      <c r="CL123" s="833">
        <f>IF(CL125=0,0,(CL124*CL125+CL126*CL127*6)/CL125)</f>
        <v>0</v>
      </c>
      <c r="CM123" s="833">
        <f>IF(CM125=0,0,(CM124*CM125+CM126*CM127*6)/CM125)</f>
        <v>0</v>
      </c>
      <c r="CN123" s="723">
        <f>IF(CL123=0,0,(CM123-CL123)/CL123*100)</f>
        <v>0</v>
      </c>
      <c r="CO123" s="833">
        <f>IF(CO125=0,0,(CO124*CO125+CO126*CO127*6)/CO125)</f>
        <v>0</v>
      </c>
      <c r="CP123" s="833">
        <f>IF(CP125=0,0,(CP124*CP125+CP126*CP127*6)/CP125)</f>
        <v>0</v>
      </c>
      <c r="CQ123" s="723">
        <f>IF(CO123=0,0,(CP123-CO123)/CO123*100)</f>
        <v>0</v>
      </c>
      <c r="CR123" s="833">
        <f>IF(CR125=0,0,(CR124*CR125+CR126*CR127*6)/CR125)</f>
        <v>0</v>
      </c>
      <c r="CS123" s="833">
        <f>IF(CS125=0,0,(CS124*CS125+CS126*CS127*6)/CS125)</f>
        <v>0</v>
      </c>
      <c r="CT123" s="723">
        <f>IF(CR123=0,0,(CS123-CR123)/CR123*100)</f>
        <v>0</v>
      </c>
      <c r="CU123" s="833">
        <f>IF(CU125=0,0,(CU124*CU125+CU126*CU127*6)/CU125)</f>
        <v>0</v>
      </c>
      <c r="CV123" s="833">
        <f>IF(CV125=0,0,(CV124*CV125+CV126*CV127*6)/CV125)</f>
        <v>0</v>
      </c>
      <c r="CW123" s="723">
        <f>IF(CU123=0,0,(CV123-CU123)/CU123*100)</f>
        <v>0</v>
      </c>
      <c r="CX123" s="833">
        <f>IF(CX125=0,0,(CX124*CX125+CX126*CX127*6)/CX125)</f>
        <v>0</v>
      </c>
      <c r="CY123" s="833">
        <f>IF(CY125=0,0,(CY124*CY125+CY126*CY127*6)/CY125)</f>
        <v>0</v>
      </c>
      <c r="CZ123" s="723">
        <f>IF(CX123=0,0,(CY123-CX123)/CX123*100)</f>
        <v>0</v>
      </c>
      <c r="DA123" s="833">
        <f>IF(DA125=0,0,(DA124*DA125+DA126*DA127*6)/DA125)</f>
        <v>0</v>
      </c>
      <c r="DB123" s="833">
        <f>IF(DB125=0,0,(DB124*DB125+DB126*DB127*6)/DB125)</f>
        <v>0</v>
      </c>
      <c r="DC123" s="723">
        <f>IF(DA123=0,0,(DB123-DA123)/DA123*100)</f>
        <v>0</v>
      </c>
      <c r="DD123" s="833">
        <f>IF(DD125=0,0,(DD124*DD125+DD126*DD127*6)/DD125)</f>
        <v>0</v>
      </c>
      <c r="DE123" s="833">
        <f>IF(DE125=0,0,(DE124*DE125+DE126*DE127*6)/DE125)</f>
        <v>0</v>
      </c>
      <c r="DF123" s="723">
        <f>IF(DD123=0,0,(DE123-DD123)/DD123*100)</f>
        <v>0</v>
      </c>
      <c r="DG123" s="833">
        <f>IF(DG125=0,0,(DG124*DG125+DG126*DG127*6)/DG125)</f>
        <v>0</v>
      </c>
      <c r="DH123" s="833">
        <f>IF(DH125=0,0,(DH124*DH125+DH126*DH127*6)/DH125)</f>
        <v>0</v>
      </c>
      <c r="DI123" s="723">
        <f>IF(DG123=0,0,(DH123-DG123)/DG123*100)</f>
        <v>0</v>
      </c>
      <c r="DJ123" s="833">
        <f>IF(DJ125=0,0,(DJ124*DJ125+DJ126*DJ127*6)/DJ125)</f>
        <v>0</v>
      </c>
      <c r="DK123" s="833">
        <f>IF(DK125=0,0,(DK124*DK125+DK126*DK127*6)/DK125)</f>
        <v>0</v>
      </c>
      <c r="DL123" s="723">
        <f>IF(DJ123=0,0,(DK123-DJ123)/DJ123*100)</f>
        <v>0</v>
      </c>
      <c r="DM123" s="833">
        <f>IF(DM125=0,0,(DM124*DM125+DM126*DM127*6)/DM125)</f>
        <v>0</v>
      </c>
      <c r="DN123" s="833">
        <f>IF(DN125=0,0,(DN124*DN125+DN126*DN127*6)/DN125)</f>
        <v>0</v>
      </c>
      <c r="DO123" s="723">
        <f>IF(DM123=0,0,(DN123-DM123)/DM123*100)</f>
        <v>0</v>
      </c>
      <c r="DP123" s="833">
        <f>IF(DP125=0,0,(DP124*DP125+DP126*DP127*6)/DP125)</f>
        <v>0</v>
      </c>
      <c r="DQ123" s="833">
        <f>IF(DQ125=0,0,(DQ124*DQ125+DQ126*DQ127*6)/DQ125)</f>
        <v>0</v>
      </c>
      <c r="DR123" s="723">
        <f>IF(DP123=0,0,(DQ123-DP123)/DP123*100)</f>
        <v>0</v>
      </c>
      <c r="DS123" s="833">
        <f>IF(DS125=0,0,(DS124*DS125+DS126*DS127*6)/DS125)</f>
        <v>0</v>
      </c>
      <c r="DT123" s="833">
        <f>IF(DT125=0,0,(DT124*DT125+DT126*DT127*6)/DT125)</f>
        <v>0</v>
      </c>
      <c r="DU123" s="723">
        <f>IF(DS123=0,0,(DT123-DS123)/DS123*100)</f>
        <v>0</v>
      </c>
      <c r="DV123" s="833">
        <f>IF(DV125=0,0,(DV124*DV125+DV126*DV127*6)/DV125)</f>
        <v>0</v>
      </c>
      <c r="DW123" s="833">
        <f>IF(DW125=0,0,(DW124*DW125+DW126*DW127*6)/DW125)</f>
        <v>0</v>
      </c>
      <c r="DX123" s="723">
        <f>IF(DV123=0,0,(DW123-DV123)/DV123*100)</f>
        <v>0</v>
      </c>
      <c r="DY123" s="833">
        <f>IF(DY125=0,0,(DY124*DY125+DY126*DY127*6)/DY125)</f>
        <v>0</v>
      </c>
      <c r="DZ123" s="833">
        <f>IF(DZ125=0,0,(DZ124*DZ125+DZ126*DZ127*6)/DZ125)</f>
        <v>0</v>
      </c>
      <c r="EA123" s="723">
        <f>IF(DY123=0,0,(DZ123-DY123)/DY123*100)</f>
        <v>0</v>
      </c>
      <c r="EB123" s="833">
        <f>IF(EB125=0,0,(EB124*EB125+EB126*EB127*6)/EB125)</f>
        <v>0</v>
      </c>
      <c r="EC123" s="833">
        <f>IF(EC125=0,0,(EC124*EC125+EC126*EC127*6)/EC125)</f>
        <v>0</v>
      </c>
      <c r="ED123" s="723">
        <f>IF(EB123=0,0,(EC123-EB123)/EB123*100)</f>
        <v>0</v>
      </c>
      <c r="EE123" s="833">
        <f>IF(EE125=0,0,(EE124*EE125+EE126*EE127*6)/EE125)</f>
        <v>0</v>
      </c>
      <c r="EF123" s="833">
        <f>IF(EF125=0,0,(EF124*EF125+EF126*EF127*6)/EF125)</f>
        <v>0</v>
      </c>
      <c r="EG123" s="723">
        <f>IF(EE123=0,0,(EF123-EE123)/EE123*100)</f>
        <v>0</v>
      </c>
      <c r="EH123" s="833">
        <f>IF(EH125=0,0,(EH124*EH125+EH126*EH127*6)/EH125)</f>
        <v>0</v>
      </c>
      <c r="EI123" s="833">
        <f>IF(EI125=0,0,(EI124*EI125+EI126*EI127*6)/EI125)</f>
        <v>0</v>
      </c>
      <c r="EJ123" s="723">
        <f>IF(EH123=0,0,(EI123-EH123)/EH123*100)</f>
        <v>0</v>
      </c>
      <c r="EK123" s="833">
        <f>IF(EK125=0,0,(EK124*EK125+EK126*EK127*6)/EK125)</f>
        <v>0</v>
      </c>
      <c r="EL123" s="833">
        <f>IF(EL125=0,0,(EL124*EL125+EL126*EL127*6)/EL125)</f>
        <v>0</v>
      </c>
      <c r="EM123" s="723">
        <f>IF(EK123=0,0,(EL123-EK123)/EK123*100)</f>
        <v>0</v>
      </c>
      <c r="EN123" s="833">
        <f>IF(EN125=0,0,(EN124*EN125+EN126*EN127*6)/EN125)</f>
        <v>0</v>
      </c>
      <c r="EO123" s="833">
        <f>IF(EO125=0,0,(EO124*EO125+EO126*EO127*6)/EO125)</f>
        <v>0</v>
      </c>
      <c r="EP123" s="723">
        <f>IF(EN123=0,0,(EO123-EN123)/EN123*100)</f>
        <v>0</v>
      </c>
      <c r="EQ123" s="833">
        <f>IF(EQ125=0,0,(EQ124*EQ125+EQ126*EQ127*6)/EQ125)</f>
        <v>0</v>
      </c>
      <c r="ER123" s="833">
        <f>IF(ER125=0,0,(ER124*ER125+ER126*ER127*6)/ER125)</f>
        <v>0</v>
      </c>
      <c r="ES123" s="723">
        <f>IF(EQ123=0,0,(ER123-EQ123)/EQ123*100)</f>
        <v>0</v>
      </c>
      <c r="ET123" s="833">
        <f>IF(ET125=0,0,(ET124*ET125+ET126*ET127*6)/ET125)</f>
        <v>0</v>
      </c>
      <c r="EU123" s="833">
        <f>IF(EU125=0,0,(EU124*EU125+EU126*EU127*6)/EU125)</f>
        <v>0</v>
      </c>
      <c r="EV123" s="723">
        <f>IF(ET123=0,0,(EU123-ET123)/ET123*100)</f>
        <v>0</v>
      </c>
      <c r="EW123" s="833">
        <f>IF(EW125=0,0,(EW124*EW125+EW126*EW127*6)/EW125)</f>
        <v>0</v>
      </c>
      <c r="EX123" s="833">
        <f>IF(EX125=0,0,(EX124*EX125+EX126*EX127*6)/EX125)</f>
        <v>0</v>
      </c>
      <c r="EY123" s="723">
        <f>IF(EW123=0,0,(EX123-EW123)/EW123*100)</f>
        <v>0</v>
      </c>
      <c r="EZ123" s="833">
        <f>IF(EZ125=0,0,(EZ124*EZ125+EZ126*EZ127*6)/EZ125)</f>
        <v>0</v>
      </c>
      <c r="FA123" s="833">
        <f>IF(FA125=0,0,(FA124*FA125+FA126*FA127*6)/FA125)</f>
        <v>0</v>
      </c>
      <c r="FB123" s="723">
        <f>IF(EZ123=0,0,(FA123-EZ123)/EZ123*100)</f>
        <v>0</v>
      </c>
      <c r="FC123" s="833">
        <f>IF(FC125=0,0,(FC124*FC125+FC126*FC127*6)/FC125)</f>
        <v>0</v>
      </c>
      <c r="FD123" s="833">
        <f>IF(FD125=0,0,(FD124*FD125+FD126*FD127*6)/FD125)</f>
        <v>0</v>
      </c>
      <c r="FE123" s="723">
        <f>IF(FC123=0,0,(FD123-FC123)/FC123*100)</f>
        <v>0</v>
      </c>
      <c r="FF123" s="833">
        <f>IF(FF125=0,0,(FF124*FF125+FF126*FF127*6)/FF125)</f>
        <v>0</v>
      </c>
      <c r="FG123" s="833">
        <f>IF(FG125=0,0,(FG124*FG125+FG126*FG127*6)/FG125)</f>
        <v>0</v>
      </c>
      <c r="FH123" s="723">
        <f>IF(FF123=0,0,(FG123-FF123)/FF123*100)</f>
        <v>0</v>
      </c>
      <c r="FI123" s="833">
        <f>IF(FI125=0,0,(FI124*FI125+FI126*FI127*6)/FI125)</f>
        <v>0</v>
      </c>
      <c r="FJ123" s="833">
        <f>IF(FJ125=0,0,(FJ124*FJ125+FJ126*FJ127*6)/FJ125)</f>
        <v>0</v>
      </c>
      <c r="FK123" s="723">
        <f>IF(FI123=0,0,(FJ123-FI123)/FI123*100)</f>
        <v>0</v>
      </c>
      <c r="FL123" s="833">
        <f>IF(FL125=0,0,(FL124*FL125+FL126*FL127*6)/FL125)</f>
        <v>0</v>
      </c>
      <c r="FM123" s="833">
        <f>IF(FM125=0,0,(FM124*FM125+FM126*FM127*6)/FM125)</f>
        <v>0</v>
      </c>
      <c r="FN123" s="723">
        <f>IF(FL123=0,0,(FM123-FL123)/FL123*100)</f>
        <v>0</v>
      </c>
      <c r="FO123" s="833">
        <f>IF(FO125=0,0,(FO124*FO125+FO126*FO127*6)/FO125)</f>
        <v>0</v>
      </c>
      <c r="FP123" s="833">
        <f>IF(FP125=0,0,(FP124*FP125+FP126*FP127*6)/FP125)</f>
        <v>0</v>
      </c>
      <c r="FQ123" s="723">
        <f>IF(FO123=0,0,(FP123-FO123)/FO123*100)</f>
        <v>0</v>
      </c>
      <c r="FR123" s="833">
        <f>IF(FR125=0,0,(FR124*FR125+FR126*FR127*6)/FR125)</f>
        <v>0</v>
      </c>
      <c r="FS123" s="833">
        <f>IF(FS125=0,0,(FS124*FS125+FS126*FS127*6)/FS125)</f>
        <v>0</v>
      </c>
      <c r="FT123" s="723">
        <f>IF(FR123=0,0,(FS123-FR123)/FR123*100)</f>
        <v>0</v>
      </c>
      <c r="FU123" s="833">
        <f>IF(FU125=0,0,(FU124*FU125+FU126*FU127*6)/FU125)</f>
        <v>0</v>
      </c>
      <c r="FV123" s="833">
        <f>IF(FV125=0,0,(FV124*FV125+FV126*FV127*6)/FV125)</f>
        <v>0</v>
      </c>
      <c r="FW123" s="723">
        <f>IF(FU123=0,0,(FV123-FU123)/FU123*100)</f>
        <v>0</v>
      </c>
      <c r="FZ123" s="700" t="s">
        <v>1678</v>
      </c>
    </row>
    <row r="124" spans="1:182" ht="14.25" hidden="1" customHeight="1">
      <c r="A124" s="78"/>
      <c r="B124" s="622" t="b" cm="1">
        <f t="array" ref="B124">B123</f>
        <v>0</v>
      </c>
      <c r="C124" s="78"/>
      <c r="D124" s="78"/>
      <c r="E124" s="473">
        <v>15</v>
      </c>
      <c r="F124" s="3" t="str" cm="1">
        <f t="array" aca="1" ref="F124" ca="1">OFFSET(E124,-1,1)</f>
        <v>1</v>
      </c>
      <c r="G124" s="78"/>
      <c r="H124" s="78" t="s">
        <v>1566</v>
      </c>
      <c r="I124" s="78" t="s">
        <v>1637</v>
      </c>
      <c r="J124" s="78"/>
      <c r="K124" s="78"/>
      <c r="L124" s="78"/>
      <c r="M124" s="78"/>
      <c r="N124" s="78"/>
      <c r="O124" s="78"/>
      <c r="P124" s="78"/>
      <c r="Q124" s="78"/>
      <c r="R124" s="78"/>
      <c r="S124" s="78"/>
      <c r="T124" s="365" t="b" cm="1">
        <f t="array" aca="1" ref="T124" ca="1">T123</f>
        <v>1</v>
      </c>
      <c r="U124" s="78"/>
      <c r="V124" s="78"/>
      <c r="W124" s="78"/>
      <c r="X124" s="1094"/>
      <c r="Y124" s="78"/>
      <c r="Z124" s="1064"/>
      <c r="AA124" s="78"/>
      <c r="AB124" s="12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31" t="s">
        <v>1624</v>
      </c>
      <c r="AD124" s="833"/>
      <c r="AE124" s="833"/>
      <c r="AF124" s="723">
        <f>IF(AD124=0,0,(AE124-AD124)/AD124*100)</f>
        <v>0</v>
      </c>
      <c r="AG124" s="833"/>
      <c r="AH124" s="833"/>
      <c r="AI124" s="723">
        <f>IF(AG124=0,0,(AH124-AG124)/AG124*100)</f>
        <v>0</v>
      </c>
      <c r="AJ124" s="833"/>
      <c r="AK124" s="833"/>
      <c r="AL124" s="723">
        <f>IF(AJ124=0,0,(AK124-AJ124)/AJ124*100)</f>
        <v>0</v>
      </c>
      <c r="AM124" s="833"/>
      <c r="AN124" s="833"/>
      <c r="AO124" s="723">
        <f>IF(AM124=0,0,(AN124-AM124)/AM124*100)</f>
        <v>0</v>
      </c>
      <c r="AP124" s="833"/>
      <c r="AQ124" s="833"/>
      <c r="AR124" s="723">
        <f>IF(AP124=0,0,(AQ124-AP124)/AP124*100)</f>
        <v>0</v>
      </c>
      <c r="AS124" s="833"/>
      <c r="AT124" s="833"/>
      <c r="AU124" s="723">
        <f>IF(AS124=0,0,(AT124-AS124)/AS124*100)</f>
        <v>0</v>
      </c>
      <c r="AV124" s="833"/>
      <c r="AW124" s="833"/>
      <c r="AX124" s="723">
        <f>IF(AV124=0,0,(AW124-AV124)/AV124*100)</f>
        <v>0</v>
      </c>
      <c r="AY124" s="833"/>
      <c r="AZ124" s="833"/>
      <c r="BA124" s="723">
        <f>IF(AY124=0,0,(AZ124-AY124)/AY124*100)</f>
        <v>0</v>
      </c>
      <c r="BB124" s="833"/>
      <c r="BC124" s="833"/>
      <c r="BD124" s="723">
        <f>IF(BB124=0,0,(BC124-BB124)/BB124*100)</f>
        <v>0</v>
      </c>
      <c r="BE124" s="833"/>
      <c r="BF124" s="833"/>
      <c r="BG124" s="723">
        <f>IF(BE124=0,0,(BF124-BE124)/BE124*100)</f>
        <v>0</v>
      </c>
      <c r="BH124" s="833"/>
      <c r="BI124" s="833"/>
      <c r="BJ124" s="723">
        <f>IF(BH124=0,0,(BI124-BH124)/BH124*100)</f>
        <v>0</v>
      </c>
      <c r="BK124" s="833"/>
      <c r="BL124" s="833"/>
      <c r="BM124" s="723">
        <f>IF(BK124=0,0,(BL124-BK124)/BK124*100)</f>
        <v>0</v>
      </c>
      <c r="BN124" s="833"/>
      <c r="BO124" s="833"/>
      <c r="BP124" s="723">
        <f>IF(BN124=0,0,(BO124-BN124)/BN124*100)</f>
        <v>0</v>
      </c>
      <c r="BQ124" s="833"/>
      <c r="BR124" s="833"/>
      <c r="BS124" s="723">
        <f>IF(BQ124=0,0,(BR124-BQ124)/BQ124*100)</f>
        <v>0</v>
      </c>
      <c r="BT124" s="833"/>
      <c r="BU124" s="833"/>
      <c r="BV124" s="723">
        <f>IF(BT124=0,0,(BU124-BT124)/BT124*100)</f>
        <v>0</v>
      </c>
      <c r="BW124" s="833"/>
      <c r="BX124" s="833"/>
      <c r="BY124" s="723">
        <f>IF(BW124=0,0,(BX124-BW124)/BW124*100)</f>
        <v>0</v>
      </c>
      <c r="BZ124" s="833"/>
      <c r="CA124" s="833"/>
      <c r="CB124" s="723">
        <f>IF(BZ124=0,0,(CA124-BZ124)/BZ124*100)</f>
        <v>0</v>
      </c>
      <c r="CC124" s="833"/>
      <c r="CD124" s="833"/>
      <c r="CE124" s="723">
        <f>IF(CC124=0,0,(CD124-CC124)/CC124*100)</f>
        <v>0</v>
      </c>
      <c r="CF124" s="833"/>
      <c r="CG124" s="833"/>
      <c r="CH124" s="723">
        <f>IF(CF124=0,0,(CG124-CF124)/CF124*100)</f>
        <v>0</v>
      </c>
      <c r="CI124" s="833"/>
      <c r="CJ124" s="833"/>
      <c r="CK124" s="723">
        <f>IF(CI124=0,0,(CJ124-CI124)/CI124*100)</f>
        <v>0</v>
      </c>
      <c r="CL124" s="833"/>
      <c r="CM124" s="833"/>
      <c r="CN124" s="723">
        <f>IF(CL124=0,0,(CM124-CL124)/CL124*100)</f>
        <v>0</v>
      </c>
      <c r="CO124" s="833"/>
      <c r="CP124" s="833"/>
      <c r="CQ124" s="723">
        <f>IF(CO124=0,0,(CP124-CO124)/CO124*100)</f>
        <v>0</v>
      </c>
      <c r="CR124" s="833"/>
      <c r="CS124" s="833"/>
      <c r="CT124" s="723">
        <f>IF(CR124=0,0,(CS124-CR124)/CR124*100)</f>
        <v>0</v>
      </c>
      <c r="CU124" s="833"/>
      <c r="CV124" s="833"/>
      <c r="CW124" s="723">
        <f>IF(CU124=0,0,(CV124-CU124)/CU124*100)</f>
        <v>0</v>
      </c>
      <c r="CX124" s="833"/>
      <c r="CY124" s="833"/>
      <c r="CZ124" s="723">
        <f>IF(CX124=0,0,(CY124-CX124)/CX124*100)</f>
        <v>0</v>
      </c>
      <c r="DA124" s="833"/>
      <c r="DB124" s="833"/>
      <c r="DC124" s="723">
        <f>IF(DA124=0,0,(DB124-DA124)/DA124*100)</f>
        <v>0</v>
      </c>
      <c r="DD124" s="833"/>
      <c r="DE124" s="833"/>
      <c r="DF124" s="723">
        <f>IF(DD124=0,0,(DE124-DD124)/DD124*100)</f>
        <v>0</v>
      </c>
      <c r="DG124" s="833"/>
      <c r="DH124" s="833"/>
      <c r="DI124" s="723">
        <f>IF(DG124=0,0,(DH124-DG124)/DG124*100)</f>
        <v>0</v>
      </c>
      <c r="DJ124" s="833"/>
      <c r="DK124" s="833"/>
      <c r="DL124" s="723">
        <f>IF(DJ124=0,0,(DK124-DJ124)/DJ124*100)</f>
        <v>0</v>
      </c>
      <c r="DM124" s="833"/>
      <c r="DN124" s="833"/>
      <c r="DO124" s="723">
        <f>IF(DM124=0,0,(DN124-DM124)/DM124*100)</f>
        <v>0</v>
      </c>
      <c r="DP124" s="833"/>
      <c r="DQ124" s="833"/>
      <c r="DR124" s="723">
        <f>IF(DP124=0,0,(DQ124-DP124)/DP124*100)</f>
        <v>0</v>
      </c>
      <c r="DS124" s="833"/>
      <c r="DT124" s="833"/>
      <c r="DU124" s="723">
        <f>IF(DS124=0,0,(DT124-DS124)/DS124*100)</f>
        <v>0</v>
      </c>
      <c r="DV124" s="833"/>
      <c r="DW124" s="833"/>
      <c r="DX124" s="723">
        <f>IF(DV124=0,0,(DW124-DV124)/DV124*100)</f>
        <v>0</v>
      </c>
      <c r="DY124" s="833"/>
      <c r="DZ124" s="833"/>
      <c r="EA124" s="723">
        <f>IF(DY124=0,0,(DZ124-DY124)/DY124*100)</f>
        <v>0</v>
      </c>
      <c r="EB124" s="833"/>
      <c r="EC124" s="833"/>
      <c r="ED124" s="723">
        <f>IF(EB124=0,0,(EC124-EB124)/EB124*100)</f>
        <v>0</v>
      </c>
      <c r="EE124" s="833"/>
      <c r="EF124" s="833"/>
      <c r="EG124" s="723">
        <f>IF(EE124=0,0,(EF124-EE124)/EE124*100)</f>
        <v>0</v>
      </c>
      <c r="EH124" s="833"/>
      <c r="EI124" s="833"/>
      <c r="EJ124" s="723">
        <f>IF(EH124=0,0,(EI124-EH124)/EH124*100)</f>
        <v>0</v>
      </c>
      <c r="EK124" s="833"/>
      <c r="EL124" s="833"/>
      <c r="EM124" s="723">
        <f>IF(EK124=0,0,(EL124-EK124)/EK124*100)</f>
        <v>0</v>
      </c>
      <c r="EN124" s="833"/>
      <c r="EO124" s="833"/>
      <c r="EP124" s="723">
        <f>IF(EN124=0,0,(EO124-EN124)/EN124*100)</f>
        <v>0</v>
      </c>
      <c r="EQ124" s="833"/>
      <c r="ER124" s="833"/>
      <c r="ES124" s="723">
        <f>IF(EQ124=0,0,(ER124-EQ124)/EQ124*100)</f>
        <v>0</v>
      </c>
      <c r="ET124" s="833"/>
      <c r="EU124" s="833"/>
      <c r="EV124" s="723">
        <f>IF(ET124=0,0,(EU124-ET124)/ET124*100)</f>
        <v>0</v>
      </c>
      <c r="EW124" s="833"/>
      <c r="EX124" s="833"/>
      <c r="EY124" s="723">
        <f>IF(EW124=0,0,(EX124-EW124)/EW124*100)</f>
        <v>0</v>
      </c>
      <c r="EZ124" s="833"/>
      <c r="FA124" s="833"/>
      <c r="FB124" s="723">
        <f>IF(EZ124=0,0,(FA124-EZ124)/EZ124*100)</f>
        <v>0</v>
      </c>
      <c r="FC124" s="833"/>
      <c r="FD124" s="833"/>
      <c r="FE124" s="723">
        <f>IF(FC124=0,0,(FD124-FC124)/FC124*100)</f>
        <v>0</v>
      </c>
      <c r="FF124" s="833"/>
      <c r="FG124" s="833"/>
      <c r="FH124" s="723">
        <f>IF(FF124=0,0,(FG124-FF124)/FF124*100)</f>
        <v>0</v>
      </c>
      <c r="FI124" s="833"/>
      <c r="FJ124" s="833"/>
      <c r="FK124" s="723">
        <f>IF(FI124=0,0,(FJ124-FI124)/FI124*100)</f>
        <v>0</v>
      </c>
      <c r="FL124" s="833"/>
      <c r="FM124" s="833"/>
      <c r="FN124" s="723">
        <f>IF(FL124=0,0,(FM124-FL124)/FL124*100)</f>
        <v>0</v>
      </c>
      <c r="FO124" s="833"/>
      <c r="FP124" s="833"/>
      <c r="FQ124" s="723">
        <f>IF(FO124=0,0,(FP124-FO124)/FO124*100)</f>
        <v>0</v>
      </c>
      <c r="FR124" s="833"/>
      <c r="FS124" s="833"/>
      <c r="FT124" s="723">
        <f>IF(FR124=0,0,(FS124-FR124)/FR124*100)</f>
        <v>0</v>
      </c>
      <c r="FU124" s="833"/>
      <c r="FV124" s="833"/>
      <c r="FW124" s="723">
        <f>IF(FU124=0,0,(FV124-FU124)/FU124*100)</f>
        <v>0</v>
      </c>
      <c r="FZ124" s="700" t="s">
        <v>1679</v>
      </c>
    </row>
    <row r="125" spans="1:182" ht="14.25" hidden="1" customHeight="1">
      <c r="A125" s="78"/>
      <c r="B125" s="622" t="b" cm="1">
        <f t="array" ref="B125">B124</f>
        <v>0</v>
      </c>
      <c r="C125" s="78"/>
      <c r="D125" s="78"/>
      <c r="E125" s="473">
        <v>15</v>
      </c>
      <c r="F125" s="3" t="str" cm="1">
        <f t="array" aca="1" ref="F125" ca="1">OFFSET(E125,-1,1)</f>
        <v>1</v>
      </c>
      <c r="G125" s="44" t="s">
        <v>1680</v>
      </c>
      <c r="H125" s="78" t="s">
        <v>1661</v>
      </c>
      <c r="I125" s="78" t="s">
        <v>1637</v>
      </c>
      <c r="J125" s="78"/>
      <c r="K125" s="78"/>
      <c r="L125" s="78"/>
      <c r="M125" s="78"/>
      <c r="N125" s="78"/>
      <c r="O125" s="78"/>
      <c r="P125" s="78"/>
      <c r="Q125" s="78"/>
      <c r="R125" s="78"/>
      <c r="S125" s="78"/>
      <c r="T125" s="365" t="b" cm="1">
        <f t="array" aca="1" ref="T125" ca="1">T124</f>
        <v>1</v>
      </c>
      <c r="U125" s="78"/>
      <c r="V125" s="78"/>
      <c r="W125" s="78"/>
      <c r="X125" s="1094"/>
      <c r="Y125" s="78"/>
      <c r="Z125" s="1064"/>
      <c r="AA125" s="78"/>
      <c r="AB125" s="124" t="str">
        <f>"объём "&amp;IF(Q92="Водоснабжение","потребления холодной воды","водоотведения")</f>
        <v>объём потребления холодной воды</v>
      </c>
      <c r="AC125" s="31" t="s">
        <v>534</v>
      </c>
      <c r="AD125" s="849">
        <f ca="1">IF(AND(method_reg="Метод индексации",god&lt;&gt;first_year),SUMIFS(INDEX('Калькуляция (МИ корр)'!$AJ$25:$BC$459,,MATCH(AD$8,'Калькуляция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(МИ)'!$AJ$25:$BC$459,,MATCH(AD$8,'Калькуляция (МИ)'!$AJ$8:$BC$8,0)),'Калькуляция (МИ)'!$F$25:$F$459,$F125,'Калькуляция (МИ)'!$G$25:$G$459,$G125))))</f>
        <v>396.70124999999996</v>
      </c>
      <c r="AE125" s="849">
        <f ca="1">IF(AND(method_reg="Метод индексации",god&lt;&gt;first_year),SUMIFS(INDEX('Калькуляция (МИ корр)'!$AJ$25:$BC$459,,MATCH(AE$8,'Калькуляция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(МИ)'!$AJ$25:$BC$459,,MATCH(AE$8,'Калькуляция (МИ)'!$AJ$8:$BC$8,0)),'Калькуляция (МИ)'!$F$25:$F$459,$F125,'Калькуляция (МИ)'!$G$25:$G$459,$G125))))</f>
        <v>396.35775000000001</v>
      </c>
      <c r="AF125" s="724">
        <f ca="1">IF(AD125=0,0,(AE125-AD125)/AD125*100)</f>
        <v>-8.6589089396604896E-2</v>
      </c>
      <c r="AG125" s="849">
        <f ca="1">IF(AND(method_reg="Метод индексации",god&lt;&gt;first_year),SUMIFS(INDEX('Калькуляция (МИ корр)'!$AJ$25:$BC$459,,MATCH(AG$8,'Калькуляция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(МИ)'!$AJ$25:$BC$459,,MATCH(AG$8,'Калькуляция (МИ)'!$AJ$8:$BC$8,0)),'Калькуляция (МИ)'!$F$25:$F$459,$F125,'Калькуляция (МИ)'!$G$25:$G$459,$G125))))</f>
        <v>0</v>
      </c>
      <c r="AH125" s="849">
        <f ca="1">IF(AND(method_reg="Метод индексации",god&lt;&gt;first_year),SUMIFS(INDEX('Калькуляция (МИ корр)'!$AJ$25:$BC$459,,MATCH(AH$8,'Калькуляция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(МИ)'!$AJ$25:$BC$459,,MATCH(AH$8,'Калькуляция (МИ)'!$AJ$8:$BC$8,0)),'Калькуляция (МИ)'!$F$25:$F$459,$F125,'Калькуляция (МИ)'!$G$25:$G$459,$G125))))</f>
        <v>0</v>
      </c>
      <c r="AI125" s="724">
        <f ca="1">IF(AG125=0,0,(AH125-AG125)/AG125*100)</f>
        <v>0</v>
      </c>
      <c r="AJ125" s="849">
        <f ca="1">IF(AND(method_reg="Метод индексации",god&lt;&gt;first_year),SUMIFS(INDEX('Калькуляция (МИ корр)'!$AJ$25:$BC$459,,MATCH(AJ$8,'Калькуляция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(МИ)'!$AJ$25:$BC$459,,MATCH(AJ$8,'Калькуляция (МИ)'!$AJ$8:$BC$8,0)),'Калькуляция (МИ)'!$F$25:$F$459,$F125,'Калькуляция (МИ)'!$G$25:$G$459,$G125))))</f>
        <v>0</v>
      </c>
      <c r="AK125" s="849">
        <f ca="1">IF(AND(method_reg="Метод индексации",god&lt;&gt;first_year),SUMIFS(INDEX('Калькуляция (МИ корр)'!$AJ$25:$BC$459,,MATCH(AK$8,'Калькуляция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(МИ)'!$AJ$25:$BC$459,,MATCH(AK$8,'Калькуляция (МИ)'!$AJ$8:$BC$8,0)),'Калькуляция (МИ)'!$F$25:$F$459,$F125,'Калькуляция (МИ)'!$G$25:$G$459,$G125))))</f>
        <v>0</v>
      </c>
      <c r="AL125" s="724">
        <f ca="1">IF(AJ125=0,0,(AK125-AJ125)/AJ125*100)</f>
        <v>0</v>
      </c>
      <c r="AM125" s="849">
        <f ca="1">IF(AND(method_reg="Метод индексации",god&lt;&gt;first_year),SUMIFS(INDEX('Калькуляция (МИ корр)'!$AJ$25:$BC$459,,MATCH(AM$8,'Калькуляция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(МИ)'!$AJ$25:$BC$459,,MATCH(AM$8,'Калькуляция (МИ)'!$AJ$8:$BC$8,0)),'Калькуляция (МИ)'!$F$25:$F$459,$F125,'Калькуляция (МИ)'!$G$25:$G$459,$G125))))</f>
        <v>0</v>
      </c>
      <c r="AN125" s="849">
        <f ca="1">IF(AND(method_reg="Метод индексации",god&lt;&gt;first_year),SUMIFS(INDEX('Калькуляция (МИ корр)'!$AJ$25:$BC$459,,MATCH(AN$8,'Калькуляция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(МИ)'!$AJ$25:$BC$459,,MATCH(AN$8,'Калькуляция (МИ)'!$AJ$8:$BC$8,0)),'Калькуляция (МИ)'!$F$25:$F$459,$F125,'Калькуляция (МИ)'!$G$25:$G$459,$G125))))</f>
        <v>0</v>
      </c>
      <c r="AO125" s="724">
        <f ca="1">IF(AM125=0,0,(AN125-AM125)/AM125*100)</f>
        <v>0</v>
      </c>
      <c r="AP125" s="849">
        <f ca="1">IF(AND(method_reg="Метод индексации",god&lt;&gt;first_year),SUMIFS(INDEX('Калькуляция (МИ корр)'!$AJ$25:$BC$459,,MATCH(AP$8,'Калькуляция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(МИ)'!$AJ$25:$BC$459,,MATCH(AP$8,'Калькуляция (МИ)'!$AJ$8:$BC$8,0)),'Калькуляция (МИ)'!$F$25:$F$459,$F125,'Калькуляция (МИ)'!$G$25:$G$459,$G125))))</f>
        <v>0</v>
      </c>
      <c r="AQ125" s="849">
        <f ca="1">IF(AND(method_reg="Метод индексации",god&lt;&gt;first_year),SUMIFS(INDEX('Калькуляция (МИ корр)'!$AJ$25:$BC$459,,MATCH(AQ$8,'Калькуляция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(МИ)'!$AJ$25:$BC$459,,MATCH(AQ$8,'Калькуляция (МИ)'!$AJ$8:$BC$8,0)),'Калькуляция (МИ)'!$F$25:$F$459,$F125,'Калькуляция (МИ)'!$G$25:$G$459,$G125))))</f>
        <v>0</v>
      </c>
      <c r="AR125" s="724">
        <f ca="1">IF(AP125=0,0,(AQ125-AP125)/AP125*100)</f>
        <v>0</v>
      </c>
      <c r="AS125" s="849">
        <f ca="1">IF(AND(method_reg="Метод индексации",god&lt;&gt;first_year),SUMIFS(INDEX('Калькуляция (МИ корр)'!$AJ$25:$BC$459,,MATCH(AS$8,'Калькуляция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(МИ)'!$AJ$25:$BC$459,,MATCH(AS$8,'Калькуляция (МИ)'!$AJ$8:$BC$8,0)),'Калькуляция (МИ)'!$F$25:$F$459,$F125,'Калькуляция (МИ)'!$G$25:$G$459,$G125))))</f>
        <v>0</v>
      </c>
      <c r="AT125" s="849">
        <f ca="1">IF(AND(method_reg="Метод индексации",god&lt;&gt;first_year),SUMIFS(INDEX('Калькуляция (МИ корр)'!$AJ$25:$BC$459,,MATCH(AT$8,'Калькуляция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(МИ)'!$AJ$25:$BC$459,,MATCH(AT$8,'Калькуляция (МИ)'!$AJ$8:$BC$8,0)),'Калькуляция (МИ)'!$F$25:$F$459,$F125,'Калькуляция (МИ)'!$G$25:$G$459,$G125))))</f>
        <v>0</v>
      </c>
      <c r="AU125" s="724">
        <f ca="1">IF(AS125=0,0,(AT125-AS125)/AS125*100)</f>
        <v>0</v>
      </c>
      <c r="AV125" s="849">
        <f ca="1">IF(AND(method_reg="Метод индексации",god&lt;&gt;first_year),SUMIFS(INDEX('Калькуляция (МИ корр)'!$AJ$25:$BC$459,,MATCH(AV$8,'Калькуляция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(МИ)'!$AJ$25:$BC$459,,MATCH(AV$8,'Калькуляция (МИ)'!$AJ$8:$BC$8,0)),'Калькуляция (МИ)'!$F$25:$F$459,$F125,'Калькуляция (МИ)'!$G$25:$G$459,$G125))))</f>
        <v>0</v>
      </c>
      <c r="AW125" s="849">
        <f ca="1">IF(AND(method_reg="Метод индексации",god&lt;&gt;first_year),SUMIFS(INDEX('Калькуляция (МИ корр)'!$AJ$25:$BC$459,,MATCH(AW$8,'Калькуляция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(МИ)'!$AJ$25:$BC$459,,MATCH(AW$8,'Калькуляция (МИ)'!$AJ$8:$BC$8,0)),'Калькуляция (МИ)'!$F$25:$F$459,$F125,'Калькуляция (МИ)'!$G$25:$G$459,$G125))))</f>
        <v>0</v>
      </c>
      <c r="AX125" s="724">
        <f ca="1">IF(AV125=0,0,(AW125-AV125)/AV125*100)</f>
        <v>0</v>
      </c>
      <c r="AY125" s="849">
        <f ca="1">IF(AND(method_reg="Метод индексации",god&lt;&gt;first_year),SUMIFS(INDEX('Калькуляция (МИ корр)'!$AJ$25:$BC$459,,MATCH(AY$8,'Калькуляция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(МИ)'!$AJ$25:$BC$459,,MATCH(AY$8,'Калькуляция (МИ)'!$AJ$8:$BC$8,0)),'Калькуляция (МИ)'!$F$25:$F$459,$F125,'Калькуляция (МИ)'!$G$25:$G$459,$G125))))</f>
        <v>0</v>
      </c>
      <c r="AZ125" s="849">
        <f ca="1">IF(AND(method_reg="Метод индексации",god&lt;&gt;first_year),SUMIFS(INDEX('Калькуляция (МИ корр)'!$AJ$25:$BC$459,,MATCH(AZ$8,'Калькуляция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(МИ)'!$AJ$25:$BC$459,,MATCH(AZ$8,'Калькуляция (МИ)'!$AJ$8:$BC$8,0)),'Калькуляция (МИ)'!$F$25:$F$459,$F125,'Калькуляция (МИ)'!$G$25:$G$459,$G125))))</f>
        <v>0</v>
      </c>
      <c r="BA125" s="724">
        <f ca="1">IF(AY125=0,0,(AZ125-AY125)/AY125*100)</f>
        <v>0</v>
      </c>
      <c r="BB125" s="849">
        <f ca="1">IF(AND(method_reg="Метод индексации",god&lt;&gt;first_year),SUMIFS(INDEX('Калькуляция (МИ корр)'!$AJ$25:$BC$459,,MATCH(BB$8,'Калькуляция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(МИ)'!$AJ$25:$BC$459,,MATCH(BB$8,'Калькуляция (МИ)'!$AJ$8:$BC$8,0)),'Калькуляция (МИ)'!$F$25:$F$459,$F125,'Калькуляция (МИ)'!$G$25:$G$459,$G125))))</f>
        <v>0</v>
      </c>
      <c r="BC125" s="849">
        <f ca="1">IF(AND(method_reg="Метод индексации",god&lt;&gt;first_year),SUMIFS(INDEX('Калькуляция (МИ корр)'!$AJ$25:$BC$459,,MATCH(BC$8,'Калькуляция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(МИ)'!$AJ$25:$BC$459,,MATCH(BC$8,'Калькуляция (МИ)'!$AJ$8:$BC$8,0)),'Калькуляция (МИ)'!$F$25:$F$459,$F125,'Калькуляция (МИ)'!$G$25:$G$459,$G125))))</f>
        <v>0</v>
      </c>
      <c r="BD125" s="724">
        <f ca="1">IF(BB125=0,0,(BC125-BB125)/BB125*100)</f>
        <v>0</v>
      </c>
      <c r="BE125" s="849">
        <f ca="1">IF(AND(method_reg="Метод индексации",god&lt;&gt;first_year),SUMIFS(INDEX('Калькуляция (МИ корр)'!$AJ$25:$BC$459,,MATCH(BE$8,'Калькуляция (МИ корр)'!$AJ$8:$BC$8,0)),'Калькуляция (МИ корр)'!$F$25:$F$459,$F125,'Калькуляция (МИ корр)'!$G$25:$G$459,$G125),IF(method_reg="Метод экономически обоснованных расходов",SUMIFS('Калькуляция (МЭОР)'!$AJ$25:$AJ$282,'Калькуляция (МЭОР)'!$F$25:$F$282,$F125,'Калькуляция (МЭОР)'!$G$25:$G$282,$G125),IF(method_reg="Метод сравнения аналогов",SUMIFS('Калькуляция (МСА)'!$AE$25:$AE$84,'Калькуляция (МСА)'!$F$25:$F$84,$F125,'Калькуляция (МСА)'!$G$25:$G$84,$G125),SUMIFS(INDEX('Калькуляция (МИ)'!$AJ$25:$BC$459,,MATCH(BE$8,'Калькуляция (МИ)'!$AJ$8:$BC$8,0)),'Калькуляция (МИ)'!$F$25:$F$459,$F125,'Калькуляция (МИ)'!$G$25:$G$459,$G125))))</f>
        <v>0</v>
      </c>
      <c r="BF125" s="849">
        <f ca="1">IF(AND(method_reg="Метод индексации",god&lt;&gt;first_year),SUMIFS(INDEX('Калькуляция (МИ корр)'!$AJ$25:$BC$459,,MATCH(BF$8,'Калькуляция (МИ корр)'!$AJ$8:$BC$8,0)),'Калькуляция (МИ корр)'!$F$25:$F$459,$F125,'Калькуляция (МИ корр)'!$G$25:$G$459,$G125),IF(method_reg="Метод экономически обоснованных расходов",SUMIFS('Калькуляция (МЭОР)'!$AK$25:$AK$282,'Калькуляция (МЭОР)'!$F$25:$F$282,$F125,'Калькуляция (МЭОР)'!$G$25:$G$282,$G125),IF(method_reg="Метод сравнения аналогов",SUMIFS('Калькуляция (МСА)'!$AF$25:$AF$84,'Калькуляция (МСА)'!$F$25:$F$84,$F125,'Калькуляция (МСА)'!$G$25:$G$84,$G125),SUMIFS(INDEX('Калькуляция (МИ)'!$AJ$25:$BC$459,,MATCH(BF$8,'Калькуляция (МИ)'!$AJ$8:$BC$8,0)),'Калькуляция (МИ)'!$F$25:$F$459,$F125,'Калькуляция (МИ)'!$G$25:$G$459,$G125))))</f>
        <v>0</v>
      </c>
      <c r="BG125" s="724">
        <f ca="1">IF(BE125=0,0,(BF125-BE125)/BE125*100)</f>
        <v>0</v>
      </c>
      <c r="BH125" s="849"/>
      <c r="BI125" s="849"/>
      <c r="BJ125" s="724">
        <f>IF(BH125=0,0,(BI125-BH125)/BH125*100)</f>
        <v>0</v>
      </c>
      <c r="BK125" s="849"/>
      <c r="BL125" s="849"/>
      <c r="BM125" s="724">
        <f>IF(BK125=0,0,(BL125-BK125)/BK125*100)</f>
        <v>0</v>
      </c>
      <c r="BN125" s="849"/>
      <c r="BO125" s="849"/>
      <c r="BP125" s="724">
        <f>IF(BN125=0,0,(BO125-BN125)/BN125*100)</f>
        <v>0</v>
      </c>
      <c r="BQ125" s="849"/>
      <c r="BR125" s="849"/>
      <c r="BS125" s="724">
        <f>IF(BQ125=0,0,(BR125-BQ125)/BQ125*100)</f>
        <v>0</v>
      </c>
      <c r="BT125" s="849"/>
      <c r="BU125" s="849"/>
      <c r="BV125" s="724">
        <f>IF(BT125=0,0,(BU125-BT125)/BT125*100)</f>
        <v>0</v>
      </c>
      <c r="BW125" s="849"/>
      <c r="BX125" s="849"/>
      <c r="BY125" s="724">
        <f>IF(BW125=0,0,(BX125-BW125)/BW125*100)</f>
        <v>0</v>
      </c>
      <c r="BZ125" s="849"/>
      <c r="CA125" s="849"/>
      <c r="CB125" s="724">
        <f>IF(BZ125=0,0,(CA125-BZ125)/BZ125*100)</f>
        <v>0</v>
      </c>
      <c r="CC125" s="849"/>
      <c r="CD125" s="849"/>
      <c r="CE125" s="724">
        <f>IF(CC125=0,0,(CD125-CC125)/CC125*100)</f>
        <v>0</v>
      </c>
      <c r="CF125" s="849"/>
      <c r="CG125" s="849"/>
      <c r="CH125" s="724">
        <f>IF(CF125=0,0,(CG125-CF125)/CF125*100)</f>
        <v>0</v>
      </c>
      <c r="CI125" s="849"/>
      <c r="CJ125" s="849"/>
      <c r="CK125" s="724">
        <f>IF(CI125=0,0,(CJ125-CI125)/CI125*100)</f>
        <v>0</v>
      </c>
      <c r="CL125" s="849"/>
      <c r="CM125" s="849"/>
      <c r="CN125" s="724">
        <f>IF(CL125=0,0,(CM125-CL125)/CL125*100)</f>
        <v>0</v>
      </c>
      <c r="CO125" s="849"/>
      <c r="CP125" s="849"/>
      <c r="CQ125" s="724">
        <f>IF(CO125=0,0,(CP125-CO125)/CO125*100)</f>
        <v>0</v>
      </c>
      <c r="CR125" s="849"/>
      <c r="CS125" s="849"/>
      <c r="CT125" s="724">
        <f>IF(CR125=0,0,(CS125-CR125)/CR125*100)</f>
        <v>0</v>
      </c>
      <c r="CU125" s="849"/>
      <c r="CV125" s="849"/>
      <c r="CW125" s="724">
        <f>IF(CU125=0,0,(CV125-CU125)/CU125*100)</f>
        <v>0</v>
      </c>
      <c r="CX125" s="849"/>
      <c r="CY125" s="849"/>
      <c r="CZ125" s="724">
        <f>IF(CX125=0,0,(CY125-CX125)/CX125*100)</f>
        <v>0</v>
      </c>
      <c r="DA125" s="849"/>
      <c r="DB125" s="849"/>
      <c r="DC125" s="724">
        <f>IF(DA125=0,0,(DB125-DA125)/DA125*100)</f>
        <v>0</v>
      </c>
      <c r="DD125" s="849"/>
      <c r="DE125" s="849"/>
      <c r="DF125" s="724">
        <f>IF(DD125=0,0,(DE125-DD125)/DD125*100)</f>
        <v>0</v>
      </c>
      <c r="DG125" s="849"/>
      <c r="DH125" s="849"/>
      <c r="DI125" s="724">
        <f>IF(DG125=0,0,(DH125-DG125)/DG125*100)</f>
        <v>0</v>
      </c>
      <c r="DJ125" s="849"/>
      <c r="DK125" s="849"/>
      <c r="DL125" s="724">
        <f>IF(DJ125=0,0,(DK125-DJ125)/DJ125*100)</f>
        <v>0</v>
      </c>
      <c r="DM125" s="849"/>
      <c r="DN125" s="849"/>
      <c r="DO125" s="724">
        <f>IF(DM125=0,0,(DN125-DM125)/DM125*100)</f>
        <v>0</v>
      </c>
      <c r="DP125" s="849"/>
      <c r="DQ125" s="849"/>
      <c r="DR125" s="724">
        <f>IF(DP125=0,0,(DQ125-DP125)/DP125*100)</f>
        <v>0</v>
      </c>
      <c r="DS125" s="849"/>
      <c r="DT125" s="849"/>
      <c r="DU125" s="724">
        <f>IF(DS125=0,0,(DT125-DS125)/DS125*100)</f>
        <v>0</v>
      </c>
      <c r="DV125" s="849"/>
      <c r="DW125" s="849"/>
      <c r="DX125" s="724">
        <f>IF(DV125=0,0,(DW125-DV125)/DV125*100)</f>
        <v>0</v>
      </c>
      <c r="DY125" s="849"/>
      <c r="DZ125" s="849"/>
      <c r="EA125" s="724">
        <f>IF(DY125=0,0,(DZ125-DY125)/DY125*100)</f>
        <v>0</v>
      </c>
      <c r="EB125" s="849"/>
      <c r="EC125" s="849"/>
      <c r="ED125" s="724">
        <f>IF(EB125=0,0,(EC125-EB125)/EB125*100)</f>
        <v>0</v>
      </c>
      <c r="EE125" s="849"/>
      <c r="EF125" s="849"/>
      <c r="EG125" s="724">
        <f>IF(EE125=0,0,(EF125-EE125)/EE125*100)</f>
        <v>0</v>
      </c>
      <c r="EH125" s="849"/>
      <c r="EI125" s="849"/>
      <c r="EJ125" s="724">
        <f>IF(EH125=0,0,(EI125-EH125)/EH125*100)</f>
        <v>0</v>
      </c>
      <c r="EK125" s="849"/>
      <c r="EL125" s="849"/>
      <c r="EM125" s="724">
        <f>IF(EK125=0,0,(EL125-EK125)/EK125*100)</f>
        <v>0</v>
      </c>
      <c r="EN125" s="849"/>
      <c r="EO125" s="849"/>
      <c r="EP125" s="724">
        <f>IF(EN125=0,0,(EO125-EN125)/EN125*100)</f>
        <v>0</v>
      </c>
      <c r="EQ125" s="849"/>
      <c r="ER125" s="849"/>
      <c r="ES125" s="724">
        <f>IF(EQ125=0,0,(ER125-EQ125)/EQ125*100)</f>
        <v>0</v>
      </c>
      <c r="ET125" s="849"/>
      <c r="EU125" s="849"/>
      <c r="EV125" s="724">
        <f>IF(ET125=0,0,(EU125-ET125)/ET125*100)</f>
        <v>0</v>
      </c>
      <c r="EW125" s="849"/>
      <c r="EX125" s="849"/>
      <c r="EY125" s="724">
        <f>IF(EW125=0,0,(EX125-EW125)/EW125*100)</f>
        <v>0</v>
      </c>
      <c r="EZ125" s="849"/>
      <c r="FA125" s="849"/>
      <c r="FB125" s="724">
        <f>IF(EZ125=0,0,(FA125-EZ125)/EZ125*100)</f>
        <v>0</v>
      </c>
      <c r="FC125" s="849"/>
      <c r="FD125" s="849"/>
      <c r="FE125" s="724">
        <f>IF(FC125=0,0,(FD125-FC125)/FC125*100)</f>
        <v>0</v>
      </c>
      <c r="FF125" s="849"/>
      <c r="FG125" s="849"/>
      <c r="FH125" s="724">
        <f>IF(FF125=0,0,(FG125-FF125)/FF125*100)</f>
        <v>0</v>
      </c>
      <c r="FI125" s="849"/>
      <c r="FJ125" s="849"/>
      <c r="FK125" s="724">
        <f>IF(FI125=0,0,(FJ125-FI125)/FI125*100)</f>
        <v>0</v>
      </c>
      <c r="FL125" s="849"/>
      <c r="FM125" s="849"/>
      <c r="FN125" s="724">
        <f>IF(FL125=0,0,(FM125-FL125)/FL125*100)</f>
        <v>0</v>
      </c>
      <c r="FO125" s="849"/>
      <c r="FP125" s="849"/>
      <c r="FQ125" s="724">
        <f>IF(FO125=0,0,(FP125-FO125)/FO125*100)</f>
        <v>0</v>
      </c>
      <c r="FR125" s="849"/>
      <c r="FS125" s="849"/>
      <c r="FT125" s="724">
        <f>IF(FR125=0,0,(FS125-FR125)/FR125*100)</f>
        <v>0</v>
      </c>
      <c r="FU125" s="849"/>
      <c r="FV125" s="849"/>
      <c r="FW125" s="724">
        <f>IF(FU125=0,0,(FV125-FU125)/FU125*100)</f>
        <v>0</v>
      </c>
      <c r="FZ125" s="700" t="s">
        <v>1681</v>
      </c>
    </row>
    <row r="126" spans="1:182" ht="21.75" hidden="1" customHeight="1">
      <c r="A126" s="78"/>
      <c r="B126" s="622" t="b" cm="1">
        <f t="array" ref="B126">B125</f>
        <v>0</v>
      </c>
      <c r="C126" s="78"/>
      <c r="D126" s="78"/>
      <c r="E126" s="473">
        <v>22.5</v>
      </c>
      <c r="F126" s="3" t="str" cm="1">
        <f t="array" aca="1" ref="F126" ca="1">OFFSET(E126,-1,1)</f>
        <v>1</v>
      </c>
      <c r="G126" s="78"/>
      <c r="H126" s="78" t="s">
        <v>1663</v>
      </c>
      <c r="I126" s="78" t="s">
        <v>1637</v>
      </c>
      <c r="J126" s="78"/>
      <c r="K126" s="78"/>
      <c r="L126" s="78"/>
      <c r="M126" s="78"/>
      <c r="N126" s="78"/>
      <c r="O126" s="78"/>
      <c r="P126" s="78"/>
      <c r="Q126" s="78"/>
      <c r="R126" s="78"/>
      <c r="S126" s="78"/>
      <c r="T126" s="365" t="b" cm="1">
        <f t="array" aca="1" ref="T126" ca="1">T125</f>
        <v>1</v>
      </c>
      <c r="U126" s="78"/>
      <c r="V126" s="78"/>
      <c r="W126" s="78"/>
      <c r="X126" s="1094"/>
      <c r="Y126" s="78"/>
      <c r="Z126" s="1064"/>
      <c r="AA126" s="78"/>
      <c r="AB126" s="12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31" t="s">
        <v>1664</v>
      </c>
      <c r="AD126" s="833"/>
      <c r="AE126" s="833"/>
      <c r="AF126" s="723">
        <f>IF(AD126=0,0,(AE126-AD126)/AD126*100)</f>
        <v>0</v>
      </c>
      <c r="AG126" s="833"/>
      <c r="AH126" s="833"/>
      <c r="AI126" s="723">
        <f>IF(AG126=0,0,(AH126-AG126)/AG126*100)</f>
        <v>0</v>
      </c>
      <c r="AJ126" s="833"/>
      <c r="AK126" s="833"/>
      <c r="AL126" s="723">
        <f>IF(AJ126=0,0,(AK126-AJ126)/AJ126*100)</f>
        <v>0</v>
      </c>
      <c r="AM126" s="833"/>
      <c r="AN126" s="833"/>
      <c r="AO126" s="723">
        <f>IF(AM126=0,0,(AN126-AM126)/AM126*100)</f>
        <v>0</v>
      </c>
      <c r="AP126" s="833"/>
      <c r="AQ126" s="833"/>
      <c r="AR126" s="723">
        <f>IF(AP126=0,0,(AQ126-AP126)/AP126*100)</f>
        <v>0</v>
      </c>
      <c r="AS126" s="833"/>
      <c r="AT126" s="833"/>
      <c r="AU126" s="723">
        <f>IF(AS126=0,0,(AT126-AS126)/AS126*100)</f>
        <v>0</v>
      </c>
      <c r="AV126" s="833"/>
      <c r="AW126" s="833"/>
      <c r="AX126" s="723">
        <f>IF(AV126=0,0,(AW126-AV126)/AV126*100)</f>
        <v>0</v>
      </c>
      <c r="AY126" s="833"/>
      <c r="AZ126" s="833"/>
      <c r="BA126" s="723">
        <f>IF(AY126=0,0,(AZ126-AY126)/AY126*100)</f>
        <v>0</v>
      </c>
      <c r="BB126" s="833"/>
      <c r="BC126" s="833"/>
      <c r="BD126" s="723">
        <f>IF(BB126=0,0,(BC126-BB126)/BB126*100)</f>
        <v>0</v>
      </c>
      <c r="BE126" s="833"/>
      <c r="BF126" s="833"/>
      <c r="BG126" s="723">
        <f>IF(BE126=0,0,(BF126-BE126)/BE126*100)</f>
        <v>0</v>
      </c>
      <c r="BH126" s="833"/>
      <c r="BI126" s="833"/>
      <c r="BJ126" s="723">
        <f>IF(BH126=0,0,(BI126-BH126)/BH126*100)</f>
        <v>0</v>
      </c>
      <c r="BK126" s="833"/>
      <c r="BL126" s="833"/>
      <c r="BM126" s="723">
        <f>IF(BK126=0,0,(BL126-BK126)/BK126*100)</f>
        <v>0</v>
      </c>
      <c r="BN126" s="833"/>
      <c r="BO126" s="833"/>
      <c r="BP126" s="723">
        <f>IF(BN126=0,0,(BO126-BN126)/BN126*100)</f>
        <v>0</v>
      </c>
      <c r="BQ126" s="833"/>
      <c r="BR126" s="833"/>
      <c r="BS126" s="723">
        <f>IF(BQ126=0,0,(BR126-BQ126)/BQ126*100)</f>
        <v>0</v>
      </c>
      <c r="BT126" s="833"/>
      <c r="BU126" s="833"/>
      <c r="BV126" s="723">
        <f>IF(BT126=0,0,(BU126-BT126)/BT126*100)</f>
        <v>0</v>
      </c>
      <c r="BW126" s="833"/>
      <c r="BX126" s="833"/>
      <c r="BY126" s="723">
        <f>IF(BW126=0,0,(BX126-BW126)/BW126*100)</f>
        <v>0</v>
      </c>
      <c r="BZ126" s="833"/>
      <c r="CA126" s="833"/>
      <c r="CB126" s="723">
        <f>IF(BZ126=0,0,(CA126-BZ126)/BZ126*100)</f>
        <v>0</v>
      </c>
      <c r="CC126" s="833"/>
      <c r="CD126" s="833"/>
      <c r="CE126" s="723">
        <f>IF(CC126=0,0,(CD126-CC126)/CC126*100)</f>
        <v>0</v>
      </c>
      <c r="CF126" s="833"/>
      <c r="CG126" s="833"/>
      <c r="CH126" s="723">
        <f>IF(CF126=0,0,(CG126-CF126)/CF126*100)</f>
        <v>0</v>
      </c>
      <c r="CI126" s="833"/>
      <c r="CJ126" s="833"/>
      <c r="CK126" s="723">
        <f>IF(CI126=0,0,(CJ126-CI126)/CI126*100)</f>
        <v>0</v>
      </c>
      <c r="CL126" s="833"/>
      <c r="CM126" s="833"/>
      <c r="CN126" s="723">
        <f>IF(CL126=0,0,(CM126-CL126)/CL126*100)</f>
        <v>0</v>
      </c>
      <c r="CO126" s="833"/>
      <c r="CP126" s="833"/>
      <c r="CQ126" s="723">
        <f>IF(CO126=0,0,(CP126-CO126)/CO126*100)</f>
        <v>0</v>
      </c>
      <c r="CR126" s="833"/>
      <c r="CS126" s="833"/>
      <c r="CT126" s="723">
        <f>IF(CR126=0,0,(CS126-CR126)/CR126*100)</f>
        <v>0</v>
      </c>
      <c r="CU126" s="833"/>
      <c r="CV126" s="833"/>
      <c r="CW126" s="723">
        <f>IF(CU126=0,0,(CV126-CU126)/CU126*100)</f>
        <v>0</v>
      </c>
      <c r="CX126" s="833"/>
      <c r="CY126" s="833"/>
      <c r="CZ126" s="723">
        <f>IF(CX126=0,0,(CY126-CX126)/CX126*100)</f>
        <v>0</v>
      </c>
      <c r="DA126" s="833"/>
      <c r="DB126" s="833"/>
      <c r="DC126" s="723">
        <f>IF(DA126=0,0,(DB126-DA126)/DA126*100)</f>
        <v>0</v>
      </c>
      <c r="DD126" s="833"/>
      <c r="DE126" s="833"/>
      <c r="DF126" s="723">
        <f>IF(DD126=0,0,(DE126-DD126)/DD126*100)</f>
        <v>0</v>
      </c>
      <c r="DG126" s="833"/>
      <c r="DH126" s="833"/>
      <c r="DI126" s="723">
        <f>IF(DG126=0,0,(DH126-DG126)/DG126*100)</f>
        <v>0</v>
      </c>
      <c r="DJ126" s="833"/>
      <c r="DK126" s="833"/>
      <c r="DL126" s="723">
        <f>IF(DJ126=0,0,(DK126-DJ126)/DJ126*100)</f>
        <v>0</v>
      </c>
      <c r="DM126" s="833"/>
      <c r="DN126" s="833"/>
      <c r="DO126" s="723">
        <f>IF(DM126=0,0,(DN126-DM126)/DM126*100)</f>
        <v>0</v>
      </c>
      <c r="DP126" s="833"/>
      <c r="DQ126" s="833"/>
      <c r="DR126" s="723">
        <f>IF(DP126=0,0,(DQ126-DP126)/DP126*100)</f>
        <v>0</v>
      </c>
      <c r="DS126" s="833"/>
      <c r="DT126" s="833"/>
      <c r="DU126" s="723">
        <f>IF(DS126=0,0,(DT126-DS126)/DS126*100)</f>
        <v>0</v>
      </c>
      <c r="DV126" s="833"/>
      <c r="DW126" s="833"/>
      <c r="DX126" s="723">
        <f>IF(DV126=0,0,(DW126-DV126)/DV126*100)</f>
        <v>0</v>
      </c>
      <c r="DY126" s="833"/>
      <c r="DZ126" s="833"/>
      <c r="EA126" s="723">
        <f>IF(DY126=0,0,(DZ126-DY126)/DY126*100)</f>
        <v>0</v>
      </c>
      <c r="EB126" s="833"/>
      <c r="EC126" s="833"/>
      <c r="ED126" s="723">
        <f>IF(EB126=0,0,(EC126-EB126)/EB126*100)</f>
        <v>0</v>
      </c>
      <c r="EE126" s="833"/>
      <c r="EF126" s="833"/>
      <c r="EG126" s="723">
        <f>IF(EE126=0,0,(EF126-EE126)/EE126*100)</f>
        <v>0</v>
      </c>
      <c r="EH126" s="833"/>
      <c r="EI126" s="833"/>
      <c r="EJ126" s="723">
        <f>IF(EH126=0,0,(EI126-EH126)/EH126*100)</f>
        <v>0</v>
      </c>
      <c r="EK126" s="833"/>
      <c r="EL126" s="833"/>
      <c r="EM126" s="723">
        <f>IF(EK126=0,0,(EL126-EK126)/EK126*100)</f>
        <v>0</v>
      </c>
      <c r="EN126" s="833"/>
      <c r="EO126" s="833"/>
      <c r="EP126" s="723">
        <f>IF(EN126=0,0,(EO126-EN126)/EN126*100)</f>
        <v>0</v>
      </c>
      <c r="EQ126" s="833"/>
      <c r="ER126" s="833"/>
      <c r="ES126" s="723">
        <f>IF(EQ126=0,0,(ER126-EQ126)/EQ126*100)</f>
        <v>0</v>
      </c>
      <c r="ET126" s="833"/>
      <c r="EU126" s="833"/>
      <c r="EV126" s="723">
        <f>IF(ET126=0,0,(EU126-ET126)/ET126*100)</f>
        <v>0</v>
      </c>
      <c r="EW126" s="833"/>
      <c r="EX126" s="833"/>
      <c r="EY126" s="723">
        <f>IF(EW126=0,0,(EX126-EW126)/EW126*100)</f>
        <v>0</v>
      </c>
      <c r="EZ126" s="833"/>
      <c r="FA126" s="833"/>
      <c r="FB126" s="723">
        <f>IF(EZ126=0,0,(FA126-EZ126)/EZ126*100)</f>
        <v>0</v>
      </c>
      <c r="FC126" s="833"/>
      <c r="FD126" s="833"/>
      <c r="FE126" s="723">
        <f>IF(FC126=0,0,(FD126-FC126)/FC126*100)</f>
        <v>0</v>
      </c>
      <c r="FF126" s="833"/>
      <c r="FG126" s="833"/>
      <c r="FH126" s="723">
        <f>IF(FF126=0,0,(FG126-FF126)/FF126*100)</f>
        <v>0</v>
      </c>
      <c r="FI126" s="833"/>
      <c r="FJ126" s="833"/>
      <c r="FK126" s="723">
        <f>IF(FI126=0,0,(FJ126-FI126)/FI126*100)</f>
        <v>0</v>
      </c>
      <c r="FL126" s="833"/>
      <c r="FM126" s="833"/>
      <c r="FN126" s="723">
        <f>IF(FL126=0,0,(FM126-FL126)/FL126*100)</f>
        <v>0</v>
      </c>
      <c r="FO126" s="833"/>
      <c r="FP126" s="833"/>
      <c r="FQ126" s="723">
        <f>IF(FO126=0,0,(FP126-FO126)/FO126*100)</f>
        <v>0</v>
      </c>
      <c r="FR126" s="833"/>
      <c r="FS126" s="833"/>
      <c r="FT126" s="723">
        <f>IF(FR126=0,0,(FS126-FR126)/FR126*100)</f>
        <v>0</v>
      </c>
      <c r="FU126" s="833"/>
      <c r="FV126" s="833"/>
      <c r="FW126" s="723">
        <f>IF(FU126=0,0,(FV126-FU126)/FU126*100)</f>
        <v>0</v>
      </c>
      <c r="FZ126" s="700" t="s">
        <v>1682</v>
      </c>
    </row>
    <row r="127" spans="1:182" ht="14.25" hidden="1" customHeight="1">
      <c r="A127" s="78"/>
      <c r="B127" s="622" t="b" cm="1">
        <f t="array" ref="B127">B126</f>
        <v>0</v>
      </c>
      <c r="C127" s="78"/>
      <c r="D127" s="78"/>
      <c r="E127" s="473">
        <v>15</v>
      </c>
      <c r="F127" s="3" t="str" cm="1">
        <f t="array" aca="1" ref="F127" ca="1">OFFSET(E127,-1,1)</f>
        <v>1</v>
      </c>
      <c r="G127" s="78"/>
      <c r="H127" s="78" t="s">
        <v>1666</v>
      </c>
      <c r="I127" s="78" t="s">
        <v>1637</v>
      </c>
      <c r="J127" s="78"/>
      <c r="K127" s="78"/>
      <c r="L127" s="78"/>
      <c r="M127" s="78"/>
      <c r="N127" s="78"/>
      <c r="O127" s="78"/>
      <c r="P127" s="78"/>
      <c r="Q127" s="78"/>
      <c r="R127" s="78"/>
      <c r="S127" s="78"/>
      <c r="T127" s="365" t="b" cm="1">
        <f t="array" aca="1" ref="T127" ca="1">T126</f>
        <v>1</v>
      </c>
      <c r="U127" s="78"/>
      <c r="V127" s="78"/>
      <c r="W127" s="78"/>
      <c r="X127" s="1094"/>
      <c r="Y127" s="78"/>
      <c r="Z127" s="1064"/>
      <c r="AA127" s="78"/>
      <c r="AB127" s="124" t="s">
        <v>1667</v>
      </c>
      <c r="AC127" s="31" t="s">
        <v>1668</v>
      </c>
      <c r="AD127" s="833"/>
      <c r="AE127" s="833"/>
      <c r="AF127" s="723">
        <f>IF(AD127=0,0,(AE127-AD127)/AD127*100)</f>
        <v>0</v>
      </c>
      <c r="AG127" s="833"/>
      <c r="AH127" s="833"/>
      <c r="AI127" s="723">
        <f>IF(AG127=0,0,(AH127-AG127)/AG127*100)</f>
        <v>0</v>
      </c>
      <c r="AJ127" s="833"/>
      <c r="AK127" s="833"/>
      <c r="AL127" s="723">
        <f>IF(AJ127=0,0,(AK127-AJ127)/AJ127*100)</f>
        <v>0</v>
      </c>
      <c r="AM127" s="833"/>
      <c r="AN127" s="833"/>
      <c r="AO127" s="723">
        <f>IF(AM127=0,0,(AN127-AM127)/AM127*100)</f>
        <v>0</v>
      </c>
      <c r="AP127" s="833"/>
      <c r="AQ127" s="833"/>
      <c r="AR127" s="723">
        <f>IF(AP127=0,0,(AQ127-AP127)/AP127*100)</f>
        <v>0</v>
      </c>
      <c r="AS127" s="833"/>
      <c r="AT127" s="833"/>
      <c r="AU127" s="723">
        <f>IF(AS127=0,0,(AT127-AS127)/AS127*100)</f>
        <v>0</v>
      </c>
      <c r="AV127" s="833"/>
      <c r="AW127" s="833"/>
      <c r="AX127" s="723">
        <f>IF(AV127=0,0,(AW127-AV127)/AV127*100)</f>
        <v>0</v>
      </c>
      <c r="AY127" s="833"/>
      <c r="AZ127" s="833"/>
      <c r="BA127" s="723">
        <f>IF(AY127=0,0,(AZ127-AY127)/AY127*100)</f>
        <v>0</v>
      </c>
      <c r="BB127" s="833"/>
      <c r="BC127" s="833"/>
      <c r="BD127" s="723">
        <f>IF(BB127=0,0,(BC127-BB127)/BB127*100)</f>
        <v>0</v>
      </c>
      <c r="BE127" s="833"/>
      <c r="BF127" s="833"/>
      <c r="BG127" s="723">
        <f>IF(BE127=0,0,(BF127-BE127)/BE127*100)</f>
        <v>0</v>
      </c>
      <c r="BH127" s="833"/>
      <c r="BI127" s="833"/>
      <c r="BJ127" s="723">
        <f>IF(BH127=0,0,(BI127-BH127)/BH127*100)</f>
        <v>0</v>
      </c>
      <c r="BK127" s="833"/>
      <c r="BL127" s="833"/>
      <c r="BM127" s="723">
        <f>IF(BK127=0,0,(BL127-BK127)/BK127*100)</f>
        <v>0</v>
      </c>
      <c r="BN127" s="833"/>
      <c r="BO127" s="833"/>
      <c r="BP127" s="723">
        <f>IF(BN127=0,0,(BO127-BN127)/BN127*100)</f>
        <v>0</v>
      </c>
      <c r="BQ127" s="833"/>
      <c r="BR127" s="833"/>
      <c r="BS127" s="723">
        <f>IF(BQ127=0,0,(BR127-BQ127)/BQ127*100)</f>
        <v>0</v>
      </c>
      <c r="BT127" s="833"/>
      <c r="BU127" s="833"/>
      <c r="BV127" s="723">
        <f>IF(BT127=0,0,(BU127-BT127)/BT127*100)</f>
        <v>0</v>
      </c>
      <c r="BW127" s="833"/>
      <c r="BX127" s="833"/>
      <c r="BY127" s="723">
        <f>IF(BW127=0,0,(BX127-BW127)/BW127*100)</f>
        <v>0</v>
      </c>
      <c r="BZ127" s="833"/>
      <c r="CA127" s="833"/>
      <c r="CB127" s="723">
        <f>IF(BZ127=0,0,(CA127-BZ127)/BZ127*100)</f>
        <v>0</v>
      </c>
      <c r="CC127" s="833"/>
      <c r="CD127" s="833"/>
      <c r="CE127" s="723">
        <f>IF(CC127=0,0,(CD127-CC127)/CC127*100)</f>
        <v>0</v>
      </c>
      <c r="CF127" s="833"/>
      <c r="CG127" s="833"/>
      <c r="CH127" s="723">
        <f>IF(CF127=0,0,(CG127-CF127)/CF127*100)</f>
        <v>0</v>
      </c>
      <c r="CI127" s="833"/>
      <c r="CJ127" s="833"/>
      <c r="CK127" s="723">
        <f>IF(CI127=0,0,(CJ127-CI127)/CI127*100)</f>
        <v>0</v>
      </c>
      <c r="CL127" s="833"/>
      <c r="CM127" s="833"/>
      <c r="CN127" s="723">
        <f>IF(CL127=0,0,(CM127-CL127)/CL127*100)</f>
        <v>0</v>
      </c>
      <c r="CO127" s="833"/>
      <c r="CP127" s="833"/>
      <c r="CQ127" s="723">
        <f>IF(CO127=0,0,(CP127-CO127)/CO127*100)</f>
        <v>0</v>
      </c>
      <c r="CR127" s="833"/>
      <c r="CS127" s="833"/>
      <c r="CT127" s="723">
        <f>IF(CR127=0,0,(CS127-CR127)/CR127*100)</f>
        <v>0</v>
      </c>
      <c r="CU127" s="833"/>
      <c r="CV127" s="833"/>
      <c r="CW127" s="723">
        <f>IF(CU127=0,0,(CV127-CU127)/CU127*100)</f>
        <v>0</v>
      </c>
      <c r="CX127" s="833"/>
      <c r="CY127" s="833"/>
      <c r="CZ127" s="723">
        <f>IF(CX127=0,0,(CY127-CX127)/CX127*100)</f>
        <v>0</v>
      </c>
      <c r="DA127" s="833"/>
      <c r="DB127" s="833"/>
      <c r="DC127" s="723">
        <f>IF(DA127=0,0,(DB127-DA127)/DA127*100)</f>
        <v>0</v>
      </c>
      <c r="DD127" s="833"/>
      <c r="DE127" s="833"/>
      <c r="DF127" s="723">
        <f>IF(DD127=0,0,(DE127-DD127)/DD127*100)</f>
        <v>0</v>
      </c>
      <c r="DG127" s="833"/>
      <c r="DH127" s="833"/>
      <c r="DI127" s="723">
        <f>IF(DG127=0,0,(DH127-DG127)/DG127*100)</f>
        <v>0</v>
      </c>
      <c r="DJ127" s="833"/>
      <c r="DK127" s="833"/>
      <c r="DL127" s="723">
        <f>IF(DJ127=0,0,(DK127-DJ127)/DJ127*100)</f>
        <v>0</v>
      </c>
      <c r="DM127" s="833"/>
      <c r="DN127" s="833"/>
      <c r="DO127" s="723">
        <f>IF(DM127=0,0,(DN127-DM127)/DM127*100)</f>
        <v>0</v>
      </c>
      <c r="DP127" s="833"/>
      <c r="DQ127" s="833"/>
      <c r="DR127" s="723">
        <f>IF(DP127=0,0,(DQ127-DP127)/DP127*100)</f>
        <v>0</v>
      </c>
      <c r="DS127" s="833"/>
      <c r="DT127" s="833"/>
      <c r="DU127" s="723">
        <f>IF(DS127=0,0,(DT127-DS127)/DS127*100)</f>
        <v>0</v>
      </c>
      <c r="DV127" s="833"/>
      <c r="DW127" s="833"/>
      <c r="DX127" s="723">
        <f>IF(DV127=0,0,(DW127-DV127)/DV127*100)</f>
        <v>0</v>
      </c>
      <c r="DY127" s="833"/>
      <c r="DZ127" s="833"/>
      <c r="EA127" s="723">
        <f>IF(DY127=0,0,(DZ127-DY127)/DY127*100)</f>
        <v>0</v>
      </c>
      <c r="EB127" s="833"/>
      <c r="EC127" s="833"/>
      <c r="ED127" s="723">
        <f>IF(EB127=0,0,(EC127-EB127)/EB127*100)</f>
        <v>0</v>
      </c>
      <c r="EE127" s="833"/>
      <c r="EF127" s="833"/>
      <c r="EG127" s="723">
        <f>IF(EE127=0,0,(EF127-EE127)/EE127*100)</f>
        <v>0</v>
      </c>
      <c r="EH127" s="833"/>
      <c r="EI127" s="833"/>
      <c r="EJ127" s="723">
        <f>IF(EH127=0,0,(EI127-EH127)/EH127*100)</f>
        <v>0</v>
      </c>
      <c r="EK127" s="833"/>
      <c r="EL127" s="833"/>
      <c r="EM127" s="723">
        <f>IF(EK127=0,0,(EL127-EK127)/EK127*100)</f>
        <v>0</v>
      </c>
      <c r="EN127" s="833"/>
      <c r="EO127" s="833"/>
      <c r="EP127" s="723">
        <f>IF(EN127=0,0,(EO127-EN127)/EN127*100)</f>
        <v>0</v>
      </c>
      <c r="EQ127" s="833"/>
      <c r="ER127" s="833"/>
      <c r="ES127" s="723">
        <f>IF(EQ127=0,0,(ER127-EQ127)/EQ127*100)</f>
        <v>0</v>
      </c>
      <c r="ET127" s="833"/>
      <c r="EU127" s="833"/>
      <c r="EV127" s="723">
        <f>IF(ET127=0,0,(EU127-ET127)/ET127*100)</f>
        <v>0</v>
      </c>
      <c r="EW127" s="833"/>
      <c r="EX127" s="833"/>
      <c r="EY127" s="723">
        <f>IF(EW127=0,0,(EX127-EW127)/EW127*100)</f>
        <v>0</v>
      </c>
      <c r="EZ127" s="833"/>
      <c r="FA127" s="833"/>
      <c r="FB127" s="723">
        <f>IF(EZ127=0,0,(FA127-EZ127)/EZ127*100)</f>
        <v>0</v>
      </c>
      <c r="FC127" s="833"/>
      <c r="FD127" s="833"/>
      <c r="FE127" s="723">
        <f>IF(FC127=0,0,(FD127-FC127)/FC127*100)</f>
        <v>0</v>
      </c>
      <c r="FF127" s="833"/>
      <c r="FG127" s="833"/>
      <c r="FH127" s="723">
        <f>IF(FF127=0,0,(FG127-FF127)/FF127*100)</f>
        <v>0</v>
      </c>
      <c r="FI127" s="833"/>
      <c r="FJ127" s="833"/>
      <c r="FK127" s="723">
        <f>IF(FI127=0,0,(FJ127-FI127)/FI127*100)</f>
        <v>0</v>
      </c>
      <c r="FL127" s="833"/>
      <c r="FM127" s="833"/>
      <c r="FN127" s="723">
        <f>IF(FL127=0,0,(FM127-FL127)/FL127*100)</f>
        <v>0</v>
      </c>
      <c r="FO127" s="833"/>
      <c r="FP127" s="833"/>
      <c r="FQ127" s="723">
        <f>IF(FO127=0,0,(FP127-FO127)/FO127*100)</f>
        <v>0</v>
      </c>
      <c r="FR127" s="833"/>
      <c r="FS127" s="833"/>
      <c r="FT127" s="723">
        <f>IF(FR127=0,0,(FS127-FR127)/FR127*100)</f>
        <v>0</v>
      </c>
      <c r="FU127" s="833"/>
      <c r="FV127" s="833"/>
      <c r="FW127" s="723">
        <f>IF(FU127=0,0,(FV127-FU127)/FU127*100)</f>
        <v>0</v>
      </c>
      <c r="FZ127" s="700" t="s">
        <v>1683</v>
      </c>
    </row>
    <row r="128" spans="1:182" ht="23.25" hidden="1" customHeight="1">
      <c r="A128" s="78"/>
      <c r="B128" s="622" t="b" cm="1">
        <f t="array" ref="B128">B127</f>
        <v>0</v>
      </c>
      <c r="C128" s="78"/>
      <c r="D128" s="78"/>
      <c r="E128" s="473">
        <v>24.5</v>
      </c>
      <c r="F128" s="3" t="str" cm="1">
        <f t="array" aca="1" ref="F128" ca="1">OFFSET(E128,-1,1)</f>
        <v>1</v>
      </c>
      <c r="G128" s="78"/>
      <c r="H128" s="78"/>
      <c r="I128" s="78"/>
      <c r="J128" s="78"/>
      <c r="K128" s="78"/>
      <c r="L128" s="78"/>
      <c r="M128" s="78"/>
      <c r="N128" s="78"/>
      <c r="O128" s="78"/>
      <c r="P128" s="78"/>
      <c r="Q128" s="78"/>
      <c r="R128" s="78"/>
      <c r="S128" s="78"/>
      <c r="T128" s="365" t="b" cm="1">
        <f t="array" aca="1" ref="T128" ca="1">T127</f>
        <v>1</v>
      </c>
      <c r="U128" s="78"/>
      <c r="V128" s="78"/>
      <c r="W128" s="78"/>
      <c r="X128" s="1094"/>
      <c r="Y128" s="78"/>
      <c r="Z128" s="1064"/>
      <c r="AA128" s="78"/>
      <c r="AB128" s="220" t="s">
        <v>1684</v>
      </c>
      <c r="AC128" s="606"/>
      <c r="AD128" s="727"/>
      <c r="AE128" s="727"/>
      <c r="AF128" s="727"/>
      <c r="AG128" s="727"/>
      <c r="AH128" s="727"/>
      <c r="AI128" s="727"/>
      <c r="AJ128" s="727"/>
      <c r="AK128" s="727"/>
      <c r="AL128" s="727"/>
      <c r="AM128" s="727"/>
      <c r="AN128" s="727"/>
      <c r="AO128" s="727"/>
      <c r="AP128" s="727"/>
      <c r="AQ128" s="727"/>
      <c r="AR128" s="727"/>
      <c r="AS128" s="727"/>
      <c r="AT128" s="727"/>
      <c r="AU128" s="727"/>
      <c r="AV128" s="727"/>
      <c r="AW128" s="727"/>
      <c r="AX128" s="727"/>
      <c r="AY128" s="727"/>
      <c r="AZ128" s="727"/>
      <c r="BA128" s="727"/>
      <c r="BB128" s="727"/>
      <c r="BC128" s="727"/>
      <c r="BD128" s="727"/>
      <c r="BE128" s="727"/>
      <c r="BF128" s="727"/>
      <c r="BG128" s="727"/>
      <c r="BH128" s="727"/>
      <c r="BI128" s="727"/>
      <c r="BJ128" s="727"/>
      <c r="BK128" s="727"/>
      <c r="BL128" s="727"/>
      <c r="BM128" s="727"/>
      <c r="BN128" s="727"/>
      <c r="BO128" s="727"/>
      <c r="BP128" s="727"/>
      <c r="BQ128" s="727"/>
      <c r="BR128" s="727"/>
      <c r="BS128" s="727"/>
      <c r="BT128" s="727"/>
      <c r="BU128" s="727"/>
      <c r="BV128" s="727"/>
      <c r="BW128" s="727"/>
      <c r="BX128" s="727"/>
      <c r="BY128" s="727"/>
      <c r="BZ128" s="727"/>
      <c r="CA128" s="727"/>
      <c r="CB128" s="727"/>
      <c r="CC128" s="727"/>
      <c r="CD128" s="727"/>
      <c r="CE128" s="727"/>
      <c r="CF128" s="727"/>
      <c r="CG128" s="727"/>
      <c r="CH128" s="727"/>
      <c r="CI128" s="727"/>
      <c r="CJ128" s="727"/>
      <c r="CK128" s="727"/>
      <c r="CL128" s="727"/>
      <c r="CM128" s="727"/>
      <c r="CN128" s="727"/>
      <c r="CO128" s="727"/>
      <c r="CP128" s="727"/>
      <c r="CQ128" s="727"/>
      <c r="CR128" s="727"/>
      <c r="CS128" s="727"/>
      <c r="CT128" s="727"/>
      <c r="CU128" s="727"/>
      <c r="CV128" s="727"/>
      <c r="CW128" s="727"/>
      <c r="CX128" s="727"/>
      <c r="CY128" s="727"/>
      <c r="CZ128" s="727"/>
      <c r="DA128" s="727"/>
      <c r="DB128" s="727"/>
      <c r="DC128" s="727"/>
      <c r="DD128" s="727"/>
      <c r="DE128" s="727"/>
      <c r="DF128" s="727"/>
      <c r="DG128" s="727"/>
      <c r="DH128" s="727"/>
      <c r="DI128" s="727"/>
      <c r="DJ128" s="727"/>
      <c r="DK128" s="727"/>
      <c r="DL128" s="727"/>
      <c r="DM128" s="727"/>
      <c r="DN128" s="727"/>
      <c r="DO128" s="727"/>
      <c r="DP128" s="727"/>
      <c r="DQ128" s="727"/>
      <c r="DR128" s="727"/>
      <c r="DS128" s="727"/>
      <c r="DT128" s="727"/>
      <c r="DU128" s="727"/>
      <c r="DV128" s="727"/>
      <c r="DW128" s="727"/>
      <c r="DX128" s="727"/>
      <c r="DY128" s="727"/>
      <c r="DZ128" s="727"/>
      <c r="EA128" s="727"/>
      <c r="EB128" s="727"/>
      <c r="EC128" s="727"/>
      <c r="ED128" s="727"/>
      <c r="EE128" s="727"/>
      <c r="EF128" s="727"/>
      <c r="EG128" s="727"/>
      <c r="EH128" s="727"/>
      <c r="EI128" s="727"/>
      <c r="EJ128" s="727"/>
      <c r="EK128" s="727"/>
      <c r="EL128" s="727"/>
      <c r="EM128" s="727"/>
      <c r="EN128" s="727"/>
      <c r="EO128" s="727"/>
      <c r="EP128" s="727"/>
      <c r="EQ128" s="727"/>
      <c r="ER128" s="727"/>
      <c r="ES128" s="727"/>
      <c r="ET128" s="727"/>
      <c r="EU128" s="727"/>
      <c r="EV128" s="727"/>
      <c r="EW128" s="727"/>
      <c r="EX128" s="727"/>
      <c r="EY128" s="727"/>
      <c r="EZ128" s="727"/>
      <c r="FA128" s="727"/>
      <c r="FB128" s="727"/>
      <c r="FC128" s="727"/>
      <c r="FD128" s="727"/>
      <c r="FE128" s="727"/>
      <c r="FF128" s="727"/>
      <c r="FG128" s="727"/>
      <c r="FH128" s="727"/>
      <c r="FI128" s="727"/>
      <c r="FJ128" s="727"/>
      <c r="FK128" s="727"/>
      <c r="FL128" s="727"/>
      <c r="FM128" s="727"/>
      <c r="FN128" s="727"/>
      <c r="FO128" s="727"/>
      <c r="FP128" s="727"/>
      <c r="FQ128" s="727"/>
      <c r="FR128" s="727"/>
      <c r="FS128" s="727"/>
      <c r="FT128" s="727"/>
      <c r="FU128" s="727"/>
      <c r="FV128" s="727"/>
      <c r="FW128" s="728"/>
      <c r="FZ128" s="700"/>
    </row>
    <row r="129" spans="1:186" ht="14.25" hidden="1" customHeight="1">
      <c r="A129" s="78"/>
      <c r="B129" s="622" t="b" cm="1">
        <f t="array" ref="B129">B128</f>
        <v>0</v>
      </c>
      <c r="C129" s="78"/>
      <c r="D129" s="78"/>
      <c r="E129" s="473">
        <v>15</v>
      </c>
      <c r="F129" s="3" t="str" cm="1">
        <f t="array" aca="1" ref="F129" ca="1">OFFSET(E129,-1,1)</f>
        <v>1</v>
      </c>
      <c r="G129" s="78"/>
      <c r="H129" s="78" t="s">
        <v>1562</v>
      </c>
      <c r="I129" s="78" t="s">
        <v>1641</v>
      </c>
      <c r="J129" s="78"/>
      <c r="K129" s="78"/>
      <c r="L129" s="78"/>
      <c r="M129" s="78"/>
      <c r="N129" s="78"/>
      <c r="O129" s="78"/>
      <c r="P129" s="78"/>
      <c r="Q129" s="78"/>
      <c r="R129" s="78"/>
      <c r="S129" s="78"/>
      <c r="T129" s="365" t="b" cm="1">
        <f t="array" aca="1" ref="T129" ca="1">T128</f>
        <v>1</v>
      </c>
      <c r="U129" s="78"/>
      <c r="V129" s="78"/>
      <c r="W129" s="78"/>
      <c r="X129" s="1094"/>
      <c r="Y129" s="78"/>
      <c r="Z129" s="1064"/>
      <c r="AA129" s="78"/>
      <c r="AB129" s="124" t="s">
        <v>1657</v>
      </c>
      <c r="AC129" s="31" t="s">
        <v>1624</v>
      </c>
      <c r="AD129" s="833">
        <f ca="1">IF(AD131=0,0,(AD130*AD131+AD132*AD133*IF(god=2026,3,6))/AD131)</f>
        <v>0</v>
      </c>
      <c r="AE129" s="833">
        <f ca="1">IF(AE131=0,0,(AE130*AE131+AE132*AE133*IF(god=2026,3,6))/AE131)</f>
        <v>0</v>
      </c>
      <c r="AF129" s="723">
        <f ca="1">IF(AD129=0,0,(AE129-AD129)/AD129*100)</f>
        <v>0</v>
      </c>
      <c r="AG129" s="833">
        <f ca="1">IF(AG131=0,0,(AG130*AG131+AG132*AG133*IF(god=2025,3,6))/AG131)</f>
        <v>0</v>
      </c>
      <c r="AH129" s="833">
        <f ca="1">IF(AH131=0,0,(AH130*AH131+AH132*AH133*IF(god=2025,3,6))/AH131)</f>
        <v>0</v>
      </c>
      <c r="AI129" s="723">
        <f ca="1">IF(AG129=0,0,(AH129-AG129)/AG129*100)</f>
        <v>0</v>
      </c>
      <c r="AJ129" s="833">
        <f ca="1">IF(AJ131=0,0,(AJ130*AJ131+AJ132*AJ133*6)/AJ131)</f>
        <v>0</v>
      </c>
      <c r="AK129" s="833">
        <f ca="1">IF(AK131=0,0,(AK130*AK131+AK132*AK133*6)/AK131)</f>
        <v>0</v>
      </c>
      <c r="AL129" s="723">
        <f ca="1">IF(AJ129=0,0,(AK129-AJ129)/AJ129*100)</f>
        <v>0</v>
      </c>
      <c r="AM129" s="833">
        <f ca="1">IF(AM131=0,0,(AM130*AM131+AM132*AM133*6)/AM131)</f>
        <v>0</v>
      </c>
      <c r="AN129" s="833">
        <f ca="1">IF(AN131=0,0,(AN130*AN131+AN132*AN133*6)/AN131)</f>
        <v>0</v>
      </c>
      <c r="AO129" s="723">
        <f ca="1">IF(AM129=0,0,(AN129-AM129)/AM129*100)</f>
        <v>0</v>
      </c>
      <c r="AP129" s="833">
        <f ca="1">IF(AP131=0,0,(AP130*AP131+AP132*AP133*6)/AP131)</f>
        <v>0</v>
      </c>
      <c r="AQ129" s="833">
        <f ca="1">IF(AQ131=0,0,(AQ130*AQ131+AQ132*AQ133*6)/AQ131)</f>
        <v>0</v>
      </c>
      <c r="AR129" s="723">
        <f ca="1">IF(AP129=0,0,(AQ129-AP129)/AP129*100)</f>
        <v>0</v>
      </c>
      <c r="AS129" s="833">
        <f ca="1">IF(AS131=0,0,(AS130*AS131+AS132*AS133*6)/AS131)</f>
        <v>0</v>
      </c>
      <c r="AT129" s="833">
        <f ca="1">IF(AT131=0,0,(AT130*AT131+AT132*AT133*6)/AT131)</f>
        <v>0</v>
      </c>
      <c r="AU129" s="723">
        <f ca="1">IF(AS129=0,0,(AT129-AS129)/AS129*100)</f>
        <v>0</v>
      </c>
      <c r="AV129" s="833">
        <f ca="1">IF(AV131=0,0,(AV130*AV131+AV132*AV133*6)/AV131)</f>
        <v>0</v>
      </c>
      <c r="AW129" s="833">
        <f ca="1">IF(AW131=0,0,(AW130*AW131+AW132*AW133*6)/AW131)</f>
        <v>0</v>
      </c>
      <c r="AX129" s="723">
        <f ca="1">IF(AV129=0,0,(AW129-AV129)/AV129*100)</f>
        <v>0</v>
      </c>
      <c r="AY129" s="833">
        <f ca="1">IF(AY131=0,0,(AY130*AY131+AY132*AY133*6)/AY131)</f>
        <v>0</v>
      </c>
      <c r="AZ129" s="833">
        <f ca="1">IF(AZ131=0,0,(AZ130*AZ131+AZ132*AZ133*6)/AZ131)</f>
        <v>0</v>
      </c>
      <c r="BA129" s="723">
        <f ca="1">IF(AY129=0,0,(AZ129-AY129)/AY129*100)</f>
        <v>0</v>
      </c>
      <c r="BB129" s="833">
        <f ca="1">IF(BB131=0,0,(BB130*BB131+BB132*BB133*6)/BB131)</f>
        <v>0</v>
      </c>
      <c r="BC129" s="833">
        <f ca="1">IF(BC131=0,0,(BC130*BC131+BC132*BC133*6)/BC131)</f>
        <v>0</v>
      </c>
      <c r="BD129" s="723">
        <f ca="1">IF(BB129=0,0,(BC129-BB129)/BB129*100)</f>
        <v>0</v>
      </c>
      <c r="BE129" s="833">
        <f ca="1">IF(BE131=0,0,(BE130*BE131+BE132*BE133*6)/BE131)</f>
        <v>0</v>
      </c>
      <c r="BF129" s="833">
        <f ca="1">IF(BF131=0,0,(BF130*BF131+BF132*BF133*6)/BF131)</f>
        <v>0</v>
      </c>
      <c r="BG129" s="723">
        <f ca="1">IF(BE129=0,0,(BF129-BE129)/BE129*100)</f>
        <v>0</v>
      </c>
      <c r="BH129" s="833">
        <f>IF(BH131=0,0,(BH130*BH131+BH132*BH133*6)/BH131)</f>
        <v>0</v>
      </c>
      <c r="BI129" s="833">
        <f>IF(BI131=0,0,(BI130*BI131+BI132*BI133*6)/BI131)</f>
        <v>0</v>
      </c>
      <c r="BJ129" s="723">
        <f>IF(BH129=0,0,(BI129-BH129)/BH129*100)</f>
        <v>0</v>
      </c>
      <c r="BK129" s="833">
        <f>IF(BK131=0,0,(BK130*BK131+BK132*BK133*6)/BK131)</f>
        <v>0</v>
      </c>
      <c r="BL129" s="833">
        <f>IF(BL131=0,0,(BL130*BL131+BL132*BL133*6)/BL131)</f>
        <v>0</v>
      </c>
      <c r="BM129" s="723">
        <f>IF(BK129=0,0,(BL129-BK129)/BK129*100)</f>
        <v>0</v>
      </c>
      <c r="BN129" s="833">
        <f>IF(BN131=0,0,(BN130*BN131+BN132*BN133*6)/BN131)</f>
        <v>0</v>
      </c>
      <c r="BO129" s="833">
        <f>IF(BO131=0,0,(BO130*BO131+BO132*BO133*6)/BO131)</f>
        <v>0</v>
      </c>
      <c r="BP129" s="723">
        <f>IF(BN129=0,0,(BO129-BN129)/BN129*100)</f>
        <v>0</v>
      </c>
      <c r="BQ129" s="833">
        <f>IF(BQ131=0,0,(BQ130*BQ131+BQ132*BQ133*6)/BQ131)</f>
        <v>0</v>
      </c>
      <c r="BR129" s="833">
        <f>IF(BR131=0,0,(BR130*BR131+BR132*BR133*6)/BR131)</f>
        <v>0</v>
      </c>
      <c r="BS129" s="723">
        <f>IF(BQ129=0,0,(BR129-BQ129)/BQ129*100)</f>
        <v>0</v>
      </c>
      <c r="BT129" s="833">
        <f>IF(BT131=0,0,(BT130*BT131+BT132*BT133*6)/BT131)</f>
        <v>0</v>
      </c>
      <c r="BU129" s="833">
        <f>IF(BU131=0,0,(BU130*BU131+BU132*BU133*6)/BU131)</f>
        <v>0</v>
      </c>
      <c r="BV129" s="723">
        <f>IF(BT129=0,0,(BU129-BT129)/BT129*100)</f>
        <v>0</v>
      </c>
      <c r="BW129" s="833">
        <f>IF(BW131=0,0,(BW130*BW131+BW132*BW133*6)/BW131)</f>
        <v>0</v>
      </c>
      <c r="BX129" s="833">
        <f>IF(BX131=0,0,(BX130*BX131+BX132*BX133*6)/BX131)</f>
        <v>0</v>
      </c>
      <c r="BY129" s="723">
        <f>IF(BW129=0,0,(BX129-BW129)/BW129*100)</f>
        <v>0</v>
      </c>
      <c r="BZ129" s="833">
        <f>IF(BZ131=0,0,(BZ130*BZ131+BZ132*BZ133*6)/BZ131)</f>
        <v>0</v>
      </c>
      <c r="CA129" s="833">
        <f>IF(CA131=0,0,(CA130*CA131+CA132*CA133*6)/CA131)</f>
        <v>0</v>
      </c>
      <c r="CB129" s="723">
        <f>IF(BZ129=0,0,(CA129-BZ129)/BZ129*100)</f>
        <v>0</v>
      </c>
      <c r="CC129" s="833">
        <f>IF(CC131=0,0,(CC130*CC131+CC132*CC133*6)/CC131)</f>
        <v>0</v>
      </c>
      <c r="CD129" s="833">
        <f>IF(CD131=0,0,(CD130*CD131+CD132*CD133*6)/CD131)</f>
        <v>0</v>
      </c>
      <c r="CE129" s="723">
        <f>IF(CC129=0,0,(CD129-CC129)/CC129*100)</f>
        <v>0</v>
      </c>
      <c r="CF129" s="833">
        <f>IF(CF131=0,0,(CF130*CF131+CF132*CF133*6)/CF131)</f>
        <v>0</v>
      </c>
      <c r="CG129" s="833">
        <f>IF(CG131=0,0,(CG130*CG131+CG132*CG133*6)/CG131)</f>
        <v>0</v>
      </c>
      <c r="CH129" s="723">
        <f>IF(CF129=0,0,(CG129-CF129)/CF129*100)</f>
        <v>0</v>
      </c>
      <c r="CI129" s="833">
        <f>IF(CI131=0,0,(CI130*CI131+CI132*CI133*6)/CI131)</f>
        <v>0</v>
      </c>
      <c r="CJ129" s="833">
        <f>IF(CJ131=0,0,(CJ130*CJ131+CJ132*CJ133*6)/CJ131)</f>
        <v>0</v>
      </c>
      <c r="CK129" s="723">
        <f>IF(CI129=0,0,(CJ129-CI129)/CI129*100)</f>
        <v>0</v>
      </c>
      <c r="CL129" s="833">
        <f>IF(CL131=0,0,(CL130*CL131+CL132*CL133*6)/CL131)</f>
        <v>0</v>
      </c>
      <c r="CM129" s="833">
        <f>IF(CM131=0,0,(CM130*CM131+CM132*CM133*6)/CM131)</f>
        <v>0</v>
      </c>
      <c r="CN129" s="723">
        <f>IF(CL129=0,0,(CM129-CL129)/CL129*100)</f>
        <v>0</v>
      </c>
      <c r="CO129" s="833">
        <f>IF(CO131=0,0,(CO130*CO131+CO132*CO133*6)/CO131)</f>
        <v>0</v>
      </c>
      <c r="CP129" s="833">
        <f>IF(CP131=0,0,(CP130*CP131+CP132*CP133*6)/CP131)</f>
        <v>0</v>
      </c>
      <c r="CQ129" s="723">
        <f>IF(CO129=0,0,(CP129-CO129)/CO129*100)</f>
        <v>0</v>
      </c>
      <c r="CR129" s="833">
        <f>IF(CR131=0,0,(CR130*CR131+CR132*CR133*6)/CR131)</f>
        <v>0</v>
      </c>
      <c r="CS129" s="833">
        <f>IF(CS131=0,0,(CS130*CS131+CS132*CS133*6)/CS131)</f>
        <v>0</v>
      </c>
      <c r="CT129" s="723">
        <f>IF(CR129=0,0,(CS129-CR129)/CR129*100)</f>
        <v>0</v>
      </c>
      <c r="CU129" s="833">
        <f>IF(CU131=0,0,(CU130*CU131+CU132*CU133*6)/CU131)</f>
        <v>0</v>
      </c>
      <c r="CV129" s="833">
        <f>IF(CV131=0,0,(CV130*CV131+CV132*CV133*6)/CV131)</f>
        <v>0</v>
      </c>
      <c r="CW129" s="723">
        <f>IF(CU129=0,0,(CV129-CU129)/CU129*100)</f>
        <v>0</v>
      </c>
      <c r="CX129" s="833">
        <f>IF(CX131=0,0,(CX130*CX131+CX132*CX133*6)/CX131)</f>
        <v>0</v>
      </c>
      <c r="CY129" s="833">
        <f>IF(CY131=0,0,(CY130*CY131+CY132*CY133*6)/CY131)</f>
        <v>0</v>
      </c>
      <c r="CZ129" s="723">
        <f>IF(CX129=0,0,(CY129-CX129)/CX129*100)</f>
        <v>0</v>
      </c>
      <c r="DA129" s="833">
        <f>IF(DA131=0,0,(DA130*DA131+DA132*DA133*6)/DA131)</f>
        <v>0</v>
      </c>
      <c r="DB129" s="833">
        <f>IF(DB131=0,0,(DB130*DB131+DB132*DB133*6)/DB131)</f>
        <v>0</v>
      </c>
      <c r="DC129" s="723">
        <f>IF(DA129=0,0,(DB129-DA129)/DA129*100)</f>
        <v>0</v>
      </c>
      <c r="DD129" s="833">
        <f>IF(DD131=0,0,(DD130*DD131+DD132*DD133*6)/DD131)</f>
        <v>0</v>
      </c>
      <c r="DE129" s="833">
        <f>IF(DE131=0,0,(DE130*DE131+DE132*DE133*6)/DE131)</f>
        <v>0</v>
      </c>
      <c r="DF129" s="723">
        <f>IF(DD129=0,0,(DE129-DD129)/DD129*100)</f>
        <v>0</v>
      </c>
      <c r="DG129" s="833">
        <f>IF(DG131=0,0,(DG130*DG131+DG132*DG133*6)/DG131)</f>
        <v>0</v>
      </c>
      <c r="DH129" s="833">
        <f>IF(DH131=0,0,(DH130*DH131+DH132*DH133*6)/DH131)</f>
        <v>0</v>
      </c>
      <c r="DI129" s="723">
        <f>IF(DG129=0,0,(DH129-DG129)/DG129*100)</f>
        <v>0</v>
      </c>
      <c r="DJ129" s="833">
        <f>IF(DJ131=0,0,(DJ130*DJ131+DJ132*DJ133*6)/DJ131)</f>
        <v>0</v>
      </c>
      <c r="DK129" s="833">
        <f>IF(DK131=0,0,(DK130*DK131+DK132*DK133*6)/DK131)</f>
        <v>0</v>
      </c>
      <c r="DL129" s="723">
        <f>IF(DJ129=0,0,(DK129-DJ129)/DJ129*100)</f>
        <v>0</v>
      </c>
      <c r="DM129" s="833">
        <f>IF(DM131=0,0,(DM130*DM131+DM132*DM133*6)/DM131)</f>
        <v>0</v>
      </c>
      <c r="DN129" s="833">
        <f>IF(DN131=0,0,(DN130*DN131+DN132*DN133*6)/DN131)</f>
        <v>0</v>
      </c>
      <c r="DO129" s="723">
        <f>IF(DM129=0,0,(DN129-DM129)/DM129*100)</f>
        <v>0</v>
      </c>
      <c r="DP129" s="833">
        <f>IF(DP131=0,0,(DP130*DP131+DP132*DP133*6)/DP131)</f>
        <v>0</v>
      </c>
      <c r="DQ129" s="833">
        <f>IF(DQ131=0,0,(DQ130*DQ131+DQ132*DQ133*6)/DQ131)</f>
        <v>0</v>
      </c>
      <c r="DR129" s="723">
        <f>IF(DP129=0,0,(DQ129-DP129)/DP129*100)</f>
        <v>0</v>
      </c>
      <c r="DS129" s="833">
        <f>IF(DS131=0,0,(DS130*DS131+DS132*DS133*6)/DS131)</f>
        <v>0</v>
      </c>
      <c r="DT129" s="833">
        <f>IF(DT131=0,0,(DT130*DT131+DT132*DT133*6)/DT131)</f>
        <v>0</v>
      </c>
      <c r="DU129" s="723">
        <f>IF(DS129=0,0,(DT129-DS129)/DS129*100)</f>
        <v>0</v>
      </c>
      <c r="DV129" s="833">
        <f>IF(DV131=0,0,(DV130*DV131+DV132*DV133*6)/DV131)</f>
        <v>0</v>
      </c>
      <c r="DW129" s="833">
        <f>IF(DW131=0,0,(DW130*DW131+DW132*DW133*6)/DW131)</f>
        <v>0</v>
      </c>
      <c r="DX129" s="723">
        <f>IF(DV129=0,0,(DW129-DV129)/DV129*100)</f>
        <v>0</v>
      </c>
      <c r="DY129" s="833">
        <f>IF(DY131=0,0,(DY130*DY131+DY132*DY133*6)/DY131)</f>
        <v>0</v>
      </c>
      <c r="DZ129" s="833">
        <f>IF(DZ131=0,0,(DZ130*DZ131+DZ132*DZ133*6)/DZ131)</f>
        <v>0</v>
      </c>
      <c r="EA129" s="723">
        <f>IF(DY129=0,0,(DZ129-DY129)/DY129*100)</f>
        <v>0</v>
      </c>
      <c r="EB129" s="833">
        <f>IF(EB131=0,0,(EB130*EB131+EB132*EB133*6)/EB131)</f>
        <v>0</v>
      </c>
      <c r="EC129" s="833">
        <f>IF(EC131=0,0,(EC130*EC131+EC132*EC133*6)/EC131)</f>
        <v>0</v>
      </c>
      <c r="ED129" s="723">
        <f>IF(EB129=0,0,(EC129-EB129)/EB129*100)</f>
        <v>0</v>
      </c>
      <c r="EE129" s="833">
        <f>IF(EE131=0,0,(EE130*EE131+EE132*EE133*6)/EE131)</f>
        <v>0</v>
      </c>
      <c r="EF129" s="833">
        <f>IF(EF131=0,0,(EF130*EF131+EF132*EF133*6)/EF131)</f>
        <v>0</v>
      </c>
      <c r="EG129" s="723">
        <f>IF(EE129=0,0,(EF129-EE129)/EE129*100)</f>
        <v>0</v>
      </c>
      <c r="EH129" s="833">
        <f>IF(EH131=0,0,(EH130*EH131+EH132*EH133*6)/EH131)</f>
        <v>0</v>
      </c>
      <c r="EI129" s="833">
        <f>IF(EI131=0,0,(EI130*EI131+EI132*EI133*6)/EI131)</f>
        <v>0</v>
      </c>
      <c r="EJ129" s="723">
        <f>IF(EH129=0,0,(EI129-EH129)/EH129*100)</f>
        <v>0</v>
      </c>
      <c r="EK129" s="833">
        <f>IF(EK131=0,0,(EK130*EK131+EK132*EK133*6)/EK131)</f>
        <v>0</v>
      </c>
      <c r="EL129" s="833">
        <f>IF(EL131=0,0,(EL130*EL131+EL132*EL133*6)/EL131)</f>
        <v>0</v>
      </c>
      <c r="EM129" s="723">
        <f>IF(EK129=0,0,(EL129-EK129)/EK129*100)</f>
        <v>0</v>
      </c>
      <c r="EN129" s="833">
        <f>IF(EN131=0,0,(EN130*EN131+EN132*EN133*6)/EN131)</f>
        <v>0</v>
      </c>
      <c r="EO129" s="833">
        <f>IF(EO131=0,0,(EO130*EO131+EO132*EO133*6)/EO131)</f>
        <v>0</v>
      </c>
      <c r="EP129" s="723">
        <f>IF(EN129=0,0,(EO129-EN129)/EN129*100)</f>
        <v>0</v>
      </c>
      <c r="EQ129" s="833">
        <f>IF(EQ131=0,0,(EQ130*EQ131+EQ132*EQ133*6)/EQ131)</f>
        <v>0</v>
      </c>
      <c r="ER129" s="833">
        <f>IF(ER131=0,0,(ER130*ER131+ER132*ER133*6)/ER131)</f>
        <v>0</v>
      </c>
      <c r="ES129" s="723">
        <f>IF(EQ129=0,0,(ER129-EQ129)/EQ129*100)</f>
        <v>0</v>
      </c>
      <c r="ET129" s="833">
        <f>IF(ET131=0,0,(ET130*ET131+ET132*ET133*6)/ET131)</f>
        <v>0</v>
      </c>
      <c r="EU129" s="833">
        <f>IF(EU131=0,0,(EU130*EU131+EU132*EU133*6)/EU131)</f>
        <v>0</v>
      </c>
      <c r="EV129" s="723">
        <f>IF(ET129=0,0,(EU129-ET129)/ET129*100)</f>
        <v>0</v>
      </c>
      <c r="EW129" s="833">
        <f>IF(EW131=0,0,(EW130*EW131+EW132*EW133*6)/EW131)</f>
        <v>0</v>
      </c>
      <c r="EX129" s="833">
        <f>IF(EX131=0,0,(EX130*EX131+EX132*EX133*6)/EX131)</f>
        <v>0</v>
      </c>
      <c r="EY129" s="723">
        <f>IF(EW129=0,0,(EX129-EW129)/EW129*100)</f>
        <v>0</v>
      </c>
      <c r="EZ129" s="833">
        <f>IF(EZ131=0,0,(EZ130*EZ131+EZ132*EZ133*6)/EZ131)</f>
        <v>0</v>
      </c>
      <c r="FA129" s="833">
        <f>IF(FA131=0,0,(FA130*FA131+FA132*FA133*6)/FA131)</f>
        <v>0</v>
      </c>
      <c r="FB129" s="723">
        <f>IF(EZ129=0,0,(FA129-EZ129)/EZ129*100)</f>
        <v>0</v>
      </c>
      <c r="FC129" s="833">
        <f>IF(FC131=0,0,(FC130*FC131+FC132*FC133*6)/FC131)</f>
        <v>0</v>
      </c>
      <c r="FD129" s="833">
        <f>IF(FD131=0,0,(FD130*FD131+FD132*FD133*6)/FD131)</f>
        <v>0</v>
      </c>
      <c r="FE129" s="723">
        <f>IF(FC129=0,0,(FD129-FC129)/FC129*100)</f>
        <v>0</v>
      </c>
      <c r="FF129" s="833">
        <f>IF(FF131=0,0,(FF130*FF131+FF132*FF133*6)/FF131)</f>
        <v>0</v>
      </c>
      <c r="FG129" s="833">
        <f>IF(FG131=0,0,(FG130*FG131+FG132*FG133*6)/FG131)</f>
        <v>0</v>
      </c>
      <c r="FH129" s="723">
        <f>IF(FF129=0,0,(FG129-FF129)/FF129*100)</f>
        <v>0</v>
      </c>
      <c r="FI129" s="833">
        <f>IF(FI131=0,0,(FI130*FI131+FI132*FI133*6)/FI131)</f>
        <v>0</v>
      </c>
      <c r="FJ129" s="833">
        <f>IF(FJ131=0,0,(FJ130*FJ131+FJ132*FJ133*6)/FJ131)</f>
        <v>0</v>
      </c>
      <c r="FK129" s="723">
        <f>IF(FI129=0,0,(FJ129-FI129)/FI129*100)</f>
        <v>0</v>
      </c>
      <c r="FL129" s="833">
        <f>IF(FL131=0,0,(FL130*FL131+FL132*FL133*6)/FL131)</f>
        <v>0</v>
      </c>
      <c r="FM129" s="833">
        <f>IF(FM131=0,0,(FM130*FM131+FM132*FM133*6)/FM131)</f>
        <v>0</v>
      </c>
      <c r="FN129" s="723">
        <f>IF(FL129=0,0,(FM129-FL129)/FL129*100)</f>
        <v>0</v>
      </c>
      <c r="FO129" s="833">
        <f>IF(FO131=0,0,(FO130*FO131+FO132*FO133*6)/FO131)</f>
        <v>0</v>
      </c>
      <c r="FP129" s="833">
        <f>IF(FP131=0,0,(FP130*FP131+FP132*FP133*6)/FP131)</f>
        <v>0</v>
      </c>
      <c r="FQ129" s="723">
        <f>IF(FO129=0,0,(FP129-FO129)/FO129*100)</f>
        <v>0</v>
      </c>
      <c r="FR129" s="833">
        <f>IF(FR131=0,0,(FR130*FR131+FR132*FR133*6)/FR131)</f>
        <v>0</v>
      </c>
      <c r="FS129" s="833">
        <f>IF(FS131=0,0,(FS130*FS131+FS132*FS133*6)/FS131)</f>
        <v>0</v>
      </c>
      <c r="FT129" s="723">
        <f>IF(FR129=0,0,(FS129-FR129)/FR129*100)</f>
        <v>0</v>
      </c>
      <c r="FU129" s="833">
        <f>IF(FU131=0,0,(FU130*FU131+FU132*FU133*6)/FU131)</f>
        <v>0</v>
      </c>
      <c r="FV129" s="833">
        <f>IF(FV131=0,0,(FV130*FV131+FV132*FV133*6)/FV131)</f>
        <v>0</v>
      </c>
      <c r="FW129" s="723">
        <f>IF(FU129=0,0,(FV129-FU129)/FU129*100)</f>
        <v>0</v>
      </c>
      <c r="FZ129" s="700" t="s">
        <v>1685</v>
      </c>
    </row>
    <row r="130" spans="1:186" ht="14.25" hidden="1" customHeight="1">
      <c r="A130" s="78"/>
      <c r="B130" s="622" t="b" cm="1">
        <f t="array" ref="B130">B129</f>
        <v>0</v>
      </c>
      <c r="C130" s="78"/>
      <c r="D130" s="78"/>
      <c r="E130" s="473">
        <v>15</v>
      </c>
      <c r="F130" s="3" t="str" cm="1">
        <f t="array" aca="1" ref="F130" ca="1">OFFSET(E130,-1,1)</f>
        <v>1</v>
      </c>
      <c r="G130" s="78"/>
      <c r="H130" s="78" t="s">
        <v>1566</v>
      </c>
      <c r="I130" s="78" t="s">
        <v>1641</v>
      </c>
      <c r="J130" s="78"/>
      <c r="K130" s="78"/>
      <c r="L130" s="78"/>
      <c r="M130" s="78"/>
      <c r="N130" s="78"/>
      <c r="O130" s="78"/>
      <c r="P130" s="78"/>
      <c r="Q130" s="78"/>
      <c r="R130" s="78"/>
      <c r="S130" s="78"/>
      <c r="T130" s="365" t="b" cm="1">
        <f t="array" aca="1" ref="T130" ca="1">T129</f>
        <v>1</v>
      </c>
      <c r="U130" s="78"/>
      <c r="V130" s="78"/>
      <c r="W130" s="78"/>
      <c r="X130" s="1094"/>
      <c r="Y130" s="78"/>
      <c r="Z130" s="1064"/>
      <c r="AA130" s="78"/>
      <c r="AB130" s="12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31" t="s">
        <v>1624</v>
      </c>
      <c r="AD130" s="833"/>
      <c r="AE130" s="833"/>
      <c r="AF130" s="723">
        <f>IF(AD130=0,0,(AE130-AD130)/AD130*100)</f>
        <v>0</v>
      </c>
      <c r="AG130" s="833"/>
      <c r="AH130" s="833"/>
      <c r="AI130" s="723">
        <f>IF(AG130=0,0,(AH130-AG130)/AG130*100)</f>
        <v>0</v>
      </c>
      <c r="AJ130" s="833"/>
      <c r="AK130" s="833"/>
      <c r="AL130" s="723">
        <f>IF(AJ130=0,0,(AK130-AJ130)/AJ130*100)</f>
        <v>0</v>
      </c>
      <c r="AM130" s="833"/>
      <c r="AN130" s="833"/>
      <c r="AO130" s="723">
        <f>IF(AM130=0,0,(AN130-AM130)/AM130*100)</f>
        <v>0</v>
      </c>
      <c r="AP130" s="833"/>
      <c r="AQ130" s="833"/>
      <c r="AR130" s="723">
        <f>IF(AP130=0,0,(AQ130-AP130)/AP130*100)</f>
        <v>0</v>
      </c>
      <c r="AS130" s="833"/>
      <c r="AT130" s="833"/>
      <c r="AU130" s="723">
        <f>IF(AS130=0,0,(AT130-AS130)/AS130*100)</f>
        <v>0</v>
      </c>
      <c r="AV130" s="833"/>
      <c r="AW130" s="833"/>
      <c r="AX130" s="723">
        <f>IF(AV130=0,0,(AW130-AV130)/AV130*100)</f>
        <v>0</v>
      </c>
      <c r="AY130" s="833"/>
      <c r="AZ130" s="833"/>
      <c r="BA130" s="723">
        <f>IF(AY130=0,0,(AZ130-AY130)/AY130*100)</f>
        <v>0</v>
      </c>
      <c r="BB130" s="833"/>
      <c r="BC130" s="833"/>
      <c r="BD130" s="723">
        <f>IF(BB130=0,0,(BC130-BB130)/BB130*100)</f>
        <v>0</v>
      </c>
      <c r="BE130" s="833"/>
      <c r="BF130" s="833"/>
      <c r="BG130" s="723">
        <f>IF(BE130=0,0,(BF130-BE130)/BE130*100)</f>
        <v>0</v>
      </c>
      <c r="BH130" s="833"/>
      <c r="BI130" s="833"/>
      <c r="BJ130" s="723">
        <f>IF(BH130=0,0,(BI130-BH130)/BH130*100)</f>
        <v>0</v>
      </c>
      <c r="BK130" s="833"/>
      <c r="BL130" s="833"/>
      <c r="BM130" s="723">
        <f>IF(BK130=0,0,(BL130-BK130)/BK130*100)</f>
        <v>0</v>
      </c>
      <c r="BN130" s="833"/>
      <c r="BO130" s="833"/>
      <c r="BP130" s="723">
        <f>IF(BN130=0,0,(BO130-BN130)/BN130*100)</f>
        <v>0</v>
      </c>
      <c r="BQ130" s="833"/>
      <c r="BR130" s="833"/>
      <c r="BS130" s="723">
        <f>IF(BQ130=0,0,(BR130-BQ130)/BQ130*100)</f>
        <v>0</v>
      </c>
      <c r="BT130" s="833"/>
      <c r="BU130" s="833"/>
      <c r="BV130" s="723">
        <f>IF(BT130=0,0,(BU130-BT130)/BT130*100)</f>
        <v>0</v>
      </c>
      <c r="BW130" s="833"/>
      <c r="BX130" s="833"/>
      <c r="BY130" s="723">
        <f>IF(BW130=0,0,(BX130-BW130)/BW130*100)</f>
        <v>0</v>
      </c>
      <c r="BZ130" s="833"/>
      <c r="CA130" s="833"/>
      <c r="CB130" s="723">
        <f>IF(BZ130=0,0,(CA130-BZ130)/BZ130*100)</f>
        <v>0</v>
      </c>
      <c r="CC130" s="833"/>
      <c r="CD130" s="833"/>
      <c r="CE130" s="723">
        <f>IF(CC130=0,0,(CD130-CC130)/CC130*100)</f>
        <v>0</v>
      </c>
      <c r="CF130" s="833"/>
      <c r="CG130" s="833"/>
      <c r="CH130" s="723">
        <f>IF(CF130=0,0,(CG130-CF130)/CF130*100)</f>
        <v>0</v>
      </c>
      <c r="CI130" s="833"/>
      <c r="CJ130" s="833"/>
      <c r="CK130" s="723">
        <f>IF(CI130=0,0,(CJ130-CI130)/CI130*100)</f>
        <v>0</v>
      </c>
      <c r="CL130" s="833"/>
      <c r="CM130" s="833"/>
      <c r="CN130" s="723">
        <f>IF(CL130=0,0,(CM130-CL130)/CL130*100)</f>
        <v>0</v>
      </c>
      <c r="CO130" s="833"/>
      <c r="CP130" s="833"/>
      <c r="CQ130" s="723">
        <f>IF(CO130=0,0,(CP130-CO130)/CO130*100)</f>
        <v>0</v>
      </c>
      <c r="CR130" s="833"/>
      <c r="CS130" s="833"/>
      <c r="CT130" s="723">
        <f>IF(CR130=0,0,(CS130-CR130)/CR130*100)</f>
        <v>0</v>
      </c>
      <c r="CU130" s="833"/>
      <c r="CV130" s="833"/>
      <c r="CW130" s="723">
        <f>IF(CU130=0,0,(CV130-CU130)/CU130*100)</f>
        <v>0</v>
      </c>
      <c r="CX130" s="833"/>
      <c r="CY130" s="833"/>
      <c r="CZ130" s="723">
        <f>IF(CX130=0,0,(CY130-CX130)/CX130*100)</f>
        <v>0</v>
      </c>
      <c r="DA130" s="833"/>
      <c r="DB130" s="833"/>
      <c r="DC130" s="723">
        <f>IF(DA130=0,0,(DB130-DA130)/DA130*100)</f>
        <v>0</v>
      </c>
      <c r="DD130" s="833"/>
      <c r="DE130" s="833"/>
      <c r="DF130" s="723">
        <f>IF(DD130=0,0,(DE130-DD130)/DD130*100)</f>
        <v>0</v>
      </c>
      <c r="DG130" s="833"/>
      <c r="DH130" s="833"/>
      <c r="DI130" s="723">
        <f>IF(DG130=0,0,(DH130-DG130)/DG130*100)</f>
        <v>0</v>
      </c>
      <c r="DJ130" s="833"/>
      <c r="DK130" s="833"/>
      <c r="DL130" s="723">
        <f>IF(DJ130=0,0,(DK130-DJ130)/DJ130*100)</f>
        <v>0</v>
      </c>
      <c r="DM130" s="833"/>
      <c r="DN130" s="833"/>
      <c r="DO130" s="723">
        <f>IF(DM130=0,0,(DN130-DM130)/DM130*100)</f>
        <v>0</v>
      </c>
      <c r="DP130" s="833"/>
      <c r="DQ130" s="833"/>
      <c r="DR130" s="723">
        <f>IF(DP130=0,0,(DQ130-DP130)/DP130*100)</f>
        <v>0</v>
      </c>
      <c r="DS130" s="833"/>
      <c r="DT130" s="833"/>
      <c r="DU130" s="723">
        <f>IF(DS130=0,0,(DT130-DS130)/DS130*100)</f>
        <v>0</v>
      </c>
      <c r="DV130" s="833"/>
      <c r="DW130" s="833"/>
      <c r="DX130" s="723">
        <f>IF(DV130=0,0,(DW130-DV130)/DV130*100)</f>
        <v>0</v>
      </c>
      <c r="DY130" s="833"/>
      <c r="DZ130" s="833"/>
      <c r="EA130" s="723">
        <f>IF(DY130=0,0,(DZ130-DY130)/DY130*100)</f>
        <v>0</v>
      </c>
      <c r="EB130" s="833"/>
      <c r="EC130" s="833"/>
      <c r="ED130" s="723">
        <f>IF(EB130=0,0,(EC130-EB130)/EB130*100)</f>
        <v>0</v>
      </c>
      <c r="EE130" s="833"/>
      <c r="EF130" s="833"/>
      <c r="EG130" s="723">
        <f>IF(EE130=0,0,(EF130-EE130)/EE130*100)</f>
        <v>0</v>
      </c>
      <c r="EH130" s="833"/>
      <c r="EI130" s="833"/>
      <c r="EJ130" s="723">
        <f>IF(EH130=0,0,(EI130-EH130)/EH130*100)</f>
        <v>0</v>
      </c>
      <c r="EK130" s="833"/>
      <c r="EL130" s="833"/>
      <c r="EM130" s="723">
        <f>IF(EK130=0,0,(EL130-EK130)/EK130*100)</f>
        <v>0</v>
      </c>
      <c r="EN130" s="833"/>
      <c r="EO130" s="833"/>
      <c r="EP130" s="723">
        <f>IF(EN130=0,0,(EO130-EN130)/EN130*100)</f>
        <v>0</v>
      </c>
      <c r="EQ130" s="833"/>
      <c r="ER130" s="833"/>
      <c r="ES130" s="723">
        <f>IF(EQ130=0,0,(ER130-EQ130)/EQ130*100)</f>
        <v>0</v>
      </c>
      <c r="ET130" s="833"/>
      <c r="EU130" s="833"/>
      <c r="EV130" s="723">
        <f>IF(ET130=0,0,(EU130-ET130)/ET130*100)</f>
        <v>0</v>
      </c>
      <c r="EW130" s="833"/>
      <c r="EX130" s="833"/>
      <c r="EY130" s="723">
        <f>IF(EW130=0,0,(EX130-EW130)/EW130*100)</f>
        <v>0</v>
      </c>
      <c r="EZ130" s="833"/>
      <c r="FA130" s="833"/>
      <c r="FB130" s="723">
        <f>IF(EZ130=0,0,(FA130-EZ130)/EZ130*100)</f>
        <v>0</v>
      </c>
      <c r="FC130" s="833"/>
      <c r="FD130" s="833"/>
      <c r="FE130" s="723">
        <f>IF(FC130=0,0,(FD130-FC130)/FC130*100)</f>
        <v>0</v>
      </c>
      <c r="FF130" s="833"/>
      <c r="FG130" s="833"/>
      <c r="FH130" s="723">
        <f>IF(FF130=0,0,(FG130-FF130)/FF130*100)</f>
        <v>0</v>
      </c>
      <c r="FI130" s="833"/>
      <c r="FJ130" s="833"/>
      <c r="FK130" s="723">
        <f>IF(FI130=0,0,(FJ130-FI130)/FI130*100)</f>
        <v>0</v>
      </c>
      <c r="FL130" s="833"/>
      <c r="FM130" s="833"/>
      <c r="FN130" s="723">
        <f>IF(FL130=0,0,(FM130-FL130)/FL130*100)</f>
        <v>0</v>
      </c>
      <c r="FO130" s="833"/>
      <c r="FP130" s="833"/>
      <c r="FQ130" s="723">
        <f>IF(FO130=0,0,(FP130-FO130)/FO130*100)</f>
        <v>0</v>
      </c>
      <c r="FR130" s="833"/>
      <c r="FS130" s="833"/>
      <c r="FT130" s="723">
        <f>IF(FR130=0,0,(FS130-FR130)/FR130*100)</f>
        <v>0</v>
      </c>
      <c r="FU130" s="833"/>
      <c r="FV130" s="833"/>
      <c r="FW130" s="723">
        <f>IF(FU130=0,0,(FV130-FU130)/FU130*100)</f>
        <v>0</v>
      </c>
      <c r="FZ130" s="700" t="s">
        <v>1686</v>
      </c>
    </row>
    <row r="131" spans="1:186" ht="14.25" hidden="1" customHeight="1">
      <c r="A131" s="78"/>
      <c r="B131" s="622" t="b" cm="1">
        <f t="array" ref="B131">B130</f>
        <v>0</v>
      </c>
      <c r="C131" s="78"/>
      <c r="D131" s="78"/>
      <c r="E131" s="473">
        <v>15</v>
      </c>
      <c r="F131" s="3" t="str" cm="1">
        <f t="array" aca="1" ref="F131" ca="1">OFFSET(E131,-1,1)</f>
        <v>1</v>
      </c>
      <c r="G131" s="44" t="s">
        <v>1687</v>
      </c>
      <c r="H131" s="78" t="s">
        <v>1661</v>
      </c>
      <c r="I131" s="78" t="s">
        <v>1641</v>
      </c>
      <c r="J131" s="78"/>
      <c r="K131" s="78"/>
      <c r="L131" s="78"/>
      <c r="M131" s="78"/>
      <c r="N131" s="78"/>
      <c r="O131" s="78"/>
      <c r="P131" s="78"/>
      <c r="Q131" s="78"/>
      <c r="R131" s="78"/>
      <c r="S131" s="78"/>
      <c r="T131" s="365" t="b" cm="1">
        <f t="array" aca="1" ref="T131" ca="1">T130</f>
        <v>1</v>
      </c>
      <c r="U131" s="78"/>
      <c r="V131" s="78"/>
      <c r="W131" s="78"/>
      <c r="X131" s="1094"/>
      <c r="Y131" s="78"/>
      <c r="Z131" s="1064"/>
      <c r="AA131" s="78"/>
      <c r="AB131" s="124" t="str">
        <f>"объём "&amp;IF(Q92="Водоснабжение","потребления холодной воды","водоотведения")</f>
        <v>объём потребления холодной воды</v>
      </c>
      <c r="AC131" s="31" t="s">
        <v>534</v>
      </c>
      <c r="AD131" s="849">
        <f ca="1">IF(AND(method_reg="Метод индексации",god&lt;&gt;first_year),SUMIFS(INDEX('Калькуляция (МИ корр)'!$AJ$25:$BC$459,,MATCH(AD$8,'Калькуляция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(МИ)'!$AJ$25:$BC$459,,MATCH(AD$8,'Калькуляция (МИ)'!$AJ$8:$BC$8,0)),'Калькуляция (МИ)'!$F$25:$F$459,$F131,'Калькуляция (МИ)'!$G$25:$G$459,$G131))))</f>
        <v>132.23374999999999</v>
      </c>
      <c r="AE131" s="849">
        <f ca="1">IF(AND(method_reg="Метод индексации",god&lt;&gt;first_year),SUMIFS(INDEX('Калькуляция (МИ корр)'!$AJ$25:$BC$459,,MATCH(AE$8,'Калькуляция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(МИ)'!$AJ$25:$BC$459,,MATCH(AE$8,'Калькуляция (МИ)'!$AJ$8:$BC$8,0)),'Калькуляция (МИ)'!$F$25:$F$459,$F131,'Калькуляция (МИ)'!$G$25:$G$459,$G131))))</f>
        <v>132.11924999999997</v>
      </c>
      <c r="AF131" s="724">
        <f ca="1">IF(AD131=0,0,(AE131-AD131)/AD131*100)</f>
        <v>-8.6589089396633553E-2</v>
      </c>
      <c r="AG131" s="849">
        <f ca="1">IF(AND(method_reg="Метод индексации",god&lt;&gt;first_year),SUMIFS(INDEX('Калькуляция (МИ корр)'!$AJ$25:$BC$459,,MATCH(AG$8,'Калькуляция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(МИ)'!$AJ$25:$BC$459,,MATCH(AG$8,'Калькуляция (МИ)'!$AJ$8:$BC$8,0)),'Калькуляция (МИ)'!$F$25:$F$459,$F131,'Калькуляция (МИ)'!$G$25:$G$459,$G131))))</f>
        <v>0</v>
      </c>
      <c r="AH131" s="849">
        <f ca="1">IF(AND(method_reg="Метод индексации",god&lt;&gt;first_year),SUMIFS(INDEX('Калькуляция (МИ корр)'!$AJ$25:$BC$459,,MATCH(AH$8,'Калькуляция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(МИ)'!$AJ$25:$BC$459,,MATCH(AH$8,'Калькуляция (МИ)'!$AJ$8:$BC$8,0)),'Калькуляция (МИ)'!$F$25:$F$459,$F131,'Калькуляция (МИ)'!$G$25:$G$459,$G131))))</f>
        <v>0</v>
      </c>
      <c r="AI131" s="724">
        <f ca="1">IF(AG131=0,0,(AH131-AG131)/AG131*100)</f>
        <v>0</v>
      </c>
      <c r="AJ131" s="849">
        <f ca="1">IF(AND(method_reg="Метод индексации",god&lt;&gt;first_year),SUMIFS(INDEX('Калькуляция (МИ корр)'!$AJ$25:$BC$459,,MATCH(AJ$8,'Калькуляция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(МИ)'!$AJ$25:$BC$459,,MATCH(AJ$8,'Калькуляция (МИ)'!$AJ$8:$BC$8,0)),'Калькуляция (МИ)'!$F$25:$F$459,$F131,'Калькуляция (МИ)'!$G$25:$G$459,$G131))))</f>
        <v>0</v>
      </c>
      <c r="AK131" s="849">
        <f ca="1">IF(AND(method_reg="Метод индексации",god&lt;&gt;first_year),SUMIFS(INDEX('Калькуляция (МИ корр)'!$AJ$25:$BC$459,,MATCH(AK$8,'Калькуляция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(МИ)'!$AJ$25:$BC$459,,MATCH(AK$8,'Калькуляция (МИ)'!$AJ$8:$BC$8,0)),'Калькуляция (МИ)'!$F$25:$F$459,$F131,'Калькуляция (МИ)'!$G$25:$G$459,$G131))))</f>
        <v>0</v>
      </c>
      <c r="AL131" s="724">
        <f ca="1">IF(AJ131=0,0,(AK131-AJ131)/AJ131*100)</f>
        <v>0</v>
      </c>
      <c r="AM131" s="849">
        <f ca="1">IF(AND(method_reg="Метод индексации",god&lt;&gt;first_year),SUMIFS(INDEX('Калькуляция (МИ корр)'!$AJ$25:$BC$459,,MATCH(AM$8,'Калькуляция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(МИ)'!$AJ$25:$BC$459,,MATCH(AM$8,'Калькуляция (МИ)'!$AJ$8:$BC$8,0)),'Калькуляция (МИ)'!$F$25:$F$459,$F131,'Калькуляция (МИ)'!$G$25:$G$459,$G131))))</f>
        <v>0</v>
      </c>
      <c r="AN131" s="849">
        <f ca="1">IF(AND(method_reg="Метод индексации",god&lt;&gt;first_year),SUMIFS(INDEX('Калькуляция (МИ корр)'!$AJ$25:$BC$459,,MATCH(AN$8,'Калькуляция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(МИ)'!$AJ$25:$BC$459,,MATCH(AN$8,'Калькуляция (МИ)'!$AJ$8:$BC$8,0)),'Калькуляция (МИ)'!$F$25:$F$459,$F131,'Калькуляция (МИ)'!$G$25:$G$459,$G131))))</f>
        <v>0</v>
      </c>
      <c r="AO131" s="724">
        <f ca="1">IF(AM131=0,0,(AN131-AM131)/AM131*100)</f>
        <v>0</v>
      </c>
      <c r="AP131" s="849">
        <f ca="1">IF(AND(method_reg="Метод индексации",god&lt;&gt;first_year),SUMIFS(INDEX('Калькуляция (МИ корр)'!$AJ$25:$BC$459,,MATCH(AP$8,'Калькуляция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(МИ)'!$AJ$25:$BC$459,,MATCH(AP$8,'Калькуляция (МИ)'!$AJ$8:$BC$8,0)),'Калькуляция (МИ)'!$F$25:$F$459,$F131,'Калькуляция (МИ)'!$G$25:$G$459,$G131))))</f>
        <v>0</v>
      </c>
      <c r="AQ131" s="849">
        <f ca="1">IF(AND(method_reg="Метод индексации",god&lt;&gt;first_year),SUMIFS(INDEX('Калькуляция (МИ корр)'!$AJ$25:$BC$459,,MATCH(AQ$8,'Калькуляция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(МИ)'!$AJ$25:$BC$459,,MATCH(AQ$8,'Калькуляция (МИ)'!$AJ$8:$BC$8,0)),'Калькуляция (МИ)'!$F$25:$F$459,$F131,'Калькуляция (МИ)'!$G$25:$G$459,$G131))))</f>
        <v>0</v>
      </c>
      <c r="AR131" s="724">
        <f ca="1">IF(AP131=0,0,(AQ131-AP131)/AP131*100)</f>
        <v>0</v>
      </c>
      <c r="AS131" s="849">
        <f ca="1">IF(AND(method_reg="Метод индексации",god&lt;&gt;first_year),SUMIFS(INDEX('Калькуляция (МИ корр)'!$AJ$25:$BC$459,,MATCH(AS$8,'Калькуляция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(МИ)'!$AJ$25:$BC$459,,MATCH(AS$8,'Калькуляция (МИ)'!$AJ$8:$BC$8,0)),'Калькуляция (МИ)'!$F$25:$F$459,$F131,'Калькуляция (МИ)'!$G$25:$G$459,$G131))))</f>
        <v>0</v>
      </c>
      <c r="AT131" s="849">
        <f ca="1">IF(AND(method_reg="Метод индексации",god&lt;&gt;first_year),SUMIFS(INDEX('Калькуляция (МИ корр)'!$AJ$25:$BC$459,,MATCH(AT$8,'Калькуляция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(МИ)'!$AJ$25:$BC$459,,MATCH(AT$8,'Калькуляция (МИ)'!$AJ$8:$BC$8,0)),'Калькуляция (МИ)'!$F$25:$F$459,$F131,'Калькуляция (МИ)'!$G$25:$G$459,$G131))))</f>
        <v>0</v>
      </c>
      <c r="AU131" s="724">
        <f ca="1">IF(AS131=0,0,(AT131-AS131)/AS131*100)</f>
        <v>0</v>
      </c>
      <c r="AV131" s="849">
        <f ca="1">IF(AND(method_reg="Метод индексации",god&lt;&gt;first_year),SUMIFS(INDEX('Калькуляция (МИ корр)'!$AJ$25:$BC$459,,MATCH(AV$8,'Калькуляция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(МИ)'!$AJ$25:$BC$459,,MATCH(AV$8,'Калькуляция (МИ)'!$AJ$8:$BC$8,0)),'Калькуляция (МИ)'!$F$25:$F$459,$F131,'Калькуляция (МИ)'!$G$25:$G$459,$G131))))</f>
        <v>0</v>
      </c>
      <c r="AW131" s="849">
        <f ca="1">IF(AND(method_reg="Метод индексации",god&lt;&gt;first_year),SUMIFS(INDEX('Калькуляция (МИ корр)'!$AJ$25:$BC$459,,MATCH(AW$8,'Калькуляция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(МИ)'!$AJ$25:$BC$459,,MATCH(AW$8,'Калькуляция (МИ)'!$AJ$8:$BC$8,0)),'Калькуляция (МИ)'!$F$25:$F$459,$F131,'Калькуляция (МИ)'!$G$25:$G$459,$G131))))</f>
        <v>0</v>
      </c>
      <c r="AX131" s="724">
        <f ca="1">IF(AV131=0,0,(AW131-AV131)/AV131*100)</f>
        <v>0</v>
      </c>
      <c r="AY131" s="849">
        <f ca="1">IF(AND(method_reg="Метод индексации",god&lt;&gt;first_year),SUMIFS(INDEX('Калькуляция (МИ корр)'!$AJ$25:$BC$459,,MATCH(AY$8,'Калькуляция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(МИ)'!$AJ$25:$BC$459,,MATCH(AY$8,'Калькуляция (МИ)'!$AJ$8:$BC$8,0)),'Калькуляция (МИ)'!$F$25:$F$459,$F131,'Калькуляция (МИ)'!$G$25:$G$459,$G131))))</f>
        <v>0</v>
      </c>
      <c r="AZ131" s="849">
        <f ca="1">IF(AND(method_reg="Метод индексации",god&lt;&gt;first_year),SUMIFS(INDEX('Калькуляция (МИ корр)'!$AJ$25:$BC$459,,MATCH(AZ$8,'Калькуляция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(МИ)'!$AJ$25:$BC$459,,MATCH(AZ$8,'Калькуляция (МИ)'!$AJ$8:$BC$8,0)),'Калькуляция (МИ)'!$F$25:$F$459,$F131,'Калькуляция (МИ)'!$G$25:$G$459,$G131))))</f>
        <v>0</v>
      </c>
      <c r="BA131" s="724">
        <f ca="1">IF(AY131=0,0,(AZ131-AY131)/AY131*100)</f>
        <v>0</v>
      </c>
      <c r="BB131" s="849">
        <f ca="1">IF(AND(method_reg="Метод индексации",god&lt;&gt;first_year),SUMIFS(INDEX('Калькуляция (МИ корр)'!$AJ$25:$BC$459,,MATCH(BB$8,'Калькуляция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(МИ)'!$AJ$25:$BC$459,,MATCH(BB$8,'Калькуляция (МИ)'!$AJ$8:$BC$8,0)),'Калькуляция (МИ)'!$F$25:$F$459,$F131,'Калькуляция (МИ)'!$G$25:$G$459,$G131))))</f>
        <v>0</v>
      </c>
      <c r="BC131" s="849">
        <f ca="1">IF(AND(method_reg="Метод индексации",god&lt;&gt;first_year),SUMIFS(INDEX('Калькуляция (МИ корр)'!$AJ$25:$BC$459,,MATCH(BC$8,'Калькуляция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(МИ)'!$AJ$25:$BC$459,,MATCH(BC$8,'Калькуляция (МИ)'!$AJ$8:$BC$8,0)),'Калькуляция (МИ)'!$F$25:$F$459,$F131,'Калькуляция (МИ)'!$G$25:$G$459,$G131))))</f>
        <v>0</v>
      </c>
      <c r="BD131" s="724">
        <f ca="1">IF(BB131=0,0,(BC131-BB131)/BB131*100)</f>
        <v>0</v>
      </c>
      <c r="BE131" s="849">
        <f ca="1">IF(AND(method_reg="Метод индексации",god&lt;&gt;first_year),SUMIFS(INDEX('Калькуляция (МИ корр)'!$AJ$25:$BC$459,,MATCH(BE$8,'Калькуляция (МИ корр)'!$AJ$8:$BC$8,0)),'Калькуляция (МИ корр)'!$F$25:$F$459,$F131,'Калькуляция (МИ корр)'!$G$25:$G$459,$G131),IF(method_reg="Метод экономически обоснованных расходов",SUMIFS('Калькуляция (МЭОР)'!$AJ$25:$AJ$282,'Калькуляция (МЭОР)'!$F$25:$F$282,$F131,'Калькуляция (МЭОР)'!$G$25:$G$282,$G131),IF(method_reg="Метод сравнения аналогов",SUMIFS('Калькуляция (МСА)'!$AE$25:$AE$84,'Калькуляция (МСА)'!$F$25:$F$84,$F131,'Калькуляция (МСА)'!$G$25:$G$84,$G131),SUMIFS(INDEX('Калькуляция (МИ)'!$AJ$25:$BC$459,,MATCH(BE$8,'Калькуляция (МИ)'!$AJ$8:$BC$8,0)),'Калькуляция (МИ)'!$F$25:$F$459,$F131,'Калькуляция (МИ)'!$G$25:$G$459,$G131))))</f>
        <v>0</v>
      </c>
      <c r="BF131" s="849">
        <f ca="1">IF(AND(method_reg="Метод индексации",god&lt;&gt;first_year),SUMIFS(INDEX('Калькуляция (МИ корр)'!$AJ$25:$BC$459,,MATCH(BF$8,'Калькуляция (МИ корр)'!$AJ$8:$BC$8,0)),'Калькуляция (МИ корр)'!$F$25:$F$459,$F131,'Калькуляция (МИ корр)'!$G$25:$G$459,$G131),IF(method_reg="Метод экономически обоснованных расходов",SUMIFS('Калькуляция (МЭОР)'!$AK$25:$AK$282,'Калькуляция (МЭОР)'!$F$25:$F$282,$F131,'Калькуляция (МЭОР)'!$G$25:$G$282,$G131),IF(method_reg="Метод сравнения аналогов",SUMIFS('Калькуляция (МСА)'!$AF$25:$AF$84,'Калькуляция (МСА)'!$F$25:$F$84,$F131,'Калькуляция (МСА)'!$G$25:$G$84,$G131),SUMIFS(INDEX('Калькуляция (МИ)'!$AJ$25:$BC$459,,MATCH(BF$8,'Калькуляция (МИ)'!$AJ$8:$BC$8,0)),'Калькуляция (МИ)'!$F$25:$F$459,$F131,'Калькуляция (МИ)'!$G$25:$G$459,$G131))))</f>
        <v>0</v>
      </c>
      <c r="BG131" s="724">
        <f ca="1">IF(BE131=0,0,(BF131-BE131)/BE131*100)</f>
        <v>0</v>
      </c>
      <c r="BH131" s="849"/>
      <c r="BI131" s="849"/>
      <c r="BJ131" s="724">
        <f>IF(BH131=0,0,(BI131-BH131)/BH131*100)</f>
        <v>0</v>
      </c>
      <c r="BK131" s="849"/>
      <c r="BL131" s="849"/>
      <c r="BM131" s="724">
        <f>IF(BK131=0,0,(BL131-BK131)/BK131*100)</f>
        <v>0</v>
      </c>
      <c r="BN131" s="849"/>
      <c r="BO131" s="849"/>
      <c r="BP131" s="724">
        <f>IF(BN131=0,0,(BO131-BN131)/BN131*100)</f>
        <v>0</v>
      </c>
      <c r="BQ131" s="849"/>
      <c r="BR131" s="849"/>
      <c r="BS131" s="724">
        <f>IF(BQ131=0,0,(BR131-BQ131)/BQ131*100)</f>
        <v>0</v>
      </c>
      <c r="BT131" s="849"/>
      <c r="BU131" s="849"/>
      <c r="BV131" s="724">
        <f>IF(BT131=0,0,(BU131-BT131)/BT131*100)</f>
        <v>0</v>
      </c>
      <c r="BW131" s="849"/>
      <c r="BX131" s="849"/>
      <c r="BY131" s="724">
        <f>IF(BW131=0,0,(BX131-BW131)/BW131*100)</f>
        <v>0</v>
      </c>
      <c r="BZ131" s="849"/>
      <c r="CA131" s="849"/>
      <c r="CB131" s="724">
        <f>IF(BZ131=0,0,(CA131-BZ131)/BZ131*100)</f>
        <v>0</v>
      </c>
      <c r="CC131" s="849"/>
      <c r="CD131" s="849"/>
      <c r="CE131" s="724">
        <f>IF(CC131=0,0,(CD131-CC131)/CC131*100)</f>
        <v>0</v>
      </c>
      <c r="CF131" s="849"/>
      <c r="CG131" s="849"/>
      <c r="CH131" s="724">
        <f>IF(CF131=0,0,(CG131-CF131)/CF131*100)</f>
        <v>0</v>
      </c>
      <c r="CI131" s="849"/>
      <c r="CJ131" s="849"/>
      <c r="CK131" s="724">
        <f>IF(CI131=0,0,(CJ131-CI131)/CI131*100)</f>
        <v>0</v>
      </c>
      <c r="CL131" s="849"/>
      <c r="CM131" s="849"/>
      <c r="CN131" s="724">
        <f>IF(CL131=0,0,(CM131-CL131)/CL131*100)</f>
        <v>0</v>
      </c>
      <c r="CO131" s="849"/>
      <c r="CP131" s="849"/>
      <c r="CQ131" s="724">
        <f>IF(CO131=0,0,(CP131-CO131)/CO131*100)</f>
        <v>0</v>
      </c>
      <c r="CR131" s="849"/>
      <c r="CS131" s="849"/>
      <c r="CT131" s="724">
        <f>IF(CR131=0,0,(CS131-CR131)/CR131*100)</f>
        <v>0</v>
      </c>
      <c r="CU131" s="849"/>
      <c r="CV131" s="849"/>
      <c r="CW131" s="724">
        <f>IF(CU131=0,0,(CV131-CU131)/CU131*100)</f>
        <v>0</v>
      </c>
      <c r="CX131" s="849"/>
      <c r="CY131" s="849"/>
      <c r="CZ131" s="724">
        <f>IF(CX131=0,0,(CY131-CX131)/CX131*100)</f>
        <v>0</v>
      </c>
      <c r="DA131" s="849"/>
      <c r="DB131" s="849"/>
      <c r="DC131" s="724">
        <f>IF(DA131=0,0,(DB131-DA131)/DA131*100)</f>
        <v>0</v>
      </c>
      <c r="DD131" s="849"/>
      <c r="DE131" s="849"/>
      <c r="DF131" s="724">
        <f>IF(DD131=0,0,(DE131-DD131)/DD131*100)</f>
        <v>0</v>
      </c>
      <c r="DG131" s="849"/>
      <c r="DH131" s="849"/>
      <c r="DI131" s="724">
        <f>IF(DG131=0,0,(DH131-DG131)/DG131*100)</f>
        <v>0</v>
      </c>
      <c r="DJ131" s="849"/>
      <c r="DK131" s="849"/>
      <c r="DL131" s="724">
        <f>IF(DJ131=0,0,(DK131-DJ131)/DJ131*100)</f>
        <v>0</v>
      </c>
      <c r="DM131" s="849"/>
      <c r="DN131" s="849"/>
      <c r="DO131" s="724">
        <f>IF(DM131=0,0,(DN131-DM131)/DM131*100)</f>
        <v>0</v>
      </c>
      <c r="DP131" s="849"/>
      <c r="DQ131" s="849"/>
      <c r="DR131" s="724">
        <f>IF(DP131=0,0,(DQ131-DP131)/DP131*100)</f>
        <v>0</v>
      </c>
      <c r="DS131" s="849"/>
      <c r="DT131" s="849"/>
      <c r="DU131" s="724">
        <f>IF(DS131=0,0,(DT131-DS131)/DS131*100)</f>
        <v>0</v>
      </c>
      <c r="DV131" s="849"/>
      <c r="DW131" s="849"/>
      <c r="DX131" s="724">
        <f>IF(DV131=0,0,(DW131-DV131)/DV131*100)</f>
        <v>0</v>
      </c>
      <c r="DY131" s="849"/>
      <c r="DZ131" s="849"/>
      <c r="EA131" s="724">
        <f>IF(DY131=0,0,(DZ131-DY131)/DY131*100)</f>
        <v>0</v>
      </c>
      <c r="EB131" s="849"/>
      <c r="EC131" s="849"/>
      <c r="ED131" s="724">
        <f>IF(EB131=0,0,(EC131-EB131)/EB131*100)</f>
        <v>0</v>
      </c>
      <c r="EE131" s="849"/>
      <c r="EF131" s="849"/>
      <c r="EG131" s="724">
        <f>IF(EE131=0,0,(EF131-EE131)/EE131*100)</f>
        <v>0</v>
      </c>
      <c r="EH131" s="849"/>
      <c r="EI131" s="849"/>
      <c r="EJ131" s="724">
        <f>IF(EH131=0,0,(EI131-EH131)/EH131*100)</f>
        <v>0</v>
      </c>
      <c r="EK131" s="849"/>
      <c r="EL131" s="849"/>
      <c r="EM131" s="724">
        <f>IF(EK131=0,0,(EL131-EK131)/EK131*100)</f>
        <v>0</v>
      </c>
      <c r="EN131" s="849"/>
      <c r="EO131" s="849"/>
      <c r="EP131" s="724">
        <f>IF(EN131=0,0,(EO131-EN131)/EN131*100)</f>
        <v>0</v>
      </c>
      <c r="EQ131" s="849"/>
      <c r="ER131" s="849"/>
      <c r="ES131" s="724">
        <f>IF(EQ131=0,0,(ER131-EQ131)/EQ131*100)</f>
        <v>0</v>
      </c>
      <c r="ET131" s="849"/>
      <c r="EU131" s="849"/>
      <c r="EV131" s="724">
        <f>IF(ET131=0,0,(EU131-ET131)/ET131*100)</f>
        <v>0</v>
      </c>
      <c r="EW131" s="849"/>
      <c r="EX131" s="849"/>
      <c r="EY131" s="724">
        <f>IF(EW131=0,0,(EX131-EW131)/EW131*100)</f>
        <v>0</v>
      </c>
      <c r="EZ131" s="849"/>
      <c r="FA131" s="849"/>
      <c r="FB131" s="724">
        <f>IF(EZ131=0,0,(FA131-EZ131)/EZ131*100)</f>
        <v>0</v>
      </c>
      <c r="FC131" s="849"/>
      <c r="FD131" s="849"/>
      <c r="FE131" s="724">
        <f>IF(FC131=0,0,(FD131-FC131)/FC131*100)</f>
        <v>0</v>
      </c>
      <c r="FF131" s="849"/>
      <c r="FG131" s="849"/>
      <c r="FH131" s="724">
        <f>IF(FF131=0,0,(FG131-FF131)/FF131*100)</f>
        <v>0</v>
      </c>
      <c r="FI131" s="849"/>
      <c r="FJ131" s="849"/>
      <c r="FK131" s="724">
        <f>IF(FI131=0,0,(FJ131-FI131)/FI131*100)</f>
        <v>0</v>
      </c>
      <c r="FL131" s="849"/>
      <c r="FM131" s="849"/>
      <c r="FN131" s="724">
        <f>IF(FL131=0,0,(FM131-FL131)/FL131*100)</f>
        <v>0</v>
      </c>
      <c r="FO131" s="849"/>
      <c r="FP131" s="849"/>
      <c r="FQ131" s="724">
        <f>IF(FO131=0,0,(FP131-FO131)/FO131*100)</f>
        <v>0</v>
      </c>
      <c r="FR131" s="849"/>
      <c r="FS131" s="849"/>
      <c r="FT131" s="724">
        <f>IF(FR131=0,0,(FS131-FR131)/FR131*100)</f>
        <v>0</v>
      </c>
      <c r="FU131" s="849"/>
      <c r="FV131" s="849"/>
      <c r="FW131" s="724">
        <f>IF(FU131=0,0,(FV131-FU131)/FU131*100)</f>
        <v>0</v>
      </c>
      <c r="FZ131" s="700" t="s">
        <v>1688</v>
      </c>
    </row>
    <row r="132" spans="1:186" ht="21.75" hidden="1" customHeight="1">
      <c r="A132" s="78"/>
      <c r="B132" s="622" t="b" cm="1">
        <f t="array" ref="B132">B131</f>
        <v>0</v>
      </c>
      <c r="C132" s="78"/>
      <c r="D132" s="78"/>
      <c r="E132" s="473">
        <v>22.5</v>
      </c>
      <c r="F132" s="3" t="str" cm="1">
        <f t="array" aca="1" ref="F132" ca="1">OFFSET(E132,-1,1)</f>
        <v>1</v>
      </c>
      <c r="G132" s="78"/>
      <c r="H132" s="78" t="s">
        <v>1663</v>
      </c>
      <c r="I132" s="78" t="s">
        <v>1641</v>
      </c>
      <c r="J132" s="78"/>
      <c r="K132" s="78"/>
      <c r="L132" s="78"/>
      <c r="M132" s="78"/>
      <c r="N132" s="78"/>
      <c r="O132" s="78"/>
      <c r="P132" s="78"/>
      <c r="Q132" s="78"/>
      <c r="R132" s="78"/>
      <c r="S132" s="78"/>
      <c r="T132" s="365" t="b" cm="1">
        <f t="array" aca="1" ref="T132" ca="1">T131</f>
        <v>1</v>
      </c>
      <c r="U132" s="78"/>
      <c r="V132" s="78"/>
      <c r="W132" s="78"/>
      <c r="X132" s="1094"/>
      <c r="Y132" s="78"/>
      <c r="Z132" s="1064"/>
      <c r="AA132" s="78"/>
      <c r="AB132" s="12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31" t="s">
        <v>1664</v>
      </c>
      <c r="AD132" s="833"/>
      <c r="AE132" s="833"/>
      <c r="AF132" s="723">
        <f>IF(AD132=0,0,(AE132-AD132)/AD132*100)</f>
        <v>0</v>
      </c>
      <c r="AG132" s="833"/>
      <c r="AH132" s="833"/>
      <c r="AI132" s="723">
        <f>IF(AG132=0,0,(AH132-AG132)/AG132*100)</f>
        <v>0</v>
      </c>
      <c r="AJ132" s="833"/>
      <c r="AK132" s="833"/>
      <c r="AL132" s="723">
        <f>IF(AJ132=0,0,(AK132-AJ132)/AJ132*100)</f>
        <v>0</v>
      </c>
      <c r="AM132" s="833"/>
      <c r="AN132" s="833"/>
      <c r="AO132" s="723">
        <f>IF(AM132=0,0,(AN132-AM132)/AM132*100)</f>
        <v>0</v>
      </c>
      <c r="AP132" s="833"/>
      <c r="AQ132" s="833"/>
      <c r="AR132" s="723">
        <f>IF(AP132=0,0,(AQ132-AP132)/AP132*100)</f>
        <v>0</v>
      </c>
      <c r="AS132" s="833"/>
      <c r="AT132" s="833"/>
      <c r="AU132" s="723">
        <f>IF(AS132=0,0,(AT132-AS132)/AS132*100)</f>
        <v>0</v>
      </c>
      <c r="AV132" s="833"/>
      <c r="AW132" s="833"/>
      <c r="AX132" s="723">
        <f>IF(AV132=0,0,(AW132-AV132)/AV132*100)</f>
        <v>0</v>
      </c>
      <c r="AY132" s="833"/>
      <c r="AZ132" s="833"/>
      <c r="BA132" s="723">
        <f>IF(AY132=0,0,(AZ132-AY132)/AY132*100)</f>
        <v>0</v>
      </c>
      <c r="BB132" s="833"/>
      <c r="BC132" s="833"/>
      <c r="BD132" s="723">
        <f>IF(BB132=0,0,(BC132-BB132)/BB132*100)</f>
        <v>0</v>
      </c>
      <c r="BE132" s="833"/>
      <c r="BF132" s="833"/>
      <c r="BG132" s="723">
        <f>IF(BE132=0,0,(BF132-BE132)/BE132*100)</f>
        <v>0</v>
      </c>
      <c r="BH132" s="833"/>
      <c r="BI132" s="833"/>
      <c r="BJ132" s="723">
        <f>IF(BH132=0,0,(BI132-BH132)/BH132*100)</f>
        <v>0</v>
      </c>
      <c r="BK132" s="833"/>
      <c r="BL132" s="833"/>
      <c r="BM132" s="723">
        <f>IF(BK132=0,0,(BL132-BK132)/BK132*100)</f>
        <v>0</v>
      </c>
      <c r="BN132" s="833"/>
      <c r="BO132" s="833"/>
      <c r="BP132" s="723">
        <f>IF(BN132=0,0,(BO132-BN132)/BN132*100)</f>
        <v>0</v>
      </c>
      <c r="BQ132" s="833"/>
      <c r="BR132" s="833"/>
      <c r="BS132" s="723">
        <f>IF(BQ132=0,0,(BR132-BQ132)/BQ132*100)</f>
        <v>0</v>
      </c>
      <c r="BT132" s="833"/>
      <c r="BU132" s="833"/>
      <c r="BV132" s="723">
        <f>IF(BT132=0,0,(BU132-BT132)/BT132*100)</f>
        <v>0</v>
      </c>
      <c r="BW132" s="833"/>
      <c r="BX132" s="833"/>
      <c r="BY132" s="723">
        <f>IF(BW132=0,0,(BX132-BW132)/BW132*100)</f>
        <v>0</v>
      </c>
      <c r="BZ132" s="833"/>
      <c r="CA132" s="833"/>
      <c r="CB132" s="723">
        <f>IF(BZ132=0,0,(CA132-BZ132)/BZ132*100)</f>
        <v>0</v>
      </c>
      <c r="CC132" s="833"/>
      <c r="CD132" s="833"/>
      <c r="CE132" s="723">
        <f>IF(CC132=0,0,(CD132-CC132)/CC132*100)</f>
        <v>0</v>
      </c>
      <c r="CF132" s="833"/>
      <c r="CG132" s="833"/>
      <c r="CH132" s="723">
        <f>IF(CF132=0,0,(CG132-CF132)/CF132*100)</f>
        <v>0</v>
      </c>
      <c r="CI132" s="833"/>
      <c r="CJ132" s="833"/>
      <c r="CK132" s="723">
        <f>IF(CI132=0,0,(CJ132-CI132)/CI132*100)</f>
        <v>0</v>
      </c>
      <c r="CL132" s="833"/>
      <c r="CM132" s="833"/>
      <c r="CN132" s="723">
        <f>IF(CL132=0,0,(CM132-CL132)/CL132*100)</f>
        <v>0</v>
      </c>
      <c r="CO132" s="833"/>
      <c r="CP132" s="833"/>
      <c r="CQ132" s="723">
        <f>IF(CO132=0,0,(CP132-CO132)/CO132*100)</f>
        <v>0</v>
      </c>
      <c r="CR132" s="833"/>
      <c r="CS132" s="833"/>
      <c r="CT132" s="723">
        <f>IF(CR132=0,0,(CS132-CR132)/CR132*100)</f>
        <v>0</v>
      </c>
      <c r="CU132" s="833"/>
      <c r="CV132" s="833"/>
      <c r="CW132" s="723">
        <f>IF(CU132=0,0,(CV132-CU132)/CU132*100)</f>
        <v>0</v>
      </c>
      <c r="CX132" s="833"/>
      <c r="CY132" s="833"/>
      <c r="CZ132" s="723">
        <f>IF(CX132=0,0,(CY132-CX132)/CX132*100)</f>
        <v>0</v>
      </c>
      <c r="DA132" s="833"/>
      <c r="DB132" s="833"/>
      <c r="DC132" s="723">
        <f>IF(DA132=0,0,(DB132-DA132)/DA132*100)</f>
        <v>0</v>
      </c>
      <c r="DD132" s="833"/>
      <c r="DE132" s="833"/>
      <c r="DF132" s="723">
        <f>IF(DD132=0,0,(DE132-DD132)/DD132*100)</f>
        <v>0</v>
      </c>
      <c r="DG132" s="833"/>
      <c r="DH132" s="833"/>
      <c r="DI132" s="723">
        <f>IF(DG132=0,0,(DH132-DG132)/DG132*100)</f>
        <v>0</v>
      </c>
      <c r="DJ132" s="833"/>
      <c r="DK132" s="833"/>
      <c r="DL132" s="723">
        <f>IF(DJ132=0,0,(DK132-DJ132)/DJ132*100)</f>
        <v>0</v>
      </c>
      <c r="DM132" s="833"/>
      <c r="DN132" s="833"/>
      <c r="DO132" s="723">
        <f>IF(DM132=0,0,(DN132-DM132)/DM132*100)</f>
        <v>0</v>
      </c>
      <c r="DP132" s="833"/>
      <c r="DQ132" s="833"/>
      <c r="DR132" s="723">
        <f>IF(DP132=0,0,(DQ132-DP132)/DP132*100)</f>
        <v>0</v>
      </c>
      <c r="DS132" s="833"/>
      <c r="DT132" s="833"/>
      <c r="DU132" s="723">
        <f>IF(DS132=0,0,(DT132-DS132)/DS132*100)</f>
        <v>0</v>
      </c>
      <c r="DV132" s="833"/>
      <c r="DW132" s="833"/>
      <c r="DX132" s="723">
        <f>IF(DV132=0,0,(DW132-DV132)/DV132*100)</f>
        <v>0</v>
      </c>
      <c r="DY132" s="833"/>
      <c r="DZ132" s="833"/>
      <c r="EA132" s="723">
        <f>IF(DY132=0,0,(DZ132-DY132)/DY132*100)</f>
        <v>0</v>
      </c>
      <c r="EB132" s="833"/>
      <c r="EC132" s="833"/>
      <c r="ED132" s="723">
        <f>IF(EB132=0,0,(EC132-EB132)/EB132*100)</f>
        <v>0</v>
      </c>
      <c r="EE132" s="833"/>
      <c r="EF132" s="833"/>
      <c r="EG132" s="723">
        <f>IF(EE132=0,0,(EF132-EE132)/EE132*100)</f>
        <v>0</v>
      </c>
      <c r="EH132" s="833"/>
      <c r="EI132" s="833"/>
      <c r="EJ132" s="723">
        <f>IF(EH132=0,0,(EI132-EH132)/EH132*100)</f>
        <v>0</v>
      </c>
      <c r="EK132" s="833"/>
      <c r="EL132" s="833"/>
      <c r="EM132" s="723">
        <f>IF(EK132=0,0,(EL132-EK132)/EK132*100)</f>
        <v>0</v>
      </c>
      <c r="EN132" s="833"/>
      <c r="EO132" s="833"/>
      <c r="EP132" s="723">
        <f>IF(EN132=0,0,(EO132-EN132)/EN132*100)</f>
        <v>0</v>
      </c>
      <c r="EQ132" s="833"/>
      <c r="ER132" s="833"/>
      <c r="ES132" s="723">
        <f>IF(EQ132=0,0,(ER132-EQ132)/EQ132*100)</f>
        <v>0</v>
      </c>
      <c r="ET132" s="833"/>
      <c r="EU132" s="833"/>
      <c r="EV132" s="723">
        <f>IF(ET132=0,0,(EU132-ET132)/ET132*100)</f>
        <v>0</v>
      </c>
      <c r="EW132" s="833"/>
      <c r="EX132" s="833"/>
      <c r="EY132" s="723">
        <f>IF(EW132=0,0,(EX132-EW132)/EW132*100)</f>
        <v>0</v>
      </c>
      <c r="EZ132" s="833"/>
      <c r="FA132" s="833"/>
      <c r="FB132" s="723">
        <f>IF(EZ132=0,0,(FA132-EZ132)/EZ132*100)</f>
        <v>0</v>
      </c>
      <c r="FC132" s="833"/>
      <c r="FD132" s="833"/>
      <c r="FE132" s="723">
        <f>IF(FC132=0,0,(FD132-FC132)/FC132*100)</f>
        <v>0</v>
      </c>
      <c r="FF132" s="833"/>
      <c r="FG132" s="833"/>
      <c r="FH132" s="723">
        <f>IF(FF132=0,0,(FG132-FF132)/FF132*100)</f>
        <v>0</v>
      </c>
      <c r="FI132" s="833"/>
      <c r="FJ132" s="833"/>
      <c r="FK132" s="723">
        <f>IF(FI132=0,0,(FJ132-FI132)/FI132*100)</f>
        <v>0</v>
      </c>
      <c r="FL132" s="833"/>
      <c r="FM132" s="833"/>
      <c r="FN132" s="723">
        <f>IF(FL132=0,0,(FM132-FL132)/FL132*100)</f>
        <v>0</v>
      </c>
      <c r="FO132" s="833"/>
      <c r="FP132" s="833"/>
      <c r="FQ132" s="723">
        <f>IF(FO132=0,0,(FP132-FO132)/FO132*100)</f>
        <v>0</v>
      </c>
      <c r="FR132" s="833"/>
      <c r="FS132" s="833"/>
      <c r="FT132" s="723">
        <f>IF(FR132=0,0,(FS132-FR132)/FR132*100)</f>
        <v>0</v>
      </c>
      <c r="FU132" s="833"/>
      <c r="FV132" s="833"/>
      <c r="FW132" s="723">
        <f>IF(FU132=0,0,(FV132-FU132)/FU132*100)</f>
        <v>0</v>
      </c>
      <c r="FZ132" s="700" t="s">
        <v>1689</v>
      </c>
    </row>
    <row r="133" spans="1:186" ht="14.25" hidden="1" customHeight="1">
      <c r="A133" s="78"/>
      <c r="B133" s="622" t="b" cm="1">
        <f t="array" ref="B133">B132</f>
        <v>0</v>
      </c>
      <c r="C133" s="78"/>
      <c r="D133" s="78"/>
      <c r="E133" s="473">
        <v>15</v>
      </c>
      <c r="F133" s="3" t="str" cm="1">
        <f t="array" aca="1" ref="F133" ca="1">OFFSET(E133,-1,1)</f>
        <v>1</v>
      </c>
      <c r="G133" s="78"/>
      <c r="H133" s="78" t="s">
        <v>1666</v>
      </c>
      <c r="I133" s="78" t="s">
        <v>1641</v>
      </c>
      <c r="J133" s="78"/>
      <c r="K133" s="78"/>
      <c r="L133" s="78"/>
      <c r="M133" s="78"/>
      <c r="N133" s="78"/>
      <c r="O133" s="78"/>
      <c r="P133" s="78"/>
      <c r="Q133" s="78"/>
      <c r="R133" s="78"/>
      <c r="S133" s="78"/>
      <c r="T133" s="365" t="b" cm="1">
        <f t="array" aca="1" ref="T133" ca="1">T132</f>
        <v>1</v>
      </c>
      <c r="U133" s="78"/>
      <c r="V133" s="78"/>
      <c r="W133" s="78"/>
      <c r="X133" s="1094"/>
      <c r="Y133" s="78"/>
      <c r="Z133" s="1064"/>
      <c r="AA133" s="78"/>
      <c r="AB133" s="124" t="s">
        <v>1667</v>
      </c>
      <c r="AC133" s="31" t="s">
        <v>1668</v>
      </c>
      <c r="AD133" s="833"/>
      <c r="AE133" s="833"/>
      <c r="AF133" s="723">
        <f>IF(AD133=0,0,(AE133-AD133)/AD133*100)</f>
        <v>0</v>
      </c>
      <c r="AG133" s="833"/>
      <c r="AH133" s="833"/>
      <c r="AI133" s="723">
        <f>IF(AG133=0,0,(AH133-AG133)/AG133*100)</f>
        <v>0</v>
      </c>
      <c r="AJ133" s="833"/>
      <c r="AK133" s="833"/>
      <c r="AL133" s="723">
        <f>IF(AJ133=0,0,(AK133-AJ133)/AJ133*100)</f>
        <v>0</v>
      </c>
      <c r="AM133" s="833"/>
      <c r="AN133" s="833"/>
      <c r="AO133" s="723">
        <f>IF(AM133=0,0,(AN133-AM133)/AM133*100)</f>
        <v>0</v>
      </c>
      <c r="AP133" s="833"/>
      <c r="AQ133" s="833"/>
      <c r="AR133" s="723">
        <f>IF(AP133=0,0,(AQ133-AP133)/AP133*100)</f>
        <v>0</v>
      </c>
      <c r="AS133" s="833"/>
      <c r="AT133" s="833"/>
      <c r="AU133" s="723">
        <f>IF(AS133=0,0,(AT133-AS133)/AS133*100)</f>
        <v>0</v>
      </c>
      <c r="AV133" s="833"/>
      <c r="AW133" s="833"/>
      <c r="AX133" s="723">
        <f>IF(AV133=0,0,(AW133-AV133)/AV133*100)</f>
        <v>0</v>
      </c>
      <c r="AY133" s="833"/>
      <c r="AZ133" s="833"/>
      <c r="BA133" s="723">
        <f>IF(AY133=0,0,(AZ133-AY133)/AY133*100)</f>
        <v>0</v>
      </c>
      <c r="BB133" s="833"/>
      <c r="BC133" s="833"/>
      <c r="BD133" s="723">
        <f>IF(BB133=0,0,(BC133-BB133)/BB133*100)</f>
        <v>0</v>
      </c>
      <c r="BE133" s="833"/>
      <c r="BF133" s="833"/>
      <c r="BG133" s="723">
        <f>IF(BE133=0,0,(BF133-BE133)/BE133*100)</f>
        <v>0</v>
      </c>
      <c r="BH133" s="833"/>
      <c r="BI133" s="833"/>
      <c r="BJ133" s="723">
        <f>IF(BH133=0,0,(BI133-BH133)/BH133*100)</f>
        <v>0</v>
      </c>
      <c r="BK133" s="833"/>
      <c r="BL133" s="833"/>
      <c r="BM133" s="723">
        <f>IF(BK133=0,0,(BL133-BK133)/BK133*100)</f>
        <v>0</v>
      </c>
      <c r="BN133" s="833"/>
      <c r="BO133" s="833"/>
      <c r="BP133" s="723">
        <f>IF(BN133=0,0,(BO133-BN133)/BN133*100)</f>
        <v>0</v>
      </c>
      <c r="BQ133" s="833"/>
      <c r="BR133" s="833"/>
      <c r="BS133" s="723">
        <f>IF(BQ133=0,0,(BR133-BQ133)/BQ133*100)</f>
        <v>0</v>
      </c>
      <c r="BT133" s="833"/>
      <c r="BU133" s="833"/>
      <c r="BV133" s="723">
        <f>IF(BT133=0,0,(BU133-BT133)/BT133*100)</f>
        <v>0</v>
      </c>
      <c r="BW133" s="833"/>
      <c r="BX133" s="833"/>
      <c r="BY133" s="723">
        <f>IF(BW133=0,0,(BX133-BW133)/BW133*100)</f>
        <v>0</v>
      </c>
      <c r="BZ133" s="833"/>
      <c r="CA133" s="833"/>
      <c r="CB133" s="723">
        <f>IF(BZ133=0,0,(CA133-BZ133)/BZ133*100)</f>
        <v>0</v>
      </c>
      <c r="CC133" s="833"/>
      <c r="CD133" s="833"/>
      <c r="CE133" s="723">
        <f>IF(CC133=0,0,(CD133-CC133)/CC133*100)</f>
        <v>0</v>
      </c>
      <c r="CF133" s="833"/>
      <c r="CG133" s="833"/>
      <c r="CH133" s="723">
        <f>IF(CF133=0,0,(CG133-CF133)/CF133*100)</f>
        <v>0</v>
      </c>
      <c r="CI133" s="833"/>
      <c r="CJ133" s="833"/>
      <c r="CK133" s="723">
        <f>IF(CI133=0,0,(CJ133-CI133)/CI133*100)</f>
        <v>0</v>
      </c>
      <c r="CL133" s="833"/>
      <c r="CM133" s="833"/>
      <c r="CN133" s="723">
        <f>IF(CL133=0,0,(CM133-CL133)/CL133*100)</f>
        <v>0</v>
      </c>
      <c r="CO133" s="833"/>
      <c r="CP133" s="833"/>
      <c r="CQ133" s="723">
        <f>IF(CO133=0,0,(CP133-CO133)/CO133*100)</f>
        <v>0</v>
      </c>
      <c r="CR133" s="833"/>
      <c r="CS133" s="833"/>
      <c r="CT133" s="723">
        <f>IF(CR133=0,0,(CS133-CR133)/CR133*100)</f>
        <v>0</v>
      </c>
      <c r="CU133" s="833"/>
      <c r="CV133" s="833"/>
      <c r="CW133" s="723">
        <f>IF(CU133=0,0,(CV133-CU133)/CU133*100)</f>
        <v>0</v>
      </c>
      <c r="CX133" s="833"/>
      <c r="CY133" s="833"/>
      <c r="CZ133" s="723">
        <f>IF(CX133=0,0,(CY133-CX133)/CX133*100)</f>
        <v>0</v>
      </c>
      <c r="DA133" s="833"/>
      <c r="DB133" s="833"/>
      <c r="DC133" s="723">
        <f>IF(DA133=0,0,(DB133-DA133)/DA133*100)</f>
        <v>0</v>
      </c>
      <c r="DD133" s="833"/>
      <c r="DE133" s="833"/>
      <c r="DF133" s="723">
        <f>IF(DD133=0,0,(DE133-DD133)/DD133*100)</f>
        <v>0</v>
      </c>
      <c r="DG133" s="833"/>
      <c r="DH133" s="833"/>
      <c r="DI133" s="723">
        <f>IF(DG133=0,0,(DH133-DG133)/DG133*100)</f>
        <v>0</v>
      </c>
      <c r="DJ133" s="833"/>
      <c r="DK133" s="833"/>
      <c r="DL133" s="723">
        <f>IF(DJ133=0,0,(DK133-DJ133)/DJ133*100)</f>
        <v>0</v>
      </c>
      <c r="DM133" s="833"/>
      <c r="DN133" s="833"/>
      <c r="DO133" s="723">
        <f>IF(DM133=0,0,(DN133-DM133)/DM133*100)</f>
        <v>0</v>
      </c>
      <c r="DP133" s="833"/>
      <c r="DQ133" s="833"/>
      <c r="DR133" s="723">
        <f>IF(DP133=0,0,(DQ133-DP133)/DP133*100)</f>
        <v>0</v>
      </c>
      <c r="DS133" s="833"/>
      <c r="DT133" s="833"/>
      <c r="DU133" s="723">
        <f>IF(DS133=0,0,(DT133-DS133)/DS133*100)</f>
        <v>0</v>
      </c>
      <c r="DV133" s="833"/>
      <c r="DW133" s="833"/>
      <c r="DX133" s="723">
        <f>IF(DV133=0,0,(DW133-DV133)/DV133*100)</f>
        <v>0</v>
      </c>
      <c r="DY133" s="833"/>
      <c r="DZ133" s="833"/>
      <c r="EA133" s="723">
        <f>IF(DY133=0,0,(DZ133-DY133)/DY133*100)</f>
        <v>0</v>
      </c>
      <c r="EB133" s="833"/>
      <c r="EC133" s="833"/>
      <c r="ED133" s="723">
        <f>IF(EB133=0,0,(EC133-EB133)/EB133*100)</f>
        <v>0</v>
      </c>
      <c r="EE133" s="833"/>
      <c r="EF133" s="833"/>
      <c r="EG133" s="723">
        <f>IF(EE133=0,0,(EF133-EE133)/EE133*100)</f>
        <v>0</v>
      </c>
      <c r="EH133" s="833"/>
      <c r="EI133" s="833"/>
      <c r="EJ133" s="723">
        <f>IF(EH133=0,0,(EI133-EH133)/EH133*100)</f>
        <v>0</v>
      </c>
      <c r="EK133" s="833"/>
      <c r="EL133" s="833"/>
      <c r="EM133" s="723">
        <f>IF(EK133=0,0,(EL133-EK133)/EK133*100)</f>
        <v>0</v>
      </c>
      <c r="EN133" s="833"/>
      <c r="EO133" s="833"/>
      <c r="EP133" s="723">
        <f>IF(EN133=0,0,(EO133-EN133)/EN133*100)</f>
        <v>0</v>
      </c>
      <c r="EQ133" s="833"/>
      <c r="ER133" s="833"/>
      <c r="ES133" s="723">
        <f>IF(EQ133=0,0,(ER133-EQ133)/EQ133*100)</f>
        <v>0</v>
      </c>
      <c r="ET133" s="833"/>
      <c r="EU133" s="833"/>
      <c r="EV133" s="723">
        <f>IF(ET133=0,0,(EU133-ET133)/ET133*100)</f>
        <v>0</v>
      </c>
      <c r="EW133" s="833"/>
      <c r="EX133" s="833"/>
      <c r="EY133" s="723">
        <f>IF(EW133=0,0,(EX133-EW133)/EW133*100)</f>
        <v>0</v>
      </c>
      <c r="EZ133" s="833"/>
      <c r="FA133" s="833"/>
      <c r="FB133" s="723">
        <f>IF(EZ133=0,0,(FA133-EZ133)/EZ133*100)</f>
        <v>0</v>
      </c>
      <c r="FC133" s="833"/>
      <c r="FD133" s="833"/>
      <c r="FE133" s="723">
        <f>IF(FC133=0,0,(FD133-FC133)/FC133*100)</f>
        <v>0</v>
      </c>
      <c r="FF133" s="833"/>
      <c r="FG133" s="833"/>
      <c r="FH133" s="723">
        <f>IF(FF133=0,0,(FG133-FF133)/FF133*100)</f>
        <v>0</v>
      </c>
      <c r="FI133" s="833"/>
      <c r="FJ133" s="833"/>
      <c r="FK133" s="723">
        <f>IF(FI133=0,0,(FJ133-FI133)/FI133*100)</f>
        <v>0</v>
      </c>
      <c r="FL133" s="833"/>
      <c r="FM133" s="833"/>
      <c r="FN133" s="723">
        <f>IF(FL133=0,0,(FM133-FL133)/FL133*100)</f>
        <v>0</v>
      </c>
      <c r="FO133" s="833"/>
      <c r="FP133" s="833"/>
      <c r="FQ133" s="723">
        <f>IF(FO133=0,0,(FP133-FO133)/FO133*100)</f>
        <v>0</v>
      </c>
      <c r="FR133" s="833"/>
      <c r="FS133" s="833"/>
      <c r="FT133" s="723">
        <f>IF(FR133=0,0,(FS133-FR133)/FR133*100)</f>
        <v>0</v>
      </c>
      <c r="FU133" s="833"/>
      <c r="FV133" s="833"/>
      <c r="FW133" s="723">
        <f>IF(FU133=0,0,(FV133-FU133)/FU133*100)</f>
        <v>0</v>
      </c>
      <c r="FZ133" s="700" t="s">
        <v>1690</v>
      </c>
    </row>
    <row r="134" spans="1:186" ht="18" hidden="1" customHeight="1">
      <c r="A134" s="78"/>
      <c r="B134" s="622" t="b" cm="1">
        <f t="array" ref="B134">B133</f>
        <v>0</v>
      </c>
      <c r="C134" s="78"/>
      <c r="D134" s="78"/>
      <c r="E134" s="473">
        <v>18.75</v>
      </c>
      <c r="F134" s="3" t="str" cm="1">
        <f t="array" aca="1" ref="F134" ca="1">OFFSET(E134,-1,1)</f>
        <v>1</v>
      </c>
      <c r="G134" s="78"/>
      <c r="H134" s="78"/>
      <c r="I134" s="78"/>
      <c r="J134" s="78"/>
      <c r="K134" s="78"/>
      <c r="L134" s="78"/>
      <c r="M134" s="78"/>
      <c r="N134" s="78"/>
      <c r="O134" s="78"/>
      <c r="P134" s="78"/>
      <c r="Q134" s="78"/>
      <c r="R134" s="78"/>
      <c r="S134" s="78"/>
      <c r="T134" s="365" t="b">
        <f ca="1">AND(F134&gt;0,Y134&gt;0)</f>
        <v>0</v>
      </c>
      <c r="U134" s="78"/>
      <c r="V134" s="78"/>
      <c r="W134" s="78" t="s">
        <v>173</v>
      </c>
      <c r="X134" s="1094"/>
      <c r="Y134" s="1094">
        <v>0</v>
      </c>
      <c r="Z134" s="1064"/>
      <c r="AA134" s="1049" t="s">
        <v>174</v>
      </c>
      <c r="AB134" s="944"/>
      <c r="AC134" s="594"/>
      <c r="AD134" s="729"/>
      <c r="AE134" s="730"/>
      <c r="AF134" s="730"/>
      <c r="AG134" s="729"/>
      <c r="AH134" s="730"/>
      <c r="AI134" s="730"/>
      <c r="AJ134" s="729"/>
      <c r="AK134" s="730"/>
      <c r="AL134" s="730"/>
      <c r="AM134" s="729"/>
      <c r="AN134" s="730"/>
      <c r="AO134" s="730"/>
      <c r="AP134" s="729"/>
      <c r="AQ134" s="730"/>
      <c r="AR134" s="730"/>
      <c r="AS134" s="729"/>
      <c r="AT134" s="730"/>
      <c r="AU134" s="730"/>
      <c r="AV134" s="729"/>
      <c r="AW134" s="730"/>
      <c r="AX134" s="730"/>
      <c r="AY134" s="729"/>
      <c r="AZ134" s="730"/>
      <c r="BA134" s="730"/>
      <c r="BB134" s="729"/>
      <c r="BC134" s="730"/>
      <c r="BD134" s="730"/>
      <c r="BE134" s="729"/>
      <c r="BF134" s="730"/>
      <c r="BG134" s="730"/>
      <c r="BH134" s="729"/>
      <c r="BI134" s="730"/>
      <c r="BJ134" s="730"/>
      <c r="BK134" s="729"/>
      <c r="BL134" s="730"/>
      <c r="BM134" s="730"/>
      <c r="BN134" s="729"/>
      <c r="BO134" s="730"/>
      <c r="BP134" s="730"/>
      <c r="BQ134" s="729"/>
      <c r="BR134" s="730"/>
      <c r="BS134" s="730"/>
      <c r="BT134" s="729"/>
      <c r="BU134" s="730"/>
      <c r="BV134" s="730"/>
      <c r="BW134" s="729"/>
      <c r="BX134" s="730"/>
      <c r="BY134" s="730"/>
      <c r="BZ134" s="729"/>
      <c r="CA134" s="730"/>
      <c r="CB134" s="730"/>
      <c r="CC134" s="729"/>
      <c r="CD134" s="730"/>
      <c r="CE134" s="730"/>
      <c r="CF134" s="729"/>
      <c r="CG134" s="730"/>
      <c r="CH134" s="730"/>
      <c r="CI134" s="729"/>
      <c r="CJ134" s="730"/>
      <c r="CK134" s="730"/>
      <c r="CL134" s="729"/>
      <c r="CM134" s="730"/>
      <c r="CN134" s="730"/>
      <c r="CO134" s="729"/>
      <c r="CP134" s="730"/>
      <c r="CQ134" s="730"/>
      <c r="CR134" s="729"/>
      <c r="CS134" s="730"/>
      <c r="CT134" s="730"/>
      <c r="CU134" s="729"/>
      <c r="CV134" s="730"/>
      <c r="CW134" s="730"/>
      <c r="CX134" s="729"/>
      <c r="CY134" s="730"/>
      <c r="CZ134" s="730"/>
      <c r="DA134" s="729"/>
      <c r="DB134" s="730"/>
      <c r="DC134" s="730"/>
      <c r="DD134" s="729"/>
      <c r="DE134" s="730"/>
      <c r="DF134" s="730"/>
      <c r="DG134" s="729"/>
      <c r="DH134" s="730"/>
      <c r="DI134" s="730"/>
      <c r="DJ134" s="729"/>
      <c r="DK134" s="730"/>
      <c r="DL134" s="730"/>
      <c r="DM134" s="729"/>
      <c r="DN134" s="730"/>
      <c r="DO134" s="730"/>
      <c r="DP134" s="729"/>
      <c r="DQ134" s="730"/>
      <c r="DR134" s="730"/>
      <c r="DS134" s="729"/>
      <c r="DT134" s="730"/>
      <c r="DU134" s="730"/>
      <c r="DV134" s="729"/>
      <c r="DW134" s="730"/>
      <c r="DX134" s="730"/>
      <c r="DY134" s="729"/>
      <c r="DZ134" s="730"/>
      <c r="EA134" s="730"/>
      <c r="EB134" s="729"/>
      <c r="EC134" s="730"/>
      <c r="ED134" s="730"/>
      <c r="EE134" s="729"/>
      <c r="EF134" s="730"/>
      <c r="EG134" s="730"/>
      <c r="EH134" s="729"/>
      <c r="EI134" s="730"/>
      <c r="EJ134" s="730"/>
      <c r="EK134" s="729"/>
      <c r="EL134" s="730"/>
      <c r="EM134" s="730"/>
      <c r="EN134" s="729"/>
      <c r="EO134" s="730"/>
      <c r="EP134" s="730"/>
      <c r="EQ134" s="729"/>
      <c r="ER134" s="730"/>
      <c r="ES134" s="730"/>
      <c r="ET134" s="729"/>
      <c r="EU134" s="730"/>
      <c r="EV134" s="730"/>
      <c r="EW134" s="729"/>
      <c r="EX134" s="730"/>
      <c r="EY134" s="730"/>
      <c r="EZ134" s="729"/>
      <c r="FA134" s="730"/>
      <c r="FB134" s="730"/>
      <c r="FC134" s="729"/>
      <c r="FD134" s="730"/>
      <c r="FE134" s="730"/>
      <c r="FF134" s="729"/>
      <c r="FG134" s="730"/>
      <c r="FH134" s="730"/>
      <c r="FI134" s="729"/>
      <c r="FJ134" s="730"/>
      <c r="FK134" s="730"/>
      <c r="FL134" s="729"/>
      <c r="FM134" s="730"/>
      <c r="FN134" s="730"/>
      <c r="FO134" s="729"/>
      <c r="FP134" s="730"/>
      <c r="FQ134" s="730"/>
      <c r="FR134" s="729"/>
      <c r="FS134" s="730"/>
      <c r="FT134" s="730"/>
      <c r="FU134" s="729"/>
      <c r="FV134" s="730"/>
      <c r="FW134" s="731"/>
      <c r="FZ134" s="700"/>
      <c r="GD134" s="472" t="b">
        <v>1</v>
      </c>
    </row>
    <row r="135" spans="1:186" ht="14.25" hidden="1" customHeight="1">
      <c r="A135" s="78"/>
      <c r="B135" s="622" t="b" cm="1">
        <f t="array" ref="B135">B134</f>
        <v>0</v>
      </c>
      <c r="C135" s="78"/>
      <c r="D135" s="78"/>
      <c r="E135" s="473">
        <v>15</v>
      </c>
      <c r="F135" s="3" t="str" cm="1">
        <f t="array" aca="1" ref="F135" ca="1">OFFSET(E135,-1,1)</f>
        <v>1</v>
      </c>
      <c r="G135" s="78"/>
      <c r="H135" s="78" t="s">
        <v>1562</v>
      </c>
      <c r="I135" s="78" cm="1">
        <f t="array" ref="I135">AB134</f>
        <v>0</v>
      </c>
      <c r="J135" s="78"/>
      <c r="K135" s="78"/>
      <c r="L135" s="78"/>
      <c r="M135" s="78"/>
      <c r="N135" s="78"/>
      <c r="O135" s="78"/>
      <c r="P135" s="78"/>
      <c r="Q135" s="78"/>
      <c r="R135" s="78"/>
      <c r="S135" s="78"/>
      <c r="T135" s="365" t="b" cm="1">
        <f t="array" aca="1" ref="T135" ca="1">T134</f>
        <v>0</v>
      </c>
      <c r="U135" s="78"/>
      <c r="V135" s="78"/>
      <c r="W135" s="78"/>
      <c r="X135" s="1094"/>
      <c r="Y135" s="1094"/>
      <c r="Z135" s="1064"/>
      <c r="AA135" s="1049"/>
      <c r="AB135" s="124" t="s">
        <v>1657</v>
      </c>
      <c r="AC135" s="31" t="s">
        <v>1624</v>
      </c>
      <c r="AD135" s="833">
        <f>IF(AD137=0,0,(AD136*AD137+AD138*AD139*IF(god=2026,3,6))/AD137)</f>
        <v>0</v>
      </c>
      <c r="AE135" s="833">
        <f>IF(AE137=0,0,(AE136*AE137+AE138*AE139*IF(god=2026,3,6))/AE137)</f>
        <v>0</v>
      </c>
      <c r="AF135" s="723">
        <f>IF(AD135=0,0,(AE135-AD135)/AD135*100)</f>
        <v>0</v>
      </c>
      <c r="AG135" s="833">
        <f>IF(AG137=0,0,(AG136*AG137+AG138*AG139*IF(god=2025,3,6))/AG137)</f>
        <v>0</v>
      </c>
      <c r="AH135" s="833">
        <f>IF(AH137=0,0,(AH136*AH137+AH138*AH139*IF(god=2025,3,6))/AH137)</f>
        <v>0</v>
      </c>
      <c r="AI135" s="723">
        <f>IF(AG135=0,0,(AH135-AG135)/AG135*100)</f>
        <v>0</v>
      </c>
      <c r="AJ135" s="833">
        <f>IF(AJ137=0,0,(AJ136*AJ137+AJ138*AJ139*6)/AJ137)</f>
        <v>0</v>
      </c>
      <c r="AK135" s="833">
        <f>IF(AK137=0,0,(AK136*AK137+AK138*AK139*6)/AK137)</f>
        <v>0</v>
      </c>
      <c r="AL135" s="723">
        <f>IF(AJ135=0,0,(AK135-AJ135)/AJ135*100)</f>
        <v>0</v>
      </c>
      <c r="AM135" s="833">
        <f>IF(AM137=0,0,(AM136*AM137+AM138*AM139*6)/AM137)</f>
        <v>0</v>
      </c>
      <c r="AN135" s="833">
        <f>IF(AN137=0,0,(AN136*AN137+AN138*AN139*6)/AN137)</f>
        <v>0</v>
      </c>
      <c r="AO135" s="723">
        <f>IF(AM135=0,0,(AN135-AM135)/AM135*100)</f>
        <v>0</v>
      </c>
      <c r="AP135" s="833">
        <f>IF(AP137=0,0,(AP136*AP137+AP138*AP139*6)/AP137)</f>
        <v>0</v>
      </c>
      <c r="AQ135" s="833">
        <f>IF(AQ137=0,0,(AQ136*AQ137+AQ138*AQ139*6)/AQ137)</f>
        <v>0</v>
      </c>
      <c r="AR135" s="723">
        <f>IF(AP135=0,0,(AQ135-AP135)/AP135*100)</f>
        <v>0</v>
      </c>
      <c r="AS135" s="833">
        <f>IF(AS137=0,0,(AS136*AS137+AS138*AS139*6)/AS137)</f>
        <v>0</v>
      </c>
      <c r="AT135" s="833">
        <f>IF(AT137=0,0,(AT136*AT137+AT138*AT139*6)/AT137)</f>
        <v>0</v>
      </c>
      <c r="AU135" s="723">
        <f>IF(AS135=0,0,(AT135-AS135)/AS135*100)</f>
        <v>0</v>
      </c>
      <c r="AV135" s="833">
        <f>IF(AV137=0,0,(AV136*AV137+AV138*AV139*6)/AV137)</f>
        <v>0</v>
      </c>
      <c r="AW135" s="833">
        <f>IF(AW137=0,0,(AW136*AW137+AW138*AW139*6)/AW137)</f>
        <v>0</v>
      </c>
      <c r="AX135" s="723">
        <f>IF(AV135=0,0,(AW135-AV135)/AV135*100)</f>
        <v>0</v>
      </c>
      <c r="AY135" s="833">
        <f>IF(AY137=0,0,(AY136*AY137+AY138*AY139*6)/AY137)</f>
        <v>0</v>
      </c>
      <c r="AZ135" s="833">
        <f>IF(AZ137=0,0,(AZ136*AZ137+AZ138*AZ139*6)/AZ137)</f>
        <v>0</v>
      </c>
      <c r="BA135" s="723">
        <f>IF(AY135=0,0,(AZ135-AY135)/AY135*100)</f>
        <v>0</v>
      </c>
      <c r="BB135" s="833">
        <f>IF(BB137=0,0,(BB136*BB137+BB138*BB139*6)/BB137)</f>
        <v>0</v>
      </c>
      <c r="BC135" s="833">
        <f>IF(BC137=0,0,(BC136*BC137+BC138*BC139*6)/BC137)</f>
        <v>0</v>
      </c>
      <c r="BD135" s="723">
        <f>IF(BB135=0,0,(BC135-BB135)/BB135*100)</f>
        <v>0</v>
      </c>
      <c r="BE135" s="833">
        <f>IF(BE137=0,0,(BE136*BE137+BE138*BE139*6)/BE137)</f>
        <v>0</v>
      </c>
      <c r="BF135" s="833">
        <f>IF(BF137=0,0,(BF136*BF137+BF138*BF139*6)/BF137)</f>
        <v>0</v>
      </c>
      <c r="BG135" s="723">
        <f>IF(BE135=0,0,(BF135-BE135)/BE135*100)</f>
        <v>0</v>
      </c>
      <c r="BH135" s="833">
        <f>IF(BH137=0,0,(BH136*BH137+BH138*BH139*6)/BH137)</f>
        <v>0</v>
      </c>
      <c r="BI135" s="833">
        <f>IF(BI137=0,0,(BI136*BI137+BI138*BI139*6)/BI137)</f>
        <v>0</v>
      </c>
      <c r="BJ135" s="723">
        <f>IF(BH135=0,0,(BI135-BH135)/BH135*100)</f>
        <v>0</v>
      </c>
      <c r="BK135" s="833">
        <f>IF(BK137=0,0,(BK136*BK137+BK138*BK139*6)/BK137)</f>
        <v>0</v>
      </c>
      <c r="BL135" s="833">
        <f>IF(BL137=0,0,(BL136*BL137+BL138*BL139*6)/BL137)</f>
        <v>0</v>
      </c>
      <c r="BM135" s="723">
        <f>IF(BK135=0,0,(BL135-BK135)/BK135*100)</f>
        <v>0</v>
      </c>
      <c r="BN135" s="833">
        <f>IF(BN137=0,0,(BN136*BN137+BN138*BN139*6)/BN137)</f>
        <v>0</v>
      </c>
      <c r="BO135" s="833">
        <f>IF(BO137=0,0,(BO136*BO137+BO138*BO139*6)/BO137)</f>
        <v>0</v>
      </c>
      <c r="BP135" s="723">
        <f>IF(BN135=0,0,(BO135-BN135)/BN135*100)</f>
        <v>0</v>
      </c>
      <c r="BQ135" s="833">
        <f>IF(BQ137=0,0,(BQ136*BQ137+BQ138*BQ139*6)/BQ137)</f>
        <v>0</v>
      </c>
      <c r="BR135" s="833">
        <f>IF(BR137=0,0,(BR136*BR137+BR138*BR139*6)/BR137)</f>
        <v>0</v>
      </c>
      <c r="BS135" s="723">
        <f>IF(BQ135=0,0,(BR135-BQ135)/BQ135*100)</f>
        <v>0</v>
      </c>
      <c r="BT135" s="833">
        <f>IF(BT137=0,0,(BT136*BT137+BT138*BT139*6)/BT137)</f>
        <v>0</v>
      </c>
      <c r="BU135" s="833">
        <f>IF(BU137=0,0,(BU136*BU137+BU138*BU139*6)/BU137)</f>
        <v>0</v>
      </c>
      <c r="BV135" s="723">
        <f>IF(BT135=0,0,(BU135-BT135)/BT135*100)</f>
        <v>0</v>
      </c>
      <c r="BW135" s="833">
        <f>IF(BW137=0,0,(BW136*BW137+BW138*BW139*6)/BW137)</f>
        <v>0</v>
      </c>
      <c r="BX135" s="833">
        <f>IF(BX137=0,0,(BX136*BX137+BX138*BX139*6)/BX137)</f>
        <v>0</v>
      </c>
      <c r="BY135" s="723">
        <f>IF(BW135=0,0,(BX135-BW135)/BW135*100)</f>
        <v>0</v>
      </c>
      <c r="BZ135" s="833">
        <f>IF(BZ137=0,0,(BZ136*BZ137+BZ138*BZ139*6)/BZ137)</f>
        <v>0</v>
      </c>
      <c r="CA135" s="833">
        <f>IF(CA137=0,0,(CA136*CA137+CA138*CA139*6)/CA137)</f>
        <v>0</v>
      </c>
      <c r="CB135" s="723">
        <f>IF(BZ135=0,0,(CA135-BZ135)/BZ135*100)</f>
        <v>0</v>
      </c>
      <c r="CC135" s="833">
        <f>IF(CC137=0,0,(CC136*CC137+CC138*CC139*6)/CC137)</f>
        <v>0</v>
      </c>
      <c r="CD135" s="833">
        <f>IF(CD137=0,0,(CD136*CD137+CD138*CD139*6)/CD137)</f>
        <v>0</v>
      </c>
      <c r="CE135" s="723">
        <f>IF(CC135=0,0,(CD135-CC135)/CC135*100)</f>
        <v>0</v>
      </c>
      <c r="CF135" s="833">
        <f>IF(CF137=0,0,(CF136*CF137+CF138*CF139*6)/CF137)</f>
        <v>0</v>
      </c>
      <c r="CG135" s="833">
        <f>IF(CG137=0,0,(CG136*CG137+CG138*CG139*6)/CG137)</f>
        <v>0</v>
      </c>
      <c r="CH135" s="723">
        <f>IF(CF135=0,0,(CG135-CF135)/CF135*100)</f>
        <v>0</v>
      </c>
      <c r="CI135" s="833">
        <f>IF(CI137=0,0,(CI136*CI137+CI138*CI139*6)/CI137)</f>
        <v>0</v>
      </c>
      <c r="CJ135" s="833">
        <f>IF(CJ137=0,0,(CJ136*CJ137+CJ138*CJ139*6)/CJ137)</f>
        <v>0</v>
      </c>
      <c r="CK135" s="723">
        <f>IF(CI135=0,0,(CJ135-CI135)/CI135*100)</f>
        <v>0</v>
      </c>
      <c r="CL135" s="833">
        <f>IF(CL137=0,0,(CL136*CL137+CL138*CL139*6)/CL137)</f>
        <v>0</v>
      </c>
      <c r="CM135" s="833">
        <f>IF(CM137=0,0,(CM136*CM137+CM138*CM139*6)/CM137)</f>
        <v>0</v>
      </c>
      <c r="CN135" s="723">
        <f>IF(CL135=0,0,(CM135-CL135)/CL135*100)</f>
        <v>0</v>
      </c>
      <c r="CO135" s="833">
        <f>IF(CO137=0,0,(CO136*CO137+CO138*CO139*6)/CO137)</f>
        <v>0</v>
      </c>
      <c r="CP135" s="833">
        <f>IF(CP137=0,0,(CP136*CP137+CP138*CP139*6)/CP137)</f>
        <v>0</v>
      </c>
      <c r="CQ135" s="723">
        <f>IF(CO135=0,0,(CP135-CO135)/CO135*100)</f>
        <v>0</v>
      </c>
      <c r="CR135" s="833">
        <f>IF(CR137=0,0,(CR136*CR137+CR138*CR139*6)/CR137)</f>
        <v>0</v>
      </c>
      <c r="CS135" s="833">
        <f>IF(CS137=0,0,(CS136*CS137+CS138*CS139*6)/CS137)</f>
        <v>0</v>
      </c>
      <c r="CT135" s="723">
        <f>IF(CR135=0,0,(CS135-CR135)/CR135*100)</f>
        <v>0</v>
      </c>
      <c r="CU135" s="833">
        <f>IF(CU137=0,0,(CU136*CU137+CU138*CU139*6)/CU137)</f>
        <v>0</v>
      </c>
      <c r="CV135" s="833">
        <f>IF(CV137=0,0,(CV136*CV137+CV138*CV139*6)/CV137)</f>
        <v>0</v>
      </c>
      <c r="CW135" s="723">
        <f>IF(CU135=0,0,(CV135-CU135)/CU135*100)</f>
        <v>0</v>
      </c>
      <c r="CX135" s="833">
        <f>IF(CX137=0,0,(CX136*CX137+CX138*CX139*6)/CX137)</f>
        <v>0</v>
      </c>
      <c r="CY135" s="833">
        <f>IF(CY137=0,0,(CY136*CY137+CY138*CY139*6)/CY137)</f>
        <v>0</v>
      </c>
      <c r="CZ135" s="723">
        <f>IF(CX135=0,0,(CY135-CX135)/CX135*100)</f>
        <v>0</v>
      </c>
      <c r="DA135" s="833">
        <f>IF(DA137=0,0,(DA136*DA137+DA138*DA139*6)/DA137)</f>
        <v>0</v>
      </c>
      <c r="DB135" s="833">
        <f>IF(DB137=0,0,(DB136*DB137+DB138*DB139*6)/DB137)</f>
        <v>0</v>
      </c>
      <c r="DC135" s="723">
        <f>IF(DA135=0,0,(DB135-DA135)/DA135*100)</f>
        <v>0</v>
      </c>
      <c r="DD135" s="833">
        <f>IF(DD137=0,0,(DD136*DD137+DD138*DD139*6)/DD137)</f>
        <v>0</v>
      </c>
      <c r="DE135" s="833">
        <f>IF(DE137=0,0,(DE136*DE137+DE138*DE139*6)/DE137)</f>
        <v>0</v>
      </c>
      <c r="DF135" s="723">
        <f>IF(DD135=0,0,(DE135-DD135)/DD135*100)</f>
        <v>0</v>
      </c>
      <c r="DG135" s="833">
        <f>IF(DG137=0,0,(DG136*DG137+DG138*DG139*6)/DG137)</f>
        <v>0</v>
      </c>
      <c r="DH135" s="833">
        <f>IF(DH137=0,0,(DH136*DH137+DH138*DH139*6)/DH137)</f>
        <v>0</v>
      </c>
      <c r="DI135" s="723">
        <f>IF(DG135=0,0,(DH135-DG135)/DG135*100)</f>
        <v>0</v>
      </c>
      <c r="DJ135" s="833">
        <f>IF(DJ137=0,0,(DJ136*DJ137+DJ138*DJ139*6)/DJ137)</f>
        <v>0</v>
      </c>
      <c r="DK135" s="833">
        <f>IF(DK137=0,0,(DK136*DK137+DK138*DK139*6)/DK137)</f>
        <v>0</v>
      </c>
      <c r="DL135" s="723">
        <f>IF(DJ135=0,0,(DK135-DJ135)/DJ135*100)</f>
        <v>0</v>
      </c>
      <c r="DM135" s="833">
        <f>IF(DM137=0,0,(DM136*DM137+DM138*DM139*6)/DM137)</f>
        <v>0</v>
      </c>
      <c r="DN135" s="833">
        <f>IF(DN137=0,0,(DN136*DN137+DN138*DN139*6)/DN137)</f>
        <v>0</v>
      </c>
      <c r="DO135" s="723">
        <f>IF(DM135=0,0,(DN135-DM135)/DM135*100)</f>
        <v>0</v>
      </c>
      <c r="DP135" s="833">
        <f>IF(DP137=0,0,(DP136*DP137+DP138*DP139*6)/DP137)</f>
        <v>0</v>
      </c>
      <c r="DQ135" s="833">
        <f>IF(DQ137=0,0,(DQ136*DQ137+DQ138*DQ139*6)/DQ137)</f>
        <v>0</v>
      </c>
      <c r="DR135" s="723">
        <f>IF(DP135=0,0,(DQ135-DP135)/DP135*100)</f>
        <v>0</v>
      </c>
      <c r="DS135" s="833">
        <f>IF(DS137=0,0,(DS136*DS137+DS138*DS139*6)/DS137)</f>
        <v>0</v>
      </c>
      <c r="DT135" s="833">
        <f>IF(DT137=0,0,(DT136*DT137+DT138*DT139*6)/DT137)</f>
        <v>0</v>
      </c>
      <c r="DU135" s="723">
        <f>IF(DS135=0,0,(DT135-DS135)/DS135*100)</f>
        <v>0</v>
      </c>
      <c r="DV135" s="833">
        <f>IF(DV137=0,0,(DV136*DV137+DV138*DV139*6)/DV137)</f>
        <v>0</v>
      </c>
      <c r="DW135" s="833">
        <f>IF(DW137=0,0,(DW136*DW137+DW138*DW139*6)/DW137)</f>
        <v>0</v>
      </c>
      <c r="DX135" s="723">
        <f>IF(DV135=0,0,(DW135-DV135)/DV135*100)</f>
        <v>0</v>
      </c>
      <c r="DY135" s="833">
        <f>IF(DY137=0,0,(DY136*DY137+DY138*DY139*6)/DY137)</f>
        <v>0</v>
      </c>
      <c r="DZ135" s="833">
        <f>IF(DZ137=0,0,(DZ136*DZ137+DZ138*DZ139*6)/DZ137)</f>
        <v>0</v>
      </c>
      <c r="EA135" s="723">
        <f>IF(DY135=0,0,(DZ135-DY135)/DY135*100)</f>
        <v>0</v>
      </c>
      <c r="EB135" s="833">
        <f>IF(EB137=0,0,(EB136*EB137+EB138*EB139*6)/EB137)</f>
        <v>0</v>
      </c>
      <c r="EC135" s="833">
        <f>IF(EC137=0,0,(EC136*EC137+EC138*EC139*6)/EC137)</f>
        <v>0</v>
      </c>
      <c r="ED135" s="723">
        <f>IF(EB135=0,0,(EC135-EB135)/EB135*100)</f>
        <v>0</v>
      </c>
      <c r="EE135" s="833">
        <f>IF(EE137=0,0,(EE136*EE137+EE138*EE139*6)/EE137)</f>
        <v>0</v>
      </c>
      <c r="EF135" s="833">
        <f>IF(EF137=0,0,(EF136*EF137+EF138*EF139*6)/EF137)</f>
        <v>0</v>
      </c>
      <c r="EG135" s="723">
        <f>IF(EE135=0,0,(EF135-EE135)/EE135*100)</f>
        <v>0</v>
      </c>
      <c r="EH135" s="833">
        <f>IF(EH137=0,0,(EH136*EH137+EH138*EH139*6)/EH137)</f>
        <v>0</v>
      </c>
      <c r="EI135" s="833">
        <f>IF(EI137=0,0,(EI136*EI137+EI138*EI139*6)/EI137)</f>
        <v>0</v>
      </c>
      <c r="EJ135" s="723">
        <f>IF(EH135=0,0,(EI135-EH135)/EH135*100)</f>
        <v>0</v>
      </c>
      <c r="EK135" s="833">
        <f>IF(EK137=0,0,(EK136*EK137+EK138*EK139*6)/EK137)</f>
        <v>0</v>
      </c>
      <c r="EL135" s="833">
        <f>IF(EL137=0,0,(EL136*EL137+EL138*EL139*6)/EL137)</f>
        <v>0</v>
      </c>
      <c r="EM135" s="723">
        <f>IF(EK135=0,0,(EL135-EK135)/EK135*100)</f>
        <v>0</v>
      </c>
      <c r="EN135" s="833">
        <f>IF(EN137=0,0,(EN136*EN137+EN138*EN139*6)/EN137)</f>
        <v>0</v>
      </c>
      <c r="EO135" s="833">
        <f>IF(EO137=0,0,(EO136*EO137+EO138*EO139*6)/EO137)</f>
        <v>0</v>
      </c>
      <c r="EP135" s="723">
        <f>IF(EN135=0,0,(EO135-EN135)/EN135*100)</f>
        <v>0</v>
      </c>
      <c r="EQ135" s="833">
        <f>IF(EQ137=0,0,(EQ136*EQ137+EQ138*EQ139*6)/EQ137)</f>
        <v>0</v>
      </c>
      <c r="ER135" s="833">
        <f>IF(ER137=0,0,(ER136*ER137+ER138*ER139*6)/ER137)</f>
        <v>0</v>
      </c>
      <c r="ES135" s="723">
        <f>IF(EQ135=0,0,(ER135-EQ135)/EQ135*100)</f>
        <v>0</v>
      </c>
      <c r="ET135" s="833">
        <f>IF(ET137=0,0,(ET136*ET137+ET138*ET139*6)/ET137)</f>
        <v>0</v>
      </c>
      <c r="EU135" s="833">
        <f>IF(EU137=0,0,(EU136*EU137+EU138*EU139*6)/EU137)</f>
        <v>0</v>
      </c>
      <c r="EV135" s="723">
        <f>IF(ET135=0,0,(EU135-ET135)/ET135*100)</f>
        <v>0</v>
      </c>
      <c r="EW135" s="833">
        <f>IF(EW137=0,0,(EW136*EW137+EW138*EW139*6)/EW137)</f>
        <v>0</v>
      </c>
      <c r="EX135" s="833">
        <f>IF(EX137=0,0,(EX136*EX137+EX138*EX139*6)/EX137)</f>
        <v>0</v>
      </c>
      <c r="EY135" s="723">
        <f>IF(EW135=0,0,(EX135-EW135)/EW135*100)</f>
        <v>0</v>
      </c>
      <c r="EZ135" s="833">
        <f>IF(EZ137=0,0,(EZ136*EZ137+EZ138*EZ139*6)/EZ137)</f>
        <v>0</v>
      </c>
      <c r="FA135" s="833">
        <f>IF(FA137=0,0,(FA136*FA137+FA138*FA139*6)/FA137)</f>
        <v>0</v>
      </c>
      <c r="FB135" s="723">
        <f>IF(EZ135=0,0,(FA135-EZ135)/EZ135*100)</f>
        <v>0</v>
      </c>
      <c r="FC135" s="833">
        <f>IF(FC137=0,0,(FC136*FC137+FC138*FC139*6)/FC137)</f>
        <v>0</v>
      </c>
      <c r="FD135" s="833">
        <f>IF(FD137=0,0,(FD136*FD137+FD138*FD139*6)/FD137)</f>
        <v>0</v>
      </c>
      <c r="FE135" s="723">
        <f>IF(FC135=0,0,(FD135-FC135)/FC135*100)</f>
        <v>0</v>
      </c>
      <c r="FF135" s="833">
        <f>IF(FF137=0,0,(FF136*FF137+FF138*FF139*6)/FF137)</f>
        <v>0</v>
      </c>
      <c r="FG135" s="833">
        <f>IF(FG137=0,0,(FG136*FG137+FG138*FG139*6)/FG137)</f>
        <v>0</v>
      </c>
      <c r="FH135" s="723">
        <f>IF(FF135=0,0,(FG135-FF135)/FF135*100)</f>
        <v>0</v>
      </c>
      <c r="FI135" s="833">
        <f>IF(FI137=0,0,(FI136*FI137+FI138*FI139*6)/FI137)</f>
        <v>0</v>
      </c>
      <c r="FJ135" s="833">
        <f>IF(FJ137=0,0,(FJ136*FJ137+FJ138*FJ139*6)/FJ137)</f>
        <v>0</v>
      </c>
      <c r="FK135" s="723">
        <f>IF(FI135=0,0,(FJ135-FI135)/FI135*100)</f>
        <v>0</v>
      </c>
      <c r="FL135" s="833">
        <f>IF(FL137=0,0,(FL136*FL137+FL138*FL139*6)/FL137)</f>
        <v>0</v>
      </c>
      <c r="FM135" s="833">
        <f>IF(FM137=0,0,(FM136*FM137+FM138*FM139*6)/FM137)</f>
        <v>0</v>
      </c>
      <c r="FN135" s="723">
        <f>IF(FL135=0,0,(FM135-FL135)/FL135*100)</f>
        <v>0</v>
      </c>
      <c r="FO135" s="833">
        <f>IF(FO137=0,0,(FO136*FO137+FO138*FO139*6)/FO137)</f>
        <v>0</v>
      </c>
      <c r="FP135" s="833">
        <f>IF(FP137=0,0,(FP136*FP137+FP138*FP139*6)/FP137)</f>
        <v>0</v>
      </c>
      <c r="FQ135" s="723">
        <f>IF(FO135=0,0,(FP135-FO135)/FO135*100)</f>
        <v>0</v>
      </c>
      <c r="FR135" s="833">
        <f>IF(FR137=0,0,(FR136*FR137+FR138*FR139*6)/FR137)</f>
        <v>0</v>
      </c>
      <c r="FS135" s="833">
        <f>IF(FS137=0,0,(FS136*FS137+FS138*FS139*6)/FS137)</f>
        <v>0</v>
      </c>
      <c r="FT135" s="723">
        <f>IF(FR135=0,0,(FS135-FR135)/FR135*100)</f>
        <v>0</v>
      </c>
      <c r="FU135" s="833">
        <f>IF(FU137=0,0,(FU136*FU137+FU138*FU139*6)/FU137)</f>
        <v>0</v>
      </c>
      <c r="FV135" s="833">
        <f>IF(FV137=0,0,(FV136*FV137+FV138*FV139*6)/FV137)</f>
        <v>0</v>
      </c>
      <c r="FW135" s="723">
        <f>IF(FU135=0,0,(FV135-FU135)/FU135*100)</f>
        <v>0</v>
      </c>
      <c r="FZ135" s="700" t="s">
        <v>1691</v>
      </c>
      <c r="GA135" s="680" t="s">
        <v>865</v>
      </c>
      <c r="GB135" s="702" cm="1">
        <f t="array" ref="GB135">AB134</f>
        <v>0</v>
      </c>
    </row>
    <row r="136" spans="1:186" ht="14.25" hidden="1" customHeight="1">
      <c r="A136" s="78"/>
      <c r="B136" s="622" t="b" cm="1">
        <f t="array" ref="B136">B135</f>
        <v>0</v>
      </c>
      <c r="C136" s="78"/>
      <c r="D136" s="78"/>
      <c r="E136" s="473">
        <v>15</v>
      </c>
      <c r="F136" s="3" t="str" cm="1">
        <f t="array" aca="1" ref="F136" ca="1">OFFSET(E136,-1,1)</f>
        <v>1</v>
      </c>
      <c r="G136" s="78"/>
      <c r="H136" s="78" t="s">
        <v>1566</v>
      </c>
      <c r="I136" s="78" cm="1">
        <f t="array" ref="I136">I135</f>
        <v>0</v>
      </c>
      <c r="J136" s="78"/>
      <c r="K136" s="78"/>
      <c r="L136" s="78"/>
      <c r="M136" s="78"/>
      <c r="N136" s="78"/>
      <c r="O136" s="78"/>
      <c r="P136" s="78"/>
      <c r="Q136" s="78"/>
      <c r="R136" s="78"/>
      <c r="S136" s="78"/>
      <c r="T136" s="365" t="b" cm="1">
        <f t="array" aca="1" ref="T136" ca="1">T135</f>
        <v>0</v>
      </c>
      <c r="U136" s="78"/>
      <c r="V136" s="78"/>
      <c r="W136" s="78"/>
      <c r="X136" s="1094"/>
      <c r="Y136" s="1094"/>
      <c r="Z136" s="1064"/>
      <c r="AA136" s="1049"/>
      <c r="AB136" s="12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31" t="s">
        <v>1624</v>
      </c>
      <c r="AD136" s="833"/>
      <c r="AE136" s="833"/>
      <c r="AF136" s="723">
        <f>IF(AD136=0,0,(AE136-AD136)/AD136*100)</f>
        <v>0</v>
      </c>
      <c r="AG136" s="833"/>
      <c r="AH136" s="833"/>
      <c r="AI136" s="723">
        <f>IF(AG136=0,0,(AH136-AG136)/AG136*100)</f>
        <v>0</v>
      </c>
      <c r="AJ136" s="833"/>
      <c r="AK136" s="833"/>
      <c r="AL136" s="723">
        <f>IF(AJ136=0,0,(AK136-AJ136)/AJ136*100)</f>
        <v>0</v>
      </c>
      <c r="AM136" s="833"/>
      <c r="AN136" s="833"/>
      <c r="AO136" s="723">
        <f>IF(AM136=0,0,(AN136-AM136)/AM136*100)</f>
        <v>0</v>
      </c>
      <c r="AP136" s="833"/>
      <c r="AQ136" s="833"/>
      <c r="AR136" s="723">
        <f>IF(AP136=0,0,(AQ136-AP136)/AP136*100)</f>
        <v>0</v>
      </c>
      <c r="AS136" s="833"/>
      <c r="AT136" s="833"/>
      <c r="AU136" s="723">
        <f>IF(AS136=0,0,(AT136-AS136)/AS136*100)</f>
        <v>0</v>
      </c>
      <c r="AV136" s="833"/>
      <c r="AW136" s="833"/>
      <c r="AX136" s="723">
        <f>IF(AV136=0,0,(AW136-AV136)/AV136*100)</f>
        <v>0</v>
      </c>
      <c r="AY136" s="833"/>
      <c r="AZ136" s="833"/>
      <c r="BA136" s="723">
        <f>IF(AY136=0,0,(AZ136-AY136)/AY136*100)</f>
        <v>0</v>
      </c>
      <c r="BB136" s="833"/>
      <c r="BC136" s="833"/>
      <c r="BD136" s="723">
        <f>IF(BB136=0,0,(BC136-BB136)/BB136*100)</f>
        <v>0</v>
      </c>
      <c r="BE136" s="833"/>
      <c r="BF136" s="833"/>
      <c r="BG136" s="723">
        <f>IF(BE136=0,0,(BF136-BE136)/BE136*100)</f>
        <v>0</v>
      </c>
      <c r="BH136" s="833"/>
      <c r="BI136" s="833"/>
      <c r="BJ136" s="723">
        <f>IF(BH136=0,0,(BI136-BH136)/BH136*100)</f>
        <v>0</v>
      </c>
      <c r="BK136" s="833"/>
      <c r="BL136" s="833"/>
      <c r="BM136" s="723">
        <f>IF(BK136=0,0,(BL136-BK136)/BK136*100)</f>
        <v>0</v>
      </c>
      <c r="BN136" s="833"/>
      <c r="BO136" s="833"/>
      <c r="BP136" s="723">
        <f>IF(BN136=0,0,(BO136-BN136)/BN136*100)</f>
        <v>0</v>
      </c>
      <c r="BQ136" s="833"/>
      <c r="BR136" s="833"/>
      <c r="BS136" s="723">
        <f>IF(BQ136=0,0,(BR136-BQ136)/BQ136*100)</f>
        <v>0</v>
      </c>
      <c r="BT136" s="833"/>
      <c r="BU136" s="833"/>
      <c r="BV136" s="723">
        <f>IF(BT136=0,0,(BU136-BT136)/BT136*100)</f>
        <v>0</v>
      </c>
      <c r="BW136" s="833"/>
      <c r="BX136" s="833"/>
      <c r="BY136" s="723">
        <f>IF(BW136=0,0,(BX136-BW136)/BW136*100)</f>
        <v>0</v>
      </c>
      <c r="BZ136" s="833"/>
      <c r="CA136" s="833"/>
      <c r="CB136" s="723">
        <f>IF(BZ136=0,0,(CA136-BZ136)/BZ136*100)</f>
        <v>0</v>
      </c>
      <c r="CC136" s="833"/>
      <c r="CD136" s="833"/>
      <c r="CE136" s="723">
        <f>IF(CC136=0,0,(CD136-CC136)/CC136*100)</f>
        <v>0</v>
      </c>
      <c r="CF136" s="833"/>
      <c r="CG136" s="833"/>
      <c r="CH136" s="723">
        <f>IF(CF136=0,0,(CG136-CF136)/CF136*100)</f>
        <v>0</v>
      </c>
      <c r="CI136" s="833"/>
      <c r="CJ136" s="833"/>
      <c r="CK136" s="723">
        <f>IF(CI136=0,0,(CJ136-CI136)/CI136*100)</f>
        <v>0</v>
      </c>
      <c r="CL136" s="833"/>
      <c r="CM136" s="833"/>
      <c r="CN136" s="723">
        <f>IF(CL136=0,0,(CM136-CL136)/CL136*100)</f>
        <v>0</v>
      </c>
      <c r="CO136" s="833"/>
      <c r="CP136" s="833"/>
      <c r="CQ136" s="723">
        <f>IF(CO136=0,0,(CP136-CO136)/CO136*100)</f>
        <v>0</v>
      </c>
      <c r="CR136" s="833"/>
      <c r="CS136" s="833"/>
      <c r="CT136" s="723">
        <f>IF(CR136=0,0,(CS136-CR136)/CR136*100)</f>
        <v>0</v>
      </c>
      <c r="CU136" s="833"/>
      <c r="CV136" s="833"/>
      <c r="CW136" s="723">
        <f>IF(CU136=0,0,(CV136-CU136)/CU136*100)</f>
        <v>0</v>
      </c>
      <c r="CX136" s="833"/>
      <c r="CY136" s="833"/>
      <c r="CZ136" s="723">
        <f>IF(CX136=0,0,(CY136-CX136)/CX136*100)</f>
        <v>0</v>
      </c>
      <c r="DA136" s="833"/>
      <c r="DB136" s="833"/>
      <c r="DC136" s="723">
        <f>IF(DA136=0,0,(DB136-DA136)/DA136*100)</f>
        <v>0</v>
      </c>
      <c r="DD136" s="833"/>
      <c r="DE136" s="833"/>
      <c r="DF136" s="723">
        <f>IF(DD136=0,0,(DE136-DD136)/DD136*100)</f>
        <v>0</v>
      </c>
      <c r="DG136" s="833"/>
      <c r="DH136" s="833"/>
      <c r="DI136" s="723">
        <f>IF(DG136=0,0,(DH136-DG136)/DG136*100)</f>
        <v>0</v>
      </c>
      <c r="DJ136" s="833"/>
      <c r="DK136" s="833"/>
      <c r="DL136" s="723">
        <f>IF(DJ136=0,0,(DK136-DJ136)/DJ136*100)</f>
        <v>0</v>
      </c>
      <c r="DM136" s="833"/>
      <c r="DN136" s="833"/>
      <c r="DO136" s="723">
        <f>IF(DM136=0,0,(DN136-DM136)/DM136*100)</f>
        <v>0</v>
      </c>
      <c r="DP136" s="833"/>
      <c r="DQ136" s="833"/>
      <c r="DR136" s="723">
        <f>IF(DP136=0,0,(DQ136-DP136)/DP136*100)</f>
        <v>0</v>
      </c>
      <c r="DS136" s="833"/>
      <c r="DT136" s="833"/>
      <c r="DU136" s="723">
        <f>IF(DS136=0,0,(DT136-DS136)/DS136*100)</f>
        <v>0</v>
      </c>
      <c r="DV136" s="833"/>
      <c r="DW136" s="833"/>
      <c r="DX136" s="723">
        <f>IF(DV136=0,0,(DW136-DV136)/DV136*100)</f>
        <v>0</v>
      </c>
      <c r="DY136" s="833"/>
      <c r="DZ136" s="833"/>
      <c r="EA136" s="723">
        <f>IF(DY136=0,0,(DZ136-DY136)/DY136*100)</f>
        <v>0</v>
      </c>
      <c r="EB136" s="833"/>
      <c r="EC136" s="833"/>
      <c r="ED136" s="723">
        <f>IF(EB136=0,0,(EC136-EB136)/EB136*100)</f>
        <v>0</v>
      </c>
      <c r="EE136" s="833"/>
      <c r="EF136" s="833"/>
      <c r="EG136" s="723">
        <f>IF(EE136=0,0,(EF136-EE136)/EE136*100)</f>
        <v>0</v>
      </c>
      <c r="EH136" s="833"/>
      <c r="EI136" s="833"/>
      <c r="EJ136" s="723">
        <f>IF(EH136=0,0,(EI136-EH136)/EH136*100)</f>
        <v>0</v>
      </c>
      <c r="EK136" s="833"/>
      <c r="EL136" s="833"/>
      <c r="EM136" s="723">
        <f>IF(EK136=0,0,(EL136-EK136)/EK136*100)</f>
        <v>0</v>
      </c>
      <c r="EN136" s="833"/>
      <c r="EO136" s="833"/>
      <c r="EP136" s="723">
        <f>IF(EN136=0,0,(EO136-EN136)/EN136*100)</f>
        <v>0</v>
      </c>
      <c r="EQ136" s="833"/>
      <c r="ER136" s="833"/>
      <c r="ES136" s="723">
        <f>IF(EQ136=0,0,(ER136-EQ136)/EQ136*100)</f>
        <v>0</v>
      </c>
      <c r="ET136" s="833"/>
      <c r="EU136" s="833"/>
      <c r="EV136" s="723">
        <f>IF(ET136=0,0,(EU136-ET136)/ET136*100)</f>
        <v>0</v>
      </c>
      <c r="EW136" s="833"/>
      <c r="EX136" s="833"/>
      <c r="EY136" s="723">
        <f>IF(EW136=0,0,(EX136-EW136)/EW136*100)</f>
        <v>0</v>
      </c>
      <c r="EZ136" s="833"/>
      <c r="FA136" s="833"/>
      <c r="FB136" s="723">
        <f>IF(EZ136=0,0,(FA136-EZ136)/EZ136*100)</f>
        <v>0</v>
      </c>
      <c r="FC136" s="833"/>
      <c r="FD136" s="833"/>
      <c r="FE136" s="723">
        <f>IF(FC136=0,0,(FD136-FC136)/FC136*100)</f>
        <v>0</v>
      </c>
      <c r="FF136" s="833"/>
      <c r="FG136" s="833"/>
      <c r="FH136" s="723">
        <f>IF(FF136=0,0,(FG136-FF136)/FF136*100)</f>
        <v>0</v>
      </c>
      <c r="FI136" s="833"/>
      <c r="FJ136" s="833"/>
      <c r="FK136" s="723">
        <f>IF(FI136=0,0,(FJ136-FI136)/FI136*100)</f>
        <v>0</v>
      </c>
      <c r="FL136" s="833"/>
      <c r="FM136" s="833"/>
      <c r="FN136" s="723">
        <f>IF(FL136=0,0,(FM136-FL136)/FL136*100)</f>
        <v>0</v>
      </c>
      <c r="FO136" s="833"/>
      <c r="FP136" s="833"/>
      <c r="FQ136" s="723">
        <f>IF(FO136=0,0,(FP136-FO136)/FO136*100)</f>
        <v>0</v>
      </c>
      <c r="FR136" s="833"/>
      <c r="FS136" s="833"/>
      <c r="FT136" s="723">
        <f>IF(FR136=0,0,(FS136-FR136)/FR136*100)</f>
        <v>0</v>
      </c>
      <c r="FU136" s="833"/>
      <c r="FV136" s="833"/>
      <c r="FW136" s="723">
        <f>IF(FU136=0,0,(FV136-FU136)/FU136*100)</f>
        <v>0</v>
      </c>
      <c r="FZ136" s="700" t="s">
        <v>1692</v>
      </c>
      <c r="GA136" s="680" t="s">
        <v>865</v>
      </c>
      <c r="GB136" s="680" cm="1">
        <f t="array" ref="GB136">GB135</f>
        <v>0</v>
      </c>
    </row>
    <row r="137" spans="1:186" ht="14.25" hidden="1" customHeight="1">
      <c r="A137" s="78"/>
      <c r="B137" s="622" t="b" cm="1">
        <f t="array" ref="B137">B136</f>
        <v>0</v>
      </c>
      <c r="C137" s="78"/>
      <c r="D137" s="78"/>
      <c r="E137" s="473">
        <v>15</v>
      </c>
      <c r="F137" s="3" t="str" cm="1">
        <f t="array" aca="1" ref="F137" ca="1">OFFSET(E137,-1,1)</f>
        <v>1</v>
      </c>
      <c r="G137" s="78"/>
      <c r="H137" s="78" t="s">
        <v>1661</v>
      </c>
      <c r="I137" s="78" cm="1">
        <f t="array" ref="I137">I136</f>
        <v>0</v>
      </c>
      <c r="J137" s="78"/>
      <c r="K137" s="78"/>
      <c r="L137" s="78"/>
      <c r="M137" s="78"/>
      <c r="N137" s="78"/>
      <c r="O137" s="78"/>
      <c r="P137" s="78"/>
      <c r="Q137" s="78"/>
      <c r="R137" s="78"/>
      <c r="S137" s="78"/>
      <c r="T137" s="365" t="b" cm="1">
        <f t="array" aca="1" ref="T137" ca="1">T136</f>
        <v>0</v>
      </c>
      <c r="U137" s="78"/>
      <c r="V137" s="78"/>
      <c r="W137" s="78"/>
      <c r="X137" s="1094"/>
      <c r="Y137" s="1094"/>
      <c r="Z137" s="1064"/>
      <c r="AA137" s="1049"/>
      <c r="AB137" s="124" t="str">
        <f>"объём "&amp;IF(Q92="Водоснабжение","потребления холодной воды","водоотведения")</f>
        <v>объём потребления холодной воды</v>
      </c>
      <c r="AC137" s="31" t="s">
        <v>534</v>
      </c>
      <c r="AD137" s="849"/>
      <c r="AE137" s="849"/>
      <c r="AF137" s="724">
        <f>IF(AD137=0,0,(AE137-AD137)/AD137*100)</f>
        <v>0</v>
      </c>
      <c r="AG137" s="849"/>
      <c r="AH137" s="849"/>
      <c r="AI137" s="724">
        <f>IF(AG137=0,0,(AH137-AG137)/AG137*100)</f>
        <v>0</v>
      </c>
      <c r="AJ137" s="849"/>
      <c r="AK137" s="849"/>
      <c r="AL137" s="724">
        <f>IF(AJ137=0,0,(AK137-AJ137)/AJ137*100)</f>
        <v>0</v>
      </c>
      <c r="AM137" s="849"/>
      <c r="AN137" s="849"/>
      <c r="AO137" s="724">
        <f>IF(AM137=0,0,(AN137-AM137)/AM137*100)</f>
        <v>0</v>
      </c>
      <c r="AP137" s="849"/>
      <c r="AQ137" s="849"/>
      <c r="AR137" s="724">
        <f>IF(AP137=0,0,(AQ137-AP137)/AP137*100)</f>
        <v>0</v>
      </c>
      <c r="AS137" s="849"/>
      <c r="AT137" s="849"/>
      <c r="AU137" s="724">
        <f>IF(AS137=0,0,(AT137-AS137)/AS137*100)</f>
        <v>0</v>
      </c>
      <c r="AV137" s="849"/>
      <c r="AW137" s="849"/>
      <c r="AX137" s="724">
        <f>IF(AV137=0,0,(AW137-AV137)/AV137*100)</f>
        <v>0</v>
      </c>
      <c r="AY137" s="849"/>
      <c r="AZ137" s="849"/>
      <c r="BA137" s="724">
        <f>IF(AY137=0,0,(AZ137-AY137)/AY137*100)</f>
        <v>0</v>
      </c>
      <c r="BB137" s="849"/>
      <c r="BC137" s="849"/>
      <c r="BD137" s="724">
        <f>IF(BB137=0,0,(BC137-BB137)/BB137*100)</f>
        <v>0</v>
      </c>
      <c r="BE137" s="849"/>
      <c r="BF137" s="849"/>
      <c r="BG137" s="724">
        <f>IF(BE137=0,0,(BF137-BE137)/BE137*100)</f>
        <v>0</v>
      </c>
      <c r="BH137" s="849"/>
      <c r="BI137" s="849"/>
      <c r="BJ137" s="724">
        <f>IF(BH137=0,0,(BI137-BH137)/BH137*100)</f>
        <v>0</v>
      </c>
      <c r="BK137" s="849"/>
      <c r="BL137" s="849"/>
      <c r="BM137" s="724">
        <f>IF(BK137=0,0,(BL137-BK137)/BK137*100)</f>
        <v>0</v>
      </c>
      <c r="BN137" s="849"/>
      <c r="BO137" s="849"/>
      <c r="BP137" s="724">
        <f>IF(BN137=0,0,(BO137-BN137)/BN137*100)</f>
        <v>0</v>
      </c>
      <c r="BQ137" s="849"/>
      <c r="BR137" s="849"/>
      <c r="BS137" s="724">
        <f>IF(BQ137=0,0,(BR137-BQ137)/BQ137*100)</f>
        <v>0</v>
      </c>
      <c r="BT137" s="849"/>
      <c r="BU137" s="849"/>
      <c r="BV137" s="724">
        <f>IF(BT137=0,0,(BU137-BT137)/BT137*100)</f>
        <v>0</v>
      </c>
      <c r="BW137" s="849"/>
      <c r="BX137" s="849"/>
      <c r="BY137" s="724">
        <f>IF(BW137=0,0,(BX137-BW137)/BW137*100)</f>
        <v>0</v>
      </c>
      <c r="BZ137" s="849"/>
      <c r="CA137" s="849"/>
      <c r="CB137" s="724">
        <f>IF(BZ137=0,0,(CA137-BZ137)/BZ137*100)</f>
        <v>0</v>
      </c>
      <c r="CC137" s="849"/>
      <c r="CD137" s="849"/>
      <c r="CE137" s="724">
        <f>IF(CC137=0,0,(CD137-CC137)/CC137*100)</f>
        <v>0</v>
      </c>
      <c r="CF137" s="849"/>
      <c r="CG137" s="849"/>
      <c r="CH137" s="724">
        <f>IF(CF137=0,0,(CG137-CF137)/CF137*100)</f>
        <v>0</v>
      </c>
      <c r="CI137" s="849"/>
      <c r="CJ137" s="849"/>
      <c r="CK137" s="724">
        <f>IF(CI137=0,0,(CJ137-CI137)/CI137*100)</f>
        <v>0</v>
      </c>
      <c r="CL137" s="849"/>
      <c r="CM137" s="849"/>
      <c r="CN137" s="724">
        <f>IF(CL137=0,0,(CM137-CL137)/CL137*100)</f>
        <v>0</v>
      </c>
      <c r="CO137" s="849"/>
      <c r="CP137" s="849"/>
      <c r="CQ137" s="724">
        <f>IF(CO137=0,0,(CP137-CO137)/CO137*100)</f>
        <v>0</v>
      </c>
      <c r="CR137" s="849"/>
      <c r="CS137" s="849"/>
      <c r="CT137" s="724">
        <f>IF(CR137=0,0,(CS137-CR137)/CR137*100)</f>
        <v>0</v>
      </c>
      <c r="CU137" s="849"/>
      <c r="CV137" s="849"/>
      <c r="CW137" s="724">
        <f>IF(CU137=0,0,(CV137-CU137)/CU137*100)</f>
        <v>0</v>
      </c>
      <c r="CX137" s="849"/>
      <c r="CY137" s="849"/>
      <c r="CZ137" s="724">
        <f>IF(CX137=0,0,(CY137-CX137)/CX137*100)</f>
        <v>0</v>
      </c>
      <c r="DA137" s="849"/>
      <c r="DB137" s="849"/>
      <c r="DC137" s="724">
        <f>IF(DA137=0,0,(DB137-DA137)/DA137*100)</f>
        <v>0</v>
      </c>
      <c r="DD137" s="849"/>
      <c r="DE137" s="849"/>
      <c r="DF137" s="724">
        <f>IF(DD137=0,0,(DE137-DD137)/DD137*100)</f>
        <v>0</v>
      </c>
      <c r="DG137" s="849"/>
      <c r="DH137" s="849"/>
      <c r="DI137" s="724">
        <f>IF(DG137=0,0,(DH137-DG137)/DG137*100)</f>
        <v>0</v>
      </c>
      <c r="DJ137" s="849"/>
      <c r="DK137" s="849"/>
      <c r="DL137" s="724">
        <f>IF(DJ137=0,0,(DK137-DJ137)/DJ137*100)</f>
        <v>0</v>
      </c>
      <c r="DM137" s="849"/>
      <c r="DN137" s="849"/>
      <c r="DO137" s="724">
        <f>IF(DM137=0,0,(DN137-DM137)/DM137*100)</f>
        <v>0</v>
      </c>
      <c r="DP137" s="849"/>
      <c r="DQ137" s="849"/>
      <c r="DR137" s="724">
        <f>IF(DP137=0,0,(DQ137-DP137)/DP137*100)</f>
        <v>0</v>
      </c>
      <c r="DS137" s="849"/>
      <c r="DT137" s="849"/>
      <c r="DU137" s="724">
        <f>IF(DS137=0,0,(DT137-DS137)/DS137*100)</f>
        <v>0</v>
      </c>
      <c r="DV137" s="849"/>
      <c r="DW137" s="849"/>
      <c r="DX137" s="724">
        <f>IF(DV137=0,0,(DW137-DV137)/DV137*100)</f>
        <v>0</v>
      </c>
      <c r="DY137" s="849"/>
      <c r="DZ137" s="849"/>
      <c r="EA137" s="724">
        <f>IF(DY137=0,0,(DZ137-DY137)/DY137*100)</f>
        <v>0</v>
      </c>
      <c r="EB137" s="849"/>
      <c r="EC137" s="849"/>
      <c r="ED137" s="724">
        <f>IF(EB137=0,0,(EC137-EB137)/EB137*100)</f>
        <v>0</v>
      </c>
      <c r="EE137" s="849"/>
      <c r="EF137" s="849"/>
      <c r="EG137" s="724">
        <f>IF(EE137=0,0,(EF137-EE137)/EE137*100)</f>
        <v>0</v>
      </c>
      <c r="EH137" s="849"/>
      <c r="EI137" s="849"/>
      <c r="EJ137" s="724">
        <f>IF(EH137=0,0,(EI137-EH137)/EH137*100)</f>
        <v>0</v>
      </c>
      <c r="EK137" s="849"/>
      <c r="EL137" s="849"/>
      <c r="EM137" s="724">
        <f>IF(EK137=0,0,(EL137-EK137)/EK137*100)</f>
        <v>0</v>
      </c>
      <c r="EN137" s="849"/>
      <c r="EO137" s="849"/>
      <c r="EP137" s="724">
        <f>IF(EN137=0,0,(EO137-EN137)/EN137*100)</f>
        <v>0</v>
      </c>
      <c r="EQ137" s="849"/>
      <c r="ER137" s="849"/>
      <c r="ES137" s="724">
        <f>IF(EQ137=0,0,(ER137-EQ137)/EQ137*100)</f>
        <v>0</v>
      </c>
      <c r="ET137" s="849"/>
      <c r="EU137" s="849"/>
      <c r="EV137" s="724">
        <f>IF(ET137=0,0,(EU137-ET137)/ET137*100)</f>
        <v>0</v>
      </c>
      <c r="EW137" s="849"/>
      <c r="EX137" s="849"/>
      <c r="EY137" s="724">
        <f>IF(EW137=0,0,(EX137-EW137)/EW137*100)</f>
        <v>0</v>
      </c>
      <c r="EZ137" s="849"/>
      <c r="FA137" s="849"/>
      <c r="FB137" s="724">
        <f>IF(EZ137=0,0,(FA137-EZ137)/EZ137*100)</f>
        <v>0</v>
      </c>
      <c r="FC137" s="849"/>
      <c r="FD137" s="849"/>
      <c r="FE137" s="724">
        <f>IF(FC137=0,0,(FD137-FC137)/FC137*100)</f>
        <v>0</v>
      </c>
      <c r="FF137" s="849"/>
      <c r="FG137" s="849"/>
      <c r="FH137" s="724">
        <f>IF(FF137=0,0,(FG137-FF137)/FF137*100)</f>
        <v>0</v>
      </c>
      <c r="FI137" s="849"/>
      <c r="FJ137" s="849"/>
      <c r="FK137" s="724">
        <f>IF(FI137=0,0,(FJ137-FI137)/FI137*100)</f>
        <v>0</v>
      </c>
      <c r="FL137" s="849"/>
      <c r="FM137" s="849"/>
      <c r="FN137" s="724">
        <f>IF(FL137=0,0,(FM137-FL137)/FL137*100)</f>
        <v>0</v>
      </c>
      <c r="FO137" s="849"/>
      <c r="FP137" s="849"/>
      <c r="FQ137" s="724">
        <f>IF(FO137=0,0,(FP137-FO137)/FO137*100)</f>
        <v>0</v>
      </c>
      <c r="FR137" s="849"/>
      <c r="FS137" s="849"/>
      <c r="FT137" s="724">
        <f>IF(FR137=0,0,(FS137-FR137)/FR137*100)</f>
        <v>0</v>
      </c>
      <c r="FU137" s="849"/>
      <c r="FV137" s="849"/>
      <c r="FW137" s="724">
        <f>IF(FU137=0,0,(FV137-FU137)/FU137*100)</f>
        <v>0</v>
      </c>
      <c r="FZ137" s="700" t="s">
        <v>1693</v>
      </c>
      <c r="GA137" s="680" t="s">
        <v>865</v>
      </c>
      <c r="GB137" s="680" cm="1">
        <f t="array" ref="GB137">GB136</f>
        <v>0</v>
      </c>
    </row>
    <row r="138" spans="1:186" ht="21.75" hidden="1" customHeight="1">
      <c r="A138" s="78"/>
      <c r="B138" s="622" t="b" cm="1">
        <f t="array" ref="B138">B137</f>
        <v>0</v>
      </c>
      <c r="C138" s="78"/>
      <c r="D138" s="78"/>
      <c r="E138" s="473">
        <v>22.5</v>
      </c>
      <c r="F138" s="3" t="str" cm="1">
        <f t="array" aca="1" ref="F138" ca="1">OFFSET(E138,-1,1)</f>
        <v>1</v>
      </c>
      <c r="G138" s="78"/>
      <c r="H138" s="78" t="s">
        <v>1663</v>
      </c>
      <c r="I138" s="78" cm="1">
        <f t="array" ref="I138">I137</f>
        <v>0</v>
      </c>
      <c r="J138" s="78"/>
      <c r="K138" s="78"/>
      <c r="L138" s="78"/>
      <c r="M138" s="78"/>
      <c r="N138" s="78"/>
      <c r="O138" s="78"/>
      <c r="P138" s="78"/>
      <c r="Q138" s="78"/>
      <c r="R138" s="78"/>
      <c r="S138" s="78"/>
      <c r="T138" s="365" t="b" cm="1">
        <f t="array" aca="1" ref="T138" ca="1">T137</f>
        <v>0</v>
      </c>
      <c r="U138" s="78"/>
      <c r="V138" s="78"/>
      <c r="W138" s="78"/>
      <c r="X138" s="1094"/>
      <c r="Y138" s="1094"/>
      <c r="Z138" s="1064"/>
      <c r="AA138" s="1049"/>
      <c r="AB138" s="12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31" t="s">
        <v>1664</v>
      </c>
      <c r="AD138" s="833"/>
      <c r="AE138" s="833"/>
      <c r="AF138" s="723">
        <f>IF(AD138=0,0,(AE138-AD138)/AD138*100)</f>
        <v>0</v>
      </c>
      <c r="AG138" s="833"/>
      <c r="AH138" s="833"/>
      <c r="AI138" s="723">
        <f>IF(AG138=0,0,(AH138-AG138)/AG138*100)</f>
        <v>0</v>
      </c>
      <c r="AJ138" s="833"/>
      <c r="AK138" s="833"/>
      <c r="AL138" s="723">
        <f>IF(AJ138=0,0,(AK138-AJ138)/AJ138*100)</f>
        <v>0</v>
      </c>
      <c r="AM138" s="833"/>
      <c r="AN138" s="833"/>
      <c r="AO138" s="723">
        <f>IF(AM138=0,0,(AN138-AM138)/AM138*100)</f>
        <v>0</v>
      </c>
      <c r="AP138" s="833"/>
      <c r="AQ138" s="833"/>
      <c r="AR138" s="723">
        <f>IF(AP138=0,0,(AQ138-AP138)/AP138*100)</f>
        <v>0</v>
      </c>
      <c r="AS138" s="833"/>
      <c r="AT138" s="833"/>
      <c r="AU138" s="723">
        <f>IF(AS138=0,0,(AT138-AS138)/AS138*100)</f>
        <v>0</v>
      </c>
      <c r="AV138" s="833"/>
      <c r="AW138" s="833"/>
      <c r="AX138" s="723">
        <f>IF(AV138=0,0,(AW138-AV138)/AV138*100)</f>
        <v>0</v>
      </c>
      <c r="AY138" s="833"/>
      <c r="AZ138" s="833"/>
      <c r="BA138" s="723">
        <f>IF(AY138=0,0,(AZ138-AY138)/AY138*100)</f>
        <v>0</v>
      </c>
      <c r="BB138" s="833"/>
      <c r="BC138" s="833"/>
      <c r="BD138" s="723">
        <f>IF(BB138=0,0,(BC138-BB138)/BB138*100)</f>
        <v>0</v>
      </c>
      <c r="BE138" s="833"/>
      <c r="BF138" s="833"/>
      <c r="BG138" s="723">
        <f>IF(BE138=0,0,(BF138-BE138)/BE138*100)</f>
        <v>0</v>
      </c>
      <c r="BH138" s="833"/>
      <c r="BI138" s="833"/>
      <c r="BJ138" s="723">
        <f>IF(BH138=0,0,(BI138-BH138)/BH138*100)</f>
        <v>0</v>
      </c>
      <c r="BK138" s="833"/>
      <c r="BL138" s="833"/>
      <c r="BM138" s="723">
        <f>IF(BK138=0,0,(BL138-BK138)/BK138*100)</f>
        <v>0</v>
      </c>
      <c r="BN138" s="833"/>
      <c r="BO138" s="833"/>
      <c r="BP138" s="723">
        <f>IF(BN138=0,0,(BO138-BN138)/BN138*100)</f>
        <v>0</v>
      </c>
      <c r="BQ138" s="833"/>
      <c r="BR138" s="833"/>
      <c r="BS138" s="723">
        <f>IF(BQ138=0,0,(BR138-BQ138)/BQ138*100)</f>
        <v>0</v>
      </c>
      <c r="BT138" s="833"/>
      <c r="BU138" s="833"/>
      <c r="BV138" s="723">
        <f>IF(BT138=0,0,(BU138-BT138)/BT138*100)</f>
        <v>0</v>
      </c>
      <c r="BW138" s="833"/>
      <c r="BX138" s="833"/>
      <c r="BY138" s="723">
        <f>IF(BW138=0,0,(BX138-BW138)/BW138*100)</f>
        <v>0</v>
      </c>
      <c r="BZ138" s="833"/>
      <c r="CA138" s="833"/>
      <c r="CB138" s="723">
        <f>IF(BZ138=0,0,(CA138-BZ138)/BZ138*100)</f>
        <v>0</v>
      </c>
      <c r="CC138" s="833"/>
      <c r="CD138" s="833"/>
      <c r="CE138" s="723">
        <f>IF(CC138=0,0,(CD138-CC138)/CC138*100)</f>
        <v>0</v>
      </c>
      <c r="CF138" s="833"/>
      <c r="CG138" s="833"/>
      <c r="CH138" s="723">
        <f>IF(CF138=0,0,(CG138-CF138)/CF138*100)</f>
        <v>0</v>
      </c>
      <c r="CI138" s="833"/>
      <c r="CJ138" s="833"/>
      <c r="CK138" s="723">
        <f>IF(CI138=0,0,(CJ138-CI138)/CI138*100)</f>
        <v>0</v>
      </c>
      <c r="CL138" s="833"/>
      <c r="CM138" s="833"/>
      <c r="CN138" s="723">
        <f>IF(CL138=0,0,(CM138-CL138)/CL138*100)</f>
        <v>0</v>
      </c>
      <c r="CO138" s="833"/>
      <c r="CP138" s="833"/>
      <c r="CQ138" s="723">
        <f>IF(CO138=0,0,(CP138-CO138)/CO138*100)</f>
        <v>0</v>
      </c>
      <c r="CR138" s="833"/>
      <c r="CS138" s="833"/>
      <c r="CT138" s="723">
        <f>IF(CR138=0,0,(CS138-CR138)/CR138*100)</f>
        <v>0</v>
      </c>
      <c r="CU138" s="833"/>
      <c r="CV138" s="833"/>
      <c r="CW138" s="723">
        <f>IF(CU138=0,0,(CV138-CU138)/CU138*100)</f>
        <v>0</v>
      </c>
      <c r="CX138" s="833"/>
      <c r="CY138" s="833"/>
      <c r="CZ138" s="723">
        <f>IF(CX138=0,0,(CY138-CX138)/CX138*100)</f>
        <v>0</v>
      </c>
      <c r="DA138" s="833"/>
      <c r="DB138" s="833"/>
      <c r="DC138" s="723">
        <f>IF(DA138=0,0,(DB138-DA138)/DA138*100)</f>
        <v>0</v>
      </c>
      <c r="DD138" s="833"/>
      <c r="DE138" s="833"/>
      <c r="DF138" s="723">
        <f>IF(DD138=0,0,(DE138-DD138)/DD138*100)</f>
        <v>0</v>
      </c>
      <c r="DG138" s="833"/>
      <c r="DH138" s="833"/>
      <c r="DI138" s="723">
        <f>IF(DG138=0,0,(DH138-DG138)/DG138*100)</f>
        <v>0</v>
      </c>
      <c r="DJ138" s="833"/>
      <c r="DK138" s="833"/>
      <c r="DL138" s="723">
        <f>IF(DJ138=0,0,(DK138-DJ138)/DJ138*100)</f>
        <v>0</v>
      </c>
      <c r="DM138" s="833"/>
      <c r="DN138" s="833"/>
      <c r="DO138" s="723">
        <f>IF(DM138=0,0,(DN138-DM138)/DM138*100)</f>
        <v>0</v>
      </c>
      <c r="DP138" s="833"/>
      <c r="DQ138" s="833"/>
      <c r="DR138" s="723">
        <f>IF(DP138=0,0,(DQ138-DP138)/DP138*100)</f>
        <v>0</v>
      </c>
      <c r="DS138" s="833"/>
      <c r="DT138" s="833"/>
      <c r="DU138" s="723">
        <f>IF(DS138=0,0,(DT138-DS138)/DS138*100)</f>
        <v>0</v>
      </c>
      <c r="DV138" s="833"/>
      <c r="DW138" s="833"/>
      <c r="DX138" s="723">
        <f>IF(DV138=0,0,(DW138-DV138)/DV138*100)</f>
        <v>0</v>
      </c>
      <c r="DY138" s="833"/>
      <c r="DZ138" s="833"/>
      <c r="EA138" s="723">
        <f>IF(DY138=0,0,(DZ138-DY138)/DY138*100)</f>
        <v>0</v>
      </c>
      <c r="EB138" s="833"/>
      <c r="EC138" s="833"/>
      <c r="ED138" s="723">
        <f>IF(EB138=0,0,(EC138-EB138)/EB138*100)</f>
        <v>0</v>
      </c>
      <c r="EE138" s="833"/>
      <c r="EF138" s="833"/>
      <c r="EG138" s="723">
        <f>IF(EE138=0,0,(EF138-EE138)/EE138*100)</f>
        <v>0</v>
      </c>
      <c r="EH138" s="833"/>
      <c r="EI138" s="833"/>
      <c r="EJ138" s="723">
        <f>IF(EH138=0,0,(EI138-EH138)/EH138*100)</f>
        <v>0</v>
      </c>
      <c r="EK138" s="833"/>
      <c r="EL138" s="833"/>
      <c r="EM138" s="723">
        <f>IF(EK138=0,0,(EL138-EK138)/EK138*100)</f>
        <v>0</v>
      </c>
      <c r="EN138" s="833"/>
      <c r="EO138" s="833"/>
      <c r="EP138" s="723">
        <f>IF(EN138=0,0,(EO138-EN138)/EN138*100)</f>
        <v>0</v>
      </c>
      <c r="EQ138" s="833"/>
      <c r="ER138" s="833"/>
      <c r="ES138" s="723">
        <f>IF(EQ138=0,0,(ER138-EQ138)/EQ138*100)</f>
        <v>0</v>
      </c>
      <c r="ET138" s="833"/>
      <c r="EU138" s="833"/>
      <c r="EV138" s="723">
        <f>IF(ET138=0,0,(EU138-ET138)/ET138*100)</f>
        <v>0</v>
      </c>
      <c r="EW138" s="833"/>
      <c r="EX138" s="833"/>
      <c r="EY138" s="723">
        <f>IF(EW138=0,0,(EX138-EW138)/EW138*100)</f>
        <v>0</v>
      </c>
      <c r="EZ138" s="833"/>
      <c r="FA138" s="833"/>
      <c r="FB138" s="723">
        <f>IF(EZ138=0,0,(FA138-EZ138)/EZ138*100)</f>
        <v>0</v>
      </c>
      <c r="FC138" s="833"/>
      <c r="FD138" s="833"/>
      <c r="FE138" s="723">
        <f>IF(FC138=0,0,(FD138-FC138)/FC138*100)</f>
        <v>0</v>
      </c>
      <c r="FF138" s="833"/>
      <c r="FG138" s="833"/>
      <c r="FH138" s="723">
        <f>IF(FF138=0,0,(FG138-FF138)/FF138*100)</f>
        <v>0</v>
      </c>
      <c r="FI138" s="833"/>
      <c r="FJ138" s="833"/>
      <c r="FK138" s="723">
        <f>IF(FI138=0,0,(FJ138-FI138)/FI138*100)</f>
        <v>0</v>
      </c>
      <c r="FL138" s="833"/>
      <c r="FM138" s="833"/>
      <c r="FN138" s="723">
        <f>IF(FL138=0,0,(FM138-FL138)/FL138*100)</f>
        <v>0</v>
      </c>
      <c r="FO138" s="833"/>
      <c r="FP138" s="833"/>
      <c r="FQ138" s="723">
        <f>IF(FO138=0,0,(FP138-FO138)/FO138*100)</f>
        <v>0</v>
      </c>
      <c r="FR138" s="833"/>
      <c r="FS138" s="833"/>
      <c r="FT138" s="723">
        <f>IF(FR138=0,0,(FS138-FR138)/FR138*100)</f>
        <v>0</v>
      </c>
      <c r="FU138" s="833"/>
      <c r="FV138" s="833"/>
      <c r="FW138" s="723">
        <f>IF(FU138=0,0,(FV138-FU138)/FU138*100)</f>
        <v>0</v>
      </c>
      <c r="FZ138" s="700" t="s">
        <v>1694</v>
      </c>
      <c r="GA138" s="680" t="s">
        <v>865</v>
      </c>
      <c r="GB138" s="680" cm="1">
        <f t="array" ref="GB138">GB137</f>
        <v>0</v>
      </c>
    </row>
    <row r="139" spans="1:186" ht="14.25" hidden="1" customHeight="1">
      <c r="A139" s="78"/>
      <c r="B139" s="622" t="b" cm="1">
        <f t="array" ref="B139">B138</f>
        <v>0</v>
      </c>
      <c r="C139" s="78"/>
      <c r="D139" s="78"/>
      <c r="E139" s="473">
        <v>15</v>
      </c>
      <c r="F139" s="3" t="str" cm="1">
        <f t="array" aca="1" ref="F139" ca="1">OFFSET(E139,-1,1)</f>
        <v>1</v>
      </c>
      <c r="G139" s="78"/>
      <c r="H139" s="78" t="s">
        <v>1666</v>
      </c>
      <c r="I139" s="78" cm="1">
        <f t="array" ref="I139">I138</f>
        <v>0</v>
      </c>
      <c r="J139" s="78"/>
      <c r="K139" s="78"/>
      <c r="L139" s="78"/>
      <c r="M139" s="78"/>
      <c r="N139" s="78"/>
      <c r="O139" s="78"/>
      <c r="P139" s="78"/>
      <c r="Q139" s="78"/>
      <c r="R139" s="78"/>
      <c r="S139" s="78"/>
      <c r="T139" s="365" t="b" cm="1">
        <f t="array" aca="1" ref="T139" ca="1">T138</f>
        <v>0</v>
      </c>
      <c r="U139" s="78"/>
      <c r="V139" s="78"/>
      <c r="W139" s="78"/>
      <c r="X139" s="1094"/>
      <c r="Y139" s="1094"/>
      <c r="Z139" s="1064"/>
      <c r="AA139" s="1049"/>
      <c r="AB139" s="124" t="s">
        <v>1667</v>
      </c>
      <c r="AC139" s="31" t="s">
        <v>1668</v>
      </c>
      <c r="AD139" s="833"/>
      <c r="AE139" s="833"/>
      <c r="AF139" s="723">
        <f>IF(AD139=0,0,(AE139-AD139)/AD139*100)</f>
        <v>0</v>
      </c>
      <c r="AG139" s="833"/>
      <c r="AH139" s="833"/>
      <c r="AI139" s="723">
        <f>IF(AG139=0,0,(AH139-AG139)/AG139*100)</f>
        <v>0</v>
      </c>
      <c r="AJ139" s="833"/>
      <c r="AK139" s="833"/>
      <c r="AL139" s="723">
        <f>IF(AJ139=0,0,(AK139-AJ139)/AJ139*100)</f>
        <v>0</v>
      </c>
      <c r="AM139" s="833"/>
      <c r="AN139" s="833"/>
      <c r="AO139" s="723">
        <f>IF(AM139=0,0,(AN139-AM139)/AM139*100)</f>
        <v>0</v>
      </c>
      <c r="AP139" s="833"/>
      <c r="AQ139" s="833"/>
      <c r="AR139" s="723">
        <f>IF(AP139=0,0,(AQ139-AP139)/AP139*100)</f>
        <v>0</v>
      </c>
      <c r="AS139" s="833"/>
      <c r="AT139" s="833"/>
      <c r="AU139" s="723">
        <f>IF(AS139=0,0,(AT139-AS139)/AS139*100)</f>
        <v>0</v>
      </c>
      <c r="AV139" s="833"/>
      <c r="AW139" s="833"/>
      <c r="AX139" s="723">
        <f>IF(AV139=0,0,(AW139-AV139)/AV139*100)</f>
        <v>0</v>
      </c>
      <c r="AY139" s="833"/>
      <c r="AZ139" s="833"/>
      <c r="BA139" s="723">
        <f>IF(AY139=0,0,(AZ139-AY139)/AY139*100)</f>
        <v>0</v>
      </c>
      <c r="BB139" s="833"/>
      <c r="BC139" s="833"/>
      <c r="BD139" s="723">
        <f>IF(BB139=0,0,(BC139-BB139)/BB139*100)</f>
        <v>0</v>
      </c>
      <c r="BE139" s="833"/>
      <c r="BF139" s="833"/>
      <c r="BG139" s="723">
        <f>IF(BE139=0,0,(BF139-BE139)/BE139*100)</f>
        <v>0</v>
      </c>
      <c r="BH139" s="833"/>
      <c r="BI139" s="833"/>
      <c r="BJ139" s="723">
        <f>IF(BH139=0,0,(BI139-BH139)/BH139*100)</f>
        <v>0</v>
      </c>
      <c r="BK139" s="833"/>
      <c r="BL139" s="833"/>
      <c r="BM139" s="723">
        <f>IF(BK139=0,0,(BL139-BK139)/BK139*100)</f>
        <v>0</v>
      </c>
      <c r="BN139" s="833"/>
      <c r="BO139" s="833"/>
      <c r="BP139" s="723">
        <f>IF(BN139=0,0,(BO139-BN139)/BN139*100)</f>
        <v>0</v>
      </c>
      <c r="BQ139" s="833"/>
      <c r="BR139" s="833"/>
      <c r="BS139" s="723">
        <f>IF(BQ139=0,0,(BR139-BQ139)/BQ139*100)</f>
        <v>0</v>
      </c>
      <c r="BT139" s="833"/>
      <c r="BU139" s="833"/>
      <c r="BV139" s="723">
        <f>IF(BT139=0,0,(BU139-BT139)/BT139*100)</f>
        <v>0</v>
      </c>
      <c r="BW139" s="833"/>
      <c r="BX139" s="833"/>
      <c r="BY139" s="723">
        <f>IF(BW139=0,0,(BX139-BW139)/BW139*100)</f>
        <v>0</v>
      </c>
      <c r="BZ139" s="833"/>
      <c r="CA139" s="833"/>
      <c r="CB139" s="723">
        <f>IF(BZ139=0,0,(CA139-BZ139)/BZ139*100)</f>
        <v>0</v>
      </c>
      <c r="CC139" s="833"/>
      <c r="CD139" s="833"/>
      <c r="CE139" s="723">
        <f>IF(CC139=0,0,(CD139-CC139)/CC139*100)</f>
        <v>0</v>
      </c>
      <c r="CF139" s="833"/>
      <c r="CG139" s="833"/>
      <c r="CH139" s="723">
        <f>IF(CF139=0,0,(CG139-CF139)/CF139*100)</f>
        <v>0</v>
      </c>
      <c r="CI139" s="833"/>
      <c r="CJ139" s="833"/>
      <c r="CK139" s="723">
        <f>IF(CI139=0,0,(CJ139-CI139)/CI139*100)</f>
        <v>0</v>
      </c>
      <c r="CL139" s="833"/>
      <c r="CM139" s="833"/>
      <c r="CN139" s="723">
        <f>IF(CL139=0,0,(CM139-CL139)/CL139*100)</f>
        <v>0</v>
      </c>
      <c r="CO139" s="833"/>
      <c r="CP139" s="833"/>
      <c r="CQ139" s="723">
        <f>IF(CO139=0,0,(CP139-CO139)/CO139*100)</f>
        <v>0</v>
      </c>
      <c r="CR139" s="833"/>
      <c r="CS139" s="833"/>
      <c r="CT139" s="723">
        <f>IF(CR139=0,0,(CS139-CR139)/CR139*100)</f>
        <v>0</v>
      </c>
      <c r="CU139" s="833"/>
      <c r="CV139" s="833"/>
      <c r="CW139" s="723">
        <f>IF(CU139=0,0,(CV139-CU139)/CU139*100)</f>
        <v>0</v>
      </c>
      <c r="CX139" s="833"/>
      <c r="CY139" s="833"/>
      <c r="CZ139" s="723">
        <f>IF(CX139=0,0,(CY139-CX139)/CX139*100)</f>
        <v>0</v>
      </c>
      <c r="DA139" s="833"/>
      <c r="DB139" s="833"/>
      <c r="DC139" s="723">
        <f>IF(DA139=0,0,(DB139-DA139)/DA139*100)</f>
        <v>0</v>
      </c>
      <c r="DD139" s="833"/>
      <c r="DE139" s="833"/>
      <c r="DF139" s="723">
        <f>IF(DD139=0,0,(DE139-DD139)/DD139*100)</f>
        <v>0</v>
      </c>
      <c r="DG139" s="833"/>
      <c r="DH139" s="833"/>
      <c r="DI139" s="723">
        <f>IF(DG139=0,0,(DH139-DG139)/DG139*100)</f>
        <v>0</v>
      </c>
      <c r="DJ139" s="833"/>
      <c r="DK139" s="833"/>
      <c r="DL139" s="723">
        <f>IF(DJ139=0,0,(DK139-DJ139)/DJ139*100)</f>
        <v>0</v>
      </c>
      <c r="DM139" s="833"/>
      <c r="DN139" s="833"/>
      <c r="DO139" s="723">
        <f>IF(DM139=0,0,(DN139-DM139)/DM139*100)</f>
        <v>0</v>
      </c>
      <c r="DP139" s="833"/>
      <c r="DQ139" s="833"/>
      <c r="DR139" s="723">
        <f>IF(DP139=0,0,(DQ139-DP139)/DP139*100)</f>
        <v>0</v>
      </c>
      <c r="DS139" s="833"/>
      <c r="DT139" s="833"/>
      <c r="DU139" s="723">
        <f>IF(DS139=0,0,(DT139-DS139)/DS139*100)</f>
        <v>0</v>
      </c>
      <c r="DV139" s="833"/>
      <c r="DW139" s="833"/>
      <c r="DX139" s="723">
        <f>IF(DV139=0,0,(DW139-DV139)/DV139*100)</f>
        <v>0</v>
      </c>
      <c r="DY139" s="833"/>
      <c r="DZ139" s="833"/>
      <c r="EA139" s="723">
        <f>IF(DY139=0,0,(DZ139-DY139)/DY139*100)</f>
        <v>0</v>
      </c>
      <c r="EB139" s="833"/>
      <c r="EC139" s="833"/>
      <c r="ED139" s="723">
        <f>IF(EB139=0,0,(EC139-EB139)/EB139*100)</f>
        <v>0</v>
      </c>
      <c r="EE139" s="833"/>
      <c r="EF139" s="833"/>
      <c r="EG139" s="723">
        <f>IF(EE139=0,0,(EF139-EE139)/EE139*100)</f>
        <v>0</v>
      </c>
      <c r="EH139" s="833"/>
      <c r="EI139" s="833"/>
      <c r="EJ139" s="723">
        <f>IF(EH139=0,0,(EI139-EH139)/EH139*100)</f>
        <v>0</v>
      </c>
      <c r="EK139" s="833"/>
      <c r="EL139" s="833"/>
      <c r="EM139" s="723">
        <f>IF(EK139=0,0,(EL139-EK139)/EK139*100)</f>
        <v>0</v>
      </c>
      <c r="EN139" s="833"/>
      <c r="EO139" s="833"/>
      <c r="EP139" s="723">
        <f>IF(EN139=0,0,(EO139-EN139)/EN139*100)</f>
        <v>0</v>
      </c>
      <c r="EQ139" s="833"/>
      <c r="ER139" s="833"/>
      <c r="ES139" s="723">
        <f>IF(EQ139=0,0,(ER139-EQ139)/EQ139*100)</f>
        <v>0</v>
      </c>
      <c r="ET139" s="833"/>
      <c r="EU139" s="833"/>
      <c r="EV139" s="723">
        <f>IF(ET139=0,0,(EU139-ET139)/ET139*100)</f>
        <v>0</v>
      </c>
      <c r="EW139" s="833"/>
      <c r="EX139" s="833"/>
      <c r="EY139" s="723">
        <f>IF(EW139=0,0,(EX139-EW139)/EW139*100)</f>
        <v>0</v>
      </c>
      <c r="EZ139" s="833"/>
      <c r="FA139" s="833"/>
      <c r="FB139" s="723">
        <f>IF(EZ139=0,0,(FA139-EZ139)/EZ139*100)</f>
        <v>0</v>
      </c>
      <c r="FC139" s="833"/>
      <c r="FD139" s="833"/>
      <c r="FE139" s="723">
        <f>IF(FC139=0,0,(FD139-FC139)/FC139*100)</f>
        <v>0</v>
      </c>
      <c r="FF139" s="833"/>
      <c r="FG139" s="833"/>
      <c r="FH139" s="723">
        <f>IF(FF139=0,0,(FG139-FF139)/FF139*100)</f>
        <v>0</v>
      </c>
      <c r="FI139" s="833"/>
      <c r="FJ139" s="833"/>
      <c r="FK139" s="723">
        <f>IF(FI139=0,0,(FJ139-FI139)/FI139*100)</f>
        <v>0</v>
      </c>
      <c r="FL139" s="833"/>
      <c r="FM139" s="833"/>
      <c r="FN139" s="723">
        <f>IF(FL139=0,0,(FM139-FL139)/FL139*100)</f>
        <v>0</v>
      </c>
      <c r="FO139" s="833"/>
      <c r="FP139" s="833"/>
      <c r="FQ139" s="723">
        <f>IF(FO139=0,0,(FP139-FO139)/FO139*100)</f>
        <v>0</v>
      </c>
      <c r="FR139" s="833"/>
      <c r="FS139" s="833"/>
      <c r="FT139" s="723">
        <f>IF(FR139=0,0,(FS139-FR139)/FR139*100)</f>
        <v>0</v>
      </c>
      <c r="FU139" s="833"/>
      <c r="FV139" s="833"/>
      <c r="FW139" s="723">
        <f>IF(FU139=0,0,(FV139-FU139)/FU139*100)</f>
        <v>0</v>
      </c>
      <c r="FZ139" s="700" t="s">
        <v>1695</v>
      </c>
      <c r="GA139" s="680" t="s">
        <v>865</v>
      </c>
      <c r="GB139" s="680" cm="1">
        <f t="array" ref="GB139">GB138</f>
        <v>0</v>
      </c>
    </row>
    <row r="140" spans="1:186" ht="18.600000000000001" hidden="1" customHeight="1">
      <c r="A140" s="78"/>
      <c r="B140" s="622" t="b" cm="1">
        <f t="array" ref="B140">B139</f>
        <v>0</v>
      </c>
      <c r="C140" s="78"/>
      <c r="D140" s="78"/>
      <c r="E140" s="473">
        <v>19</v>
      </c>
      <c r="F140" s="3" t="str" cm="1">
        <f t="array" aca="1" ref="F140" ca="1">OFFSET(E140,-1,1)</f>
        <v>1</v>
      </c>
      <c r="G140" s="78"/>
      <c r="H140" s="78"/>
      <c r="I140" s="78"/>
      <c r="J140" s="78"/>
      <c r="K140" s="78"/>
      <c r="L140" s="78"/>
      <c r="M140" s="78"/>
      <c r="N140" s="78"/>
      <c r="O140" s="78"/>
      <c r="P140" s="78"/>
      <c r="Q140" s="78"/>
      <c r="R140" s="78"/>
      <c r="S140" s="78"/>
      <c r="T140" s="365" t="b" cm="1">
        <f t="array" aca="1" ref="T140" ca="1">T139</f>
        <v>0</v>
      </c>
      <c r="U140" s="78"/>
      <c r="V140" s="78"/>
      <c r="W140" s="78"/>
      <c r="X140" s="1094"/>
      <c r="Y140" s="1094"/>
      <c r="Z140" s="1064"/>
      <c r="AA140" s="1049"/>
      <c r="AB140" s="944"/>
      <c r="AC140" s="594"/>
      <c r="AD140" s="729"/>
      <c r="AE140" s="730"/>
      <c r="AF140" s="730"/>
      <c r="AG140" s="729"/>
      <c r="AH140" s="730"/>
      <c r="AI140" s="730"/>
      <c r="AJ140" s="729"/>
      <c r="AK140" s="730"/>
      <c r="AL140" s="730"/>
      <c r="AM140" s="729"/>
      <c r="AN140" s="730"/>
      <c r="AO140" s="730"/>
      <c r="AP140" s="729"/>
      <c r="AQ140" s="730"/>
      <c r="AR140" s="730"/>
      <c r="AS140" s="729"/>
      <c r="AT140" s="730"/>
      <c r="AU140" s="730"/>
      <c r="AV140" s="729"/>
      <c r="AW140" s="730"/>
      <c r="AX140" s="730"/>
      <c r="AY140" s="729"/>
      <c r="AZ140" s="730"/>
      <c r="BA140" s="730"/>
      <c r="BB140" s="729"/>
      <c r="BC140" s="730"/>
      <c r="BD140" s="730"/>
      <c r="BE140" s="729"/>
      <c r="BF140" s="730"/>
      <c r="BG140" s="730"/>
      <c r="BH140" s="729"/>
      <c r="BI140" s="730"/>
      <c r="BJ140" s="730"/>
      <c r="BK140" s="729"/>
      <c r="BL140" s="730"/>
      <c r="BM140" s="730"/>
      <c r="BN140" s="729"/>
      <c r="BO140" s="730"/>
      <c r="BP140" s="730"/>
      <c r="BQ140" s="729"/>
      <c r="BR140" s="730"/>
      <c r="BS140" s="730"/>
      <c r="BT140" s="729"/>
      <c r="BU140" s="730"/>
      <c r="BV140" s="730"/>
      <c r="BW140" s="729"/>
      <c r="BX140" s="730"/>
      <c r="BY140" s="730"/>
      <c r="BZ140" s="729"/>
      <c r="CA140" s="730"/>
      <c r="CB140" s="730"/>
      <c r="CC140" s="729"/>
      <c r="CD140" s="730"/>
      <c r="CE140" s="730"/>
      <c r="CF140" s="729"/>
      <c r="CG140" s="730"/>
      <c r="CH140" s="730"/>
      <c r="CI140" s="729"/>
      <c r="CJ140" s="730"/>
      <c r="CK140" s="730"/>
      <c r="CL140" s="729"/>
      <c r="CM140" s="730"/>
      <c r="CN140" s="730"/>
      <c r="CO140" s="729"/>
      <c r="CP140" s="730"/>
      <c r="CQ140" s="730"/>
      <c r="CR140" s="729"/>
      <c r="CS140" s="730"/>
      <c r="CT140" s="730"/>
      <c r="CU140" s="729"/>
      <c r="CV140" s="730"/>
      <c r="CW140" s="730"/>
      <c r="CX140" s="729"/>
      <c r="CY140" s="730"/>
      <c r="CZ140" s="730"/>
      <c r="DA140" s="729"/>
      <c r="DB140" s="730"/>
      <c r="DC140" s="730"/>
      <c r="DD140" s="729"/>
      <c r="DE140" s="730"/>
      <c r="DF140" s="730"/>
      <c r="DG140" s="729"/>
      <c r="DH140" s="730"/>
      <c r="DI140" s="730"/>
      <c r="DJ140" s="729"/>
      <c r="DK140" s="730"/>
      <c r="DL140" s="730"/>
      <c r="DM140" s="729"/>
      <c r="DN140" s="730"/>
      <c r="DO140" s="730"/>
      <c r="DP140" s="729"/>
      <c r="DQ140" s="730"/>
      <c r="DR140" s="730"/>
      <c r="DS140" s="729"/>
      <c r="DT140" s="730"/>
      <c r="DU140" s="730"/>
      <c r="DV140" s="729"/>
      <c r="DW140" s="730"/>
      <c r="DX140" s="730"/>
      <c r="DY140" s="729"/>
      <c r="DZ140" s="730"/>
      <c r="EA140" s="730"/>
      <c r="EB140" s="729"/>
      <c r="EC140" s="730"/>
      <c r="ED140" s="730"/>
      <c r="EE140" s="729"/>
      <c r="EF140" s="730"/>
      <c r="EG140" s="730"/>
      <c r="EH140" s="729"/>
      <c r="EI140" s="730"/>
      <c r="EJ140" s="730"/>
      <c r="EK140" s="729"/>
      <c r="EL140" s="730"/>
      <c r="EM140" s="730"/>
      <c r="EN140" s="729"/>
      <c r="EO140" s="730"/>
      <c r="EP140" s="730"/>
      <c r="EQ140" s="729"/>
      <c r="ER140" s="730"/>
      <c r="ES140" s="730"/>
      <c r="ET140" s="729"/>
      <c r="EU140" s="730"/>
      <c r="EV140" s="730"/>
      <c r="EW140" s="729"/>
      <c r="EX140" s="730"/>
      <c r="EY140" s="730"/>
      <c r="EZ140" s="729"/>
      <c r="FA140" s="730"/>
      <c r="FB140" s="730"/>
      <c r="FC140" s="729"/>
      <c r="FD140" s="730"/>
      <c r="FE140" s="730"/>
      <c r="FF140" s="729"/>
      <c r="FG140" s="730"/>
      <c r="FH140" s="730"/>
      <c r="FI140" s="729"/>
      <c r="FJ140" s="730"/>
      <c r="FK140" s="730"/>
      <c r="FL140" s="729"/>
      <c r="FM140" s="730"/>
      <c r="FN140" s="730"/>
      <c r="FO140" s="729"/>
      <c r="FP140" s="730"/>
      <c r="FQ140" s="730"/>
      <c r="FR140" s="729"/>
      <c r="FS140" s="730"/>
      <c r="FT140" s="730"/>
      <c r="FU140" s="729"/>
      <c r="FV140" s="730"/>
      <c r="FW140" s="731"/>
      <c r="GA140" s="680" t="s">
        <v>225</v>
      </c>
      <c r="GB140" s="680" cm="1">
        <f t="array" ref="GB140">GB139</f>
        <v>0</v>
      </c>
    </row>
    <row r="141" spans="1:186" ht="18.600000000000001" hidden="1" customHeight="1">
      <c r="A141" s="78"/>
      <c r="B141" s="622" t="b" cm="1">
        <f t="array" ref="B141">B140</f>
        <v>0</v>
      </c>
      <c r="C141" s="78"/>
      <c r="D141" s="78"/>
      <c r="E141" s="473">
        <v>19</v>
      </c>
      <c r="F141" s="3" t="str" cm="1">
        <f t="array" aca="1" ref="F141" ca="1">OFFSET(E141,-1,1)</f>
        <v>1</v>
      </c>
      <c r="G141" s="78"/>
      <c r="H141" s="78"/>
      <c r="I141" s="78"/>
      <c r="J141" s="78"/>
      <c r="K141" s="78"/>
      <c r="L141" s="78"/>
      <c r="M141" s="78"/>
      <c r="N141" s="78"/>
      <c r="O141" s="78"/>
      <c r="P141" s="78"/>
      <c r="Q141" s="78"/>
      <c r="R141" s="78"/>
      <c r="S141" s="78"/>
      <c r="T141" s="365" t="b" cm="1">
        <f t="array" aca="1" ref="T141" ca="1">T140</f>
        <v>0</v>
      </c>
      <c r="U141" s="78"/>
      <c r="V141" s="78"/>
      <c r="W141" s="78"/>
      <c r="X141" s="1094"/>
      <c r="Y141" s="1094"/>
      <c r="Z141" s="1064"/>
      <c r="AA141" s="1049"/>
      <c r="AB141" s="124" t="s">
        <v>1657</v>
      </c>
      <c r="AC141" s="31" t="s">
        <v>1624</v>
      </c>
      <c r="AD141" s="833"/>
      <c r="AE141" s="833"/>
      <c r="AF141" s="723">
        <f>IF(AD141=0,0,(AE141-AD141)/AD141*100)</f>
        <v>0</v>
      </c>
      <c r="AG141" s="833"/>
      <c r="AH141" s="833"/>
      <c r="AI141" s="723">
        <f>IF(AG141=0,0,(AH141-AG141)/AG141*100)</f>
        <v>0</v>
      </c>
      <c r="AJ141" s="833"/>
      <c r="AK141" s="833"/>
      <c r="AL141" s="723">
        <f>IF(AJ141=0,0,(AK141-AJ141)/AJ141*100)</f>
        <v>0</v>
      </c>
      <c r="AM141" s="833"/>
      <c r="AN141" s="833"/>
      <c r="AO141" s="723">
        <f>IF(AM141=0,0,(AN141-AM141)/AM141*100)</f>
        <v>0</v>
      </c>
      <c r="AP141" s="833"/>
      <c r="AQ141" s="833"/>
      <c r="AR141" s="723">
        <f>IF(AP141=0,0,(AQ141-AP141)/AP141*100)</f>
        <v>0</v>
      </c>
      <c r="AS141" s="833"/>
      <c r="AT141" s="833"/>
      <c r="AU141" s="723">
        <f>IF(AS141=0,0,(AT141-AS141)/AS141*100)</f>
        <v>0</v>
      </c>
      <c r="AV141" s="833"/>
      <c r="AW141" s="833"/>
      <c r="AX141" s="723">
        <f>IF(AV141=0,0,(AW141-AV141)/AV141*100)</f>
        <v>0</v>
      </c>
      <c r="AY141" s="833"/>
      <c r="AZ141" s="833"/>
      <c r="BA141" s="723">
        <f>IF(AY141=0,0,(AZ141-AY141)/AY141*100)</f>
        <v>0</v>
      </c>
      <c r="BB141" s="833"/>
      <c r="BC141" s="833"/>
      <c r="BD141" s="723">
        <f>IF(BB141=0,0,(BC141-BB141)/BB141*100)</f>
        <v>0</v>
      </c>
      <c r="BE141" s="833"/>
      <c r="BF141" s="833"/>
      <c r="BG141" s="723">
        <f>IF(BE141=0,0,(BF141-BE141)/BE141*100)</f>
        <v>0</v>
      </c>
      <c r="BH141" s="833"/>
      <c r="BI141" s="833"/>
      <c r="BJ141" s="723">
        <f>IF(BH141=0,0,(BI141-BH141)/BH141*100)</f>
        <v>0</v>
      </c>
      <c r="BK141" s="833"/>
      <c r="BL141" s="833"/>
      <c r="BM141" s="723">
        <f>IF(BK141=0,0,(BL141-BK141)/BK141*100)</f>
        <v>0</v>
      </c>
      <c r="BN141" s="833"/>
      <c r="BO141" s="833"/>
      <c r="BP141" s="723">
        <f>IF(BN141=0,0,(BO141-BN141)/BN141*100)</f>
        <v>0</v>
      </c>
      <c r="BQ141" s="833"/>
      <c r="BR141" s="833"/>
      <c r="BS141" s="723">
        <f>IF(BQ141=0,0,(BR141-BQ141)/BQ141*100)</f>
        <v>0</v>
      </c>
      <c r="BT141" s="833"/>
      <c r="BU141" s="833"/>
      <c r="BV141" s="723">
        <f>IF(BT141=0,0,(BU141-BT141)/BT141*100)</f>
        <v>0</v>
      </c>
      <c r="BW141" s="833"/>
      <c r="BX141" s="833"/>
      <c r="BY141" s="723">
        <f>IF(BW141=0,0,(BX141-BW141)/BW141*100)</f>
        <v>0</v>
      </c>
      <c r="BZ141" s="833"/>
      <c r="CA141" s="833"/>
      <c r="CB141" s="723">
        <f>IF(BZ141=0,0,(CA141-BZ141)/BZ141*100)</f>
        <v>0</v>
      </c>
      <c r="CC141" s="833"/>
      <c r="CD141" s="833"/>
      <c r="CE141" s="723">
        <f>IF(CC141=0,0,(CD141-CC141)/CC141*100)</f>
        <v>0</v>
      </c>
      <c r="CF141" s="833"/>
      <c r="CG141" s="833"/>
      <c r="CH141" s="723">
        <f>IF(CF141=0,0,(CG141-CF141)/CF141*100)</f>
        <v>0</v>
      </c>
      <c r="CI141" s="833"/>
      <c r="CJ141" s="833"/>
      <c r="CK141" s="723">
        <f>IF(CI141=0,0,(CJ141-CI141)/CI141*100)</f>
        <v>0</v>
      </c>
      <c r="CL141" s="833"/>
      <c r="CM141" s="833"/>
      <c r="CN141" s="723">
        <f>IF(CL141=0,0,(CM141-CL141)/CL141*100)</f>
        <v>0</v>
      </c>
      <c r="CO141" s="833"/>
      <c r="CP141" s="833"/>
      <c r="CQ141" s="723">
        <f>IF(CO141=0,0,(CP141-CO141)/CO141*100)</f>
        <v>0</v>
      </c>
      <c r="CR141" s="833"/>
      <c r="CS141" s="833"/>
      <c r="CT141" s="723">
        <f>IF(CR141=0,0,(CS141-CR141)/CR141*100)</f>
        <v>0</v>
      </c>
      <c r="CU141" s="833"/>
      <c r="CV141" s="833"/>
      <c r="CW141" s="723">
        <f>IF(CU141=0,0,(CV141-CU141)/CU141*100)</f>
        <v>0</v>
      </c>
      <c r="CX141" s="833"/>
      <c r="CY141" s="833"/>
      <c r="CZ141" s="723">
        <f>IF(CX141=0,0,(CY141-CX141)/CX141*100)</f>
        <v>0</v>
      </c>
      <c r="DA141" s="833"/>
      <c r="DB141" s="833"/>
      <c r="DC141" s="723">
        <f>IF(DA141=0,0,(DB141-DA141)/DA141*100)</f>
        <v>0</v>
      </c>
      <c r="DD141" s="833"/>
      <c r="DE141" s="833"/>
      <c r="DF141" s="723">
        <f>IF(DD141=0,0,(DE141-DD141)/DD141*100)</f>
        <v>0</v>
      </c>
      <c r="DG141" s="833"/>
      <c r="DH141" s="833"/>
      <c r="DI141" s="723">
        <f>IF(DG141=0,0,(DH141-DG141)/DG141*100)</f>
        <v>0</v>
      </c>
      <c r="DJ141" s="833"/>
      <c r="DK141" s="833"/>
      <c r="DL141" s="723">
        <f>IF(DJ141=0,0,(DK141-DJ141)/DJ141*100)</f>
        <v>0</v>
      </c>
      <c r="DM141" s="833"/>
      <c r="DN141" s="833"/>
      <c r="DO141" s="723">
        <f>IF(DM141=0,0,(DN141-DM141)/DM141*100)</f>
        <v>0</v>
      </c>
      <c r="DP141" s="833"/>
      <c r="DQ141" s="833"/>
      <c r="DR141" s="723">
        <f>IF(DP141=0,0,(DQ141-DP141)/DP141*100)</f>
        <v>0</v>
      </c>
      <c r="DS141" s="833"/>
      <c r="DT141" s="833"/>
      <c r="DU141" s="723">
        <f>IF(DS141=0,0,(DT141-DS141)/DS141*100)</f>
        <v>0</v>
      </c>
      <c r="DV141" s="833"/>
      <c r="DW141" s="833"/>
      <c r="DX141" s="723">
        <f>IF(DV141=0,0,(DW141-DV141)/DV141*100)</f>
        <v>0</v>
      </c>
      <c r="DY141" s="833"/>
      <c r="DZ141" s="833"/>
      <c r="EA141" s="723">
        <f>IF(DY141=0,0,(DZ141-DY141)/DY141*100)</f>
        <v>0</v>
      </c>
      <c r="EB141" s="833"/>
      <c r="EC141" s="833"/>
      <c r="ED141" s="723">
        <f>IF(EB141=0,0,(EC141-EB141)/EB141*100)</f>
        <v>0</v>
      </c>
      <c r="EE141" s="833"/>
      <c r="EF141" s="833"/>
      <c r="EG141" s="723">
        <f>IF(EE141=0,0,(EF141-EE141)/EE141*100)</f>
        <v>0</v>
      </c>
      <c r="EH141" s="833"/>
      <c r="EI141" s="833"/>
      <c r="EJ141" s="723">
        <f>IF(EH141=0,0,(EI141-EH141)/EH141*100)</f>
        <v>0</v>
      </c>
      <c r="EK141" s="833"/>
      <c r="EL141" s="833"/>
      <c r="EM141" s="723">
        <f>IF(EK141=0,0,(EL141-EK141)/EK141*100)</f>
        <v>0</v>
      </c>
      <c r="EN141" s="833"/>
      <c r="EO141" s="833"/>
      <c r="EP141" s="723">
        <f>IF(EN141=0,0,(EO141-EN141)/EN141*100)</f>
        <v>0</v>
      </c>
      <c r="EQ141" s="833"/>
      <c r="ER141" s="833"/>
      <c r="ES141" s="723">
        <f>IF(EQ141=0,0,(ER141-EQ141)/EQ141*100)</f>
        <v>0</v>
      </c>
      <c r="ET141" s="833"/>
      <c r="EU141" s="833"/>
      <c r="EV141" s="723">
        <f>IF(ET141=0,0,(EU141-ET141)/ET141*100)</f>
        <v>0</v>
      </c>
      <c r="EW141" s="833"/>
      <c r="EX141" s="833"/>
      <c r="EY141" s="723">
        <f>IF(EW141=0,0,(EX141-EW141)/EW141*100)</f>
        <v>0</v>
      </c>
      <c r="EZ141" s="833"/>
      <c r="FA141" s="833"/>
      <c r="FB141" s="723">
        <f>IF(EZ141=0,0,(FA141-EZ141)/EZ141*100)</f>
        <v>0</v>
      </c>
      <c r="FC141" s="833"/>
      <c r="FD141" s="833"/>
      <c r="FE141" s="723">
        <f>IF(FC141=0,0,(FD141-FC141)/FC141*100)</f>
        <v>0</v>
      </c>
      <c r="FF141" s="833"/>
      <c r="FG141" s="833"/>
      <c r="FH141" s="723">
        <f>IF(FF141=0,0,(FG141-FF141)/FF141*100)</f>
        <v>0</v>
      </c>
      <c r="FI141" s="833"/>
      <c r="FJ141" s="833"/>
      <c r="FK141" s="723">
        <f>IF(FI141=0,0,(FJ141-FI141)/FI141*100)</f>
        <v>0</v>
      </c>
      <c r="FL141" s="833"/>
      <c r="FM141" s="833"/>
      <c r="FN141" s="723">
        <f>IF(FL141=0,0,(FM141-FL141)/FL141*100)</f>
        <v>0</v>
      </c>
      <c r="FO141" s="833"/>
      <c r="FP141" s="833"/>
      <c r="FQ141" s="723">
        <f>IF(FO141=0,0,(FP141-FO141)/FO141*100)</f>
        <v>0</v>
      </c>
      <c r="FR141" s="833"/>
      <c r="FS141" s="833"/>
      <c r="FT141" s="723">
        <f>IF(FR141=0,0,(FS141-FR141)/FR141*100)</f>
        <v>0</v>
      </c>
      <c r="FU141" s="833"/>
      <c r="FV141" s="833"/>
      <c r="FW141" s="723">
        <f>IF(FU141=0,0,(FV141-FU141)/FU141*100)</f>
        <v>0</v>
      </c>
      <c r="FZ141" s="680" t="s">
        <v>1696</v>
      </c>
      <c r="GA141" s="680" t="s">
        <v>865</v>
      </c>
      <c r="GB141" s="680" cm="1">
        <f t="array" ref="GB141">GB140</f>
        <v>0</v>
      </c>
    </row>
    <row r="142" spans="1:186" ht="18.600000000000001" hidden="1" customHeight="1">
      <c r="A142" s="78"/>
      <c r="B142" s="622" t="b" cm="1">
        <f t="array" ref="B142">B141</f>
        <v>0</v>
      </c>
      <c r="C142" s="78"/>
      <c r="D142" s="78"/>
      <c r="E142" s="473">
        <v>19</v>
      </c>
      <c r="F142" s="3" t="str" cm="1">
        <f t="array" aca="1" ref="F142" ca="1">OFFSET(E142,-1,1)</f>
        <v>1</v>
      </c>
      <c r="G142" s="78"/>
      <c r="H142" s="78"/>
      <c r="I142" s="78"/>
      <c r="J142" s="78"/>
      <c r="K142" s="78"/>
      <c r="L142" s="78"/>
      <c r="M142" s="78"/>
      <c r="N142" s="78"/>
      <c r="O142" s="78"/>
      <c r="P142" s="78"/>
      <c r="Q142" s="78"/>
      <c r="R142" s="78"/>
      <c r="S142" s="78"/>
      <c r="T142" s="365" t="b" cm="1">
        <f t="array" aca="1" ref="T142" ca="1">T141</f>
        <v>0</v>
      </c>
      <c r="U142" s="78"/>
      <c r="V142" s="78"/>
      <c r="W142" s="78"/>
      <c r="X142" s="1094"/>
      <c r="Y142" s="1094"/>
      <c r="Z142" s="1064"/>
      <c r="AA142" s="1049"/>
      <c r="AB142" s="124" t="str">
        <f>"ставка платы за "&amp;IF(Q98="Водоснабжение","потребление 1 куб.м холодной воды","объем принятых сточных вод")</f>
        <v>ставка платы за объем принятых сточных вод</v>
      </c>
      <c r="AC142" s="31" t="s">
        <v>1624</v>
      </c>
      <c r="AD142" s="833"/>
      <c r="AE142" s="833"/>
      <c r="AF142" s="723">
        <f>IF(AD142=0,0,(AE142-AD142)/AD142*100)</f>
        <v>0</v>
      </c>
      <c r="AG142" s="833"/>
      <c r="AH142" s="833"/>
      <c r="AI142" s="723">
        <f>IF(AG142=0,0,(AH142-AG142)/AG142*100)</f>
        <v>0</v>
      </c>
      <c r="AJ142" s="833"/>
      <c r="AK142" s="833"/>
      <c r="AL142" s="723">
        <f>IF(AJ142=0,0,(AK142-AJ142)/AJ142*100)</f>
        <v>0</v>
      </c>
      <c r="AM142" s="833"/>
      <c r="AN142" s="833"/>
      <c r="AO142" s="723">
        <f>IF(AM142=0,0,(AN142-AM142)/AM142*100)</f>
        <v>0</v>
      </c>
      <c r="AP142" s="833"/>
      <c r="AQ142" s="833"/>
      <c r="AR142" s="723">
        <f>IF(AP142=0,0,(AQ142-AP142)/AP142*100)</f>
        <v>0</v>
      </c>
      <c r="AS142" s="833"/>
      <c r="AT142" s="833"/>
      <c r="AU142" s="723">
        <f>IF(AS142=0,0,(AT142-AS142)/AS142*100)</f>
        <v>0</v>
      </c>
      <c r="AV142" s="833"/>
      <c r="AW142" s="833"/>
      <c r="AX142" s="723">
        <f>IF(AV142=0,0,(AW142-AV142)/AV142*100)</f>
        <v>0</v>
      </c>
      <c r="AY142" s="833"/>
      <c r="AZ142" s="833"/>
      <c r="BA142" s="723">
        <f>IF(AY142=0,0,(AZ142-AY142)/AY142*100)</f>
        <v>0</v>
      </c>
      <c r="BB142" s="833"/>
      <c r="BC142" s="833"/>
      <c r="BD142" s="723">
        <f>IF(BB142=0,0,(BC142-BB142)/BB142*100)</f>
        <v>0</v>
      </c>
      <c r="BE142" s="833"/>
      <c r="BF142" s="833"/>
      <c r="BG142" s="723">
        <f>IF(BE142=0,0,(BF142-BE142)/BE142*100)</f>
        <v>0</v>
      </c>
      <c r="BH142" s="833"/>
      <c r="BI142" s="833"/>
      <c r="BJ142" s="723">
        <f>IF(BH142=0,0,(BI142-BH142)/BH142*100)</f>
        <v>0</v>
      </c>
      <c r="BK142" s="833"/>
      <c r="BL142" s="833"/>
      <c r="BM142" s="723">
        <f>IF(BK142=0,0,(BL142-BK142)/BK142*100)</f>
        <v>0</v>
      </c>
      <c r="BN142" s="833"/>
      <c r="BO142" s="833"/>
      <c r="BP142" s="723">
        <f>IF(BN142=0,0,(BO142-BN142)/BN142*100)</f>
        <v>0</v>
      </c>
      <c r="BQ142" s="833"/>
      <c r="BR142" s="833"/>
      <c r="BS142" s="723">
        <f>IF(BQ142=0,0,(BR142-BQ142)/BQ142*100)</f>
        <v>0</v>
      </c>
      <c r="BT142" s="833"/>
      <c r="BU142" s="833"/>
      <c r="BV142" s="723">
        <f>IF(BT142=0,0,(BU142-BT142)/BT142*100)</f>
        <v>0</v>
      </c>
      <c r="BW142" s="833"/>
      <c r="BX142" s="833"/>
      <c r="BY142" s="723">
        <f>IF(BW142=0,0,(BX142-BW142)/BW142*100)</f>
        <v>0</v>
      </c>
      <c r="BZ142" s="833"/>
      <c r="CA142" s="833"/>
      <c r="CB142" s="723">
        <f>IF(BZ142=0,0,(CA142-BZ142)/BZ142*100)</f>
        <v>0</v>
      </c>
      <c r="CC142" s="833"/>
      <c r="CD142" s="833"/>
      <c r="CE142" s="723">
        <f>IF(CC142=0,0,(CD142-CC142)/CC142*100)</f>
        <v>0</v>
      </c>
      <c r="CF142" s="833"/>
      <c r="CG142" s="833"/>
      <c r="CH142" s="723">
        <f>IF(CF142=0,0,(CG142-CF142)/CF142*100)</f>
        <v>0</v>
      </c>
      <c r="CI142" s="833"/>
      <c r="CJ142" s="833"/>
      <c r="CK142" s="723">
        <f>IF(CI142=0,0,(CJ142-CI142)/CI142*100)</f>
        <v>0</v>
      </c>
      <c r="CL142" s="833"/>
      <c r="CM142" s="833"/>
      <c r="CN142" s="723">
        <f>IF(CL142=0,0,(CM142-CL142)/CL142*100)</f>
        <v>0</v>
      </c>
      <c r="CO142" s="833"/>
      <c r="CP142" s="833"/>
      <c r="CQ142" s="723">
        <f>IF(CO142=0,0,(CP142-CO142)/CO142*100)</f>
        <v>0</v>
      </c>
      <c r="CR142" s="833"/>
      <c r="CS142" s="833"/>
      <c r="CT142" s="723">
        <f>IF(CR142=0,0,(CS142-CR142)/CR142*100)</f>
        <v>0</v>
      </c>
      <c r="CU142" s="833"/>
      <c r="CV142" s="833"/>
      <c r="CW142" s="723">
        <f>IF(CU142=0,0,(CV142-CU142)/CU142*100)</f>
        <v>0</v>
      </c>
      <c r="CX142" s="833"/>
      <c r="CY142" s="833"/>
      <c r="CZ142" s="723">
        <f>IF(CX142=0,0,(CY142-CX142)/CX142*100)</f>
        <v>0</v>
      </c>
      <c r="DA142" s="833"/>
      <c r="DB142" s="833"/>
      <c r="DC142" s="723">
        <f>IF(DA142=0,0,(DB142-DA142)/DA142*100)</f>
        <v>0</v>
      </c>
      <c r="DD142" s="833"/>
      <c r="DE142" s="833"/>
      <c r="DF142" s="723">
        <f>IF(DD142=0,0,(DE142-DD142)/DD142*100)</f>
        <v>0</v>
      </c>
      <c r="DG142" s="833"/>
      <c r="DH142" s="833"/>
      <c r="DI142" s="723">
        <f>IF(DG142=0,0,(DH142-DG142)/DG142*100)</f>
        <v>0</v>
      </c>
      <c r="DJ142" s="833"/>
      <c r="DK142" s="833"/>
      <c r="DL142" s="723">
        <f>IF(DJ142=0,0,(DK142-DJ142)/DJ142*100)</f>
        <v>0</v>
      </c>
      <c r="DM142" s="833"/>
      <c r="DN142" s="833"/>
      <c r="DO142" s="723">
        <f>IF(DM142=0,0,(DN142-DM142)/DM142*100)</f>
        <v>0</v>
      </c>
      <c r="DP142" s="833"/>
      <c r="DQ142" s="833"/>
      <c r="DR142" s="723">
        <f>IF(DP142=0,0,(DQ142-DP142)/DP142*100)</f>
        <v>0</v>
      </c>
      <c r="DS142" s="833"/>
      <c r="DT142" s="833"/>
      <c r="DU142" s="723">
        <f>IF(DS142=0,0,(DT142-DS142)/DS142*100)</f>
        <v>0</v>
      </c>
      <c r="DV142" s="833"/>
      <c r="DW142" s="833"/>
      <c r="DX142" s="723">
        <f>IF(DV142=0,0,(DW142-DV142)/DV142*100)</f>
        <v>0</v>
      </c>
      <c r="DY142" s="833"/>
      <c r="DZ142" s="833"/>
      <c r="EA142" s="723">
        <f>IF(DY142=0,0,(DZ142-DY142)/DY142*100)</f>
        <v>0</v>
      </c>
      <c r="EB142" s="833"/>
      <c r="EC142" s="833"/>
      <c r="ED142" s="723">
        <f>IF(EB142=0,0,(EC142-EB142)/EB142*100)</f>
        <v>0</v>
      </c>
      <c r="EE142" s="833"/>
      <c r="EF142" s="833"/>
      <c r="EG142" s="723">
        <f>IF(EE142=0,0,(EF142-EE142)/EE142*100)</f>
        <v>0</v>
      </c>
      <c r="EH142" s="833"/>
      <c r="EI142" s="833"/>
      <c r="EJ142" s="723">
        <f>IF(EH142=0,0,(EI142-EH142)/EH142*100)</f>
        <v>0</v>
      </c>
      <c r="EK142" s="833"/>
      <c r="EL142" s="833"/>
      <c r="EM142" s="723">
        <f>IF(EK142=0,0,(EL142-EK142)/EK142*100)</f>
        <v>0</v>
      </c>
      <c r="EN142" s="833"/>
      <c r="EO142" s="833"/>
      <c r="EP142" s="723">
        <f>IF(EN142=0,0,(EO142-EN142)/EN142*100)</f>
        <v>0</v>
      </c>
      <c r="EQ142" s="833"/>
      <c r="ER142" s="833"/>
      <c r="ES142" s="723">
        <f>IF(EQ142=0,0,(ER142-EQ142)/EQ142*100)</f>
        <v>0</v>
      </c>
      <c r="ET142" s="833"/>
      <c r="EU142" s="833"/>
      <c r="EV142" s="723">
        <f>IF(ET142=0,0,(EU142-ET142)/ET142*100)</f>
        <v>0</v>
      </c>
      <c r="EW142" s="833"/>
      <c r="EX142" s="833"/>
      <c r="EY142" s="723">
        <f>IF(EW142=0,0,(EX142-EW142)/EW142*100)</f>
        <v>0</v>
      </c>
      <c r="EZ142" s="833"/>
      <c r="FA142" s="833"/>
      <c r="FB142" s="723">
        <f>IF(EZ142=0,0,(FA142-EZ142)/EZ142*100)</f>
        <v>0</v>
      </c>
      <c r="FC142" s="833"/>
      <c r="FD142" s="833"/>
      <c r="FE142" s="723">
        <f>IF(FC142=0,0,(FD142-FC142)/FC142*100)</f>
        <v>0</v>
      </c>
      <c r="FF142" s="833"/>
      <c r="FG142" s="833"/>
      <c r="FH142" s="723">
        <f>IF(FF142=0,0,(FG142-FF142)/FF142*100)</f>
        <v>0</v>
      </c>
      <c r="FI142" s="833"/>
      <c r="FJ142" s="833"/>
      <c r="FK142" s="723">
        <f>IF(FI142=0,0,(FJ142-FI142)/FI142*100)</f>
        <v>0</v>
      </c>
      <c r="FL142" s="833"/>
      <c r="FM142" s="833"/>
      <c r="FN142" s="723">
        <f>IF(FL142=0,0,(FM142-FL142)/FL142*100)</f>
        <v>0</v>
      </c>
      <c r="FO142" s="833"/>
      <c r="FP142" s="833"/>
      <c r="FQ142" s="723">
        <f>IF(FO142=0,0,(FP142-FO142)/FO142*100)</f>
        <v>0</v>
      </c>
      <c r="FR142" s="833"/>
      <c r="FS142" s="833"/>
      <c r="FT142" s="723">
        <f>IF(FR142=0,0,(FS142-FR142)/FR142*100)</f>
        <v>0</v>
      </c>
      <c r="FU142" s="833"/>
      <c r="FV142" s="833"/>
      <c r="FW142" s="723">
        <f>IF(FU142=0,0,(FV142-FU142)/FU142*100)</f>
        <v>0</v>
      </c>
      <c r="FZ142" s="680" t="s">
        <v>1697</v>
      </c>
      <c r="GA142" s="680" t="s">
        <v>865</v>
      </c>
      <c r="GB142" s="680" cm="1">
        <f t="array" ref="GB142">GB141</f>
        <v>0</v>
      </c>
    </row>
    <row r="143" spans="1:186" ht="18.600000000000001" hidden="1" customHeight="1">
      <c r="A143" s="78"/>
      <c r="B143" s="622" t="b" cm="1">
        <f t="array" ref="B143">B142</f>
        <v>0</v>
      </c>
      <c r="C143" s="78"/>
      <c r="D143" s="78"/>
      <c r="E143" s="473">
        <v>19</v>
      </c>
      <c r="F143" s="3" t="str" cm="1">
        <f t="array" aca="1" ref="F143" ca="1">OFFSET(E143,-1,1)</f>
        <v>1</v>
      </c>
      <c r="G143" s="78"/>
      <c r="H143" s="78"/>
      <c r="I143" s="78"/>
      <c r="J143" s="78"/>
      <c r="K143" s="78"/>
      <c r="L143" s="78"/>
      <c r="M143" s="78"/>
      <c r="N143" s="78"/>
      <c r="O143" s="78"/>
      <c r="P143" s="78"/>
      <c r="Q143" s="78"/>
      <c r="R143" s="78"/>
      <c r="S143" s="78"/>
      <c r="T143" s="365" t="b" cm="1">
        <f t="array" aca="1" ref="T143" ca="1">T142</f>
        <v>0</v>
      </c>
      <c r="U143" s="78"/>
      <c r="V143" s="78"/>
      <c r="W143" s="78"/>
      <c r="X143" s="1094"/>
      <c r="Y143" s="1094"/>
      <c r="Z143" s="1064"/>
      <c r="AA143" s="1049"/>
      <c r="AB143" s="124" t="str">
        <f>"объём "&amp;IF(Q98="Водоснабжение","потребления холодной воды","водоотведения")</f>
        <v>объём водоотведения</v>
      </c>
      <c r="AC143" s="31" t="s">
        <v>534</v>
      </c>
      <c r="AD143" s="849"/>
      <c r="AE143" s="849"/>
      <c r="AF143" s="724">
        <f>IF(AD143=0,0,(AE143-AD143)/AD143*100)</f>
        <v>0</v>
      </c>
      <c r="AG143" s="849"/>
      <c r="AH143" s="849"/>
      <c r="AI143" s="724">
        <f>IF(AG143=0,0,(AH143-AG143)/AG143*100)</f>
        <v>0</v>
      </c>
      <c r="AJ143" s="849"/>
      <c r="AK143" s="849"/>
      <c r="AL143" s="724">
        <f>IF(AJ143=0,0,(AK143-AJ143)/AJ143*100)</f>
        <v>0</v>
      </c>
      <c r="AM143" s="849"/>
      <c r="AN143" s="849"/>
      <c r="AO143" s="724">
        <f>IF(AM143=0,0,(AN143-AM143)/AM143*100)</f>
        <v>0</v>
      </c>
      <c r="AP143" s="849"/>
      <c r="AQ143" s="849"/>
      <c r="AR143" s="724">
        <f>IF(AP143=0,0,(AQ143-AP143)/AP143*100)</f>
        <v>0</v>
      </c>
      <c r="AS143" s="849"/>
      <c r="AT143" s="849"/>
      <c r="AU143" s="724">
        <f>IF(AS143=0,0,(AT143-AS143)/AS143*100)</f>
        <v>0</v>
      </c>
      <c r="AV143" s="849"/>
      <c r="AW143" s="849"/>
      <c r="AX143" s="724">
        <f>IF(AV143=0,0,(AW143-AV143)/AV143*100)</f>
        <v>0</v>
      </c>
      <c r="AY143" s="849"/>
      <c r="AZ143" s="849"/>
      <c r="BA143" s="724">
        <f>IF(AY143=0,0,(AZ143-AY143)/AY143*100)</f>
        <v>0</v>
      </c>
      <c r="BB143" s="849"/>
      <c r="BC143" s="849"/>
      <c r="BD143" s="724">
        <f>IF(BB143=0,0,(BC143-BB143)/BB143*100)</f>
        <v>0</v>
      </c>
      <c r="BE143" s="849"/>
      <c r="BF143" s="849"/>
      <c r="BG143" s="724">
        <f>IF(BE143=0,0,(BF143-BE143)/BE143*100)</f>
        <v>0</v>
      </c>
      <c r="BH143" s="849"/>
      <c r="BI143" s="849"/>
      <c r="BJ143" s="724">
        <f>IF(BH143=0,0,(BI143-BH143)/BH143*100)</f>
        <v>0</v>
      </c>
      <c r="BK143" s="849"/>
      <c r="BL143" s="849"/>
      <c r="BM143" s="724">
        <f>IF(BK143=0,0,(BL143-BK143)/BK143*100)</f>
        <v>0</v>
      </c>
      <c r="BN143" s="849"/>
      <c r="BO143" s="849"/>
      <c r="BP143" s="724">
        <f>IF(BN143=0,0,(BO143-BN143)/BN143*100)</f>
        <v>0</v>
      </c>
      <c r="BQ143" s="849"/>
      <c r="BR143" s="849"/>
      <c r="BS143" s="724">
        <f>IF(BQ143=0,0,(BR143-BQ143)/BQ143*100)</f>
        <v>0</v>
      </c>
      <c r="BT143" s="849"/>
      <c r="BU143" s="849"/>
      <c r="BV143" s="724">
        <f>IF(BT143=0,0,(BU143-BT143)/BT143*100)</f>
        <v>0</v>
      </c>
      <c r="BW143" s="849"/>
      <c r="BX143" s="849"/>
      <c r="BY143" s="724">
        <f>IF(BW143=0,0,(BX143-BW143)/BW143*100)</f>
        <v>0</v>
      </c>
      <c r="BZ143" s="849"/>
      <c r="CA143" s="849"/>
      <c r="CB143" s="724">
        <f>IF(BZ143=0,0,(CA143-BZ143)/BZ143*100)</f>
        <v>0</v>
      </c>
      <c r="CC143" s="849"/>
      <c r="CD143" s="849"/>
      <c r="CE143" s="724">
        <f>IF(CC143=0,0,(CD143-CC143)/CC143*100)</f>
        <v>0</v>
      </c>
      <c r="CF143" s="849"/>
      <c r="CG143" s="849"/>
      <c r="CH143" s="724">
        <f>IF(CF143=0,0,(CG143-CF143)/CF143*100)</f>
        <v>0</v>
      </c>
      <c r="CI143" s="849"/>
      <c r="CJ143" s="849"/>
      <c r="CK143" s="724">
        <f>IF(CI143=0,0,(CJ143-CI143)/CI143*100)</f>
        <v>0</v>
      </c>
      <c r="CL143" s="849"/>
      <c r="CM143" s="849"/>
      <c r="CN143" s="724">
        <f>IF(CL143=0,0,(CM143-CL143)/CL143*100)</f>
        <v>0</v>
      </c>
      <c r="CO143" s="849"/>
      <c r="CP143" s="849"/>
      <c r="CQ143" s="724">
        <f>IF(CO143=0,0,(CP143-CO143)/CO143*100)</f>
        <v>0</v>
      </c>
      <c r="CR143" s="849"/>
      <c r="CS143" s="849"/>
      <c r="CT143" s="724">
        <f>IF(CR143=0,0,(CS143-CR143)/CR143*100)</f>
        <v>0</v>
      </c>
      <c r="CU143" s="849"/>
      <c r="CV143" s="849"/>
      <c r="CW143" s="724">
        <f>IF(CU143=0,0,(CV143-CU143)/CU143*100)</f>
        <v>0</v>
      </c>
      <c r="CX143" s="849"/>
      <c r="CY143" s="849"/>
      <c r="CZ143" s="724">
        <f>IF(CX143=0,0,(CY143-CX143)/CX143*100)</f>
        <v>0</v>
      </c>
      <c r="DA143" s="849"/>
      <c r="DB143" s="849"/>
      <c r="DC143" s="724">
        <f>IF(DA143=0,0,(DB143-DA143)/DA143*100)</f>
        <v>0</v>
      </c>
      <c r="DD143" s="849"/>
      <c r="DE143" s="849"/>
      <c r="DF143" s="724">
        <f>IF(DD143=0,0,(DE143-DD143)/DD143*100)</f>
        <v>0</v>
      </c>
      <c r="DG143" s="849"/>
      <c r="DH143" s="849"/>
      <c r="DI143" s="724">
        <f>IF(DG143=0,0,(DH143-DG143)/DG143*100)</f>
        <v>0</v>
      </c>
      <c r="DJ143" s="849"/>
      <c r="DK143" s="849"/>
      <c r="DL143" s="724">
        <f>IF(DJ143=0,0,(DK143-DJ143)/DJ143*100)</f>
        <v>0</v>
      </c>
      <c r="DM143" s="849"/>
      <c r="DN143" s="849"/>
      <c r="DO143" s="724">
        <f>IF(DM143=0,0,(DN143-DM143)/DM143*100)</f>
        <v>0</v>
      </c>
      <c r="DP143" s="849"/>
      <c r="DQ143" s="849"/>
      <c r="DR143" s="724">
        <f>IF(DP143=0,0,(DQ143-DP143)/DP143*100)</f>
        <v>0</v>
      </c>
      <c r="DS143" s="849"/>
      <c r="DT143" s="849"/>
      <c r="DU143" s="724">
        <f>IF(DS143=0,0,(DT143-DS143)/DS143*100)</f>
        <v>0</v>
      </c>
      <c r="DV143" s="849"/>
      <c r="DW143" s="849"/>
      <c r="DX143" s="724">
        <f>IF(DV143=0,0,(DW143-DV143)/DV143*100)</f>
        <v>0</v>
      </c>
      <c r="DY143" s="849"/>
      <c r="DZ143" s="849"/>
      <c r="EA143" s="724">
        <f>IF(DY143=0,0,(DZ143-DY143)/DY143*100)</f>
        <v>0</v>
      </c>
      <c r="EB143" s="849"/>
      <c r="EC143" s="849"/>
      <c r="ED143" s="724">
        <f>IF(EB143=0,0,(EC143-EB143)/EB143*100)</f>
        <v>0</v>
      </c>
      <c r="EE143" s="849"/>
      <c r="EF143" s="849"/>
      <c r="EG143" s="724">
        <f>IF(EE143=0,0,(EF143-EE143)/EE143*100)</f>
        <v>0</v>
      </c>
      <c r="EH143" s="849"/>
      <c r="EI143" s="849"/>
      <c r="EJ143" s="724">
        <f>IF(EH143=0,0,(EI143-EH143)/EH143*100)</f>
        <v>0</v>
      </c>
      <c r="EK143" s="849"/>
      <c r="EL143" s="849"/>
      <c r="EM143" s="724">
        <f>IF(EK143=0,0,(EL143-EK143)/EK143*100)</f>
        <v>0</v>
      </c>
      <c r="EN143" s="849"/>
      <c r="EO143" s="849"/>
      <c r="EP143" s="724">
        <f>IF(EN143=0,0,(EO143-EN143)/EN143*100)</f>
        <v>0</v>
      </c>
      <c r="EQ143" s="849"/>
      <c r="ER143" s="849"/>
      <c r="ES143" s="724">
        <f>IF(EQ143=0,0,(ER143-EQ143)/EQ143*100)</f>
        <v>0</v>
      </c>
      <c r="ET143" s="849"/>
      <c r="EU143" s="849"/>
      <c r="EV143" s="724">
        <f>IF(ET143=0,0,(EU143-ET143)/ET143*100)</f>
        <v>0</v>
      </c>
      <c r="EW143" s="849"/>
      <c r="EX143" s="849"/>
      <c r="EY143" s="724">
        <f>IF(EW143=0,0,(EX143-EW143)/EW143*100)</f>
        <v>0</v>
      </c>
      <c r="EZ143" s="849"/>
      <c r="FA143" s="849"/>
      <c r="FB143" s="724">
        <f>IF(EZ143=0,0,(FA143-EZ143)/EZ143*100)</f>
        <v>0</v>
      </c>
      <c r="FC143" s="849"/>
      <c r="FD143" s="849"/>
      <c r="FE143" s="724">
        <f>IF(FC143=0,0,(FD143-FC143)/FC143*100)</f>
        <v>0</v>
      </c>
      <c r="FF143" s="849"/>
      <c r="FG143" s="849"/>
      <c r="FH143" s="724">
        <f>IF(FF143=0,0,(FG143-FF143)/FF143*100)</f>
        <v>0</v>
      </c>
      <c r="FI143" s="849"/>
      <c r="FJ143" s="849"/>
      <c r="FK143" s="724">
        <f>IF(FI143=0,0,(FJ143-FI143)/FI143*100)</f>
        <v>0</v>
      </c>
      <c r="FL143" s="849"/>
      <c r="FM143" s="849"/>
      <c r="FN143" s="724">
        <f>IF(FL143=0,0,(FM143-FL143)/FL143*100)</f>
        <v>0</v>
      </c>
      <c r="FO143" s="849"/>
      <c r="FP143" s="849"/>
      <c r="FQ143" s="724">
        <f>IF(FO143=0,0,(FP143-FO143)/FO143*100)</f>
        <v>0</v>
      </c>
      <c r="FR143" s="849"/>
      <c r="FS143" s="849"/>
      <c r="FT143" s="724">
        <f>IF(FR143=0,0,(FS143-FR143)/FR143*100)</f>
        <v>0</v>
      </c>
      <c r="FU143" s="849"/>
      <c r="FV143" s="849"/>
      <c r="FW143" s="724">
        <f>IF(FU143=0,0,(FV143-FU143)/FU143*100)</f>
        <v>0</v>
      </c>
      <c r="FZ143" s="680" t="s">
        <v>1698</v>
      </c>
      <c r="GA143" s="680" t="s">
        <v>865</v>
      </c>
      <c r="GB143" s="680" cm="1">
        <f t="array" ref="GB143">GB142</f>
        <v>0</v>
      </c>
    </row>
    <row r="144" spans="1:186" ht="23.25" hidden="1" customHeight="1">
      <c r="A144" s="78"/>
      <c r="B144" s="622" t="b" cm="1">
        <f t="array" ref="B144">B143</f>
        <v>0</v>
      </c>
      <c r="C144" s="78"/>
      <c r="D144" s="78"/>
      <c r="E144" s="473">
        <v>19</v>
      </c>
      <c r="F144" s="3" t="str" cm="1">
        <f t="array" aca="1" ref="F144" ca="1">OFFSET(E144,-1,1)</f>
        <v>1</v>
      </c>
      <c r="G144" s="78"/>
      <c r="H144" s="78"/>
      <c r="I144" s="78"/>
      <c r="J144" s="78"/>
      <c r="K144" s="78"/>
      <c r="L144" s="78"/>
      <c r="M144" s="78"/>
      <c r="N144" s="78"/>
      <c r="O144" s="78"/>
      <c r="P144" s="78"/>
      <c r="Q144" s="78"/>
      <c r="R144" s="78"/>
      <c r="S144" s="78"/>
      <c r="T144" s="365" t="b" cm="1">
        <f t="array" aca="1" ref="T144" ca="1">T143</f>
        <v>0</v>
      </c>
      <c r="U144" s="78"/>
      <c r="V144" s="78"/>
      <c r="W144" s="78"/>
      <c r="X144" s="1094"/>
      <c r="Y144" s="1094"/>
      <c r="Z144" s="1064"/>
      <c r="AA144" s="1049"/>
      <c r="AB144" s="124"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31" t="s">
        <v>1664</v>
      </c>
      <c r="AD144" s="833"/>
      <c r="AE144" s="833"/>
      <c r="AF144" s="723">
        <f>IF(AD144=0,0,(AE144-AD144)/AD144*100)</f>
        <v>0</v>
      </c>
      <c r="AG144" s="833"/>
      <c r="AH144" s="833"/>
      <c r="AI144" s="723">
        <f>IF(AG144=0,0,(AH144-AG144)/AG144*100)</f>
        <v>0</v>
      </c>
      <c r="AJ144" s="833"/>
      <c r="AK144" s="833"/>
      <c r="AL144" s="723">
        <f>IF(AJ144=0,0,(AK144-AJ144)/AJ144*100)</f>
        <v>0</v>
      </c>
      <c r="AM144" s="833"/>
      <c r="AN144" s="833"/>
      <c r="AO144" s="723">
        <f>IF(AM144=0,0,(AN144-AM144)/AM144*100)</f>
        <v>0</v>
      </c>
      <c r="AP144" s="833"/>
      <c r="AQ144" s="833"/>
      <c r="AR144" s="723">
        <f>IF(AP144=0,0,(AQ144-AP144)/AP144*100)</f>
        <v>0</v>
      </c>
      <c r="AS144" s="833"/>
      <c r="AT144" s="833"/>
      <c r="AU144" s="723">
        <f>IF(AS144=0,0,(AT144-AS144)/AS144*100)</f>
        <v>0</v>
      </c>
      <c r="AV144" s="833"/>
      <c r="AW144" s="833"/>
      <c r="AX144" s="723">
        <f>IF(AV144=0,0,(AW144-AV144)/AV144*100)</f>
        <v>0</v>
      </c>
      <c r="AY144" s="833"/>
      <c r="AZ144" s="833"/>
      <c r="BA144" s="723">
        <f>IF(AY144=0,0,(AZ144-AY144)/AY144*100)</f>
        <v>0</v>
      </c>
      <c r="BB144" s="833"/>
      <c r="BC144" s="833"/>
      <c r="BD144" s="723">
        <f>IF(BB144=0,0,(BC144-BB144)/BB144*100)</f>
        <v>0</v>
      </c>
      <c r="BE144" s="833"/>
      <c r="BF144" s="833"/>
      <c r="BG144" s="723">
        <f>IF(BE144=0,0,(BF144-BE144)/BE144*100)</f>
        <v>0</v>
      </c>
      <c r="BH144" s="833"/>
      <c r="BI144" s="833"/>
      <c r="BJ144" s="723">
        <f>IF(BH144=0,0,(BI144-BH144)/BH144*100)</f>
        <v>0</v>
      </c>
      <c r="BK144" s="833"/>
      <c r="BL144" s="833"/>
      <c r="BM144" s="723">
        <f>IF(BK144=0,0,(BL144-BK144)/BK144*100)</f>
        <v>0</v>
      </c>
      <c r="BN144" s="833"/>
      <c r="BO144" s="833"/>
      <c r="BP144" s="723">
        <f>IF(BN144=0,0,(BO144-BN144)/BN144*100)</f>
        <v>0</v>
      </c>
      <c r="BQ144" s="833"/>
      <c r="BR144" s="833"/>
      <c r="BS144" s="723">
        <f>IF(BQ144=0,0,(BR144-BQ144)/BQ144*100)</f>
        <v>0</v>
      </c>
      <c r="BT144" s="833"/>
      <c r="BU144" s="833"/>
      <c r="BV144" s="723">
        <f>IF(BT144=0,0,(BU144-BT144)/BT144*100)</f>
        <v>0</v>
      </c>
      <c r="BW144" s="833"/>
      <c r="BX144" s="833"/>
      <c r="BY144" s="723">
        <f>IF(BW144=0,0,(BX144-BW144)/BW144*100)</f>
        <v>0</v>
      </c>
      <c r="BZ144" s="833"/>
      <c r="CA144" s="833"/>
      <c r="CB144" s="723">
        <f>IF(BZ144=0,0,(CA144-BZ144)/BZ144*100)</f>
        <v>0</v>
      </c>
      <c r="CC144" s="833"/>
      <c r="CD144" s="833"/>
      <c r="CE144" s="723">
        <f>IF(CC144=0,0,(CD144-CC144)/CC144*100)</f>
        <v>0</v>
      </c>
      <c r="CF144" s="833"/>
      <c r="CG144" s="833"/>
      <c r="CH144" s="723">
        <f>IF(CF144=0,0,(CG144-CF144)/CF144*100)</f>
        <v>0</v>
      </c>
      <c r="CI144" s="833"/>
      <c r="CJ144" s="833"/>
      <c r="CK144" s="723">
        <f>IF(CI144=0,0,(CJ144-CI144)/CI144*100)</f>
        <v>0</v>
      </c>
      <c r="CL144" s="833"/>
      <c r="CM144" s="833"/>
      <c r="CN144" s="723">
        <f>IF(CL144=0,0,(CM144-CL144)/CL144*100)</f>
        <v>0</v>
      </c>
      <c r="CO144" s="833"/>
      <c r="CP144" s="833"/>
      <c r="CQ144" s="723">
        <f>IF(CO144=0,0,(CP144-CO144)/CO144*100)</f>
        <v>0</v>
      </c>
      <c r="CR144" s="833"/>
      <c r="CS144" s="833"/>
      <c r="CT144" s="723">
        <f>IF(CR144=0,0,(CS144-CR144)/CR144*100)</f>
        <v>0</v>
      </c>
      <c r="CU144" s="833"/>
      <c r="CV144" s="833"/>
      <c r="CW144" s="723">
        <f>IF(CU144=0,0,(CV144-CU144)/CU144*100)</f>
        <v>0</v>
      </c>
      <c r="CX144" s="833"/>
      <c r="CY144" s="833"/>
      <c r="CZ144" s="723">
        <f>IF(CX144=0,0,(CY144-CX144)/CX144*100)</f>
        <v>0</v>
      </c>
      <c r="DA144" s="833"/>
      <c r="DB144" s="833"/>
      <c r="DC144" s="723">
        <f>IF(DA144=0,0,(DB144-DA144)/DA144*100)</f>
        <v>0</v>
      </c>
      <c r="DD144" s="833"/>
      <c r="DE144" s="833"/>
      <c r="DF144" s="723">
        <f>IF(DD144=0,0,(DE144-DD144)/DD144*100)</f>
        <v>0</v>
      </c>
      <c r="DG144" s="833"/>
      <c r="DH144" s="833"/>
      <c r="DI144" s="723">
        <f>IF(DG144=0,0,(DH144-DG144)/DG144*100)</f>
        <v>0</v>
      </c>
      <c r="DJ144" s="833"/>
      <c r="DK144" s="833"/>
      <c r="DL144" s="723">
        <f>IF(DJ144=0,0,(DK144-DJ144)/DJ144*100)</f>
        <v>0</v>
      </c>
      <c r="DM144" s="833"/>
      <c r="DN144" s="833"/>
      <c r="DO144" s="723">
        <f>IF(DM144=0,0,(DN144-DM144)/DM144*100)</f>
        <v>0</v>
      </c>
      <c r="DP144" s="833"/>
      <c r="DQ144" s="833"/>
      <c r="DR144" s="723">
        <f>IF(DP144=0,0,(DQ144-DP144)/DP144*100)</f>
        <v>0</v>
      </c>
      <c r="DS144" s="833"/>
      <c r="DT144" s="833"/>
      <c r="DU144" s="723">
        <f>IF(DS144=0,0,(DT144-DS144)/DS144*100)</f>
        <v>0</v>
      </c>
      <c r="DV144" s="833"/>
      <c r="DW144" s="833"/>
      <c r="DX144" s="723">
        <f>IF(DV144=0,0,(DW144-DV144)/DV144*100)</f>
        <v>0</v>
      </c>
      <c r="DY144" s="833"/>
      <c r="DZ144" s="833"/>
      <c r="EA144" s="723">
        <f>IF(DY144=0,0,(DZ144-DY144)/DY144*100)</f>
        <v>0</v>
      </c>
      <c r="EB144" s="833"/>
      <c r="EC144" s="833"/>
      <c r="ED144" s="723">
        <f>IF(EB144=0,0,(EC144-EB144)/EB144*100)</f>
        <v>0</v>
      </c>
      <c r="EE144" s="833"/>
      <c r="EF144" s="833"/>
      <c r="EG144" s="723">
        <f>IF(EE144=0,0,(EF144-EE144)/EE144*100)</f>
        <v>0</v>
      </c>
      <c r="EH144" s="833"/>
      <c r="EI144" s="833"/>
      <c r="EJ144" s="723">
        <f>IF(EH144=0,0,(EI144-EH144)/EH144*100)</f>
        <v>0</v>
      </c>
      <c r="EK144" s="833"/>
      <c r="EL144" s="833"/>
      <c r="EM144" s="723">
        <f>IF(EK144=0,0,(EL144-EK144)/EK144*100)</f>
        <v>0</v>
      </c>
      <c r="EN144" s="833"/>
      <c r="EO144" s="833"/>
      <c r="EP144" s="723">
        <f>IF(EN144=0,0,(EO144-EN144)/EN144*100)</f>
        <v>0</v>
      </c>
      <c r="EQ144" s="833"/>
      <c r="ER144" s="833"/>
      <c r="ES144" s="723">
        <f>IF(EQ144=0,0,(ER144-EQ144)/EQ144*100)</f>
        <v>0</v>
      </c>
      <c r="ET144" s="833"/>
      <c r="EU144" s="833"/>
      <c r="EV144" s="723">
        <f>IF(ET144=0,0,(EU144-ET144)/ET144*100)</f>
        <v>0</v>
      </c>
      <c r="EW144" s="833"/>
      <c r="EX144" s="833"/>
      <c r="EY144" s="723">
        <f>IF(EW144=0,0,(EX144-EW144)/EW144*100)</f>
        <v>0</v>
      </c>
      <c r="EZ144" s="833"/>
      <c r="FA144" s="833"/>
      <c r="FB144" s="723">
        <f>IF(EZ144=0,0,(FA144-EZ144)/EZ144*100)</f>
        <v>0</v>
      </c>
      <c r="FC144" s="833"/>
      <c r="FD144" s="833"/>
      <c r="FE144" s="723">
        <f>IF(FC144=0,0,(FD144-FC144)/FC144*100)</f>
        <v>0</v>
      </c>
      <c r="FF144" s="833"/>
      <c r="FG144" s="833"/>
      <c r="FH144" s="723">
        <f>IF(FF144=0,0,(FG144-FF144)/FF144*100)</f>
        <v>0</v>
      </c>
      <c r="FI144" s="833"/>
      <c r="FJ144" s="833"/>
      <c r="FK144" s="723">
        <f>IF(FI144=0,0,(FJ144-FI144)/FI144*100)</f>
        <v>0</v>
      </c>
      <c r="FL144" s="833"/>
      <c r="FM144" s="833"/>
      <c r="FN144" s="723">
        <f>IF(FL144=0,0,(FM144-FL144)/FL144*100)</f>
        <v>0</v>
      </c>
      <c r="FO144" s="833"/>
      <c r="FP144" s="833"/>
      <c r="FQ144" s="723">
        <f>IF(FO144=0,0,(FP144-FO144)/FO144*100)</f>
        <v>0</v>
      </c>
      <c r="FR144" s="833"/>
      <c r="FS144" s="833"/>
      <c r="FT144" s="723">
        <f>IF(FR144=0,0,(FS144-FR144)/FR144*100)</f>
        <v>0</v>
      </c>
      <c r="FU144" s="833"/>
      <c r="FV144" s="833"/>
      <c r="FW144" s="723">
        <f>IF(FU144=0,0,(FV144-FU144)/FU144*100)</f>
        <v>0</v>
      </c>
      <c r="FZ144" s="680" t="s">
        <v>1699</v>
      </c>
      <c r="GA144" s="680" t="s">
        <v>865</v>
      </c>
      <c r="GB144" s="680" cm="1">
        <f t="array" ref="GB144">GB143</f>
        <v>0</v>
      </c>
    </row>
    <row r="145" spans="1:186" ht="18.600000000000001" hidden="1" customHeight="1">
      <c r="A145" s="78"/>
      <c r="B145" s="622" t="b" cm="1">
        <f t="array" ref="B145">B144</f>
        <v>0</v>
      </c>
      <c r="C145" s="78"/>
      <c r="D145" s="78"/>
      <c r="E145" s="473">
        <v>19</v>
      </c>
      <c r="F145" s="3" t="str" cm="1">
        <f t="array" aca="1" ref="F145" ca="1">OFFSET(E145,-1,1)</f>
        <v>1</v>
      </c>
      <c r="G145" s="78"/>
      <c r="H145" s="78"/>
      <c r="I145" s="78"/>
      <c r="J145" s="78"/>
      <c r="K145" s="78"/>
      <c r="L145" s="78"/>
      <c r="M145" s="78"/>
      <c r="N145" s="78"/>
      <c r="O145" s="78"/>
      <c r="P145" s="78"/>
      <c r="Q145" s="78"/>
      <c r="R145" s="78"/>
      <c r="S145" s="78"/>
      <c r="T145" s="365" t="b" cm="1">
        <f t="array" aca="1" ref="T145" ca="1">T144</f>
        <v>0</v>
      </c>
      <c r="U145" s="78"/>
      <c r="V145" s="78"/>
      <c r="W145" s="78"/>
      <c r="X145" s="1094"/>
      <c r="Y145" s="1094"/>
      <c r="Z145" s="1064"/>
      <c r="AA145" s="1049"/>
      <c r="AB145" s="124" t="s">
        <v>1667</v>
      </c>
      <c r="AC145" s="31" t="s">
        <v>1668</v>
      </c>
      <c r="AD145" s="833"/>
      <c r="AE145" s="833"/>
      <c r="AF145" s="723">
        <f>IF(AD145=0,0,(AE145-AD145)/AD145*100)</f>
        <v>0</v>
      </c>
      <c r="AG145" s="833"/>
      <c r="AH145" s="833"/>
      <c r="AI145" s="723">
        <f>IF(AG145=0,0,(AH145-AG145)/AG145*100)</f>
        <v>0</v>
      </c>
      <c r="AJ145" s="833"/>
      <c r="AK145" s="833"/>
      <c r="AL145" s="723">
        <f>IF(AJ145=0,0,(AK145-AJ145)/AJ145*100)</f>
        <v>0</v>
      </c>
      <c r="AM145" s="833"/>
      <c r="AN145" s="833"/>
      <c r="AO145" s="723">
        <f>IF(AM145=0,0,(AN145-AM145)/AM145*100)</f>
        <v>0</v>
      </c>
      <c r="AP145" s="833"/>
      <c r="AQ145" s="833"/>
      <c r="AR145" s="723">
        <f>IF(AP145=0,0,(AQ145-AP145)/AP145*100)</f>
        <v>0</v>
      </c>
      <c r="AS145" s="833"/>
      <c r="AT145" s="833"/>
      <c r="AU145" s="723">
        <f>IF(AS145=0,0,(AT145-AS145)/AS145*100)</f>
        <v>0</v>
      </c>
      <c r="AV145" s="833"/>
      <c r="AW145" s="833"/>
      <c r="AX145" s="723">
        <f>IF(AV145=0,0,(AW145-AV145)/AV145*100)</f>
        <v>0</v>
      </c>
      <c r="AY145" s="833"/>
      <c r="AZ145" s="833"/>
      <c r="BA145" s="723">
        <f>IF(AY145=0,0,(AZ145-AY145)/AY145*100)</f>
        <v>0</v>
      </c>
      <c r="BB145" s="833"/>
      <c r="BC145" s="833"/>
      <c r="BD145" s="723">
        <f>IF(BB145=0,0,(BC145-BB145)/BB145*100)</f>
        <v>0</v>
      </c>
      <c r="BE145" s="833"/>
      <c r="BF145" s="833"/>
      <c r="BG145" s="723">
        <f>IF(BE145=0,0,(BF145-BE145)/BE145*100)</f>
        <v>0</v>
      </c>
      <c r="BH145" s="833"/>
      <c r="BI145" s="833"/>
      <c r="BJ145" s="723">
        <f>IF(BH145=0,0,(BI145-BH145)/BH145*100)</f>
        <v>0</v>
      </c>
      <c r="BK145" s="833"/>
      <c r="BL145" s="833"/>
      <c r="BM145" s="723">
        <f>IF(BK145=0,0,(BL145-BK145)/BK145*100)</f>
        <v>0</v>
      </c>
      <c r="BN145" s="833"/>
      <c r="BO145" s="833"/>
      <c r="BP145" s="723">
        <f>IF(BN145=0,0,(BO145-BN145)/BN145*100)</f>
        <v>0</v>
      </c>
      <c r="BQ145" s="833"/>
      <c r="BR145" s="833"/>
      <c r="BS145" s="723">
        <f>IF(BQ145=0,0,(BR145-BQ145)/BQ145*100)</f>
        <v>0</v>
      </c>
      <c r="BT145" s="833"/>
      <c r="BU145" s="833"/>
      <c r="BV145" s="723">
        <f>IF(BT145=0,0,(BU145-BT145)/BT145*100)</f>
        <v>0</v>
      </c>
      <c r="BW145" s="833"/>
      <c r="BX145" s="833"/>
      <c r="BY145" s="723">
        <f>IF(BW145=0,0,(BX145-BW145)/BW145*100)</f>
        <v>0</v>
      </c>
      <c r="BZ145" s="833"/>
      <c r="CA145" s="833"/>
      <c r="CB145" s="723">
        <f>IF(BZ145=0,0,(CA145-BZ145)/BZ145*100)</f>
        <v>0</v>
      </c>
      <c r="CC145" s="833"/>
      <c r="CD145" s="833"/>
      <c r="CE145" s="723">
        <f>IF(CC145=0,0,(CD145-CC145)/CC145*100)</f>
        <v>0</v>
      </c>
      <c r="CF145" s="833"/>
      <c r="CG145" s="833"/>
      <c r="CH145" s="723">
        <f>IF(CF145=0,0,(CG145-CF145)/CF145*100)</f>
        <v>0</v>
      </c>
      <c r="CI145" s="833"/>
      <c r="CJ145" s="833"/>
      <c r="CK145" s="723">
        <f>IF(CI145=0,0,(CJ145-CI145)/CI145*100)</f>
        <v>0</v>
      </c>
      <c r="CL145" s="833"/>
      <c r="CM145" s="833"/>
      <c r="CN145" s="723">
        <f>IF(CL145=0,0,(CM145-CL145)/CL145*100)</f>
        <v>0</v>
      </c>
      <c r="CO145" s="833"/>
      <c r="CP145" s="833"/>
      <c r="CQ145" s="723">
        <f>IF(CO145=0,0,(CP145-CO145)/CO145*100)</f>
        <v>0</v>
      </c>
      <c r="CR145" s="833"/>
      <c r="CS145" s="833"/>
      <c r="CT145" s="723">
        <f>IF(CR145=0,0,(CS145-CR145)/CR145*100)</f>
        <v>0</v>
      </c>
      <c r="CU145" s="833"/>
      <c r="CV145" s="833"/>
      <c r="CW145" s="723">
        <f>IF(CU145=0,0,(CV145-CU145)/CU145*100)</f>
        <v>0</v>
      </c>
      <c r="CX145" s="833"/>
      <c r="CY145" s="833"/>
      <c r="CZ145" s="723">
        <f>IF(CX145=0,0,(CY145-CX145)/CX145*100)</f>
        <v>0</v>
      </c>
      <c r="DA145" s="833"/>
      <c r="DB145" s="833"/>
      <c r="DC145" s="723">
        <f>IF(DA145=0,0,(DB145-DA145)/DA145*100)</f>
        <v>0</v>
      </c>
      <c r="DD145" s="833"/>
      <c r="DE145" s="833"/>
      <c r="DF145" s="723">
        <f>IF(DD145=0,0,(DE145-DD145)/DD145*100)</f>
        <v>0</v>
      </c>
      <c r="DG145" s="833"/>
      <c r="DH145" s="833"/>
      <c r="DI145" s="723">
        <f>IF(DG145=0,0,(DH145-DG145)/DG145*100)</f>
        <v>0</v>
      </c>
      <c r="DJ145" s="833"/>
      <c r="DK145" s="833"/>
      <c r="DL145" s="723">
        <f>IF(DJ145=0,0,(DK145-DJ145)/DJ145*100)</f>
        <v>0</v>
      </c>
      <c r="DM145" s="833"/>
      <c r="DN145" s="833"/>
      <c r="DO145" s="723">
        <f>IF(DM145=0,0,(DN145-DM145)/DM145*100)</f>
        <v>0</v>
      </c>
      <c r="DP145" s="833"/>
      <c r="DQ145" s="833"/>
      <c r="DR145" s="723">
        <f>IF(DP145=0,0,(DQ145-DP145)/DP145*100)</f>
        <v>0</v>
      </c>
      <c r="DS145" s="833"/>
      <c r="DT145" s="833"/>
      <c r="DU145" s="723">
        <f>IF(DS145=0,0,(DT145-DS145)/DS145*100)</f>
        <v>0</v>
      </c>
      <c r="DV145" s="833"/>
      <c r="DW145" s="833"/>
      <c r="DX145" s="723">
        <f>IF(DV145=0,0,(DW145-DV145)/DV145*100)</f>
        <v>0</v>
      </c>
      <c r="DY145" s="833"/>
      <c r="DZ145" s="833"/>
      <c r="EA145" s="723">
        <f>IF(DY145=0,0,(DZ145-DY145)/DY145*100)</f>
        <v>0</v>
      </c>
      <c r="EB145" s="833"/>
      <c r="EC145" s="833"/>
      <c r="ED145" s="723">
        <f>IF(EB145=0,0,(EC145-EB145)/EB145*100)</f>
        <v>0</v>
      </c>
      <c r="EE145" s="833"/>
      <c r="EF145" s="833"/>
      <c r="EG145" s="723">
        <f>IF(EE145=0,0,(EF145-EE145)/EE145*100)</f>
        <v>0</v>
      </c>
      <c r="EH145" s="833"/>
      <c r="EI145" s="833"/>
      <c r="EJ145" s="723">
        <f>IF(EH145=0,0,(EI145-EH145)/EH145*100)</f>
        <v>0</v>
      </c>
      <c r="EK145" s="833"/>
      <c r="EL145" s="833"/>
      <c r="EM145" s="723">
        <f>IF(EK145=0,0,(EL145-EK145)/EK145*100)</f>
        <v>0</v>
      </c>
      <c r="EN145" s="833"/>
      <c r="EO145" s="833"/>
      <c r="EP145" s="723">
        <f>IF(EN145=0,0,(EO145-EN145)/EN145*100)</f>
        <v>0</v>
      </c>
      <c r="EQ145" s="833"/>
      <c r="ER145" s="833"/>
      <c r="ES145" s="723">
        <f>IF(EQ145=0,0,(ER145-EQ145)/EQ145*100)</f>
        <v>0</v>
      </c>
      <c r="ET145" s="833"/>
      <c r="EU145" s="833"/>
      <c r="EV145" s="723">
        <f>IF(ET145=0,0,(EU145-ET145)/ET145*100)</f>
        <v>0</v>
      </c>
      <c r="EW145" s="833"/>
      <c r="EX145" s="833"/>
      <c r="EY145" s="723">
        <f>IF(EW145=0,0,(EX145-EW145)/EW145*100)</f>
        <v>0</v>
      </c>
      <c r="EZ145" s="833"/>
      <c r="FA145" s="833"/>
      <c r="FB145" s="723">
        <f>IF(EZ145=0,0,(FA145-EZ145)/EZ145*100)</f>
        <v>0</v>
      </c>
      <c r="FC145" s="833"/>
      <c r="FD145" s="833"/>
      <c r="FE145" s="723">
        <f>IF(FC145=0,0,(FD145-FC145)/FC145*100)</f>
        <v>0</v>
      </c>
      <c r="FF145" s="833"/>
      <c r="FG145" s="833"/>
      <c r="FH145" s="723">
        <f>IF(FF145=0,0,(FG145-FF145)/FF145*100)</f>
        <v>0</v>
      </c>
      <c r="FI145" s="833"/>
      <c r="FJ145" s="833"/>
      <c r="FK145" s="723">
        <f>IF(FI145=0,0,(FJ145-FI145)/FI145*100)</f>
        <v>0</v>
      </c>
      <c r="FL145" s="833"/>
      <c r="FM145" s="833"/>
      <c r="FN145" s="723">
        <f>IF(FL145=0,0,(FM145-FL145)/FL145*100)</f>
        <v>0</v>
      </c>
      <c r="FO145" s="833"/>
      <c r="FP145" s="833"/>
      <c r="FQ145" s="723">
        <f>IF(FO145=0,0,(FP145-FO145)/FO145*100)</f>
        <v>0</v>
      </c>
      <c r="FR145" s="833"/>
      <c r="FS145" s="833"/>
      <c r="FT145" s="723">
        <f>IF(FR145=0,0,(FS145-FR145)/FR145*100)</f>
        <v>0</v>
      </c>
      <c r="FU145" s="833"/>
      <c r="FV145" s="833"/>
      <c r="FW145" s="723">
        <f>IF(FU145=0,0,(FV145-FU145)/FU145*100)</f>
        <v>0</v>
      </c>
      <c r="FZ145" s="680" t="s">
        <v>1700</v>
      </c>
      <c r="GA145" s="680" t="s">
        <v>865</v>
      </c>
      <c r="GB145" s="680" cm="1">
        <f t="array" ref="GB145">GB144</f>
        <v>0</v>
      </c>
    </row>
    <row r="146" spans="1:186" ht="14.25" hidden="1" customHeight="1">
      <c r="A146" s="78"/>
      <c r="B146" s="622" t="b" cm="1">
        <f t="array" ref="B146">B139</f>
        <v>0</v>
      </c>
      <c r="C146" s="78"/>
      <c r="D146" s="78"/>
      <c r="E146" s="473">
        <v>15</v>
      </c>
      <c r="F146" s="3" t="str" cm="1">
        <f t="array" aca="1" ref="F146" ca="1">OFFSET(E146,-1,1)</f>
        <v>1</v>
      </c>
      <c r="G146" s="78"/>
      <c r="H146" s="78"/>
      <c r="I146" s="36" t="s">
        <v>1701</v>
      </c>
      <c r="J146" s="78"/>
      <c r="K146" s="78"/>
      <c r="L146" s="78"/>
      <c r="M146" s="78"/>
      <c r="N146" s="78"/>
      <c r="O146" s="78"/>
      <c r="P146" s="78"/>
      <c r="Q146" s="78"/>
      <c r="R146" s="78"/>
      <c r="S146" s="78"/>
      <c r="T146" s="365" t="b">
        <f ca="1">F146&gt;0</f>
        <v>1</v>
      </c>
      <c r="U146" s="78"/>
      <c r="W146" s="528" t="s">
        <v>1654</v>
      </c>
      <c r="X146" s="1094"/>
      <c r="Z146" s="1064"/>
      <c r="AB146" s="191" t="s">
        <v>177</v>
      </c>
      <c r="AC146" s="195"/>
      <c r="AD146" s="725"/>
      <c r="AE146" s="725"/>
      <c r="AF146" s="725"/>
      <c r="AG146" s="725"/>
      <c r="AH146" s="725"/>
      <c r="AI146" s="725"/>
      <c r="AJ146" s="725"/>
      <c r="AK146" s="725"/>
      <c r="AL146" s="725"/>
      <c r="AM146" s="725"/>
      <c r="AN146" s="725"/>
      <c r="AO146" s="725"/>
      <c r="AP146" s="725"/>
      <c r="AQ146" s="725"/>
      <c r="AR146" s="725"/>
      <c r="AS146" s="725"/>
      <c r="AT146" s="725"/>
      <c r="AU146" s="725"/>
      <c r="AV146" s="725"/>
      <c r="AW146" s="725"/>
      <c r="AX146" s="725"/>
      <c r="AY146" s="725"/>
      <c r="AZ146" s="725"/>
      <c r="BA146" s="725"/>
      <c r="BB146" s="725"/>
      <c r="BC146" s="725"/>
      <c r="BD146" s="725"/>
      <c r="BE146" s="725"/>
      <c r="BF146" s="725"/>
      <c r="BG146" s="725"/>
      <c r="BH146" s="725"/>
      <c r="BI146" s="725"/>
      <c r="BJ146" s="725"/>
      <c r="BK146" s="725"/>
      <c r="BL146" s="725"/>
      <c r="BM146" s="725"/>
      <c r="BN146" s="725"/>
      <c r="BO146" s="725"/>
      <c r="BP146" s="725"/>
      <c r="BQ146" s="725"/>
      <c r="BR146" s="725"/>
      <c r="BS146" s="725"/>
      <c r="BT146" s="725"/>
      <c r="BU146" s="725"/>
      <c r="BV146" s="725"/>
      <c r="BW146" s="725"/>
      <c r="BX146" s="725"/>
      <c r="BY146" s="725"/>
      <c r="BZ146" s="725"/>
      <c r="CA146" s="725"/>
      <c r="CB146" s="725"/>
      <c r="CC146" s="725"/>
      <c r="CD146" s="725"/>
      <c r="CE146" s="725"/>
      <c r="CF146" s="725"/>
      <c r="CG146" s="725"/>
      <c r="CH146" s="725"/>
      <c r="CI146" s="725"/>
      <c r="CJ146" s="725"/>
      <c r="CK146" s="725"/>
      <c r="CL146" s="725"/>
      <c r="CM146" s="725"/>
      <c r="CN146" s="725"/>
      <c r="CO146" s="725"/>
      <c r="CP146" s="725"/>
      <c r="CQ146" s="725"/>
      <c r="CR146" s="725"/>
      <c r="CS146" s="725"/>
      <c r="CT146" s="725"/>
      <c r="CU146" s="725"/>
      <c r="CV146" s="725"/>
      <c r="CW146" s="725"/>
      <c r="CX146" s="725"/>
      <c r="CY146" s="725"/>
      <c r="CZ146" s="725"/>
      <c r="DA146" s="725"/>
      <c r="DB146" s="725"/>
      <c r="DC146" s="725"/>
      <c r="DD146" s="725"/>
      <c r="DE146" s="725"/>
      <c r="DF146" s="725"/>
      <c r="DG146" s="725"/>
      <c r="DH146" s="725"/>
      <c r="DI146" s="725"/>
      <c r="DJ146" s="725"/>
      <c r="DK146" s="725"/>
      <c r="DL146" s="725"/>
      <c r="DM146" s="725"/>
      <c r="DN146" s="725"/>
      <c r="DO146" s="725"/>
      <c r="DP146" s="725"/>
      <c r="DQ146" s="725"/>
      <c r="DR146" s="725"/>
      <c r="DS146" s="725"/>
      <c r="DT146" s="725"/>
      <c r="DU146" s="725"/>
      <c r="DV146" s="725"/>
      <c r="DW146" s="725"/>
      <c r="DX146" s="725"/>
      <c r="DY146" s="725"/>
      <c r="DZ146" s="725"/>
      <c r="EA146" s="725"/>
      <c r="EB146" s="725"/>
      <c r="EC146" s="725"/>
      <c r="ED146" s="725"/>
      <c r="EE146" s="725"/>
      <c r="EF146" s="725"/>
      <c r="EG146" s="725"/>
      <c r="EH146" s="725"/>
      <c r="EI146" s="725"/>
      <c r="EJ146" s="725"/>
      <c r="EK146" s="725"/>
      <c r="EL146" s="725"/>
      <c r="EM146" s="725"/>
      <c r="EN146" s="725"/>
      <c r="EO146" s="725"/>
      <c r="EP146" s="725"/>
      <c r="EQ146" s="725"/>
      <c r="ER146" s="725"/>
      <c r="ES146" s="725"/>
      <c r="ET146" s="725"/>
      <c r="EU146" s="725"/>
      <c r="EV146" s="725"/>
      <c r="EW146" s="725"/>
      <c r="EX146" s="725"/>
      <c r="EY146" s="725"/>
      <c r="EZ146" s="725"/>
      <c r="FA146" s="725"/>
      <c r="FB146" s="725"/>
      <c r="FC146" s="725"/>
      <c r="FD146" s="725"/>
      <c r="FE146" s="725"/>
      <c r="FF146" s="725"/>
      <c r="FG146" s="725"/>
      <c r="FH146" s="725"/>
      <c r="FI146" s="725"/>
      <c r="FJ146" s="725"/>
      <c r="FK146" s="725"/>
      <c r="FL146" s="725"/>
      <c r="FM146" s="725"/>
      <c r="FN146" s="725"/>
      <c r="FO146" s="725"/>
      <c r="FP146" s="725"/>
      <c r="FQ146" s="725"/>
      <c r="FR146" s="725"/>
      <c r="FS146" s="725"/>
      <c r="FT146" s="725"/>
      <c r="FU146" s="725"/>
      <c r="FV146" s="725"/>
      <c r="FW146" s="726"/>
      <c r="FZ146" s="700" t="s">
        <v>225</v>
      </c>
      <c r="GC146" s="472" t="s">
        <v>865</v>
      </c>
    </row>
    <row r="147" spans="1:186" ht="11.25" hidden="1" customHeight="1">
      <c r="A147" s="327"/>
      <c r="B147" s="622"/>
      <c r="C147" s="327"/>
      <c r="D147" s="327"/>
      <c r="E147" s="491">
        <v>0</v>
      </c>
      <c r="F147" s="774" t="str" cm="1">
        <f t="array" aca="1" ref="F147" ca="1">OFFSET(E147,-1,1)</f>
        <v>1</v>
      </c>
      <c r="G147" s="327"/>
      <c r="H147" s="327"/>
      <c r="I147" s="327"/>
      <c r="J147" s="327"/>
      <c r="K147" s="327"/>
      <c r="L147" s="327"/>
      <c r="M147" s="327"/>
      <c r="N147" s="327"/>
      <c r="O147" s="327"/>
      <c r="P147" s="327"/>
      <c r="Q147" s="327"/>
      <c r="R147" s="327"/>
      <c r="S147" s="327"/>
      <c r="T147" s="365" t="b">
        <v>0</v>
      </c>
      <c r="U147" s="327"/>
      <c r="V147" s="327"/>
      <c r="W147" s="327"/>
      <c r="X147" s="1094"/>
      <c r="Y147" s="327"/>
      <c r="Z147" s="1064"/>
      <c r="AA147" s="327"/>
      <c r="AB147"/>
      <c r="AC147" s="327"/>
      <c r="AD147" s="327"/>
      <c r="AE147" s="327"/>
      <c r="AF147" s="32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0" t="s">
        <v>225</v>
      </c>
      <c r="GA147" s="670"/>
      <c r="GB147" s="664"/>
      <c r="GC147" s="465"/>
      <c r="GD147" s="465"/>
    </row>
    <row r="148" spans="1:186" s="947" customFormat="1" ht="23.25" hidden="1" customHeight="1">
      <c r="A148" s="603"/>
      <c r="B148" s="622" t="b" cm="1">
        <f t="array" ref="B148">S92</f>
        <v>0</v>
      </c>
      <c r="C148" s="603"/>
      <c r="D148" s="603"/>
      <c r="E148" s="473">
        <v>24.5</v>
      </c>
      <c r="F148" s="3" t="str" cm="1">
        <f t="array" aca="1" ref="F148" ca="1">OFFSET(E148,-1,1)</f>
        <v>1</v>
      </c>
      <c r="G148" s="44" t="s">
        <v>1621</v>
      </c>
      <c r="H148" s="78" t="s">
        <v>461</v>
      </c>
      <c r="I148" s="78" t="s">
        <v>1702</v>
      </c>
      <c r="J148" s="603"/>
      <c r="K148" s="603"/>
      <c r="L148" s="603"/>
      <c r="M148" s="603"/>
      <c r="N148" s="603"/>
      <c r="O148" s="603"/>
      <c r="P148" s="603"/>
      <c r="Q148" s="603"/>
      <c r="R148" s="603"/>
      <c r="S148" s="78"/>
      <c r="T148" s="365" t="b" cm="1">
        <f t="array" aca="1" ref="T148" ca="1">T146</f>
        <v>1</v>
      </c>
      <c r="U148" s="603"/>
      <c r="V148" s="603"/>
      <c r="W148" s="603"/>
      <c r="X148" s="1094"/>
      <c r="Y148" s="603"/>
      <c r="Z148" s="1064"/>
      <c r="AA148" s="603"/>
      <c r="AB148" s="151" t="s">
        <v>1703</v>
      </c>
      <c r="AC148" s="166" t="s">
        <v>1624</v>
      </c>
      <c r="AD148" s="946">
        <f ca="1">IF(AND(method_reg="Метод индексации",god&lt;&gt;first_year),SUMIFS(INDEX('Калькуляция (МИ корр)'!$AJ$25:$BC$459,,MATCH(AD$8,'Калькуляция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(МИ)'!$AJ$25:$BC$459,,MATCH(AD$8,'Калькуляция (МИ)'!$AJ$8:$BC$8,0)),'Калькуляция (МИ)'!$F$25:$F$459,$F148,'Калькуляция (МИ)'!$G$25:$G$459,$G148))))</f>
        <v>83.784821899090403</v>
      </c>
      <c r="AE148" s="946">
        <f ca="1">IF(AND(method_reg="Метод индексации",god&lt;&gt;first_year),SUMIFS(INDEX('Калькуляция (МИ корр)'!$AJ$25:$BC$459,,MATCH(AE$8,'Калькуляция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(МИ)'!$AJ$25:$BC$459,,MATCH(AE$8,'Калькуляция (МИ)'!$AJ$8:$BC$8,0)),'Калькуляция (МИ)'!$F$25:$F$459,$F148,'Калькуляция (МИ)'!$G$25:$G$459,$G148))))</f>
        <v>44.960451133699998</v>
      </c>
      <c r="AF148" s="222">
        <f ca="1">IF(AD148=0,0,(AE148-AD148)/AD148*100)</f>
        <v>-46.338190957963825</v>
      </c>
      <c r="AG148" s="946">
        <f ca="1">IF(AND(method_reg="Метод индексации",god&lt;&gt;first_year),SUMIFS(INDEX('Калькуляция (МИ корр)'!$AJ$25:$BC$459,,MATCH(AG$8,'Калькуляция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(МИ)'!$AJ$25:$BC$459,,MATCH(AG$8,'Калькуляция (МИ)'!$AJ$8:$BC$8,0)),'Калькуляция (МИ)'!$F$25:$F$459,$F148,'Калькуляция (МИ)'!$G$25:$G$459,$G148))))</f>
        <v>0</v>
      </c>
      <c r="AH148" s="946">
        <f ca="1">IF(AND(method_reg="Метод индексации",god&lt;&gt;first_year),SUMIFS(INDEX('Калькуляция (МИ корр)'!$AJ$25:$BC$459,,MATCH(AH$8,'Калькуляция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(МИ)'!$AJ$25:$BC$459,,MATCH(AH$8,'Калькуляция (МИ)'!$AJ$8:$BC$8,0)),'Калькуляция (МИ)'!$F$25:$F$459,$F148,'Калькуляция (МИ)'!$G$25:$G$459,$G148))))</f>
        <v>51.518638671407331</v>
      </c>
      <c r="AI148" s="222">
        <f ca="1">IF(AG148=0,0,(AH148-AG148)/AG148*100)</f>
        <v>0</v>
      </c>
      <c r="AJ148" s="946">
        <f ca="1">IF(AND(method_reg="Метод индексации",god&lt;&gt;first_year),SUMIFS(INDEX('Калькуляция (МИ корр)'!$AJ$25:$BC$459,,MATCH(AJ$8,'Калькуляция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(МИ)'!$AJ$25:$BC$459,,MATCH(AJ$8,'Калькуляция (МИ)'!$AJ$8:$BC$8,0)),'Калькуляция (МИ)'!$F$25:$F$459,$F148,'Калькуляция (МИ)'!$G$25:$G$459,$G148))))</f>
        <v>0</v>
      </c>
      <c r="AK148" s="946">
        <f ca="1">IF(AND(method_reg="Метод индексации",god&lt;&gt;first_year),SUMIFS(INDEX('Калькуляция (МИ корр)'!$AJ$25:$BC$459,,MATCH(AK$8,'Калькуляция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(МИ)'!$AJ$25:$BC$459,,MATCH(AK$8,'Калькуляция (МИ)'!$AJ$8:$BC$8,0)),'Калькуляция (МИ)'!$F$25:$F$459,$F148,'Калькуляция (МИ)'!$G$25:$G$459,$G148))))</f>
        <v>0</v>
      </c>
      <c r="AL148" s="222">
        <f ca="1">IF(AJ148=0,0,(AK148-AJ148)/AJ148*100)</f>
        <v>0</v>
      </c>
      <c r="AM148" s="946">
        <f ca="1">IF(AND(method_reg="Метод индексации",god&lt;&gt;first_year),SUMIFS(INDEX('Калькуляция (МИ корр)'!$AJ$25:$BC$459,,MATCH(AM$8,'Калькуляция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(МИ)'!$AJ$25:$BC$459,,MATCH(AM$8,'Калькуляция (МИ)'!$AJ$8:$BC$8,0)),'Калькуляция (МИ)'!$F$25:$F$459,$F148,'Калькуляция (МИ)'!$G$25:$G$459,$G148))))</f>
        <v>0</v>
      </c>
      <c r="AN148" s="946">
        <f ca="1">IF(AND(method_reg="Метод индексации",god&lt;&gt;first_year),SUMIFS(INDEX('Калькуляция (МИ корр)'!$AJ$25:$BC$459,,MATCH(AN$8,'Калькуляция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(МИ)'!$AJ$25:$BC$459,,MATCH(AN$8,'Калькуляция (МИ)'!$AJ$8:$BC$8,0)),'Калькуляция (МИ)'!$F$25:$F$459,$F148,'Калькуляция (МИ)'!$G$25:$G$459,$G148))))</f>
        <v>0</v>
      </c>
      <c r="AO148" s="222">
        <f ca="1">IF(AM148=0,0,(AN148-AM148)/AM148*100)</f>
        <v>0</v>
      </c>
      <c r="AP148" s="946">
        <f ca="1">IF(AND(method_reg="Метод индексации",god&lt;&gt;first_year),SUMIFS(INDEX('Калькуляция (МИ корр)'!$AJ$25:$BC$459,,MATCH(AP$8,'Калькуляция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(МИ)'!$AJ$25:$BC$459,,MATCH(AP$8,'Калькуляция (МИ)'!$AJ$8:$BC$8,0)),'Калькуляция (МИ)'!$F$25:$F$459,$F148,'Калькуляция (МИ)'!$G$25:$G$459,$G148))))</f>
        <v>0</v>
      </c>
      <c r="AQ148" s="946">
        <f ca="1">IF(AND(method_reg="Метод индексации",god&lt;&gt;first_year),SUMIFS(INDEX('Калькуляция (МИ корр)'!$AJ$25:$BC$459,,MATCH(AQ$8,'Калькуляция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(МИ)'!$AJ$25:$BC$459,,MATCH(AQ$8,'Калькуляция (МИ)'!$AJ$8:$BC$8,0)),'Калькуляция (МИ)'!$F$25:$F$459,$F148,'Калькуляция (МИ)'!$G$25:$G$459,$G148))))</f>
        <v>0</v>
      </c>
      <c r="AR148" s="222">
        <f ca="1">IF(AP148=0,0,(AQ148-AP148)/AP148*100)</f>
        <v>0</v>
      </c>
      <c r="AS148" s="946">
        <f ca="1">IF(AND(method_reg="Метод индексации",god&lt;&gt;first_year),SUMIFS(INDEX('Калькуляция (МИ корр)'!$AJ$25:$BC$459,,MATCH(AS$8,'Калькуляция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(МИ)'!$AJ$25:$BC$459,,MATCH(AS$8,'Калькуляция (МИ)'!$AJ$8:$BC$8,0)),'Калькуляция (МИ)'!$F$25:$F$459,$F148,'Калькуляция (МИ)'!$G$25:$G$459,$G148))))</f>
        <v>0</v>
      </c>
      <c r="AT148" s="946">
        <f ca="1">IF(AND(method_reg="Метод индексации",god&lt;&gt;first_year),SUMIFS(INDEX('Калькуляция (МИ корр)'!$AJ$25:$BC$459,,MATCH(AT$8,'Калькуляция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(МИ)'!$AJ$25:$BC$459,,MATCH(AT$8,'Калькуляция (МИ)'!$AJ$8:$BC$8,0)),'Калькуляция (МИ)'!$F$25:$F$459,$F148,'Калькуляция (МИ)'!$G$25:$G$459,$G148))))</f>
        <v>0</v>
      </c>
      <c r="AU148" s="222">
        <f ca="1">IF(AS148=0,0,(AT148-AS148)/AS148*100)</f>
        <v>0</v>
      </c>
      <c r="AV148" s="946">
        <f ca="1">IF(AND(method_reg="Метод индексации",god&lt;&gt;first_year),SUMIFS(INDEX('Калькуляция (МИ корр)'!$AJ$25:$BC$459,,MATCH(AV$8,'Калькуляция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(МИ)'!$AJ$25:$BC$459,,MATCH(AV$8,'Калькуляция (МИ)'!$AJ$8:$BC$8,0)),'Калькуляция (МИ)'!$F$25:$F$459,$F148,'Калькуляция (МИ)'!$G$25:$G$459,$G148))))</f>
        <v>0</v>
      </c>
      <c r="AW148" s="946">
        <f ca="1">IF(AND(method_reg="Метод индексации",god&lt;&gt;first_year),SUMIFS(INDEX('Калькуляция (МИ корр)'!$AJ$25:$BC$459,,MATCH(AW$8,'Калькуляция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(МИ)'!$AJ$25:$BC$459,,MATCH(AW$8,'Калькуляция (МИ)'!$AJ$8:$BC$8,0)),'Калькуляция (МИ)'!$F$25:$F$459,$F148,'Калькуляция (МИ)'!$G$25:$G$459,$G148))))</f>
        <v>0</v>
      </c>
      <c r="AX148" s="222">
        <f ca="1">IF(AV148=0,0,(AW148-AV148)/AV148*100)</f>
        <v>0</v>
      </c>
      <c r="AY148" s="946">
        <f ca="1">IF(AND(method_reg="Метод индексации",god&lt;&gt;first_year),SUMIFS(INDEX('Калькуляция (МИ корр)'!$AJ$25:$BC$459,,MATCH(AY$8,'Калькуляция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(МИ)'!$AJ$25:$BC$459,,MATCH(AY$8,'Калькуляция (МИ)'!$AJ$8:$BC$8,0)),'Калькуляция (МИ)'!$F$25:$F$459,$F148,'Калькуляция (МИ)'!$G$25:$G$459,$G148))))</f>
        <v>0</v>
      </c>
      <c r="AZ148" s="946">
        <f ca="1">IF(AND(method_reg="Метод индексации",god&lt;&gt;first_year),SUMIFS(INDEX('Калькуляция (МИ корр)'!$AJ$25:$BC$459,,MATCH(AZ$8,'Калькуляция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(МИ)'!$AJ$25:$BC$459,,MATCH(AZ$8,'Калькуляция (МИ)'!$AJ$8:$BC$8,0)),'Калькуляция (МИ)'!$F$25:$F$459,$F148,'Калькуляция (МИ)'!$G$25:$G$459,$G148))))</f>
        <v>0</v>
      </c>
      <c r="BA148" s="222">
        <f ca="1">IF(AY148=0,0,(AZ148-AY148)/AY148*100)</f>
        <v>0</v>
      </c>
      <c r="BB148" s="946">
        <f ca="1">IF(AND(method_reg="Метод индексации",god&lt;&gt;first_year),SUMIFS(INDEX('Калькуляция (МИ корр)'!$AJ$25:$BC$459,,MATCH(BB$8,'Калькуляция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(МИ)'!$AJ$25:$BC$459,,MATCH(BB$8,'Калькуляция (МИ)'!$AJ$8:$BC$8,0)),'Калькуляция (МИ)'!$F$25:$F$459,$F148,'Калькуляция (МИ)'!$G$25:$G$459,$G148))))</f>
        <v>0</v>
      </c>
      <c r="BC148" s="946">
        <f ca="1">IF(AND(method_reg="Метод индексации",god&lt;&gt;first_year),SUMIFS(INDEX('Калькуляция (МИ корр)'!$AJ$25:$BC$459,,MATCH(BC$8,'Калькуляция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(МИ)'!$AJ$25:$BC$459,,MATCH(BC$8,'Калькуляция (МИ)'!$AJ$8:$BC$8,0)),'Калькуляция (МИ)'!$F$25:$F$459,$F148,'Калькуляция (МИ)'!$G$25:$G$459,$G148))))</f>
        <v>0</v>
      </c>
      <c r="BD148" s="222">
        <f ca="1">IF(BB148=0,0,(BC148-BB148)/BB148*100)</f>
        <v>0</v>
      </c>
      <c r="BE148" s="946">
        <f ca="1">IF(AND(method_reg="Метод индексации",god&lt;&gt;first_year),SUMIFS(INDEX('Калькуляция (МИ корр)'!$AJ$25:$BC$459,,MATCH(BE$8,'Калькуляция (МИ корр)'!$AJ$8:$BC$8,0)),'Калькуляция (МИ корр)'!$F$25:$F$459,$F148,'Калькуляция (МИ корр)'!$G$25:$G$459,$G148),IF(method_reg="Метод экономически обоснованных расходов",SUMIFS('Калькуляция (МЭОР)'!$AJ$25:$AJ$282,'Калькуляция (МЭОР)'!$F$25:$F$282,$F148,'Калькуляция (МЭОР)'!$G$25:$G$282,$G148),IF(method_reg="Метод сравнения аналогов",SUMIFS('Калькуляция (МСА)'!$AE$25:$AE$84,'Калькуляция (МСА)'!$F$25:$F$84,$F148,'Калькуляция (МСА)'!$G$25:$G$84,$G148),SUMIFS(INDEX('Калькуляция (МИ)'!$AJ$25:$BC$459,,MATCH(BE$8,'Калькуляция (МИ)'!$AJ$8:$BC$8,0)),'Калькуляция (МИ)'!$F$25:$F$459,$F148,'Калькуляция (МИ)'!$G$25:$G$459,$G148))))</f>
        <v>0</v>
      </c>
      <c r="BF148" s="946">
        <f ca="1">IF(AND(method_reg="Метод индексации",god&lt;&gt;first_year),SUMIFS(INDEX('Калькуляция (МИ корр)'!$AJ$25:$BC$459,,MATCH(BF$8,'Калькуляция (МИ корр)'!$AJ$8:$BC$8,0)),'Калькуляция (МИ корр)'!$F$25:$F$459,$F148,'Калькуляция (МИ корр)'!$G$25:$G$459,$G148),IF(method_reg="Метод экономически обоснованных расходов",SUMIFS('Калькуляция (МЭОР)'!$AK$25:$AK$282,'Калькуляция (МЭОР)'!$F$25:$F$282,$F148,'Калькуляция (МЭОР)'!$G$25:$G$282,$G148),IF(method_reg="Метод сравнения аналогов",SUMIFS('Калькуляция (МСА)'!$AF$25:$AF$84,'Калькуляция (МСА)'!$F$25:$F$84,$F148,'Калькуляция (МСА)'!$G$25:$G$84,$G148),SUMIFS(INDEX('Калькуляция (МИ)'!$AJ$25:$BC$459,,MATCH(BF$8,'Калькуляция (МИ)'!$AJ$8:$BC$8,0)),'Калькуляция (МИ)'!$F$25:$F$459,$F148,'Калькуляция (МИ)'!$G$25:$G$459,$G148))))</f>
        <v>0</v>
      </c>
      <c r="BG148" s="222">
        <f ca="1">IF(BE148=0,0,(BF148-BE148)/BE148*100)</f>
        <v>0</v>
      </c>
      <c r="BH148" s="946"/>
      <c r="BI148" s="946"/>
      <c r="BJ148" s="222">
        <f>IF(BH148=0,0,(BI148-BH148)/BH148*100)</f>
        <v>0</v>
      </c>
      <c r="BK148" s="946"/>
      <c r="BL148" s="946"/>
      <c r="BM148" s="222">
        <f>IF(BK148=0,0,(BL148-BK148)/BK148*100)</f>
        <v>0</v>
      </c>
      <c r="BN148" s="946"/>
      <c r="BO148" s="946"/>
      <c r="BP148" s="222">
        <f>IF(BN148=0,0,(BO148-BN148)/BN148*100)</f>
        <v>0</v>
      </c>
      <c r="BQ148" s="946"/>
      <c r="BR148" s="946"/>
      <c r="BS148" s="222">
        <f>IF(BQ148=0,0,(BR148-BQ148)/BQ148*100)</f>
        <v>0</v>
      </c>
      <c r="BT148" s="946"/>
      <c r="BU148" s="946"/>
      <c r="BV148" s="222">
        <f>IF(BT148=0,0,(BU148-BT148)/BT148*100)</f>
        <v>0</v>
      </c>
      <c r="BW148" s="946"/>
      <c r="BX148" s="946"/>
      <c r="BY148" s="222">
        <f>IF(BW148=0,0,(BX148-BW148)/BW148*100)</f>
        <v>0</v>
      </c>
      <c r="BZ148" s="946"/>
      <c r="CA148" s="946"/>
      <c r="CB148" s="222">
        <f>IF(BZ148=0,0,(CA148-BZ148)/BZ148*100)</f>
        <v>0</v>
      </c>
      <c r="CC148" s="946"/>
      <c r="CD148" s="946"/>
      <c r="CE148" s="222">
        <f>IF(CC148=0,0,(CD148-CC148)/CC148*100)</f>
        <v>0</v>
      </c>
      <c r="CF148" s="946"/>
      <c r="CG148" s="946"/>
      <c r="CH148" s="222">
        <f>IF(CF148=0,0,(CG148-CF148)/CF148*100)</f>
        <v>0</v>
      </c>
      <c r="CI148" s="946"/>
      <c r="CJ148" s="946"/>
      <c r="CK148" s="222">
        <f>IF(CI148=0,0,(CJ148-CI148)/CI148*100)</f>
        <v>0</v>
      </c>
      <c r="CL148" s="946"/>
      <c r="CM148" s="946"/>
      <c r="CN148" s="222">
        <f>IF(CL148=0,0,(CM148-CL148)/CL148*100)</f>
        <v>0</v>
      </c>
      <c r="CO148" s="946"/>
      <c r="CP148" s="946"/>
      <c r="CQ148" s="222">
        <f>IF(CO148=0,0,(CP148-CO148)/CO148*100)</f>
        <v>0</v>
      </c>
      <c r="CR148" s="946"/>
      <c r="CS148" s="946"/>
      <c r="CT148" s="222">
        <f>IF(CR148=0,0,(CS148-CR148)/CR148*100)</f>
        <v>0</v>
      </c>
      <c r="CU148" s="946"/>
      <c r="CV148" s="946"/>
      <c r="CW148" s="222">
        <f>IF(CU148=0,0,(CV148-CU148)/CU148*100)</f>
        <v>0</v>
      </c>
      <c r="CX148" s="946"/>
      <c r="CY148" s="946"/>
      <c r="CZ148" s="222">
        <f>IF(CX148=0,0,(CY148-CX148)/CX148*100)</f>
        <v>0</v>
      </c>
      <c r="DA148" s="946"/>
      <c r="DB148" s="946"/>
      <c r="DC148" s="222">
        <f>IF(DA148=0,0,(DB148-DA148)/DA148*100)</f>
        <v>0</v>
      </c>
      <c r="DD148" s="946"/>
      <c r="DE148" s="946"/>
      <c r="DF148" s="222">
        <f>IF(DD148=0,0,(DE148-DD148)/DD148*100)</f>
        <v>0</v>
      </c>
      <c r="DG148" s="946"/>
      <c r="DH148" s="946"/>
      <c r="DI148" s="222">
        <f>IF(DG148=0,0,(DH148-DG148)/DG148*100)</f>
        <v>0</v>
      </c>
      <c r="DJ148" s="946"/>
      <c r="DK148" s="946"/>
      <c r="DL148" s="222">
        <f>IF(DJ148=0,0,(DK148-DJ148)/DJ148*100)</f>
        <v>0</v>
      </c>
      <c r="DM148" s="946"/>
      <c r="DN148" s="946"/>
      <c r="DO148" s="222">
        <f>IF(DM148=0,0,(DN148-DM148)/DM148*100)</f>
        <v>0</v>
      </c>
      <c r="DP148" s="946"/>
      <c r="DQ148" s="946"/>
      <c r="DR148" s="222">
        <f>IF(DP148=0,0,(DQ148-DP148)/DP148*100)</f>
        <v>0</v>
      </c>
      <c r="DS148" s="946"/>
      <c r="DT148" s="946"/>
      <c r="DU148" s="222">
        <f>IF(DS148=0,0,(DT148-DS148)/DS148*100)</f>
        <v>0</v>
      </c>
      <c r="DV148" s="946"/>
      <c r="DW148" s="946"/>
      <c r="DX148" s="222">
        <f>IF(DV148=0,0,(DW148-DV148)/DV148*100)</f>
        <v>0</v>
      </c>
      <c r="DY148" s="946"/>
      <c r="DZ148" s="946"/>
      <c r="EA148" s="222">
        <f>IF(DY148=0,0,(DZ148-DY148)/DY148*100)</f>
        <v>0</v>
      </c>
      <c r="EB148" s="946"/>
      <c r="EC148" s="946"/>
      <c r="ED148" s="222">
        <f>IF(EB148=0,0,(EC148-EB148)/EB148*100)</f>
        <v>0</v>
      </c>
      <c r="EE148" s="946"/>
      <c r="EF148" s="946"/>
      <c r="EG148" s="222">
        <f>IF(EE148=0,0,(EF148-EE148)/EE148*100)</f>
        <v>0</v>
      </c>
      <c r="EH148" s="946"/>
      <c r="EI148" s="946"/>
      <c r="EJ148" s="222">
        <f>IF(EH148=0,0,(EI148-EH148)/EH148*100)</f>
        <v>0</v>
      </c>
      <c r="EK148" s="946"/>
      <c r="EL148" s="946"/>
      <c r="EM148" s="222">
        <f>IF(EK148=0,0,(EL148-EK148)/EK148*100)</f>
        <v>0</v>
      </c>
      <c r="EN148" s="946"/>
      <c r="EO148" s="946"/>
      <c r="EP148" s="222">
        <f>IF(EN148=0,0,(EO148-EN148)/EN148*100)</f>
        <v>0</v>
      </c>
      <c r="EQ148" s="946"/>
      <c r="ER148" s="946"/>
      <c r="ES148" s="222">
        <f>IF(EQ148=0,0,(ER148-EQ148)/EQ148*100)</f>
        <v>0</v>
      </c>
      <c r="ET148" s="946"/>
      <c r="EU148" s="946"/>
      <c r="EV148" s="222">
        <f>IF(ET148=0,0,(EU148-ET148)/ET148*100)</f>
        <v>0</v>
      </c>
      <c r="EW148" s="946"/>
      <c r="EX148" s="946"/>
      <c r="EY148" s="222">
        <f>IF(EW148=0,0,(EX148-EW148)/EW148*100)</f>
        <v>0</v>
      </c>
      <c r="EZ148" s="946"/>
      <c r="FA148" s="946"/>
      <c r="FB148" s="222">
        <f>IF(EZ148=0,0,(FA148-EZ148)/EZ148*100)</f>
        <v>0</v>
      </c>
      <c r="FC148" s="946"/>
      <c r="FD148" s="946"/>
      <c r="FE148" s="222">
        <f>IF(FC148=0,0,(FD148-FC148)/FC148*100)</f>
        <v>0</v>
      </c>
      <c r="FF148" s="946"/>
      <c r="FG148" s="946"/>
      <c r="FH148" s="222">
        <f>IF(FF148=0,0,(FG148-FF148)/FF148*100)</f>
        <v>0</v>
      </c>
      <c r="FI148" s="946"/>
      <c r="FJ148" s="946"/>
      <c r="FK148" s="222">
        <f>IF(FI148=0,0,(FJ148-FI148)/FI148*100)</f>
        <v>0</v>
      </c>
      <c r="FL148" s="946"/>
      <c r="FM148" s="946"/>
      <c r="FN148" s="222">
        <f>IF(FL148=0,0,(FM148-FL148)/FL148*100)</f>
        <v>0</v>
      </c>
      <c r="FO148" s="946"/>
      <c r="FP148" s="946"/>
      <c r="FQ148" s="222">
        <f>IF(FO148=0,0,(FP148-FO148)/FO148*100)</f>
        <v>0</v>
      </c>
      <c r="FR148" s="946"/>
      <c r="FS148" s="946"/>
      <c r="FT148" s="222">
        <f>IF(FR148=0,0,(FS148-FR148)/FR148*100)</f>
        <v>0</v>
      </c>
      <c r="FU148" s="946"/>
      <c r="FV148" s="946"/>
      <c r="FW148" s="222">
        <f>IF(FU148=0,0,(FV148-FU148)/FU148*100)</f>
        <v>0</v>
      </c>
      <c r="FX148" s="219"/>
      <c r="FY148" s="219"/>
      <c r="FZ148" s="700" t="s">
        <v>1704</v>
      </c>
      <c r="GA148" s="700"/>
      <c r="GB148" s="700"/>
      <c r="GC148" s="701"/>
      <c r="GD148" s="701"/>
    </row>
    <row r="149" spans="1:186" s="947" customFormat="1" ht="23.25" hidden="1" customHeight="1">
      <c r="A149" s="603"/>
      <c r="B149" s="622" t="b" cm="1">
        <f t="array" ref="B149">B148</f>
        <v>0</v>
      </c>
      <c r="C149" s="603"/>
      <c r="D149" s="603"/>
      <c r="E149" s="473">
        <v>24.5</v>
      </c>
      <c r="F149" s="3" t="str" cm="1">
        <f t="array" aca="1" ref="F149" ca="1">OFFSET(E149,-1,1)</f>
        <v>1</v>
      </c>
      <c r="G149" s="44" t="s">
        <v>1626</v>
      </c>
      <c r="H149" s="78" t="s">
        <v>461</v>
      </c>
      <c r="I149" s="78" t="s">
        <v>1705</v>
      </c>
      <c r="J149" s="603"/>
      <c r="K149" s="603"/>
      <c r="L149" s="603"/>
      <c r="M149" s="603"/>
      <c r="N149" s="603"/>
      <c r="O149" s="603"/>
      <c r="P149" s="603"/>
      <c r="Q149" s="603"/>
      <c r="R149" s="603"/>
      <c r="S149" s="78"/>
      <c r="T149" s="365" t="b" cm="1">
        <f t="array" aca="1" ref="T149" ca="1">T148</f>
        <v>1</v>
      </c>
      <c r="U149" s="603"/>
      <c r="V149" s="603"/>
      <c r="W149" s="603"/>
      <c r="X149" s="1094"/>
      <c r="Y149" s="603"/>
      <c r="Z149" s="1064"/>
      <c r="AA149" s="603"/>
      <c r="AB149" s="151" t="s">
        <v>1706</v>
      </c>
      <c r="AC149" s="166" t="s">
        <v>1624</v>
      </c>
      <c r="AD149" s="946">
        <f ca="1">IF(AND(method_reg="Метод индексации",god&lt;&gt;first_year),SUMIFS(INDEX('Калькуляция (МИ корр)'!$AJ$25:$BC$459,,MATCH(AD$8,'Калькуляция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(МИ)'!$AJ$25:$BC$459,,MATCH(AD$8,'Калькуляция (МИ)'!$AJ$8:$BC$8,0)),'Калькуляция (МИ)'!$F$25:$F$459,$F149,'Калькуляция (МИ)'!$G$25:$G$459,$G149))))</f>
        <v>83.784804402480361</v>
      </c>
      <c r="AE149" s="946">
        <f ca="1">IF(AND(method_reg="Метод индексации",god&lt;&gt;first_year),SUMIFS(INDEX('Калькуляция (МИ корр)'!$AJ$25:$BC$459,,MATCH(AE$8,'Калькуляция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(МИ)'!$AJ$25:$BC$459,,MATCH(AE$8,'Калькуляция (МИ)'!$AJ$8:$BC$8,0)),'Калькуляция (МИ)'!$F$25:$F$459,$F149,'Калькуляция (МИ)'!$G$25:$G$459,$G149))))</f>
        <v>51.518638671407331</v>
      </c>
      <c r="AF149" s="222">
        <f ca="1">IF(AD149=0,0,(AE149-AD149)/AD149*100)</f>
        <v>-38.510760944281472</v>
      </c>
      <c r="AG149" s="946">
        <f ca="1">IF(AND(method_reg="Метод индексации",god&lt;&gt;first_year),SUMIFS(INDEX('Калькуляция (МИ корр)'!$AJ$25:$BC$459,,MATCH(AG$8,'Калькуляция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(МИ)'!$AJ$25:$BC$459,,MATCH(AG$8,'Калькуляция (МИ)'!$AJ$8:$BC$8,0)),'Калькуляция (МИ)'!$F$25:$F$459,$F149,'Калькуляция (МИ)'!$G$25:$G$459,$G149))))</f>
        <v>0</v>
      </c>
      <c r="AH149" s="946">
        <f ca="1">IF(AND(method_reg="Метод индексации",god&lt;&gt;first_year),SUMIFS(INDEX('Калькуляция (МИ корр)'!$AJ$25:$BC$459,,MATCH(AH$8,'Калькуляция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(МИ)'!$AJ$25:$BC$459,,MATCH(AH$8,'Калькуляция (МИ)'!$AJ$8:$BC$8,0)),'Калькуляция (МИ)'!$F$25:$F$459,$F149,'Калькуляция (МИ)'!$G$25:$G$459,$G149))))</f>
        <v>0</v>
      </c>
      <c r="AI149" s="222">
        <f ca="1">IF(AG149=0,0,(AH149-AG149)/AG149*100)</f>
        <v>0</v>
      </c>
      <c r="AJ149" s="946">
        <f ca="1">IF(AND(method_reg="Метод индексации",god&lt;&gt;first_year),SUMIFS(INDEX('Калькуляция (МИ корр)'!$AJ$25:$BC$459,,MATCH(AJ$8,'Калькуляция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(МИ)'!$AJ$25:$BC$459,,MATCH(AJ$8,'Калькуляция (МИ)'!$AJ$8:$BC$8,0)),'Калькуляция (МИ)'!$F$25:$F$459,$F149,'Калькуляция (МИ)'!$G$25:$G$459,$G149))))</f>
        <v>0</v>
      </c>
      <c r="AK149" s="946">
        <f ca="1">IF(AND(method_reg="Метод индексации",god&lt;&gt;first_year),SUMIFS(INDEX('Калькуляция (МИ корр)'!$AJ$25:$BC$459,,MATCH(AK$8,'Калькуляция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(МИ)'!$AJ$25:$BC$459,,MATCH(AK$8,'Калькуляция (МИ)'!$AJ$8:$BC$8,0)),'Калькуляция (МИ)'!$F$25:$F$459,$F149,'Калькуляция (МИ)'!$G$25:$G$459,$G149))))</f>
        <v>0</v>
      </c>
      <c r="AL149" s="222">
        <f ca="1">IF(AJ149=0,0,(AK149-AJ149)/AJ149*100)</f>
        <v>0</v>
      </c>
      <c r="AM149" s="946">
        <f ca="1">IF(AND(method_reg="Метод индексации",god&lt;&gt;first_year),SUMIFS(INDEX('Калькуляция (МИ корр)'!$AJ$25:$BC$459,,MATCH(AM$8,'Калькуляция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(МИ)'!$AJ$25:$BC$459,,MATCH(AM$8,'Калькуляция (МИ)'!$AJ$8:$BC$8,0)),'Калькуляция (МИ)'!$F$25:$F$459,$F149,'Калькуляция (МИ)'!$G$25:$G$459,$G149))))</f>
        <v>0</v>
      </c>
      <c r="AN149" s="946">
        <f ca="1">IF(AND(method_reg="Метод индексации",god&lt;&gt;first_year),SUMIFS(INDEX('Калькуляция (МИ корр)'!$AJ$25:$BC$459,,MATCH(AN$8,'Калькуляция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(МИ)'!$AJ$25:$BC$459,,MATCH(AN$8,'Калькуляция (МИ)'!$AJ$8:$BC$8,0)),'Калькуляция (МИ)'!$F$25:$F$459,$F149,'Калькуляция (МИ)'!$G$25:$G$459,$G149))))</f>
        <v>0</v>
      </c>
      <c r="AO149" s="222">
        <f ca="1">IF(AM149=0,0,(AN149-AM149)/AM149*100)</f>
        <v>0</v>
      </c>
      <c r="AP149" s="946">
        <f ca="1">IF(AND(method_reg="Метод индексации",god&lt;&gt;first_year),SUMIFS(INDEX('Калькуляция (МИ корр)'!$AJ$25:$BC$459,,MATCH(AP$8,'Калькуляция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(МИ)'!$AJ$25:$BC$459,,MATCH(AP$8,'Калькуляция (МИ)'!$AJ$8:$BC$8,0)),'Калькуляция (МИ)'!$F$25:$F$459,$F149,'Калькуляция (МИ)'!$G$25:$G$459,$G149))))</f>
        <v>0</v>
      </c>
      <c r="AQ149" s="946">
        <f ca="1">IF(AND(method_reg="Метод индексации",god&lt;&gt;first_year),SUMIFS(INDEX('Калькуляция (МИ корр)'!$AJ$25:$BC$459,,MATCH(AQ$8,'Калькуляция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(МИ)'!$AJ$25:$BC$459,,MATCH(AQ$8,'Калькуляция (МИ)'!$AJ$8:$BC$8,0)),'Калькуляция (МИ)'!$F$25:$F$459,$F149,'Калькуляция (МИ)'!$G$25:$G$459,$G149))))</f>
        <v>0</v>
      </c>
      <c r="AR149" s="222">
        <f ca="1">IF(AP149=0,0,(AQ149-AP149)/AP149*100)</f>
        <v>0</v>
      </c>
      <c r="AS149" s="946">
        <f ca="1">IF(AND(method_reg="Метод индексации",god&lt;&gt;first_year),SUMIFS(INDEX('Калькуляция (МИ корр)'!$AJ$25:$BC$459,,MATCH(AS$8,'Калькуляция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(МИ)'!$AJ$25:$BC$459,,MATCH(AS$8,'Калькуляция (МИ)'!$AJ$8:$BC$8,0)),'Калькуляция (МИ)'!$F$25:$F$459,$F149,'Калькуляция (МИ)'!$G$25:$G$459,$G149))))</f>
        <v>0</v>
      </c>
      <c r="AT149" s="946">
        <f ca="1">IF(AND(method_reg="Метод индексации",god&lt;&gt;first_year),SUMIFS(INDEX('Калькуляция (МИ корр)'!$AJ$25:$BC$459,,MATCH(AT$8,'Калькуляция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(МИ)'!$AJ$25:$BC$459,,MATCH(AT$8,'Калькуляция (МИ)'!$AJ$8:$BC$8,0)),'Калькуляция (МИ)'!$F$25:$F$459,$F149,'Калькуляция (МИ)'!$G$25:$G$459,$G149))))</f>
        <v>0</v>
      </c>
      <c r="AU149" s="222">
        <f ca="1">IF(AS149=0,0,(AT149-AS149)/AS149*100)</f>
        <v>0</v>
      </c>
      <c r="AV149" s="946">
        <f ca="1">IF(AND(method_reg="Метод индексации",god&lt;&gt;first_year),SUMIFS(INDEX('Калькуляция (МИ корр)'!$AJ$25:$BC$459,,MATCH(AV$8,'Калькуляция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(МИ)'!$AJ$25:$BC$459,,MATCH(AV$8,'Калькуляция (МИ)'!$AJ$8:$BC$8,0)),'Калькуляция (МИ)'!$F$25:$F$459,$F149,'Калькуляция (МИ)'!$G$25:$G$459,$G149))))</f>
        <v>0</v>
      </c>
      <c r="AW149" s="946">
        <f ca="1">IF(AND(method_reg="Метод индексации",god&lt;&gt;first_year),SUMIFS(INDEX('Калькуляция (МИ корр)'!$AJ$25:$BC$459,,MATCH(AW$8,'Калькуляция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(МИ)'!$AJ$25:$BC$459,,MATCH(AW$8,'Калькуляция (МИ)'!$AJ$8:$BC$8,0)),'Калькуляция (МИ)'!$F$25:$F$459,$F149,'Калькуляция (МИ)'!$G$25:$G$459,$G149))))</f>
        <v>0</v>
      </c>
      <c r="AX149" s="222">
        <f ca="1">IF(AV149=0,0,(AW149-AV149)/AV149*100)</f>
        <v>0</v>
      </c>
      <c r="AY149" s="946">
        <f ca="1">IF(AND(method_reg="Метод индексации",god&lt;&gt;first_year),SUMIFS(INDEX('Калькуляция (МИ корр)'!$AJ$25:$BC$459,,MATCH(AY$8,'Калькуляция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(МИ)'!$AJ$25:$BC$459,,MATCH(AY$8,'Калькуляция (МИ)'!$AJ$8:$BC$8,0)),'Калькуляция (МИ)'!$F$25:$F$459,$F149,'Калькуляция (МИ)'!$G$25:$G$459,$G149))))</f>
        <v>0</v>
      </c>
      <c r="AZ149" s="946">
        <f ca="1">IF(AND(method_reg="Метод индексации",god&lt;&gt;first_year),SUMIFS(INDEX('Калькуляция (МИ корр)'!$AJ$25:$BC$459,,MATCH(AZ$8,'Калькуляция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(МИ)'!$AJ$25:$BC$459,,MATCH(AZ$8,'Калькуляция (МИ)'!$AJ$8:$BC$8,0)),'Калькуляция (МИ)'!$F$25:$F$459,$F149,'Калькуляция (МИ)'!$G$25:$G$459,$G149))))</f>
        <v>0</v>
      </c>
      <c r="BA149" s="222">
        <f ca="1">IF(AY149=0,0,(AZ149-AY149)/AY149*100)</f>
        <v>0</v>
      </c>
      <c r="BB149" s="946">
        <f ca="1">IF(AND(method_reg="Метод индексации",god&lt;&gt;first_year),SUMIFS(INDEX('Калькуляция (МИ корр)'!$AJ$25:$BC$459,,MATCH(BB$8,'Калькуляция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(МИ)'!$AJ$25:$BC$459,,MATCH(BB$8,'Калькуляция (МИ)'!$AJ$8:$BC$8,0)),'Калькуляция (МИ)'!$F$25:$F$459,$F149,'Калькуляция (МИ)'!$G$25:$G$459,$G149))))</f>
        <v>0</v>
      </c>
      <c r="BC149" s="946">
        <f ca="1">IF(AND(method_reg="Метод индексации",god&lt;&gt;first_year),SUMIFS(INDEX('Калькуляция (МИ корр)'!$AJ$25:$BC$459,,MATCH(BC$8,'Калькуляция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(МИ)'!$AJ$25:$BC$459,,MATCH(BC$8,'Калькуляция (МИ)'!$AJ$8:$BC$8,0)),'Калькуляция (МИ)'!$F$25:$F$459,$F149,'Калькуляция (МИ)'!$G$25:$G$459,$G149))))</f>
        <v>0</v>
      </c>
      <c r="BD149" s="222">
        <f ca="1">IF(BB149=0,0,(BC149-BB149)/BB149*100)</f>
        <v>0</v>
      </c>
      <c r="BE149" s="946">
        <f ca="1">IF(AND(method_reg="Метод индексации",god&lt;&gt;first_year),SUMIFS(INDEX('Калькуляция (МИ корр)'!$AJ$25:$BC$459,,MATCH(BE$8,'Калькуляция (МИ корр)'!$AJ$8:$BC$8,0)),'Калькуляция (МИ корр)'!$F$25:$F$459,$F149,'Калькуляция (МИ корр)'!$G$25:$G$459,$G149),IF(method_reg="Метод экономически обоснованных расходов",SUMIFS('Калькуляция (МЭОР)'!$AJ$25:$AJ$282,'Калькуляция (МЭОР)'!$F$25:$F$282,$F149,'Калькуляция (МЭОР)'!$G$25:$G$282,$G149),IF(method_reg="Метод сравнения аналогов",SUMIFS('Калькуляция (МСА)'!$AE$25:$AE$84,'Калькуляция (МСА)'!$F$25:$F$84,$F149,'Калькуляция (МСА)'!$G$25:$G$84,$G149),SUMIFS(INDEX('Калькуляция (МИ)'!$AJ$25:$BC$459,,MATCH(BE$8,'Калькуляция (МИ)'!$AJ$8:$BC$8,0)),'Калькуляция (МИ)'!$F$25:$F$459,$F149,'Калькуляция (МИ)'!$G$25:$G$459,$G149))))</f>
        <v>0</v>
      </c>
      <c r="BF149" s="946">
        <f ca="1">IF(AND(method_reg="Метод индексации",god&lt;&gt;first_year),SUMIFS(INDEX('Калькуляция (МИ корр)'!$AJ$25:$BC$459,,MATCH(BF$8,'Калькуляция (МИ корр)'!$AJ$8:$BC$8,0)),'Калькуляция (МИ корр)'!$F$25:$F$459,$F149,'Калькуляция (МИ корр)'!$G$25:$G$459,$G149),IF(method_reg="Метод экономически обоснованных расходов",SUMIFS('Калькуляция (МЭОР)'!$AK$25:$AK$282,'Калькуляция (МЭОР)'!$F$25:$F$282,$F149,'Калькуляция (МЭОР)'!$G$25:$G$282,$G149),IF(method_reg="Метод сравнения аналогов",SUMIFS('Калькуляция (МСА)'!$AF$25:$AF$84,'Калькуляция (МСА)'!$F$25:$F$84,$F149,'Калькуляция (МСА)'!$G$25:$G$84,$G149),SUMIFS(INDEX('Калькуляция (МИ)'!$AJ$25:$BC$459,,MATCH(BF$8,'Калькуляция (МИ)'!$AJ$8:$BC$8,0)),'Калькуляция (МИ)'!$F$25:$F$459,$F149,'Калькуляция (МИ)'!$G$25:$G$459,$G149))))</f>
        <v>0</v>
      </c>
      <c r="BG149" s="222">
        <f ca="1">IF(BE149=0,0,(BF149-BE149)/BE149*100)</f>
        <v>0</v>
      </c>
      <c r="BH149" s="946"/>
      <c r="BI149" s="946"/>
      <c r="BJ149" s="222">
        <f>IF(BH149=0,0,(BI149-BH149)/BH149*100)</f>
        <v>0</v>
      </c>
      <c r="BK149" s="946"/>
      <c r="BL149" s="946"/>
      <c r="BM149" s="222">
        <f>IF(BK149=0,0,(BL149-BK149)/BK149*100)</f>
        <v>0</v>
      </c>
      <c r="BN149" s="946"/>
      <c r="BO149" s="946"/>
      <c r="BP149" s="222">
        <f>IF(BN149=0,0,(BO149-BN149)/BN149*100)</f>
        <v>0</v>
      </c>
      <c r="BQ149" s="946"/>
      <c r="BR149" s="946"/>
      <c r="BS149" s="222">
        <f>IF(BQ149=0,0,(BR149-BQ149)/BQ149*100)</f>
        <v>0</v>
      </c>
      <c r="BT149" s="946"/>
      <c r="BU149" s="946"/>
      <c r="BV149" s="222">
        <f>IF(BT149=0,0,(BU149-BT149)/BT149*100)</f>
        <v>0</v>
      </c>
      <c r="BW149" s="946"/>
      <c r="BX149" s="946"/>
      <c r="BY149" s="222">
        <f>IF(BW149=0,0,(BX149-BW149)/BW149*100)</f>
        <v>0</v>
      </c>
      <c r="BZ149" s="946"/>
      <c r="CA149" s="946"/>
      <c r="CB149" s="222">
        <f>IF(BZ149=0,0,(CA149-BZ149)/BZ149*100)</f>
        <v>0</v>
      </c>
      <c r="CC149" s="946"/>
      <c r="CD149" s="946"/>
      <c r="CE149" s="222">
        <f>IF(CC149=0,0,(CD149-CC149)/CC149*100)</f>
        <v>0</v>
      </c>
      <c r="CF149" s="946"/>
      <c r="CG149" s="946"/>
      <c r="CH149" s="222">
        <f>IF(CF149=0,0,(CG149-CF149)/CF149*100)</f>
        <v>0</v>
      </c>
      <c r="CI149" s="946"/>
      <c r="CJ149" s="946"/>
      <c r="CK149" s="222">
        <f>IF(CI149=0,0,(CJ149-CI149)/CI149*100)</f>
        <v>0</v>
      </c>
      <c r="CL149" s="946"/>
      <c r="CM149" s="946"/>
      <c r="CN149" s="222">
        <f>IF(CL149=0,0,(CM149-CL149)/CL149*100)</f>
        <v>0</v>
      </c>
      <c r="CO149" s="946"/>
      <c r="CP149" s="946"/>
      <c r="CQ149" s="222">
        <f>IF(CO149=0,0,(CP149-CO149)/CO149*100)</f>
        <v>0</v>
      </c>
      <c r="CR149" s="946"/>
      <c r="CS149" s="946"/>
      <c r="CT149" s="222">
        <f>IF(CR149=0,0,(CS149-CR149)/CR149*100)</f>
        <v>0</v>
      </c>
      <c r="CU149" s="946"/>
      <c r="CV149" s="946"/>
      <c r="CW149" s="222">
        <f>IF(CU149=0,0,(CV149-CU149)/CU149*100)</f>
        <v>0</v>
      </c>
      <c r="CX149" s="946"/>
      <c r="CY149" s="946"/>
      <c r="CZ149" s="222">
        <f>IF(CX149=0,0,(CY149-CX149)/CX149*100)</f>
        <v>0</v>
      </c>
      <c r="DA149" s="946"/>
      <c r="DB149" s="946"/>
      <c r="DC149" s="222">
        <f>IF(DA149=0,0,(DB149-DA149)/DA149*100)</f>
        <v>0</v>
      </c>
      <c r="DD149" s="946"/>
      <c r="DE149" s="946"/>
      <c r="DF149" s="222">
        <f>IF(DD149=0,0,(DE149-DD149)/DD149*100)</f>
        <v>0</v>
      </c>
      <c r="DG149" s="946"/>
      <c r="DH149" s="946"/>
      <c r="DI149" s="222">
        <f>IF(DG149=0,0,(DH149-DG149)/DG149*100)</f>
        <v>0</v>
      </c>
      <c r="DJ149" s="946"/>
      <c r="DK149" s="946"/>
      <c r="DL149" s="222">
        <f>IF(DJ149=0,0,(DK149-DJ149)/DJ149*100)</f>
        <v>0</v>
      </c>
      <c r="DM149" s="946"/>
      <c r="DN149" s="946"/>
      <c r="DO149" s="222">
        <f>IF(DM149=0,0,(DN149-DM149)/DM149*100)</f>
        <v>0</v>
      </c>
      <c r="DP149" s="946"/>
      <c r="DQ149" s="946"/>
      <c r="DR149" s="222">
        <f>IF(DP149=0,0,(DQ149-DP149)/DP149*100)</f>
        <v>0</v>
      </c>
      <c r="DS149" s="946"/>
      <c r="DT149" s="946"/>
      <c r="DU149" s="222">
        <f>IF(DS149=0,0,(DT149-DS149)/DS149*100)</f>
        <v>0</v>
      </c>
      <c r="DV149" s="946"/>
      <c r="DW149" s="946"/>
      <c r="DX149" s="222">
        <f>IF(DV149=0,0,(DW149-DV149)/DV149*100)</f>
        <v>0</v>
      </c>
      <c r="DY149" s="946"/>
      <c r="DZ149" s="946"/>
      <c r="EA149" s="222">
        <f>IF(DY149=0,0,(DZ149-DY149)/DY149*100)</f>
        <v>0</v>
      </c>
      <c r="EB149" s="946"/>
      <c r="EC149" s="946"/>
      <c r="ED149" s="222">
        <f>IF(EB149=0,0,(EC149-EB149)/EB149*100)</f>
        <v>0</v>
      </c>
      <c r="EE149" s="946"/>
      <c r="EF149" s="946"/>
      <c r="EG149" s="222">
        <f>IF(EE149=0,0,(EF149-EE149)/EE149*100)</f>
        <v>0</v>
      </c>
      <c r="EH149" s="946"/>
      <c r="EI149" s="946"/>
      <c r="EJ149" s="222">
        <f>IF(EH149=0,0,(EI149-EH149)/EH149*100)</f>
        <v>0</v>
      </c>
      <c r="EK149" s="946"/>
      <c r="EL149" s="946"/>
      <c r="EM149" s="222">
        <f>IF(EK149=0,0,(EL149-EK149)/EK149*100)</f>
        <v>0</v>
      </c>
      <c r="EN149" s="946"/>
      <c r="EO149" s="946"/>
      <c r="EP149" s="222">
        <f>IF(EN149=0,0,(EO149-EN149)/EN149*100)</f>
        <v>0</v>
      </c>
      <c r="EQ149" s="946"/>
      <c r="ER149" s="946"/>
      <c r="ES149" s="222">
        <f>IF(EQ149=0,0,(ER149-EQ149)/EQ149*100)</f>
        <v>0</v>
      </c>
      <c r="ET149" s="946"/>
      <c r="EU149" s="946"/>
      <c r="EV149" s="222">
        <f>IF(ET149=0,0,(EU149-ET149)/ET149*100)</f>
        <v>0</v>
      </c>
      <c r="EW149" s="946"/>
      <c r="EX149" s="946"/>
      <c r="EY149" s="222">
        <f>IF(EW149=0,0,(EX149-EW149)/EW149*100)</f>
        <v>0</v>
      </c>
      <c r="EZ149" s="946"/>
      <c r="FA149" s="946"/>
      <c r="FB149" s="222">
        <f>IF(EZ149=0,0,(FA149-EZ149)/EZ149*100)</f>
        <v>0</v>
      </c>
      <c r="FC149" s="946"/>
      <c r="FD149" s="946"/>
      <c r="FE149" s="222">
        <f>IF(FC149=0,0,(FD149-FC149)/FC149*100)</f>
        <v>0</v>
      </c>
      <c r="FF149" s="946"/>
      <c r="FG149" s="946"/>
      <c r="FH149" s="222">
        <f>IF(FF149=0,0,(FG149-FF149)/FF149*100)</f>
        <v>0</v>
      </c>
      <c r="FI149" s="946"/>
      <c r="FJ149" s="946"/>
      <c r="FK149" s="222">
        <f>IF(FI149=0,0,(FJ149-FI149)/FI149*100)</f>
        <v>0</v>
      </c>
      <c r="FL149" s="946"/>
      <c r="FM149" s="946"/>
      <c r="FN149" s="222">
        <f>IF(FL149=0,0,(FM149-FL149)/FL149*100)</f>
        <v>0</v>
      </c>
      <c r="FO149" s="946"/>
      <c r="FP149" s="946"/>
      <c r="FQ149" s="222">
        <f>IF(FO149=0,0,(FP149-FO149)/FO149*100)</f>
        <v>0</v>
      </c>
      <c r="FR149" s="946"/>
      <c r="FS149" s="946"/>
      <c r="FT149" s="222">
        <f>IF(FR149=0,0,(FS149-FR149)/FR149*100)</f>
        <v>0</v>
      </c>
      <c r="FU149" s="946"/>
      <c r="FV149" s="946"/>
      <c r="FW149" s="222">
        <f>IF(FU149=0,0,(FV149-FU149)/FU149*100)</f>
        <v>0</v>
      </c>
      <c r="FX149" s="219"/>
      <c r="FY149" s="219"/>
      <c r="FZ149" s="700" t="s">
        <v>1707</v>
      </c>
      <c r="GA149" s="700"/>
      <c r="GB149" s="700"/>
      <c r="GC149" s="701"/>
      <c r="GD149" s="701"/>
    </row>
    <row r="150" spans="1:186" ht="14.25" hidden="1" customHeight="1">
      <c r="A150" s="78"/>
      <c r="B150" s="622" t="b" cm="1">
        <f t="array" ref="B150">B149</f>
        <v>0</v>
      </c>
      <c r="C150" s="78"/>
      <c r="D150" s="78"/>
      <c r="E150" s="473">
        <v>15</v>
      </c>
      <c r="F150" s="3" t="str" cm="1">
        <f t="array" aca="1" ref="F150" ca="1">OFFSET(E150,-1,1)</f>
        <v>1</v>
      </c>
      <c r="G150" s="78"/>
      <c r="H150" s="78" t="s">
        <v>465</v>
      </c>
      <c r="I150" s="78"/>
      <c r="J150" s="78"/>
      <c r="K150" s="78"/>
      <c r="L150" s="78"/>
      <c r="M150" s="78"/>
      <c r="N150" s="78"/>
      <c r="O150" s="78"/>
      <c r="P150" s="78"/>
      <c r="Q150" s="78"/>
      <c r="R150" s="78"/>
      <c r="S150" s="78"/>
      <c r="T150" s="365" t="b" cm="1">
        <f t="array" aca="1" ref="T150" ca="1">T149</f>
        <v>1</v>
      </c>
      <c r="U150" s="78"/>
      <c r="V150" s="78"/>
      <c r="W150" s="78"/>
      <c r="X150" s="1094"/>
      <c r="Y150" s="78"/>
      <c r="Z150" s="1064"/>
      <c r="AA150" s="78"/>
      <c r="AB150" s="358" t="s">
        <v>1708</v>
      </c>
      <c r="AC150" s="28" t="s">
        <v>456</v>
      </c>
      <c r="AD150" s="629">
        <f ca="1">IF(AD148=0,0,AD149/AD148)*100</f>
        <v>99.999979117208042</v>
      </c>
      <c r="AE150" s="629">
        <f ca="1">IF(AE148=0,0,AE149/AE148)*100</f>
        <v>114.5865696903376</v>
      </c>
      <c r="AF150" s="732"/>
      <c r="AG150" s="629">
        <f ca="1">IF(AG148=0,0,AG149/AG148)*100</f>
        <v>0</v>
      </c>
      <c r="AH150" s="629">
        <f ca="1">IF(AH148=0,0,AH149/AH148)*100</f>
        <v>0</v>
      </c>
      <c r="AI150" s="732"/>
      <c r="AJ150" s="629">
        <f ca="1">IF(AJ148=0,0,AJ149/AJ148)*100</f>
        <v>0</v>
      </c>
      <c r="AK150" s="629">
        <f ca="1">IF(AK148=0,0,AK149/AK148)*100</f>
        <v>0</v>
      </c>
      <c r="AL150" s="732"/>
      <c r="AM150" s="629">
        <f ca="1">IF(AM148=0,0,AM149/AM148)*100</f>
        <v>0</v>
      </c>
      <c r="AN150" s="629">
        <f ca="1">IF(AN148=0,0,AN149/AN148)*100</f>
        <v>0</v>
      </c>
      <c r="AO150" s="732"/>
      <c r="AP150" s="629">
        <f ca="1">IF(AP148=0,0,AP149/AP148)*100</f>
        <v>0</v>
      </c>
      <c r="AQ150" s="629">
        <f ca="1">IF(AQ148=0,0,AQ149/AQ148)*100</f>
        <v>0</v>
      </c>
      <c r="AR150" s="732"/>
      <c r="AS150" s="629">
        <f ca="1">IF(AS148=0,0,AS149/AS148)*100</f>
        <v>0</v>
      </c>
      <c r="AT150" s="629">
        <f ca="1">IF(AT148=0,0,AT149/AT148)*100</f>
        <v>0</v>
      </c>
      <c r="AU150" s="732"/>
      <c r="AV150" s="629">
        <f ca="1">IF(AV148=0,0,AV149/AV148)*100</f>
        <v>0</v>
      </c>
      <c r="AW150" s="629">
        <f ca="1">IF(AW148=0,0,AW149/AW148)*100</f>
        <v>0</v>
      </c>
      <c r="AX150" s="732"/>
      <c r="AY150" s="629">
        <f ca="1">IF(AY148=0,0,AY149/AY148)*100</f>
        <v>0</v>
      </c>
      <c r="AZ150" s="629">
        <f ca="1">IF(AZ148=0,0,AZ149/AZ148)*100</f>
        <v>0</v>
      </c>
      <c r="BA150" s="732"/>
      <c r="BB150" s="629">
        <f ca="1">IF(BB148=0,0,BB149/BB148)*100</f>
        <v>0</v>
      </c>
      <c r="BC150" s="629">
        <f ca="1">IF(BC148=0,0,BC149/BC148)*100</f>
        <v>0</v>
      </c>
      <c r="BD150" s="732"/>
      <c r="BE150" s="629">
        <f ca="1">IF(BE148=0,0,BE149/BE148)*100</f>
        <v>0</v>
      </c>
      <c r="BF150" s="629">
        <f ca="1">IF(BF148=0,0,BF149/BF148)*100</f>
        <v>0</v>
      </c>
      <c r="BG150" s="732"/>
      <c r="BH150" s="629">
        <f>IF(BH148=0,0,BH149/BH148)*100</f>
        <v>0</v>
      </c>
      <c r="BI150" s="629">
        <f>IF(BI148=0,0,BI149/BI148)*100</f>
        <v>0</v>
      </c>
      <c r="BJ150" s="732"/>
      <c r="BK150" s="629">
        <f>IF(BK148=0,0,BK149/BK148)*100</f>
        <v>0</v>
      </c>
      <c r="BL150" s="629">
        <f>IF(BL148=0,0,BL149/BL148)*100</f>
        <v>0</v>
      </c>
      <c r="BM150" s="732"/>
      <c r="BN150" s="629">
        <f>IF(BN148=0,0,BN149/BN148)*100</f>
        <v>0</v>
      </c>
      <c r="BO150" s="629">
        <f>IF(BO148=0,0,BO149/BO148)*100</f>
        <v>0</v>
      </c>
      <c r="BP150" s="732"/>
      <c r="BQ150" s="629">
        <f>IF(BQ148=0,0,BQ149/BQ148)*100</f>
        <v>0</v>
      </c>
      <c r="BR150" s="629">
        <f>IF(BR148=0,0,BR149/BR148)*100</f>
        <v>0</v>
      </c>
      <c r="BS150" s="732"/>
      <c r="BT150" s="629">
        <f>IF(BT148=0,0,BT149/BT148)*100</f>
        <v>0</v>
      </c>
      <c r="BU150" s="629">
        <f>IF(BU148=0,0,BU149/BU148)*100</f>
        <v>0</v>
      </c>
      <c r="BV150" s="732"/>
      <c r="BW150" s="629">
        <f>IF(BW148=0,0,BW149/BW148)*100</f>
        <v>0</v>
      </c>
      <c r="BX150" s="629">
        <f>IF(BX148=0,0,BX149/BX148)*100</f>
        <v>0</v>
      </c>
      <c r="BY150" s="732"/>
      <c r="BZ150" s="629">
        <f>IF(BZ148=0,0,BZ149/BZ148)*100</f>
        <v>0</v>
      </c>
      <c r="CA150" s="629">
        <f>IF(CA148=0,0,CA149/CA148)*100</f>
        <v>0</v>
      </c>
      <c r="CB150" s="732"/>
      <c r="CC150" s="629">
        <f>IF(CC148=0,0,CC149/CC148)*100</f>
        <v>0</v>
      </c>
      <c r="CD150" s="629">
        <f>IF(CD148=0,0,CD149/CD148)*100</f>
        <v>0</v>
      </c>
      <c r="CE150" s="732"/>
      <c r="CF150" s="629">
        <f>IF(CF148=0,0,CF149/CF148)*100</f>
        <v>0</v>
      </c>
      <c r="CG150" s="629">
        <f>IF(CG148=0,0,CG149/CG148)*100</f>
        <v>0</v>
      </c>
      <c r="CH150" s="732"/>
      <c r="CI150" s="629">
        <f>IF(CI148=0,0,CI149/CI148)*100</f>
        <v>0</v>
      </c>
      <c r="CJ150" s="629">
        <f>IF(CJ148=0,0,CJ149/CJ148)*100</f>
        <v>0</v>
      </c>
      <c r="CK150" s="732"/>
      <c r="CL150" s="629">
        <f>IF(CL148=0,0,CL149/CL148)*100</f>
        <v>0</v>
      </c>
      <c r="CM150" s="629">
        <f>IF(CM148=0,0,CM149/CM148)*100</f>
        <v>0</v>
      </c>
      <c r="CN150" s="732"/>
      <c r="CO150" s="629">
        <f>IF(CO148=0,0,CO149/CO148)*100</f>
        <v>0</v>
      </c>
      <c r="CP150" s="629">
        <f>IF(CP148=0,0,CP149/CP148)*100</f>
        <v>0</v>
      </c>
      <c r="CQ150" s="732"/>
      <c r="CR150" s="629">
        <f>IF(CR148=0,0,CR149/CR148)*100</f>
        <v>0</v>
      </c>
      <c r="CS150" s="629">
        <f>IF(CS148=0,0,CS149/CS148)*100</f>
        <v>0</v>
      </c>
      <c r="CT150" s="732"/>
      <c r="CU150" s="629">
        <f>IF(CU148=0,0,CU149/CU148)*100</f>
        <v>0</v>
      </c>
      <c r="CV150" s="629">
        <f>IF(CV148=0,0,CV149/CV148)*100</f>
        <v>0</v>
      </c>
      <c r="CW150" s="732"/>
      <c r="CX150" s="629">
        <f>IF(CX148=0,0,CX149/CX148)*100</f>
        <v>0</v>
      </c>
      <c r="CY150" s="629">
        <f>IF(CY148=0,0,CY149/CY148)*100</f>
        <v>0</v>
      </c>
      <c r="CZ150" s="732"/>
      <c r="DA150" s="629">
        <f>IF(DA148=0,0,DA149/DA148)*100</f>
        <v>0</v>
      </c>
      <c r="DB150" s="629">
        <f>IF(DB148=0,0,DB149/DB148)*100</f>
        <v>0</v>
      </c>
      <c r="DC150" s="732"/>
      <c r="DD150" s="629">
        <f>IF(DD148=0,0,DD149/DD148)*100</f>
        <v>0</v>
      </c>
      <c r="DE150" s="629">
        <f>IF(DE148=0,0,DE149/DE148)*100</f>
        <v>0</v>
      </c>
      <c r="DF150" s="732"/>
      <c r="DG150" s="629">
        <f>IF(DG148=0,0,DG149/DG148)*100</f>
        <v>0</v>
      </c>
      <c r="DH150" s="629">
        <f>IF(DH148=0,0,DH149/DH148)*100</f>
        <v>0</v>
      </c>
      <c r="DI150" s="732"/>
      <c r="DJ150" s="629">
        <f>IF(DJ148=0,0,DJ149/DJ148)*100</f>
        <v>0</v>
      </c>
      <c r="DK150" s="629">
        <f>IF(DK148=0,0,DK149/DK148)*100</f>
        <v>0</v>
      </c>
      <c r="DL150" s="732"/>
      <c r="DM150" s="629">
        <f>IF(DM148=0,0,DM149/DM148)*100</f>
        <v>0</v>
      </c>
      <c r="DN150" s="629">
        <f>IF(DN148=0,0,DN149/DN148)*100</f>
        <v>0</v>
      </c>
      <c r="DO150" s="732"/>
      <c r="DP150" s="629">
        <f>IF(DP148=0,0,DP149/DP148)*100</f>
        <v>0</v>
      </c>
      <c r="DQ150" s="629">
        <f>IF(DQ148=0,0,DQ149/DQ148)*100</f>
        <v>0</v>
      </c>
      <c r="DR150" s="732"/>
      <c r="DS150" s="629">
        <f>IF(DS148=0,0,DS149/DS148)*100</f>
        <v>0</v>
      </c>
      <c r="DT150" s="629">
        <f>IF(DT148=0,0,DT149/DT148)*100</f>
        <v>0</v>
      </c>
      <c r="DU150" s="732"/>
      <c r="DV150" s="629">
        <f>IF(DV148=0,0,DV149/DV148)*100</f>
        <v>0</v>
      </c>
      <c r="DW150" s="629">
        <f>IF(DW148=0,0,DW149/DW148)*100</f>
        <v>0</v>
      </c>
      <c r="DX150" s="732"/>
      <c r="DY150" s="629">
        <f>IF(DY148=0,0,DY149/DY148)*100</f>
        <v>0</v>
      </c>
      <c r="DZ150" s="629">
        <f>IF(DZ148=0,0,DZ149/DZ148)*100</f>
        <v>0</v>
      </c>
      <c r="EA150" s="732"/>
      <c r="EB150" s="629">
        <f>IF(EB148=0,0,EB149/EB148)*100</f>
        <v>0</v>
      </c>
      <c r="EC150" s="629">
        <f>IF(EC148=0,0,EC149/EC148)*100</f>
        <v>0</v>
      </c>
      <c r="ED150" s="732"/>
      <c r="EE150" s="629">
        <f>IF(EE148=0,0,EE149/EE148)*100</f>
        <v>0</v>
      </c>
      <c r="EF150" s="629">
        <f>IF(EF148=0,0,EF149/EF148)*100</f>
        <v>0</v>
      </c>
      <c r="EG150" s="732"/>
      <c r="EH150" s="629">
        <f>IF(EH148=0,0,EH149/EH148)*100</f>
        <v>0</v>
      </c>
      <c r="EI150" s="629">
        <f>IF(EI148=0,0,EI149/EI148)*100</f>
        <v>0</v>
      </c>
      <c r="EJ150" s="732"/>
      <c r="EK150" s="629">
        <f>IF(EK148=0,0,EK149/EK148)*100</f>
        <v>0</v>
      </c>
      <c r="EL150" s="629">
        <f>IF(EL148=0,0,EL149/EL148)*100</f>
        <v>0</v>
      </c>
      <c r="EM150" s="732"/>
      <c r="EN150" s="629">
        <f>IF(EN148=0,0,EN149/EN148)*100</f>
        <v>0</v>
      </c>
      <c r="EO150" s="629">
        <f>IF(EO148=0,0,EO149/EO148)*100</f>
        <v>0</v>
      </c>
      <c r="EP150" s="732"/>
      <c r="EQ150" s="629">
        <f>IF(EQ148=0,0,EQ149/EQ148)*100</f>
        <v>0</v>
      </c>
      <c r="ER150" s="629">
        <f>IF(ER148=0,0,ER149/ER148)*100</f>
        <v>0</v>
      </c>
      <c r="ES150" s="732"/>
      <c r="ET150" s="629">
        <f>IF(ET148=0,0,ET149/ET148)*100</f>
        <v>0</v>
      </c>
      <c r="EU150" s="629">
        <f>IF(EU148=0,0,EU149/EU148)*100</f>
        <v>0</v>
      </c>
      <c r="EV150" s="732"/>
      <c r="EW150" s="629">
        <f>IF(EW148=0,0,EW149/EW148)*100</f>
        <v>0</v>
      </c>
      <c r="EX150" s="629">
        <f>IF(EX148=0,0,EX149/EX148)*100</f>
        <v>0</v>
      </c>
      <c r="EY150" s="732"/>
      <c r="EZ150" s="629">
        <f>IF(EZ148=0,0,EZ149/EZ148)*100</f>
        <v>0</v>
      </c>
      <c r="FA150" s="629">
        <f>IF(FA148=0,0,FA149/FA148)*100</f>
        <v>0</v>
      </c>
      <c r="FB150" s="732"/>
      <c r="FC150" s="629">
        <f>IF(FC148=0,0,FC149/FC148)*100</f>
        <v>0</v>
      </c>
      <c r="FD150" s="629">
        <f>IF(FD148=0,0,FD149/FD148)*100</f>
        <v>0</v>
      </c>
      <c r="FE150" s="732"/>
      <c r="FF150" s="629">
        <f>IF(FF148=0,0,FF149/FF148)*100</f>
        <v>0</v>
      </c>
      <c r="FG150" s="629">
        <f>IF(FG148=0,0,FG149/FG148)*100</f>
        <v>0</v>
      </c>
      <c r="FH150" s="732"/>
      <c r="FI150" s="629">
        <f>IF(FI148=0,0,FI149/FI148)*100</f>
        <v>0</v>
      </c>
      <c r="FJ150" s="629">
        <f>IF(FJ148=0,0,FJ149/FJ148)*100</f>
        <v>0</v>
      </c>
      <c r="FK150" s="732"/>
      <c r="FL150" s="629">
        <f>IF(FL148=0,0,FL149/FL148)*100</f>
        <v>0</v>
      </c>
      <c r="FM150" s="629">
        <f>IF(FM148=0,0,FM149/FM148)*100</f>
        <v>0</v>
      </c>
      <c r="FN150" s="732"/>
      <c r="FO150" s="629">
        <f>IF(FO148=0,0,FO149/FO148)*100</f>
        <v>0</v>
      </c>
      <c r="FP150" s="629">
        <f>IF(FP148=0,0,FP149/FP148)*100</f>
        <v>0</v>
      </c>
      <c r="FQ150" s="732"/>
      <c r="FR150" s="629">
        <f>IF(FR148=0,0,FR149/FR148)*100</f>
        <v>0</v>
      </c>
      <c r="FS150" s="629">
        <f>IF(FS148=0,0,FS149/FS148)*100</f>
        <v>0</v>
      </c>
      <c r="FT150" s="732"/>
      <c r="FU150" s="629">
        <f>IF(FU148=0,0,FU149/FU148)*100</f>
        <v>0</v>
      </c>
      <c r="FV150" s="629">
        <f>IF(FV148=0,0,FV149/FV148)*100</f>
        <v>0</v>
      </c>
      <c r="FW150" s="733"/>
      <c r="FX150" s="219"/>
      <c r="FZ150" s="700" t="s">
        <v>1709</v>
      </c>
    </row>
    <row r="151" spans="1:186" ht="14.25" hidden="1" customHeight="1">
      <c r="A151" s="78"/>
      <c r="B151" s="622" t="b" cm="1">
        <f t="array" ref="B151">B150</f>
        <v>0</v>
      </c>
      <c r="C151" s="78"/>
      <c r="D151" s="78"/>
      <c r="E151" s="473">
        <v>15</v>
      </c>
      <c r="F151" s="3" t="str" cm="1">
        <f t="array" aca="1" ref="F151" ca="1">OFFSET(E151,-1,1)</f>
        <v>1</v>
      </c>
      <c r="G151" s="44" t="s">
        <v>1633</v>
      </c>
      <c r="H151" s="78"/>
      <c r="I151" s="78"/>
      <c r="J151" s="78"/>
      <c r="K151" s="78"/>
      <c r="L151" s="78"/>
      <c r="M151" s="78"/>
      <c r="N151" s="78"/>
      <c r="O151" s="78"/>
      <c r="P151" s="78"/>
      <c r="Q151" s="78"/>
      <c r="R151" s="78"/>
      <c r="S151" s="78"/>
      <c r="T151" s="365" t="b" cm="1">
        <f t="array" aca="1" ref="T151" ca="1">T150</f>
        <v>1</v>
      </c>
      <c r="U151" s="78"/>
      <c r="V151" s="78"/>
      <c r="W151" s="78"/>
      <c r="X151" s="1094"/>
      <c r="Y151" s="78"/>
      <c r="Z151" s="1064"/>
      <c r="AA151" s="78"/>
      <c r="AB151" s="73" t="s">
        <v>1634</v>
      </c>
      <c r="AC151" s="31" t="s">
        <v>534</v>
      </c>
      <c r="AD151" s="849">
        <f ca="1">IF(AND(method_reg="Метод индексации",god&lt;&gt;first_year),SUMIFS(INDEX('Калькуляция (МИ корр)'!$AJ$25:$BC$459,,MATCH(AD$8,'Калькуляция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(МИ)'!$AJ$25:$BC$459,,MATCH(AD$8,'Калькуляция (МИ)'!$AJ$8:$BC$8,0)),'Калькуляция (МИ)'!$F$25:$F$459,$F151,'Калькуляция (МИ)'!$G$25:$G$459,$G151))))</f>
        <v>960.18599999999992</v>
      </c>
      <c r="AE151" s="849">
        <f ca="1">IF(AND(method_reg="Метод индексации",god&lt;&gt;first_year),SUMIFS(INDEX('Калькуляция (МИ корр)'!$AJ$25:$BC$459,,MATCH(AE$8,'Калькуляция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(МИ)'!$AJ$25:$BC$459,,MATCH(AE$8,'Калькуляция (МИ)'!$AJ$8:$BC$8,0)),'Калькуляция (МИ)'!$F$25:$F$459,$F151,'Калькуляция (МИ)'!$G$25:$G$459,$G151))))</f>
        <v>961.84399999999994</v>
      </c>
      <c r="AF151" s="724">
        <f ca="1">IF(AD151=0,0,(AE151-AD151)/AD151*100)</f>
        <v>0.17267487757580466</v>
      </c>
      <c r="AG151" s="849">
        <f ca="1">IF(AND(method_reg="Метод индексации",god&lt;&gt;first_year),SUMIFS(INDEX('Калькуляция (МИ корр)'!$AJ$25:$BC$459,,MATCH(AG$8,'Калькуляция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(МИ)'!$AJ$25:$BC$459,,MATCH(AG$8,'Калькуляция (МИ)'!$AJ$8:$BC$8,0)),'Калькуляция (МИ)'!$F$25:$F$459,$F151,'Калькуляция (МИ)'!$G$25:$G$459,$G151))))</f>
        <v>0</v>
      </c>
      <c r="AH151" s="849">
        <f ca="1">IF(AND(method_reg="Метод индексации",god&lt;&gt;first_year),SUMIFS(INDEX('Калькуляция (МИ корр)'!$AJ$25:$BC$459,,MATCH(AH$8,'Калькуляция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(МИ)'!$AJ$25:$BC$459,,MATCH(AH$8,'Калькуляция (МИ)'!$AJ$8:$BC$8,0)),'Калькуляция (МИ)'!$F$25:$F$459,$F151,'Калькуляция (МИ)'!$G$25:$G$459,$G151))))</f>
        <v>0</v>
      </c>
      <c r="AI151" s="724">
        <f ca="1">IF(AG151=0,0,(AH151-AG151)/AG151*100)</f>
        <v>0</v>
      </c>
      <c r="AJ151" s="849">
        <f ca="1">IF(AND(method_reg="Метод индексации",god&lt;&gt;first_year),SUMIFS(INDEX('Калькуляция (МИ корр)'!$AJ$25:$BC$459,,MATCH(AJ$8,'Калькуляция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(МИ)'!$AJ$25:$BC$459,,MATCH(AJ$8,'Калькуляция (МИ)'!$AJ$8:$BC$8,0)),'Калькуляция (МИ)'!$F$25:$F$459,$F151,'Калькуляция (МИ)'!$G$25:$G$459,$G151))))</f>
        <v>0</v>
      </c>
      <c r="AK151" s="849">
        <f ca="1">IF(AND(method_reg="Метод индексации",god&lt;&gt;first_year),SUMIFS(INDEX('Калькуляция (МИ корр)'!$AJ$25:$BC$459,,MATCH(AK$8,'Калькуляция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(МИ)'!$AJ$25:$BC$459,,MATCH(AK$8,'Калькуляция (МИ)'!$AJ$8:$BC$8,0)),'Калькуляция (МИ)'!$F$25:$F$459,$F151,'Калькуляция (МИ)'!$G$25:$G$459,$G151))))</f>
        <v>0</v>
      </c>
      <c r="AL151" s="724">
        <f ca="1">IF(AJ151=0,0,(AK151-AJ151)/AJ151*100)</f>
        <v>0</v>
      </c>
      <c r="AM151" s="849">
        <f ca="1">IF(AND(method_reg="Метод индексации",god&lt;&gt;first_year),SUMIFS(INDEX('Калькуляция (МИ корр)'!$AJ$25:$BC$459,,MATCH(AM$8,'Калькуляция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(МИ)'!$AJ$25:$BC$459,,MATCH(AM$8,'Калькуляция (МИ)'!$AJ$8:$BC$8,0)),'Калькуляция (МИ)'!$F$25:$F$459,$F151,'Калькуляция (МИ)'!$G$25:$G$459,$G151))))</f>
        <v>0</v>
      </c>
      <c r="AN151" s="849">
        <f ca="1">IF(AND(method_reg="Метод индексации",god&lt;&gt;first_year),SUMIFS(INDEX('Калькуляция (МИ корр)'!$AJ$25:$BC$459,,MATCH(AN$8,'Калькуляция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(МИ)'!$AJ$25:$BC$459,,MATCH(AN$8,'Калькуляция (МИ)'!$AJ$8:$BC$8,0)),'Калькуляция (МИ)'!$F$25:$F$459,$F151,'Калькуляция (МИ)'!$G$25:$G$459,$G151))))</f>
        <v>0</v>
      </c>
      <c r="AO151" s="724">
        <f ca="1">IF(AM151=0,0,(AN151-AM151)/AM151*100)</f>
        <v>0</v>
      </c>
      <c r="AP151" s="849">
        <f ca="1">IF(AND(method_reg="Метод индексации",god&lt;&gt;first_year),SUMIFS(INDEX('Калькуляция (МИ корр)'!$AJ$25:$BC$459,,MATCH(AP$8,'Калькуляция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(МИ)'!$AJ$25:$BC$459,,MATCH(AP$8,'Калькуляция (МИ)'!$AJ$8:$BC$8,0)),'Калькуляция (МИ)'!$F$25:$F$459,$F151,'Калькуляция (МИ)'!$G$25:$G$459,$G151))))</f>
        <v>0</v>
      </c>
      <c r="AQ151" s="849">
        <f ca="1">IF(AND(method_reg="Метод индексации",god&lt;&gt;first_year),SUMIFS(INDEX('Калькуляция (МИ корр)'!$AJ$25:$BC$459,,MATCH(AQ$8,'Калькуляция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(МИ)'!$AJ$25:$BC$459,,MATCH(AQ$8,'Калькуляция (МИ)'!$AJ$8:$BC$8,0)),'Калькуляция (МИ)'!$F$25:$F$459,$F151,'Калькуляция (МИ)'!$G$25:$G$459,$G151))))</f>
        <v>0</v>
      </c>
      <c r="AR151" s="724">
        <f ca="1">IF(AP151=0,0,(AQ151-AP151)/AP151*100)</f>
        <v>0</v>
      </c>
      <c r="AS151" s="849">
        <f ca="1">IF(AND(method_reg="Метод индексации",god&lt;&gt;first_year),SUMIFS(INDEX('Калькуляция (МИ корр)'!$AJ$25:$BC$459,,MATCH(AS$8,'Калькуляция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(МИ)'!$AJ$25:$BC$459,,MATCH(AS$8,'Калькуляция (МИ)'!$AJ$8:$BC$8,0)),'Калькуляция (МИ)'!$F$25:$F$459,$F151,'Калькуляция (МИ)'!$G$25:$G$459,$G151))))</f>
        <v>0</v>
      </c>
      <c r="AT151" s="849">
        <f ca="1">IF(AND(method_reg="Метод индексации",god&lt;&gt;first_year),SUMIFS(INDEX('Калькуляция (МИ корр)'!$AJ$25:$BC$459,,MATCH(AT$8,'Калькуляция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(МИ)'!$AJ$25:$BC$459,,MATCH(AT$8,'Калькуляция (МИ)'!$AJ$8:$BC$8,0)),'Калькуляция (МИ)'!$F$25:$F$459,$F151,'Калькуляция (МИ)'!$G$25:$G$459,$G151))))</f>
        <v>0</v>
      </c>
      <c r="AU151" s="724">
        <f ca="1">IF(AS151=0,0,(AT151-AS151)/AS151*100)</f>
        <v>0</v>
      </c>
      <c r="AV151" s="849">
        <f ca="1">IF(AND(method_reg="Метод индексации",god&lt;&gt;first_year),SUMIFS(INDEX('Калькуляция (МИ корр)'!$AJ$25:$BC$459,,MATCH(AV$8,'Калькуляция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(МИ)'!$AJ$25:$BC$459,,MATCH(AV$8,'Калькуляция (МИ)'!$AJ$8:$BC$8,0)),'Калькуляция (МИ)'!$F$25:$F$459,$F151,'Калькуляция (МИ)'!$G$25:$G$459,$G151))))</f>
        <v>0</v>
      </c>
      <c r="AW151" s="849">
        <f ca="1">IF(AND(method_reg="Метод индексации",god&lt;&gt;first_year),SUMIFS(INDEX('Калькуляция (МИ корр)'!$AJ$25:$BC$459,,MATCH(AW$8,'Калькуляция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(МИ)'!$AJ$25:$BC$459,,MATCH(AW$8,'Калькуляция (МИ)'!$AJ$8:$BC$8,0)),'Калькуляция (МИ)'!$F$25:$F$459,$F151,'Калькуляция (МИ)'!$G$25:$G$459,$G151))))</f>
        <v>0</v>
      </c>
      <c r="AX151" s="724">
        <f ca="1">IF(AV151=0,0,(AW151-AV151)/AV151*100)</f>
        <v>0</v>
      </c>
      <c r="AY151" s="849">
        <f ca="1">IF(AND(method_reg="Метод индексации",god&lt;&gt;first_year),SUMIFS(INDEX('Калькуляция (МИ корр)'!$AJ$25:$BC$459,,MATCH(AY$8,'Калькуляция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(МИ)'!$AJ$25:$BC$459,,MATCH(AY$8,'Калькуляция (МИ)'!$AJ$8:$BC$8,0)),'Калькуляция (МИ)'!$F$25:$F$459,$F151,'Калькуляция (МИ)'!$G$25:$G$459,$G151))))</f>
        <v>0</v>
      </c>
      <c r="AZ151" s="849">
        <f ca="1">IF(AND(method_reg="Метод индексации",god&lt;&gt;first_year),SUMIFS(INDEX('Калькуляция (МИ корр)'!$AJ$25:$BC$459,,MATCH(AZ$8,'Калькуляция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(МИ)'!$AJ$25:$BC$459,,MATCH(AZ$8,'Калькуляция (МИ)'!$AJ$8:$BC$8,0)),'Калькуляция (МИ)'!$F$25:$F$459,$F151,'Калькуляция (МИ)'!$G$25:$G$459,$G151))))</f>
        <v>0</v>
      </c>
      <c r="BA151" s="724">
        <f ca="1">IF(AY151=0,0,(AZ151-AY151)/AY151*100)</f>
        <v>0</v>
      </c>
      <c r="BB151" s="849">
        <f ca="1">IF(AND(method_reg="Метод индексации",god&lt;&gt;first_year),SUMIFS(INDEX('Калькуляция (МИ корр)'!$AJ$25:$BC$459,,MATCH(BB$8,'Калькуляция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(МИ)'!$AJ$25:$BC$459,,MATCH(BB$8,'Калькуляция (МИ)'!$AJ$8:$BC$8,0)),'Калькуляция (МИ)'!$F$25:$F$459,$F151,'Калькуляция (МИ)'!$G$25:$G$459,$G151))))</f>
        <v>0</v>
      </c>
      <c r="BC151" s="849">
        <f ca="1">IF(AND(method_reg="Метод индексации",god&lt;&gt;first_year),SUMIFS(INDEX('Калькуляция (МИ корр)'!$AJ$25:$BC$459,,MATCH(BC$8,'Калькуляция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(МИ)'!$AJ$25:$BC$459,,MATCH(BC$8,'Калькуляция (МИ)'!$AJ$8:$BC$8,0)),'Калькуляция (МИ)'!$F$25:$F$459,$F151,'Калькуляция (МИ)'!$G$25:$G$459,$G151))))</f>
        <v>0</v>
      </c>
      <c r="BD151" s="724">
        <f ca="1">IF(BB151=0,0,(BC151-BB151)/BB151*100)</f>
        <v>0</v>
      </c>
      <c r="BE151" s="849">
        <f ca="1">IF(AND(method_reg="Метод индексации",god&lt;&gt;first_year),SUMIFS(INDEX('Калькуляция (МИ корр)'!$AJ$25:$BC$459,,MATCH(BE$8,'Калькуляция (МИ корр)'!$AJ$8:$BC$8,0)),'Калькуляция (МИ корр)'!$F$25:$F$459,$F151,'Калькуляция (МИ корр)'!$G$25:$G$459,$G151),IF(method_reg="Метод экономически обоснованных расходов",SUMIFS('Калькуляция (МЭОР)'!$AJ$25:$AJ$282,'Калькуляция (МЭОР)'!$F$25:$F$282,$F151,'Калькуляция (МЭОР)'!$G$25:$G$282,$G151),IF(method_reg="Метод сравнения аналогов",SUMIFS('Калькуляция (МСА)'!$AE$25:$AE$84,'Калькуляция (МСА)'!$F$25:$F$84,$F151,'Калькуляция (МСА)'!$G$25:$G$84,$G151),SUMIFS(INDEX('Калькуляция (МИ)'!$AJ$25:$BC$459,,MATCH(BE$8,'Калькуляция (МИ)'!$AJ$8:$BC$8,0)),'Калькуляция (МИ)'!$F$25:$F$459,$F151,'Калькуляция (МИ)'!$G$25:$G$459,$G151))))</f>
        <v>0</v>
      </c>
      <c r="BF151" s="849">
        <f ca="1">IF(AND(method_reg="Метод индексации",god&lt;&gt;first_year),SUMIFS(INDEX('Калькуляция (МИ корр)'!$AJ$25:$BC$459,,MATCH(BF$8,'Калькуляция (МИ корр)'!$AJ$8:$BC$8,0)),'Калькуляция (МИ корр)'!$F$25:$F$459,$F151,'Калькуляция (МИ корр)'!$G$25:$G$459,$G151),IF(method_reg="Метод экономически обоснованных расходов",SUMIFS('Калькуляция (МЭОР)'!$AK$25:$AK$282,'Калькуляция (МЭОР)'!$F$25:$F$282,$F151,'Калькуляция (МЭОР)'!$G$25:$G$282,$G151),IF(method_reg="Метод сравнения аналогов",SUMIFS('Калькуляция (МСА)'!$AF$25:$AF$84,'Калькуляция (МСА)'!$F$25:$F$84,$F151,'Калькуляция (МСА)'!$G$25:$G$84,$G151),SUMIFS(INDEX('Калькуляция (МИ)'!$AJ$25:$BC$459,,MATCH(BF$8,'Калькуляция (МИ)'!$AJ$8:$BC$8,0)),'Калькуляция (МИ)'!$F$25:$F$459,$F151,'Калькуляция (МИ)'!$G$25:$G$459,$G151))))</f>
        <v>0</v>
      </c>
      <c r="BG151" s="724">
        <f ca="1">IF(BE151=0,0,(BF151-BE151)/BE151*100)</f>
        <v>0</v>
      </c>
      <c r="BH151" s="849"/>
      <c r="BI151" s="849"/>
      <c r="BJ151" s="724">
        <f>IF(BH151=0,0,(BI151-BH151)/BH151*100)</f>
        <v>0</v>
      </c>
      <c r="BK151" s="849"/>
      <c r="BL151" s="849"/>
      <c r="BM151" s="724">
        <f>IF(BK151=0,0,(BL151-BK151)/BK151*100)</f>
        <v>0</v>
      </c>
      <c r="BN151" s="849"/>
      <c r="BO151" s="849"/>
      <c r="BP151" s="724">
        <f>IF(BN151=0,0,(BO151-BN151)/BN151*100)</f>
        <v>0</v>
      </c>
      <c r="BQ151" s="849"/>
      <c r="BR151" s="849"/>
      <c r="BS151" s="724">
        <f>IF(BQ151=0,0,(BR151-BQ151)/BQ151*100)</f>
        <v>0</v>
      </c>
      <c r="BT151" s="849"/>
      <c r="BU151" s="849"/>
      <c r="BV151" s="724">
        <f>IF(BT151=0,0,(BU151-BT151)/BT151*100)</f>
        <v>0</v>
      </c>
      <c r="BW151" s="849"/>
      <c r="BX151" s="849"/>
      <c r="BY151" s="724">
        <f>IF(BW151=0,0,(BX151-BW151)/BW151*100)</f>
        <v>0</v>
      </c>
      <c r="BZ151" s="849"/>
      <c r="CA151" s="849"/>
      <c r="CB151" s="724">
        <f>IF(BZ151=0,0,(CA151-BZ151)/BZ151*100)</f>
        <v>0</v>
      </c>
      <c r="CC151" s="849"/>
      <c r="CD151" s="849"/>
      <c r="CE151" s="724">
        <f>IF(CC151=0,0,(CD151-CC151)/CC151*100)</f>
        <v>0</v>
      </c>
      <c r="CF151" s="849"/>
      <c r="CG151" s="849"/>
      <c r="CH151" s="724">
        <f>IF(CF151=0,0,(CG151-CF151)/CF151*100)</f>
        <v>0</v>
      </c>
      <c r="CI151" s="849"/>
      <c r="CJ151" s="849"/>
      <c r="CK151" s="724">
        <f>IF(CI151=0,0,(CJ151-CI151)/CI151*100)</f>
        <v>0</v>
      </c>
      <c r="CL151" s="849"/>
      <c r="CM151" s="849"/>
      <c r="CN151" s="724">
        <f>IF(CL151=0,0,(CM151-CL151)/CL151*100)</f>
        <v>0</v>
      </c>
      <c r="CO151" s="849"/>
      <c r="CP151" s="849"/>
      <c r="CQ151" s="724">
        <f>IF(CO151=0,0,(CP151-CO151)/CO151*100)</f>
        <v>0</v>
      </c>
      <c r="CR151" s="849"/>
      <c r="CS151" s="849"/>
      <c r="CT151" s="724">
        <f>IF(CR151=0,0,(CS151-CR151)/CR151*100)</f>
        <v>0</v>
      </c>
      <c r="CU151" s="849"/>
      <c r="CV151" s="849"/>
      <c r="CW151" s="724">
        <f>IF(CU151=0,0,(CV151-CU151)/CU151*100)</f>
        <v>0</v>
      </c>
      <c r="CX151" s="849"/>
      <c r="CY151" s="849"/>
      <c r="CZ151" s="724">
        <f>IF(CX151=0,0,(CY151-CX151)/CX151*100)</f>
        <v>0</v>
      </c>
      <c r="DA151" s="849"/>
      <c r="DB151" s="849"/>
      <c r="DC151" s="724">
        <f>IF(DA151=0,0,(DB151-DA151)/DA151*100)</f>
        <v>0</v>
      </c>
      <c r="DD151" s="849"/>
      <c r="DE151" s="849"/>
      <c r="DF151" s="724">
        <f>IF(DD151=0,0,(DE151-DD151)/DD151*100)</f>
        <v>0</v>
      </c>
      <c r="DG151" s="849"/>
      <c r="DH151" s="849"/>
      <c r="DI151" s="724">
        <f>IF(DG151=0,0,(DH151-DG151)/DG151*100)</f>
        <v>0</v>
      </c>
      <c r="DJ151" s="849"/>
      <c r="DK151" s="849"/>
      <c r="DL151" s="724">
        <f>IF(DJ151=0,0,(DK151-DJ151)/DJ151*100)</f>
        <v>0</v>
      </c>
      <c r="DM151" s="849"/>
      <c r="DN151" s="849"/>
      <c r="DO151" s="724">
        <f>IF(DM151=0,0,(DN151-DM151)/DM151*100)</f>
        <v>0</v>
      </c>
      <c r="DP151" s="849"/>
      <c r="DQ151" s="849"/>
      <c r="DR151" s="724">
        <f>IF(DP151=0,0,(DQ151-DP151)/DP151*100)</f>
        <v>0</v>
      </c>
      <c r="DS151" s="849"/>
      <c r="DT151" s="849"/>
      <c r="DU151" s="724">
        <f>IF(DS151=0,0,(DT151-DS151)/DS151*100)</f>
        <v>0</v>
      </c>
      <c r="DV151" s="849"/>
      <c r="DW151" s="849"/>
      <c r="DX151" s="724">
        <f>IF(DV151=0,0,(DW151-DV151)/DV151*100)</f>
        <v>0</v>
      </c>
      <c r="DY151" s="849"/>
      <c r="DZ151" s="849"/>
      <c r="EA151" s="724">
        <f>IF(DY151=0,0,(DZ151-DY151)/DY151*100)</f>
        <v>0</v>
      </c>
      <c r="EB151" s="849"/>
      <c r="EC151" s="849"/>
      <c r="ED151" s="724">
        <f>IF(EB151=0,0,(EC151-EB151)/EB151*100)</f>
        <v>0</v>
      </c>
      <c r="EE151" s="849"/>
      <c r="EF151" s="849"/>
      <c r="EG151" s="724">
        <f>IF(EE151=0,0,(EF151-EE151)/EE151*100)</f>
        <v>0</v>
      </c>
      <c r="EH151" s="849"/>
      <c r="EI151" s="849"/>
      <c r="EJ151" s="724">
        <f>IF(EH151=0,0,(EI151-EH151)/EH151*100)</f>
        <v>0</v>
      </c>
      <c r="EK151" s="849"/>
      <c r="EL151" s="849"/>
      <c r="EM151" s="724">
        <f>IF(EK151=0,0,(EL151-EK151)/EK151*100)</f>
        <v>0</v>
      </c>
      <c r="EN151" s="849"/>
      <c r="EO151" s="849"/>
      <c r="EP151" s="724">
        <f>IF(EN151=0,0,(EO151-EN151)/EN151*100)</f>
        <v>0</v>
      </c>
      <c r="EQ151" s="849"/>
      <c r="ER151" s="849"/>
      <c r="ES151" s="724">
        <f>IF(EQ151=0,0,(ER151-EQ151)/EQ151*100)</f>
        <v>0</v>
      </c>
      <c r="ET151" s="849"/>
      <c r="EU151" s="849"/>
      <c r="EV151" s="724">
        <f>IF(ET151=0,0,(EU151-ET151)/ET151*100)</f>
        <v>0</v>
      </c>
      <c r="EW151" s="849"/>
      <c r="EX151" s="849"/>
      <c r="EY151" s="724">
        <f>IF(EW151=0,0,(EX151-EW151)/EW151*100)</f>
        <v>0</v>
      </c>
      <c r="EZ151" s="849"/>
      <c r="FA151" s="849"/>
      <c r="FB151" s="724">
        <f>IF(EZ151=0,0,(FA151-EZ151)/EZ151*100)</f>
        <v>0</v>
      </c>
      <c r="FC151" s="849"/>
      <c r="FD151" s="849"/>
      <c r="FE151" s="724">
        <f>IF(FC151=0,0,(FD151-FC151)/FC151*100)</f>
        <v>0</v>
      </c>
      <c r="FF151" s="849"/>
      <c r="FG151" s="849"/>
      <c r="FH151" s="724">
        <f>IF(FF151=0,0,(FG151-FF151)/FF151*100)</f>
        <v>0</v>
      </c>
      <c r="FI151" s="849"/>
      <c r="FJ151" s="849"/>
      <c r="FK151" s="724">
        <f>IF(FI151=0,0,(FJ151-FI151)/FI151*100)</f>
        <v>0</v>
      </c>
      <c r="FL151" s="849"/>
      <c r="FM151" s="849"/>
      <c r="FN151" s="724">
        <f>IF(FL151=0,0,(FM151-FL151)/FL151*100)</f>
        <v>0</v>
      </c>
      <c r="FO151" s="849"/>
      <c r="FP151" s="849"/>
      <c r="FQ151" s="724">
        <f>IF(FO151=0,0,(FP151-FO151)/FO151*100)</f>
        <v>0</v>
      </c>
      <c r="FR151" s="849"/>
      <c r="FS151" s="849"/>
      <c r="FT151" s="724">
        <f>IF(FR151=0,0,(FS151-FR151)/FR151*100)</f>
        <v>0</v>
      </c>
      <c r="FU151" s="849"/>
      <c r="FV151" s="849"/>
      <c r="FW151" s="724">
        <f>IF(FU151=0,0,(FV151-FU151)/FU151*100)</f>
        <v>0</v>
      </c>
      <c r="FX151" s="219"/>
      <c r="FZ151" s="700" t="s">
        <v>1710</v>
      </c>
    </row>
    <row r="152" spans="1:186" ht="18" hidden="1" customHeight="1">
      <c r="A152" s="78"/>
      <c r="B152" s="622" t="b" cm="1">
        <f t="array" ref="B152">B151</f>
        <v>0</v>
      </c>
      <c r="C152" s="78"/>
      <c r="D152" s="78"/>
      <c r="E152" s="473">
        <v>18.75</v>
      </c>
      <c r="F152" s="3" t="str" cm="1">
        <f t="array" aca="1" ref="F152" ca="1">OFFSET(E152,-1,1)</f>
        <v>1</v>
      </c>
      <c r="G152" s="78"/>
      <c r="H152" s="78" t="s">
        <v>461</v>
      </c>
      <c r="I152" s="78" cm="1">
        <f t="array" ref="I152">AB152</f>
        <v>0</v>
      </c>
      <c r="J152" s="78"/>
      <c r="K152" s="78"/>
      <c r="L152" s="78"/>
      <c r="M152" s="78"/>
      <c r="N152" s="78"/>
      <c r="O152" s="78"/>
      <c r="P152" s="78"/>
      <c r="Q152" s="78"/>
      <c r="R152" s="78"/>
      <c r="S152" s="78"/>
      <c r="T152" s="365" t="b">
        <f ca="1">AND(F152&gt;0,Y152&gt;0)</f>
        <v>0</v>
      </c>
      <c r="U152" s="78"/>
      <c r="V152" s="78"/>
      <c r="W152" s="78" t="s">
        <v>173</v>
      </c>
      <c r="X152" s="1094"/>
      <c r="Y152" s="78">
        <v>0</v>
      </c>
      <c r="Z152" s="1064"/>
      <c r="AA152" s="493" t="s">
        <v>174</v>
      </c>
      <c r="AB152" s="875"/>
      <c r="AC152" s="31" t="s">
        <v>1624</v>
      </c>
      <c r="AD152" s="833"/>
      <c r="AE152" s="945"/>
      <c r="AF152" s="723">
        <f>IF(AD152=0,0,(AE152-AD152)/AD152*100)</f>
        <v>0</v>
      </c>
      <c r="AG152" s="945"/>
      <c r="AH152" s="945"/>
      <c r="AI152" s="723">
        <f>IF(AG152=0,0,(AH152-AG152)/AG152*100)</f>
        <v>0</v>
      </c>
      <c r="AJ152" s="945"/>
      <c r="AK152" s="945"/>
      <c r="AL152" s="723">
        <f>IF(AJ152=0,0,(AK152-AJ152)/AJ152*100)</f>
        <v>0</v>
      </c>
      <c r="AM152" s="945"/>
      <c r="AN152" s="945"/>
      <c r="AO152" s="723">
        <f>IF(AM152=0,0,(AN152-AM152)/AM152*100)</f>
        <v>0</v>
      </c>
      <c r="AP152" s="945"/>
      <c r="AQ152" s="945"/>
      <c r="AR152" s="723">
        <f>IF(AP152=0,0,(AQ152-AP152)/AP152*100)</f>
        <v>0</v>
      </c>
      <c r="AS152" s="945"/>
      <c r="AT152" s="945"/>
      <c r="AU152" s="723">
        <f>IF(AS152=0,0,(AT152-AS152)/AS152*100)</f>
        <v>0</v>
      </c>
      <c r="AV152" s="945"/>
      <c r="AW152" s="945"/>
      <c r="AX152" s="723">
        <f>IF(AV152=0,0,(AW152-AV152)/AV152*100)</f>
        <v>0</v>
      </c>
      <c r="AY152" s="945"/>
      <c r="AZ152" s="945"/>
      <c r="BA152" s="723">
        <f>IF(AY152=0,0,(AZ152-AY152)/AY152*100)</f>
        <v>0</v>
      </c>
      <c r="BB152" s="945"/>
      <c r="BC152" s="945"/>
      <c r="BD152" s="723">
        <f>IF(BB152=0,0,(BC152-BB152)/BB152*100)</f>
        <v>0</v>
      </c>
      <c r="BE152" s="945"/>
      <c r="BF152" s="945"/>
      <c r="BG152" s="723">
        <f>IF(BE152=0,0,(BF152-BE152)/BE152*100)</f>
        <v>0</v>
      </c>
      <c r="BH152" s="945"/>
      <c r="BI152" s="945"/>
      <c r="BJ152" s="723">
        <f>IF(BH152=0,0,(BI152-BH152)/BH152*100)</f>
        <v>0</v>
      </c>
      <c r="BK152" s="945"/>
      <c r="BL152" s="945"/>
      <c r="BM152" s="723">
        <f>IF(BK152=0,0,(BL152-BK152)/BK152*100)</f>
        <v>0</v>
      </c>
      <c r="BN152" s="945"/>
      <c r="BO152" s="945"/>
      <c r="BP152" s="723">
        <f>IF(BN152=0,0,(BO152-BN152)/BN152*100)</f>
        <v>0</v>
      </c>
      <c r="BQ152" s="945"/>
      <c r="BR152" s="945"/>
      <c r="BS152" s="723">
        <f>IF(BQ152=0,0,(BR152-BQ152)/BQ152*100)</f>
        <v>0</v>
      </c>
      <c r="BT152" s="945"/>
      <c r="BU152" s="945"/>
      <c r="BV152" s="723">
        <f>IF(BT152=0,0,(BU152-BT152)/BT152*100)</f>
        <v>0</v>
      </c>
      <c r="BW152" s="945"/>
      <c r="BX152" s="945"/>
      <c r="BY152" s="723">
        <f>IF(BW152=0,0,(BX152-BW152)/BW152*100)</f>
        <v>0</v>
      </c>
      <c r="BZ152" s="945"/>
      <c r="CA152" s="945"/>
      <c r="CB152" s="723">
        <f>IF(BZ152=0,0,(CA152-BZ152)/BZ152*100)</f>
        <v>0</v>
      </c>
      <c r="CC152" s="945"/>
      <c r="CD152" s="945"/>
      <c r="CE152" s="723">
        <f>IF(CC152=0,0,(CD152-CC152)/CC152*100)</f>
        <v>0</v>
      </c>
      <c r="CF152" s="945"/>
      <c r="CG152" s="945"/>
      <c r="CH152" s="723">
        <f>IF(CF152=0,0,(CG152-CF152)/CF152*100)</f>
        <v>0</v>
      </c>
      <c r="CI152" s="945"/>
      <c r="CJ152" s="945"/>
      <c r="CK152" s="723">
        <f>IF(CI152=0,0,(CJ152-CI152)/CI152*100)</f>
        <v>0</v>
      </c>
      <c r="CL152" s="945"/>
      <c r="CM152" s="945"/>
      <c r="CN152" s="723">
        <f>IF(CL152=0,0,(CM152-CL152)/CL152*100)</f>
        <v>0</v>
      </c>
      <c r="CO152" s="945"/>
      <c r="CP152" s="945"/>
      <c r="CQ152" s="723">
        <f>IF(CO152=0,0,(CP152-CO152)/CO152*100)</f>
        <v>0</v>
      </c>
      <c r="CR152" s="945"/>
      <c r="CS152" s="945"/>
      <c r="CT152" s="723">
        <f>IF(CR152=0,0,(CS152-CR152)/CR152*100)</f>
        <v>0</v>
      </c>
      <c r="CU152" s="945"/>
      <c r="CV152" s="945"/>
      <c r="CW152" s="723">
        <f>IF(CU152=0,0,(CV152-CU152)/CU152*100)</f>
        <v>0</v>
      </c>
      <c r="CX152" s="945"/>
      <c r="CY152" s="945"/>
      <c r="CZ152" s="723">
        <f>IF(CX152=0,0,(CY152-CX152)/CX152*100)</f>
        <v>0</v>
      </c>
      <c r="DA152" s="945"/>
      <c r="DB152" s="945"/>
      <c r="DC152" s="723">
        <f>IF(DA152=0,0,(DB152-DA152)/DA152*100)</f>
        <v>0</v>
      </c>
      <c r="DD152" s="945"/>
      <c r="DE152" s="945"/>
      <c r="DF152" s="723">
        <f>IF(DD152=0,0,(DE152-DD152)/DD152*100)</f>
        <v>0</v>
      </c>
      <c r="DG152" s="945"/>
      <c r="DH152" s="945"/>
      <c r="DI152" s="723">
        <f>IF(DG152=0,0,(DH152-DG152)/DG152*100)</f>
        <v>0</v>
      </c>
      <c r="DJ152" s="945"/>
      <c r="DK152" s="945"/>
      <c r="DL152" s="723">
        <f>IF(DJ152=0,0,(DK152-DJ152)/DJ152*100)</f>
        <v>0</v>
      </c>
      <c r="DM152" s="945"/>
      <c r="DN152" s="945"/>
      <c r="DO152" s="723">
        <f>IF(DM152=0,0,(DN152-DM152)/DM152*100)</f>
        <v>0</v>
      </c>
      <c r="DP152" s="945"/>
      <c r="DQ152" s="945"/>
      <c r="DR152" s="723">
        <f>IF(DP152=0,0,(DQ152-DP152)/DP152*100)</f>
        <v>0</v>
      </c>
      <c r="DS152" s="945"/>
      <c r="DT152" s="945"/>
      <c r="DU152" s="723">
        <f>IF(DS152=0,0,(DT152-DS152)/DS152*100)</f>
        <v>0</v>
      </c>
      <c r="DV152" s="945"/>
      <c r="DW152" s="945"/>
      <c r="DX152" s="723">
        <f>IF(DV152=0,0,(DW152-DV152)/DV152*100)</f>
        <v>0</v>
      </c>
      <c r="DY152" s="945"/>
      <c r="DZ152" s="945"/>
      <c r="EA152" s="723">
        <f>IF(DY152=0,0,(DZ152-DY152)/DY152*100)</f>
        <v>0</v>
      </c>
      <c r="EB152" s="945"/>
      <c r="EC152" s="945"/>
      <c r="ED152" s="723">
        <f>IF(EB152=0,0,(EC152-EB152)/EB152*100)</f>
        <v>0</v>
      </c>
      <c r="EE152" s="945"/>
      <c r="EF152" s="945"/>
      <c r="EG152" s="723">
        <f>IF(EE152=0,0,(EF152-EE152)/EE152*100)</f>
        <v>0</v>
      </c>
      <c r="EH152" s="945"/>
      <c r="EI152" s="945"/>
      <c r="EJ152" s="723">
        <f>IF(EH152=0,0,(EI152-EH152)/EH152*100)</f>
        <v>0</v>
      </c>
      <c r="EK152" s="945"/>
      <c r="EL152" s="945"/>
      <c r="EM152" s="723">
        <f>IF(EK152=0,0,(EL152-EK152)/EK152*100)</f>
        <v>0</v>
      </c>
      <c r="EN152" s="945"/>
      <c r="EO152" s="945"/>
      <c r="EP152" s="723">
        <f>IF(EN152=0,0,(EO152-EN152)/EN152*100)</f>
        <v>0</v>
      </c>
      <c r="EQ152" s="945"/>
      <c r="ER152" s="945"/>
      <c r="ES152" s="723">
        <f>IF(EQ152=0,0,(ER152-EQ152)/EQ152*100)</f>
        <v>0</v>
      </c>
      <c r="ET152" s="945"/>
      <c r="EU152" s="945"/>
      <c r="EV152" s="723">
        <f>IF(ET152=0,0,(EU152-ET152)/ET152*100)</f>
        <v>0</v>
      </c>
      <c r="EW152" s="945"/>
      <c r="EX152" s="945"/>
      <c r="EY152" s="723">
        <f>IF(EW152=0,0,(EX152-EW152)/EW152*100)</f>
        <v>0</v>
      </c>
      <c r="EZ152" s="945"/>
      <c r="FA152" s="945"/>
      <c r="FB152" s="723">
        <f>IF(EZ152=0,0,(FA152-EZ152)/EZ152*100)</f>
        <v>0</v>
      </c>
      <c r="FC152" s="945"/>
      <c r="FD152" s="945"/>
      <c r="FE152" s="723">
        <f>IF(FC152=0,0,(FD152-FC152)/FC152*100)</f>
        <v>0</v>
      </c>
      <c r="FF152" s="945"/>
      <c r="FG152" s="945"/>
      <c r="FH152" s="723">
        <f>IF(FF152=0,0,(FG152-FF152)/FF152*100)</f>
        <v>0</v>
      </c>
      <c r="FI152" s="945"/>
      <c r="FJ152" s="945"/>
      <c r="FK152" s="723">
        <f>IF(FI152=0,0,(FJ152-FI152)/FI152*100)</f>
        <v>0</v>
      </c>
      <c r="FL152" s="945"/>
      <c r="FM152" s="945"/>
      <c r="FN152" s="723">
        <f>IF(FL152=0,0,(FM152-FL152)/FL152*100)</f>
        <v>0</v>
      </c>
      <c r="FO152" s="945"/>
      <c r="FP152" s="945"/>
      <c r="FQ152" s="723">
        <f>IF(FO152=0,0,(FP152-FO152)/FO152*100)</f>
        <v>0</v>
      </c>
      <c r="FR152" s="945"/>
      <c r="FS152" s="945"/>
      <c r="FT152" s="723">
        <f>IF(FR152=0,0,(FS152-FR152)/FR152*100)</f>
        <v>0</v>
      </c>
      <c r="FU152" s="945"/>
      <c r="FV152" s="945"/>
      <c r="FW152" s="723">
        <f>IF(FU152=0,0,(FV152-FU152)/FU152*100)</f>
        <v>0</v>
      </c>
      <c r="FX152" s="219"/>
      <c r="FZ152" s="700" t="s">
        <v>1711</v>
      </c>
      <c r="GA152" s="680" t="s">
        <v>1712</v>
      </c>
      <c r="GB152" s="680" cm="1">
        <f t="array" ref="GB152">AB152</f>
        <v>0</v>
      </c>
      <c r="GD152" s="472" t="b">
        <v>1</v>
      </c>
    </row>
    <row r="153" spans="1:186" ht="14.25" hidden="1" customHeight="1">
      <c r="B153" s="622" t="b" cm="1">
        <f t="array" ref="B153">B152</f>
        <v>0</v>
      </c>
      <c r="D153" s="78"/>
      <c r="E153" s="473">
        <v>15</v>
      </c>
      <c r="F153" s="3" t="str" cm="1">
        <f t="array" aca="1" ref="F153" ca="1">OFFSET(E153,-1,1)</f>
        <v>1</v>
      </c>
      <c r="G153" s="78"/>
      <c r="I153" s="36" t="s">
        <v>1713</v>
      </c>
      <c r="T153" s="365" t="b">
        <f ca="1">F153&gt;0</f>
        <v>1</v>
      </c>
      <c r="W153" s="528" t="s">
        <v>1654</v>
      </c>
      <c r="X153" s="1094"/>
      <c r="Z153" s="1064"/>
      <c r="AB153" s="191" t="s">
        <v>177</v>
      </c>
      <c r="AC153" s="195"/>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193"/>
      <c r="BF153" s="193"/>
      <c r="BG153" s="193"/>
      <c r="BH153" s="193"/>
      <c r="BI153" s="193"/>
      <c r="BJ153" s="193"/>
      <c r="BK153" s="193"/>
      <c r="BL153" s="193"/>
      <c r="BM153" s="193"/>
      <c r="BN153" s="193"/>
      <c r="BO153" s="193"/>
      <c r="BP153" s="193"/>
      <c r="BQ153" s="193"/>
      <c r="BR153" s="193"/>
      <c r="BS153" s="193"/>
      <c r="BT153" s="193"/>
      <c r="BU153" s="193"/>
      <c r="BV153" s="193"/>
      <c r="BW153" s="193"/>
      <c r="BX153" s="193"/>
      <c r="BY153" s="193"/>
      <c r="BZ153" s="193"/>
      <c r="CA153" s="193"/>
      <c r="CB153" s="193"/>
      <c r="CC153" s="193"/>
      <c r="CD153" s="193"/>
      <c r="CE153" s="193"/>
      <c r="CF153" s="193"/>
      <c r="CG153" s="193"/>
      <c r="CH153" s="193"/>
      <c r="CI153" s="193"/>
      <c r="CJ153" s="193"/>
      <c r="CK153" s="193"/>
      <c r="CL153" s="193"/>
      <c r="CM153" s="193"/>
      <c r="CN153" s="193"/>
      <c r="CO153" s="193"/>
      <c r="CP153" s="193"/>
      <c r="CQ153" s="193"/>
      <c r="CR153" s="193"/>
      <c r="CS153" s="193"/>
      <c r="CT153" s="193"/>
      <c r="CU153" s="193"/>
      <c r="CV153" s="193"/>
      <c r="CW153" s="193"/>
      <c r="CX153" s="193"/>
      <c r="CY153" s="193"/>
      <c r="CZ153" s="193"/>
      <c r="DA153" s="193"/>
      <c r="DB153" s="193"/>
      <c r="DC153" s="193"/>
      <c r="DD153" s="193"/>
      <c r="DE153" s="193"/>
      <c r="DF153" s="193"/>
      <c r="DG153" s="193"/>
      <c r="DH153" s="193"/>
      <c r="DI153" s="193"/>
      <c r="DJ153" s="193"/>
      <c r="DK153" s="193"/>
      <c r="DL153" s="193"/>
      <c r="DM153" s="193"/>
      <c r="DN153" s="193"/>
      <c r="DO153" s="193"/>
      <c r="DP153" s="193"/>
      <c r="DQ153" s="193"/>
      <c r="DR153" s="193"/>
      <c r="DS153" s="193"/>
      <c r="DT153" s="193"/>
      <c r="DU153" s="193"/>
      <c r="DV153" s="193"/>
      <c r="DW153" s="193"/>
      <c r="DX153" s="193"/>
      <c r="DY153" s="193"/>
      <c r="DZ153" s="193"/>
      <c r="EA153" s="193"/>
      <c r="EB153" s="193"/>
      <c r="EC153" s="193"/>
      <c r="ED153" s="193"/>
      <c r="EE153" s="193"/>
      <c r="EF153" s="193"/>
      <c r="EG153" s="193"/>
      <c r="EH153" s="193"/>
      <c r="EI153" s="193"/>
      <c r="EJ153" s="193"/>
      <c r="EK153" s="193"/>
      <c r="EL153" s="193"/>
      <c r="EM153" s="193"/>
      <c r="EN153" s="193"/>
      <c r="EO153" s="193"/>
      <c r="EP153" s="193"/>
      <c r="EQ153" s="193"/>
      <c r="ER153" s="193"/>
      <c r="ES153" s="193"/>
      <c r="ET153" s="193"/>
      <c r="EU153" s="193"/>
      <c r="EV153" s="193"/>
      <c r="EW153" s="193"/>
      <c r="EX153" s="193"/>
      <c r="EY153" s="193"/>
      <c r="EZ153" s="193"/>
      <c r="FA153" s="193"/>
      <c r="FB153" s="193"/>
      <c r="FC153" s="193"/>
      <c r="FD153" s="193"/>
      <c r="FE153" s="193"/>
      <c r="FF153" s="193"/>
      <c r="FG153" s="193"/>
      <c r="FH153" s="193"/>
      <c r="FI153" s="193"/>
      <c r="FJ153" s="193"/>
      <c r="FK153" s="193"/>
      <c r="FL153" s="193"/>
      <c r="FM153" s="193"/>
      <c r="FN153" s="193"/>
      <c r="FO153" s="193"/>
      <c r="FP153" s="193"/>
      <c r="FQ153" s="193"/>
      <c r="FR153" s="193"/>
      <c r="FS153" s="193"/>
      <c r="FT153" s="193"/>
      <c r="FU153" s="193"/>
      <c r="FV153" s="193"/>
      <c r="FW153" s="194"/>
      <c r="GC153" s="472" t="s">
        <v>1712</v>
      </c>
    </row>
    <row r="154" spans="1:186" ht="10.5" customHeight="1">
      <c r="B154" s="607"/>
      <c r="D154" s="78"/>
      <c r="E154" s="473">
        <v>11.5</v>
      </c>
      <c r="G154" s="78"/>
      <c r="T154" s="365" t="b" cm="1">
        <f t="array" aca="1" ref="T154" ca="1">T153</f>
        <v>1</v>
      </c>
      <c r="W154" s="528"/>
      <c r="X154" s="1094"/>
      <c r="Z154" s="1064"/>
      <c r="FZ154" s="670"/>
      <c r="GA154" s="670"/>
      <c r="GB154" s="664"/>
      <c r="GC154" s="465"/>
      <c r="GD154" s="465"/>
    </row>
    <row r="155" spans="1:186" ht="14.25" customHeight="1">
      <c r="A155" s="78"/>
      <c r="C155" s="78"/>
      <c r="D155" s="78"/>
      <c r="E155" s="473">
        <v>15</v>
      </c>
      <c r="F155" s="384" t="str" cm="1">
        <f t="array" ref="F155">X155</f>
        <v>2</v>
      </c>
      <c r="G155" s="78" t="str" cm="1">
        <f t="array" ref="G155">INDEX('Общие сведения'!$AK$179:$AK$222,MATCH($X155,'Общие сведения'!$Z$179:$Z$222,0))</f>
        <v>одноставочный</v>
      </c>
      <c r="H155" s="78"/>
      <c r="I155" s="78"/>
      <c r="J155" s="78"/>
      <c r="K155" s="78"/>
      <c r="L155" s="78"/>
      <c r="M155" s="78"/>
      <c r="N155" s="78"/>
      <c r="O155" s="78"/>
      <c r="P155" s="78"/>
      <c r="Q155" s="78" t="str" cm="1">
        <f t="array" ref="Q155">INDEX('Общие сведения'!$AE$179:$AE$222,MATCH($X155,'Общие сведения'!$Z$179:$Z$222,0))</f>
        <v>Водоотведение</v>
      </c>
      <c r="R155" s="377" t="str" cm="1">
        <f t="array" ref="R155">INDEX('Общие сведения'!$AK$179:$AK$222,MATCH($X155,'Общие сведения'!$Z$179:$Z$222,0))</f>
        <v>одноставочный</v>
      </c>
      <c r="S155" s="78" t="b" cm="1">
        <f t="array" ref="S155">INDEX('Общие сведения'!$AN$179:$AN$222,MATCH($X155,'Общие сведения'!$Z$179:$Z$222,0))</f>
        <v>0</v>
      </c>
      <c r="T155" s="365" t="b">
        <f>X155&gt;0</f>
        <v>1</v>
      </c>
      <c r="U155" s="78"/>
      <c r="V155" s="78" t="str" cm="1">
        <f t="array" ref="V155">'Корректировка НВВ'!$AB$129</f>
        <v>Тариф 2 (Водоотведение) - тариф на водоотведение (Доп. признак не требуется)</v>
      </c>
      <c r="W155" s="78"/>
      <c r="X155" s="1094" t="s">
        <v>285</v>
      </c>
      <c r="Y155" s="78"/>
      <c r="Z155" s="1064"/>
      <c r="AA155" s="78"/>
      <c r="AB155" s="1173" t="s">
        <v>22</v>
      </c>
      <c r="AC155" s="1174"/>
      <c r="AD155" s="1170" t="str" cm="1">
        <f t="array" ref="AD155">'Корректировка НВВ'!$AB$129</f>
        <v>Тариф 2 (Водоотведение) - тариф на водоотведение (Доп. признак не требуется)</v>
      </c>
      <c r="AE155" s="1182"/>
      <c r="AF155" s="1182"/>
      <c r="AG155" s="1182"/>
      <c r="AH155" s="1182"/>
      <c r="AI155" s="1182"/>
      <c r="AJ155" s="1182"/>
      <c r="AK155" s="1182"/>
      <c r="AL155" s="1182"/>
      <c r="AM155" s="1182"/>
      <c r="AN155" s="1182"/>
      <c r="AO155" s="1182"/>
      <c r="AP155" s="1182"/>
      <c r="AQ155" s="1182"/>
      <c r="AR155" s="1182"/>
      <c r="AS155" s="1182"/>
      <c r="AT155" s="1182"/>
      <c r="AU155" s="1182"/>
      <c r="AV155" s="1182"/>
      <c r="AW155" s="1182"/>
      <c r="AX155" s="1182"/>
      <c r="AY155" s="1182"/>
      <c r="AZ155" s="1182"/>
      <c r="BA155" s="1182"/>
      <c r="BB155" s="1182"/>
      <c r="BC155" s="1182"/>
      <c r="BD155" s="1182"/>
      <c r="BE155" s="1182"/>
      <c r="BF155" s="1182"/>
      <c r="BG155" s="1182"/>
      <c r="BH155" s="1182"/>
      <c r="BI155" s="1182"/>
      <c r="BJ155" s="1182"/>
      <c r="BK155" s="1182"/>
      <c r="BL155" s="1182"/>
      <c r="BM155" s="1182"/>
      <c r="BN155" s="1182"/>
      <c r="BO155" s="1182"/>
      <c r="BP155" s="1182"/>
      <c r="BQ155" s="1182"/>
      <c r="BR155" s="1182"/>
      <c r="BS155" s="1182"/>
      <c r="BT155" s="1182"/>
      <c r="BU155" s="1182"/>
      <c r="BV155" s="1182"/>
      <c r="BW155" s="1182"/>
      <c r="BX155" s="1182"/>
      <c r="BY155" s="1182"/>
      <c r="BZ155" s="1182"/>
      <c r="CA155" s="1182"/>
      <c r="CB155" s="1182"/>
      <c r="CC155" s="1182"/>
      <c r="CD155" s="1182"/>
      <c r="CE155" s="1182"/>
      <c r="CF155" s="1182"/>
      <c r="CG155" s="1182"/>
      <c r="CH155" s="1182"/>
      <c r="CI155" s="1182"/>
      <c r="CJ155" s="1182"/>
      <c r="CK155" s="1182"/>
      <c r="CL155" s="1182"/>
      <c r="CM155" s="1182"/>
      <c r="CN155" s="1182"/>
      <c r="CO155" s="1182"/>
      <c r="CP155" s="1182"/>
      <c r="CQ155" s="1182"/>
      <c r="CR155" s="1182"/>
      <c r="CS155" s="1182"/>
      <c r="CT155" s="1182"/>
      <c r="CU155" s="1182"/>
      <c r="CV155" s="1182"/>
      <c r="CW155" s="1182"/>
      <c r="CX155" s="1182"/>
      <c r="CY155" s="1182"/>
      <c r="CZ155" s="1182"/>
      <c r="DA155" s="1182"/>
      <c r="DB155" s="1182"/>
      <c r="DC155" s="1182"/>
      <c r="DD155" s="1182"/>
      <c r="DE155" s="1182"/>
      <c r="DF155" s="1182"/>
      <c r="DG155" s="1182"/>
      <c r="DH155" s="1182"/>
      <c r="DI155" s="1182"/>
      <c r="DJ155" s="1182"/>
      <c r="DK155" s="1182"/>
      <c r="DL155" s="1182"/>
      <c r="DM155" s="1182"/>
      <c r="DN155" s="1182"/>
      <c r="DO155" s="1182"/>
      <c r="DP155" s="1182"/>
      <c r="DQ155" s="1182"/>
      <c r="DR155" s="1182"/>
      <c r="DS155" s="1182"/>
      <c r="DT155" s="1182"/>
      <c r="DU155" s="1182"/>
      <c r="DV155" s="1182"/>
      <c r="DW155" s="1182"/>
      <c r="DX155" s="1182"/>
      <c r="DY155" s="1182"/>
      <c r="DZ155" s="1182"/>
      <c r="EA155" s="1182"/>
      <c r="EB155" s="1182"/>
      <c r="EC155" s="1182"/>
      <c r="ED155" s="1182"/>
      <c r="EE155" s="1182"/>
      <c r="EF155" s="1182"/>
      <c r="EG155" s="1182"/>
      <c r="EH155" s="1182"/>
      <c r="EI155" s="1182"/>
      <c r="EJ155" s="1182"/>
      <c r="EK155" s="1182"/>
      <c r="EL155" s="1182"/>
      <c r="EM155" s="1182"/>
      <c r="EN155" s="1182"/>
      <c r="EO155" s="1182"/>
      <c r="EP155" s="1182"/>
      <c r="EQ155" s="1182"/>
      <c r="ER155" s="1182"/>
      <c r="ES155" s="1182"/>
      <c r="ET155" s="1182"/>
      <c r="EU155" s="1182"/>
      <c r="EV155" s="1182"/>
      <c r="EW155" s="1182"/>
      <c r="EX155" s="1182"/>
      <c r="EY155" s="1182"/>
      <c r="EZ155" s="1182"/>
      <c r="FA155" s="1182"/>
      <c r="FB155" s="1182"/>
      <c r="FC155" s="1182"/>
      <c r="FD155" s="1182"/>
      <c r="FE155" s="1182"/>
      <c r="FF155" s="1182"/>
      <c r="FG155" s="1182"/>
      <c r="FH155" s="1182"/>
      <c r="FI155" s="1182"/>
      <c r="FJ155" s="1182"/>
      <c r="FK155" s="1182"/>
      <c r="FL155" s="1182"/>
      <c r="FM155" s="1182"/>
      <c r="FN155" s="1182"/>
      <c r="FO155" s="1182"/>
      <c r="FP155" s="1182"/>
      <c r="FQ155" s="1182"/>
      <c r="FR155" s="1182"/>
      <c r="FS155" s="1182"/>
      <c r="FT155" s="1182"/>
      <c r="FU155" s="1182"/>
      <c r="FV155" s="1182"/>
      <c r="FW155" s="1183"/>
    </row>
    <row r="156" spans="1:186" ht="14.25" customHeight="1">
      <c r="A156" s="78"/>
      <c r="C156" s="78"/>
      <c r="D156" s="78"/>
      <c r="E156" s="473">
        <v>15</v>
      </c>
      <c r="F156" s="3" t="str" cm="1">
        <f t="array" aca="1" ref="F156" ca="1">OFFSET(E156,-1,1)</f>
        <v>2</v>
      </c>
      <c r="G156" s="78"/>
      <c r="H156" s="78"/>
      <c r="I156" s="78"/>
      <c r="J156" s="78"/>
      <c r="K156" s="78"/>
      <c r="L156" s="78"/>
      <c r="M156" s="78"/>
      <c r="N156" s="78"/>
      <c r="O156" s="78"/>
      <c r="P156" s="78"/>
      <c r="Q156" s="78"/>
      <c r="R156" s="377"/>
      <c r="S156" s="377"/>
      <c r="T156" s="365" t="b" cm="1">
        <f t="array" ref="T156">T155</f>
        <v>1</v>
      </c>
      <c r="U156" s="78"/>
      <c r="V156" s="78"/>
      <c r="W156" s="78"/>
      <c r="X156" s="1094"/>
      <c r="Y156" s="78"/>
      <c r="Z156" s="1064"/>
      <c r="AA156" s="78"/>
      <c r="AB156" s="1041" t="str">
        <f>"Вид "&amp;IF(ISERROR(SEARCH("Водоснабжение",AD155)),"сточных вод","воды")</f>
        <v>Вид сточных вод</v>
      </c>
      <c r="AC156" s="1042"/>
      <c r="AD156" s="1170" t="str" cm="1">
        <f t="array" ref="AD156">INDEX('Общие сведения'!$AH$179:$AH$222,MATCH($X155,'Общие сведения'!$Z$179:$Z$222,0))</f>
        <v>без дифференциации</v>
      </c>
      <c r="AE156" s="1171"/>
      <c r="AF156" s="1171"/>
      <c r="AG156" s="1171"/>
      <c r="AH156" s="1171"/>
      <c r="AI156" s="1171"/>
      <c r="AJ156" s="1171"/>
      <c r="AK156" s="1171"/>
      <c r="AL156" s="1171"/>
      <c r="AM156" s="1171"/>
      <c r="AN156" s="1171"/>
      <c r="AO156" s="1171"/>
      <c r="AP156" s="1171"/>
      <c r="AQ156" s="1171"/>
      <c r="AR156" s="1171"/>
      <c r="AS156" s="1171"/>
      <c r="AT156" s="1171"/>
      <c r="AU156" s="1171"/>
      <c r="AV156" s="1171"/>
      <c r="AW156" s="1171"/>
      <c r="AX156" s="1171"/>
      <c r="AY156" s="1171"/>
      <c r="AZ156" s="1171"/>
      <c r="BA156" s="1171"/>
      <c r="BB156" s="1171"/>
      <c r="BC156" s="1171"/>
      <c r="BD156" s="1171"/>
      <c r="BE156" s="1171"/>
      <c r="BF156" s="1171"/>
      <c r="BG156" s="1171"/>
      <c r="BH156" s="1171"/>
      <c r="BI156" s="1171"/>
      <c r="BJ156" s="1171"/>
      <c r="BK156" s="1171"/>
      <c r="BL156" s="1171"/>
      <c r="BM156" s="1171"/>
      <c r="BN156" s="1171"/>
      <c r="BO156" s="1171"/>
      <c r="BP156" s="1171"/>
      <c r="BQ156" s="1171"/>
      <c r="BR156" s="1171"/>
      <c r="BS156" s="1171"/>
      <c r="BT156" s="1171"/>
      <c r="BU156" s="1171"/>
      <c r="BV156" s="1171"/>
      <c r="BW156" s="1171"/>
      <c r="BX156" s="1171"/>
      <c r="BY156" s="1171"/>
      <c r="BZ156" s="1171"/>
      <c r="CA156" s="1171"/>
      <c r="CB156" s="1171"/>
      <c r="CC156" s="1171"/>
      <c r="CD156" s="1171"/>
      <c r="CE156" s="1171"/>
      <c r="CF156" s="1171"/>
      <c r="CG156" s="1171"/>
      <c r="CH156" s="1171"/>
      <c r="CI156" s="1171"/>
      <c r="CJ156" s="1171"/>
      <c r="CK156" s="1171"/>
      <c r="CL156" s="1171"/>
      <c r="CM156" s="1171"/>
      <c r="CN156" s="1171"/>
      <c r="CO156" s="1171"/>
      <c r="CP156" s="1171"/>
      <c r="CQ156" s="1171"/>
      <c r="CR156" s="1171"/>
      <c r="CS156" s="1171"/>
      <c r="CT156" s="1171"/>
      <c r="CU156" s="1171"/>
      <c r="CV156" s="1171"/>
      <c r="CW156" s="1171"/>
      <c r="CX156" s="1171"/>
      <c r="CY156" s="1171"/>
      <c r="CZ156" s="1171"/>
      <c r="DA156" s="1171"/>
      <c r="DB156" s="1171"/>
      <c r="DC156" s="1171"/>
      <c r="DD156" s="1171"/>
      <c r="DE156" s="1171"/>
      <c r="DF156" s="1171"/>
      <c r="DG156" s="1171"/>
      <c r="DH156" s="1171"/>
      <c r="DI156" s="1171"/>
      <c r="DJ156" s="1171"/>
      <c r="DK156" s="1171"/>
      <c r="DL156" s="1171"/>
      <c r="DM156" s="1171"/>
      <c r="DN156" s="1171"/>
      <c r="DO156" s="1171"/>
      <c r="DP156" s="1171"/>
      <c r="DQ156" s="1171"/>
      <c r="DR156" s="1171"/>
      <c r="DS156" s="1171"/>
      <c r="DT156" s="1171"/>
      <c r="DU156" s="1171"/>
      <c r="DV156" s="1171"/>
      <c r="DW156" s="1171"/>
      <c r="DX156" s="1171"/>
      <c r="DY156" s="1171"/>
      <c r="DZ156" s="1171"/>
      <c r="EA156" s="1171"/>
      <c r="EB156" s="1171"/>
      <c r="EC156" s="1171"/>
      <c r="ED156" s="1171"/>
      <c r="EE156" s="1171"/>
      <c r="EF156" s="1171"/>
      <c r="EG156" s="1171"/>
      <c r="EH156" s="1171"/>
      <c r="EI156" s="1171"/>
      <c r="EJ156" s="1171"/>
      <c r="EK156" s="1171"/>
      <c r="EL156" s="1171"/>
      <c r="EM156" s="1171"/>
      <c r="EN156" s="1171"/>
      <c r="EO156" s="1171"/>
      <c r="EP156" s="1171"/>
      <c r="EQ156" s="1171"/>
      <c r="ER156" s="1171"/>
      <c r="ES156" s="1171"/>
      <c r="ET156" s="1171"/>
      <c r="EU156" s="1171"/>
      <c r="EV156" s="1171"/>
      <c r="EW156" s="1171"/>
      <c r="EX156" s="1171"/>
      <c r="EY156" s="1171"/>
      <c r="EZ156" s="1171"/>
      <c r="FA156" s="1171"/>
      <c r="FB156" s="1171"/>
      <c r="FC156" s="1171"/>
      <c r="FD156" s="1171"/>
      <c r="FE156" s="1171"/>
      <c r="FF156" s="1171"/>
      <c r="FG156" s="1171"/>
      <c r="FH156" s="1171"/>
      <c r="FI156" s="1171"/>
      <c r="FJ156" s="1171"/>
      <c r="FK156" s="1171"/>
      <c r="FL156" s="1171"/>
      <c r="FM156" s="1171"/>
      <c r="FN156" s="1171"/>
      <c r="FO156" s="1171"/>
      <c r="FP156" s="1171"/>
      <c r="FQ156" s="1171"/>
      <c r="FR156" s="1171"/>
      <c r="FS156" s="1171"/>
      <c r="FT156" s="1171"/>
      <c r="FU156" s="1171"/>
      <c r="FV156" s="1171"/>
      <c r="FW156" s="1172"/>
    </row>
    <row r="157" spans="1:186" ht="14.25" customHeight="1">
      <c r="A157" s="78"/>
      <c r="C157" s="78"/>
      <c r="D157" s="78"/>
      <c r="E157" s="473">
        <v>15</v>
      </c>
      <c r="F157" s="3" t="str" cm="1">
        <f t="array" aca="1" ref="F157" ca="1">OFFSET(E157,-1,1)</f>
        <v>2</v>
      </c>
      <c r="G157" s="78"/>
      <c r="H157" s="78"/>
      <c r="I157" s="78"/>
      <c r="J157" s="78"/>
      <c r="K157" s="78"/>
      <c r="L157" s="78"/>
      <c r="M157" s="78"/>
      <c r="N157" s="78"/>
      <c r="O157" s="78"/>
      <c r="P157" s="78"/>
      <c r="Q157" s="78"/>
      <c r="R157" s="377"/>
      <c r="S157" s="377"/>
      <c r="T157" s="365" t="b" cm="1">
        <f t="array" ref="T157">T156</f>
        <v>1</v>
      </c>
      <c r="U157" s="78"/>
      <c r="V157" s="78"/>
      <c r="W157" s="78"/>
      <c r="X157" s="1094"/>
      <c r="Y157" s="78"/>
      <c r="Z157" s="1064"/>
      <c r="AA157" s="78"/>
      <c r="AB157" s="1041" t="s">
        <v>1618</v>
      </c>
      <c r="AC157" s="1042"/>
      <c r="AD157" s="1170" t="str" cm="1">
        <f t="array" ref="AD157">INDEX('Общие сведения'!$AI$179:$AI$222,MATCH($X155,'Общие сведения'!$Z$179:$Z$222,0))</f>
        <v>тариф на водоотведение</v>
      </c>
      <c r="AE157" s="1171"/>
      <c r="AF157" s="1171"/>
      <c r="AG157" s="1171"/>
      <c r="AH157" s="1171"/>
      <c r="AI157" s="1171"/>
      <c r="AJ157" s="1171"/>
      <c r="AK157" s="1171"/>
      <c r="AL157" s="1171"/>
      <c r="AM157" s="1171"/>
      <c r="AN157" s="1171"/>
      <c r="AO157" s="1171"/>
      <c r="AP157" s="1171"/>
      <c r="AQ157" s="1171"/>
      <c r="AR157" s="1171"/>
      <c r="AS157" s="1171"/>
      <c r="AT157" s="1171"/>
      <c r="AU157" s="1171"/>
      <c r="AV157" s="1171"/>
      <c r="AW157" s="1171"/>
      <c r="AX157" s="1171"/>
      <c r="AY157" s="1171"/>
      <c r="AZ157" s="1171"/>
      <c r="BA157" s="1171"/>
      <c r="BB157" s="1171"/>
      <c r="BC157" s="1171"/>
      <c r="BD157" s="1171"/>
      <c r="BE157" s="1171"/>
      <c r="BF157" s="1171"/>
      <c r="BG157" s="1171"/>
      <c r="BH157" s="1171"/>
      <c r="BI157" s="1171"/>
      <c r="BJ157" s="1171"/>
      <c r="BK157" s="1171"/>
      <c r="BL157" s="1171"/>
      <c r="BM157" s="1171"/>
      <c r="BN157" s="1171"/>
      <c r="BO157" s="1171"/>
      <c r="BP157" s="1171"/>
      <c r="BQ157" s="1171"/>
      <c r="BR157" s="1171"/>
      <c r="BS157" s="1171"/>
      <c r="BT157" s="1171"/>
      <c r="BU157" s="1171"/>
      <c r="BV157" s="1171"/>
      <c r="BW157" s="1171"/>
      <c r="BX157" s="1171"/>
      <c r="BY157" s="1171"/>
      <c r="BZ157" s="1171"/>
      <c r="CA157" s="1171"/>
      <c r="CB157" s="1171"/>
      <c r="CC157" s="1171"/>
      <c r="CD157" s="1171"/>
      <c r="CE157" s="1171"/>
      <c r="CF157" s="1171"/>
      <c r="CG157" s="1171"/>
      <c r="CH157" s="1171"/>
      <c r="CI157" s="1171"/>
      <c r="CJ157" s="1171"/>
      <c r="CK157" s="1171"/>
      <c r="CL157" s="1171"/>
      <c r="CM157" s="1171"/>
      <c r="CN157" s="1171"/>
      <c r="CO157" s="1171"/>
      <c r="CP157" s="1171"/>
      <c r="CQ157" s="1171"/>
      <c r="CR157" s="1171"/>
      <c r="CS157" s="1171"/>
      <c r="CT157" s="1171"/>
      <c r="CU157" s="1171"/>
      <c r="CV157" s="1171"/>
      <c r="CW157" s="1171"/>
      <c r="CX157" s="1171"/>
      <c r="CY157" s="1171"/>
      <c r="CZ157" s="1171"/>
      <c r="DA157" s="1171"/>
      <c r="DB157" s="1171"/>
      <c r="DC157" s="1171"/>
      <c r="DD157" s="1171"/>
      <c r="DE157" s="1171"/>
      <c r="DF157" s="1171"/>
      <c r="DG157" s="1171"/>
      <c r="DH157" s="1171"/>
      <c r="DI157" s="1171"/>
      <c r="DJ157" s="1171"/>
      <c r="DK157" s="1171"/>
      <c r="DL157" s="1171"/>
      <c r="DM157" s="1171"/>
      <c r="DN157" s="1171"/>
      <c r="DO157" s="1171"/>
      <c r="DP157" s="1171"/>
      <c r="DQ157" s="1171"/>
      <c r="DR157" s="1171"/>
      <c r="DS157" s="1171"/>
      <c r="DT157" s="1171"/>
      <c r="DU157" s="1171"/>
      <c r="DV157" s="1171"/>
      <c r="DW157" s="1171"/>
      <c r="DX157" s="1171"/>
      <c r="DY157" s="1171"/>
      <c r="DZ157" s="1171"/>
      <c r="EA157" s="1171"/>
      <c r="EB157" s="1171"/>
      <c r="EC157" s="1171"/>
      <c r="ED157" s="1171"/>
      <c r="EE157" s="1171"/>
      <c r="EF157" s="1171"/>
      <c r="EG157" s="1171"/>
      <c r="EH157" s="1171"/>
      <c r="EI157" s="1171"/>
      <c r="EJ157" s="1171"/>
      <c r="EK157" s="1171"/>
      <c r="EL157" s="1171"/>
      <c r="EM157" s="1171"/>
      <c r="EN157" s="1171"/>
      <c r="EO157" s="1171"/>
      <c r="EP157" s="1171"/>
      <c r="EQ157" s="1171"/>
      <c r="ER157" s="1171"/>
      <c r="ES157" s="1171"/>
      <c r="ET157" s="1171"/>
      <c r="EU157" s="1171"/>
      <c r="EV157" s="1171"/>
      <c r="EW157" s="1171"/>
      <c r="EX157" s="1171"/>
      <c r="EY157" s="1171"/>
      <c r="EZ157" s="1171"/>
      <c r="FA157" s="1171"/>
      <c r="FB157" s="1171"/>
      <c r="FC157" s="1171"/>
      <c r="FD157" s="1171"/>
      <c r="FE157" s="1171"/>
      <c r="FF157" s="1171"/>
      <c r="FG157" s="1171"/>
      <c r="FH157" s="1171"/>
      <c r="FI157" s="1171"/>
      <c r="FJ157" s="1171"/>
      <c r="FK157" s="1171"/>
      <c r="FL157" s="1171"/>
      <c r="FM157" s="1171"/>
      <c r="FN157" s="1171"/>
      <c r="FO157" s="1171"/>
      <c r="FP157" s="1171"/>
      <c r="FQ157" s="1171"/>
      <c r="FR157" s="1171"/>
      <c r="FS157" s="1171"/>
      <c r="FT157" s="1171"/>
      <c r="FU157" s="1171"/>
      <c r="FV157" s="1171"/>
      <c r="FW157" s="1172"/>
    </row>
    <row r="158" spans="1:186" ht="14.25" customHeight="1">
      <c r="A158" s="78"/>
      <c r="C158" s="78"/>
      <c r="D158" s="78"/>
      <c r="E158" s="473">
        <v>15</v>
      </c>
      <c r="F158" s="3" t="str" cm="1">
        <f t="array" aca="1" ref="F158" ca="1">OFFSET(E158,-1,1)</f>
        <v>2</v>
      </c>
      <c r="G158" s="78"/>
      <c r="H158" s="78"/>
      <c r="I158" s="78"/>
      <c r="J158" s="78"/>
      <c r="K158" s="78"/>
      <c r="L158" s="78"/>
      <c r="M158" s="78"/>
      <c r="N158" s="78"/>
      <c r="O158" s="78"/>
      <c r="P158" s="78"/>
      <c r="Q158" s="78"/>
      <c r="R158" s="78"/>
      <c r="S158" s="377"/>
      <c r="T158" s="365" t="b" cm="1">
        <f t="array" ref="T158">T157</f>
        <v>1</v>
      </c>
      <c r="U158" s="78"/>
      <c r="V158" s="78"/>
      <c r="W158" s="78"/>
      <c r="X158" s="1094"/>
      <c r="Y158" s="78"/>
      <c r="Z158" s="1064"/>
      <c r="AA158" s="78"/>
      <c r="AB158" s="1041" t="s">
        <v>1619</v>
      </c>
      <c r="AC158" s="1042"/>
      <c r="AD158" s="1170" t="str" cm="1">
        <f t="array" ref="AD158">INDEX('Общие сведения'!$AJ$179:$AJ$222,MATCH($X155,'Общие сведения'!$Z$179:$Z$222,0))</f>
        <v>Доп. признак не требуется</v>
      </c>
      <c r="AE158" s="1171"/>
      <c r="AF158" s="1171"/>
      <c r="AG158" s="1171"/>
      <c r="AH158" s="1171"/>
      <c r="AI158" s="1171"/>
      <c r="AJ158" s="1171"/>
      <c r="AK158" s="1171"/>
      <c r="AL158" s="1171"/>
      <c r="AM158" s="1171"/>
      <c r="AN158" s="1171"/>
      <c r="AO158" s="1171"/>
      <c r="AP158" s="1171"/>
      <c r="AQ158" s="1171"/>
      <c r="AR158" s="1171"/>
      <c r="AS158" s="1171"/>
      <c r="AT158" s="1171"/>
      <c r="AU158" s="1171"/>
      <c r="AV158" s="1171"/>
      <c r="AW158" s="1171"/>
      <c r="AX158" s="1171"/>
      <c r="AY158" s="1171"/>
      <c r="AZ158" s="1171"/>
      <c r="BA158" s="1171"/>
      <c r="BB158" s="1171"/>
      <c r="BC158" s="1171"/>
      <c r="BD158" s="1171"/>
      <c r="BE158" s="1171"/>
      <c r="BF158" s="1171"/>
      <c r="BG158" s="1171"/>
      <c r="BH158" s="1171"/>
      <c r="BI158" s="1171"/>
      <c r="BJ158" s="1171"/>
      <c r="BK158" s="1171"/>
      <c r="BL158" s="1171"/>
      <c r="BM158" s="1171"/>
      <c r="BN158" s="1171"/>
      <c r="BO158" s="1171"/>
      <c r="BP158" s="1171"/>
      <c r="BQ158" s="1171"/>
      <c r="BR158" s="1171"/>
      <c r="BS158" s="1171"/>
      <c r="BT158" s="1171"/>
      <c r="BU158" s="1171"/>
      <c r="BV158" s="1171"/>
      <c r="BW158" s="1171"/>
      <c r="BX158" s="1171"/>
      <c r="BY158" s="1171"/>
      <c r="BZ158" s="1171"/>
      <c r="CA158" s="1171"/>
      <c r="CB158" s="1171"/>
      <c r="CC158" s="1171"/>
      <c r="CD158" s="1171"/>
      <c r="CE158" s="1171"/>
      <c r="CF158" s="1171"/>
      <c r="CG158" s="1171"/>
      <c r="CH158" s="1171"/>
      <c r="CI158" s="1171"/>
      <c r="CJ158" s="1171"/>
      <c r="CK158" s="1171"/>
      <c r="CL158" s="1171"/>
      <c r="CM158" s="1171"/>
      <c r="CN158" s="1171"/>
      <c r="CO158" s="1171"/>
      <c r="CP158" s="1171"/>
      <c r="CQ158" s="1171"/>
      <c r="CR158" s="1171"/>
      <c r="CS158" s="1171"/>
      <c r="CT158" s="1171"/>
      <c r="CU158" s="1171"/>
      <c r="CV158" s="1171"/>
      <c r="CW158" s="1171"/>
      <c r="CX158" s="1171"/>
      <c r="CY158" s="1171"/>
      <c r="CZ158" s="1171"/>
      <c r="DA158" s="1171"/>
      <c r="DB158" s="1171"/>
      <c r="DC158" s="1171"/>
      <c r="DD158" s="1171"/>
      <c r="DE158" s="1171"/>
      <c r="DF158" s="1171"/>
      <c r="DG158" s="1171"/>
      <c r="DH158" s="1171"/>
      <c r="DI158" s="1171"/>
      <c r="DJ158" s="1171"/>
      <c r="DK158" s="1171"/>
      <c r="DL158" s="1171"/>
      <c r="DM158" s="1171"/>
      <c r="DN158" s="1171"/>
      <c r="DO158" s="1171"/>
      <c r="DP158" s="1171"/>
      <c r="DQ158" s="1171"/>
      <c r="DR158" s="1171"/>
      <c r="DS158" s="1171"/>
      <c r="DT158" s="1171"/>
      <c r="DU158" s="1171"/>
      <c r="DV158" s="1171"/>
      <c r="DW158" s="1171"/>
      <c r="DX158" s="1171"/>
      <c r="DY158" s="1171"/>
      <c r="DZ158" s="1171"/>
      <c r="EA158" s="1171"/>
      <c r="EB158" s="1171"/>
      <c r="EC158" s="1171"/>
      <c r="ED158" s="1171"/>
      <c r="EE158" s="1171"/>
      <c r="EF158" s="1171"/>
      <c r="EG158" s="1171"/>
      <c r="EH158" s="1171"/>
      <c r="EI158" s="1171"/>
      <c r="EJ158" s="1171"/>
      <c r="EK158" s="1171"/>
      <c r="EL158" s="1171"/>
      <c r="EM158" s="1171"/>
      <c r="EN158" s="1171"/>
      <c r="EO158" s="1171"/>
      <c r="EP158" s="1171"/>
      <c r="EQ158" s="1171"/>
      <c r="ER158" s="1171"/>
      <c r="ES158" s="1171"/>
      <c r="ET158" s="1171"/>
      <c r="EU158" s="1171"/>
      <c r="EV158" s="1171"/>
      <c r="EW158" s="1171"/>
      <c r="EX158" s="1171"/>
      <c r="EY158" s="1171"/>
      <c r="EZ158" s="1171"/>
      <c r="FA158" s="1171"/>
      <c r="FB158" s="1171"/>
      <c r="FC158" s="1171"/>
      <c r="FD158" s="1171"/>
      <c r="FE158" s="1171"/>
      <c r="FF158" s="1171"/>
      <c r="FG158" s="1171"/>
      <c r="FH158" s="1171"/>
      <c r="FI158" s="1171"/>
      <c r="FJ158" s="1171"/>
      <c r="FK158" s="1171"/>
      <c r="FL158" s="1171"/>
      <c r="FM158" s="1171"/>
      <c r="FN158" s="1171"/>
      <c r="FO158" s="1171"/>
      <c r="FP158" s="1171"/>
      <c r="FQ158" s="1171"/>
      <c r="FR158" s="1171"/>
      <c r="FS158" s="1171"/>
      <c r="FT158" s="1171"/>
      <c r="FU158" s="1171"/>
      <c r="FV158" s="1171"/>
      <c r="FW158" s="1172"/>
    </row>
    <row r="159" spans="1:186" ht="14.25" customHeight="1">
      <c r="A159" s="78"/>
      <c r="B159" s="622" t="b">
        <f>AND(R155="одноставочный",NOT(S155))</f>
        <v>1</v>
      </c>
      <c r="C159" s="78"/>
      <c r="D159" s="78"/>
      <c r="E159" s="473">
        <v>15</v>
      </c>
      <c r="F159" s="3" t="str" cm="1">
        <f t="array" aca="1" ref="F159" ca="1">OFFSET(E159,-1,1)</f>
        <v>2</v>
      </c>
      <c r="G159" s="78"/>
      <c r="H159" s="78"/>
      <c r="I159" s="78"/>
      <c r="J159" s="78"/>
      <c r="K159" s="78"/>
      <c r="L159" s="78"/>
      <c r="M159" s="78"/>
      <c r="N159" s="78"/>
      <c r="O159" s="78"/>
      <c r="P159" s="78"/>
      <c r="Q159" s="78"/>
      <c r="R159" s="78"/>
      <c r="S159" s="78"/>
      <c r="T159" s="365" t="b" cm="1">
        <f t="array" ref="T159">T158</f>
        <v>1</v>
      </c>
      <c r="U159" s="78"/>
      <c r="V159" s="78"/>
      <c r="W159" s="78"/>
      <c r="X159" s="1094"/>
      <c r="Y159" s="78"/>
      <c r="Z159" s="1064"/>
      <c r="AA159" s="78"/>
      <c r="AB159" s="601" t="s">
        <v>1620</v>
      </c>
      <c r="AC159" s="602"/>
      <c r="AD159" s="217"/>
      <c r="AE159" s="217"/>
      <c r="AF159" s="217"/>
      <c r="AG159" s="217"/>
      <c r="AH159" s="217"/>
      <c r="AI159" s="217"/>
      <c r="AJ159" s="217"/>
      <c r="AK159" s="217"/>
      <c r="AL159" s="217"/>
      <c r="AM159" s="217"/>
      <c r="AN159" s="217"/>
      <c r="AO159" s="217"/>
      <c r="AP159" s="217"/>
      <c r="AQ159" s="217"/>
      <c r="AR159" s="217"/>
      <c r="AS159" s="217"/>
      <c r="AT159" s="217"/>
      <c r="AU159" s="217"/>
      <c r="AV159" s="217"/>
      <c r="AW159" s="217"/>
      <c r="AX159" s="217"/>
      <c r="AY159" s="217"/>
      <c r="AZ159" s="217"/>
      <c r="BA159" s="217"/>
      <c r="BB159" s="217"/>
      <c r="BC159" s="217"/>
      <c r="BD159" s="217"/>
      <c r="BE159" s="217"/>
      <c r="BF159" s="217"/>
      <c r="BG159" s="217"/>
      <c r="BH159" s="217"/>
      <c r="BI159" s="217"/>
      <c r="BJ159" s="218"/>
      <c r="BK159" s="217"/>
      <c r="BL159" s="217"/>
      <c r="BM159" s="218"/>
      <c r="BN159" s="217"/>
      <c r="BO159" s="217"/>
      <c r="BP159" s="218"/>
      <c r="BQ159" s="217"/>
      <c r="BR159" s="217"/>
      <c r="BS159" s="218"/>
      <c r="BT159" s="217"/>
      <c r="BU159" s="217"/>
      <c r="BV159" s="218"/>
      <c r="BW159" s="217"/>
      <c r="BX159" s="217"/>
      <c r="BY159" s="218"/>
      <c r="BZ159" s="217"/>
      <c r="CA159" s="217"/>
      <c r="CB159" s="218"/>
      <c r="CC159" s="217"/>
      <c r="CD159" s="217"/>
      <c r="CE159" s="218"/>
      <c r="CF159" s="217"/>
      <c r="CG159" s="217"/>
      <c r="CH159" s="218"/>
      <c r="CI159" s="217"/>
      <c r="CJ159" s="217"/>
      <c r="CK159" s="218"/>
      <c r="CL159" s="217"/>
      <c r="CM159" s="217"/>
      <c r="CN159" s="218"/>
      <c r="CO159" s="217"/>
      <c r="CP159" s="217"/>
      <c r="CQ159" s="218"/>
      <c r="CR159" s="217"/>
      <c r="CS159" s="217"/>
      <c r="CT159" s="218"/>
      <c r="CU159" s="217"/>
      <c r="CV159" s="217"/>
      <c r="CW159" s="218"/>
      <c r="CX159" s="217"/>
      <c r="CY159" s="217"/>
      <c r="CZ159" s="218"/>
      <c r="DA159" s="217"/>
      <c r="DB159" s="217"/>
      <c r="DC159" s="218"/>
      <c r="DD159" s="217"/>
      <c r="DE159" s="217"/>
      <c r="DF159" s="218"/>
      <c r="DG159" s="217"/>
      <c r="DH159" s="217"/>
      <c r="DI159" s="218"/>
      <c r="DJ159" s="217"/>
      <c r="DK159" s="217"/>
      <c r="DL159" s="218"/>
      <c r="DM159" s="217"/>
      <c r="DN159" s="217"/>
      <c r="DO159" s="218"/>
      <c r="DP159" s="217"/>
      <c r="DQ159" s="217"/>
      <c r="DR159" s="218"/>
      <c r="DS159" s="217"/>
      <c r="DT159" s="217"/>
      <c r="DU159" s="218"/>
      <c r="DV159" s="217"/>
      <c r="DW159" s="217"/>
      <c r="DX159" s="218"/>
      <c r="DY159" s="217"/>
      <c r="DZ159" s="217"/>
      <c r="EA159" s="218"/>
      <c r="EB159" s="217"/>
      <c r="EC159" s="217"/>
      <c r="ED159" s="218"/>
      <c r="EE159" s="217"/>
      <c r="EF159" s="217"/>
      <c r="EG159" s="218"/>
      <c r="EH159" s="217"/>
      <c r="EI159" s="217"/>
      <c r="EJ159" s="218"/>
      <c r="EK159" s="217"/>
      <c r="EL159" s="217"/>
      <c r="EM159" s="218"/>
      <c r="EN159" s="217"/>
      <c r="EO159" s="217"/>
      <c r="EP159" s="218"/>
      <c r="EQ159" s="217"/>
      <c r="ER159" s="217"/>
      <c r="ES159" s="218"/>
      <c r="ET159" s="217"/>
      <c r="EU159" s="217"/>
      <c r="EV159" s="218"/>
      <c r="EW159" s="217"/>
      <c r="EX159" s="217"/>
      <c r="EY159" s="218"/>
      <c r="EZ159" s="217"/>
      <c r="FA159" s="217"/>
      <c r="FB159" s="218"/>
      <c r="FC159" s="217"/>
      <c r="FD159" s="217"/>
      <c r="FE159" s="218"/>
      <c r="FF159" s="217"/>
      <c r="FG159" s="217"/>
      <c r="FH159" s="218"/>
      <c r="FI159" s="217"/>
      <c r="FJ159" s="217"/>
      <c r="FK159" s="218"/>
      <c r="FL159" s="217"/>
      <c r="FM159" s="217"/>
      <c r="FN159" s="218"/>
      <c r="FO159" s="217"/>
      <c r="FP159" s="217"/>
      <c r="FQ159" s="218"/>
      <c r="FR159" s="217"/>
      <c r="FS159" s="217"/>
      <c r="FT159" s="218"/>
      <c r="FU159" s="217"/>
      <c r="FV159" s="217"/>
      <c r="FW159" s="218"/>
    </row>
    <row r="160" spans="1:186" s="947" customFormat="1" ht="23.25" customHeight="1">
      <c r="A160" s="603"/>
      <c r="B160" s="622" t="b" cm="1">
        <f t="array" ref="B160">B159</f>
        <v>1</v>
      </c>
      <c r="C160" s="603"/>
      <c r="D160" s="603"/>
      <c r="E160" s="604">
        <v>24.5</v>
      </c>
      <c r="F160" s="3" t="str" cm="1">
        <f t="array" aca="1" ref="F160" ca="1">OFFSET(E160,-1,1)</f>
        <v>2</v>
      </c>
      <c r="G160" s="78" t="s">
        <v>1621</v>
      </c>
      <c r="H160" s="78" t="s">
        <v>461</v>
      </c>
      <c r="I160" s="78" t="s">
        <v>1622</v>
      </c>
      <c r="J160" s="603"/>
      <c r="K160" s="603"/>
      <c r="L160" s="78"/>
      <c r="M160" s="603"/>
      <c r="N160" s="603"/>
      <c r="O160" s="603"/>
      <c r="P160" s="603"/>
      <c r="Q160" s="603"/>
      <c r="R160" s="603"/>
      <c r="S160" s="78"/>
      <c r="T160" s="365" t="b" cm="1">
        <f t="array" ref="T160">T159</f>
        <v>1</v>
      </c>
      <c r="U160" s="603"/>
      <c r="V160" s="603"/>
      <c r="W160" s="603"/>
      <c r="X160" s="1094"/>
      <c r="Y160" s="603"/>
      <c r="Z160" s="1064"/>
      <c r="AA160" s="603"/>
      <c r="AB160" s="220" t="s">
        <v>1623</v>
      </c>
      <c r="AC160" s="221" t="s">
        <v>1624</v>
      </c>
      <c r="AD160" s="605">
        <f ca="1">IF(AND(method_reg="Метод индексации",god&lt;&gt;first_year),SUMIFS(INDEX('Калькуляция (МИ корр)'!$AJ$25:$BC$459,,MATCH(AD$8,'Калькуляция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(МИ)'!$AJ$25:$BC$459,,MATCH(AD$8,'Калькуляция (МИ)'!$AJ$8:$BC$8,0)),'Калькуляция (МИ)'!$F$25:$F$459,$F160,'Калькуляция (МИ)'!$G$25:$G$459,$G160))))</f>
        <v>74.062496205815705</v>
      </c>
      <c r="AE160" s="605">
        <f ca="1">IF(AND(method_reg="Метод индексации",god&lt;&gt;first_year),SUMIFS(INDEX('Калькуляция (МИ корр)'!$AJ$25:$BC$459,,MATCH(AE$8,'Калькуляция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(МИ)'!$AJ$25:$BC$459,,MATCH(AE$8,'Калькуляция (МИ)'!$AJ$8:$BC$8,0)),'Калькуляция (МИ)'!$F$25:$F$459,$F160,'Калькуляция (МИ)'!$G$25:$G$459,$G160))))</f>
        <v>40.9199998044</v>
      </c>
      <c r="AF160" s="222">
        <f ca="1">IF(AD160=0,0,(AE160-AD160)/AD160*100)</f>
        <v>-44.749364522246843</v>
      </c>
      <c r="AG160" s="942">
        <f ca="1">IF(AND(method_reg="Метод индексации",god&lt;&gt;first_year),SUMIFS(INDEX('Калькуляция (МИ корр)'!$AJ$25:$BC$459,,MATCH(AG$8,'Калькуляция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(МИ)'!$AJ$25:$BC$459,,MATCH(AG$8,'Калькуляция (МИ)'!$AJ$8:$BC$8,0)),'Калькуляция (МИ)'!$F$25:$F$459,$F160,'Калькуляция (МИ)'!$G$25:$G$459,$G160))))</f>
        <v>0</v>
      </c>
      <c r="AH160" s="942">
        <f ca="1">IF(AND(method_reg="Метод индексации",god&lt;&gt;first_year),SUMIFS(INDEX('Калькуляция (МИ корр)'!$AJ$25:$BC$459,,MATCH(AH$8,'Калькуляция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(МИ)'!$AJ$25:$BC$459,,MATCH(AH$8,'Калькуляция (МИ)'!$AJ$8:$BC$8,0)),'Калькуляция (МИ)'!$F$25:$F$459,$F160,'Калькуляция (МИ)'!$G$25:$G$459,$G160))))</f>
        <v>43.819995458486737</v>
      </c>
      <c r="AI160" s="222">
        <f ca="1">IF(AG160=0,0,(AH160-AG160)/AG160*100)</f>
        <v>0</v>
      </c>
      <c r="AJ160" s="942">
        <f ca="1">IF(AND(method_reg="Метод индексации",god&lt;&gt;first_year),SUMIFS(INDEX('Калькуляция (МИ корр)'!$AJ$25:$BC$459,,MATCH(AJ$8,'Калькуляция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(МИ)'!$AJ$25:$BC$459,,MATCH(AJ$8,'Калькуляция (МИ)'!$AJ$8:$BC$8,0)),'Калькуляция (МИ)'!$F$25:$F$459,$F160,'Калькуляция (МИ)'!$G$25:$G$459,$G160))))</f>
        <v>0</v>
      </c>
      <c r="AK160" s="942">
        <f ca="1">IF(AND(method_reg="Метод индексации",god&lt;&gt;first_year),SUMIFS(INDEX('Калькуляция (МИ корр)'!$AJ$25:$BC$459,,MATCH(AK$8,'Калькуляция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(МИ)'!$AJ$25:$BC$459,,MATCH(AK$8,'Калькуляция (МИ)'!$AJ$8:$BC$8,0)),'Калькуляция (МИ)'!$F$25:$F$459,$F160,'Калькуляция (МИ)'!$G$25:$G$459,$G160))))</f>
        <v>0</v>
      </c>
      <c r="AL160" s="222">
        <f ca="1">IF(AJ160=0,0,(AK160-AJ160)/AJ160*100)</f>
        <v>0</v>
      </c>
      <c r="AM160" s="942">
        <f ca="1">IF(AND(method_reg="Метод индексации",god&lt;&gt;first_year),SUMIFS(INDEX('Калькуляция (МИ корр)'!$AJ$25:$BC$459,,MATCH(AM$8,'Калькуляция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(МИ)'!$AJ$25:$BC$459,,MATCH(AM$8,'Калькуляция (МИ)'!$AJ$8:$BC$8,0)),'Калькуляция (МИ)'!$F$25:$F$459,$F160,'Калькуляция (МИ)'!$G$25:$G$459,$G160))))</f>
        <v>0</v>
      </c>
      <c r="AN160" s="942">
        <f ca="1">IF(AND(method_reg="Метод индексации",god&lt;&gt;first_year),SUMIFS(INDEX('Калькуляция (МИ корр)'!$AJ$25:$BC$459,,MATCH(AN$8,'Калькуляция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(МИ)'!$AJ$25:$BC$459,,MATCH(AN$8,'Калькуляция (МИ)'!$AJ$8:$BC$8,0)),'Калькуляция (МИ)'!$F$25:$F$459,$F160,'Калькуляция (МИ)'!$G$25:$G$459,$G160))))</f>
        <v>0</v>
      </c>
      <c r="AO160" s="222">
        <f ca="1">IF(AM160=0,0,(AN160-AM160)/AM160*100)</f>
        <v>0</v>
      </c>
      <c r="AP160" s="942">
        <f ca="1">IF(AND(method_reg="Метод индексации",god&lt;&gt;first_year),SUMIFS(INDEX('Калькуляция (МИ корр)'!$AJ$25:$BC$459,,MATCH(AP$8,'Калькуляция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(МИ)'!$AJ$25:$BC$459,,MATCH(AP$8,'Калькуляция (МИ)'!$AJ$8:$BC$8,0)),'Калькуляция (МИ)'!$F$25:$F$459,$F160,'Калькуляция (МИ)'!$G$25:$G$459,$G160))))</f>
        <v>0</v>
      </c>
      <c r="AQ160" s="942">
        <f ca="1">IF(AND(method_reg="Метод индексации",god&lt;&gt;first_year),SUMIFS(INDEX('Калькуляция (МИ корр)'!$AJ$25:$BC$459,,MATCH(AQ$8,'Калькуляция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(МИ)'!$AJ$25:$BC$459,,MATCH(AQ$8,'Калькуляция (МИ)'!$AJ$8:$BC$8,0)),'Калькуляция (МИ)'!$F$25:$F$459,$F160,'Калькуляция (МИ)'!$G$25:$G$459,$G160))))</f>
        <v>0</v>
      </c>
      <c r="AR160" s="222">
        <f ca="1">IF(AP160=0,0,(AQ160-AP160)/AP160*100)</f>
        <v>0</v>
      </c>
      <c r="AS160" s="942">
        <f ca="1">IF(AND(method_reg="Метод индексации",god&lt;&gt;first_year),SUMIFS(INDEX('Калькуляция (МИ корр)'!$AJ$25:$BC$459,,MATCH(AS$8,'Калькуляция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(МИ)'!$AJ$25:$BC$459,,MATCH(AS$8,'Калькуляция (МИ)'!$AJ$8:$BC$8,0)),'Калькуляция (МИ)'!$F$25:$F$459,$F160,'Калькуляция (МИ)'!$G$25:$G$459,$G160))))</f>
        <v>0</v>
      </c>
      <c r="AT160" s="942">
        <f ca="1">IF(AND(method_reg="Метод индексации",god&lt;&gt;first_year),SUMIFS(INDEX('Калькуляция (МИ корр)'!$AJ$25:$BC$459,,MATCH(AT$8,'Калькуляция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(МИ)'!$AJ$25:$BC$459,,MATCH(AT$8,'Калькуляция (МИ)'!$AJ$8:$BC$8,0)),'Калькуляция (МИ)'!$F$25:$F$459,$F160,'Калькуляция (МИ)'!$G$25:$G$459,$G160))))</f>
        <v>0</v>
      </c>
      <c r="AU160" s="222">
        <f ca="1">IF(AS160=0,0,(AT160-AS160)/AS160*100)</f>
        <v>0</v>
      </c>
      <c r="AV160" s="942">
        <f ca="1">IF(AND(method_reg="Метод индексации",god&lt;&gt;first_year),SUMIFS(INDEX('Калькуляция (МИ корр)'!$AJ$25:$BC$459,,MATCH(AV$8,'Калькуляция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(МИ)'!$AJ$25:$BC$459,,MATCH(AV$8,'Калькуляция (МИ)'!$AJ$8:$BC$8,0)),'Калькуляция (МИ)'!$F$25:$F$459,$F160,'Калькуляция (МИ)'!$G$25:$G$459,$G160))))</f>
        <v>0</v>
      </c>
      <c r="AW160" s="942">
        <f ca="1">IF(AND(method_reg="Метод индексации",god&lt;&gt;first_year),SUMIFS(INDEX('Калькуляция (МИ корр)'!$AJ$25:$BC$459,,MATCH(AW$8,'Калькуляция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(МИ)'!$AJ$25:$BC$459,,MATCH(AW$8,'Калькуляция (МИ)'!$AJ$8:$BC$8,0)),'Калькуляция (МИ)'!$F$25:$F$459,$F160,'Калькуляция (МИ)'!$G$25:$G$459,$G160))))</f>
        <v>0</v>
      </c>
      <c r="AX160" s="222">
        <f ca="1">IF(AV160=0,0,(AW160-AV160)/AV160*100)</f>
        <v>0</v>
      </c>
      <c r="AY160" s="942">
        <f ca="1">IF(AND(method_reg="Метод индексации",god&lt;&gt;first_year),SUMIFS(INDEX('Калькуляция (МИ корр)'!$AJ$25:$BC$459,,MATCH(AY$8,'Калькуляция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(МИ)'!$AJ$25:$BC$459,,MATCH(AY$8,'Калькуляция (МИ)'!$AJ$8:$BC$8,0)),'Калькуляция (МИ)'!$F$25:$F$459,$F160,'Калькуляция (МИ)'!$G$25:$G$459,$G160))))</f>
        <v>0</v>
      </c>
      <c r="AZ160" s="942">
        <f ca="1">IF(AND(method_reg="Метод индексации",god&lt;&gt;first_year),SUMIFS(INDEX('Калькуляция (МИ корр)'!$AJ$25:$BC$459,,MATCH(AZ$8,'Калькуляция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(МИ)'!$AJ$25:$BC$459,,MATCH(AZ$8,'Калькуляция (МИ)'!$AJ$8:$BC$8,0)),'Калькуляция (МИ)'!$F$25:$F$459,$F160,'Калькуляция (МИ)'!$G$25:$G$459,$G160))))</f>
        <v>0</v>
      </c>
      <c r="BA160" s="222">
        <f ca="1">IF(AY160=0,0,(AZ160-AY160)/AY160*100)</f>
        <v>0</v>
      </c>
      <c r="BB160" s="942">
        <f ca="1">IF(AND(method_reg="Метод индексации",god&lt;&gt;first_year),SUMIFS(INDEX('Калькуляция (МИ корр)'!$AJ$25:$BC$459,,MATCH(BB$8,'Калькуляция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(МИ)'!$AJ$25:$BC$459,,MATCH(BB$8,'Калькуляция (МИ)'!$AJ$8:$BC$8,0)),'Калькуляция (МИ)'!$F$25:$F$459,$F160,'Калькуляция (МИ)'!$G$25:$G$459,$G160))))</f>
        <v>0</v>
      </c>
      <c r="BC160" s="942">
        <f ca="1">IF(AND(method_reg="Метод индексации",god&lt;&gt;first_year),SUMIFS(INDEX('Калькуляция (МИ корр)'!$AJ$25:$BC$459,,MATCH(BC$8,'Калькуляция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(МИ)'!$AJ$25:$BC$459,,MATCH(BC$8,'Калькуляция (МИ)'!$AJ$8:$BC$8,0)),'Калькуляция (МИ)'!$F$25:$F$459,$F160,'Калькуляция (МИ)'!$G$25:$G$459,$G160))))</f>
        <v>0</v>
      </c>
      <c r="BD160" s="222">
        <f ca="1">IF(BB160=0,0,(BC160-BB160)/BB160*100)</f>
        <v>0</v>
      </c>
      <c r="BE160" s="942">
        <f ca="1">IF(AND(method_reg="Метод индексации",god&lt;&gt;first_year),SUMIFS(INDEX('Калькуляция (МИ корр)'!$AJ$25:$BC$459,,MATCH(BE$8,'Калькуляция (МИ корр)'!$AJ$8:$BC$8,0)),'Калькуляция (МИ корр)'!$F$25:$F$459,$F160,'Калькуляция (МИ корр)'!$G$25:$G$459,$G160),IF(method_reg="Метод экономически обоснованных расходов",SUMIFS('Калькуляция (МЭОР)'!$AJ$25:$AJ$282,'Калькуляция (МЭОР)'!$F$25:$F$282,$F160,'Калькуляция (МЭОР)'!$G$25:$G$282,$G160),IF(method_reg="Метод сравнения аналогов",SUMIFS('Калькуляция (МСА)'!$AE$25:$AE$84,'Калькуляция (МСА)'!$F$25:$F$84,$F160,'Калькуляция (МСА)'!$G$25:$G$84,$G160),SUMIFS(INDEX('Калькуляция (МИ)'!$AJ$25:$BC$459,,MATCH(BE$8,'Калькуляция (МИ)'!$AJ$8:$BC$8,0)),'Калькуляция (МИ)'!$F$25:$F$459,$F160,'Калькуляция (МИ)'!$G$25:$G$459,$G160))))</f>
        <v>0</v>
      </c>
      <c r="BF160" s="942">
        <f ca="1">IF(AND(method_reg="Метод индексации",god&lt;&gt;first_year),SUMIFS(INDEX('Калькуляция (МИ корр)'!$AJ$25:$BC$459,,MATCH(BF$8,'Калькуляция (МИ корр)'!$AJ$8:$BC$8,0)),'Калькуляция (МИ корр)'!$F$25:$F$459,$F160,'Калькуляция (МИ корр)'!$G$25:$G$459,$G160),IF(method_reg="Метод экономически обоснованных расходов",SUMIFS('Калькуляция (МЭОР)'!$AK$25:$AK$282,'Калькуляция (МЭОР)'!$F$25:$F$282,$F160,'Калькуляция (МЭОР)'!$G$25:$G$282,$G160),IF(method_reg="Метод сравнения аналогов",SUMIFS('Калькуляция (МСА)'!$AF$25:$AF$84,'Калькуляция (МСА)'!$F$25:$F$84,$F160,'Калькуляция (МСА)'!$G$25:$G$84,$G160),SUMIFS(INDEX('Калькуляция (МИ)'!$AJ$25:$BC$459,,MATCH(BF$8,'Калькуляция (МИ)'!$AJ$8:$BC$8,0)),'Калькуляция (МИ)'!$F$25:$F$459,$F160,'Калькуляция (МИ)'!$G$25:$G$459,$G160))))</f>
        <v>0</v>
      </c>
      <c r="BG160" s="222">
        <f ca="1">IF(BE160=0,0,(BF160-BE160)/BE160*100)</f>
        <v>0</v>
      </c>
      <c r="BH160" s="942"/>
      <c r="BI160" s="942"/>
      <c r="BJ160" s="222">
        <f>IF(BH160=0,0,(BI160-BH160)/BH160*100)</f>
        <v>0</v>
      </c>
      <c r="BK160" s="942"/>
      <c r="BL160" s="942"/>
      <c r="BM160" s="222">
        <f>IF(BK160=0,0,(BL160-BK160)/BK160*100)</f>
        <v>0</v>
      </c>
      <c r="BN160" s="942"/>
      <c r="BO160" s="942"/>
      <c r="BP160" s="222">
        <f>IF(BN160=0,0,(BO160-BN160)/BN160*100)</f>
        <v>0</v>
      </c>
      <c r="BQ160" s="942"/>
      <c r="BR160" s="942"/>
      <c r="BS160" s="222">
        <f>IF(BQ160=0,0,(BR160-BQ160)/BQ160*100)</f>
        <v>0</v>
      </c>
      <c r="BT160" s="942"/>
      <c r="BU160" s="942"/>
      <c r="BV160" s="222">
        <f>IF(BT160=0,0,(BU160-BT160)/BT160*100)</f>
        <v>0</v>
      </c>
      <c r="BW160" s="942"/>
      <c r="BX160" s="942"/>
      <c r="BY160" s="222">
        <f>IF(BW160=0,0,(BX160-BW160)/BW160*100)</f>
        <v>0</v>
      </c>
      <c r="BZ160" s="942"/>
      <c r="CA160" s="942"/>
      <c r="CB160" s="222">
        <f>IF(BZ160=0,0,(CA160-BZ160)/BZ160*100)</f>
        <v>0</v>
      </c>
      <c r="CC160" s="942"/>
      <c r="CD160" s="942"/>
      <c r="CE160" s="222">
        <f>IF(CC160=0,0,(CD160-CC160)/CC160*100)</f>
        <v>0</v>
      </c>
      <c r="CF160" s="942"/>
      <c r="CG160" s="942"/>
      <c r="CH160" s="222">
        <f>IF(CF160=0,0,(CG160-CF160)/CF160*100)</f>
        <v>0</v>
      </c>
      <c r="CI160" s="942"/>
      <c r="CJ160" s="942"/>
      <c r="CK160" s="222">
        <f>IF(CI160=0,0,(CJ160-CI160)/CI160*100)</f>
        <v>0</v>
      </c>
      <c r="CL160" s="942"/>
      <c r="CM160" s="942"/>
      <c r="CN160" s="222">
        <f>IF(CL160=0,0,(CM160-CL160)/CL160*100)</f>
        <v>0</v>
      </c>
      <c r="CO160" s="942"/>
      <c r="CP160" s="942"/>
      <c r="CQ160" s="222">
        <f>IF(CO160=0,0,(CP160-CO160)/CO160*100)</f>
        <v>0</v>
      </c>
      <c r="CR160" s="942"/>
      <c r="CS160" s="942"/>
      <c r="CT160" s="222">
        <f>IF(CR160=0,0,(CS160-CR160)/CR160*100)</f>
        <v>0</v>
      </c>
      <c r="CU160" s="942"/>
      <c r="CV160" s="942"/>
      <c r="CW160" s="222">
        <f>IF(CU160=0,0,(CV160-CU160)/CU160*100)</f>
        <v>0</v>
      </c>
      <c r="CX160" s="942"/>
      <c r="CY160" s="942"/>
      <c r="CZ160" s="222">
        <f>IF(CX160=0,0,(CY160-CX160)/CX160*100)</f>
        <v>0</v>
      </c>
      <c r="DA160" s="942"/>
      <c r="DB160" s="942"/>
      <c r="DC160" s="222">
        <f>IF(DA160=0,0,(DB160-DA160)/DA160*100)</f>
        <v>0</v>
      </c>
      <c r="DD160" s="942"/>
      <c r="DE160" s="942"/>
      <c r="DF160" s="222">
        <f>IF(DD160=0,0,(DE160-DD160)/DD160*100)</f>
        <v>0</v>
      </c>
      <c r="DG160" s="943"/>
      <c r="DH160" s="943"/>
      <c r="DI160" s="222">
        <f>IF(DG160=0,0,(DH160-DG160)/DG160*100)</f>
        <v>0</v>
      </c>
      <c r="DJ160" s="943"/>
      <c r="DK160" s="943"/>
      <c r="DL160" s="222">
        <f>IF(DJ160=0,0,(DK160-DJ160)/DJ160*100)</f>
        <v>0</v>
      </c>
      <c r="DM160" s="943"/>
      <c r="DN160" s="943"/>
      <c r="DO160" s="222">
        <f>IF(DM160=0,0,(DN160-DM160)/DM160*100)</f>
        <v>0</v>
      </c>
      <c r="DP160" s="943"/>
      <c r="DQ160" s="943"/>
      <c r="DR160" s="222">
        <f>IF(DP160=0,0,(DQ160-DP160)/DP160*100)</f>
        <v>0</v>
      </c>
      <c r="DS160" s="943"/>
      <c r="DT160" s="943"/>
      <c r="DU160" s="222">
        <f>IF(DS160=0,0,(DT160-DS160)/DS160*100)</f>
        <v>0</v>
      </c>
      <c r="DV160" s="943"/>
      <c r="DW160" s="943"/>
      <c r="DX160" s="222">
        <f>IF(DV160=0,0,(DW160-DV160)/DV160*100)</f>
        <v>0</v>
      </c>
      <c r="DY160" s="943"/>
      <c r="DZ160" s="943"/>
      <c r="EA160" s="222">
        <f>IF(DY160=0,0,(DZ160-DY160)/DY160*100)</f>
        <v>0</v>
      </c>
      <c r="EB160" s="943"/>
      <c r="EC160" s="943"/>
      <c r="ED160" s="222">
        <f>IF(EB160=0,0,(EC160-EB160)/EB160*100)</f>
        <v>0</v>
      </c>
      <c r="EE160" s="943"/>
      <c r="EF160" s="943"/>
      <c r="EG160" s="222">
        <f>IF(EE160=0,0,(EF160-EE160)/EE160*100)</f>
        <v>0</v>
      </c>
      <c r="EH160" s="943"/>
      <c r="EI160" s="943"/>
      <c r="EJ160" s="222">
        <f>IF(EH160=0,0,(EI160-EH160)/EH160*100)</f>
        <v>0</v>
      </c>
      <c r="EK160" s="943"/>
      <c r="EL160" s="943"/>
      <c r="EM160" s="222">
        <f>IF(EK160=0,0,(EL160-EK160)/EK160*100)</f>
        <v>0</v>
      </c>
      <c r="EN160" s="943"/>
      <c r="EO160" s="943"/>
      <c r="EP160" s="222">
        <f>IF(EN160=0,0,(EO160-EN160)/EN160*100)</f>
        <v>0</v>
      </c>
      <c r="EQ160" s="943"/>
      <c r="ER160" s="943"/>
      <c r="ES160" s="222">
        <f>IF(EQ160=0,0,(ER160-EQ160)/EQ160*100)</f>
        <v>0</v>
      </c>
      <c r="ET160" s="943"/>
      <c r="EU160" s="943"/>
      <c r="EV160" s="222">
        <f>IF(ET160=0,0,(EU160-ET160)/ET160*100)</f>
        <v>0</v>
      </c>
      <c r="EW160" s="943"/>
      <c r="EX160" s="943"/>
      <c r="EY160" s="222">
        <f>IF(EW160=0,0,(EX160-EW160)/EW160*100)</f>
        <v>0</v>
      </c>
      <c r="EZ160" s="943"/>
      <c r="FA160" s="943"/>
      <c r="FB160" s="222">
        <f>IF(EZ160=0,0,(FA160-EZ160)/EZ160*100)</f>
        <v>0</v>
      </c>
      <c r="FC160" s="943"/>
      <c r="FD160" s="943"/>
      <c r="FE160" s="222">
        <f>IF(FC160=0,0,(FD160-FC160)/FC160*100)</f>
        <v>0</v>
      </c>
      <c r="FF160" s="943"/>
      <c r="FG160" s="943"/>
      <c r="FH160" s="222">
        <f>IF(FF160=0,0,(FG160-FF160)/FF160*100)</f>
        <v>0</v>
      </c>
      <c r="FI160" s="943"/>
      <c r="FJ160" s="943"/>
      <c r="FK160" s="222">
        <f>IF(FI160=0,0,(FJ160-FI160)/FI160*100)</f>
        <v>0</v>
      </c>
      <c r="FL160" s="943"/>
      <c r="FM160" s="943"/>
      <c r="FN160" s="222">
        <f>IF(FL160=0,0,(FM160-FL160)/FL160*100)</f>
        <v>0</v>
      </c>
      <c r="FO160" s="943"/>
      <c r="FP160" s="943"/>
      <c r="FQ160" s="222">
        <f>IF(FO160=0,0,(FP160-FO160)/FO160*100)</f>
        <v>0</v>
      </c>
      <c r="FR160" s="943"/>
      <c r="FS160" s="943"/>
      <c r="FT160" s="222">
        <f>IF(FR160=0,0,(FS160-FR160)/FR160*100)</f>
        <v>0</v>
      </c>
      <c r="FU160" s="943"/>
      <c r="FV160" s="943"/>
      <c r="FW160" s="222">
        <f>IF(FU160=0,0,(FV160-FU160)/FU160*100)</f>
        <v>0</v>
      </c>
      <c r="FX160" s="219"/>
      <c r="FY160" s="219"/>
      <c r="FZ160" s="700" t="s">
        <v>1625</v>
      </c>
      <c r="GA160" s="700"/>
      <c r="GB160" s="700"/>
      <c r="GC160" s="701"/>
      <c r="GD160" s="701"/>
    </row>
    <row r="161" spans="1:186" s="947" customFormat="1" ht="23.25" customHeight="1">
      <c r="A161" s="603"/>
      <c r="B161" s="622" t="b" cm="1">
        <f t="array" ref="B161">B160</f>
        <v>1</v>
      </c>
      <c r="C161" s="603"/>
      <c r="D161" s="603"/>
      <c r="E161" s="604">
        <v>24.5</v>
      </c>
      <c r="F161" s="3" t="str" cm="1">
        <f t="array" aca="1" ref="F161" ca="1">OFFSET(E161,-1,1)</f>
        <v>2</v>
      </c>
      <c r="G161" s="78" t="s">
        <v>1626</v>
      </c>
      <c r="H161" s="78" t="s">
        <v>461</v>
      </c>
      <c r="I161" s="78" t="s">
        <v>1627</v>
      </c>
      <c r="J161" s="603"/>
      <c r="K161" s="603"/>
      <c r="L161" s="78"/>
      <c r="M161" s="603"/>
      <c r="N161" s="603"/>
      <c r="O161" s="603"/>
      <c r="P161" s="603"/>
      <c r="Q161" s="603"/>
      <c r="R161" s="603"/>
      <c r="S161" s="78"/>
      <c r="T161" s="365" t="b" cm="1">
        <f t="array" ref="T161">T160</f>
        <v>1</v>
      </c>
      <c r="U161" s="603"/>
      <c r="V161" s="603"/>
      <c r="W161" s="603"/>
      <c r="X161" s="1094"/>
      <c r="Y161" s="603"/>
      <c r="Z161" s="1064"/>
      <c r="AA161" s="603"/>
      <c r="AB161" s="220" t="s">
        <v>1628</v>
      </c>
      <c r="AC161" s="221" t="s">
        <v>1624</v>
      </c>
      <c r="AD161" s="605">
        <f ca="1">IF(AND(method_reg="Метод индексации",god&lt;&gt;first_year),SUMIFS(INDEX('Калькуляция (МИ корр)'!$AJ$25:$BC$459,,MATCH(AD$8,'Калькуляция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(МИ)'!$AJ$25:$BC$459,,MATCH(AD$8,'Калькуляция (МИ)'!$AJ$8:$BC$8,0)),'Калькуляция (МИ)'!$F$25:$F$459,$F161,'Калькуляция (МИ)'!$G$25:$G$459,$G161))))</f>
        <v>74.0624777168224</v>
      </c>
      <c r="AE161" s="605">
        <f ca="1">IF(AND(method_reg="Метод индексации",god&lt;&gt;first_year),SUMIFS(INDEX('Калькуляция (МИ корр)'!$AJ$25:$BC$459,,MATCH(AE$8,'Калькуляция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(МИ)'!$AJ$25:$BC$459,,MATCH(AE$8,'Калькуляция (МИ)'!$AJ$8:$BC$8,0)),'Калькуляция (МИ)'!$F$25:$F$459,$F161,'Калькуляция (МИ)'!$G$25:$G$459,$G161))))</f>
        <v>43.819995458486737</v>
      </c>
      <c r="AF161" s="222">
        <f ca="1">IF(AD161=0,0,(AE161-AD161)/AD161*100)</f>
        <v>-40.833743604916485</v>
      </c>
      <c r="AG161" s="942">
        <f ca="1">IF(AND(method_reg="Метод индексации",god&lt;&gt;first_year),SUMIFS(INDEX('Калькуляция (МИ корр)'!$AJ$25:$BC$459,,MATCH(AG$8,'Калькуляция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(МИ)'!$AJ$25:$BC$459,,MATCH(AG$8,'Калькуляция (МИ)'!$AJ$8:$BC$8,0)),'Калькуляция (МИ)'!$F$25:$F$459,$F161,'Калькуляция (МИ)'!$G$25:$G$459,$G161))))</f>
        <v>0</v>
      </c>
      <c r="AH161" s="942">
        <f ca="1">IF(AND(method_reg="Метод индексации",god&lt;&gt;first_year),SUMIFS(INDEX('Калькуляция (МИ корр)'!$AJ$25:$BC$459,,MATCH(AH$8,'Калькуляция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(МИ)'!$AJ$25:$BC$459,,MATCH(AH$8,'Калькуляция (МИ)'!$AJ$8:$BC$8,0)),'Калькуляция (МИ)'!$F$25:$F$459,$F161,'Калькуляция (МИ)'!$G$25:$G$459,$G161))))</f>
        <v>0</v>
      </c>
      <c r="AI161" s="222">
        <f ca="1">IF(AG161=0,0,(AH161-AG161)/AG161*100)</f>
        <v>0</v>
      </c>
      <c r="AJ161" s="942">
        <f ca="1">IF(AND(method_reg="Метод индексации",god&lt;&gt;first_year),SUMIFS(INDEX('Калькуляция (МИ корр)'!$AJ$25:$BC$459,,MATCH(AJ$8,'Калькуляция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(МИ)'!$AJ$25:$BC$459,,MATCH(AJ$8,'Калькуляция (МИ)'!$AJ$8:$BC$8,0)),'Калькуляция (МИ)'!$F$25:$F$459,$F161,'Калькуляция (МИ)'!$G$25:$G$459,$G161))))</f>
        <v>0</v>
      </c>
      <c r="AK161" s="942">
        <f ca="1">IF(AND(method_reg="Метод индексации",god&lt;&gt;first_year),SUMIFS(INDEX('Калькуляция (МИ корр)'!$AJ$25:$BC$459,,MATCH(AK$8,'Калькуляция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(МИ)'!$AJ$25:$BC$459,,MATCH(AK$8,'Калькуляция (МИ)'!$AJ$8:$BC$8,0)),'Калькуляция (МИ)'!$F$25:$F$459,$F161,'Калькуляция (МИ)'!$G$25:$G$459,$G161))))</f>
        <v>0</v>
      </c>
      <c r="AL161" s="222">
        <f ca="1">IF(AJ161=0,0,(AK161-AJ161)/AJ161*100)</f>
        <v>0</v>
      </c>
      <c r="AM161" s="942">
        <f ca="1">IF(AND(method_reg="Метод индексации",god&lt;&gt;first_year),SUMIFS(INDEX('Калькуляция (МИ корр)'!$AJ$25:$BC$459,,MATCH(AM$8,'Калькуляция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(МИ)'!$AJ$25:$BC$459,,MATCH(AM$8,'Калькуляция (МИ)'!$AJ$8:$BC$8,0)),'Калькуляция (МИ)'!$F$25:$F$459,$F161,'Калькуляция (МИ)'!$G$25:$G$459,$G161))))</f>
        <v>0</v>
      </c>
      <c r="AN161" s="942">
        <f ca="1">IF(AND(method_reg="Метод индексации",god&lt;&gt;first_year),SUMIFS(INDEX('Калькуляция (МИ корр)'!$AJ$25:$BC$459,,MATCH(AN$8,'Калькуляция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(МИ)'!$AJ$25:$BC$459,,MATCH(AN$8,'Калькуляция (МИ)'!$AJ$8:$BC$8,0)),'Калькуляция (МИ)'!$F$25:$F$459,$F161,'Калькуляция (МИ)'!$G$25:$G$459,$G161))))</f>
        <v>0</v>
      </c>
      <c r="AO161" s="222">
        <f ca="1">IF(AM161=0,0,(AN161-AM161)/AM161*100)</f>
        <v>0</v>
      </c>
      <c r="AP161" s="942">
        <f ca="1">IF(AND(method_reg="Метод индексации",god&lt;&gt;first_year),SUMIFS(INDEX('Калькуляция (МИ корр)'!$AJ$25:$BC$459,,MATCH(AP$8,'Калькуляция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(МИ)'!$AJ$25:$BC$459,,MATCH(AP$8,'Калькуляция (МИ)'!$AJ$8:$BC$8,0)),'Калькуляция (МИ)'!$F$25:$F$459,$F161,'Калькуляция (МИ)'!$G$25:$G$459,$G161))))</f>
        <v>0</v>
      </c>
      <c r="AQ161" s="942">
        <f ca="1">IF(AND(method_reg="Метод индексации",god&lt;&gt;first_year),SUMIFS(INDEX('Калькуляция (МИ корр)'!$AJ$25:$BC$459,,MATCH(AQ$8,'Калькуляция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(МИ)'!$AJ$25:$BC$459,,MATCH(AQ$8,'Калькуляция (МИ)'!$AJ$8:$BC$8,0)),'Калькуляция (МИ)'!$F$25:$F$459,$F161,'Калькуляция (МИ)'!$G$25:$G$459,$G161))))</f>
        <v>0</v>
      </c>
      <c r="AR161" s="222">
        <f ca="1">IF(AP161=0,0,(AQ161-AP161)/AP161*100)</f>
        <v>0</v>
      </c>
      <c r="AS161" s="942">
        <f ca="1">IF(AND(method_reg="Метод индексации",god&lt;&gt;first_year),SUMIFS(INDEX('Калькуляция (МИ корр)'!$AJ$25:$BC$459,,MATCH(AS$8,'Калькуляция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(МИ)'!$AJ$25:$BC$459,,MATCH(AS$8,'Калькуляция (МИ)'!$AJ$8:$BC$8,0)),'Калькуляция (МИ)'!$F$25:$F$459,$F161,'Калькуляция (МИ)'!$G$25:$G$459,$G161))))</f>
        <v>0</v>
      </c>
      <c r="AT161" s="942">
        <f ca="1">IF(AND(method_reg="Метод индексации",god&lt;&gt;first_year),SUMIFS(INDEX('Калькуляция (МИ корр)'!$AJ$25:$BC$459,,MATCH(AT$8,'Калькуляция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(МИ)'!$AJ$25:$BC$459,,MATCH(AT$8,'Калькуляция (МИ)'!$AJ$8:$BC$8,0)),'Калькуляция (МИ)'!$F$25:$F$459,$F161,'Калькуляция (МИ)'!$G$25:$G$459,$G161))))</f>
        <v>0</v>
      </c>
      <c r="AU161" s="222">
        <f ca="1">IF(AS161=0,0,(AT161-AS161)/AS161*100)</f>
        <v>0</v>
      </c>
      <c r="AV161" s="942">
        <f ca="1">IF(AND(method_reg="Метод индексации",god&lt;&gt;first_year),SUMIFS(INDEX('Калькуляция (МИ корр)'!$AJ$25:$BC$459,,MATCH(AV$8,'Калькуляция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(МИ)'!$AJ$25:$BC$459,,MATCH(AV$8,'Калькуляция (МИ)'!$AJ$8:$BC$8,0)),'Калькуляция (МИ)'!$F$25:$F$459,$F161,'Калькуляция (МИ)'!$G$25:$G$459,$G161))))</f>
        <v>0</v>
      </c>
      <c r="AW161" s="942">
        <f ca="1">IF(AND(method_reg="Метод индексации",god&lt;&gt;first_year),SUMIFS(INDEX('Калькуляция (МИ корр)'!$AJ$25:$BC$459,,MATCH(AW$8,'Калькуляция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(МИ)'!$AJ$25:$BC$459,,MATCH(AW$8,'Калькуляция (МИ)'!$AJ$8:$BC$8,0)),'Калькуляция (МИ)'!$F$25:$F$459,$F161,'Калькуляция (МИ)'!$G$25:$G$459,$G161))))</f>
        <v>0</v>
      </c>
      <c r="AX161" s="222">
        <f ca="1">IF(AV161=0,0,(AW161-AV161)/AV161*100)</f>
        <v>0</v>
      </c>
      <c r="AY161" s="942">
        <f ca="1">IF(AND(method_reg="Метод индексации",god&lt;&gt;first_year),SUMIFS(INDEX('Калькуляция (МИ корр)'!$AJ$25:$BC$459,,MATCH(AY$8,'Калькуляция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(МИ)'!$AJ$25:$BC$459,,MATCH(AY$8,'Калькуляция (МИ)'!$AJ$8:$BC$8,0)),'Калькуляция (МИ)'!$F$25:$F$459,$F161,'Калькуляция (МИ)'!$G$25:$G$459,$G161))))</f>
        <v>0</v>
      </c>
      <c r="AZ161" s="942">
        <f ca="1">IF(AND(method_reg="Метод индексации",god&lt;&gt;first_year),SUMIFS(INDEX('Калькуляция (МИ корр)'!$AJ$25:$BC$459,,MATCH(AZ$8,'Калькуляция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(МИ)'!$AJ$25:$BC$459,,MATCH(AZ$8,'Калькуляция (МИ)'!$AJ$8:$BC$8,0)),'Калькуляция (МИ)'!$F$25:$F$459,$F161,'Калькуляция (МИ)'!$G$25:$G$459,$G161))))</f>
        <v>0</v>
      </c>
      <c r="BA161" s="222">
        <f ca="1">IF(AY161=0,0,(AZ161-AY161)/AY161*100)</f>
        <v>0</v>
      </c>
      <c r="BB161" s="942">
        <f ca="1">IF(AND(method_reg="Метод индексации",god&lt;&gt;first_year),SUMIFS(INDEX('Калькуляция (МИ корр)'!$AJ$25:$BC$459,,MATCH(BB$8,'Калькуляция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(МИ)'!$AJ$25:$BC$459,,MATCH(BB$8,'Калькуляция (МИ)'!$AJ$8:$BC$8,0)),'Калькуляция (МИ)'!$F$25:$F$459,$F161,'Калькуляция (МИ)'!$G$25:$G$459,$G161))))</f>
        <v>0</v>
      </c>
      <c r="BC161" s="942">
        <f ca="1">IF(AND(method_reg="Метод индексации",god&lt;&gt;first_year),SUMIFS(INDEX('Калькуляция (МИ корр)'!$AJ$25:$BC$459,,MATCH(BC$8,'Калькуляция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(МИ)'!$AJ$25:$BC$459,,MATCH(BC$8,'Калькуляция (МИ)'!$AJ$8:$BC$8,0)),'Калькуляция (МИ)'!$F$25:$F$459,$F161,'Калькуляция (МИ)'!$G$25:$G$459,$G161))))</f>
        <v>0</v>
      </c>
      <c r="BD161" s="222">
        <f ca="1">IF(BB161=0,0,(BC161-BB161)/BB161*100)</f>
        <v>0</v>
      </c>
      <c r="BE161" s="942">
        <f ca="1">IF(AND(method_reg="Метод индексации",god&lt;&gt;first_year),SUMIFS(INDEX('Калькуляция (МИ корр)'!$AJ$25:$BC$459,,MATCH(BE$8,'Калькуляция (МИ корр)'!$AJ$8:$BC$8,0)),'Калькуляция (МИ корр)'!$F$25:$F$459,$F161,'Калькуляция (МИ корр)'!$G$25:$G$459,$G161),IF(method_reg="Метод экономически обоснованных расходов",SUMIFS('Калькуляция (МЭОР)'!$AJ$25:$AJ$282,'Калькуляция (МЭОР)'!$F$25:$F$282,$F161,'Калькуляция (МЭОР)'!$G$25:$G$282,$G161),IF(method_reg="Метод сравнения аналогов",SUMIFS('Калькуляция (МСА)'!$AE$25:$AE$84,'Калькуляция (МСА)'!$F$25:$F$84,$F161,'Калькуляция (МСА)'!$G$25:$G$84,$G161),SUMIFS(INDEX('Калькуляция (МИ)'!$AJ$25:$BC$459,,MATCH(BE$8,'Калькуляция (МИ)'!$AJ$8:$BC$8,0)),'Калькуляция (МИ)'!$F$25:$F$459,$F161,'Калькуляция (МИ)'!$G$25:$G$459,$G161))))</f>
        <v>0</v>
      </c>
      <c r="BF161" s="942">
        <f ca="1">IF(AND(method_reg="Метод индексации",god&lt;&gt;first_year),SUMIFS(INDEX('Калькуляция (МИ корр)'!$AJ$25:$BC$459,,MATCH(BF$8,'Калькуляция (МИ корр)'!$AJ$8:$BC$8,0)),'Калькуляция (МИ корр)'!$F$25:$F$459,$F161,'Калькуляция (МИ корр)'!$G$25:$G$459,$G161),IF(method_reg="Метод экономически обоснованных расходов",SUMIFS('Калькуляция (МЭОР)'!$AK$25:$AK$282,'Калькуляция (МЭОР)'!$F$25:$F$282,$F161,'Калькуляция (МЭОР)'!$G$25:$G$282,$G161),IF(method_reg="Метод сравнения аналогов",SUMIFS('Калькуляция (МСА)'!$AF$25:$AF$84,'Калькуляция (МСА)'!$F$25:$F$84,$F161,'Калькуляция (МСА)'!$G$25:$G$84,$G161),SUMIFS(INDEX('Калькуляция (МИ)'!$AJ$25:$BC$459,,MATCH(BF$8,'Калькуляция (МИ)'!$AJ$8:$BC$8,0)),'Калькуляция (МИ)'!$F$25:$F$459,$F161,'Калькуляция (МИ)'!$G$25:$G$459,$G161))))</f>
        <v>0</v>
      </c>
      <c r="BG161" s="222">
        <f ca="1">IF(BE161=0,0,(BF161-BE161)/BE161*100)</f>
        <v>0</v>
      </c>
      <c r="BH161" s="942"/>
      <c r="BI161" s="942"/>
      <c r="BJ161" s="222">
        <f>IF(BH161=0,0,(BI161-BH161)/BH161*100)</f>
        <v>0</v>
      </c>
      <c r="BK161" s="942"/>
      <c r="BL161" s="942"/>
      <c r="BM161" s="222">
        <f>IF(BK161=0,0,(BL161-BK161)/BK161*100)</f>
        <v>0</v>
      </c>
      <c r="BN161" s="942"/>
      <c r="BO161" s="942"/>
      <c r="BP161" s="222">
        <f>IF(BN161=0,0,(BO161-BN161)/BN161*100)</f>
        <v>0</v>
      </c>
      <c r="BQ161" s="942"/>
      <c r="BR161" s="942"/>
      <c r="BS161" s="222">
        <f>IF(BQ161=0,0,(BR161-BQ161)/BQ161*100)</f>
        <v>0</v>
      </c>
      <c r="BT161" s="942"/>
      <c r="BU161" s="942"/>
      <c r="BV161" s="222">
        <f>IF(BT161=0,0,(BU161-BT161)/BT161*100)</f>
        <v>0</v>
      </c>
      <c r="BW161" s="942"/>
      <c r="BX161" s="942"/>
      <c r="BY161" s="222">
        <f>IF(BW161=0,0,(BX161-BW161)/BW161*100)</f>
        <v>0</v>
      </c>
      <c r="BZ161" s="942"/>
      <c r="CA161" s="942"/>
      <c r="CB161" s="222">
        <f>IF(BZ161=0,0,(CA161-BZ161)/BZ161*100)</f>
        <v>0</v>
      </c>
      <c r="CC161" s="942"/>
      <c r="CD161" s="942"/>
      <c r="CE161" s="222">
        <f>IF(CC161=0,0,(CD161-CC161)/CC161*100)</f>
        <v>0</v>
      </c>
      <c r="CF161" s="942"/>
      <c r="CG161" s="942"/>
      <c r="CH161" s="222">
        <f>IF(CF161=0,0,(CG161-CF161)/CF161*100)</f>
        <v>0</v>
      </c>
      <c r="CI161" s="942"/>
      <c r="CJ161" s="942"/>
      <c r="CK161" s="222">
        <f>IF(CI161=0,0,(CJ161-CI161)/CI161*100)</f>
        <v>0</v>
      </c>
      <c r="CL161" s="942"/>
      <c r="CM161" s="942"/>
      <c r="CN161" s="222">
        <f>IF(CL161=0,0,(CM161-CL161)/CL161*100)</f>
        <v>0</v>
      </c>
      <c r="CO161" s="942"/>
      <c r="CP161" s="942"/>
      <c r="CQ161" s="222">
        <f>IF(CO161=0,0,(CP161-CO161)/CO161*100)</f>
        <v>0</v>
      </c>
      <c r="CR161" s="942"/>
      <c r="CS161" s="942"/>
      <c r="CT161" s="222">
        <f>IF(CR161=0,0,(CS161-CR161)/CR161*100)</f>
        <v>0</v>
      </c>
      <c r="CU161" s="942"/>
      <c r="CV161" s="942"/>
      <c r="CW161" s="222">
        <f>IF(CU161=0,0,(CV161-CU161)/CU161*100)</f>
        <v>0</v>
      </c>
      <c r="CX161" s="942"/>
      <c r="CY161" s="942"/>
      <c r="CZ161" s="222">
        <f>IF(CX161=0,0,(CY161-CX161)/CX161*100)</f>
        <v>0</v>
      </c>
      <c r="DA161" s="942"/>
      <c r="DB161" s="942"/>
      <c r="DC161" s="222">
        <f>IF(DA161=0,0,(DB161-DA161)/DA161*100)</f>
        <v>0</v>
      </c>
      <c r="DD161" s="942"/>
      <c r="DE161" s="942"/>
      <c r="DF161" s="222">
        <f>IF(DD161=0,0,(DE161-DD161)/DD161*100)</f>
        <v>0</v>
      </c>
      <c r="DG161" s="943"/>
      <c r="DH161" s="943"/>
      <c r="DI161" s="222">
        <f>IF(DG161=0,0,(DH161-DG161)/DG161*100)</f>
        <v>0</v>
      </c>
      <c r="DJ161" s="943"/>
      <c r="DK161" s="943"/>
      <c r="DL161" s="222">
        <f>IF(DJ161=0,0,(DK161-DJ161)/DJ161*100)</f>
        <v>0</v>
      </c>
      <c r="DM161" s="943"/>
      <c r="DN161" s="943"/>
      <c r="DO161" s="222">
        <f>IF(DM161=0,0,(DN161-DM161)/DM161*100)</f>
        <v>0</v>
      </c>
      <c r="DP161" s="943"/>
      <c r="DQ161" s="943"/>
      <c r="DR161" s="222">
        <f>IF(DP161=0,0,(DQ161-DP161)/DP161*100)</f>
        <v>0</v>
      </c>
      <c r="DS161" s="943"/>
      <c r="DT161" s="943"/>
      <c r="DU161" s="222">
        <f>IF(DS161=0,0,(DT161-DS161)/DS161*100)</f>
        <v>0</v>
      </c>
      <c r="DV161" s="943"/>
      <c r="DW161" s="943"/>
      <c r="DX161" s="222">
        <f>IF(DV161=0,0,(DW161-DV161)/DV161*100)</f>
        <v>0</v>
      </c>
      <c r="DY161" s="943"/>
      <c r="DZ161" s="943"/>
      <c r="EA161" s="222">
        <f>IF(DY161=0,0,(DZ161-DY161)/DY161*100)</f>
        <v>0</v>
      </c>
      <c r="EB161" s="943"/>
      <c r="EC161" s="943"/>
      <c r="ED161" s="222">
        <f>IF(EB161=0,0,(EC161-EB161)/EB161*100)</f>
        <v>0</v>
      </c>
      <c r="EE161" s="943"/>
      <c r="EF161" s="943"/>
      <c r="EG161" s="222">
        <f>IF(EE161=0,0,(EF161-EE161)/EE161*100)</f>
        <v>0</v>
      </c>
      <c r="EH161" s="943"/>
      <c r="EI161" s="943"/>
      <c r="EJ161" s="222">
        <f>IF(EH161=0,0,(EI161-EH161)/EH161*100)</f>
        <v>0</v>
      </c>
      <c r="EK161" s="943"/>
      <c r="EL161" s="943"/>
      <c r="EM161" s="222">
        <f>IF(EK161=0,0,(EL161-EK161)/EK161*100)</f>
        <v>0</v>
      </c>
      <c r="EN161" s="943"/>
      <c r="EO161" s="943"/>
      <c r="EP161" s="222">
        <f>IF(EN161=0,0,(EO161-EN161)/EN161*100)</f>
        <v>0</v>
      </c>
      <c r="EQ161" s="943"/>
      <c r="ER161" s="943"/>
      <c r="ES161" s="222">
        <f>IF(EQ161=0,0,(ER161-EQ161)/EQ161*100)</f>
        <v>0</v>
      </c>
      <c r="ET161" s="943"/>
      <c r="EU161" s="943"/>
      <c r="EV161" s="222">
        <f>IF(ET161=0,0,(EU161-ET161)/ET161*100)</f>
        <v>0</v>
      </c>
      <c r="EW161" s="943"/>
      <c r="EX161" s="943"/>
      <c r="EY161" s="222">
        <f>IF(EW161=0,0,(EX161-EW161)/EW161*100)</f>
        <v>0</v>
      </c>
      <c r="EZ161" s="943"/>
      <c r="FA161" s="943"/>
      <c r="FB161" s="222">
        <f>IF(EZ161=0,0,(FA161-EZ161)/EZ161*100)</f>
        <v>0</v>
      </c>
      <c r="FC161" s="943"/>
      <c r="FD161" s="943"/>
      <c r="FE161" s="222">
        <f>IF(FC161=0,0,(FD161-FC161)/FC161*100)</f>
        <v>0</v>
      </c>
      <c r="FF161" s="943"/>
      <c r="FG161" s="943"/>
      <c r="FH161" s="222">
        <f>IF(FF161=0,0,(FG161-FF161)/FF161*100)</f>
        <v>0</v>
      </c>
      <c r="FI161" s="943"/>
      <c r="FJ161" s="943"/>
      <c r="FK161" s="222">
        <f>IF(FI161=0,0,(FJ161-FI161)/FI161*100)</f>
        <v>0</v>
      </c>
      <c r="FL161" s="943"/>
      <c r="FM161" s="943"/>
      <c r="FN161" s="222">
        <f>IF(FL161=0,0,(FM161-FL161)/FL161*100)</f>
        <v>0</v>
      </c>
      <c r="FO161" s="943"/>
      <c r="FP161" s="943"/>
      <c r="FQ161" s="222">
        <f>IF(FO161=0,0,(FP161-FO161)/FO161*100)</f>
        <v>0</v>
      </c>
      <c r="FR161" s="943"/>
      <c r="FS161" s="943"/>
      <c r="FT161" s="222">
        <f>IF(FR161=0,0,(FS161-FR161)/FR161*100)</f>
        <v>0</v>
      </c>
      <c r="FU161" s="943"/>
      <c r="FV161" s="943"/>
      <c r="FW161" s="222">
        <f>IF(FU161=0,0,(FV161-FU161)/FU161*100)</f>
        <v>0</v>
      </c>
      <c r="FX161" s="219"/>
      <c r="FY161" s="219"/>
      <c r="FZ161" s="700" t="s">
        <v>1629</v>
      </c>
      <c r="GA161" s="700"/>
      <c r="GB161" s="700"/>
      <c r="GC161" s="701"/>
      <c r="GD161" s="701"/>
    </row>
    <row r="162" spans="1:186" ht="14.25" customHeight="1">
      <c r="A162" s="78"/>
      <c r="B162" s="622" t="b" cm="1">
        <f t="array" ref="B162">B161</f>
        <v>1</v>
      </c>
      <c r="C162" s="78"/>
      <c r="D162" s="78"/>
      <c r="E162" s="473">
        <v>15</v>
      </c>
      <c r="F162" s="3" t="str" cm="1">
        <f t="array" aca="1" ref="F162" ca="1">OFFSET(E162,-1,1)</f>
        <v>2</v>
      </c>
      <c r="G162" s="78"/>
      <c r="H162" s="78" t="s">
        <v>465</v>
      </c>
      <c r="I162" s="78" t="s">
        <v>1630</v>
      </c>
      <c r="J162" s="78"/>
      <c r="K162" s="78"/>
      <c r="L162" s="78"/>
      <c r="M162" s="78"/>
      <c r="N162" s="78"/>
      <c r="O162" s="78"/>
      <c r="P162" s="78"/>
      <c r="Q162" s="78"/>
      <c r="R162" s="78"/>
      <c r="S162" s="78"/>
      <c r="T162" s="365" t="b" cm="1">
        <f t="array" ref="T162">T161</f>
        <v>1</v>
      </c>
      <c r="U162" s="78"/>
      <c r="V162" s="78"/>
      <c r="W162" s="78"/>
      <c r="X162" s="1094"/>
      <c r="Y162" s="78"/>
      <c r="Z162" s="1064"/>
      <c r="AA162" s="78"/>
      <c r="AB162" s="73" t="s">
        <v>1631</v>
      </c>
      <c r="AC162" s="31" t="s">
        <v>456</v>
      </c>
      <c r="AD162" s="629">
        <f ca="1">IF(AD160=0,0,AD161/AD160)*100</f>
        <v>99.999975035957121</v>
      </c>
      <c r="AE162" s="629">
        <f ca="1">IF(AE160=0,0,AE161/AE160)*100</f>
        <v>107.08698843584772</v>
      </c>
      <c r="AF162" s="723"/>
      <c r="AG162" s="629">
        <f ca="1">IF(AG160=0,0,AG161/AG160)*100</f>
        <v>0</v>
      </c>
      <c r="AH162" s="629">
        <f ca="1">IF(AH160=0,0,AH161/AH160)*100</f>
        <v>0</v>
      </c>
      <c r="AI162" s="723"/>
      <c r="AJ162" s="629">
        <f ca="1">IF(AJ160=0,0,AJ161/AJ160)*100</f>
        <v>0</v>
      </c>
      <c r="AK162" s="629">
        <f ca="1">IF(AK160=0,0,AK161/AK160)*100</f>
        <v>0</v>
      </c>
      <c r="AL162" s="723"/>
      <c r="AM162" s="629">
        <f ca="1">IF(AM160=0,0,AM161/AM160)*100</f>
        <v>0</v>
      </c>
      <c r="AN162" s="629">
        <f ca="1">IF(AN160=0,0,AN161/AN160)*100</f>
        <v>0</v>
      </c>
      <c r="AO162" s="723"/>
      <c r="AP162" s="629">
        <f ca="1">IF(AP160=0,0,AP161/AP160)*100</f>
        <v>0</v>
      </c>
      <c r="AQ162" s="629">
        <f ca="1">IF(AQ160=0,0,AQ161/AQ160)*100</f>
        <v>0</v>
      </c>
      <c r="AR162" s="723"/>
      <c r="AS162" s="629">
        <f ca="1">IF(AS160=0,0,AS161/AS160)*100</f>
        <v>0</v>
      </c>
      <c r="AT162" s="629">
        <f ca="1">IF(AT160=0,0,AT161/AT160)*100</f>
        <v>0</v>
      </c>
      <c r="AU162" s="723"/>
      <c r="AV162" s="629">
        <f ca="1">IF(AV160=0,0,AV161/AV160)*100</f>
        <v>0</v>
      </c>
      <c r="AW162" s="629">
        <f ca="1">IF(AW160=0,0,AW161/AW160)*100</f>
        <v>0</v>
      </c>
      <c r="AX162" s="723"/>
      <c r="AY162" s="629">
        <f ca="1">IF(AY160=0,0,AY161/AY160)*100</f>
        <v>0</v>
      </c>
      <c r="AZ162" s="629">
        <f ca="1">IF(AZ160=0,0,AZ161/AZ160)*100</f>
        <v>0</v>
      </c>
      <c r="BA162" s="723"/>
      <c r="BB162" s="629">
        <f ca="1">IF(BB160=0,0,BB161/BB160)*100</f>
        <v>0</v>
      </c>
      <c r="BC162" s="629">
        <f ca="1">IF(BC160=0,0,BC161/BC160)*100</f>
        <v>0</v>
      </c>
      <c r="BD162" s="723"/>
      <c r="BE162" s="629">
        <f ca="1">IF(BE160=0,0,BE161/BE160)*100</f>
        <v>0</v>
      </c>
      <c r="BF162" s="629">
        <f ca="1">IF(BF160=0,0,BF161/BF160)*100</f>
        <v>0</v>
      </c>
      <c r="BG162" s="723"/>
      <c r="BH162" s="629">
        <f>IF(BH160=0,0,BH161/BH160)*100</f>
        <v>0</v>
      </c>
      <c r="BI162" s="629">
        <f>IF(BI160=0,0,BI161/BI160)*100</f>
        <v>0</v>
      </c>
      <c r="BJ162" s="723"/>
      <c r="BK162" s="629">
        <f>IF(BK160=0,0,BK161/BK160)*100</f>
        <v>0</v>
      </c>
      <c r="BL162" s="629">
        <f>IF(BL160=0,0,BL161/BL160)*100</f>
        <v>0</v>
      </c>
      <c r="BM162" s="723"/>
      <c r="BN162" s="629">
        <f>IF(BN160=0,0,BN161/BN160)*100</f>
        <v>0</v>
      </c>
      <c r="BO162" s="629">
        <f>IF(BO160=0,0,BO161/BO160)*100</f>
        <v>0</v>
      </c>
      <c r="BP162" s="723"/>
      <c r="BQ162" s="629">
        <f>IF(BQ160=0,0,BQ161/BQ160)*100</f>
        <v>0</v>
      </c>
      <c r="BR162" s="629">
        <f>IF(BR160=0,0,BR161/BR160)*100</f>
        <v>0</v>
      </c>
      <c r="BS162" s="723"/>
      <c r="BT162" s="629">
        <f>IF(BT160=0,0,BT161/BT160)*100</f>
        <v>0</v>
      </c>
      <c r="BU162" s="629">
        <f>IF(BU160=0,0,BU161/BU160)*100</f>
        <v>0</v>
      </c>
      <c r="BV162" s="723"/>
      <c r="BW162" s="629">
        <f>IF(BW160=0,0,BW161/BW160)*100</f>
        <v>0</v>
      </c>
      <c r="BX162" s="629">
        <f>IF(BX160=0,0,BX161/BX160)*100</f>
        <v>0</v>
      </c>
      <c r="BY162" s="723"/>
      <c r="BZ162" s="629">
        <f>IF(BZ160=0,0,BZ161/BZ160)*100</f>
        <v>0</v>
      </c>
      <c r="CA162" s="629">
        <f>IF(CA160=0,0,CA161/CA160)*100</f>
        <v>0</v>
      </c>
      <c r="CB162" s="723"/>
      <c r="CC162" s="629">
        <f>IF(CC160=0,0,CC161/CC160)*100</f>
        <v>0</v>
      </c>
      <c r="CD162" s="629">
        <f>IF(CD160=0,0,CD161/CD160)*100</f>
        <v>0</v>
      </c>
      <c r="CE162" s="723"/>
      <c r="CF162" s="629">
        <f>IF(CF160=0,0,CF161/CF160)*100</f>
        <v>0</v>
      </c>
      <c r="CG162" s="629">
        <f>IF(CG160=0,0,CG161/CG160)*100</f>
        <v>0</v>
      </c>
      <c r="CH162" s="723"/>
      <c r="CI162" s="629">
        <f>IF(CI160=0,0,CI161/CI160)*100</f>
        <v>0</v>
      </c>
      <c r="CJ162" s="629">
        <f>IF(CJ160=0,0,CJ161/CJ160)*100</f>
        <v>0</v>
      </c>
      <c r="CK162" s="723"/>
      <c r="CL162" s="629">
        <f>IF(CL160=0,0,CL161/CL160)*100</f>
        <v>0</v>
      </c>
      <c r="CM162" s="629">
        <f>IF(CM160=0,0,CM161/CM160)*100</f>
        <v>0</v>
      </c>
      <c r="CN162" s="723"/>
      <c r="CO162" s="629">
        <f>IF(CO160=0,0,CO161/CO160)*100</f>
        <v>0</v>
      </c>
      <c r="CP162" s="629">
        <f>IF(CP160=0,0,CP161/CP160)*100</f>
        <v>0</v>
      </c>
      <c r="CQ162" s="723"/>
      <c r="CR162" s="629">
        <f>IF(CR160=0,0,CR161/CR160)*100</f>
        <v>0</v>
      </c>
      <c r="CS162" s="629">
        <f>IF(CS160=0,0,CS161/CS160)*100</f>
        <v>0</v>
      </c>
      <c r="CT162" s="723"/>
      <c r="CU162" s="629">
        <f>IF(CU160=0,0,CU161/CU160)*100</f>
        <v>0</v>
      </c>
      <c r="CV162" s="629">
        <f>IF(CV160=0,0,CV161/CV160)*100</f>
        <v>0</v>
      </c>
      <c r="CW162" s="723"/>
      <c r="CX162" s="629">
        <f>IF(CX160=0,0,CX161/CX160)*100</f>
        <v>0</v>
      </c>
      <c r="CY162" s="629">
        <f>IF(CY160=0,0,CY161/CY160)*100</f>
        <v>0</v>
      </c>
      <c r="CZ162" s="723"/>
      <c r="DA162" s="629">
        <f>IF(DA160=0,0,DA161/DA160)*100</f>
        <v>0</v>
      </c>
      <c r="DB162" s="629">
        <f>IF(DB160=0,0,DB161/DB160)*100</f>
        <v>0</v>
      </c>
      <c r="DC162" s="723"/>
      <c r="DD162" s="629">
        <f>IF(DD160=0,0,DD161/DD160)*100</f>
        <v>0</v>
      </c>
      <c r="DE162" s="629">
        <f>IF(DE160=0,0,DE161/DE160)*100</f>
        <v>0</v>
      </c>
      <c r="DF162" s="723"/>
      <c r="DG162" s="629">
        <f>IF(DG160=0,0,DG161/DG160)*100</f>
        <v>0</v>
      </c>
      <c r="DH162" s="629">
        <f>IF(DH160=0,0,DH161/DH160)*100</f>
        <v>0</v>
      </c>
      <c r="DI162" s="723"/>
      <c r="DJ162" s="629">
        <f>IF(DJ160=0,0,DJ161/DJ160)*100</f>
        <v>0</v>
      </c>
      <c r="DK162" s="629">
        <f>IF(DK160=0,0,DK161/DK160)*100</f>
        <v>0</v>
      </c>
      <c r="DL162" s="723"/>
      <c r="DM162" s="629">
        <f>IF(DM160=0,0,DM161/DM160)*100</f>
        <v>0</v>
      </c>
      <c r="DN162" s="629">
        <f>IF(DN160=0,0,DN161/DN160)*100</f>
        <v>0</v>
      </c>
      <c r="DO162" s="723"/>
      <c r="DP162" s="629">
        <f>IF(DP160=0,0,DP161/DP160)*100</f>
        <v>0</v>
      </c>
      <c r="DQ162" s="629">
        <f>IF(DQ160=0,0,DQ161/DQ160)*100</f>
        <v>0</v>
      </c>
      <c r="DR162" s="723"/>
      <c r="DS162" s="629">
        <f>IF(DS160=0,0,DS161/DS160)*100</f>
        <v>0</v>
      </c>
      <c r="DT162" s="629">
        <f>IF(DT160=0,0,DT161/DT160)*100</f>
        <v>0</v>
      </c>
      <c r="DU162" s="723"/>
      <c r="DV162" s="629">
        <f>IF(DV160=0,0,DV161/DV160)*100</f>
        <v>0</v>
      </c>
      <c r="DW162" s="629">
        <f>IF(DW160=0,0,DW161/DW160)*100</f>
        <v>0</v>
      </c>
      <c r="DX162" s="723"/>
      <c r="DY162" s="629">
        <f>IF(DY160=0,0,DY161/DY160)*100</f>
        <v>0</v>
      </c>
      <c r="DZ162" s="629">
        <f>IF(DZ160=0,0,DZ161/DZ160)*100</f>
        <v>0</v>
      </c>
      <c r="EA162" s="723"/>
      <c r="EB162" s="629">
        <f>IF(EB160=0,0,EB161/EB160)*100</f>
        <v>0</v>
      </c>
      <c r="EC162" s="629">
        <f>IF(EC160=0,0,EC161/EC160)*100</f>
        <v>0</v>
      </c>
      <c r="ED162" s="723"/>
      <c r="EE162" s="629">
        <f>IF(EE160=0,0,EE161/EE160)*100</f>
        <v>0</v>
      </c>
      <c r="EF162" s="629">
        <f>IF(EF160=0,0,EF161/EF160)*100</f>
        <v>0</v>
      </c>
      <c r="EG162" s="723"/>
      <c r="EH162" s="629">
        <f>IF(EH160=0,0,EH161/EH160)*100</f>
        <v>0</v>
      </c>
      <c r="EI162" s="629">
        <f>IF(EI160=0,0,EI161/EI160)*100</f>
        <v>0</v>
      </c>
      <c r="EJ162" s="723"/>
      <c r="EK162" s="629">
        <f>IF(EK160=0,0,EK161/EK160)*100</f>
        <v>0</v>
      </c>
      <c r="EL162" s="629">
        <f>IF(EL160=0,0,EL161/EL160)*100</f>
        <v>0</v>
      </c>
      <c r="EM162" s="723"/>
      <c r="EN162" s="629">
        <f>IF(EN160=0,0,EN161/EN160)*100</f>
        <v>0</v>
      </c>
      <c r="EO162" s="629">
        <f>IF(EO160=0,0,EO161/EO160)*100</f>
        <v>0</v>
      </c>
      <c r="EP162" s="723"/>
      <c r="EQ162" s="629">
        <f>IF(EQ160=0,0,EQ161/EQ160)*100</f>
        <v>0</v>
      </c>
      <c r="ER162" s="629">
        <f>IF(ER160=0,0,ER161/ER160)*100</f>
        <v>0</v>
      </c>
      <c r="ES162" s="723"/>
      <c r="ET162" s="629">
        <f>IF(ET160=0,0,ET161/ET160)*100</f>
        <v>0</v>
      </c>
      <c r="EU162" s="629">
        <f>IF(EU160=0,0,EU161/EU160)*100</f>
        <v>0</v>
      </c>
      <c r="EV162" s="723"/>
      <c r="EW162" s="629">
        <f>IF(EW160=0,0,EW161/EW160)*100</f>
        <v>0</v>
      </c>
      <c r="EX162" s="629">
        <f>IF(EX160=0,0,EX161/EX160)*100</f>
        <v>0</v>
      </c>
      <c r="EY162" s="723"/>
      <c r="EZ162" s="629">
        <f>IF(EZ160=0,0,EZ161/EZ160)*100</f>
        <v>0</v>
      </c>
      <c r="FA162" s="629">
        <f>IF(FA160=0,0,FA161/FA160)*100</f>
        <v>0</v>
      </c>
      <c r="FB162" s="723"/>
      <c r="FC162" s="629">
        <f>IF(FC160=0,0,FC161/FC160)*100</f>
        <v>0</v>
      </c>
      <c r="FD162" s="629">
        <f>IF(FD160=0,0,FD161/FD160)*100</f>
        <v>0</v>
      </c>
      <c r="FE162" s="723"/>
      <c r="FF162" s="629">
        <f>IF(FF160=0,0,FF161/FF160)*100</f>
        <v>0</v>
      </c>
      <c r="FG162" s="629">
        <f>IF(FG160=0,0,FG161/FG160)*100</f>
        <v>0</v>
      </c>
      <c r="FH162" s="723"/>
      <c r="FI162" s="629">
        <f>IF(FI160=0,0,FI161/FI160)*100</f>
        <v>0</v>
      </c>
      <c r="FJ162" s="629">
        <f>IF(FJ160=0,0,FJ161/FJ160)*100</f>
        <v>0</v>
      </c>
      <c r="FK162" s="723"/>
      <c r="FL162" s="629">
        <f>IF(FL160=0,0,FL161/FL160)*100</f>
        <v>0</v>
      </c>
      <c r="FM162" s="629">
        <f>IF(FM160=0,0,FM161/FM160)*100</f>
        <v>0</v>
      </c>
      <c r="FN162" s="723"/>
      <c r="FO162" s="629">
        <f>IF(FO160=0,0,FO161/FO160)*100</f>
        <v>0</v>
      </c>
      <c r="FP162" s="629">
        <f>IF(FP160=0,0,FP161/FP160)*100</f>
        <v>0</v>
      </c>
      <c r="FQ162" s="723"/>
      <c r="FR162" s="629">
        <f>IF(FR160=0,0,FR161/FR160)*100</f>
        <v>0</v>
      </c>
      <c r="FS162" s="629">
        <f>IF(FS160=0,0,FS161/FS160)*100</f>
        <v>0</v>
      </c>
      <c r="FT162" s="723"/>
      <c r="FU162" s="629">
        <f>IF(FU160=0,0,FU161/FU160)*100</f>
        <v>0</v>
      </c>
      <c r="FV162" s="629">
        <f>IF(FV160=0,0,FV161/FV160)*100</f>
        <v>0</v>
      </c>
      <c r="FW162" s="723"/>
      <c r="FX162" s="219"/>
      <c r="FZ162" s="700" t="s">
        <v>1632</v>
      </c>
    </row>
    <row r="163" spans="1:186" ht="14.25" customHeight="1">
      <c r="A163" s="78"/>
      <c r="B163" s="622" t="b" cm="1">
        <f t="array" ref="B163">B162</f>
        <v>1</v>
      </c>
      <c r="C163" s="78"/>
      <c r="D163" s="78"/>
      <c r="E163" s="473">
        <v>15</v>
      </c>
      <c r="F163" s="3" t="str" cm="1">
        <f t="array" aca="1" ref="F163" ca="1">OFFSET(E163,-1,1)</f>
        <v>2</v>
      </c>
      <c r="G163" s="44" t="s">
        <v>1633</v>
      </c>
      <c r="H163" s="78" t="s">
        <v>468</v>
      </c>
      <c r="I163" s="78" t="s">
        <v>1630</v>
      </c>
      <c r="J163" s="78"/>
      <c r="K163" s="78"/>
      <c r="L163" s="78"/>
      <c r="M163" s="78"/>
      <c r="N163" s="78"/>
      <c r="O163" s="78"/>
      <c r="P163" s="78"/>
      <c r="Q163" s="78"/>
      <c r="R163" s="78"/>
      <c r="S163" s="78"/>
      <c r="T163" s="365" t="b" cm="1">
        <f t="array" ref="T163">T162</f>
        <v>1</v>
      </c>
      <c r="U163" s="78"/>
      <c r="V163" s="78"/>
      <c r="W163" s="78"/>
      <c r="X163" s="1094"/>
      <c r="Y163" s="78"/>
      <c r="Z163" s="1064"/>
      <c r="AA163" s="78"/>
      <c r="AB163" s="73" t="s">
        <v>1634</v>
      </c>
      <c r="AC163" s="31" t="s">
        <v>534</v>
      </c>
      <c r="AD163" s="210">
        <f ca="1">IF(AND(method_reg="Метод индексации",god&lt;&gt;first_year),SUMIFS(INDEX('Калькуляция (МИ корр)'!$AJ$25:$BC$459,,MATCH(AD$8,'Калькуляция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(МИ)'!$AJ$25:$BC$459,,MATCH(AD$8,'Калькуляция (МИ)'!$AJ$8:$BC$8,0)),'Калькуляция (МИ)'!$F$25:$F$459,$F163,'Калькуляция (МИ)'!$G$25:$G$459,$G163))))</f>
        <v>938.9369999999999</v>
      </c>
      <c r="AE163" s="210">
        <f ca="1">IF(AND(method_reg="Метод индексации",god&lt;&gt;first_year),SUMIFS(INDEX('Калькуляция (МИ корр)'!$AJ$25:$BC$459,,MATCH(AE$8,'Калькуляция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(МИ)'!$AJ$25:$BC$459,,MATCH(AE$8,'Калькуляция (МИ)'!$AJ$8:$BC$8,0)),'Калькуляция (МИ)'!$F$25:$F$459,$F163,'Калькуляция (МИ)'!$G$25:$G$459,$G163))))</f>
        <v>948.16300000000001</v>
      </c>
      <c r="AF163" s="724">
        <f ca="1">IF(AD163=0,0,(AE163-AD163)/AD163*100)</f>
        <v>0.98260053656423307</v>
      </c>
      <c r="AG163" s="849">
        <f ca="1">IF(AND(method_reg="Метод индексации",god&lt;&gt;first_year),SUMIFS(INDEX('Калькуляция (МИ корр)'!$AJ$25:$BC$459,,MATCH(AG$8,'Калькуляция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(МИ)'!$AJ$25:$BC$459,,MATCH(AG$8,'Калькуляция (МИ)'!$AJ$8:$BC$8,0)),'Калькуляция (МИ)'!$F$25:$F$459,$F163,'Калькуляция (МИ)'!$G$25:$G$459,$G163))))</f>
        <v>0</v>
      </c>
      <c r="AH163" s="849">
        <f ca="1">IF(AND(method_reg="Метод индексации",god&lt;&gt;first_year),SUMIFS(INDEX('Калькуляция (МИ корр)'!$AJ$25:$BC$459,,MATCH(AH$8,'Калькуляция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(МИ)'!$AJ$25:$BC$459,,MATCH(AH$8,'Калькуляция (МИ)'!$AJ$8:$BC$8,0)),'Калькуляция (МИ)'!$F$25:$F$459,$F163,'Калькуляция (МИ)'!$G$25:$G$459,$G163))))</f>
        <v>0</v>
      </c>
      <c r="AI163" s="724">
        <f ca="1">IF(AG163=0,0,(AH163-AG163)/AG163*100)</f>
        <v>0</v>
      </c>
      <c r="AJ163" s="849">
        <f ca="1">IF(AND(method_reg="Метод индексации",god&lt;&gt;first_year),SUMIFS(INDEX('Калькуляция (МИ корр)'!$AJ$25:$BC$459,,MATCH(AJ$8,'Калькуляция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(МИ)'!$AJ$25:$BC$459,,MATCH(AJ$8,'Калькуляция (МИ)'!$AJ$8:$BC$8,0)),'Калькуляция (МИ)'!$F$25:$F$459,$F163,'Калькуляция (МИ)'!$G$25:$G$459,$G163))))</f>
        <v>0</v>
      </c>
      <c r="AK163" s="849">
        <f ca="1">IF(AND(method_reg="Метод индексации",god&lt;&gt;first_year),SUMIFS(INDEX('Калькуляция (МИ корр)'!$AJ$25:$BC$459,,MATCH(AK$8,'Калькуляция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(МИ)'!$AJ$25:$BC$459,,MATCH(AK$8,'Калькуляция (МИ)'!$AJ$8:$BC$8,0)),'Калькуляция (МИ)'!$F$25:$F$459,$F163,'Калькуляция (МИ)'!$G$25:$G$459,$G163))))</f>
        <v>0</v>
      </c>
      <c r="AL163" s="724">
        <f ca="1">IF(AJ163=0,0,(AK163-AJ163)/AJ163*100)</f>
        <v>0</v>
      </c>
      <c r="AM163" s="849">
        <f ca="1">IF(AND(method_reg="Метод индексации",god&lt;&gt;first_year),SUMIFS(INDEX('Калькуляция (МИ корр)'!$AJ$25:$BC$459,,MATCH(AM$8,'Калькуляция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(МИ)'!$AJ$25:$BC$459,,MATCH(AM$8,'Калькуляция (МИ)'!$AJ$8:$BC$8,0)),'Калькуляция (МИ)'!$F$25:$F$459,$F163,'Калькуляция (МИ)'!$G$25:$G$459,$G163))))</f>
        <v>0</v>
      </c>
      <c r="AN163" s="849">
        <f ca="1">IF(AND(method_reg="Метод индексации",god&lt;&gt;first_year),SUMIFS(INDEX('Калькуляция (МИ корр)'!$AJ$25:$BC$459,,MATCH(AN$8,'Калькуляция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(МИ)'!$AJ$25:$BC$459,,MATCH(AN$8,'Калькуляция (МИ)'!$AJ$8:$BC$8,0)),'Калькуляция (МИ)'!$F$25:$F$459,$F163,'Калькуляция (МИ)'!$G$25:$G$459,$G163))))</f>
        <v>0</v>
      </c>
      <c r="AO163" s="724">
        <f ca="1">IF(AM163=0,0,(AN163-AM163)/AM163*100)</f>
        <v>0</v>
      </c>
      <c r="AP163" s="849">
        <f ca="1">IF(AND(method_reg="Метод индексации",god&lt;&gt;first_year),SUMIFS(INDEX('Калькуляция (МИ корр)'!$AJ$25:$BC$459,,MATCH(AP$8,'Калькуляция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(МИ)'!$AJ$25:$BC$459,,MATCH(AP$8,'Калькуляция (МИ)'!$AJ$8:$BC$8,0)),'Калькуляция (МИ)'!$F$25:$F$459,$F163,'Калькуляция (МИ)'!$G$25:$G$459,$G163))))</f>
        <v>0</v>
      </c>
      <c r="AQ163" s="849">
        <f ca="1">IF(AND(method_reg="Метод индексации",god&lt;&gt;first_year),SUMIFS(INDEX('Калькуляция (МИ корр)'!$AJ$25:$BC$459,,MATCH(AQ$8,'Калькуляция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(МИ)'!$AJ$25:$BC$459,,MATCH(AQ$8,'Калькуляция (МИ)'!$AJ$8:$BC$8,0)),'Калькуляция (МИ)'!$F$25:$F$459,$F163,'Калькуляция (МИ)'!$G$25:$G$459,$G163))))</f>
        <v>0</v>
      </c>
      <c r="AR163" s="724">
        <f ca="1">IF(AP163=0,0,(AQ163-AP163)/AP163*100)</f>
        <v>0</v>
      </c>
      <c r="AS163" s="849">
        <f ca="1">IF(AND(method_reg="Метод индексации",god&lt;&gt;first_year),SUMIFS(INDEX('Калькуляция (МИ корр)'!$AJ$25:$BC$459,,MATCH(AS$8,'Калькуляция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(МИ)'!$AJ$25:$BC$459,,MATCH(AS$8,'Калькуляция (МИ)'!$AJ$8:$BC$8,0)),'Калькуляция (МИ)'!$F$25:$F$459,$F163,'Калькуляция (МИ)'!$G$25:$G$459,$G163))))</f>
        <v>0</v>
      </c>
      <c r="AT163" s="849">
        <f ca="1">IF(AND(method_reg="Метод индексации",god&lt;&gt;first_year),SUMIFS(INDEX('Калькуляция (МИ корр)'!$AJ$25:$BC$459,,MATCH(AT$8,'Калькуляция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(МИ)'!$AJ$25:$BC$459,,MATCH(AT$8,'Калькуляция (МИ)'!$AJ$8:$BC$8,0)),'Калькуляция (МИ)'!$F$25:$F$459,$F163,'Калькуляция (МИ)'!$G$25:$G$459,$G163))))</f>
        <v>0</v>
      </c>
      <c r="AU163" s="724">
        <f ca="1">IF(AS163=0,0,(AT163-AS163)/AS163*100)</f>
        <v>0</v>
      </c>
      <c r="AV163" s="849">
        <f ca="1">IF(AND(method_reg="Метод индексации",god&lt;&gt;first_year),SUMIFS(INDEX('Калькуляция (МИ корр)'!$AJ$25:$BC$459,,MATCH(AV$8,'Калькуляция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(МИ)'!$AJ$25:$BC$459,,MATCH(AV$8,'Калькуляция (МИ)'!$AJ$8:$BC$8,0)),'Калькуляция (МИ)'!$F$25:$F$459,$F163,'Калькуляция (МИ)'!$G$25:$G$459,$G163))))</f>
        <v>0</v>
      </c>
      <c r="AW163" s="849">
        <f ca="1">IF(AND(method_reg="Метод индексации",god&lt;&gt;first_year),SUMIFS(INDEX('Калькуляция (МИ корр)'!$AJ$25:$BC$459,,MATCH(AW$8,'Калькуляция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(МИ)'!$AJ$25:$BC$459,,MATCH(AW$8,'Калькуляция (МИ)'!$AJ$8:$BC$8,0)),'Калькуляция (МИ)'!$F$25:$F$459,$F163,'Калькуляция (МИ)'!$G$25:$G$459,$G163))))</f>
        <v>0</v>
      </c>
      <c r="AX163" s="724">
        <f ca="1">IF(AV163=0,0,(AW163-AV163)/AV163*100)</f>
        <v>0</v>
      </c>
      <c r="AY163" s="849">
        <f ca="1">IF(AND(method_reg="Метод индексации",god&lt;&gt;first_year),SUMIFS(INDEX('Калькуляция (МИ корр)'!$AJ$25:$BC$459,,MATCH(AY$8,'Калькуляция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(МИ)'!$AJ$25:$BC$459,,MATCH(AY$8,'Калькуляция (МИ)'!$AJ$8:$BC$8,0)),'Калькуляция (МИ)'!$F$25:$F$459,$F163,'Калькуляция (МИ)'!$G$25:$G$459,$G163))))</f>
        <v>0</v>
      </c>
      <c r="AZ163" s="849">
        <f ca="1">IF(AND(method_reg="Метод индексации",god&lt;&gt;first_year),SUMIFS(INDEX('Калькуляция (МИ корр)'!$AJ$25:$BC$459,,MATCH(AZ$8,'Калькуляция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(МИ)'!$AJ$25:$BC$459,,MATCH(AZ$8,'Калькуляция (МИ)'!$AJ$8:$BC$8,0)),'Калькуляция (МИ)'!$F$25:$F$459,$F163,'Калькуляция (МИ)'!$G$25:$G$459,$G163))))</f>
        <v>0</v>
      </c>
      <c r="BA163" s="724">
        <f ca="1">IF(AY163=0,0,(AZ163-AY163)/AY163*100)</f>
        <v>0</v>
      </c>
      <c r="BB163" s="849">
        <f ca="1">IF(AND(method_reg="Метод индексации",god&lt;&gt;first_year),SUMIFS(INDEX('Калькуляция (МИ корр)'!$AJ$25:$BC$459,,MATCH(BB$8,'Калькуляция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(МИ)'!$AJ$25:$BC$459,,MATCH(BB$8,'Калькуляция (МИ)'!$AJ$8:$BC$8,0)),'Калькуляция (МИ)'!$F$25:$F$459,$F163,'Калькуляция (МИ)'!$G$25:$G$459,$G163))))</f>
        <v>0</v>
      </c>
      <c r="BC163" s="849">
        <f ca="1">IF(AND(method_reg="Метод индексации",god&lt;&gt;first_year),SUMIFS(INDEX('Калькуляция (МИ корр)'!$AJ$25:$BC$459,,MATCH(BC$8,'Калькуляция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(МИ)'!$AJ$25:$BC$459,,MATCH(BC$8,'Калькуляция (МИ)'!$AJ$8:$BC$8,0)),'Калькуляция (МИ)'!$F$25:$F$459,$F163,'Калькуляция (МИ)'!$G$25:$G$459,$G163))))</f>
        <v>0</v>
      </c>
      <c r="BD163" s="724">
        <f ca="1">IF(BB163=0,0,(BC163-BB163)/BB163*100)</f>
        <v>0</v>
      </c>
      <c r="BE163" s="849">
        <f ca="1">IF(AND(method_reg="Метод индексации",god&lt;&gt;first_year),SUMIFS(INDEX('Калькуляция (МИ корр)'!$AJ$25:$BC$459,,MATCH(BE$8,'Калькуляция (МИ корр)'!$AJ$8:$BC$8,0)),'Калькуляция (МИ корр)'!$F$25:$F$459,$F163,'Калькуляция (МИ корр)'!$G$25:$G$459,$G163),IF(method_reg="Метод экономически обоснованных расходов",SUMIFS('Калькуляция (МЭОР)'!$AJ$25:$AJ$282,'Калькуляция (МЭОР)'!$F$25:$F$282,$F163,'Калькуляция (МЭОР)'!$G$25:$G$282,$G163),IF(method_reg="Метод сравнения аналогов",SUMIFS('Калькуляция (МСА)'!$AE$25:$AE$84,'Калькуляция (МСА)'!$F$25:$F$84,$F163,'Калькуляция (МСА)'!$G$25:$G$84,$G163),SUMIFS(INDEX('Калькуляция (МИ)'!$AJ$25:$BC$459,,MATCH(BE$8,'Калькуляция (МИ)'!$AJ$8:$BC$8,0)),'Калькуляция (МИ)'!$F$25:$F$459,$F163,'Калькуляция (МИ)'!$G$25:$G$459,$G163))))</f>
        <v>0</v>
      </c>
      <c r="BF163" s="849">
        <f ca="1">IF(AND(method_reg="Метод индексации",god&lt;&gt;first_year),SUMIFS(INDEX('Калькуляция (МИ корр)'!$AJ$25:$BC$459,,MATCH(BF$8,'Калькуляция (МИ корр)'!$AJ$8:$BC$8,0)),'Калькуляция (МИ корр)'!$F$25:$F$459,$F163,'Калькуляция (МИ корр)'!$G$25:$G$459,$G163),IF(method_reg="Метод экономически обоснованных расходов",SUMIFS('Калькуляция (МЭОР)'!$AK$25:$AK$282,'Калькуляция (МЭОР)'!$F$25:$F$282,$F163,'Калькуляция (МЭОР)'!$G$25:$G$282,$G163),IF(method_reg="Метод сравнения аналогов",SUMIFS('Калькуляция (МСА)'!$AF$25:$AF$84,'Калькуляция (МСА)'!$F$25:$F$84,$F163,'Калькуляция (МСА)'!$G$25:$G$84,$G163),SUMIFS(INDEX('Калькуляция (МИ)'!$AJ$25:$BC$459,,MATCH(BF$8,'Калькуляция (МИ)'!$AJ$8:$BC$8,0)),'Калькуляция (МИ)'!$F$25:$F$459,$F163,'Калькуляция (МИ)'!$G$25:$G$459,$G163))))</f>
        <v>0</v>
      </c>
      <c r="BG163" s="724">
        <f ca="1">IF(BE163=0,0,(BF163-BE163)/BE163*100)</f>
        <v>0</v>
      </c>
      <c r="BH163" s="849"/>
      <c r="BI163" s="849"/>
      <c r="BJ163" s="724">
        <f>IF(BH163=0,0,(BI163-BH163)/BH163*100)</f>
        <v>0</v>
      </c>
      <c r="BK163" s="849"/>
      <c r="BL163" s="849"/>
      <c r="BM163" s="724">
        <f>IF(BK163=0,0,(BL163-BK163)/BK163*100)</f>
        <v>0</v>
      </c>
      <c r="BN163" s="849"/>
      <c r="BO163" s="849"/>
      <c r="BP163" s="724">
        <f>IF(BN163=0,0,(BO163-BN163)/BN163*100)</f>
        <v>0</v>
      </c>
      <c r="BQ163" s="849"/>
      <c r="BR163" s="849"/>
      <c r="BS163" s="724">
        <f>IF(BQ163=0,0,(BR163-BQ163)/BQ163*100)</f>
        <v>0</v>
      </c>
      <c r="BT163" s="849"/>
      <c r="BU163" s="849"/>
      <c r="BV163" s="724">
        <f>IF(BT163=0,0,(BU163-BT163)/BT163*100)</f>
        <v>0</v>
      </c>
      <c r="BW163" s="849"/>
      <c r="BX163" s="849"/>
      <c r="BY163" s="724">
        <f>IF(BW163=0,0,(BX163-BW163)/BW163*100)</f>
        <v>0</v>
      </c>
      <c r="BZ163" s="849"/>
      <c r="CA163" s="849"/>
      <c r="CB163" s="724">
        <f>IF(BZ163=0,0,(CA163-BZ163)/BZ163*100)</f>
        <v>0</v>
      </c>
      <c r="CC163" s="849"/>
      <c r="CD163" s="849"/>
      <c r="CE163" s="724">
        <f>IF(CC163=0,0,(CD163-CC163)/CC163*100)</f>
        <v>0</v>
      </c>
      <c r="CF163" s="849"/>
      <c r="CG163" s="849"/>
      <c r="CH163" s="724">
        <f>IF(CF163=0,0,(CG163-CF163)/CF163*100)</f>
        <v>0</v>
      </c>
      <c r="CI163" s="849"/>
      <c r="CJ163" s="849"/>
      <c r="CK163" s="724">
        <f>IF(CI163=0,0,(CJ163-CI163)/CI163*100)</f>
        <v>0</v>
      </c>
      <c r="CL163" s="849"/>
      <c r="CM163" s="849"/>
      <c r="CN163" s="724">
        <f>IF(CL163=0,0,(CM163-CL163)/CL163*100)</f>
        <v>0</v>
      </c>
      <c r="CO163" s="849"/>
      <c r="CP163" s="849"/>
      <c r="CQ163" s="724">
        <f>IF(CO163=0,0,(CP163-CO163)/CO163*100)</f>
        <v>0</v>
      </c>
      <c r="CR163" s="849"/>
      <c r="CS163" s="849"/>
      <c r="CT163" s="724">
        <f>IF(CR163=0,0,(CS163-CR163)/CR163*100)</f>
        <v>0</v>
      </c>
      <c r="CU163" s="849"/>
      <c r="CV163" s="849"/>
      <c r="CW163" s="724">
        <f>IF(CU163=0,0,(CV163-CU163)/CU163*100)</f>
        <v>0</v>
      </c>
      <c r="CX163" s="849"/>
      <c r="CY163" s="849"/>
      <c r="CZ163" s="724">
        <f>IF(CX163=0,0,(CY163-CX163)/CX163*100)</f>
        <v>0</v>
      </c>
      <c r="DA163" s="849"/>
      <c r="DB163" s="849"/>
      <c r="DC163" s="724">
        <f>IF(DA163=0,0,(DB163-DA163)/DA163*100)</f>
        <v>0</v>
      </c>
      <c r="DD163" s="849"/>
      <c r="DE163" s="849"/>
      <c r="DF163" s="724">
        <f>IF(DD163=0,0,(DE163-DD163)/DD163*100)</f>
        <v>0</v>
      </c>
      <c r="DG163" s="849"/>
      <c r="DH163" s="849"/>
      <c r="DI163" s="724">
        <f>IF(DG163=0,0,(DH163-DG163)/DG163*100)</f>
        <v>0</v>
      </c>
      <c r="DJ163" s="849"/>
      <c r="DK163" s="849"/>
      <c r="DL163" s="724">
        <f>IF(DJ163=0,0,(DK163-DJ163)/DJ163*100)</f>
        <v>0</v>
      </c>
      <c r="DM163" s="849"/>
      <c r="DN163" s="849"/>
      <c r="DO163" s="724">
        <f>IF(DM163=0,0,(DN163-DM163)/DM163*100)</f>
        <v>0</v>
      </c>
      <c r="DP163" s="849"/>
      <c r="DQ163" s="849"/>
      <c r="DR163" s="724">
        <f>IF(DP163=0,0,(DQ163-DP163)/DP163*100)</f>
        <v>0</v>
      </c>
      <c r="DS163" s="849"/>
      <c r="DT163" s="849"/>
      <c r="DU163" s="724">
        <f>IF(DS163=0,0,(DT163-DS163)/DS163*100)</f>
        <v>0</v>
      </c>
      <c r="DV163" s="849"/>
      <c r="DW163" s="849"/>
      <c r="DX163" s="724">
        <f>IF(DV163=0,0,(DW163-DV163)/DV163*100)</f>
        <v>0</v>
      </c>
      <c r="DY163" s="849"/>
      <c r="DZ163" s="849"/>
      <c r="EA163" s="724">
        <f>IF(DY163=0,0,(DZ163-DY163)/DY163*100)</f>
        <v>0</v>
      </c>
      <c r="EB163" s="849"/>
      <c r="EC163" s="849"/>
      <c r="ED163" s="724">
        <f>IF(EB163=0,0,(EC163-EB163)/EB163*100)</f>
        <v>0</v>
      </c>
      <c r="EE163" s="849"/>
      <c r="EF163" s="849"/>
      <c r="EG163" s="724">
        <f>IF(EE163=0,0,(EF163-EE163)/EE163*100)</f>
        <v>0</v>
      </c>
      <c r="EH163" s="849"/>
      <c r="EI163" s="849"/>
      <c r="EJ163" s="724">
        <f>IF(EH163=0,0,(EI163-EH163)/EH163*100)</f>
        <v>0</v>
      </c>
      <c r="EK163" s="849"/>
      <c r="EL163" s="849"/>
      <c r="EM163" s="724">
        <f>IF(EK163=0,0,(EL163-EK163)/EK163*100)</f>
        <v>0</v>
      </c>
      <c r="EN163" s="849"/>
      <c r="EO163" s="849"/>
      <c r="EP163" s="724">
        <f>IF(EN163=0,0,(EO163-EN163)/EN163*100)</f>
        <v>0</v>
      </c>
      <c r="EQ163" s="849"/>
      <c r="ER163" s="849"/>
      <c r="ES163" s="724">
        <f>IF(EQ163=0,0,(ER163-EQ163)/EQ163*100)</f>
        <v>0</v>
      </c>
      <c r="ET163" s="849"/>
      <c r="EU163" s="849"/>
      <c r="EV163" s="724">
        <f>IF(ET163=0,0,(EU163-ET163)/ET163*100)</f>
        <v>0</v>
      </c>
      <c r="EW163" s="849"/>
      <c r="EX163" s="849"/>
      <c r="EY163" s="724">
        <f>IF(EW163=0,0,(EX163-EW163)/EW163*100)</f>
        <v>0</v>
      </c>
      <c r="EZ163" s="849"/>
      <c r="FA163" s="849"/>
      <c r="FB163" s="724">
        <f>IF(EZ163=0,0,(FA163-EZ163)/EZ163*100)</f>
        <v>0</v>
      </c>
      <c r="FC163" s="849"/>
      <c r="FD163" s="849"/>
      <c r="FE163" s="724">
        <f>IF(FC163=0,0,(FD163-FC163)/FC163*100)</f>
        <v>0</v>
      </c>
      <c r="FF163" s="849"/>
      <c r="FG163" s="849"/>
      <c r="FH163" s="724">
        <f>IF(FF163=0,0,(FG163-FF163)/FF163*100)</f>
        <v>0</v>
      </c>
      <c r="FI163" s="849"/>
      <c r="FJ163" s="849"/>
      <c r="FK163" s="724">
        <f>IF(FI163=0,0,(FJ163-FI163)/FI163*100)</f>
        <v>0</v>
      </c>
      <c r="FL163" s="849"/>
      <c r="FM163" s="849"/>
      <c r="FN163" s="724">
        <f>IF(FL163=0,0,(FM163-FL163)/FL163*100)</f>
        <v>0</v>
      </c>
      <c r="FO163" s="849"/>
      <c r="FP163" s="849"/>
      <c r="FQ163" s="724">
        <f>IF(FO163=0,0,(FP163-FO163)/FO163*100)</f>
        <v>0</v>
      </c>
      <c r="FR163" s="849"/>
      <c r="FS163" s="849"/>
      <c r="FT163" s="724">
        <f>IF(FR163=0,0,(FS163-FR163)/FR163*100)</f>
        <v>0</v>
      </c>
      <c r="FU163" s="849"/>
      <c r="FV163" s="849"/>
      <c r="FW163" s="724">
        <f>IF(FU163=0,0,(FV163-FU163)/FU163*100)</f>
        <v>0</v>
      </c>
      <c r="FX163" s="219"/>
      <c r="FZ163" s="700" t="s">
        <v>1635</v>
      </c>
    </row>
    <row r="164" spans="1:186" s="947" customFormat="1" ht="23.25" customHeight="1">
      <c r="A164" s="603"/>
      <c r="B164" s="622" t="b" cm="1">
        <f t="array" ref="B164">B163</f>
        <v>1</v>
      </c>
      <c r="C164" s="603"/>
      <c r="D164" s="603"/>
      <c r="E164" s="604">
        <v>24.5</v>
      </c>
      <c r="F164" s="3" t="str" cm="1">
        <f t="array" aca="1" ref="F164" ca="1">OFFSET(E164,-1,1)</f>
        <v>2</v>
      </c>
      <c r="G164" s="44" t="s">
        <v>1636</v>
      </c>
      <c r="H164" s="78" t="s">
        <v>461</v>
      </c>
      <c r="I164" s="78" t="s">
        <v>1637</v>
      </c>
      <c r="J164" s="603"/>
      <c r="K164" s="603"/>
      <c r="L164" s="78"/>
      <c r="M164" s="603"/>
      <c r="N164" s="603"/>
      <c r="O164" s="603"/>
      <c r="P164" s="603"/>
      <c r="Q164" s="603"/>
      <c r="R164" s="78"/>
      <c r="S164" s="78"/>
      <c r="T164" s="365" t="b" cm="1">
        <f t="array" ref="T164">T163</f>
        <v>1</v>
      </c>
      <c r="U164" s="603"/>
      <c r="V164" s="603"/>
      <c r="W164" s="603"/>
      <c r="X164" s="1094"/>
      <c r="Y164" s="603"/>
      <c r="Z164" s="1064"/>
      <c r="AA164" s="603"/>
      <c r="AB164" s="220" t="s">
        <v>1638</v>
      </c>
      <c r="AC164" s="221" t="s">
        <v>1624</v>
      </c>
      <c r="AD164" s="605">
        <f ca="1">IF(AND(method_reg="Метод индексации",god&lt;&gt;first_year),SUMIFS(INDEX('Калькуляция (МИ корр)'!$AJ$25:$BC$459,,MATCH(AD$8,'Калькуляция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(МИ)'!$AJ$25:$BC$459,,MATCH(AD$8,'Калькуляция (МИ)'!$AJ$8:$BC$8,0)),'Калькуляция (МИ)'!$F$25:$F$459,$F164,'Калькуляция (МИ)'!$G$25:$G$459,$G164))))</f>
        <v>74.062496205815705</v>
      </c>
      <c r="AE164" s="605">
        <f ca="1">IF(AND(method_reg="Метод индексации",god&lt;&gt;first_year),SUMIFS(INDEX('Калькуляция (МИ корр)'!$AJ$25:$BC$459,,MATCH(AE$8,'Калькуляция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(МИ)'!$AJ$25:$BC$459,,MATCH(AE$8,'Калькуляция (МИ)'!$AJ$8:$BC$8,0)),'Калькуляция (МИ)'!$F$25:$F$459,$F164,'Калькуляция (МИ)'!$G$25:$G$459,$G164))))</f>
        <v>42.965999794620004</v>
      </c>
      <c r="AF164" s="222">
        <f ca="1">IF(AD164=0,0,(AE164-AD164)/AD164*100)</f>
        <v>-41.986832748359177</v>
      </c>
      <c r="AG164" s="942">
        <f ca="1">IF(AND(method_reg="Метод индексации",god&lt;&gt;first_year),SUMIFS(INDEX('Калькуляция (МИ корр)'!$AJ$25:$BC$459,,MATCH(AG$8,'Калькуляция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(МИ)'!$AJ$25:$BC$459,,MATCH(AG$8,'Калькуляция (МИ)'!$AJ$8:$BC$8,0)),'Калькуляция (МИ)'!$F$25:$F$459,$F164,'Калькуляция (МИ)'!$G$25:$G$459,$G164))))</f>
        <v>0</v>
      </c>
      <c r="AH164" s="942">
        <f ca="1">IF(AND(method_reg="Метод индексации",god&lt;&gt;first_year),SUMIFS(INDEX('Калькуляция (МИ корр)'!$AJ$25:$BC$459,,MATCH(AH$8,'Калькуляция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(МИ)'!$AJ$25:$BC$459,,MATCH(AH$8,'Калькуляция (МИ)'!$AJ$8:$BC$8,0)),'Калькуляция (МИ)'!$F$25:$F$459,$F164,'Калькуляция (МИ)'!$G$25:$G$459,$G164))))</f>
        <v>0</v>
      </c>
      <c r="AI164" s="222">
        <f ca="1">IF(AG164=0,0,(AH164-AG164)/AG164*100)</f>
        <v>0</v>
      </c>
      <c r="AJ164" s="942">
        <f ca="1">IF(AND(method_reg="Метод индексации",god&lt;&gt;first_year),SUMIFS(INDEX('Калькуляция (МИ корр)'!$AJ$25:$BC$459,,MATCH(AJ$8,'Калькуляция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(МИ)'!$AJ$25:$BC$459,,MATCH(AJ$8,'Калькуляция (МИ)'!$AJ$8:$BC$8,0)),'Калькуляция (МИ)'!$F$25:$F$459,$F164,'Калькуляция (МИ)'!$G$25:$G$459,$G164))))</f>
        <v>0</v>
      </c>
      <c r="AK164" s="942">
        <f ca="1">IF(AND(method_reg="Метод индексации",god&lt;&gt;first_year),SUMIFS(INDEX('Калькуляция (МИ корр)'!$AJ$25:$BC$459,,MATCH(AK$8,'Калькуляция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(МИ)'!$AJ$25:$BC$459,,MATCH(AK$8,'Калькуляция (МИ)'!$AJ$8:$BC$8,0)),'Калькуляция (МИ)'!$F$25:$F$459,$F164,'Калькуляция (МИ)'!$G$25:$G$459,$G164))))</f>
        <v>0</v>
      </c>
      <c r="AL164" s="222">
        <f ca="1">IF(AJ164=0,0,(AK164-AJ164)/AJ164*100)</f>
        <v>0</v>
      </c>
      <c r="AM164" s="942">
        <f ca="1">IF(AND(method_reg="Метод индексации",god&lt;&gt;first_year),SUMIFS(INDEX('Калькуляция (МИ корр)'!$AJ$25:$BC$459,,MATCH(AM$8,'Калькуляция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(МИ)'!$AJ$25:$BC$459,,MATCH(AM$8,'Калькуляция (МИ)'!$AJ$8:$BC$8,0)),'Калькуляция (МИ)'!$F$25:$F$459,$F164,'Калькуляция (МИ)'!$G$25:$G$459,$G164))))</f>
        <v>0</v>
      </c>
      <c r="AN164" s="942">
        <f ca="1">IF(AND(method_reg="Метод индексации",god&lt;&gt;first_year),SUMIFS(INDEX('Калькуляция (МИ корр)'!$AJ$25:$BC$459,,MATCH(AN$8,'Калькуляция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(МИ)'!$AJ$25:$BC$459,,MATCH(AN$8,'Калькуляция (МИ)'!$AJ$8:$BC$8,0)),'Калькуляция (МИ)'!$F$25:$F$459,$F164,'Калькуляция (МИ)'!$G$25:$G$459,$G164))))</f>
        <v>0</v>
      </c>
      <c r="AO164" s="222">
        <f ca="1">IF(AM164=0,0,(AN164-AM164)/AM164*100)</f>
        <v>0</v>
      </c>
      <c r="AP164" s="942">
        <f ca="1">IF(AND(method_reg="Метод индексации",god&lt;&gt;first_year),SUMIFS(INDEX('Калькуляция (МИ корр)'!$AJ$25:$BC$459,,MATCH(AP$8,'Калькуляция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(МИ)'!$AJ$25:$BC$459,,MATCH(AP$8,'Калькуляция (МИ)'!$AJ$8:$BC$8,0)),'Калькуляция (МИ)'!$F$25:$F$459,$F164,'Калькуляция (МИ)'!$G$25:$G$459,$G164))))</f>
        <v>0</v>
      </c>
      <c r="AQ164" s="942">
        <f ca="1">IF(AND(method_reg="Метод индексации",god&lt;&gt;first_year),SUMIFS(INDEX('Калькуляция (МИ корр)'!$AJ$25:$BC$459,,MATCH(AQ$8,'Калькуляция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(МИ)'!$AJ$25:$BC$459,,MATCH(AQ$8,'Калькуляция (МИ)'!$AJ$8:$BC$8,0)),'Калькуляция (МИ)'!$F$25:$F$459,$F164,'Калькуляция (МИ)'!$G$25:$G$459,$G164))))</f>
        <v>0</v>
      </c>
      <c r="AR164" s="222">
        <f ca="1">IF(AP164=0,0,(AQ164-AP164)/AP164*100)</f>
        <v>0</v>
      </c>
      <c r="AS164" s="942">
        <f ca="1">IF(AND(method_reg="Метод индексации",god&lt;&gt;first_year),SUMIFS(INDEX('Калькуляция (МИ корр)'!$AJ$25:$BC$459,,MATCH(AS$8,'Калькуляция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(МИ)'!$AJ$25:$BC$459,,MATCH(AS$8,'Калькуляция (МИ)'!$AJ$8:$BC$8,0)),'Калькуляция (МИ)'!$F$25:$F$459,$F164,'Калькуляция (МИ)'!$G$25:$G$459,$G164))))</f>
        <v>0</v>
      </c>
      <c r="AT164" s="942">
        <f ca="1">IF(AND(method_reg="Метод индексации",god&lt;&gt;first_year),SUMIFS(INDEX('Калькуляция (МИ корр)'!$AJ$25:$BC$459,,MATCH(AT$8,'Калькуляция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(МИ)'!$AJ$25:$BC$459,,MATCH(AT$8,'Калькуляция (МИ)'!$AJ$8:$BC$8,0)),'Калькуляция (МИ)'!$F$25:$F$459,$F164,'Калькуляция (МИ)'!$G$25:$G$459,$G164))))</f>
        <v>0</v>
      </c>
      <c r="AU164" s="222">
        <f ca="1">IF(AS164=0,0,(AT164-AS164)/AS164*100)</f>
        <v>0</v>
      </c>
      <c r="AV164" s="942">
        <f ca="1">IF(AND(method_reg="Метод индексации",god&lt;&gt;first_year),SUMIFS(INDEX('Калькуляция (МИ корр)'!$AJ$25:$BC$459,,MATCH(AV$8,'Калькуляция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(МИ)'!$AJ$25:$BC$459,,MATCH(AV$8,'Калькуляция (МИ)'!$AJ$8:$BC$8,0)),'Калькуляция (МИ)'!$F$25:$F$459,$F164,'Калькуляция (МИ)'!$G$25:$G$459,$G164))))</f>
        <v>0</v>
      </c>
      <c r="AW164" s="942">
        <f ca="1">IF(AND(method_reg="Метод индексации",god&lt;&gt;first_year),SUMIFS(INDEX('Калькуляция (МИ корр)'!$AJ$25:$BC$459,,MATCH(AW$8,'Калькуляция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(МИ)'!$AJ$25:$BC$459,,MATCH(AW$8,'Калькуляция (МИ)'!$AJ$8:$BC$8,0)),'Калькуляция (МИ)'!$F$25:$F$459,$F164,'Калькуляция (МИ)'!$G$25:$G$459,$G164))))</f>
        <v>0</v>
      </c>
      <c r="AX164" s="222">
        <f ca="1">IF(AV164=0,0,(AW164-AV164)/AV164*100)</f>
        <v>0</v>
      </c>
      <c r="AY164" s="942">
        <f ca="1">IF(AND(method_reg="Метод индексации",god&lt;&gt;first_year),SUMIFS(INDEX('Калькуляция (МИ корр)'!$AJ$25:$BC$459,,MATCH(AY$8,'Калькуляция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(МИ)'!$AJ$25:$BC$459,,MATCH(AY$8,'Калькуляция (МИ)'!$AJ$8:$BC$8,0)),'Калькуляция (МИ)'!$F$25:$F$459,$F164,'Калькуляция (МИ)'!$G$25:$G$459,$G164))))</f>
        <v>0</v>
      </c>
      <c r="AZ164" s="942">
        <f ca="1">IF(AND(method_reg="Метод индексации",god&lt;&gt;first_year),SUMIFS(INDEX('Калькуляция (МИ корр)'!$AJ$25:$BC$459,,MATCH(AZ$8,'Калькуляция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(МИ)'!$AJ$25:$BC$459,,MATCH(AZ$8,'Калькуляция (МИ)'!$AJ$8:$BC$8,0)),'Калькуляция (МИ)'!$F$25:$F$459,$F164,'Калькуляция (МИ)'!$G$25:$G$459,$G164))))</f>
        <v>0</v>
      </c>
      <c r="BA164" s="222">
        <f ca="1">IF(AY164=0,0,(AZ164-AY164)/AY164*100)</f>
        <v>0</v>
      </c>
      <c r="BB164" s="942">
        <f ca="1">IF(AND(method_reg="Метод индексации",god&lt;&gt;first_year),SUMIFS(INDEX('Калькуляция (МИ корр)'!$AJ$25:$BC$459,,MATCH(BB$8,'Калькуляция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(МИ)'!$AJ$25:$BC$459,,MATCH(BB$8,'Калькуляция (МИ)'!$AJ$8:$BC$8,0)),'Калькуляция (МИ)'!$F$25:$F$459,$F164,'Калькуляция (МИ)'!$G$25:$G$459,$G164))))</f>
        <v>0</v>
      </c>
      <c r="BC164" s="942">
        <f ca="1">IF(AND(method_reg="Метод индексации",god&lt;&gt;first_year),SUMIFS(INDEX('Калькуляция (МИ корр)'!$AJ$25:$BC$459,,MATCH(BC$8,'Калькуляция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(МИ)'!$AJ$25:$BC$459,,MATCH(BC$8,'Калькуляция (МИ)'!$AJ$8:$BC$8,0)),'Калькуляция (МИ)'!$F$25:$F$459,$F164,'Калькуляция (МИ)'!$G$25:$G$459,$G164))))</f>
        <v>0</v>
      </c>
      <c r="BD164" s="222">
        <f ca="1">IF(BB164=0,0,(BC164-BB164)/BB164*100)</f>
        <v>0</v>
      </c>
      <c r="BE164" s="942">
        <f ca="1">IF(AND(method_reg="Метод индексации",god&lt;&gt;first_year),SUMIFS(INDEX('Калькуляция (МИ корр)'!$AJ$25:$BC$459,,MATCH(BE$8,'Калькуляция (МИ корр)'!$AJ$8:$BC$8,0)),'Калькуляция (МИ корр)'!$F$25:$F$459,$F164,'Калькуляция (МИ корр)'!$G$25:$G$459,$G164),IF(method_reg="Метод экономически обоснованных расходов",SUMIFS('Калькуляция (МЭОР)'!$AJ$25:$AJ$282,'Калькуляция (МЭОР)'!$F$25:$F$282,$F164,'Калькуляция (МЭОР)'!$G$25:$G$282,$G164),IF(method_reg="Метод сравнения аналогов",SUMIFS('Калькуляция (МСА)'!$AE$25:$AE$84,'Калькуляция (МСА)'!$F$25:$F$84,$F164,'Калькуляция (МСА)'!$G$25:$G$84,$G164),SUMIFS(INDEX('Калькуляция (МИ)'!$AJ$25:$BC$459,,MATCH(BE$8,'Калькуляция (МИ)'!$AJ$8:$BC$8,0)),'Калькуляция (МИ)'!$F$25:$F$459,$F164,'Калькуляция (МИ)'!$G$25:$G$459,$G164))))</f>
        <v>0</v>
      </c>
      <c r="BF164" s="942">
        <f ca="1">IF(AND(method_reg="Метод индексации",god&lt;&gt;first_year),SUMIFS(INDEX('Калькуляция (МИ корр)'!$AJ$25:$BC$459,,MATCH(BF$8,'Калькуляция (МИ корр)'!$AJ$8:$BC$8,0)),'Калькуляция (МИ корр)'!$F$25:$F$459,$F164,'Калькуляция (МИ корр)'!$G$25:$G$459,$G164),IF(method_reg="Метод экономически обоснованных расходов",SUMIFS('Калькуляция (МЭОР)'!$AK$25:$AK$282,'Калькуляция (МЭОР)'!$F$25:$F$282,$F164,'Калькуляция (МЭОР)'!$G$25:$G$282,$G164),IF(method_reg="Метод сравнения аналогов",SUMIFS('Калькуляция (МСА)'!$AF$25:$AF$84,'Калькуляция (МСА)'!$F$25:$F$84,$F164,'Калькуляция (МСА)'!$G$25:$G$84,$G164),SUMIFS(INDEX('Калькуляция (МИ)'!$AJ$25:$BC$459,,MATCH(BF$8,'Калькуляция (МИ)'!$AJ$8:$BC$8,0)),'Калькуляция (МИ)'!$F$25:$F$459,$F164,'Калькуляция (МИ)'!$G$25:$G$459,$G164))))</f>
        <v>0</v>
      </c>
      <c r="BG164" s="222">
        <f ca="1">IF(BE164=0,0,(BF164-BE164)/BE164*100)</f>
        <v>0</v>
      </c>
      <c r="BH164" s="942"/>
      <c r="BI164" s="942"/>
      <c r="BJ164" s="222">
        <f>IF(BH164=0,0,(BI164-BH164)/BH164*100)</f>
        <v>0</v>
      </c>
      <c r="BK164" s="942"/>
      <c r="BL164" s="942"/>
      <c r="BM164" s="222">
        <f>IF(BK164=0,0,(BL164-BK164)/BK164*100)</f>
        <v>0</v>
      </c>
      <c r="BN164" s="942"/>
      <c r="BO164" s="942"/>
      <c r="BP164" s="222">
        <f>IF(BN164=0,0,(BO164-BN164)/BN164*100)</f>
        <v>0</v>
      </c>
      <c r="BQ164" s="942"/>
      <c r="BR164" s="942"/>
      <c r="BS164" s="222">
        <f>IF(BQ164=0,0,(BR164-BQ164)/BQ164*100)</f>
        <v>0</v>
      </c>
      <c r="BT164" s="942"/>
      <c r="BU164" s="942"/>
      <c r="BV164" s="222">
        <f>IF(BT164=0,0,(BU164-BT164)/BT164*100)</f>
        <v>0</v>
      </c>
      <c r="BW164" s="942"/>
      <c r="BX164" s="942"/>
      <c r="BY164" s="222">
        <f>IF(BW164=0,0,(BX164-BW164)/BW164*100)</f>
        <v>0</v>
      </c>
      <c r="BZ164" s="942"/>
      <c r="CA164" s="942"/>
      <c r="CB164" s="222">
        <f>IF(BZ164=0,0,(CA164-BZ164)/BZ164*100)</f>
        <v>0</v>
      </c>
      <c r="CC164" s="942"/>
      <c r="CD164" s="942"/>
      <c r="CE164" s="222">
        <f>IF(CC164=0,0,(CD164-CC164)/CC164*100)</f>
        <v>0</v>
      </c>
      <c r="CF164" s="942"/>
      <c r="CG164" s="942"/>
      <c r="CH164" s="222">
        <f>IF(CF164=0,0,(CG164-CF164)/CF164*100)</f>
        <v>0</v>
      </c>
      <c r="CI164" s="942"/>
      <c r="CJ164" s="942"/>
      <c r="CK164" s="222">
        <f>IF(CI164=0,0,(CJ164-CI164)/CI164*100)</f>
        <v>0</v>
      </c>
      <c r="CL164" s="942"/>
      <c r="CM164" s="942"/>
      <c r="CN164" s="222">
        <f>IF(CL164=0,0,(CM164-CL164)/CL164*100)</f>
        <v>0</v>
      </c>
      <c r="CO164" s="942"/>
      <c r="CP164" s="942"/>
      <c r="CQ164" s="222">
        <f>IF(CO164=0,0,(CP164-CO164)/CO164*100)</f>
        <v>0</v>
      </c>
      <c r="CR164" s="942"/>
      <c r="CS164" s="942"/>
      <c r="CT164" s="222">
        <f>IF(CR164=0,0,(CS164-CR164)/CR164*100)</f>
        <v>0</v>
      </c>
      <c r="CU164" s="942"/>
      <c r="CV164" s="942"/>
      <c r="CW164" s="222">
        <f>IF(CU164=0,0,(CV164-CU164)/CU164*100)</f>
        <v>0</v>
      </c>
      <c r="CX164" s="942"/>
      <c r="CY164" s="942"/>
      <c r="CZ164" s="222">
        <f>IF(CX164=0,0,(CY164-CX164)/CX164*100)</f>
        <v>0</v>
      </c>
      <c r="DA164" s="942"/>
      <c r="DB164" s="942"/>
      <c r="DC164" s="222">
        <f>IF(DA164=0,0,(DB164-DA164)/DA164*100)</f>
        <v>0</v>
      </c>
      <c r="DD164" s="942"/>
      <c r="DE164" s="942"/>
      <c r="DF164" s="222">
        <f>IF(DD164=0,0,(DE164-DD164)/DD164*100)</f>
        <v>0</v>
      </c>
      <c r="DG164" s="942"/>
      <c r="DH164" s="942"/>
      <c r="DI164" s="222">
        <f>IF(DG164=0,0,(DH164-DG164)/DG164*100)</f>
        <v>0</v>
      </c>
      <c r="DJ164" s="942"/>
      <c r="DK164" s="942"/>
      <c r="DL164" s="222">
        <f>IF(DJ164=0,0,(DK164-DJ164)/DJ164*100)</f>
        <v>0</v>
      </c>
      <c r="DM164" s="942"/>
      <c r="DN164" s="942"/>
      <c r="DO164" s="222">
        <f>IF(DM164=0,0,(DN164-DM164)/DM164*100)</f>
        <v>0</v>
      </c>
      <c r="DP164" s="942"/>
      <c r="DQ164" s="942"/>
      <c r="DR164" s="222">
        <f>IF(DP164=0,0,(DQ164-DP164)/DP164*100)</f>
        <v>0</v>
      </c>
      <c r="DS164" s="942"/>
      <c r="DT164" s="942"/>
      <c r="DU164" s="222">
        <f>IF(DS164=0,0,(DT164-DS164)/DS164*100)</f>
        <v>0</v>
      </c>
      <c r="DV164" s="942"/>
      <c r="DW164" s="942"/>
      <c r="DX164" s="222">
        <f>IF(DV164=0,0,(DW164-DV164)/DV164*100)</f>
        <v>0</v>
      </c>
      <c r="DY164" s="942"/>
      <c r="DZ164" s="942"/>
      <c r="EA164" s="222">
        <f>IF(DY164=0,0,(DZ164-DY164)/DY164*100)</f>
        <v>0</v>
      </c>
      <c r="EB164" s="942"/>
      <c r="EC164" s="942"/>
      <c r="ED164" s="222">
        <f>IF(EB164=0,0,(EC164-EB164)/EB164*100)</f>
        <v>0</v>
      </c>
      <c r="EE164" s="942"/>
      <c r="EF164" s="942"/>
      <c r="EG164" s="222">
        <f>IF(EE164=0,0,(EF164-EE164)/EE164*100)</f>
        <v>0</v>
      </c>
      <c r="EH164" s="942"/>
      <c r="EI164" s="942"/>
      <c r="EJ164" s="222">
        <f>IF(EH164=0,0,(EI164-EH164)/EH164*100)</f>
        <v>0</v>
      </c>
      <c r="EK164" s="942"/>
      <c r="EL164" s="942"/>
      <c r="EM164" s="222">
        <f>IF(EK164=0,0,(EL164-EK164)/EK164*100)</f>
        <v>0</v>
      </c>
      <c r="EN164" s="942"/>
      <c r="EO164" s="942"/>
      <c r="EP164" s="222">
        <f>IF(EN164=0,0,(EO164-EN164)/EN164*100)</f>
        <v>0</v>
      </c>
      <c r="EQ164" s="942"/>
      <c r="ER164" s="942"/>
      <c r="ES164" s="222">
        <f>IF(EQ164=0,0,(ER164-EQ164)/EQ164*100)</f>
        <v>0</v>
      </c>
      <c r="ET164" s="942"/>
      <c r="EU164" s="942"/>
      <c r="EV164" s="222">
        <f>IF(ET164=0,0,(EU164-ET164)/ET164*100)</f>
        <v>0</v>
      </c>
      <c r="EW164" s="942"/>
      <c r="EX164" s="942"/>
      <c r="EY164" s="222">
        <f>IF(EW164=0,0,(EX164-EW164)/EW164*100)</f>
        <v>0</v>
      </c>
      <c r="EZ164" s="942"/>
      <c r="FA164" s="942"/>
      <c r="FB164" s="222">
        <f>IF(EZ164=0,0,(FA164-EZ164)/EZ164*100)</f>
        <v>0</v>
      </c>
      <c r="FC164" s="942"/>
      <c r="FD164" s="942"/>
      <c r="FE164" s="222">
        <f>IF(FC164=0,0,(FD164-FC164)/FC164*100)</f>
        <v>0</v>
      </c>
      <c r="FF164" s="942"/>
      <c r="FG164" s="942"/>
      <c r="FH164" s="222">
        <f>IF(FF164=0,0,(FG164-FF164)/FF164*100)</f>
        <v>0</v>
      </c>
      <c r="FI164" s="942"/>
      <c r="FJ164" s="942"/>
      <c r="FK164" s="222">
        <f>IF(FI164=0,0,(FJ164-FI164)/FI164*100)</f>
        <v>0</v>
      </c>
      <c r="FL164" s="942"/>
      <c r="FM164" s="942"/>
      <c r="FN164" s="222">
        <f>IF(FL164=0,0,(FM164-FL164)/FL164*100)</f>
        <v>0</v>
      </c>
      <c r="FO164" s="942"/>
      <c r="FP164" s="942"/>
      <c r="FQ164" s="222">
        <f>IF(FO164=0,0,(FP164-FO164)/FO164*100)</f>
        <v>0</v>
      </c>
      <c r="FR164" s="942"/>
      <c r="FS164" s="942"/>
      <c r="FT164" s="222">
        <f>IF(FR164=0,0,(FS164-FR164)/FR164*100)</f>
        <v>0</v>
      </c>
      <c r="FU164" s="942"/>
      <c r="FV164" s="942"/>
      <c r="FW164" s="222">
        <f>IF(FU164=0,0,(FV164-FU164)/FU164*100)</f>
        <v>0</v>
      </c>
      <c r="FX164" s="219"/>
      <c r="FY164" s="219"/>
      <c r="FZ164" s="700" t="s">
        <v>1639</v>
      </c>
      <c r="GA164" s="700"/>
      <c r="GB164" s="700"/>
      <c r="GC164" s="701"/>
      <c r="GD164" s="701"/>
    </row>
    <row r="165" spans="1:186" s="947" customFormat="1" ht="23.25" customHeight="1">
      <c r="A165" s="603"/>
      <c r="B165" s="622" t="b" cm="1">
        <f t="array" ref="B165">B164</f>
        <v>1</v>
      </c>
      <c r="C165" s="603"/>
      <c r="D165" s="603"/>
      <c r="E165" s="604">
        <v>24.5</v>
      </c>
      <c r="F165" s="3" t="str" cm="1">
        <f t="array" aca="1" ref="F165" ca="1">OFFSET(E165,-1,1)</f>
        <v>2</v>
      </c>
      <c r="G165" s="44" t="s">
        <v>1640</v>
      </c>
      <c r="H165" s="78" t="s">
        <v>461</v>
      </c>
      <c r="I165" s="78" t="s">
        <v>1641</v>
      </c>
      <c r="J165" s="603"/>
      <c r="K165" s="603"/>
      <c r="L165" s="78"/>
      <c r="M165" s="603"/>
      <c r="N165" s="603"/>
      <c r="O165" s="603"/>
      <c r="P165" s="603"/>
      <c r="Q165" s="603"/>
      <c r="R165" s="78"/>
      <c r="S165" s="78"/>
      <c r="T165" s="365" t="b" cm="1">
        <f t="array" ref="T165">T164</f>
        <v>1</v>
      </c>
      <c r="U165" s="603"/>
      <c r="V165" s="603"/>
      <c r="W165" s="603"/>
      <c r="X165" s="1094"/>
      <c r="Y165" s="603"/>
      <c r="Z165" s="1064"/>
      <c r="AA165" s="603"/>
      <c r="AB165" s="722" t="s">
        <v>1642</v>
      </c>
      <c r="AC165" s="221" t="s">
        <v>1624</v>
      </c>
      <c r="AD165" s="605">
        <f ca="1">IF(AND(method_reg="Метод индексации",god&lt;&gt;first_year),SUMIFS(INDEX('Калькуляция (МИ корр)'!$AJ$25:$BC$459,,MATCH(AD$8,'Калькуляция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(МИ)'!$AJ$25:$BC$459,,MATCH(AD$8,'Калькуляция (МИ)'!$AJ$8:$BC$8,0)),'Калькуляция (МИ)'!$F$25:$F$459,$F165,'Калькуляция (МИ)'!$G$25:$G$459,$G165))))</f>
        <v>74.0624777168224</v>
      </c>
      <c r="AE165" s="605">
        <f ca="1">IF(AND(method_reg="Метод индексации",god&lt;&gt;first_year),SUMIFS(INDEX('Калькуляция (МИ корр)'!$AJ$25:$BC$459,,MATCH(AE$8,'Калькуляция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(МИ)'!$AJ$25:$BC$459,,MATCH(AE$8,'Калькуляция (МИ)'!$AJ$8:$BC$8,0)),'Калькуляция (МИ)'!$F$25:$F$459,$F165,'Калькуляция (МИ)'!$G$25:$G$459,$G165))))</f>
        <v>46.010995231411073</v>
      </c>
      <c r="AF165" s="222">
        <f ca="1">IF(AD165=0,0,(AE165-AD165)/AD165*100)</f>
        <v>-37.875430785162308</v>
      </c>
      <c r="AG165" s="942">
        <f ca="1">IF(AND(method_reg="Метод индексации",god&lt;&gt;first_year),SUMIFS(INDEX('Калькуляция (МИ корр)'!$AJ$25:$BC$459,,MATCH(AG$8,'Калькуляция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(МИ)'!$AJ$25:$BC$459,,MATCH(AG$8,'Калькуляция (МИ)'!$AJ$8:$BC$8,0)),'Калькуляция (МИ)'!$F$25:$F$459,$F165,'Калькуляция (МИ)'!$G$25:$G$459,$G165))))</f>
        <v>0</v>
      </c>
      <c r="AH165" s="942">
        <f ca="1">IF(AND(method_reg="Метод индексации",god&lt;&gt;first_year),SUMIFS(INDEX('Калькуляция (МИ корр)'!$AJ$25:$BC$459,,MATCH(AH$8,'Калькуляция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(МИ)'!$AJ$25:$BC$459,,MATCH(AH$8,'Калькуляция (МИ)'!$AJ$8:$BC$8,0)),'Калькуляция (МИ)'!$F$25:$F$459,$F165,'Калькуляция (МИ)'!$G$25:$G$459,$G165))))</f>
        <v>0</v>
      </c>
      <c r="AI165" s="222">
        <f ca="1">IF(AG165=0,0,(AH165-AG165)/AG165*100)</f>
        <v>0</v>
      </c>
      <c r="AJ165" s="942">
        <f ca="1">IF(AND(method_reg="Метод индексации",god&lt;&gt;first_year),SUMIFS(INDEX('Калькуляция (МИ корр)'!$AJ$25:$BC$459,,MATCH(AJ$8,'Калькуляция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(МИ)'!$AJ$25:$BC$459,,MATCH(AJ$8,'Калькуляция (МИ)'!$AJ$8:$BC$8,0)),'Калькуляция (МИ)'!$F$25:$F$459,$F165,'Калькуляция (МИ)'!$G$25:$G$459,$G165))))</f>
        <v>0</v>
      </c>
      <c r="AK165" s="942">
        <f ca="1">IF(AND(method_reg="Метод индексации",god&lt;&gt;first_year),SUMIFS(INDEX('Калькуляция (МИ корр)'!$AJ$25:$BC$459,,MATCH(AK$8,'Калькуляция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(МИ)'!$AJ$25:$BC$459,,MATCH(AK$8,'Калькуляция (МИ)'!$AJ$8:$BC$8,0)),'Калькуляция (МИ)'!$F$25:$F$459,$F165,'Калькуляция (МИ)'!$G$25:$G$459,$G165))))</f>
        <v>0</v>
      </c>
      <c r="AL165" s="222">
        <f ca="1">IF(AJ165=0,0,(AK165-AJ165)/AJ165*100)</f>
        <v>0</v>
      </c>
      <c r="AM165" s="942">
        <f ca="1">IF(AND(method_reg="Метод индексации",god&lt;&gt;first_year),SUMIFS(INDEX('Калькуляция (МИ корр)'!$AJ$25:$BC$459,,MATCH(AM$8,'Калькуляция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(МИ)'!$AJ$25:$BC$459,,MATCH(AM$8,'Калькуляция (МИ)'!$AJ$8:$BC$8,0)),'Калькуляция (МИ)'!$F$25:$F$459,$F165,'Калькуляция (МИ)'!$G$25:$G$459,$G165))))</f>
        <v>0</v>
      </c>
      <c r="AN165" s="942">
        <f ca="1">IF(AND(method_reg="Метод индексации",god&lt;&gt;first_year),SUMIFS(INDEX('Калькуляция (МИ корр)'!$AJ$25:$BC$459,,MATCH(AN$8,'Калькуляция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(МИ)'!$AJ$25:$BC$459,,MATCH(AN$8,'Калькуляция (МИ)'!$AJ$8:$BC$8,0)),'Калькуляция (МИ)'!$F$25:$F$459,$F165,'Калькуляция (МИ)'!$G$25:$G$459,$G165))))</f>
        <v>0</v>
      </c>
      <c r="AO165" s="222">
        <f ca="1">IF(AM165=0,0,(AN165-AM165)/AM165*100)</f>
        <v>0</v>
      </c>
      <c r="AP165" s="942">
        <f ca="1">IF(AND(method_reg="Метод индексации",god&lt;&gt;first_year),SUMIFS(INDEX('Калькуляция (МИ корр)'!$AJ$25:$BC$459,,MATCH(AP$8,'Калькуляция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(МИ)'!$AJ$25:$BC$459,,MATCH(AP$8,'Калькуляция (МИ)'!$AJ$8:$BC$8,0)),'Калькуляция (МИ)'!$F$25:$F$459,$F165,'Калькуляция (МИ)'!$G$25:$G$459,$G165))))</f>
        <v>0</v>
      </c>
      <c r="AQ165" s="942">
        <f ca="1">IF(AND(method_reg="Метод индексации",god&lt;&gt;first_year),SUMIFS(INDEX('Калькуляция (МИ корр)'!$AJ$25:$BC$459,,MATCH(AQ$8,'Калькуляция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(МИ)'!$AJ$25:$BC$459,,MATCH(AQ$8,'Калькуляция (МИ)'!$AJ$8:$BC$8,0)),'Калькуляция (МИ)'!$F$25:$F$459,$F165,'Калькуляция (МИ)'!$G$25:$G$459,$G165))))</f>
        <v>0</v>
      </c>
      <c r="AR165" s="222">
        <f ca="1">IF(AP165=0,0,(AQ165-AP165)/AP165*100)</f>
        <v>0</v>
      </c>
      <c r="AS165" s="942">
        <f ca="1">IF(AND(method_reg="Метод индексации",god&lt;&gt;first_year),SUMIFS(INDEX('Калькуляция (МИ корр)'!$AJ$25:$BC$459,,MATCH(AS$8,'Калькуляция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(МИ)'!$AJ$25:$BC$459,,MATCH(AS$8,'Калькуляция (МИ)'!$AJ$8:$BC$8,0)),'Калькуляция (МИ)'!$F$25:$F$459,$F165,'Калькуляция (МИ)'!$G$25:$G$459,$G165))))</f>
        <v>0</v>
      </c>
      <c r="AT165" s="942">
        <f ca="1">IF(AND(method_reg="Метод индексации",god&lt;&gt;first_year),SUMIFS(INDEX('Калькуляция (МИ корр)'!$AJ$25:$BC$459,,MATCH(AT$8,'Калькуляция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(МИ)'!$AJ$25:$BC$459,,MATCH(AT$8,'Калькуляция (МИ)'!$AJ$8:$BC$8,0)),'Калькуляция (МИ)'!$F$25:$F$459,$F165,'Калькуляция (МИ)'!$G$25:$G$459,$G165))))</f>
        <v>0</v>
      </c>
      <c r="AU165" s="222">
        <f ca="1">IF(AS165=0,0,(AT165-AS165)/AS165*100)</f>
        <v>0</v>
      </c>
      <c r="AV165" s="942">
        <f ca="1">IF(AND(method_reg="Метод индексации",god&lt;&gt;first_year),SUMIFS(INDEX('Калькуляция (МИ корр)'!$AJ$25:$BC$459,,MATCH(AV$8,'Калькуляция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(МИ)'!$AJ$25:$BC$459,,MATCH(AV$8,'Калькуляция (МИ)'!$AJ$8:$BC$8,0)),'Калькуляция (МИ)'!$F$25:$F$459,$F165,'Калькуляция (МИ)'!$G$25:$G$459,$G165))))</f>
        <v>0</v>
      </c>
      <c r="AW165" s="942">
        <f ca="1">IF(AND(method_reg="Метод индексации",god&lt;&gt;first_year),SUMIFS(INDEX('Калькуляция (МИ корр)'!$AJ$25:$BC$459,,MATCH(AW$8,'Калькуляция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(МИ)'!$AJ$25:$BC$459,,MATCH(AW$8,'Калькуляция (МИ)'!$AJ$8:$BC$8,0)),'Калькуляция (МИ)'!$F$25:$F$459,$F165,'Калькуляция (МИ)'!$G$25:$G$459,$G165))))</f>
        <v>0</v>
      </c>
      <c r="AX165" s="222">
        <f ca="1">IF(AV165=0,0,(AW165-AV165)/AV165*100)</f>
        <v>0</v>
      </c>
      <c r="AY165" s="942">
        <f ca="1">IF(AND(method_reg="Метод индексации",god&lt;&gt;first_year),SUMIFS(INDEX('Калькуляция (МИ корр)'!$AJ$25:$BC$459,,MATCH(AY$8,'Калькуляция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(МИ)'!$AJ$25:$BC$459,,MATCH(AY$8,'Калькуляция (МИ)'!$AJ$8:$BC$8,0)),'Калькуляция (МИ)'!$F$25:$F$459,$F165,'Калькуляция (МИ)'!$G$25:$G$459,$G165))))</f>
        <v>0</v>
      </c>
      <c r="AZ165" s="942">
        <f ca="1">IF(AND(method_reg="Метод индексации",god&lt;&gt;first_year),SUMIFS(INDEX('Калькуляция (МИ корр)'!$AJ$25:$BC$459,,MATCH(AZ$8,'Калькуляция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(МИ)'!$AJ$25:$BC$459,,MATCH(AZ$8,'Калькуляция (МИ)'!$AJ$8:$BC$8,0)),'Калькуляция (МИ)'!$F$25:$F$459,$F165,'Калькуляция (МИ)'!$G$25:$G$459,$G165))))</f>
        <v>0</v>
      </c>
      <c r="BA165" s="222">
        <f ca="1">IF(AY165=0,0,(AZ165-AY165)/AY165*100)</f>
        <v>0</v>
      </c>
      <c r="BB165" s="942">
        <f ca="1">IF(AND(method_reg="Метод индексации",god&lt;&gt;first_year),SUMIFS(INDEX('Калькуляция (МИ корр)'!$AJ$25:$BC$459,,MATCH(BB$8,'Калькуляция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(МИ)'!$AJ$25:$BC$459,,MATCH(BB$8,'Калькуляция (МИ)'!$AJ$8:$BC$8,0)),'Калькуляция (МИ)'!$F$25:$F$459,$F165,'Калькуляция (МИ)'!$G$25:$G$459,$G165))))</f>
        <v>0</v>
      </c>
      <c r="BC165" s="942">
        <f ca="1">IF(AND(method_reg="Метод индексации",god&lt;&gt;first_year),SUMIFS(INDEX('Калькуляция (МИ корр)'!$AJ$25:$BC$459,,MATCH(BC$8,'Калькуляция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(МИ)'!$AJ$25:$BC$459,,MATCH(BC$8,'Калькуляция (МИ)'!$AJ$8:$BC$8,0)),'Калькуляция (МИ)'!$F$25:$F$459,$F165,'Калькуляция (МИ)'!$G$25:$G$459,$G165))))</f>
        <v>0</v>
      </c>
      <c r="BD165" s="222">
        <f ca="1">IF(BB165=0,0,(BC165-BB165)/BB165*100)</f>
        <v>0</v>
      </c>
      <c r="BE165" s="942">
        <f ca="1">IF(AND(method_reg="Метод индексации",god&lt;&gt;first_year),SUMIFS(INDEX('Калькуляция (МИ корр)'!$AJ$25:$BC$459,,MATCH(BE$8,'Калькуляция (МИ корр)'!$AJ$8:$BC$8,0)),'Калькуляция (МИ корр)'!$F$25:$F$459,$F165,'Калькуляция (МИ корр)'!$G$25:$G$459,$G165),IF(method_reg="Метод экономически обоснованных расходов",SUMIFS('Калькуляция (МЭОР)'!$AJ$25:$AJ$282,'Калькуляция (МЭОР)'!$F$25:$F$282,$F165,'Калькуляция (МЭОР)'!$G$25:$G$282,$G165),IF(method_reg="Метод сравнения аналогов",SUMIFS('Калькуляция (МСА)'!$AE$25:$AE$84,'Калькуляция (МСА)'!$F$25:$F$84,$F165,'Калькуляция (МСА)'!$G$25:$G$84,$G165),SUMIFS(INDEX('Калькуляция (МИ)'!$AJ$25:$BC$459,,MATCH(BE$8,'Калькуляция (МИ)'!$AJ$8:$BC$8,0)),'Калькуляция (МИ)'!$F$25:$F$459,$F165,'Калькуляция (МИ)'!$G$25:$G$459,$G165))))</f>
        <v>0</v>
      </c>
      <c r="BF165" s="942">
        <f ca="1">IF(AND(method_reg="Метод индексации",god&lt;&gt;first_year),SUMIFS(INDEX('Калькуляция (МИ корр)'!$AJ$25:$BC$459,,MATCH(BF$8,'Калькуляция (МИ корр)'!$AJ$8:$BC$8,0)),'Калькуляция (МИ корр)'!$F$25:$F$459,$F165,'Калькуляция (МИ корр)'!$G$25:$G$459,$G165),IF(method_reg="Метод экономически обоснованных расходов",SUMIFS('Калькуляция (МЭОР)'!$AK$25:$AK$282,'Калькуляция (МЭОР)'!$F$25:$F$282,$F165,'Калькуляция (МЭОР)'!$G$25:$G$282,$G165),IF(method_reg="Метод сравнения аналогов",SUMIFS('Калькуляция (МСА)'!$AF$25:$AF$84,'Калькуляция (МСА)'!$F$25:$F$84,$F165,'Калькуляция (МСА)'!$G$25:$G$84,$G165),SUMIFS(INDEX('Калькуляция (МИ)'!$AJ$25:$BC$459,,MATCH(BF$8,'Калькуляция (МИ)'!$AJ$8:$BC$8,0)),'Калькуляция (МИ)'!$F$25:$F$459,$F165,'Калькуляция (МИ)'!$G$25:$G$459,$G165))))</f>
        <v>0</v>
      </c>
      <c r="BG165" s="222">
        <f ca="1">IF(BE165=0,0,(BF165-BE165)/BE165*100)</f>
        <v>0</v>
      </c>
      <c r="BH165" s="942"/>
      <c r="BI165" s="942"/>
      <c r="BJ165" s="222">
        <f>IF(BH165=0,0,(BI165-BH165)/BH165*100)</f>
        <v>0</v>
      </c>
      <c r="BK165" s="942"/>
      <c r="BL165" s="942"/>
      <c r="BM165" s="222">
        <f>IF(BK165=0,0,(BL165-BK165)/BK165*100)</f>
        <v>0</v>
      </c>
      <c r="BN165" s="942"/>
      <c r="BO165" s="942"/>
      <c r="BP165" s="222">
        <f>IF(BN165=0,0,(BO165-BN165)/BN165*100)</f>
        <v>0</v>
      </c>
      <c r="BQ165" s="942"/>
      <c r="BR165" s="942"/>
      <c r="BS165" s="222">
        <f>IF(BQ165=0,0,(BR165-BQ165)/BQ165*100)</f>
        <v>0</v>
      </c>
      <c r="BT165" s="942"/>
      <c r="BU165" s="942"/>
      <c r="BV165" s="222">
        <f>IF(BT165=0,0,(BU165-BT165)/BT165*100)</f>
        <v>0</v>
      </c>
      <c r="BW165" s="942"/>
      <c r="BX165" s="942"/>
      <c r="BY165" s="222">
        <f>IF(BW165=0,0,(BX165-BW165)/BW165*100)</f>
        <v>0</v>
      </c>
      <c r="BZ165" s="942"/>
      <c r="CA165" s="942"/>
      <c r="CB165" s="222">
        <f>IF(BZ165=0,0,(CA165-BZ165)/BZ165*100)</f>
        <v>0</v>
      </c>
      <c r="CC165" s="942"/>
      <c r="CD165" s="942"/>
      <c r="CE165" s="222">
        <f>IF(CC165=0,0,(CD165-CC165)/CC165*100)</f>
        <v>0</v>
      </c>
      <c r="CF165" s="942"/>
      <c r="CG165" s="942"/>
      <c r="CH165" s="222">
        <f>IF(CF165=0,0,(CG165-CF165)/CF165*100)</f>
        <v>0</v>
      </c>
      <c r="CI165" s="942"/>
      <c r="CJ165" s="942"/>
      <c r="CK165" s="222">
        <f>IF(CI165=0,0,(CJ165-CI165)/CI165*100)</f>
        <v>0</v>
      </c>
      <c r="CL165" s="942"/>
      <c r="CM165" s="942"/>
      <c r="CN165" s="222">
        <f>IF(CL165=0,0,(CM165-CL165)/CL165*100)</f>
        <v>0</v>
      </c>
      <c r="CO165" s="942"/>
      <c r="CP165" s="942"/>
      <c r="CQ165" s="222">
        <f>IF(CO165=0,0,(CP165-CO165)/CO165*100)</f>
        <v>0</v>
      </c>
      <c r="CR165" s="942"/>
      <c r="CS165" s="942"/>
      <c r="CT165" s="222">
        <f>IF(CR165=0,0,(CS165-CR165)/CR165*100)</f>
        <v>0</v>
      </c>
      <c r="CU165" s="942"/>
      <c r="CV165" s="942"/>
      <c r="CW165" s="222">
        <f>IF(CU165=0,0,(CV165-CU165)/CU165*100)</f>
        <v>0</v>
      </c>
      <c r="CX165" s="942"/>
      <c r="CY165" s="942"/>
      <c r="CZ165" s="222">
        <f>IF(CX165=0,0,(CY165-CX165)/CX165*100)</f>
        <v>0</v>
      </c>
      <c r="DA165" s="942"/>
      <c r="DB165" s="942"/>
      <c r="DC165" s="222">
        <f>IF(DA165=0,0,(DB165-DA165)/DA165*100)</f>
        <v>0</v>
      </c>
      <c r="DD165" s="942"/>
      <c r="DE165" s="942"/>
      <c r="DF165" s="222">
        <f>IF(DD165=0,0,(DE165-DD165)/DD165*100)</f>
        <v>0</v>
      </c>
      <c r="DG165" s="942"/>
      <c r="DH165" s="942"/>
      <c r="DI165" s="222">
        <f>IF(DG165=0,0,(DH165-DG165)/DG165*100)</f>
        <v>0</v>
      </c>
      <c r="DJ165" s="942"/>
      <c r="DK165" s="942"/>
      <c r="DL165" s="222">
        <f>IF(DJ165=0,0,(DK165-DJ165)/DJ165*100)</f>
        <v>0</v>
      </c>
      <c r="DM165" s="942"/>
      <c r="DN165" s="942"/>
      <c r="DO165" s="222">
        <f>IF(DM165=0,0,(DN165-DM165)/DM165*100)</f>
        <v>0</v>
      </c>
      <c r="DP165" s="942"/>
      <c r="DQ165" s="942"/>
      <c r="DR165" s="222">
        <f>IF(DP165=0,0,(DQ165-DP165)/DP165*100)</f>
        <v>0</v>
      </c>
      <c r="DS165" s="942"/>
      <c r="DT165" s="942"/>
      <c r="DU165" s="222">
        <f>IF(DS165=0,0,(DT165-DS165)/DS165*100)</f>
        <v>0</v>
      </c>
      <c r="DV165" s="942"/>
      <c r="DW165" s="942"/>
      <c r="DX165" s="222">
        <f>IF(DV165=0,0,(DW165-DV165)/DV165*100)</f>
        <v>0</v>
      </c>
      <c r="DY165" s="942"/>
      <c r="DZ165" s="942"/>
      <c r="EA165" s="222">
        <f>IF(DY165=0,0,(DZ165-DY165)/DY165*100)</f>
        <v>0</v>
      </c>
      <c r="EB165" s="942"/>
      <c r="EC165" s="942"/>
      <c r="ED165" s="222">
        <f>IF(EB165=0,0,(EC165-EB165)/EB165*100)</f>
        <v>0</v>
      </c>
      <c r="EE165" s="942"/>
      <c r="EF165" s="942"/>
      <c r="EG165" s="222">
        <f>IF(EE165=0,0,(EF165-EE165)/EE165*100)</f>
        <v>0</v>
      </c>
      <c r="EH165" s="942"/>
      <c r="EI165" s="942"/>
      <c r="EJ165" s="222">
        <f>IF(EH165=0,0,(EI165-EH165)/EH165*100)</f>
        <v>0</v>
      </c>
      <c r="EK165" s="942"/>
      <c r="EL165" s="942"/>
      <c r="EM165" s="222">
        <f>IF(EK165=0,0,(EL165-EK165)/EK165*100)</f>
        <v>0</v>
      </c>
      <c r="EN165" s="942"/>
      <c r="EO165" s="942"/>
      <c r="EP165" s="222">
        <f>IF(EN165=0,0,(EO165-EN165)/EN165*100)</f>
        <v>0</v>
      </c>
      <c r="EQ165" s="942"/>
      <c r="ER165" s="942"/>
      <c r="ES165" s="222">
        <f>IF(EQ165=0,0,(ER165-EQ165)/EQ165*100)</f>
        <v>0</v>
      </c>
      <c r="ET165" s="942"/>
      <c r="EU165" s="942"/>
      <c r="EV165" s="222">
        <f>IF(ET165=0,0,(EU165-ET165)/ET165*100)</f>
        <v>0</v>
      </c>
      <c r="EW165" s="942"/>
      <c r="EX165" s="942"/>
      <c r="EY165" s="222">
        <f>IF(EW165=0,0,(EX165-EW165)/EW165*100)</f>
        <v>0</v>
      </c>
      <c r="EZ165" s="942"/>
      <c r="FA165" s="942"/>
      <c r="FB165" s="222">
        <f>IF(EZ165=0,0,(FA165-EZ165)/EZ165*100)</f>
        <v>0</v>
      </c>
      <c r="FC165" s="942"/>
      <c r="FD165" s="942"/>
      <c r="FE165" s="222">
        <f>IF(FC165=0,0,(FD165-FC165)/FC165*100)</f>
        <v>0</v>
      </c>
      <c r="FF165" s="942"/>
      <c r="FG165" s="942"/>
      <c r="FH165" s="222">
        <f>IF(FF165=0,0,(FG165-FF165)/FF165*100)</f>
        <v>0</v>
      </c>
      <c r="FI165" s="942"/>
      <c r="FJ165" s="942"/>
      <c r="FK165" s="222">
        <f>IF(FI165=0,0,(FJ165-FI165)/FI165*100)</f>
        <v>0</v>
      </c>
      <c r="FL165" s="942"/>
      <c r="FM165" s="942"/>
      <c r="FN165" s="222">
        <f>IF(FL165=0,0,(FM165-FL165)/FL165*100)</f>
        <v>0</v>
      </c>
      <c r="FO165" s="942"/>
      <c r="FP165" s="942"/>
      <c r="FQ165" s="222">
        <f>IF(FO165=0,0,(FP165-FO165)/FO165*100)</f>
        <v>0</v>
      </c>
      <c r="FR165" s="942"/>
      <c r="FS165" s="942"/>
      <c r="FT165" s="222">
        <f>IF(FR165=0,0,(FS165-FR165)/FR165*100)</f>
        <v>0</v>
      </c>
      <c r="FU165" s="942"/>
      <c r="FV165" s="942"/>
      <c r="FW165" s="222">
        <f>IF(FU165=0,0,(FV165-FU165)/FU165*100)</f>
        <v>0</v>
      </c>
      <c r="FX165" s="219"/>
      <c r="FY165" s="219"/>
      <c r="FZ165" s="700" t="s">
        <v>1643</v>
      </c>
      <c r="GA165" s="700"/>
      <c r="GB165" s="700"/>
      <c r="GC165" s="701"/>
      <c r="GD165" s="701"/>
    </row>
    <row r="166" spans="1:186" ht="14.25" customHeight="1">
      <c r="A166" s="78"/>
      <c r="B166" s="622" t="b" cm="1">
        <f t="array" ref="B166">B165</f>
        <v>1</v>
      </c>
      <c r="C166" s="78"/>
      <c r="D166" s="78"/>
      <c r="E166" s="473">
        <v>15</v>
      </c>
      <c r="F166" s="3" t="str" cm="1">
        <f t="array" aca="1" ref="F166" ca="1">OFFSET(E166,-1,1)</f>
        <v>2</v>
      </c>
      <c r="G166" s="44"/>
      <c r="H166" s="78" t="s">
        <v>465</v>
      </c>
      <c r="I166" s="78" t="s">
        <v>1644</v>
      </c>
      <c r="J166" s="78"/>
      <c r="K166" s="78"/>
      <c r="L166" s="78"/>
      <c r="M166" s="78"/>
      <c r="N166" s="78"/>
      <c r="O166" s="78"/>
      <c r="P166" s="78"/>
      <c r="Q166" s="603"/>
      <c r="R166" s="78"/>
      <c r="S166" s="78"/>
      <c r="T166" s="365" t="b" cm="1">
        <f t="array" ref="T166">T165</f>
        <v>1</v>
      </c>
      <c r="U166" s="78"/>
      <c r="V166" s="78"/>
      <c r="W166" s="78"/>
      <c r="X166" s="1094"/>
      <c r="Y166" s="78"/>
      <c r="Z166" s="1064"/>
      <c r="AA166" s="78"/>
      <c r="AB166" s="73" t="s">
        <v>1631</v>
      </c>
      <c r="AC166" s="31" t="s">
        <v>456</v>
      </c>
      <c r="AD166" s="629">
        <f ca="1">IF(AD164=0,0,AD165/AD164)*100</f>
        <v>99.999975035957121</v>
      </c>
      <c r="AE166" s="629">
        <f ca="1">IF(AE164=0,0,AE165/AE164)*100</f>
        <v>107.0869884358477</v>
      </c>
      <c r="AF166" s="723"/>
      <c r="AG166" s="629">
        <f ca="1">IF(AG164=0,0,AG165/AG164)*100</f>
        <v>0</v>
      </c>
      <c r="AH166" s="629">
        <f ca="1">IF(AH164=0,0,AH165/AH164)*100</f>
        <v>0</v>
      </c>
      <c r="AI166" s="723"/>
      <c r="AJ166" s="629">
        <f ca="1">IF(AJ164=0,0,AJ165/AJ164)*100</f>
        <v>0</v>
      </c>
      <c r="AK166" s="629">
        <f ca="1">IF(AK164=0,0,AK165/AK164)*100</f>
        <v>0</v>
      </c>
      <c r="AL166" s="723"/>
      <c r="AM166" s="629">
        <f ca="1">IF(AM164=0,0,AM165/AM164)*100</f>
        <v>0</v>
      </c>
      <c r="AN166" s="629">
        <f ca="1">IF(AN164=0,0,AN165/AN164)*100</f>
        <v>0</v>
      </c>
      <c r="AO166" s="723"/>
      <c r="AP166" s="629">
        <f ca="1">IF(AP164=0,0,AP165/AP164)*100</f>
        <v>0</v>
      </c>
      <c r="AQ166" s="629">
        <f ca="1">IF(AQ164=0,0,AQ165/AQ164)*100</f>
        <v>0</v>
      </c>
      <c r="AR166" s="723"/>
      <c r="AS166" s="629">
        <f ca="1">IF(AS164=0,0,AS165/AS164)*100</f>
        <v>0</v>
      </c>
      <c r="AT166" s="629">
        <f ca="1">IF(AT164=0,0,AT165/AT164)*100</f>
        <v>0</v>
      </c>
      <c r="AU166" s="723"/>
      <c r="AV166" s="629">
        <f ca="1">IF(AV164=0,0,AV165/AV164)*100</f>
        <v>0</v>
      </c>
      <c r="AW166" s="629">
        <f ca="1">IF(AW164=0,0,AW165/AW164)*100</f>
        <v>0</v>
      </c>
      <c r="AX166" s="723"/>
      <c r="AY166" s="629">
        <f ca="1">IF(AY164=0,0,AY165/AY164)*100</f>
        <v>0</v>
      </c>
      <c r="AZ166" s="629">
        <f ca="1">IF(AZ164=0,0,AZ165/AZ164)*100</f>
        <v>0</v>
      </c>
      <c r="BA166" s="723"/>
      <c r="BB166" s="629">
        <f ca="1">IF(BB164=0,0,BB165/BB164)*100</f>
        <v>0</v>
      </c>
      <c r="BC166" s="629">
        <f ca="1">IF(BC164=0,0,BC165/BC164)*100</f>
        <v>0</v>
      </c>
      <c r="BD166" s="723"/>
      <c r="BE166" s="629">
        <f ca="1">IF(BE164=0,0,BE165/BE164)*100</f>
        <v>0</v>
      </c>
      <c r="BF166" s="629">
        <f ca="1">IF(BF164=0,0,BF165/BF164)*100</f>
        <v>0</v>
      </c>
      <c r="BG166" s="723"/>
      <c r="BH166" s="629">
        <f>IF(BH164=0,0,BH165/BH164)*100</f>
        <v>0</v>
      </c>
      <c r="BI166" s="629">
        <f>IF(BI164=0,0,BI165/BI164)*100</f>
        <v>0</v>
      </c>
      <c r="BJ166" s="723"/>
      <c r="BK166" s="629">
        <f>IF(BK164=0,0,BK165/BK164)*100</f>
        <v>0</v>
      </c>
      <c r="BL166" s="629">
        <f>IF(BL164=0,0,BL165/BL164)*100</f>
        <v>0</v>
      </c>
      <c r="BM166" s="723"/>
      <c r="BN166" s="629">
        <f>IF(BN164=0,0,BN165/BN164)*100</f>
        <v>0</v>
      </c>
      <c r="BO166" s="629">
        <f>IF(BO164=0,0,BO165/BO164)*100</f>
        <v>0</v>
      </c>
      <c r="BP166" s="723"/>
      <c r="BQ166" s="629">
        <f>IF(BQ164=0,0,BQ165/BQ164)*100</f>
        <v>0</v>
      </c>
      <c r="BR166" s="629">
        <f>IF(BR164=0,0,BR165/BR164)*100</f>
        <v>0</v>
      </c>
      <c r="BS166" s="723"/>
      <c r="BT166" s="629">
        <f>IF(BT164=0,0,BT165/BT164)*100</f>
        <v>0</v>
      </c>
      <c r="BU166" s="629">
        <f>IF(BU164=0,0,BU165/BU164)*100</f>
        <v>0</v>
      </c>
      <c r="BV166" s="723"/>
      <c r="BW166" s="629">
        <f>IF(BW164=0,0,BW165/BW164)*100</f>
        <v>0</v>
      </c>
      <c r="BX166" s="629">
        <f>IF(BX164=0,0,BX165/BX164)*100</f>
        <v>0</v>
      </c>
      <c r="BY166" s="723"/>
      <c r="BZ166" s="629">
        <f>IF(BZ164=0,0,BZ165/BZ164)*100</f>
        <v>0</v>
      </c>
      <c r="CA166" s="629">
        <f>IF(CA164=0,0,CA165/CA164)*100</f>
        <v>0</v>
      </c>
      <c r="CB166" s="723"/>
      <c r="CC166" s="629">
        <f>IF(CC164=0,0,CC165/CC164)*100</f>
        <v>0</v>
      </c>
      <c r="CD166" s="629">
        <f>IF(CD164=0,0,CD165/CD164)*100</f>
        <v>0</v>
      </c>
      <c r="CE166" s="723"/>
      <c r="CF166" s="629">
        <f>IF(CF164=0,0,CF165/CF164)*100</f>
        <v>0</v>
      </c>
      <c r="CG166" s="629">
        <f>IF(CG164=0,0,CG165/CG164)*100</f>
        <v>0</v>
      </c>
      <c r="CH166" s="723"/>
      <c r="CI166" s="629">
        <f>IF(CI164=0,0,CI165/CI164)*100</f>
        <v>0</v>
      </c>
      <c r="CJ166" s="629">
        <f>IF(CJ164=0,0,CJ165/CJ164)*100</f>
        <v>0</v>
      </c>
      <c r="CK166" s="723"/>
      <c r="CL166" s="629">
        <f>IF(CL164=0,0,CL165/CL164)*100</f>
        <v>0</v>
      </c>
      <c r="CM166" s="629">
        <f>IF(CM164=0,0,CM165/CM164)*100</f>
        <v>0</v>
      </c>
      <c r="CN166" s="723"/>
      <c r="CO166" s="629">
        <f>IF(CO164=0,0,CO165/CO164)*100</f>
        <v>0</v>
      </c>
      <c r="CP166" s="629">
        <f>IF(CP164=0,0,CP165/CP164)*100</f>
        <v>0</v>
      </c>
      <c r="CQ166" s="723"/>
      <c r="CR166" s="629">
        <f>IF(CR164=0,0,CR165/CR164)*100</f>
        <v>0</v>
      </c>
      <c r="CS166" s="629">
        <f>IF(CS164=0,0,CS165/CS164)*100</f>
        <v>0</v>
      </c>
      <c r="CT166" s="723"/>
      <c r="CU166" s="629">
        <f>IF(CU164=0,0,CU165/CU164)*100</f>
        <v>0</v>
      </c>
      <c r="CV166" s="629">
        <f>IF(CV164=0,0,CV165/CV164)*100</f>
        <v>0</v>
      </c>
      <c r="CW166" s="723"/>
      <c r="CX166" s="629">
        <f>IF(CX164=0,0,CX165/CX164)*100</f>
        <v>0</v>
      </c>
      <c r="CY166" s="629">
        <f>IF(CY164=0,0,CY165/CY164)*100</f>
        <v>0</v>
      </c>
      <c r="CZ166" s="723"/>
      <c r="DA166" s="629">
        <f>IF(DA164=0,0,DA165/DA164)*100</f>
        <v>0</v>
      </c>
      <c r="DB166" s="629">
        <f>IF(DB164=0,0,DB165/DB164)*100</f>
        <v>0</v>
      </c>
      <c r="DC166" s="723"/>
      <c r="DD166" s="629">
        <f>IF(DD164=0,0,DD165/DD164)*100</f>
        <v>0</v>
      </c>
      <c r="DE166" s="629">
        <f>IF(DE164=0,0,DE165/DE164)*100</f>
        <v>0</v>
      </c>
      <c r="DF166" s="723"/>
      <c r="DG166" s="629">
        <f>IF(DG164=0,0,DG165/DG164)*100</f>
        <v>0</v>
      </c>
      <c r="DH166" s="629">
        <f>IF(DH164=0,0,DH165/DH164)*100</f>
        <v>0</v>
      </c>
      <c r="DI166" s="723"/>
      <c r="DJ166" s="629">
        <f>IF(DJ164=0,0,DJ165/DJ164)*100</f>
        <v>0</v>
      </c>
      <c r="DK166" s="629">
        <f>IF(DK164=0,0,DK165/DK164)*100</f>
        <v>0</v>
      </c>
      <c r="DL166" s="723"/>
      <c r="DM166" s="629">
        <f>IF(DM164=0,0,DM165/DM164)*100</f>
        <v>0</v>
      </c>
      <c r="DN166" s="629">
        <f>IF(DN164=0,0,DN165/DN164)*100</f>
        <v>0</v>
      </c>
      <c r="DO166" s="723"/>
      <c r="DP166" s="629">
        <f>IF(DP164=0,0,DP165/DP164)*100</f>
        <v>0</v>
      </c>
      <c r="DQ166" s="629">
        <f>IF(DQ164=0,0,DQ165/DQ164)*100</f>
        <v>0</v>
      </c>
      <c r="DR166" s="723"/>
      <c r="DS166" s="629">
        <f>IF(DS164=0,0,DS165/DS164)*100</f>
        <v>0</v>
      </c>
      <c r="DT166" s="629">
        <f>IF(DT164=0,0,DT165/DT164)*100</f>
        <v>0</v>
      </c>
      <c r="DU166" s="723"/>
      <c r="DV166" s="629">
        <f>IF(DV164=0,0,DV165/DV164)*100</f>
        <v>0</v>
      </c>
      <c r="DW166" s="629">
        <f>IF(DW164=0,0,DW165/DW164)*100</f>
        <v>0</v>
      </c>
      <c r="DX166" s="723"/>
      <c r="DY166" s="629">
        <f>IF(DY164=0,0,DY165/DY164)*100</f>
        <v>0</v>
      </c>
      <c r="DZ166" s="629">
        <f>IF(DZ164=0,0,DZ165/DZ164)*100</f>
        <v>0</v>
      </c>
      <c r="EA166" s="723"/>
      <c r="EB166" s="629">
        <f>IF(EB164=0,0,EB165/EB164)*100</f>
        <v>0</v>
      </c>
      <c r="EC166" s="629">
        <f>IF(EC164=0,0,EC165/EC164)*100</f>
        <v>0</v>
      </c>
      <c r="ED166" s="723"/>
      <c r="EE166" s="629">
        <f>IF(EE164=0,0,EE165/EE164)*100</f>
        <v>0</v>
      </c>
      <c r="EF166" s="629">
        <f>IF(EF164=0,0,EF165/EF164)*100</f>
        <v>0</v>
      </c>
      <c r="EG166" s="723"/>
      <c r="EH166" s="629">
        <f>IF(EH164=0,0,EH165/EH164)*100</f>
        <v>0</v>
      </c>
      <c r="EI166" s="629">
        <f>IF(EI164=0,0,EI165/EI164)*100</f>
        <v>0</v>
      </c>
      <c r="EJ166" s="723"/>
      <c r="EK166" s="629">
        <f>IF(EK164=0,0,EK165/EK164)*100</f>
        <v>0</v>
      </c>
      <c r="EL166" s="629">
        <f>IF(EL164=0,0,EL165/EL164)*100</f>
        <v>0</v>
      </c>
      <c r="EM166" s="723"/>
      <c r="EN166" s="629">
        <f>IF(EN164=0,0,EN165/EN164)*100</f>
        <v>0</v>
      </c>
      <c r="EO166" s="629">
        <f>IF(EO164=0,0,EO165/EO164)*100</f>
        <v>0</v>
      </c>
      <c r="EP166" s="723"/>
      <c r="EQ166" s="629">
        <f>IF(EQ164=0,0,EQ165/EQ164)*100</f>
        <v>0</v>
      </c>
      <c r="ER166" s="629">
        <f>IF(ER164=0,0,ER165/ER164)*100</f>
        <v>0</v>
      </c>
      <c r="ES166" s="723"/>
      <c r="ET166" s="629">
        <f>IF(ET164=0,0,ET165/ET164)*100</f>
        <v>0</v>
      </c>
      <c r="EU166" s="629">
        <f>IF(EU164=0,0,EU165/EU164)*100</f>
        <v>0</v>
      </c>
      <c r="EV166" s="723"/>
      <c r="EW166" s="629">
        <f>IF(EW164=0,0,EW165/EW164)*100</f>
        <v>0</v>
      </c>
      <c r="EX166" s="629">
        <f>IF(EX164=0,0,EX165/EX164)*100</f>
        <v>0</v>
      </c>
      <c r="EY166" s="723"/>
      <c r="EZ166" s="629">
        <f>IF(EZ164=0,0,EZ165/EZ164)*100</f>
        <v>0</v>
      </c>
      <c r="FA166" s="629">
        <f>IF(FA164=0,0,FA165/FA164)*100</f>
        <v>0</v>
      </c>
      <c r="FB166" s="723"/>
      <c r="FC166" s="629">
        <f>IF(FC164=0,0,FC165/FC164)*100</f>
        <v>0</v>
      </c>
      <c r="FD166" s="629">
        <f>IF(FD164=0,0,FD165/FD164)*100</f>
        <v>0</v>
      </c>
      <c r="FE166" s="723"/>
      <c r="FF166" s="629">
        <f>IF(FF164=0,0,FF165/FF164)*100</f>
        <v>0</v>
      </c>
      <c r="FG166" s="629">
        <f>IF(FG164=0,0,FG165/FG164)*100</f>
        <v>0</v>
      </c>
      <c r="FH166" s="723"/>
      <c r="FI166" s="629">
        <f>IF(FI164=0,0,FI165/FI164)*100</f>
        <v>0</v>
      </c>
      <c r="FJ166" s="629">
        <f>IF(FJ164=0,0,FJ165/FJ164)*100</f>
        <v>0</v>
      </c>
      <c r="FK166" s="723"/>
      <c r="FL166" s="629">
        <f>IF(FL164=0,0,FL165/FL164)*100</f>
        <v>0</v>
      </c>
      <c r="FM166" s="629">
        <f>IF(FM164=0,0,FM165/FM164)*100</f>
        <v>0</v>
      </c>
      <c r="FN166" s="723"/>
      <c r="FO166" s="629">
        <f>IF(FO164=0,0,FO165/FO164)*100</f>
        <v>0</v>
      </c>
      <c r="FP166" s="629">
        <f>IF(FP164=0,0,FP165/FP164)*100</f>
        <v>0</v>
      </c>
      <c r="FQ166" s="723"/>
      <c r="FR166" s="629">
        <f>IF(FR164=0,0,FR165/FR164)*100</f>
        <v>0</v>
      </c>
      <c r="FS166" s="629">
        <f>IF(FS164=0,0,FS165/FS164)*100</f>
        <v>0</v>
      </c>
      <c r="FT166" s="723"/>
      <c r="FU166" s="629">
        <f>IF(FU164=0,0,FU165/FU164)*100</f>
        <v>0</v>
      </c>
      <c r="FV166" s="629">
        <f>IF(FV164=0,0,FV165/FV164)*100</f>
        <v>0</v>
      </c>
      <c r="FW166" s="723"/>
      <c r="FX166" s="219"/>
      <c r="FZ166" s="700" t="s">
        <v>1645</v>
      </c>
    </row>
    <row r="167" spans="1:186" ht="14.25" customHeight="1">
      <c r="A167" s="78"/>
      <c r="B167" s="622" t="b" cm="1">
        <f t="array" ref="B167">B166</f>
        <v>1</v>
      </c>
      <c r="C167" s="78"/>
      <c r="D167" s="78"/>
      <c r="E167" s="473">
        <v>15</v>
      </c>
      <c r="F167" s="3" t="str" cm="1">
        <f t="array" aca="1" ref="F167" ca="1">OFFSET(E167,-1,1)</f>
        <v>2</v>
      </c>
      <c r="G167" s="44" t="s">
        <v>1646</v>
      </c>
      <c r="H167" s="78" t="s">
        <v>468</v>
      </c>
      <c r="I167" s="78" t="s">
        <v>1644</v>
      </c>
      <c r="J167" s="78"/>
      <c r="K167" s="78"/>
      <c r="L167" s="78"/>
      <c r="M167" s="78"/>
      <c r="N167" s="78"/>
      <c r="O167" s="78"/>
      <c r="P167" s="78"/>
      <c r="Q167" s="603"/>
      <c r="R167" s="78"/>
      <c r="S167" s="78"/>
      <c r="T167" s="365" t="b" cm="1">
        <f t="array" ref="T167">T166</f>
        <v>1</v>
      </c>
      <c r="U167" s="78"/>
      <c r="V167" s="78"/>
      <c r="W167" s="78"/>
      <c r="X167" s="1094"/>
      <c r="Y167" s="78"/>
      <c r="Z167" s="1064"/>
      <c r="AA167" s="78"/>
      <c r="AB167" s="73" t="s">
        <v>1647</v>
      </c>
      <c r="AC167" s="31" t="s">
        <v>534</v>
      </c>
      <c r="AD167" s="210">
        <f ca="1">IF(AND(method_reg="Метод индексации",god&lt;&gt;first_year),SUMIFS(INDEX('Калькуляция (МИ корр)'!$AJ$25:$BC$459,,MATCH(AD$8,'Калькуляция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(МИ)'!$AJ$25:$BC$459,,MATCH(AD$8,'Калькуляция (МИ)'!$AJ$8:$BC$8,0)),'Калькуляция (МИ)'!$F$25:$F$459,$F167,'Калькуляция (МИ)'!$G$25:$G$459,$G167))))</f>
        <v>600.45699999999999</v>
      </c>
      <c r="AE167" s="210">
        <f ca="1">IF(AND(method_reg="Метод индексации",god&lt;&gt;first_year),SUMIFS(INDEX('Калькуляция (МИ корр)'!$AJ$25:$BC$459,,MATCH(AE$8,'Калькуляция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(МИ)'!$AJ$25:$BC$459,,MATCH(AE$8,'Калькуляция (МИ)'!$AJ$8:$BC$8,0)),'Калькуляция (МИ)'!$F$25:$F$459,$F167,'Калькуляция (МИ)'!$G$25:$G$459,$G167))))</f>
        <v>597.18100000000004</v>
      </c>
      <c r="AF167" s="724">
        <f ca="1">IF(AD167=0,0,(AE167-AD167)/AD167*100)</f>
        <v>-0.54558444651323135</v>
      </c>
      <c r="AG167" s="849">
        <f ca="1">IF(AND(method_reg="Метод индексации",god&lt;&gt;first_year),SUMIFS(INDEX('Калькуляция (МИ корр)'!$AJ$25:$BC$459,,MATCH(AG$8,'Калькуляция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(МИ)'!$AJ$25:$BC$459,,MATCH(AG$8,'Калькуляция (МИ)'!$AJ$8:$BC$8,0)),'Калькуляция (МИ)'!$F$25:$F$459,$F167,'Калькуляция (МИ)'!$G$25:$G$459,$G167))))</f>
        <v>0</v>
      </c>
      <c r="AH167" s="849">
        <f ca="1">IF(AND(method_reg="Метод индексации",god&lt;&gt;first_year),SUMIFS(INDEX('Калькуляция (МИ корр)'!$AJ$25:$BC$459,,MATCH(AH$8,'Калькуляция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(МИ)'!$AJ$25:$BC$459,,MATCH(AH$8,'Калькуляция (МИ)'!$AJ$8:$BC$8,0)),'Калькуляция (МИ)'!$F$25:$F$459,$F167,'Калькуляция (МИ)'!$G$25:$G$459,$G167))))</f>
        <v>0</v>
      </c>
      <c r="AI167" s="724">
        <f ca="1">IF(AG167=0,0,(AH167-AG167)/AG167*100)</f>
        <v>0</v>
      </c>
      <c r="AJ167" s="849">
        <f ca="1">IF(AND(method_reg="Метод индексации",god&lt;&gt;first_year),SUMIFS(INDEX('Калькуляция (МИ корр)'!$AJ$25:$BC$459,,MATCH(AJ$8,'Калькуляция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(МИ)'!$AJ$25:$BC$459,,MATCH(AJ$8,'Калькуляция (МИ)'!$AJ$8:$BC$8,0)),'Калькуляция (МИ)'!$F$25:$F$459,$F167,'Калькуляция (МИ)'!$G$25:$G$459,$G167))))</f>
        <v>0</v>
      </c>
      <c r="AK167" s="849">
        <f ca="1">IF(AND(method_reg="Метод индексации",god&lt;&gt;first_year),SUMIFS(INDEX('Калькуляция (МИ корр)'!$AJ$25:$BC$459,,MATCH(AK$8,'Калькуляция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(МИ)'!$AJ$25:$BC$459,,MATCH(AK$8,'Калькуляция (МИ)'!$AJ$8:$BC$8,0)),'Калькуляция (МИ)'!$F$25:$F$459,$F167,'Калькуляция (МИ)'!$G$25:$G$459,$G167))))</f>
        <v>0</v>
      </c>
      <c r="AL167" s="724">
        <f ca="1">IF(AJ167=0,0,(AK167-AJ167)/AJ167*100)</f>
        <v>0</v>
      </c>
      <c r="AM167" s="849">
        <f ca="1">IF(AND(method_reg="Метод индексации",god&lt;&gt;first_year),SUMIFS(INDEX('Калькуляция (МИ корр)'!$AJ$25:$BC$459,,MATCH(AM$8,'Калькуляция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(МИ)'!$AJ$25:$BC$459,,MATCH(AM$8,'Калькуляция (МИ)'!$AJ$8:$BC$8,0)),'Калькуляция (МИ)'!$F$25:$F$459,$F167,'Калькуляция (МИ)'!$G$25:$G$459,$G167))))</f>
        <v>0</v>
      </c>
      <c r="AN167" s="849">
        <f ca="1">IF(AND(method_reg="Метод индексации",god&lt;&gt;first_year),SUMIFS(INDEX('Калькуляция (МИ корр)'!$AJ$25:$BC$459,,MATCH(AN$8,'Калькуляция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(МИ)'!$AJ$25:$BC$459,,MATCH(AN$8,'Калькуляция (МИ)'!$AJ$8:$BC$8,0)),'Калькуляция (МИ)'!$F$25:$F$459,$F167,'Калькуляция (МИ)'!$G$25:$G$459,$G167))))</f>
        <v>0</v>
      </c>
      <c r="AO167" s="724">
        <f ca="1">IF(AM167=0,0,(AN167-AM167)/AM167*100)</f>
        <v>0</v>
      </c>
      <c r="AP167" s="849">
        <f ca="1">IF(AND(method_reg="Метод индексации",god&lt;&gt;first_year),SUMIFS(INDEX('Калькуляция (МИ корр)'!$AJ$25:$BC$459,,MATCH(AP$8,'Калькуляция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(МИ)'!$AJ$25:$BC$459,,MATCH(AP$8,'Калькуляция (МИ)'!$AJ$8:$BC$8,0)),'Калькуляция (МИ)'!$F$25:$F$459,$F167,'Калькуляция (МИ)'!$G$25:$G$459,$G167))))</f>
        <v>0</v>
      </c>
      <c r="AQ167" s="849">
        <f ca="1">IF(AND(method_reg="Метод индексации",god&lt;&gt;first_year),SUMIFS(INDEX('Калькуляция (МИ корр)'!$AJ$25:$BC$459,,MATCH(AQ$8,'Калькуляция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(МИ)'!$AJ$25:$BC$459,,MATCH(AQ$8,'Калькуляция (МИ)'!$AJ$8:$BC$8,0)),'Калькуляция (МИ)'!$F$25:$F$459,$F167,'Калькуляция (МИ)'!$G$25:$G$459,$G167))))</f>
        <v>0</v>
      </c>
      <c r="AR167" s="724">
        <f ca="1">IF(AP167=0,0,(AQ167-AP167)/AP167*100)</f>
        <v>0</v>
      </c>
      <c r="AS167" s="849">
        <f ca="1">IF(AND(method_reg="Метод индексации",god&lt;&gt;first_year),SUMIFS(INDEX('Калькуляция (МИ корр)'!$AJ$25:$BC$459,,MATCH(AS$8,'Калькуляция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(МИ)'!$AJ$25:$BC$459,,MATCH(AS$8,'Калькуляция (МИ)'!$AJ$8:$BC$8,0)),'Калькуляция (МИ)'!$F$25:$F$459,$F167,'Калькуляция (МИ)'!$G$25:$G$459,$G167))))</f>
        <v>0</v>
      </c>
      <c r="AT167" s="849">
        <f ca="1">IF(AND(method_reg="Метод индексации",god&lt;&gt;first_year),SUMIFS(INDEX('Калькуляция (МИ корр)'!$AJ$25:$BC$459,,MATCH(AT$8,'Калькуляция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(МИ)'!$AJ$25:$BC$459,,MATCH(AT$8,'Калькуляция (МИ)'!$AJ$8:$BC$8,0)),'Калькуляция (МИ)'!$F$25:$F$459,$F167,'Калькуляция (МИ)'!$G$25:$G$459,$G167))))</f>
        <v>0</v>
      </c>
      <c r="AU167" s="724">
        <f ca="1">IF(AS167=0,0,(AT167-AS167)/AS167*100)</f>
        <v>0</v>
      </c>
      <c r="AV167" s="849">
        <f ca="1">IF(AND(method_reg="Метод индексации",god&lt;&gt;first_year),SUMIFS(INDEX('Калькуляция (МИ корр)'!$AJ$25:$BC$459,,MATCH(AV$8,'Калькуляция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(МИ)'!$AJ$25:$BC$459,,MATCH(AV$8,'Калькуляция (МИ)'!$AJ$8:$BC$8,0)),'Калькуляция (МИ)'!$F$25:$F$459,$F167,'Калькуляция (МИ)'!$G$25:$G$459,$G167))))</f>
        <v>0</v>
      </c>
      <c r="AW167" s="849">
        <f ca="1">IF(AND(method_reg="Метод индексации",god&lt;&gt;first_year),SUMIFS(INDEX('Калькуляция (МИ корр)'!$AJ$25:$BC$459,,MATCH(AW$8,'Калькуляция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(МИ)'!$AJ$25:$BC$459,,MATCH(AW$8,'Калькуляция (МИ)'!$AJ$8:$BC$8,0)),'Калькуляция (МИ)'!$F$25:$F$459,$F167,'Калькуляция (МИ)'!$G$25:$G$459,$G167))))</f>
        <v>0</v>
      </c>
      <c r="AX167" s="724">
        <f ca="1">IF(AV167=0,0,(AW167-AV167)/AV167*100)</f>
        <v>0</v>
      </c>
      <c r="AY167" s="849">
        <f ca="1">IF(AND(method_reg="Метод индексации",god&lt;&gt;first_year),SUMIFS(INDEX('Калькуляция (МИ корр)'!$AJ$25:$BC$459,,MATCH(AY$8,'Калькуляция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(МИ)'!$AJ$25:$BC$459,,MATCH(AY$8,'Калькуляция (МИ)'!$AJ$8:$BC$8,0)),'Калькуляция (МИ)'!$F$25:$F$459,$F167,'Калькуляция (МИ)'!$G$25:$G$459,$G167))))</f>
        <v>0</v>
      </c>
      <c r="AZ167" s="849">
        <f ca="1">IF(AND(method_reg="Метод индексации",god&lt;&gt;first_year),SUMIFS(INDEX('Калькуляция (МИ корр)'!$AJ$25:$BC$459,,MATCH(AZ$8,'Калькуляция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(МИ)'!$AJ$25:$BC$459,,MATCH(AZ$8,'Калькуляция (МИ)'!$AJ$8:$BC$8,0)),'Калькуляция (МИ)'!$F$25:$F$459,$F167,'Калькуляция (МИ)'!$G$25:$G$459,$G167))))</f>
        <v>0</v>
      </c>
      <c r="BA167" s="724">
        <f ca="1">IF(AY167=0,0,(AZ167-AY167)/AY167*100)</f>
        <v>0</v>
      </c>
      <c r="BB167" s="849">
        <f ca="1">IF(AND(method_reg="Метод индексации",god&lt;&gt;first_year),SUMIFS(INDEX('Калькуляция (МИ корр)'!$AJ$25:$BC$459,,MATCH(BB$8,'Калькуляция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(МИ)'!$AJ$25:$BC$459,,MATCH(BB$8,'Калькуляция (МИ)'!$AJ$8:$BC$8,0)),'Калькуляция (МИ)'!$F$25:$F$459,$F167,'Калькуляция (МИ)'!$G$25:$G$459,$G167))))</f>
        <v>0</v>
      </c>
      <c r="BC167" s="849">
        <f ca="1">IF(AND(method_reg="Метод индексации",god&lt;&gt;first_year),SUMIFS(INDEX('Калькуляция (МИ корр)'!$AJ$25:$BC$459,,MATCH(BC$8,'Калькуляция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(МИ)'!$AJ$25:$BC$459,,MATCH(BC$8,'Калькуляция (МИ)'!$AJ$8:$BC$8,0)),'Калькуляция (МИ)'!$F$25:$F$459,$F167,'Калькуляция (МИ)'!$G$25:$G$459,$G167))))</f>
        <v>0</v>
      </c>
      <c r="BD167" s="724">
        <f ca="1">IF(BB167=0,0,(BC167-BB167)/BB167*100)</f>
        <v>0</v>
      </c>
      <c r="BE167" s="849">
        <f ca="1">IF(AND(method_reg="Метод индексации",god&lt;&gt;first_year),SUMIFS(INDEX('Калькуляция (МИ корр)'!$AJ$25:$BC$459,,MATCH(BE$8,'Калькуляция (МИ корр)'!$AJ$8:$BC$8,0)),'Калькуляция (МИ корр)'!$F$25:$F$459,$F167,'Калькуляция (МИ корр)'!$G$25:$G$459,$G167),IF(method_reg="Метод экономически обоснованных расходов",SUMIFS('Калькуляция (МЭОР)'!$AJ$25:$AJ$282,'Калькуляция (МЭОР)'!$F$25:$F$282,$F167,'Калькуляция (МЭОР)'!$G$25:$G$282,$G167),IF(method_reg="Метод сравнения аналогов",SUMIFS('Калькуляция (МСА)'!$AE$25:$AE$84,'Калькуляция (МСА)'!$F$25:$F$84,$F167,'Калькуляция (МСА)'!$G$25:$G$84,$G167),SUMIFS(INDEX('Калькуляция (МИ)'!$AJ$25:$BC$459,,MATCH(BE$8,'Калькуляция (МИ)'!$AJ$8:$BC$8,0)),'Калькуляция (МИ)'!$F$25:$F$459,$F167,'Калькуляция (МИ)'!$G$25:$G$459,$G167))))</f>
        <v>0</v>
      </c>
      <c r="BF167" s="849">
        <f ca="1">IF(AND(method_reg="Метод индексации",god&lt;&gt;first_year),SUMIFS(INDEX('Калькуляция (МИ корр)'!$AJ$25:$BC$459,,MATCH(BF$8,'Калькуляция (МИ корр)'!$AJ$8:$BC$8,0)),'Калькуляция (МИ корр)'!$F$25:$F$459,$F167,'Калькуляция (МИ корр)'!$G$25:$G$459,$G167),IF(method_reg="Метод экономически обоснованных расходов",SUMIFS('Калькуляция (МЭОР)'!$AK$25:$AK$282,'Калькуляция (МЭОР)'!$F$25:$F$282,$F167,'Калькуляция (МЭОР)'!$G$25:$G$282,$G167),IF(method_reg="Метод сравнения аналогов",SUMIFS('Калькуляция (МСА)'!$AF$25:$AF$84,'Калькуляция (МСА)'!$F$25:$F$84,$F167,'Калькуляция (МСА)'!$G$25:$G$84,$G167),SUMIFS(INDEX('Калькуляция (МИ)'!$AJ$25:$BC$459,,MATCH(BF$8,'Калькуляция (МИ)'!$AJ$8:$BC$8,0)),'Калькуляция (МИ)'!$F$25:$F$459,$F167,'Калькуляция (МИ)'!$G$25:$G$459,$G167))))</f>
        <v>0</v>
      </c>
      <c r="BG167" s="724">
        <f ca="1">IF(BE167=0,0,(BF167-BE167)/BE167*100)</f>
        <v>0</v>
      </c>
      <c r="BH167" s="849"/>
      <c r="BI167" s="849"/>
      <c r="BJ167" s="724">
        <f>IF(BH167=0,0,(BI167-BH167)/BH167*100)</f>
        <v>0</v>
      </c>
      <c r="BK167" s="849"/>
      <c r="BL167" s="849"/>
      <c r="BM167" s="724">
        <f>IF(BK167=0,0,(BL167-BK167)/BK167*100)</f>
        <v>0</v>
      </c>
      <c r="BN167" s="849"/>
      <c r="BO167" s="849"/>
      <c r="BP167" s="724">
        <f>IF(BN167=0,0,(BO167-BN167)/BN167*100)</f>
        <v>0</v>
      </c>
      <c r="BQ167" s="849"/>
      <c r="BR167" s="849"/>
      <c r="BS167" s="724">
        <f>IF(BQ167=0,0,(BR167-BQ167)/BQ167*100)</f>
        <v>0</v>
      </c>
      <c r="BT167" s="849"/>
      <c r="BU167" s="849"/>
      <c r="BV167" s="724">
        <f>IF(BT167=0,0,(BU167-BT167)/BT167*100)</f>
        <v>0</v>
      </c>
      <c r="BW167" s="849"/>
      <c r="BX167" s="849"/>
      <c r="BY167" s="724">
        <f>IF(BW167=0,0,(BX167-BW167)/BW167*100)</f>
        <v>0</v>
      </c>
      <c r="BZ167" s="849"/>
      <c r="CA167" s="849"/>
      <c r="CB167" s="724">
        <f>IF(BZ167=0,0,(CA167-BZ167)/BZ167*100)</f>
        <v>0</v>
      </c>
      <c r="CC167" s="849"/>
      <c r="CD167" s="849"/>
      <c r="CE167" s="724">
        <f>IF(CC167=0,0,(CD167-CC167)/CC167*100)</f>
        <v>0</v>
      </c>
      <c r="CF167" s="849"/>
      <c r="CG167" s="849"/>
      <c r="CH167" s="724">
        <f>IF(CF167=0,0,(CG167-CF167)/CF167*100)</f>
        <v>0</v>
      </c>
      <c r="CI167" s="849"/>
      <c r="CJ167" s="849"/>
      <c r="CK167" s="724">
        <f>IF(CI167=0,0,(CJ167-CI167)/CI167*100)</f>
        <v>0</v>
      </c>
      <c r="CL167" s="849"/>
      <c r="CM167" s="849"/>
      <c r="CN167" s="724">
        <f>IF(CL167=0,0,(CM167-CL167)/CL167*100)</f>
        <v>0</v>
      </c>
      <c r="CO167" s="849"/>
      <c r="CP167" s="849"/>
      <c r="CQ167" s="724">
        <f>IF(CO167=0,0,(CP167-CO167)/CO167*100)</f>
        <v>0</v>
      </c>
      <c r="CR167" s="849"/>
      <c r="CS167" s="849"/>
      <c r="CT167" s="724">
        <f>IF(CR167=0,0,(CS167-CR167)/CR167*100)</f>
        <v>0</v>
      </c>
      <c r="CU167" s="849"/>
      <c r="CV167" s="849"/>
      <c r="CW167" s="724">
        <f>IF(CU167=0,0,(CV167-CU167)/CU167*100)</f>
        <v>0</v>
      </c>
      <c r="CX167" s="849"/>
      <c r="CY167" s="849"/>
      <c r="CZ167" s="724">
        <f>IF(CX167=0,0,(CY167-CX167)/CX167*100)</f>
        <v>0</v>
      </c>
      <c r="DA167" s="849"/>
      <c r="DB167" s="849"/>
      <c r="DC167" s="724">
        <f>IF(DA167=0,0,(DB167-DA167)/DA167*100)</f>
        <v>0</v>
      </c>
      <c r="DD167" s="849"/>
      <c r="DE167" s="849"/>
      <c r="DF167" s="724">
        <f>IF(DD167=0,0,(DE167-DD167)/DD167*100)</f>
        <v>0</v>
      </c>
      <c r="DG167" s="849"/>
      <c r="DH167" s="849"/>
      <c r="DI167" s="724">
        <f>IF(DG167=0,0,(DH167-DG167)/DG167*100)</f>
        <v>0</v>
      </c>
      <c r="DJ167" s="849"/>
      <c r="DK167" s="849"/>
      <c r="DL167" s="724">
        <f>IF(DJ167=0,0,(DK167-DJ167)/DJ167*100)</f>
        <v>0</v>
      </c>
      <c r="DM167" s="849"/>
      <c r="DN167" s="849"/>
      <c r="DO167" s="724">
        <f>IF(DM167=0,0,(DN167-DM167)/DM167*100)</f>
        <v>0</v>
      </c>
      <c r="DP167" s="849"/>
      <c r="DQ167" s="849"/>
      <c r="DR167" s="724">
        <f>IF(DP167=0,0,(DQ167-DP167)/DP167*100)</f>
        <v>0</v>
      </c>
      <c r="DS167" s="849"/>
      <c r="DT167" s="849"/>
      <c r="DU167" s="724">
        <f>IF(DS167=0,0,(DT167-DS167)/DS167*100)</f>
        <v>0</v>
      </c>
      <c r="DV167" s="849"/>
      <c r="DW167" s="849"/>
      <c r="DX167" s="724">
        <f>IF(DV167=0,0,(DW167-DV167)/DV167*100)</f>
        <v>0</v>
      </c>
      <c r="DY167" s="849"/>
      <c r="DZ167" s="849"/>
      <c r="EA167" s="724">
        <f>IF(DY167=0,0,(DZ167-DY167)/DY167*100)</f>
        <v>0</v>
      </c>
      <c r="EB167" s="849"/>
      <c r="EC167" s="849"/>
      <c r="ED167" s="724">
        <f>IF(EB167=0,0,(EC167-EB167)/EB167*100)</f>
        <v>0</v>
      </c>
      <c r="EE167" s="849"/>
      <c r="EF167" s="849"/>
      <c r="EG167" s="724">
        <f>IF(EE167=0,0,(EF167-EE167)/EE167*100)</f>
        <v>0</v>
      </c>
      <c r="EH167" s="849"/>
      <c r="EI167" s="849"/>
      <c r="EJ167" s="724">
        <f>IF(EH167=0,0,(EI167-EH167)/EH167*100)</f>
        <v>0</v>
      </c>
      <c r="EK167" s="849"/>
      <c r="EL167" s="849"/>
      <c r="EM167" s="724">
        <f>IF(EK167=0,0,(EL167-EK167)/EK167*100)</f>
        <v>0</v>
      </c>
      <c r="EN167" s="849"/>
      <c r="EO167" s="849"/>
      <c r="EP167" s="724">
        <f>IF(EN167=0,0,(EO167-EN167)/EN167*100)</f>
        <v>0</v>
      </c>
      <c r="EQ167" s="849"/>
      <c r="ER167" s="849"/>
      <c r="ES167" s="724">
        <f>IF(EQ167=0,0,(ER167-EQ167)/EQ167*100)</f>
        <v>0</v>
      </c>
      <c r="ET167" s="849"/>
      <c r="EU167" s="849"/>
      <c r="EV167" s="724">
        <f>IF(ET167=0,0,(EU167-ET167)/ET167*100)</f>
        <v>0</v>
      </c>
      <c r="EW167" s="849"/>
      <c r="EX167" s="849"/>
      <c r="EY167" s="724">
        <f>IF(EW167=0,0,(EX167-EW167)/EW167*100)</f>
        <v>0</v>
      </c>
      <c r="EZ167" s="849"/>
      <c r="FA167" s="849"/>
      <c r="FB167" s="724">
        <f>IF(EZ167=0,0,(FA167-EZ167)/EZ167*100)</f>
        <v>0</v>
      </c>
      <c r="FC167" s="849"/>
      <c r="FD167" s="849"/>
      <c r="FE167" s="724">
        <f>IF(FC167=0,0,(FD167-FC167)/FC167*100)</f>
        <v>0</v>
      </c>
      <c r="FF167" s="849"/>
      <c r="FG167" s="849"/>
      <c r="FH167" s="724">
        <f>IF(FF167=0,0,(FG167-FF167)/FF167*100)</f>
        <v>0</v>
      </c>
      <c r="FI167" s="849"/>
      <c r="FJ167" s="849"/>
      <c r="FK167" s="724">
        <f>IF(FI167=0,0,(FJ167-FI167)/FI167*100)</f>
        <v>0</v>
      </c>
      <c r="FL167" s="849"/>
      <c r="FM167" s="849"/>
      <c r="FN167" s="724">
        <f>IF(FL167=0,0,(FM167-FL167)/FL167*100)</f>
        <v>0</v>
      </c>
      <c r="FO167" s="849"/>
      <c r="FP167" s="849"/>
      <c r="FQ167" s="724">
        <f>IF(FO167=0,0,(FP167-FO167)/FO167*100)</f>
        <v>0</v>
      </c>
      <c r="FR167" s="849"/>
      <c r="FS167" s="849"/>
      <c r="FT167" s="724">
        <f>IF(FR167=0,0,(FS167-FR167)/FR167*100)</f>
        <v>0</v>
      </c>
      <c r="FU167" s="849"/>
      <c r="FV167" s="849"/>
      <c r="FW167" s="724">
        <f>IF(FU167=0,0,(FV167-FU167)/FU167*100)</f>
        <v>0</v>
      </c>
      <c r="FX167" s="219"/>
      <c r="FZ167" s="700" t="s">
        <v>1648</v>
      </c>
    </row>
    <row r="168" spans="1:186" ht="18" hidden="1" customHeight="1">
      <c r="A168" s="78"/>
      <c r="B168" s="622" t="b" cm="1">
        <f t="array" ref="B168">B167</f>
        <v>1</v>
      </c>
      <c r="C168" s="78"/>
      <c r="D168" s="78"/>
      <c r="E168" s="473">
        <v>18.75</v>
      </c>
      <c r="F168" s="3" t="str" cm="1">
        <f t="array" aca="1" ref="F168" ca="1">OFFSET(E168,-1,1)</f>
        <v>2</v>
      </c>
      <c r="G168" s="78"/>
      <c r="H168" s="78" t="s">
        <v>461</v>
      </c>
      <c r="I168" s="78" cm="1">
        <f t="array" ref="I168">AB168</f>
        <v>0</v>
      </c>
      <c r="J168" s="78"/>
      <c r="K168" s="78"/>
      <c r="L168" s="78"/>
      <c r="M168" s="78"/>
      <c r="N168" s="78"/>
      <c r="O168" s="78"/>
      <c r="P168" s="78"/>
      <c r="Q168" s="603"/>
      <c r="R168" s="78"/>
      <c r="S168" s="78"/>
      <c r="T168" s="365" t="b">
        <f ca="1">AND(F168&gt;0,Y168&gt;0)</f>
        <v>0</v>
      </c>
      <c r="U168" s="78"/>
      <c r="V168" s="78"/>
      <c r="W168" s="78" t="s">
        <v>173</v>
      </c>
      <c r="X168" s="1094"/>
      <c r="Y168" s="1094">
        <v>0</v>
      </c>
      <c r="Z168" s="1064"/>
      <c r="AA168" s="1049" t="s">
        <v>174</v>
      </c>
      <c r="AB168" s="944"/>
      <c r="AC168" s="31" t="s">
        <v>1624</v>
      </c>
      <c r="AD168" s="833"/>
      <c r="AE168" s="945"/>
      <c r="AF168" s="723">
        <f>IF(AD168=0,0,(AE168-AD168)/AD168*100)</f>
        <v>0</v>
      </c>
      <c r="AG168" s="833"/>
      <c r="AH168" s="945"/>
      <c r="AI168" s="723">
        <f>IF(AG168=0,0,(AH168-AG168)/AG168*100)</f>
        <v>0</v>
      </c>
      <c r="AJ168" s="833"/>
      <c r="AK168" s="945"/>
      <c r="AL168" s="723">
        <f>IF(AJ168=0,0,(AK168-AJ168)/AJ168*100)</f>
        <v>0</v>
      </c>
      <c r="AM168" s="833"/>
      <c r="AN168" s="945"/>
      <c r="AO168" s="723">
        <f>IF(AM168=0,0,(AN168-AM168)/AM168*100)</f>
        <v>0</v>
      </c>
      <c r="AP168" s="833"/>
      <c r="AQ168" s="945"/>
      <c r="AR168" s="723">
        <f>IF(AP168=0,0,(AQ168-AP168)/AP168*100)</f>
        <v>0</v>
      </c>
      <c r="AS168" s="833"/>
      <c r="AT168" s="945"/>
      <c r="AU168" s="723">
        <f>IF(AS168=0,0,(AT168-AS168)/AS168*100)</f>
        <v>0</v>
      </c>
      <c r="AV168" s="833"/>
      <c r="AW168" s="945"/>
      <c r="AX168" s="723">
        <f>IF(AV168=0,0,(AW168-AV168)/AV168*100)</f>
        <v>0</v>
      </c>
      <c r="AY168" s="833"/>
      <c r="AZ168" s="945"/>
      <c r="BA168" s="723">
        <f>IF(AY168=0,0,(AZ168-AY168)/AY168*100)</f>
        <v>0</v>
      </c>
      <c r="BB168" s="833"/>
      <c r="BC168" s="945"/>
      <c r="BD168" s="723">
        <f>IF(BB168=0,0,(BC168-BB168)/BB168*100)</f>
        <v>0</v>
      </c>
      <c r="BE168" s="833"/>
      <c r="BF168" s="945"/>
      <c r="BG168" s="723">
        <f>IF(BE168=0,0,(BF168-BE168)/BE168*100)</f>
        <v>0</v>
      </c>
      <c r="BH168" s="833"/>
      <c r="BI168" s="945"/>
      <c r="BJ168" s="723">
        <f>IF(BH168=0,0,(BI168-BH168)/BH168*100)</f>
        <v>0</v>
      </c>
      <c r="BK168" s="833"/>
      <c r="BL168" s="945"/>
      <c r="BM168" s="723">
        <f>IF(BK168=0,0,(BL168-BK168)/BK168*100)</f>
        <v>0</v>
      </c>
      <c r="BN168" s="833"/>
      <c r="BO168" s="945"/>
      <c r="BP168" s="723">
        <f>IF(BN168=0,0,(BO168-BN168)/BN168*100)</f>
        <v>0</v>
      </c>
      <c r="BQ168" s="833"/>
      <c r="BR168" s="945"/>
      <c r="BS168" s="723">
        <f>IF(BQ168=0,0,(BR168-BQ168)/BQ168*100)</f>
        <v>0</v>
      </c>
      <c r="BT168" s="833"/>
      <c r="BU168" s="945"/>
      <c r="BV168" s="723">
        <f>IF(BT168=0,0,(BU168-BT168)/BT168*100)</f>
        <v>0</v>
      </c>
      <c r="BW168" s="833"/>
      <c r="BX168" s="945"/>
      <c r="BY168" s="723">
        <f>IF(BW168=0,0,(BX168-BW168)/BW168*100)</f>
        <v>0</v>
      </c>
      <c r="BZ168" s="833"/>
      <c r="CA168" s="945"/>
      <c r="CB168" s="723">
        <f>IF(BZ168=0,0,(CA168-BZ168)/BZ168*100)</f>
        <v>0</v>
      </c>
      <c r="CC168" s="833"/>
      <c r="CD168" s="945"/>
      <c r="CE168" s="723">
        <f>IF(CC168=0,0,(CD168-CC168)/CC168*100)</f>
        <v>0</v>
      </c>
      <c r="CF168" s="833"/>
      <c r="CG168" s="945"/>
      <c r="CH168" s="723">
        <f>IF(CF168=0,0,(CG168-CF168)/CF168*100)</f>
        <v>0</v>
      </c>
      <c r="CI168" s="833"/>
      <c r="CJ168" s="945"/>
      <c r="CK168" s="723">
        <f>IF(CI168=0,0,(CJ168-CI168)/CI168*100)</f>
        <v>0</v>
      </c>
      <c r="CL168" s="833"/>
      <c r="CM168" s="945"/>
      <c r="CN168" s="723">
        <f>IF(CL168=0,0,(CM168-CL168)/CL168*100)</f>
        <v>0</v>
      </c>
      <c r="CO168" s="833"/>
      <c r="CP168" s="945"/>
      <c r="CQ168" s="723">
        <f>IF(CO168=0,0,(CP168-CO168)/CO168*100)</f>
        <v>0</v>
      </c>
      <c r="CR168" s="833"/>
      <c r="CS168" s="945"/>
      <c r="CT168" s="723">
        <f>IF(CR168=0,0,(CS168-CR168)/CR168*100)</f>
        <v>0</v>
      </c>
      <c r="CU168" s="833"/>
      <c r="CV168" s="945"/>
      <c r="CW168" s="723">
        <f>IF(CU168=0,0,(CV168-CU168)/CU168*100)</f>
        <v>0</v>
      </c>
      <c r="CX168" s="833"/>
      <c r="CY168" s="945"/>
      <c r="CZ168" s="723">
        <f>IF(CX168=0,0,(CY168-CX168)/CX168*100)</f>
        <v>0</v>
      </c>
      <c r="DA168" s="833"/>
      <c r="DB168" s="945"/>
      <c r="DC168" s="723">
        <f>IF(DA168=0,0,(DB168-DA168)/DA168*100)</f>
        <v>0</v>
      </c>
      <c r="DD168" s="833"/>
      <c r="DE168" s="945"/>
      <c r="DF168" s="723">
        <f>IF(DD168=0,0,(DE168-DD168)/DD168*100)</f>
        <v>0</v>
      </c>
      <c r="DG168" s="833"/>
      <c r="DH168" s="945"/>
      <c r="DI168" s="723">
        <f>IF(DG168=0,0,(DH168-DG168)/DG168*100)</f>
        <v>0</v>
      </c>
      <c r="DJ168" s="833"/>
      <c r="DK168" s="945"/>
      <c r="DL168" s="723">
        <f>IF(DJ168=0,0,(DK168-DJ168)/DJ168*100)</f>
        <v>0</v>
      </c>
      <c r="DM168" s="833"/>
      <c r="DN168" s="945"/>
      <c r="DO168" s="723">
        <f>IF(DM168=0,0,(DN168-DM168)/DM168*100)</f>
        <v>0</v>
      </c>
      <c r="DP168" s="833"/>
      <c r="DQ168" s="945"/>
      <c r="DR168" s="723">
        <f>IF(DP168=0,0,(DQ168-DP168)/DP168*100)</f>
        <v>0</v>
      </c>
      <c r="DS168" s="833"/>
      <c r="DT168" s="945"/>
      <c r="DU168" s="723">
        <f>IF(DS168=0,0,(DT168-DS168)/DS168*100)</f>
        <v>0</v>
      </c>
      <c r="DV168" s="833"/>
      <c r="DW168" s="945"/>
      <c r="DX168" s="723">
        <f>IF(DV168=0,0,(DW168-DV168)/DV168*100)</f>
        <v>0</v>
      </c>
      <c r="DY168" s="833"/>
      <c r="DZ168" s="945"/>
      <c r="EA168" s="723">
        <f>IF(DY168=0,0,(DZ168-DY168)/DY168*100)</f>
        <v>0</v>
      </c>
      <c r="EB168" s="833"/>
      <c r="EC168" s="945"/>
      <c r="ED168" s="723">
        <f>IF(EB168=0,0,(EC168-EB168)/EB168*100)</f>
        <v>0</v>
      </c>
      <c r="EE168" s="833"/>
      <c r="EF168" s="945"/>
      <c r="EG168" s="723">
        <f>IF(EE168=0,0,(EF168-EE168)/EE168*100)</f>
        <v>0</v>
      </c>
      <c r="EH168" s="833"/>
      <c r="EI168" s="945"/>
      <c r="EJ168" s="723">
        <f>IF(EH168=0,0,(EI168-EH168)/EH168*100)</f>
        <v>0</v>
      </c>
      <c r="EK168" s="833"/>
      <c r="EL168" s="945"/>
      <c r="EM168" s="723">
        <f>IF(EK168=0,0,(EL168-EK168)/EK168*100)</f>
        <v>0</v>
      </c>
      <c r="EN168" s="833"/>
      <c r="EO168" s="945"/>
      <c r="EP168" s="723">
        <f>IF(EN168=0,0,(EO168-EN168)/EN168*100)</f>
        <v>0</v>
      </c>
      <c r="EQ168" s="833"/>
      <c r="ER168" s="945"/>
      <c r="ES168" s="723">
        <f>IF(EQ168=0,0,(ER168-EQ168)/EQ168*100)</f>
        <v>0</v>
      </c>
      <c r="ET168" s="833"/>
      <c r="EU168" s="945"/>
      <c r="EV168" s="723">
        <f>IF(ET168=0,0,(EU168-ET168)/ET168*100)</f>
        <v>0</v>
      </c>
      <c r="EW168" s="833"/>
      <c r="EX168" s="945"/>
      <c r="EY168" s="723">
        <f>IF(EW168=0,0,(EX168-EW168)/EW168*100)</f>
        <v>0</v>
      </c>
      <c r="EZ168" s="833"/>
      <c r="FA168" s="945"/>
      <c r="FB168" s="723">
        <f>IF(EZ168=0,0,(FA168-EZ168)/EZ168*100)</f>
        <v>0</v>
      </c>
      <c r="FC168" s="833"/>
      <c r="FD168" s="945"/>
      <c r="FE168" s="723">
        <f>IF(FC168=0,0,(FD168-FC168)/FC168*100)</f>
        <v>0</v>
      </c>
      <c r="FF168" s="833"/>
      <c r="FG168" s="945"/>
      <c r="FH168" s="723">
        <f>IF(FF168=0,0,(FG168-FF168)/FF168*100)</f>
        <v>0</v>
      </c>
      <c r="FI168" s="833"/>
      <c r="FJ168" s="945"/>
      <c r="FK168" s="723">
        <f>IF(FI168=0,0,(FJ168-FI168)/FI168*100)</f>
        <v>0</v>
      </c>
      <c r="FL168" s="833"/>
      <c r="FM168" s="945"/>
      <c r="FN168" s="723">
        <f>IF(FL168=0,0,(FM168-FL168)/FL168*100)</f>
        <v>0</v>
      </c>
      <c r="FO168" s="833"/>
      <c r="FP168" s="945"/>
      <c r="FQ168" s="723">
        <f>IF(FO168=0,0,(FP168-FO168)/FO168*100)</f>
        <v>0</v>
      </c>
      <c r="FR168" s="833"/>
      <c r="FS168" s="945"/>
      <c r="FT168" s="723">
        <f>IF(FR168=0,0,(FS168-FR168)/FR168*100)</f>
        <v>0</v>
      </c>
      <c r="FU168" s="833"/>
      <c r="FV168" s="945"/>
      <c r="FW168" s="723">
        <f>IF(FU168=0,0,(FV168-FU168)/FU168*100)</f>
        <v>0</v>
      </c>
      <c r="FX168" s="219"/>
      <c r="FZ168" s="700" t="s">
        <v>1649</v>
      </c>
      <c r="GA168" s="680" t="s">
        <v>1650</v>
      </c>
      <c r="GB168" s="680" cm="1">
        <f t="array" ref="GB168">AB168</f>
        <v>0</v>
      </c>
      <c r="GD168" s="472" t="b">
        <v>1</v>
      </c>
    </row>
    <row r="169" spans="1:186" ht="18.600000000000001" hidden="1" customHeight="1">
      <c r="A169" s="78"/>
      <c r="B169" s="622" t="b" cm="1">
        <f t="array" ref="B169">B168</f>
        <v>1</v>
      </c>
      <c r="C169" s="78"/>
      <c r="D169" s="78"/>
      <c r="E169" s="473">
        <v>19</v>
      </c>
      <c r="F169" s="3" t="str" cm="1">
        <f t="array" aca="1" ref="F169" ca="1">OFFSET(E169,-1,1)</f>
        <v>2</v>
      </c>
      <c r="G169" s="78"/>
      <c r="H169" s="78"/>
      <c r="I169" s="78"/>
      <c r="J169" s="78"/>
      <c r="K169" s="78"/>
      <c r="L169" s="78"/>
      <c r="M169" s="78"/>
      <c r="N169" s="78"/>
      <c r="O169" s="78"/>
      <c r="P169" s="78"/>
      <c r="Q169" s="603"/>
      <c r="R169" s="78"/>
      <c r="S169" s="78"/>
      <c r="T169" s="365" t="b" cm="1">
        <f t="array" aca="1" ref="T169" ca="1">T168</f>
        <v>0</v>
      </c>
      <c r="U169" s="78"/>
      <c r="V169" s="78"/>
      <c r="W169" s="78"/>
      <c r="X169" s="1094"/>
      <c r="Y169" s="1094"/>
      <c r="Z169" s="1064"/>
      <c r="AA169" s="1049"/>
      <c r="AB169" s="944"/>
      <c r="AC169" s="31" t="s">
        <v>1624</v>
      </c>
      <c r="AD169" s="833"/>
      <c r="AE169" s="945"/>
      <c r="AF169" s="723">
        <f>IF(AD169=0,0,(AE169-AD169)/AD169*100)</f>
        <v>0</v>
      </c>
      <c r="AG169" s="833"/>
      <c r="AH169" s="945"/>
      <c r="AI169" s="723">
        <f>IF(AG169=0,0,(AH169-AG169)/AG169*100)</f>
        <v>0</v>
      </c>
      <c r="AJ169" s="833"/>
      <c r="AK169" s="945"/>
      <c r="AL169" s="723">
        <f>IF(AJ169=0,0,(AK169-AJ169)/AJ169*100)</f>
        <v>0</v>
      </c>
      <c r="AM169" s="833"/>
      <c r="AN169" s="945"/>
      <c r="AO169" s="723">
        <f>IF(AM169=0,0,(AN169-AM169)/AM169*100)</f>
        <v>0</v>
      </c>
      <c r="AP169" s="833"/>
      <c r="AQ169" s="945"/>
      <c r="AR169" s="723">
        <f>IF(AP169=0,0,(AQ169-AP169)/AP169*100)</f>
        <v>0</v>
      </c>
      <c r="AS169" s="833"/>
      <c r="AT169" s="945"/>
      <c r="AU169" s="723">
        <f>IF(AS169=0,0,(AT169-AS169)/AS169*100)</f>
        <v>0</v>
      </c>
      <c r="AV169" s="833"/>
      <c r="AW169" s="945"/>
      <c r="AX169" s="723">
        <f>IF(AV169=0,0,(AW169-AV169)/AV169*100)</f>
        <v>0</v>
      </c>
      <c r="AY169" s="833"/>
      <c r="AZ169" s="945"/>
      <c r="BA169" s="723">
        <f>IF(AY169=0,0,(AZ169-AY169)/AY169*100)</f>
        <v>0</v>
      </c>
      <c r="BB169" s="833"/>
      <c r="BC169" s="945"/>
      <c r="BD169" s="723">
        <f>IF(BB169=0,0,(BC169-BB169)/BB169*100)</f>
        <v>0</v>
      </c>
      <c r="BE169" s="833"/>
      <c r="BF169" s="945"/>
      <c r="BG169" s="723">
        <f>IF(BE169=0,0,(BF169-BE169)/BE169*100)</f>
        <v>0</v>
      </c>
      <c r="BH169" s="833"/>
      <c r="BI169" s="945"/>
      <c r="BJ169" s="723">
        <f>IF(BH169=0,0,(BI169-BH169)/BH169*100)</f>
        <v>0</v>
      </c>
      <c r="BK169" s="833"/>
      <c r="BL169" s="945"/>
      <c r="BM169" s="723">
        <f>IF(BK169=0,0,(BL169-BK169)/BK169*100)</f>
        <v>0</v>
      </c>
      <c r="BN169" s="833"/>
      <c r="BO169" s="945"/>
      <c r="BP169" s="723">
        <f>IF(BN169=0,0,(BO169-BN169)/BN169*100)</f>
        <v>0</v>
      </c>
      <c r="BQ169" s="833"/>
      <c r="BR169" s="945"/>
      <c r="BS169" s="723">
        <f>IF(BQ169=0,0,(BR169-BQ169)/BQ169*100)</f>
        <v>0</v>
      </c>
      <c r="BT169" s="833"/>
      <c r="BU169" s="945"/>
      <c r="BV169" s="723">
        <f>IF(BT169=0,0,(BU169-BT169)/BT169*100)</f>
        <v>0</v>
      </c>
      <c r="BW169" s="833"/>
      <c r="BX169" s="945"/>
      <c r="BY169" s="723">
        <f>IF(BW169=0,0,(BX169-BW169)/BW169*100)</f>
        <v>0</v>
      </c>
      <c r="BZ169" s="833"/>
      <c r="CA169" s="945"/>
      <c r="CB169" s="723">
        <f>IF(BZ169=0,0,(CA169-BZ169)/BZ169*100)</f>
        <v>0</v>
      </c>
      <c r="CC169" s="833"/>
      <c r="CD169" s="945"/>
      <c r="CE169" s="723">
        <f>IF(CC169=0,0,(CD169-CC169)/CC169*100)</f>
        <v>0</v>
      </c>
      <c r="CF169" s="833"/>
      <c r="CG169" s="945"/>
      <c r="CH169" s="723">
        <f>IF(CF169=0,0,(CG169-CF169)/CF169*100)</f>
        <v>0</v>
      </c>
      <c r="CI169" s="833"/>
      <c r="CJ169" s="945"/>
      <c r="CK169" s="723">
        <f>IF(CI169=0,0,(CJ169-CI169)/CI169*100)</f>
        <v>0</v>
      </c>
      <c r="CL169" s="833"/>
      <c r="CM169" s="945"/>
      <c r="CN169" s="723">
        <f>IF(CL169=0,0,(CM169-CL169)/CL169*100)</f>
        <v>0</v>
      </c>
      <c r="CO169" s="833"/>
      <c r="CP169" s="945"/>
      <c r="CQ169" s="723">
        <f>IF(CO169=0,0,(CP169-CO169)/CO169*100)</f>
        <v>0</v>
      </c>
      <c r="CR169" s="833"/>
      <c r="CS169" s="945"/>
      <c r="CT169" s="723">
        <f>IF(CR169=0,0,(CS169-CR169)/CR169*100)</f>
        <v>0</v>
      </c>
      <c r="CU169" s="833"/>
      <c r="CV169" s="945"/>
      <c r="CW169" s="723">
        <f>IF(CU169=0,0,(CV169-CU169)/CU169*100)</f>
        <v>0</v>
      </c>
      <c r="CX169" s="833"/>
      <c r="CY169" s="945"/>
      <c r="CZ169" s="723">
        <f>IF(CX169=0,0,(CY169-CX169)/CX169*100)</f>
        <v>0</v>
      </c>
      <c r="DA169" s="833"/>
      <c r="DB169" s="945"/>
      <c r="DC169" s="723">
        <f>IF(DA169=0,0,(DB169-DA169)/DA169*100)</f>
        <v>0</v>
      </c>
      <c r="DD169" s="833"/>
      <c r="DE169" s="945"/>
      <c r="DF169" s="723">
        <f>IF(DD169=0,0,(DE169-DD169)/DD169*100)</f>
        <v>0</v>
      </c>
      <c r="DG169" s="833"/>
      <c r="DH169" s="945"/>
      <c r="DI169" s="723">
        <f>IF(DG169=0,0,(DH169-DG169)/DG169*100)</f>
        <v>0</v>
      </c>
      <c r="DJ169" s="833"/>
      <c r="DK169" s="945"/>
      <c r="DL169" s="723">
        <f>IF(DJ169=0,0,(DK169-DJ169)/DJ169*100)</f>
        <v>0</v>
      </c>
      <c r="DM169" s="833"/>
      <c r="DN169" s="945"/>
      <c r="DO169" s="723">
        <f>IF(DM169=0,0,(DN169-DM169)/DM169*100)</f>
        <v>0</v>
      </c>
      <c r="DP169" s="833"/>
      <c r="DQ169" s="945"/>
      <c r="DR169" s="723">
        <f>IF(DP169=0,0,(DQ169-DP169)/DP169*100)</f>
        <v>0</v>
      </c>
      <c r="DS169" s="833"/>
      <c r="DT169" s="945"/>
      <c r="DU169" s="723">
        <f>IF(DS169=0,0,(DT169-DS169)/DS169*100)</f>
        <v>0</v>
      </c>
      <c r="DV169" s="833"/>
      <c r="DW169" s="945"/>
      <c r="DX169" s="723">
        <f>IF(DV169=0,0,(DW169-DV169)/DV169*100)</f>
        <v>0</v>
      </c>
      <c r="DY169" s="833"/>
      <c r="DZ169" s="945"/>
      <c r="EA169" s="723">
        <f>IF(DY169=0,0,(DZ169-DY169)/DY169*100)</f>
        <v>0</v>
      </c>
      <c r="EB169" s="833"/>
      <c r="EC169" s="945"/>
      <c r="ED169" s="723">
        <f>IF(EB169=0,0,(EC169-EB169)/EB169*100)</f>
        <v>0</v>
      </c>
      <c r="EE169" s="833"/>
      <c r="EF169" s="945"/>
      <c r="EG169" s="723">
        <f>IF(EE169=0,0,(EF169-EE169)/EE169*100)</f>
        <v>0</v>
      </c>
      <c r="EH169" s="833"/>
      <c r="EI169" s="945"/>
      <c r="EJ169" s="723">
        <f>IF(EH169=0,0,(EI169-EH169)/EH169*100)</f>
        <v>0</v>
      </c>
      <c r="EK169" s="833"/>
      <c r="EL169" s="945"/>
      <c r="EM169" s="723">
        <f>IF(EK169=0,0,(EL169-EK169)/EK169*100)</f>
        <v>0</v>
      </c>
      <c r="EN169" s="833"/>
      <c r="EO169" s="945"/>
      <c r="EP169" s="723">
        <f>IF(EN169=0,0,(EO169-EN169)/EN169*100)</f>
        <v>0</v>
      </c>
      <c r="EQ169" s="833"/>
      <c r="ER169" s="945"/>
      <c r="ES169" s="723">
        <f>IF(EQ169=0,0,(ER169-EQ169)/EQ169*100)</f>
        <v>0</v>
      </c>
      <c r="ET169" s="833"/>
      <c r="EU169" s="945"/>
      <c r="EV169" s="723">
        <f>IF(ET169=0,0,(EU169-ET169)/ET169*100)</f>
        <v>0</v>
      </c>
      <c r="EW169" s="833"/>
      <c r="EX169" s="945"/>
      <c r="EY169" s="723">
        <f>IF(EW169=0,0,(EX169-EW169)/EW169*100)</f>
        <v>0</v>
      </c>
      <c r="EZ169" s="833"/>
      <c r="FA169" s="945"/>
      <c r="FB169" s="723">
        <f>IF(EZ169=0,0,(FA169-EZ169)/EZ169*100)</f>
        <v>0</v>
      </c>
      <c r="FC169" s="833"/>
      <c r="FD169" s="945"/>
      <c r="FE169" s="723">
        <f>IF(FC169=0,0,(FD169-FC169)/FC169*100)</f>
        <v>0</v>
      </c>
      <c r="FF169" s="833"/>
      <c r="FG169" s="945"/>
      <c r="FH169" s="723">
        <f>IF(FF169=0,0,(FG169-FF169)/FF169*100)</f>
        <v>0</v>
      </c>
      <c r="FI169" s="833"/>
      <c r="FJ169" s="945"/>
      <c r="FK169" s="723">
        <f>IF(FI169=0,0,(FJ169-FI169)/FI169*100)</f>
        <v>0</v>
      </c>
      <c r="FL169" s="833"/>
      <c r="FM169" s="945"/>
      <c r="FN169" s="723">
        <f>IF(FL169=0,0,(FM169-FL169)/FL169*100)</f>
        <v>0</v>
      </c>
      <c r="FO169" s="833"/>
      <c r="FP169" s="945"/>
      <c r="FQ169" s="723">
        <f>IF(FO169=0,0,(FP169-FO169)/FO169*100)</f>
        <v>0</v>
      </c>
      <c r="FR169" s="833"/>
      <c r="FS169" s="945"/>
      <c r="FT169" s="723">
        <f>IF(FR169=0,0,(FS169-FR169)/FR169*100)</f>
        <v>0</v>
      </c>
      <c r="FU169" s="833"/>
      <c r="FV169" s="945"/>
      <c r="FW169" s="723">
        <f>IF(FU169=0,0,(FV169-FU169)/FU169*100)</f>
        <v>0</v>
      </c>
      <c r="FZ169" s="680" t="s">
        <v>1651</v>
      </c>
      <c r="GA169" s="680" t="s">
        <v>1650</v>
      </c>
      <c r="GB169" s="680" cm="1">
        <f t="array" ref="GB169">GB168</f>
        <v>0</v>
      </c>
    </row>
    <row r="170" spans="1:186" ht="14.25" hidden="1" customHeight="1">
      <c r="A170" s="78"/>
      <c r="B170" s="622" t="b" cm="1">
        <f t="array" ref="B170">B168</f>
        <v>1</v>
      </c>
      <c r="C170" s="78"/>
      <c r="D170" s="78"/>
      <c r="E170" s="473">
        <v>15</v>
      </c>
      <c r="F170" s="3" t="str" cm="1">
        <f t="array" aca="1" ref="F170" ca="1">OFFSET(E170,-1,1)</f>
        <v>2</v>
      </c>
      <c r="G170" s="78"/>
      <c r="H170" s="78" t="s">
        <v>468</v>
      </c>
      <c r="I170" s="78" cm="1">
        <f t="array" ref="I170">I168</f>
        <v>0</v>
      </c>
      <c r="J170" s="78"/>
      <c r="K170" s="78"/>
      <c r="L170" s="78"/>
      <c r="M170" s="78"/>
      <c r="N170" s="78"/>
      <c r="O170" s="78"/>
      <c r="P170" s="78"/>
      <c r="Q170" s="603"/>
      <c r="R170" s="78"/>
      <c r="S170" s="78"/>
      <c r="T170" s="365" t="b" cm="1">
        <f t="array" aca="1" ref="T170" ca="1">T168</f>
        <v>0</v>
      </c>
      <c r="U170" s="78"/>
      <c r="V170" s="78"/>
      <c r="W170" s="78"/>
      <c r="X170" s="1094"/>
      <c r="Y170" s="1094"/>
      <c r="Z170" s="1064"/>
      <c r="AA170" s="1049"/>
      <c r="AB170" s="73" t="s">
        <v>1634</v>
      </c>
      <c r="AC170" s="26" t="s">
        <v>534</v>
      </c>
      <c r="AD170" s="849"/>
      <c r="AE170" s="849"/>
      <c r="AF170" s="724">
        <f>IF(AD170=0,0,(AE170-AD170)/AD170*100)</f>
        <v>0</v>
      </c>
      <c r="AG170" s="849"/>
      <c r="AH170" s="849"/>
      <c r="AI170" s="724">
        <f>IF(AG170=0,0,(AH170-AG170)/AG170*100)</f>
        <v>0</v>
      </c>
      <c r="AJ170" s="849"/>
      <c r="AK170" s="849"/>
      <c r="AL170" s="724">
        <f>IF(AJ170=0,0,(AK170-AJ170)/AJ170*100)</f>
        <v>0</v>
      </c>
      <c r="AM170" s="849"/>
      <c r="AN170" s="849"/>
      <c r="AO170" s="724">
        <f>IF(AM170=0,0,(AN170-AM170)/AM170*100)</f>
        <v>0</v>
      </c>
      <c r="AP170" s="849"/>
      <c r="AQ170" s="849"/>
      <c r="AR170" s="724">
        <f>IF(AP170=0,0,(AQ170-AP170)/AP170*100)</f>
        <v>0</v>
      </c>
      <c r="AS170" s="849"/>
      <c r="AT170" s="849"/>
      <c r="AU170" s="724">
        <f>IF(AS170=0,0,(AT170-AS170)/AS170*100)</f>
        <v>0</v>
      </c>
      <c r="AV170" s="849"/>
      <c r="AW170" s="849"/>
      <c r="AX170" s="724">
        <f>IF(AV170=0,0,(AW170-AV170)/AV170*100)</f>
        <v>0</v>
      </c>
      <c r="AY170" s="849"/>
      <c r="AZ170" s="849"/>
      <c r="BA170" s="724">
        <f>IF(AY170=0,0,(AZ170-AY170)/AY170*100)</f>
        <v>0</v>
      </c>
      <c r="BB170" s="849"/>
      <c r="BC170" s="849"/>
      <c r="BD170" s="724">
        <f>IF(BB170=0,0,(BC170-BB170)/BB170*100)</f>
        <v>0</v>
      </c>
      <c r="BE170" s="849"/>
      <c r="BF170" s="849"/>
      <c r="BG170" s="724">
        <f>IF(BE170=0,0,(BF170-BE170)/BE170*100)</f>
        <v>0</v>
      </c>
      <c r="BH170" s="849"/>
      <c r="BI170" s="849"/>
      <c r="BJ170" s="724">
        <f>IF(BH170=0,0,(BI170-BH170)/BH170*100)</f>
        <v>0</v>
      </c>
      <c r="BK170" s="849"/>
      <c r="BL170" s="849"/>
      <c r="BM170" s="724">
        <f>IF(BK170=0,0,(BL170-BK170)/BK170*100)</f>
        <v>0</v>
      </c>
      <c r="BN170" s="849"/>
      <c r="BO170" s="849"/>
      <c r="BP170" s="724">
        <f>IF(BN170=0,0,(BO170-BN170)/BN170*100)</f>
        <v>0</v>
      </c>
      <c r="BQ170" s="849"/>
      <c r="BR170" s="849"/>
      <c r="BS170" s="724">
        <f>IF(BQ170=0,0,(BR170-BQ170)/BQ170*100)</f>
        <v>0</v>
      </c>
      <c r="BT170" s="849"/>
      <c r="BU170" s="849"/>
      <c r="BV170" s="724">
        <f>IF(BT170=0,0,(BU170-BT170)/BT170*100)</f>
        <v>0</v>
      </c>
      <c r="BW170" s="849"/>
      <c r="BX170" s="849"/>
      <c r="BY170" s="724">
        <f>IF(BW170=0,0,(BX170-BW170)/BW170*100)</f>
        <v>0</v>
      </c>
      <c r="BZ170" s="849"/>
      <c r="CA170" s="849"/>
      <c r="CB170" s="724">
        <f>IF(BZ170=0,0,(CA170-BZ170)/BZ170*100)</f>
        <v>0</v>
      </c>
      <c r="CC170" s="849"/>
      <c r="CD170" s="849"/>
      <c r="CE170" s="724">
        <f>IF(CC170=0,0,(CD170-CC170)/CC170*100)</f>
        <v>0</v>
      </c>
      <c r="CF170" s="849"/>
      <c r="CG170" s="849"/>
      <c r="CH170" s="724">
        <f>IF(CF170=0,0,(CG170-CF170)/CF170*100)</f>
        <v>0</v>
      </c>
      <c r="CI170" s="849"/>
      <c r="CJ170" s="849"/>
      <c r="CK170" s="724">
        <f>IF(CI170=0,0,(CJ170-CI170)/CI170*100)</f>
        <v>0</v>
      </c>
      <c r="CL170" s="849"/>
      <c r="CM170" s="849"/>
      <c r="CN170" s="724">
        <f>IF(CL170=0,0,(CM170-CL170)/CL170*100)</f>
        <v>0</v>
      </c>
      <c r="CO170" s="849"/>
      <c r="CP170" s="849"/>
      <c r="CQ170" s="724">
        <f>IF(CO170=0,0,(CP170-CO170)/CO170*100)</f>
        <v>0</v>
      </c>
      <c r="CR170" s="849"/>
      <c r="CS170" s="849"/>
      <c r="CT170" s="724">
        <f>IF(CR170=0,0,(CS170-CR170)/CR170*100)</f>
        <v>0</v>
      </c>
      <c r="CU170" s="849"/>
      <c r="CV170" s="849"/>
      <c r="CW170" s="724">
        <f>IF(CU170=0,0,(CV170-CU170)/CU170*100)</f>
        <v>0</v>
      </c>
      <c r="CX170" s="849"/>
      <c r="CY170" s="849"/>
      <c r="CZ170" s="724">
        <f>IF(CX170=0,0,(CY170-CX170)/CX170*100)</f>
        <v>0</v>
      </c>
      <c r="DA170" s="849"/>
      <c r="DB170" s="849"/>
      <c r="DC170" s="724">
        <f>IF(DA170=0,0,(DB170-DA170)/DA170*100)</f>
        <v>0</v>
      </c>
      <c r="DD170" s="849"/>
      <c r="DE170" s="849"/>
      <c r="DF170" s="724">
        <f>IF(DD170=0,0,(DE170-DD170)/DD170*100)</f>
        <v>0</v>
      </c>
      <c r="DG170" s="849"/>
      <c r="DH170" s="849"/>
      <c r="DI170" s="724">
        <f>IF(DG170=0,0,(DH170-DG170)/DG170*100)</f>
        <v>0</v>
      </c>
      <c r="DJ170" s="849"/>
      <c r="DK170" s="849"/>
      <c r="DL170" s="724">
        <f>IF(DJ170=0,0,(DK170-DJ170)/DJ170*100)</f>
        <v>0</v>
      </c>
      <c r="DM170" s="849"/>
      <c r="DN170" s="849"/>
      <c r="DO170" s="724">
        <f>IF(DM170=0,0,(DN170-DM170)/DM170*100)</f>
        <v>0</v>
      </c>
      <c r="DP170" s="849"/>
      <c r="DQ170" s="849"/>
      <c r="DR170" s="724">
        <f>IF(DP170=0,0,(DQ170-DP170)/DP170*100)</f>
        <v>0</v>
      </c>
      <c r="DS170" s="849"/>
      <c r="DT170" s="849"/>
      <c r="DU170" s="724">
        <f>IF(DS170=0,0,(DT170-DS170)/DS170*100)</f>
        <v>0</v>
      </c>
      <c r="DV170" s="849"/>
      <c r="DW170" s="849"/>
      <c r="DX170" s="724">
        <f>IF(DV170=0,0,(DW170-DV170)/DV170*100)</f>
        <v>0</v>
      </c>
      <c r="DY170" s="849"/>
      <c r="DZ170" s="849"/>
      <c r="EA170" s="724">
        <f>IF(DY170=0,0,(DZ170-DY170)/DY170*100)</f>
        <v>0</v>
      </c>
      <c r="EB170" s="849"/>
      <c r="EC170" s="849"/>
      <c r="ED170" s="724">
        <f>IF(EB170=0,0,(EC170-EB170)/EB170*100)</f>
        <v>0</v>
      </c>
      <c r="EE170" s="849"/>
      <c r="EF170" s="849"/>
      <c r="EG170" s="724">
        <f>IF(EE170=0,0,(EF170-EE170)/EE170*100)</f>
        <v>0</v>
      </c>
      <c r="EH170" s="849"/>
      <c r="EI170" s="849"/>
      <c r="EJ170" s="724">
        <f>IF(EH170=0,0,(EI170-EH170)/EH170*100)</f>
        <v>0</v>
      </c>
      <c r="EK170" s="849"/>
      <c r="EL170" s="849"/>
      <c r="EM170" s="724">
        <f>IF(EK170=0,0,(EL170-EK170)/EK170*100)</f>
        <v>0</v>
      </c>
      <c r="EN170" s="849"/>
      <c r="EO170" s="849"/>
      <c r="EP170" s="724">
        <f>IF(EN170=0,0,(EO170-EN170)/EN170*100)</f>
        <v>0</v>
      </c>
      <c r="EQ170" s="849"/>
      <c r="ER170" s="849"/>
      <c r="ES170" s="724">
        <f>IF(EQ170=0,0,(ER170-EQ170)/EQ170*100)</f>
        <v>0</v>
      </c>
      <c r="ET170" s="849"/>
      <c r="EU170" s="849"/>
      <c r="EV170" s="724">
        <f>IF(ET170=0,0,(EU170-ET170)/ET170*100)</f>
        <v>0</v>
      </c>
      <c r="EW170" s="849"/>
      <c r="EX170" s="849"/>
      <c r="EY170" s="724">
        <f>IF(EW170=0,0,(EX170-EW170)/EW170*100)</f>
        <v>0</v>
      </c>
      <c r="EZ170" s="849"/>
      <c r="FA170" s="849"/>
      <c r="FB170" s="724">
        <f>IF(EZ170=0,0,(FA170-EZ170)/EZ170*100)</f>
        <v>0</v>
      </c>
      <c r="FC170" s="849"/>
      <c r="FD170" s="849"/>
      <c r="FE170" s="724">
        <f>IF(FC170=0,0,(FD170-FC170)/FC170*100)</f>
        <v>0</v>
      </c>
      <c r="FF170" s="849"/>
      <c r="FG170" s="849"/>
      <c r="FH170" s="724">
        <f>IF(FF170=0,0,(FG170-FF170)/FF170*100)</f>
        <v>0</v>
      </c>
      <c r="FI170" s="849"/>
      <c r="FJ170" s="849"/>
      <c r="FK170" s="724">
        <f>IF(FI170=0,0,(FJ170-FI170)/FI170*100)</f>
        <v>0</v>
      </c>
      <c r="FL170" s="849"/>
      <c r="FM170" s="849"/>
      <c r="FN170" s="724">
        <f>IF(FL170=0,0,(FM170-FL170)/FL170*100)</f>
        <v>0</v>
      </c>
      <c r="FO170" s="849"/>
      <c r="FP170" s="849"/>
      <c r="FQ170" s="724">
        <f>IF(FO170=0,0,(FP170-FO170)/FO170*100)</f>
        <v>0</v>
      </c>
      <c r="FR170" s="849"/>
      <c r="FS170" s="849"/>
      <c r="FT170" s="724">
        <f>IF(FR170=0,0,(FS170-FR170)/FR170*100)</f>
        <v>0</v>
      </c>
      <c r="FU170" s="849"/>
      <c r="FV170" s="849"/>
      <c r="FW170" s="724">
        <f>IF(FU170=0,0,(FV170-FU170)/FU170*100)</f>
        <v>0</v>
      </c>
      <c r="FX170" s="219"/>
      <c r="FZ170" s="700" t="s">
        <v>1652</v>
      </c>
      <c r="GA170" s="680" t="s">
        <v>1650</v>
      </c>
      <c r="GB170" s="680" cm="1">
        <f t="array" ref="GB170">GB168</f>
        <v>0</v>
      </c>
    </row>
    <row r="171" spans="1:186" ht="14.25" customHeight="1">
      <c r="A171" s="78"/>
      <c r="B171" s="622" t="b" cm="1">
        <f t="array" ref="B171">B170</f>
        <v>1</v>
      </c>
      <c r="C171" s="78"/>
      <c r="D171" s="78"/>
      <c r="E171" s="473">
        <v>15</v>
      </c>
      <c r="F171" s="3" t="str" cm="1">
        <f t="array" aca="1" ref="F171" ca="1">OFFSET(E171,-1,1)</f>
        <v>2</v>
      </c>
      <c r="G171" s="78"/>
      <c r="H171" s="78"/>
      <c r="I171" s="36" t="s">
        <v>1653</v>
      </c>
      <c r="J171" s="78"/>
      <c r="K171" s="78"/>
      <c r="L171" s="78"/>
      <c r="M171" s="78"/>
      <c r="N171" s="78"/>
      <c r="O171" s="78"/>
      <c r="P171" s="78"/>
      <c r="Q171" s="78"/>
      <c r="R171" s="23"/>
      <c r="S171" s="78"/>
      <c r="T171" s="365" t="b">
        <f ca="1">F171&gt;0</f>
        <v>1</v>
      </c>
      <c r="U171" s="78"/>
      <c r="W171" s="528" t="s">
        <v>1654</v>
      </c>
      <c r="X171" s="1094"/>
      <c r="Z171" s="1064"/>
      <c r="AB171" s="191" t="s">
        <v>177</v>
      </c>
      <c r="AC171" s="195"/>
      <c r="AD171" s="725"/>
      <c r="AE171" s="725"/>
      <c r="AF171" s="725"/>
      <c r="AG171" s="725"/>
      <c r="AH171" s="725"/>
      <c r="AI171" s="725"/>
      <c r="AJ171" s="725"/>
      <c r="AK171" s="725"/>
      <c r="AL171" s="725"/>
      <c r="AM171" s="725"/>
      <c r="AN171" s="725"/>
      <c r="AO171" s="725"/>
      <c r="AP171" s="725"/>
      <c r="AQ171" s="725"/>
      <c r="AR171" s="725"/>
      <c r="AS171" s="725"/>
      <c r="AT171" s="725"/>
      <c r="AU171" s="725"/>
      <c r="AV171" s="725"/>
      <c r="AW171" s="725"/>
      <c r="AX171" s="725"/>
      <c r="AY171" s="725"/>
      <c r="AZ171" s="725"/>
      <c r="BA171" s="725"/>
      <c r="BB171" s="725"/>
      <c r="BC171" s="725"/>
      <c r="BD171" s="725"/>
      <c r="BE171" s="725"/>
      <c r="BF171" s="725"/>
      <c r="BG171" s="725"/>
      <c r="BH171" s="725"/>
      <c r="BI171" s="725"/>
      <c r="BJ171" s="725"/>
      <c r="BK171" s="725"/>
      <c r="BL171" s="725"/>
      <c r="BM171" s="725"/>
      <c r="BN171" s="725"/>
      <c r="BO171" s="725"/>
      <c r="BP171" s="725"/>
      <c r="BQ171" s="725"/>
      <c r="BR171" s="725"/>
      <c r="BS171" s="725"/>
      <c r="BT171" s="725"/>
      <c r="BU171" s="725"/>
      <c r="BV171" s="725"/>
      <c r="BW171" s="725"/>
      <c r="BX171" s="725"/>
      <c r="BY171" s="725"/>
      <c r="BZ171" s="725"/>
      <c r="CA171" s="725"/>
      <c r="CB171" s="725"/>
      <c r="CC171" s="725"/>
      <c r="CD171" s="725"/>
      <c r="CE171" s="725"/>
      <c r="CF171" s="725"/>
      <c r="CG171" s="725"/>
      <c r="CH171" s="725"/>
      <c r="CI171" s="725"/>
      <c r="CJ171" s="725"/>
      <c r="CK171" s="725"/>
      <c r="CL171" s="725"/>
      <c r="CM171" s="725"/>
      <c r="CN171" s="725"/>
      <c r="CO171" s="725"/>
      <c r="CP171" s="725"/>
      <c r="CQ171" s="725"/>
      <c r="CR171" s="725"/>
      <c r="CS171" s="725"/>
      <c r="CT171" s="725"/>
      <c r="CU171" s="725"/>
      <c r="CV171" s="725"/>
      <c r="CW171" s="725"/>
      <c r="CX171" s="725"/>
      <c r="CY171" s="725"/>
      <c r="CZ171" s="725"/>
      <c r="DA171" s="725"/>
      <c r="DB171" s="725"/>
      <c r="DC171" s="725"/>
      <c r="DD171" s="725"/>
      <c r="DE171" s="725"/>
      <c r="DF171" s="725"/>
      <c r="DG171" s="725"/>
      <c r="DH171" s="725"/>
      <c r="DI171" s="725"/>
      <c r="DJ171" s="725"/>
      <c r="DK171" s="725"/>
      <c r="DL171" s="725"/>
      <c r="DM171" s="725"/>
      <c r="DN171" s="725"/>
      <c r="DO171" s="725"/>
      <c r="DP171" s="725"/>
      <c r="DQ171" s="725"/>
      <c r="DR171" s="725"/>
      <c r="DS171" s="725"/>
      <c r="DT171" s="725"/>
      <c r="DU171" s="725"/>
      <c r="DV171" s="725"/>
      <c r="DW171" s="725"/>
      <c r="DX171" s="725"/>
      <c r="DY171" s="725"/>
      <c r="DZ171" s="725"/>
      <c r="EA171" s="725"/>
      <c r="EB171" s="725"/>
      <c r="EC171" s="725"/>
      <c r="ED171" s="725"/>
      <c r="EE171" s="725"/>
      <c r="EF171" s="725"/>
      <c r="EG171" s="725"/>
      <c r="EH171" s="725"/>
      <c r="EI171" s="725"/>
      <c r="EJ171" s="725"/>
      <c r="EK171" s="725"/>
      <c r="EL171" s="725"/>
      <c r="EM171" s="725"/>
      <c r="EN171" s="725"/>
      <c r="EO171" s="725"/>
      <c r="EP171" s="725"/>
      <c r="EQ171" s="725"/>
      <c r="ER171" s="725"/>
      <c r="ES171" s="725"/>
      <c r="ET171" s="725"/>
      <c r="EU171" s="725"/>
      <c r="EV171" s="725"/>
      <c r="EW171" s="725"/>
      <c r="EX171" s="725"/>
      <c r="EY171" s="725"/>
      <c r="EZ171" s="725"/>
      <c r="FA171" s="725"/>
      <c r="FB171" s="725"/>
      <c r="FC171" s="725"/>
      <c r="FD171" s="725"/>
      <c r="FE171" s="725"/>
      <c r="FF171" s="725"/>
      <c r="FG171" s="725"/>
      <c r="FH171" s="725"/>
      <c r="FI171" s="725"/>
      <c r="FJ171" s="725"/>
      <c r="FK171" s="725"/>
      <c r="FL171" s="725"/>
      <c r="FM171" s="725"/>
      <c r="FN171" s="725"/>
      <c r="FO171" s="725"/>
      <c r="FP171" s="725"/>
      <c r="FQ171" s="725"/>
      <c r="FR171" s="725"/>
      <c r="FS171" s="725"/>
      <c r="FT171" s="725"/>
      <c r="FU171" s="725"/>
      <c r="FV171" s="725"/>
      <c r="FW171" s="726"/>
      <c r="FZ171" s="700" t="s">
        <v>225</v>
      </c>
      <c r="GC171" s="472" t="s">
        <v>1650</v>
      </c>
    </row>
    <row r="172" spans="1:186" ht="14.25" hidden="1" customHeight="1">
      <c r="A172" s="78"/>
      <c r="B172" s="622" t="b">
        <f>AND(R155="двухставочный",NOT(S155))</f>
        <v>0</v>
      </c>
      <c r="C172" s="78"/>
      <c r="D172" s="78"/>
      <c r="E172" s="473">
        <v>15</v>
      </c>
      <c r="F172" s="3" t="str" cm="1">
        <f t="array" aca="1" ref="F172" ca="1">OFFSET(E172,-1,1)</f>
        <v>2</v>
      </c>
      <c r="G172" s="78"/>
      <c r="H172" s="78"/>
      <c r="I172" s="78"/>
      <c r="J172" s="78"/>
      <c r="K172" s="78"/>
      <c r="L172" s="78"/>
      <c r="M172" s="78"/>
      <c r="N172" s="78"/>
      <c r="O172" s="78"/>
      <c r="P172" s="78"/>
      <c r="Q172" s="78"/>
      <c r="R172" s="23"/>
      <c r="S172" s="78"/>
      <c r="T172" s="365" t="b" cm="1">
        <f t="array" aca="1" ref="T172" ca="1">T171</f>
        <v>1</v>
      </c>
      <c r="U172" s="78"/>
      <c r="V172" s="78"/>
      <c r="W172" s="78"/>
      <c r="X172" s="1094"/>
      <c r="Y172" s="78"/>
      <c r="Z172" s="1064"/>
      <c r="AA172" s="78"/>
      <c r="AB172" s="601" t="s">
        <v>1655</v>
      </c>
      <c r="AC172" s="602"/>
      <c r="AD172" s="217"/>
      <c r="AE172" s="217"/>
      <c r="AF172" s="217"/>
      <c r="AG172" s="217"/>
      <c r="AH172" s="217"/>
      <c r="AI172" s="217"/>
      <c r="AJ172" s="217"/>
      <c r="AK172" s="217"/>
      <c r="AL172" s="217"/>
      <c r="AM172" s="217"/>
      <c r="AN172" s="217"/>
      <c r="AO172" s="217"/>
      <c r="AP172" s="217"/>
      <c r="AQ172" s="217"/>
      <c r="AR172" s="217"/>
      <c r="AS172" s="217"/>
      <c r="AT172" s="217"/>
      <c r="AU172" s="217"/>
      <c r="AV172" s="217"/>
      <c r="AW172" s="217"/>
      <c r="AX172" s="217"/>
      <c r="AY172" s="217"/>
      <c r="AZ172" s="217"/>
      <c r="BA172" s="217"/>
      <c r="BB172" s="217"/>
      <c r="BC172" s="217"/>
      <c r="BD172" s="217"/>
      <c r="BE172" s="217"/>
      <c r="BF172" s="217"/>
      <c r="BG172" s="217"/>
      <c r="BH172" s="217"/>
      <c r="BI172" s="217"/>
      <c r="BJ172" s="217"/>
      <c r="BK172" s="217"/>
      <c r="BL172" s="217"/>
      <c r="BM172" s="217"/>
      <c r="BN172" s="217"/>
      <c r="BO172" s="217"/>
      <c r="BP172" s="217"/>
      <c r="BQ172" s="217"/>
      <c r="BR172" s="217"/>
      <c r="BS172" s="217"/>
      <c r="BT172" s="217"/>
      <c r="BU172" s="217"/>
      <c r="BV172" s="217"/>
      <c r="BW172" s="217"/>
      <c r="BX172" s="217"/>
      <c r="BY172" s="217"/>
      <c r="BZ172" s="217"/>
      <c r="CA172" s="217"/>
      <c r="CB172" s="217"/>
      <c r="CC172" s="217"/>
      <c r="CD172" s="217"/>
      <c r="CE172" s="217"/>
      <c r="CF172" s="217"/>
      <c r="CG172" s="217"/>
      <c r="CH172" s="217"/>
      <c r="CI172" s="217"/>
      <c r="CJ172" s="217"/>
      <c r="CK172" s="217"/>
      <c r="CL172" s="217"/>
      <c r="CM172" s="217"/>
      <c r="CN172" s="217"/>
      <c r="CO172" s="217"/>
      <c r="CP172" s="217"/>
      <c r="CQ172" s="217"/>
      <c r="CR172" s="217"/>
      <c r="CS172" s="217"/>
      <c r="CT172" s="217"/>
      <c r="CU172" s="217"/>
      <c r="CV172" s="217"/>
      <c r="CW172" s="217"/>
      <c r="CX172" s="217"/>
      <c r="CY172" s="217"/>
      <c r="CZ172" s="217"/>
      <c r="DA172" s="217"/>
      <c r="DB172" s="217"/>
      <c r="DC172" s="217"/>
      <c r="DD172" s="217"/>
      <c r="DE172" s="217"/>
      <c r="DF172" s="217"/>
      <c r="DG172" s="217"/>
      <c r="DH172" s="217"/>
      <c r="DI172" s="217"/>
      <c r="DJ172" s="217"/>
      <c r="DK172" s="217"/>
      <c r="DL172" s="217"/>
      <c r="DM172" s="217"/>
      <c r="DN172" s="217"/>
      <c r="DO172" s="217"/>
      <c r="DP172" s="217"/>
      <c r="DQ172" s="217"/>
      <c r="DR172" s="217"/>
      <c r="DS172" s="217"/>
      <c r="DT172" s="217"/>
      <c r="DU172" s="217"/>
      <c r="DV172" s="217"/>
      <c r="DW172" s="217"/>
      <c r="DX172" s="217"/>
      <c r="DY172" s="217"/>
      <c r="DZ172" s="217"/>
      <c r="EA172" s="217"/>
      <c r="EB172" s="217"/>
      <c r="EC172" s="217"/>
      <c r="ED172" s="217"/>
      <c r="EE172" s="217"/>
      <c r="EF172" s="217"/>
      <c r="EG172" s="217"/>
      <c r="EH172" s="217"/>
      <c r="EI172" s="217"/>
      <c r="EJ172" s="217"/>
      <c r="EK172" s="217"/>
      <c r="EL172" s="217"/>
      <c r="EM172" s="217"/>
      <c r="EN172" s="217"/>
      <c r="EO172" s="217"/>
      <c r="EP172" s="217"/>
      <c r="EQ172" s="217"/>
      <c r="ER172" s="217"/>
      <c r="ES172" s="217"/>
      <c r="ET172" s="217"/>
      <c r="EU172" s="217"/>
      <c r="EV172" s="217"/>
      <c r="EW172" s="217"/>
      <c r="EX172" s="217"/>
      <c r="EY172" s="217"/>
      <c r="EZ172" s="217"/>
      <c r="FA172" s="217"/>
      <c r="FB172" s="217"/>
      <c r="FC172" s="217"/>
      <c r="FD172" s="217"/>
      <c r="FE172" s="217"/>
      <c r="FF172" s="217"/>
      <c r="FG172" s="217"/>
      <c r="FH172" s="217"/>
      <c r="FI172" s="217"/>
      <c r="FJ172" s="217"/>
      <c r="FK172" s="217"/>
      <c r="FL172" s="217"/>
      <c r="FM172" s="217"/>
      <c r="FN172" s="217"/>
      <c r="FO172" s="217"/>
      <c r="FP172" s="217"/>
      <c r="FQ172" s="217"/>
      <c r="FR172" s="217"/>
      <c r="FS172" s="217"/>
      <c r="FT172" s="217"/>
      <c r="FU172" s="217"/>
      <c r="FV172" s="217"/>
      <c r="FW172" s="218"/>
      <c r="FZ172" s="700" t="s">
        <v>225</v>
      </c>
    </row>
    <row r="173" spans="1:186" ht="23.25" hidden="1" customHeight="1">
      <c r="A173" s="78"/>
      <c r="B173" s="622" t="b" cm="1">
        <f t="array" ref="B173">B172</f>
        <v>0</v>
      </c>
      <c r="C173" s="78"/>
      <c r="D173" s="78"/>
      <c r="E173" s="473">
        <v>24.5</v>
      </c>
      <c r="F173" s="3" t="str" cm="1">
        <f t="array" aca="1" ref="F173" ca="1">OFFSET(E173,-1,1)</f>
        <v>2</v>
      </c>
      <c r="G173" s="78"/>
      <c r="H173" s="78"/>
      <c r="I173" s="78"/>
      <c r="J173" s="78"/>
      <c r="K173" s="78"/>
      <c r="L173" s="78"/>
      <c r="M173" s="78"/>
      <c r="N173" s="78"/>
      <c r="O173" s="78"/>
      <c r="P173" s="78"/>
      <c r="Q173" s="78"/>
      <c r="R173" s="78"/>
      <c r="S173" s="78"/>
      <c r="T173" s="365" t="b" cm="1">
        <f t="array" aca="1" ref="T173" ca="1">T172</f>
        <v>1</v>
      </c>
      <c r="U173" s="78"/>
      <c r="V173" s="78"/>
      <c r="W173" s="78"/>
      <c r="X173" s="1094"/>
      <c r="Y173" s="78"/>
      <c r="Z173" s="1064"/>
      <c r="AA173" s="78"/>
      <c r="AB173" s="220" t="s">
        <v>1656</v>
      </c>
      <c r="AC173" s="606"/>
      <c r="AD173" s="727"/>
      <c r="AE173" s="727"/>
      <c r="AF173" s="727"/>
      <c r="AG173" s="727"/>
      <c r="AH173" s="727"/>
      <c r="AI173" s="727"/>
      <c r="AJ173" s="727"/>
      <c r="AK173" s="727"/>
      <c r="AL173" s="727"/>
      <c r="AM173" s="727"/>
      <c r="AN173" s="727"/>
      <c r="AO173" s="727"/>
      <c r="AP173" s="727"/>
      <c r="AQ173" s="727"/>
      <c r="AR173" s="727"/>
      <c r="AS173" s="727"/>
      <c r="AT173" s="727"/>
      <c r="AU173" s="727"/>
      <c r="AV173" s="727"/>
      <c r="AW173" s="727"/>
      <c r="AX173" s="727"/>
      <c r="AY173" s="727"/>
      <c r="AZ173" s="727"/>
      <c r="BA173" s="727"/>
      <c r="BB173" s="727"/>
      <c r="BC173" s="727"/>
      <c r="BD173" s="727"/>
      <c r="BE173" s="727"/>
      <c r="BF173" s="727"/>
      <c r="BG173" s="727"/>
      <c r="BH173" s="727"/>
      <c r="BI173" s="727"/>
      <c r="BJ173" s="727"/>
      <c r="BK173" s="727"/>
      <c r="BL173" s="727"/>
      <c r="BM173" s="727"/>
      <c r="BN173" s="727"/>
      <c r="BO173" s="727"/>
      <c r="BP173" s="727"/>
      <c r="BQ173" s="727"/>
      <c r="BR173" s="727"/>
      <c r="BS173" s="727"/>
      <c r="BT173" s="727"/>
      <c r="BU173" s="727"/>
      <c r="BV173" s="727"/>
      <c r="BW173" s="727"/>
      <c r="BX173" s="727"/>
      <c r="BY173" s="727"/>
      <c r="BZ173" s="727"/>
      <c r="CA173" s="727"/>
      <c r="CB173" s="727"/>
      <c r="CC173" s="727"/>
      <c r="CD173" s="727"/>
      <c r="CE173" s="727"/>
      <c r="CF173" s="727"/>
      <c r="CG173" s="727"/>
      <c r="CH173" s="727"/>
      <c r="CI173" s="727"/>
      <c r="CJ173" s="727"/>
      <c r="CK173" s="727"/>
      <c r="CL173" s="727"/>
      <c r="CM173" s="727"/>
      <c r="CN173" s="727"/>
      <c r="CO173" s="727"/>
      <c r="CP173" s="727"/>
      <c r="CQ173" s="727"/>
      <c r="CR173" s="727"/>
      <c r="CS173" s="727"/>
      <c r="CT173" s="727"/>
      <c r="CU173" s="727"/>
      <c r="CV173" s="727"/>
      <c r="CW173" s="727"/>
      <c r="CX173" s="727"/>
      <c r="CY173" s="727"/>
      <c r="CZ173" s="727"/>
      <c r="DA173" s="727"/>
      <c r="DB173" s="727"/>
      <c r="DC173" s="727"/>
      <c r="DD173" s="727"/>
      <c r="DE173" s="727"/>
      <c r="DF173" s="727"/>
      <c r="DG173" s="727"/>
      <c r="DH173" s="727"/>
      <c r="DI173" s="727"/>
      <c r="DJ173" s="727"/>
      <c r="DK173" s="727"/>
      <c r="DL173" s="727"/>
      <c r="DM173" s="727"/>
      <c r="DN173" s="727"/>
      <c r="DO173" s="727"/>
      <c r="DP173" s="727"/>
      <c r="DQ173" s="727"/>
      <c r="DR173" s="727"/>
      <c r="DS173" s="727"/>
      <c r="DT173" s="727"/>
      <c r="DU173" s="727"/>
      <c r="DV173" s="727"/>
      <c r="DW173" s="727"/>
      <c r="DX173" s="727"/>
      <c r="DY173" s="727"/>
      <c r="DZ173" s="727"/>
      <c r="EA173" s="727"/>
      <c r="EB173" s="727"/>
      <c r="EC173" s="727"/>
      <c r="ED173" s="727"/>
      <c r="EE173" s="727"/>
      <c r="EF173" s="727"/>
      <c r="EG173" s="727"/>
      <c r="EH173" s="727"/>
      <c r="EI173" s="727"/>
      <c r="EJ173" s="727"/>
      <c r="EK173" s="727"/>
      <c r="EL173" s="727"/>
      <c r="EM173" s="727"/>
      <c r="EN173" s="727"/>
      <c r="EO173" s="727"/>
      <c r="EP173" s="727"/>
      <c r="EQ173" s="727"/>
      <c r="ER173" s="727"/>
      <c r="ES173" s="727"/>
      <c r="ET173" s="727"/>
      <c r="EU173" s="727"/>
      <c r="EV173" s="727"/>
      <c r="EW173" s="727"/>
      <c r="EX173" s="727"/>
      <c r="EY173" s="727"/>
      <c r="EZ173" s="727"/>
      <c r="FA173" s="727"/>
      <c r="FB173" s="727"/>
      <c r="FC173" s="727"/>
      <c r="FD173" s="727"/>
      <c r="FE173" s="727"/>
      <c r="FF173" s="727"/>
      <c r="FG173" s="727"/>
      <c r="FH173" s="727"/>
      <c r="FI173" s="727"/>
      <c r="FJ173" s="727"/>
      <c r="FK173" s="727"/>
      <c r="FL173" s="727"/>
      <c r="FM173" s="727"/>
      <c r="FN173" s="727"/>
      <c r="FO173" s="727"/>
      <c r="FP173" s="727"/>
      <c r="FQ173" s="727"/>
      <c r="FR173" s="727"/>
      <c r="FS173" s="727"/>
      <c r="FT173" s="727"/>
      <c r="FU173" s="727"/>
      <c r="FV173" s="727"/>
      <c r="FW173" s="728"/>
      <c r="FZ173" s="700" t="s">
        <v>225</v>
      </c>
    </row>
    <row r="174" spans="1:186" ht="14.25" hidden="1" customHeight="1">
      <c r="A174" s="78"/>
      <c r="B174" s="622" t="b" cm="1">
        <f t="array" ref="B174">B173</f>
        <v>0</v>
      </c>
      <c r="C174" s="78"/>
      <c r="D174" s="78"/>
      <c r="E174" s="473">
        <v>15</v>
      </c>
      <c r="F174" s="3" t="str" cm="1">
        <f t="array" aca="1" ref="F174" ca="1">OFFSET(E174,-1,1)</f>
        <v>2</v>
      </c>
      <c r="G174" s="78"/>
      <c r="H174" s="78" t="s">
        <v>1562</v>
      </c>
      <c r="I174" s="78" t="s">
        <v>1622</v>
      </c>
      <c r="J174" s="78"/>
      <c r="K174" s="78"/>
      <c r="L174" s="78"/>
      <c r="M174" s="78"/>
      <c r="N174" s="78"/>
      <c r="O174" s="78"/>
      <c r="P174" s="78"/>
      <c r="Q174" s="78"/>
      <c r="R174" s="78"/>
      <c r="S174" s="78"/>
      <c r="T174" s="365" t="b" cm="1">
        <f t="array" aca="1" ref="T174" ca="1">T173</f>
        <v>1</v>
      </c>
      <c r="U174" s="78"/>
      <c r="V174" s="78"/>
      <c r="W174" s="78"/>
      <c r="X174" s="1094"/>
      <c r="Y174" s="78"/>
      <c r="Z174" s="1064"/>
      <c r="AA174" s="78"/>
      <c r="AB174" s="124" t="s">
        <v>1657</v>
      </c>
      <c r="AC174" s="31" t="s">
        <v>1624</v>
      </c>
      <c r="AD174" s="833">
        <f ca="1">IF(AD176=0,0,(AD175*AD176+AD177*AD178*IF(god=2026,9,6))/AD176)</f>
        <v>0</v>
      </c>
      <c r="AE174" s="833">
        <f ca="1">IF(AE176=0,0,(AE175*AE176+AE177*AE178*IF(god=2026,9,6))/AE176)</f>
        <v>0</v>
      </c>
      <c r="AF174" s="723">
        <f ca="1">IF(AD174=0,0,(AE174-AD174)/AD174*100)</f>
        <v>0</v>
      </c>
      <c r="AG174" s="833">
        <f ca="1">IF(AG176=0,0,(AG175*AG176+AG177*AG178*IF(god=2025,9,6))/AG176)</f>
        <v>0</v>
      </c>
      <c r="AH174" s="833">
        <f ca="1">IF(AH176=0,0,(AH175*AH176+AH177*AH178*IF(god=2025,9,6))/AH176)</f>
        <v>0</v>
      </c>
      <c r="AI174" s="723">
        <f ca="1">IF(AG174=0,0,(AH174-AG174)/AG174*100)</f>
        <v>0</v>
      </c>
      <c r="AJ174" s="833">
        <f ca="1">IF(AJ176=0,0,(AJ175*AJ176+AJ177*AJ178*6)/AJ176)</f>
        <v>0</v>
      </c>
      <c r="AK174" s="833">
        <f ca="1">IF(AK176=0,0,(AK175*AK176+AK177*AK178*6)/AK176)</f>
        <v>0</v>
      </c>
      <c r="AL174" s="723">
        <f ca="1">IF(AJ174=0,0,(AK174-AJ174)/AJ174*100)</f>
        <v>0</v>
      </c>
      <c r="AM174" s="833">
        <f ca="1">IF(AM176=0,0,(AM175*AM176+AM177*AM178*6)/AM176)</f>
        <v>0</v>
      </c>
      <c r="AN174" s="833">
        <f ca="1">IF(AN176=0,0,(AN175*AN176+AN177*AN178*6)/AN176)</f>
        <v>0</v>
      </c>
      <c r="AO174" s="723">
        <f ca="1">IF(AM174=0,0,(AN174-AM174)/AM174*100)</f>
        <v>0</v>
      </c>
      <c r="AP174" s="833">
        <f ca="1">IF(AP176=0,0,(AP175*AP176+AP177*AP178*6)/AP176)</f>
        <v>0</v>
      </c>
      <c r="AQ174" s="833">
        <f ca="1">IF(AQ176=0,0,(AQ175*AQ176+AQ177*AQ178*6)/AQ176)</f>
        <v>0</v>
      </c>
      <c r="AR174" s="723">
        <f ca="1">IF(AP174=0,0,(AQ174-AP174)/AP174*100)</f>
        <v>0</v>
      </c>
      <c r="AS174" s="833">
        <f ca="1">IF(AS176=0,0,(AS175*AS176+AS177*AS178*6)/AS176)</f>
        <v>0</v>
      </c>
      <c r="AT174" s="833">
        <f ca="1">IF(AT176=0,0,(AT175*AT176+AT177*AT178*6)/AT176)</f>
        <v>0</v>
      </c>
      <c r="AU174" s="723">
        <f ca="1">IF(AS174=0,0,(AT174-AS174)/AS174*100)</f>
        <v>0</v>
      </c>
      <c r="AV174" s="833">
        <f ca="1">IF(AV176=0,0,(AV175*AV176+AV177*AV178*6)/AV176)</f>
        <v>0</v>
      </c>
      <c r="AW174" s="833">
        <f ca="1">IF(AW176=0,0,(AW175*AW176+AW177*AW178*6)/AW176)</f>
        <v>0</v>
      </c>
      <c r="AX174" s="723">
        <f ca="1">IF(AV174=0,0,(AW174-AV174)/AV174*100)</f>
        <v>0</v>
      </c>
      <c r="AY174" s="833">
        <f ca="1">IF(AY176=0,0,(AY175*AY176+AY177*AY178*6)/AY176)</f>
        <v>0</v>
      </c>
      <c r="AZ174" s="833">
        <f ca="1">IF(AZ176=0,0,(AZ175*AZ176+AZ177*AZ178*6)/AZ176)</f>
        <v>0</v>
      </c>
      <c r="BA174" s="723">
        <f ca="1">IF(AY174=0,0,(AZ174-AY174)/AY174*100)</f>
        <v>0</v>
      </c>
      <c r="BB174" s="833">
        <f ca="1">IF(BB176=0,0,(BB175*BB176+BB177*BB178*6)/BB176)</f>
        <v>0</v>
      </c>
      <c r="BC174" s="833">
        <f ca="1">IF(BC176=0,0,(BC175*BC176+BC177*BC178*6)/BC176)</f>
        <v>0</v>
      </c>
      <c r="BD174" s="723">
        <f ca="1">IF(BB174=0,0,(BC174-BB174)/BB174*100)</f>
        <v>0</v>
      </c>
      <c r="BE174" s="833">
        <f ca="1">IF(BE176=0,0,(BE175*BE176+BE177*BE178*6)/BE176)</f>
        <v>0</v>
      </c>
      <c r="BF174" s="833">
        <f ca="1">IF(BF176=0,0,(BF175*BF176+BF177*BF178*6)/BF176)</f>
        <v>0</v>
      </c>
      <c r="BG174" s="723">
        <f ca="1">IF(BE174=0,0,(BF174-BE174)/BE174*100)</f>
        <v>0</v>
      </c>
      <c r="BH174" s="833">
        <f>IF(BH176=0,0,(BH175*BH176+BH177*BH178*6)/BH176)</f>
        <v>0</v>
      </c>
      <c r="BI174" s="833">
        <f>IF(BI176=0,0,(BI175*BI176+BI177*BI178*6)/BI176)</f>
        <v>0</v>
      </c>
      <c r="BJ174" s="723">
        <f>IF(BH174=0,0,(BI174-BH174)/BH174*100)</f>
        <v>0</v>
      </c>
      <c r="BK174" s="833">
        <f>IF(BK176=0,0,(BK175*BK176+BK177*BK178*6)/BK176)</f>
        <v>0</v>
      </c>
      <c r="BL174" s="833">
        <f>IF(BL176=0,0,(BL175*BL176+BL177*BL178*6)/BL176)</f>
        <v>0</v>
      </c>
      <c r="BM174" s="723">
        <f>IF(BK174=0,0,(BL174-BK174)/BK174*100)</f>
        <v>0</v>
      </c>
      <c r="BN174" s="833">
        <f>IF(BN176=0,0,(BN175*BN176+BN177*BN178*6)/BN176)</f>
        <v>0</v>
      </c>
      <c r="BO174" s="833">
        <f>IF(BO176=0,0,(BO175*BO176+BO177*BO178*6)/BO176)</f>
        <v>0</v>
      </c>
      <c r="BP174" s="723">
        <f>IF(BN174=0,0,(BO174-BN174)/BN174*100)</f>
        <v>0</v>
      </c>
      <c r="BQ174" s="833">
        <f>IF(BQ176=0,0,(BQ175*BQ176+BQ177*BQ178*6)/BQ176)</f>
        <v>0</v>
      </c>
      <c r="BR174" s="833">
        <f>IF(BR176=0,0,(BR175*BR176+BR177*BR178*6)/BR176)</f>
        <v>0</v>
      </c>
      <c r="BS174" s="723">
        <f>IF(BQ174=0,0,(BR174-BQ174)/BQ174*100)</f>
        <v>0</v>
      </c>
      <c r="BT174" s="833">
        <f>IF(BT176=0,0,(BT175*BT176+BT177*BT178*6)/BT176)</f>
        <v>0</v>
      </c>
      <c r="BU174" s="833">
        <f>IF(BU176=0,0,(BU175*BU176+BU177*BU178*6)/BU176)</f>
        <v>0</v>
      </c>
      <c r="BV174" s="723">
        <f>IF(BT174=0,0,(BU174-BT174)/BT174*100)</f>
        <v>0</v>
      </c>
      <c r="BW174" s="833">
        <f>IF(BW176=0,0,(BW175*BW176+BW177*BW178*6)/BW176)</f>
        <v>0</v>
      </c>
      <c r="BX174" s="833">
        <f>IF(BX176=0,0,(BX175*BX176+BX177*BX178*6)/BX176)</f>
        <v>0</v>
      </c>
      <c r="BY174" s="723">
        <f>IF(BW174=0,0,(BX174-BW174)/BW174*100)</f>
        <v>0</v>
      </c>
      <c r="BZ174" s="833">
        <f>IF(BZ176=0,0,(BZ175*BZ176+BZ177*BZ178*6)/BZ176)</f>
        <v>0</v>
      </c>
      <c r="CA174" s="833">
        <f>IF(CA176=0,0,(CA175*CA176+CA177*CA178*6)/CA176)</f>
        <v>0</v>
      </c>
      <c r="CB174" s="723">
        <f>IF(BZ174=0,0,(CA174-BZ174)/BZ174*100)</f>
        <v>0</v>
      </c>
      <c r="CC174" s="833">
        <f>IF(CC176=0,0,(CC175*CC176+CC177*CC178*6)/CC176)</f>
        <v>0</v>
      </c>
      <c r="CD174" s="833">
        <f>IF(CD176=0,0,(CD175*CD176+CD177*CD178*6)/CD176)</f>
        <v>0</v>
      </c>
      <c r="CE174" s="723">
        <f>IF(CC174=0,0,(CD174-CC174)/CC174*100)</f>
        <v>0</v>
      </c>
      <c r="CF174" s="833">
        <f>IF(CF176=0,0,(CF175*CF176+CF177*CF178*6)/CF176)</f>
        <v>0</v>
      </c>
      <c r="CG174" s="833">
        <f>IF(CG176=0,0,(CG175*CG176+CG177*CG178*6)/CG176)</f>
        <v>0</v>
      </c>
      <c r="CH174" s="723">
        <f>IF(CF174=0,0,(CG174-CF174)/CF174*100)</f>
        <v>0</v>
      </c>
      <c r="CI174" s="833">
        <f>IF(CI176=0,0,(CI175*CI176+CI177*CI178*6)/CI176)</f>
        <v>0</v>
      </c>
      <c r="CJ174" s="833">
        <f>IF(CJ176=0,0,(CJ175*CJ176+CJ177*CJ178*6)/CJ176)</f>
        <v>0</v>
      </c>
      <c r="CK174" s="723">
        <f>IF(CI174=0,0,(CJ174-CI174)/CI174*100)</f>
        <v>0</v>
      </c>
      <c r="CL174" s="833">
        <f>IF(CL176=0,0,(CL175*CL176+CL177*CL178*6)/CL176)</f>
        <v>0</v>
      </c>
      <c r="CM174" s="833">
        <f>IF(CM176=0,0,(CM175*CM176+CM177*CM178*6)/CM176)</f>
        <v>0</v>
      </c>
      <c r="CN174" s="723">
        <f>IF(CL174=0,0,(CM174-CL174)/CL174*100)</f>
        <v>0</v>
      </c>
      <c r="CO174" s="833">
        <f>IF(CO176=0,0,(CO175*CO176+CO177*CO178*6)/CO176)</f>
        <v>0</v>
      </c>
      <c r="CP174" s="833">
        <f>IF(CP176=0,0,(CP175*CP176+CP177*CP178*6)/CP176)</f>
        <v>0</v>
      </c>
      <c r="CQ174" s="723">
        <f>IF(CO174=0,0,(CP174-CO174)/CO174*100)</f>
        <v>0</v>
      </c>
      <c r="CR174" s="833">
        <f>IF(CR176=0,0,(CR175*CR176+CR177*CR178*6)/CR176)</f>
        <v>0</v>
      </c>
      <c r="CS174" s="833">
        <f>IF(CS176=0,0,(CS175*CS176+CS177*CS178*6)/CS176)</f>
        <v>0</v>
      </c>
      <c r="CT174" s="723">
        <f>IF(CR174=0,0,(CS174-CR174)/CR174*100)</f>
        <v>0</v>
      </c>
      <c r="CU174" s="833">
        <f>IF(CU176=0,0,(CU175*CU176+CU177*CU178*6)/CU176)</f>
        <v>0</v>
      </c>
      <c r="CV174" s="833">
        <f>IF(CV176=0,0,(CV175*CV176+CV177*CV178*6)/CV176)</f>
        <v>0</v>
      </c>
      <c r="CW174" s="723">
        <f>IF(CU174=0,0,(CV174-CU174)/CU174*100)</f>
        <v>0</v>
      </c>
      <c r="CX174" s="833">
        <f>IF(CX176=0,0,(CX175*CX176+CX177*CX178*6)/CX176)</f>
        <v>0</v>
      </c>
      <c r="CY174" s="833">
        <f>IF(CY176=0,0,(CY175*CY176+CY177*CY178*6)/CY176)</f>
        <v>0</v>
      </c>
      <c r="CZ174" s="723">
        <f>IF(CX174=0,0,(CY174-CX174)/CX174*100)</f>
        <v>0</v>
      </c>
      <c r="DA174" s="833">
        <f>IF(DA176=0,0,(DA175*DA176+DA177*DA178*6)/DA176)</f>
        <v>0</v>
      </c>
      <c r="DB174" s="833">
        <f>IF(DB176=0,0,(DB175*DB176+DB177*DB178*6)/DB176)</f>
        <v>0</v>
      </c>
      <c r="DC174" s="723">
        <f>IF(DA174=0,0,(DB174-DA174)/DA174*100)</f>
        <v>0</v>
      </c>
      <c r="DD174" s="833">
        <f>IF(DD176=0,0,(DD175*DD176+DD177*DD178*6)/DD176)</f>
        <v>0</v>
      </c>
      <c r="DE174" s="833">
        <f>IF(DE176=0,0,(DE175*DE176+DE177*DE178*6)/DE176)</f>
        <v>0</v>
      </c>
      <c r="DF174" s="723">
        <f>IF(DD174=0,0,(DE174-DD174)/DD174*100)</f>
        <v>0</v>
      </c>
      <c r="DG174" s="833">
        <f>IF(DG176=0,0,(DG175*DG176+DG177*DG178*6)/DG176)</f>
        <v>0</v>
      </c>
      <c r="DH174" s="833">
        <f>IF(DH176=0,0,(DH175*DH176+DH177*DH178*6)/DH176)</f>
        <v>0</v>
      </c>
      <c r="DI174" s="723">
        <f>IF(DG174=0,0,(DH174-DG174)/DG174*100)</f>
        <v>0</v>
      </c>
      <c r="DJ174" s="833">
        <f>IF(DJ176=0,0,(DJ175*DJ176+DJ177*DJ178*6)/DJ176)</f>
        <v>0</v>
      </c>
      <c r="DK174" s="833">
        <f>IF(DK176=0,0,(DK175*DK176+DK177*DK178*6)/DK176)</f>
        <v>0</v>
      </c>
      <c r="DL174" s="723">
        <f>IF(DJ174=0,0,(DK174-DJ174)/DJ174*100)</f>
        <v>0</v>
      </c>
      <c r="DM174" s="833">
        <f>IF(DM176=0,0,(DM175*DM176+DM177*DM178*6)/DM176)</f>
        <v>0</v>
      </c>
      <c r="DN174" s="833">
        <f>IF(DN176=0,0,(DN175*DN176+DN177*DN178*6)/DN176)</f>
        <v>0</v>
      </c>
      <c r="DO174" s="723">
        <f>IF(DM174=0,0,(DN174-DM174)/DM174*100)</f>
        <v>0</v>
      </c>
      <c r="DP174" s="833">
        <f>IF(DP176=0,0,(DP175*DP176+DP177*DP178*6)/DP176)</f>
        <v>0</v>
      </c>
      <c r="DQ174" s="833">
        <f>IF(DQ176=0,0,(DQ175*DQ176+DQ177*DQ178*6)/DQ176)</f>
        <v>0</v>
      </c>
      <c r="DR174" s="723">
        <f>IF(DP174=0,0,(DQ174-DP174)/DP174*100)</f>
        <v>0</v>
      </c>
      <c r="DS174" s="833">
        <f>IF(DS176=0,0,(DS175*DS176+DS177*DS178*6)/DS176)</f>
        <v>0</v>
      </c>
      <c r="DT174" s="833">
        <f>IF(DT176=0,0,(DT175*DT176+DT177*DT178*6)/DT176)</f>
        <v>0</v>
      </c>
      <c r="DU174" s="723">
        <f>IF(DS174=0,0,(DT174-DS174)/DS174*100)</f>
        <v>0</v>
      </c>
      <c r="DV174" s="833">
        <f>IF(DV176=0,0,(DV175*DV176+DV177*DV178*6)/DV176)</f>
        <v>0</v>
      </c>
      <c r="DW174" s="833">
        <f>IF(DW176=0,0,(DW175*DW176+DW177*DW178*6)/DW176)</f>
        <v>0</v>
      </c>
      <c r="DX174" s="723">
        <f>IF(DV174=0,0,(DW174-DV174)/DV174*100)</f>
        <v>0</v>
      </c>
      <c r="DY174" s="833">
        <f>IF(DY176=0,0,(DY175*DY176+DY177*DY178*6)/DY176)</f>
        <v>0</v>
      </c>
      <c r="DZ174" s="833">
        <f>IF(DZ176=0,0,(DZ175*DZ176+DZ177*DZ178*6)/DZ176)</f>
        <v>0</v>
      </c>
      <c r="EA174" s="723">
        <f>IF(DY174=0,0,(DZ174-DY174)/DY174*100)</f>
        <v>0</v>
      </c>
      <c r="EB174" s="833">
        <f>IF(EB176=0,0,(EB175*EB176+EB177*EB178*6)/EB176)</f>
        <v>0</v>
      </c>
      <c r="EC174" s="833">
        <f>IF(EC176=0,0,(EC175*EC176+EC177*EC178*6)/EC176)</f>
        <v>0</v>
      </c>
      <c r="ED174" s="723">
        <f>IF(EB174=0,0,(EC174-EB174)/EB174*100)</f>
        <v>0</v>
      </c>
      <c r="EE174" s="833">
        <f>IF(EE176=0,0,(EE175*EE176+EE177*EE178*6)/EE176)</f>
        <v>0</v>
      </c>
      <c r="EF174" s="833">
        <f>IF(EF176=0,0,(EF175*EF176+EF177*EF178*6)/EF176)</f>
        <v>0</v>
      </c>
      <c r="EG174" s="723">
        <f>IF(EE174=0,0,(EF174-EE174)/EE174*100)</f>
        <v>0</v>
      </c>
      <c r="EH174" s="833">
        <f>IF(EH176=0,0,(EH175*EH176+EH177*EH178*6)/EH176)</f>
        <v>0</v>
      </c>
      <c r="EI174" s="833">
        <f>IF(EI176=0,0,(EI175*EI176+EI177*EI178*6)/EI176)</f>
        <v>0</v>
      </c>
      <c r="EJ174" s="723">
        <f>IF(EH174=0,0,(EI174-EH174)/EH174*100)</f>
        <v>0</v>
      </c>
      <c r="EK174" s="833">
        <f>IF(EK176=0,0,(EK175*EK176+EK177*EK178*6)/EK176)</f>
        <v>0</v>
      </c>
      <c r="EL174" s="833">
        <f>IF(EL176=0,0,(EL175*EL176+EL177*EL178*6)/EL176)</f>
        <v>0</v>
      </c>
      <c r="EM174" s="723">
        <f>IF(EK174=0,0,(EL174-EK174)/EK174*100)</f>
        <v>0</v>
      </c>
      <c r="EN174" s="833">
        <f>IF(EN176=0,0,(EN175*EN176+EN177*EN178*6)/EN176)</f>
        <v>0</v>
      </c>
      <c r="EO174" s="833">
        <f>IF(EO176=0,0,(EO175*EO176+EO177*EO178*6)/EO176)</f>
        <v>0</v>
      </c>
      <c r="EP174" s="723">
        <f>IF(EN174=0,0,(EO174-EN174)/EN174*100)</f>
        <v>0</v>
      </c>
      <c r="EQ174" s="833">
        <f>IF(EQ176=0,0,(EQ175*EQ176+EQ177*EQ178*6)/EQ176)</f>
        <v>0</v>
      </c>
      <c r="ER174" s="833">
        <f>IF(ER176=0,0,(ER175*ER176+ER177*ER178*6)/ER176)</f>
        <v>0</v>
      </c>
      <c r="ES174" s="723">
        <f>IF(EQ174=0,0,(ER174-EQ174)/EQ174*100)</f>
        <v>0</v>
      </c>
      <c r="ET174" s="833">
        <f>IF(ET176=0,0,(ET175*ET176+ET177*ET178*6)/ET176)</f>
        <v>0</v>
      </c>
      <c r="EU174" s="833">
        <f>IF(EU176=0,0,(EU175*EU176+EU177*EU178*6)/EU176)</f>
        <v>0</v>
      </c>
      <c r="EV174" s="723">
        <f>IF(ET174=0,0,(EU174-ET174)/ET174*100)</f>
        <v>0</v>
      </c>
      <c r="EW174" s="833">
        <f>IF(EW176=0,0,(EW175*EW176+EW177*EW178*6)/EW176)</f>
        <v>0</v>
      </c>
      <c r="EX174" s="833">
        <f>IF(EX176=0,0,(EX175*EX176+EX177*EX178*6)/EX176)</f>
        <v>0</v>
      </c>
      <c r="EY174" s="723">
        <f>IF(EW174=0,0,(EX174-EW174)/EW174*100)</f>
        <v>0</v>
      </c>
      <c r="EZ174" s="833">
        <f>IF(EZ176=0,0,(EZ175*EZ176+EZ177*EZ178*6)/EZ176)</f>
        <v>0</v>
      </c>
      <c r="FA174" s="833">
        <f>IF(FA176=0,0,(FA175*FA176+FA177*FA178*6)/FA176)</f>
        <v>0</v>
      </c>
      <c r="FB174" s="723">
        <f>IF(EZ174=0,0,(FA174-EZ174)/EZ174*100)</f>
        <v>0</v>
      </c>
      <c r="FC174" s="833">
        <f>IF(FC176=0,0,(FC175*FC176+FC177*FC178*6)/FC176)</f>
        <v>0</v>
      </c>
      <c r="FD174" s="833">
        <f>IF(FD176=0,0,(FD175*FD176+FD177*FD178*6)/FD176)</f>
        <v>0</v>
      </c>
      <c r="FE174" s="723">
        <f>IF(FC174=0,0,(FD174-FC174)/FC174*100)</f>
        <v>0</v>
      </c>
      <c r="FF174" s="833">
        <f>IF(FF176=0,0,(FF175*FF176+FF177*FF178*6)/FF176)</f>
        <v>0</v>
      </c>
      <c r="FG174" s="833">
        <f>IF(FG176=0,0,(FG175*FG176+FG177*FG178*6)/FG176)</f>
        <v>0</v>
      </c>
      <c r="FH174" s="723">
        <f>IF(FF174=0,0,(FG174-FF174)/FF174*100)</f>
        <v>0</v>
      </c>
      <c r="FI174" s="833">
        <f>IF(FI176=0,0,(FI175*FI176+FI177*FI178*6)/FI176)</f>
        <v>0</v>
      </c>
      <c r="FJ174" s="833">
        <f>IF(FJ176=0,0,(FJ175*FJ176+FJ177*FJ178*6)/FJ176)</f>
        <v>0</v>
      </c>
      <c r="FK174" s="723">
        <f>IF(FI174=0,0,(FJ174-FI174)/FI174*100)</f>
        <v>0</v>
      </c>
      <c r="FL174" s="833">
        <f>IF(FL176=0,0,(FL175*FL176+FL177*FL178*6)/FL176)</f>
        <v>0</v>
      </c>
      <c r="FM174" s="833">
        <f>IF(FM176=0,0,(FM175*FM176+FM177*FM178*6)/FM176)</f>
        <v>0</v>
      </c>
      <c r="FN174" s="723">
        <f>IF(FL174=0,0,(FM174-FL174)/FL174*100)</f>
        <v>0</v>
      </c>
      <c r="FO174" s="833">
        <f>IF(FO176=0,0,(FO175*FO176+FO177*FO178*6)/FO176)</f>
        <v>0</v>
      </c>
      <c r="FP174" s="833">
        <f>IF(FP176=0,0,(FP175*FP176+FP177*FP178*6)/FP176)</f>
        <v>0</v>
      </c>
      <c r="FQ174" s="723">
        <f>IF(FO174=0,0,(FP174-FO174)/FO174*100)</f>
        <v>0</v>
      </c>
      <c r="FR174" s="833">
        <f>IF(FR176=0,0,(FR175*FR176+FR177*FR178*6)/FR176)</f>
        <v>0</v>
      </c>
      <c r="FS174" s="833">
        <f>IF(FS176=0,0,(FS175*FS176+FS177*FS178*6)/FS176)</f>
        <v>0</v>
      </c>
      <c r="FT174" s="723">
        <f>IF(FR174=0,0,(FS174-FR174)/FR174*100)</f>
        <v>0</v>
      </c>
      <c r="FU174" s="833">
        <f>IF(FU176=0,0,(FU175*FU176+FU177*FU178*6)/FU176)</f>
        <v>0</v>
      </c>
      <c r="FV174" s="833">
        <f>IF(FV176=0,0,(FV175*FV176+FV177*FV178*6)/FV176)</f>
        <v>0</v>
      </c>
      <c r="FW174" s="723">
        <f>IF(FU174=0,0,(FV174-FU174)/FU174*100)</f>
        <v>0</v>
      </c>
      <c r="FZ174" s="700" t="s">
        <v>1658</v>
      </c>
    </row>
    <row r="175" spans="1:186" ht="14.25" hidden="1" customHeight="1">
      <c r="A175" s="78"/>
      <c r="B175" s="622" t="b" cm="1">
        <f t="array" ref="B175">B174</f>
        <v>0</v>
      </c>
      <c r="C175" s="78"/>
      <c r="D175" s="78"/>
      <c r="E175" s="473">
        <v>15</v>
      </c>
      <c r="F175" s="3" t="str" cm="1">
        <f t="array" aca="1" ref="F175" ca="1">OFFSET(E175,-1,1)</f>
        <v>2</v>
      </c>
      <c r="G175" s="78"/>
      <c r="H175" s="78" t="s">
        <v>1566</v>
      </c>
      <c r="I175" s="78" t="s">
        <v>1622</v>
      </c>
      <c r="J175" s="78"/>
      <c r="K175" s="78"/>
      <c r="L175" s="78"/>
      <c r="M175" s="78"/>
      <c r="N175" s="78"/>
      <c r="O175" s="78"/>
      <c r="P175" s="78"/>
      <c r="Q175" s="78"/>
      <c r="R175" s="78"/>
      <c r="S175" s="78"/>
      <c r="T175" s="365" t="b" cm="1">
        <f t="array" aca="1" ref="T175" ca="1">T174</f>
        <v>1</v>
      </c>
      <c r="U175" s="78"/>
      <c r="V175" s="78"/>
      <c r="W175" s="78"/>
      <c r="X175" s="1094"/>
      <c r="Y175" s="78"/>
      <c r="Z175" s="1064"/>
      <c r="AA175" s="78"/>
      <c r="AB175" s="124" t="str">
        <f>"ставка платы за "&amp;IF(Q155="Водоснабжение","потребление 1 куб.м холодной воды","объем принятых сточных вод")</f>
        <v>ставка платы за объем принятых сточных вод</v>
      </c>
      <c r="AC175" s="31" t="s">
        <v>1624</v>
      </c>
      <c r="AD175" s="833"/>
      <c r="AE175" s="833"/>
      <c r="AF175" s="723">
        <f>IF(AD175=0,0,(AE175-AD175)/AD175*100)</f>
        <v>0</v>
      </c>
      <c r="AG175" s="833"/>
      <c r="AH175" s="833"/>
      <c r="AI175" s="723">
        <f>IF(AG175=0,0,(AH175-AG175)/AG175*100)</f>
        <v>0</v>
      </c>
      <c r="AJ175" s="833"/>
      <c r="AK175" s="833"/>
      <c r="AL175" s="723">
        <f>IF(AJ175=0,0,(AK175-AJ175)/AJ175*100)</f>
        <v>0</v>
      </c>
      <c r="AM175" s="833"/>
      <c r="AN175" s="833"/>
      <c r="AO175" s="723">
        <f>IF(AM175=0,0,(AN175-AM175)/AM175*100)</f>
        <v>0</v>
      </c>
      <c r="AP175" s="833"/>
      <c r="AQ175" s="833"/>
      <c r="AR175" s="723">
        <f>IF(AP175=0,0,(AQ175-AP175)/AP175*100)</f>
        <v>0</v>
      </c>
      <c r="AS175" s="833"/>
      <c r="AT175" s="833"/>
      <c r="AU175" s="723">
        <f>IF(AS175=0,0,(AT175-AS175)/AS175*100)</f>
        <v>0</v>
      </c>
      <c r="AV175" s="833"/>
      <c r="AW175" s="833"/>
      <c r="AX175" s="723">
        <f>IF(AV175=0,0,(AW175-AV175)/AV175*100)</f>
        <v>0</v>
      </c>
      <c r="AY175" s="833"/>
      <c r="AZ175" s="833"/>
      <c r="BA175" s="723">
        <f>IF(AY175=0,0,(AZ175-AY175)/AY175*100)</f>
        <v>0</v>
      </c>
      <c r="BB175" s="833"/>
      <c r="BC175" s="833"/>
      <c r="BD175" s="723">
        <f>IF(BB175=0,0,(BC175-BB175)/BB175*100)</f>
        <v>0</v>
      </c>
      <c r="BE175" s="833"/>
      <c r="BF175" s="833"/>
      <c r="BG175" s="723">
        <f>IF(BE175=0,0,(BF175-BE175)/BE175*100)</f>
        <v>0</v>
      </c>
      <c r="BH175" s="833"/>
      <c r="BI175" s="833"/>
      <c r="BJ175" s="723">
        <f>IF(BH175=0,0,(BI175-BH175)/BH175*100)</f>
        <v>0</v>
      </c>
      <c r="BK175" s="833"/>
      <c r="BL175" s="833"/>
      <c r="BM175" s="723">
        <f>IF(BK175=0,0,(BL175-BK175)/BK175*100)</f>
        <v>0</v>
      </c>
      <c r="BN175" s="833"/>
      <c r="BO175" s="833"/>
      <c r="BP175" s="723">
        <f>IF(BN175=0,0,(BO175-BN175)/BN175*100)</f>
        <v>0</v>
      </c>
      <c r="BQ175" s="833"/>
      <c r="BR175" s="833"/>
      <c r="BS175" s="723">
        <f>IF(BQ175=0,0,(BR175-BQ175)/BQ175*100)</f>
        <v>0</v>
      </c>
      <c r="BT175" s="833"/>
      <c r="BU175" s="833"/>
      <c r="BV175" s="723">
        <f>IF(BT175=0,0,(BU175-BT175)/BT175*100)</f>
        <v>0</v>
      </c>
      <c r="BW175" s="833"/>
      <c r="BX175" s="833"/>
      <c r="BY175" s="723">
        <f>IF(BW175=0,0,(BX175-BW175)/BW175*100)</f>
        <v>0</v>
      </c>
      <c r="BZ175" s="833"/>
      <c r="CA175" s="833"/>
      <c r="CB175" s="723">
        <f>IF(BZ175=0,0,(CA175-BZ175)/BZ175*100)</f>
        <v>0</v>
      </c>
      <c r="CC175" s="833"/>
      <c r="CD175" s="833"/>
      <c r="CE175" s="723">
        <f>IF(CC175=0,0,(CD175-CC175)/CC175*100)</f>
        <v>0</v>
      </c>
      <c r="CF175" s="833"/>
      <c r="CG175" s="833"/>
      <c r="CH175" s="723">
        <f>IF(CF175=0,0,(CG175-CF175)/CF175*100)</f>
        <v>0</v>
      </c>
      <c r="CI175" s="833"/>
      <c r="CJ175" s="833"/>
      <c r="CK175" s="723">
        <f>IF(CI175=0,0,(CJ175-CI175)/CI175*100)</f>
        <v>0</v>
      </c>
      <c r="CL175" s="833"/>
      <c r="CM175" s="833"/>
      <c r="CN175" s="723">
        <f>IF(CL175=0,0,(CM175-CL175)/CL175*100)</f>
        <v>0</v>
      </c>
      <c r="CO175" s="833"/>
      <c r="CP175" s="833"/>
      <c r="CQ175" s="723">
        <f>IF(CO175=0,0,(CP175-CO175)/CO175*100)</f>
        <v>0</v>
      </c>
      <c r="CR175" s="833"/>
      <c r="CS175" s="833"/>
      <c r="CT175" s="723">
        <f>IF(CR175=0,0,(CS175-CR175)/CR175*100)</f>
        <v>0</v>
      </c>
      <c r="CU175" s="833"/>
      <c r="CV175" s="833"/>
      <c r="CW175" s="723">
        <f>IF(CU175=0,0,(CV175-CU175)/CU175*100)</f>
        <v>0</v>
      </c>
      <c r="CX175" s="833"/>
      <c r="CY175" s="833"/>
      <c r="CZ175" s="723">
        <f>IF(CX175=0,0,(CY175-CX175)/CX175*100)</f>
        <v>0</v>
      </c>
      <c r="DA175" s="833"/>
      <c r="DB175" s="833"/>
      <c r="DC175" s="723">
        <f>IF(DA175=0,0,(DB175-DA175)/DA175*100)</f>
        <v>0</v>
      </c>
      <c r="DD175" s="833"/>
      <c r="DE175" s="833"/>
      <c r="DF175" s="723">
        <f>IF(DD175=0,0,(DE175-DD175)/DD175*100)</f>
        <v>0</v>
      </c>
      <c r="DG175" s="833"/>
      <c r="DH175" s="833"/>
      <c r="DI175" s="723">
        <f>IF(DG175=0,0,(DH175-DG175)/DG175*100)</f>
        <v>0</v>
      </c>
      <c r="DJ175" s="833"/>
      <c r="DK175" s="833"/>
      <c r="DL175" s="723">
        <f>IF(DJ175=0,0,(DK175-DJ175)/DJ175*100)</f>
        <v>0</v>
      </c>
      <c r="DM175" s="833"/>
      <c r="DN175" s="833"/>
      <c r="DO175" s="723">
        <f>IF(DM175=0,0,(DN175-DM175)/DM175*100)</f>
        <v>0</v>
      </c>
      <c r="DP175" s="833"/>
      <c r="DQ175" s="833"/>
      <c r="DR175" s="723">
        <f>IF(DP175=0,0,(DQ175-DP175)/DP175*100)</f>
        <v>0</v>
      </c>
      <c r="DS175" s="833"/>
      <c r="DT175" s="833"/>
      <c r="DU175" s="723">
        <f>IF(DS175=0,0,(DT175-DS175)/DS175*100)</f>
        <v>0</v>
      </c>
      <c r="DV175" s="833"/>
      <c r="DW175" s="833"/>
      <c r="DX175" s="723">
        <f>IF(DV175=0,0,(DW175-DV175)/DV175*100)</f>
        <v>0</v>
      </c>
      <c r="DY175" s="833"/>
      <c r="DZ175" s="833"/>
      <c r="EA175" s="723">
        <f>IF(DY175=0,0,(DZ175-DY175)/DY175*100)</f>
        <v>0</v>
      </c>
      <c r="EB175" s="833"/>
      <c r="EC175" s="833"/>
      <c r="ED175" s="723">
        <f>IF(EB175=0,0,(EC175-EB175)/EB175*100)</f>
        <v>0</v>
      </c>
      <c r="EE175" s="833"/>
      <c r="EF175" s="833"/>
      <c r="EG175" s="723">
        <f>IF(EE175=0,0,(EF175-EE175)/EE175*100)</f>
        <v>0</v>
      </c>
      <c r="EH175" s="833"/>
      <c r="EI175" s="833"/>
      <c r="EJ175" s="723">
        <f>IF(EH175=0,0,(EI175-EH175)/EH175*100)</f>
        <v>0</v>
      </c>
      <c r="EK175" s="833"/>
      <c r="EL175" s="833"/>
      <c r="EM175" s="723">
        <f>IF(EK175=0,0,(EL175-EK175)/EK175*100)</f>
        <v>0</v>
      </c>
      <c r="EN175" s="833"/>
      <c r="EO175" s="833"/>
      <c r="EP175" s="723">
        <f>IF(EN175=0,0,(EO175-EN175)/EN175*100)</f>
        <v>0</v>
      </c>
      <c r="EQ175" s="833"/>
      <c r="ER175" s="833"/>
      <c r="ES175" s="723">
        <f>IF(EQ175=0,0,(ER175-EQ175)/EQ175*100)</f>
        <v>0</v>
      </c>
      <c r="ET175" s="833"/>
      <c r="EU175" s="833"/>
      <c r="EV175" s="723">
        <f>IF(ET175=0,0,(EU175-ET175)/ET175*100)</f>
        <v>0</v>
      </c>
      <c r="EW175" s="833"/>
      <c r="EX175" s="833"/>
      <c r="EY175" s="723">
        <f>IF(EW175=0,0,(EX175-EW175)/EW175*100)</f>
        <v>0</v>
      </c>
      <c r="EZ175" s="833"/>
      <c r="FA175" s="833"/>
      <c r="FB175" s="723">
        <f>IF(EZ175=0,0,(FA175-EZ175)/EZ175*100)</f>
        <v>0</v>
      </c>
      <c r="FC175" s="833"/>
      <c r="FD175" s="833"/>
      <c r="FE175" s="723">
        <f>IF(FC175=0,0,(FD175-FC175)/FC175*100)</f>
        <v>0</v>
      </c>
      <c r="FF175" s="833"/>
      <c r="FG175" s="833"/>
      <c r="FH175" s="723">
        <f>IF(FF175=0,0,(FG175-FF175)/FF175*100)</f>
        <v>0</v>
      </c>
      <c r="FI175" s="833"/>
      <c r="FJ175" s="833"/>
      <c r="FK175" s="723">
        <f>IF(FI175=0,0,(FJ175-FI175)/FI175*100)</f>
        <v>0</v>
      </c>
      <c r="FL175" s="833"/>
      <c r="FM175" s="833"/>
      <c r="FN175" s="723">
        <f>IF(FL175=0,0,(FM175-FL175)/FL175*100)</f>
        <v>0</v>
      </c>
      <c r="FO175" s="833"/>
      <c r="FP175" s="833"/>
      <c r="FQ175" s="723">
        <f>IF(FO175=0,0,(FP175-FO175)/FO175*100)</f>
        <v>0</v>
      </c>
      <c r="FR175" s="833"/>
      <c r="FS175" s="833"/>
      <c r="FT175" s="723">
        <f>IF(FR175=0,0,(FS175-FR175)/FR175*100)</f>
        <v>0</v>
      </c>
      <c r="FU175" s="833"/>
      <c r="FV175" s="833"/>
      <c r="FW175" s="723">
        <f>IF(FU175=0,0,(FV175-FU175)/FU175*100)</f>
        <v>0</v>
      </c>
      <c r="FZ175" s="700" t="s">
        <v>1659</v>
      </c>
    </row>
    <row r="176" spans="1:186" ht="14.25" hidden="1" customHeight="1">
      <c r="A176" s="78"/>
      <c r="B176" s="622" t="b" cm="1">
        <f t="array" ref="B176">B175</f>
        <v>0</v>
      </c>
      <c r="C176" s="78"/>
      <c r="D176" s="78"/>
      <c r="E176" s="473">
        <v>15</v>
      </c>
      <c r="F176" s="3" t="str" cm="1">
        <f t="array" aca="1" ref="F176" ca="1">OFFSET(E176,-1,1)</f>
        <v>2</v>
      </c>
      <c r="G176" s="44" t="s">
        <v>1660</v>
      </c>
      <c r="H176" s="78" t="s">
        <v>1661</v>
      </c>
      <c r="I176" s="78" t="s">
        <v>1622</v>
      </c>
      <c r="J176" s="78"/>
      <c r="K176" s="78"/>
      <c r="L176" s="78"/>
      <c r="M176" s="78"/>
      <c r="N176" s="78"/>
      <c r="O176" s="78"/>
      <c r="P176" s="78"/>
      <c r="Q176" s="78"/>
      <c r="R176" s="78"/>
      <c r="S176" s="78"/>
      <c r="T176" s="365" t="b" cm="1">
        <f t="array" aca="1" ref="T176" ca="1">T175</f>
        <v>1</v>
      </c>
      <c r="U176" s="78"/>
      <c r="V176" s="78"/>
      <c r="W176" s="78"/>
      <c r="X176" s="1094"/>
      <c r="Y176" s="78"/>
      <c r="Z176" s="1064"/>
      <c r="AA176" s="78"/>
      <c r="AB176" s="124" t="str">
        <f>"объём "&amp;IF(Q155="Водоснабжение","потребления холодной воды","водоотведения")</f>
        <v>объём водоотведения</v>
      </c>
      <c r="AC176" s="31" t="s">
        <v>534</v>
      </c>
      <c r="AD176" s="849">
        <f ca="1">IF(AND(method_reg="Метод индексации",god&lt;&gt;first_year),SUMIFS(INDEX('Калькуляция (МИ корр)'!$AJ$25:$BC$459,,MATCH(AD$8,'Калькуляция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(МИ)'!$AJ$25:$BC$459,,MATCH(AD$8,'Калькуляция (МИ)'!$AJ$8:$BC$8,0)),'Калькуляция (МИ)'!$F$25:$F$459,$F176,'Калькуляция (МИ)'!$G$25:$G$459,$G176))))</f>
        <v>704.20274999999992</v>
      </c>
      <c r="AE176" s="849">
        <f ca="1">IF(AND(method_reg="Метод индексации",god&lt;&gt;first_year),SUMIFS(INDEX('Калькуляция (МИ корр)'!$AJ$25:$BC$459,,MATCH(AE$8,'Калькуляция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(МИ)'!$AJ$25:$BC$459,,MATCH(AE$8,'Калькуляция (МИ)'!$AJ$8:$BC$8,0)),'Калькуляция (МИ)'!$F$25:$F$459,$F176,'Калькуляция (МИ)'!$G$25:$G$459,$G176))))</f>
        <v>711.12225000000001</v>
      </c>
      <c r="AF176" s="724">
        <f ca="1">IF(AD176=0,0,(AE176-AD176)/AD176*100)</f>
        <v>0.98260053656423307</v>
      </c>
      <c r="AG176" s="849">
        <f ca="1">IF(AND(method_reg="Метод индексации",god&lt;&gt;first_year),SUMIFS(INDEX('Калькуляция (МИ корр)'!$AJ$25:$BC$459,,MATCH(AG$8,'Калькуляция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(МИ)'!$AJ$25:$BC$459,,MATCH(AG$8,'Калькуляция (МИ)'!$AJ$8:$BC$8,0)),'Калькуляция (МИ)'!$F$25:$F$459,$F176,'Калькуляция (МИ)'!$G$25:$G$459,$G176))))</f>
        <v>0</v>
      </c>
      <c r="AH176" s="849">
        <f ca="1">IF(AND(method_reg="Метод индексации",god&lt;&gt;first_year),SUMIFS(INDEX('Калькуляция (МИ корр)'!$AJ$25:$BC$459,,MATCH(AH$8,'Калькуляция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(МИ)'!$AJ$25:$BC$459,,MATCH(AH$8,'Калькуляция (МИ)'!$AJ$8:$BC$8,0)),'Калькуляция (МИ)'!$F$25:$F$459,$F176,'Калькуляция (МИ)'!$G$25:$G$459,$G176))))</f>
        <v>0</v>
      </c>
      <c r="AI176" s="724">
        <f ca="1">IF(AG176=0,0,(AH176-AG176)/AG176*100)</f>
        <v>0</v>
      </c>
      <c r="AJ176" s="849">
        <f ca="1">IF(AND(method_reg="Метод индексации",god&lt;&gt;first_year),SUMIFS(INDEX('Калькуляция (МИ корр)'!$AJ$25:$BC$459,,MATCH(AJ$8,'Калькуляция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(МИ)'!$AJ$25:$BC$459,,MATCH(AJ$8,'Калькуляция (МИ)'!$AJ$8:$BC$8,0)),'Калькуляция (МИ)'!$F$25:$F$459,$F176,'Калькуляция (МИ)'!$G$25:$G$459,$G176))))</f>
        <v>0</v>
      </c>
      <c r="AK176" s="849">
        <f ca="1">IF(AND(method_reg="Метод индексации",god&lt;&gt;first_year),SUMIFS(INDEX('Калькуляция (МИ корр)'!$AJ$25:$BC$459,,MATCH(AK$8,'Калькуляция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(МИ)'!$AJ$25:$BC$459,,MATCH(AK$8,'Калькуляция (МИ)'!$AJ$8:$BC$8,0)),'Калькуляция (МИ)'!$F$25:$F$459,$F176,'Калькуляция (МИ)'!$G$25:$G$459,$G176))))</f>
        <v>0</v>
      </c>
      <c r="AL176" s="724">
        <f ca="1">IF(AJ176=0,0,(AK176-AJ176)/AJ176*100)</f>
        <v>0</v>
      </c>
      <c r="AM176" s="849">
        <f ca="1">IF(AND(method_reg="Метод индексации",god&lt;&gt;first_year),SUMIFS(INDEX('Калькуляция (МИ корр)'!$AJ$25:$BC$459,,MATCH(AM$8,'Калькуляция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(МИ)'!$AJ$25:$BC$459,,MATCH(AM$8,'Калькуляция (МИ)'!$AJ$8:$BC$8,0)),'Калькуляция (МИ)'!$F$25:$F$459,$F176,'Калькуляция (МИ)'!$G$25:$G$459,$G176))))</f>
        <v>0</v>
      </c>
      <c r="AN176" s="849">
        <f ca="1">IF(AND(method_reg="Метод индексации",god&lt;&gt;first_year),SUMIFS(INDEX('Калькуляция (МИ корр)'!$AJ$25:$BC$459,,MATCH(AN$8,'Калькуляция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(МИ)'!$AJ$25:$BC$459,,MATCH(AN$8,'Калькуляция (МИ)'!$AJ$8:$BC$8,0)),'Калькуляция (МИ)'!$F$25:$F$459,$F176,'Калькуляция (МИ)'!$G$25:$G$459,$G176))))</f>
        <v>0</v>
      </c>
      <c r="AO176" s="724">
        <f ca="1">IF(AM176=0,0,(AN176-AM176)/AM176*100)</f>
        <v>0</v>
      </c>
      <c r="AP176" s="849">
        <f ca="1">IF(AND(method_reg="Метод индексации",god&lt;&gt;first_year),SUMIFS(INDEX('Калькуляция (МИ корр)'!$AJ$25:$BC$459,,MATCH(AP$8,'Калькуляция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(МИ)'!$AJ$25:$BC$459,,MATCH(AP$8,'Калькуляция (МИ)'!$AJ$8:$BC$8,0)),'Калькуляция (МИ)'!$F$25:$F$459,$F176,'Калькуляция (МИ)'!$G$25:$G$459,$G176))))</f>
        <v>0</v>
      </c>
      <c r="AQ176" s="849">
        <f ca="1">IF(AND(method_reg="Метод индексации",god&lt;&gt;first_year),SUMIFS(INDEX('Калькуляция (МИ корр)'!$AJ$25:$BC$459,,MATCH(AQ$8,'Калькуляция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(МИ)'!$AJ$25:$BC$459,,MATCH(AQ$8,'Калькуляция (МИ)'!$AJ$8:$BC$8,0)),'Калькуляция (МИ)'!$F$25:$F$459,$F176,'Калькуляция (МИ)'!$G$25:$G$459,$G176))))</f>
        <v>0</v>
      </c>
      <c r="AR176" s="724">
        <f ca="1">IF(AP176=0,0,(AQ176-AP176)/AP176*100)</f>
        <v>0</v>
      </c>
      <c r="AS176" s="849">
        <f ca="1">IF(AND(method_reg="Метод индексации",god&lt;&gt;first_year),SUMIFS(INDEX('Калькуляция (МИ корр)'!$AJ$25:$BC$459,,MATCH(AS$8,'Калькуляция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(МИ)'!$AJ$25:$BC$459,,MATCH(AS$8,'Калькуляция (МИ)'!$AJ$8:$BC$8,0)),'Калькуляция (МИ)'!$F$25:$F$459,$F176,'Калькуляция (МИ)'!$G$25:$G$459,$G176))))</f>
        <v>0</v>
      </c>
      <c r="AT176" s="849">
        <f ca="1">IF(AND(method_reg="Метод индексации",god&lt;&gt;first_year),SUMIFS(INDEX('Калькуляция (МИ корр)'!$AJ$25:$BC$459,,MATCH(AT$8,'Калькуляция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(МИ)'!$AJ$25:$BC$459,,MATCH(AT$8,'Калькуляция (МИ)'!$AJ$8:$BC$8,0)),'Калькуляция (МИ)'!$F$25:$F$459,$F176,'Калькуляция (МИ)'!$G$25:$G$459,$G176))))</f>
        <v>0</v>
      </c>
      <c r="AU176" s="724">
        <f ca="1">IF(AS176=0,0,(AT176-AS176)/AS176*100)</f>
        <v>0</v>
      </c>
      <c r="AV176" s="849">
        <f ca="1">IF(AND(method_reg="Метод индексации",god&lt;&gt;first_year),SUMIFS(INDEX('Калькуляция (МИ корр)'!$AJ$25:$BC$459,,MATCH(AV$8,'Калькуляция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(МИ)'!$AJ$25:$BC$459,,MATCH(AV$8,'Калькуляция (МИ)'!$AJ$8:$BC$8,0)),'Калькуляция (МИ)'!$F$25:$F$459,$F176,'Калькуляция (МИ)'!$G$25:$G$459,$G176))))</f>
        <v>0</v>
      </c>
      <c r="AW176" s="849">
        <f ca="1">IF(AND(method_reg="Метод индексации",god&lt;&gt;first_year),SUMIFS(INDEX('Калькуляция (МИ корр)'!$AJ$25:$BC$459,,MATCH(AW$8,'Калькуляция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(МИ)'!$AJ$25:$BC$459,,MATCH(AW$8,'Калькуляция (МИ)'!$AJ$8:$BC$8,0)),'Калькуляция (МИ)'!$F$25:$F$459,$F176,'Калькуляция (МИ)'!$G$25:$G$459,$G176))))</f>
        <v>0</v>
      </c>
      <c r="AX176" s="724">
        <f ca="1">IF(AV176=0,0,(AW176-AV176)/AV176*100)</f>
        <v>0</v>
      </c>
      <c r="AY176" s="849">
        <f ca="1">IF(AND(method_reg="Метод индексации",god&lt;&gt;first_year),SUMIFS(INDEX('Калькуляция (МИ корр)'!$AJ$25:$BC$459,,MATCH(AY$8,'Калькуляция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(МИ)'!$AJ$25:$BC$459,,MATCH(AY$8,'Калькуляция (МИ)'!$AJ$8:$BC$8,0)),'Калькуляция (МИ)'!$F$25:$F$459,$F176,'Калькуляция (МИ)'!$G$25:$G$459,$G176))))</f>
        <v>0</v>
      </c>
      <c r="AZ176" s="849">
        <f ca="1">IF(AND(method_reg="Метод индексации",god&lt;&gt;first_year),SUMIFS(INDEX('Калькуляция (МИ корр)'!$AJ$25:$BC$459,,MATCH(AZ$8,'Калькуляция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(МИ)'!$AJ$25:$BC$459,,MATCH(AZ$8,'Калькуляция (МИ)'!$AJ$8:$BC$8,0)),'Калькуляция (МИ)'!$F$25:$F$459,$F176,'Калькуляция (МИ)'!$G$25:$G$459,$G176))))</f>
        <v>0</v>
      </c>
      <c r="BA176" s="724">
        <f ca="1">IF(AY176=0,0,(AZ176-AY176)/AY176*100)</f>
        <v>0</v>
      </c>
      <c r="BB176" s="849">
        <f ca="1">IF(AND(method_reg="Метод индексации",god&lt;&gt;first_year),SUMIFS(INDEX('Калькуляция (МИ корр)'!$AJ$25:$BC$459,,MATCH(BB$8,'Калькуляция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(МИ)'!$AJ$25:$BC$459,,MATCH(BB$8,'Калькуляция (МИ)'!$AJ$8:$BC$8,0)),'Калькуляция (МИ)'!$F$25:$F$459,$F176,'Калькуляция (МИ)'!$G$25:$G$459,$G176))))</f>
        <v>0</v>
      </c>
      <c r="BC176" s="849">
        <f ca="1">IF(AND(method_reg="Метод индексации",god&lt;&gt;first_year),SUMIFS(INDEX('Калькуляция (МИ корр)'!$AJ$25:$BC$459,,MATCH(BC$8,'Калькуляция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(МИ)'!$AJ$25:$BC$459,,MATCH(BC$8,'Калькуляция (МИ)'!$AJ$8:$BC$8,0)),'Калькуляция (МИ)'!$F$25:$F$459,$F176,'Калькуляция (МИ)'!$G$25:$G$459,$G176))))</f>
        <v>0</v>
      </c>
      <c r="BD176" s="724">
        <f ca="1">IF(BB176=0,0,(BC176-BB176)/BB176*100)</f>
        <v>0</v>
      </c>
      <c r="BE176" s="849">
        <f ca="1">IF(AND(method_reg="Метод индексации",god&lt;&gt;first_year),SUMIFS(INDEX('Калькуляция (МИ корр)'!$AJ$25:$BC$459,,MATCH(BE$8,'Калькуляция (МИ корр)'!$AJ$8:$BC$8,0)),'Калькуляция (МИ корр)'!$F$25:$F$459,$F176,'Калькуляция (МИ корр)'!$G$25:$G$459,$G176),IF(method_reg="Метод экономически обоснованных расходов",SUMIFS('Калькуляция (МЭОР)'!$AJ$25:$AJ$282,'Калькуляция (МЭОР)'!$F$25:$F$282,$F176,'Калькуляция (МЭОР)'!$G$25:$G$282,$G176),IF(method_reg="Метод сравнения аналогов",SUMIFS('Калькуляция (МСА)'!$AE$25:$AE$84,'Калькуляция (МСА)'!$F$25:$F$84,$F176,'Калькуляция (МСА)'!$G$25:$G$84,$G176),SUMIFS(INDEX('Калькуляция (МИ)'!$AJ$25:$BC$459,,MATCH(BE$8,'Калькуляция (МИ)'!$AJ$8:$BC$8,0)),'Калькуляция (МИ)'!$F$25:$F$459,$F176,'Калькуляция (МИ)'!$G$25:$G$459,$G176))))</f>
        <v>0</v>
      </c>
      <c r="BF176" s="849">
        <f ca="1">IF(AND(method_reg="Метод индексации",god&lt;&gt;first_year),SUMIFS(INDEX('Калькуляция (МИ корр)'!$AJ$25:$BC$459,,MATCH(BF$8,'Калькуляция (МИ корр)'!$AJ$8:$BC$8,0)),'Калькуляция (МИ корр)'!$F$25:$F$459,$F176,'Калькуляция (МИ корр)'!$G$25:$G$459,$G176),IF(method_reg="Метод экономически обоснованных расходов",SUMIFS('Калькуляция (МЭОР)'!$AK$25:$AK$282,'Калькуляция (МЭОР)'!$F$25:$F$282,$F176,'Калькуляция (МЭОР)'!$G$25:$G$282,$G176),IF(method_reg="Метод сравнения аналогов",SUMIFS('Калькуляция (МСА)'!$AF$25:$AF$84,'Калькуляция (МСА)'!$F$25:$F$84,$F176,'Калькуляция (МСА)'!$G$25:$G$84,$G176),SUMIFS(INDEX('Калькуляция (МИ)'!$AJ$25:$BC$459,,MATCH(BF$8,'Калькуляция (МИ)'!$AJ$8:$BC$8,0)),'Калькуляция (МИ)'!$F$25:$F$459,$F176,'Калькуляция (МИ)'!$G$25:$G$459,$G176))))</f>
        <v>0</v>
      </c>
      <c r="BG176" s="724">
        <f ca="1">IF(BE176=0,0,(BF176-BE176)/BE176*100)</f>
        <v>0</v>
      </c>
      <c r="BH176" s="849"/>
      <c r="BI176" s="849"/>
      <c r="BJ176" s="724">
        <f>IF(BH176=0,0,(BI176-BH176)/BH176*100)</f>
        <v>0</v>
      </c>
      <c r="BK176" s="849"/>
      <c r="BL176" s="849"/>
      <c r="BM176" s="724">
        <f>IF(BK176=0,0,(BL176-BK176)/BK176*100)</f>
        <v>0</v>
      </c>
      <c r="BN176" s="849"/>
      <c r="BO176" s="849"/>
      <c r="BP176" s="724">
        <f>IF(BN176=0,0,(BO176-BN176)/BN176*100)</f>
        <v>0</v>
      </c>
      <c r="BQ176" s="849"/>
      <c r="BR176" s="849"/>
      <c r="BS176" s="724">
        <f>IF(BQ176=0,0,(BR176-BQ176)/BQ176*100)</f>
        <v>0</v>
      </c>
      <c r="BT176" s="849"/>
      <c r="BU176" s="849"/>
      <c r="BV176" s="724">
        <f>IF(BT176=0,0,(BU176-BT176)/BT176*100)</f>
        <v>0</v>
      </c>
      <c r="BW176" s="849"/>
      <c r="BX176" s="849"/>
      <c r="BY176" s="724">
        <f>IF(BW176=0,0,(BX176-BW176)/BW176*100)</f>
        <v>0</v>
      </c>
      <c r="BZ176" s="849"/>
      <c r="CA176" s="849"/>
      <c r="CB176" s="724">
        <f>IF(BZ176=0,0,(CA176-BZ176)/BZ176*100)</f>
        <v>0</v>
      </c>
      <c r="CC176" s="849"/>
      <c r="CD176" s="849"/>
      <c r="CE176" s="724">
        <f>IF(CC176=0,0,(CD176-CC176)/CC176*100)</f>
        <v>0</v>
      </c>
      <c r="CF176" s="849"/>
      <c r="CG176" s="849"/>
      <c r="CH176" s="724">
        <f>IF(CF176=0,0,(CG176-CF176)/CF176*100)</f>
        <v>0</v>
      </c>
      <c r="CI176" s="849"/>
      <c r="CJ176" s="849"/>
      <c r="CK176" s="724">
        <f>IF(CI176=0,0,(CJ176-CI176)/CI176*100)</f>
        <v>0</v>
      </c>
      <c r="CL176" s="849"/>
      <c r="CM176" s="849"/>
      <c r="CN176" s="724">
        <f>IF(CL176=0,0,(CM176-CL176)/CL176*100)</f>
        <v>0</v>
      </c>
      <c r="CO176" s="849"/>
      <c r="CP176" s="849"/>
      <c r="CQ176" s="724">
        <f>IF(CO176=0,0,(CP176-CO176)/CO176*100)</f>
        <v>0</v>
      </c>
      <c r="CR176" s="849"/>
      <c r="CS176" s="849"/>
      <c r="CT176" s="724">
        <f>IF(CR176=0,0,(CS176-CR176)/CR176*100)</f>
        <v>0</v>
      </c>
      <c r="CU176" s="849"/>
      <c r="CV176" s="849"/>
      <c r="CW176" s="724">
        <f>IF(CU176=0,0,(CV176-CU176)/CU176*100)</f>
        <v>0</v>
      </c>
      <c r="CX176" s="849"/>
      <c r="CY176" s="849"/>
      <c r="CZ176" s="724">
        <f>IF(CX176=0,0,(CY176-CX176)/CX176*100)</f>
        <v>0</v>
      </c>
      <c r="DA176" s="849"/>
      <c r="DB176" s="849"/>
      <c r="DC176" s="724">
        <f>IF(DA176=0,0,(DB176-DA176)/DA176*100)</f>
        <v>0</v>
      </c>
      <c r="DD176" s="849"/>
      <c r="DE176" s="849"/>
      <c r="DF176" s="724">
        <f>IF(DD176=0,0,(DE176-DD176)/DD176*100)</f>
        <v>0</v>
      </c>
      <c r="DG176" s="849"/>
      <c r="DH176" s="849"/>
      <c r="DI176" s="724">
        <f>IF(DG176=0,0,(DH176-DG176)/DG176*100)</f>
        <v>0</v>
      </c>
      <c r="DJ176" s="849"/>
      <c r="DK176" s="849"/>
      <c r="DL176" s="724">
        <f>IF(DJ176=0,0,(DK176-DJ176)/DJ176*100)</f>
        <v>0</v>
      </c>
      <c r="DM176" s="849"/>
      <c r="DN176" s="849"/>
      <c r="DO176" s="724">
        <f>IF(DM176=0,0,(DN176-DM176)/DM176*100)</f>
        <v>0</v>
      </c>
      <c r="DP176" s="849"/>
      <c r="DQ176" s="849"/>
      <c r="DR176" s="724">
        <f>IF(DP176=0,0,(DQ176-DP176)/DP176*100)</f>
        <v>0</v>
      </c>
      <c r="DS176" s="849"/>
      <c r="DT176" s="849"/>
      <c r="DU176" s="724">
        <f>IF(DS176=0,0,(DT176-DS176)/DS176*100)</f>
        <v>0</v>
      </c>
      <c r="DV176" s="849"/>
      <c r="DW176" s="849"/>
      <c r="DX176" s="724">
        <f>IF(DV176=0,0,(DW176-DV176)/DV176*100)</f>
        <v>0</v>
      </c>
      <c r="DY176" s="849"/>
      <c r="DZ176" s="849"/>
      <c r="EA176" s="724">
        <f>IF(DY176=0,0,(DZ176-DY176)/DY176*100)</f>
        <v>0</v>
      </c>
      <c r="EB176" s="849"/>
      <c r="EC176" s="849"/>
      <c r="ED176" s="724">
        <f>IF(EB176=0,0,(EC176-EB176)/EB176*100)</f>
        <v>0</v>
      </c>
      <c r="EE176" s="849"/>
      <c r="EF176" s="849"/>
      <c r="EG176" s="724">
        <f>IF(EE176=0,0,(EF176-EE176)/EE176*100)</f>
        <v>0</v>
      </c>
      <c r="EH176" s="849"/>
      <c r="EI176" s="849"/>
      <c r="EJ176" s="724">
        <f>IF(EH176=0,0,(EI176-EH176)/EH176*100)</f>
        <v>0</v>
      </c>
      <c r="EK176" s="849"/>
      <c r="EL176" s="849"/>
      <c r="EM176" s="724">
        <f>IF(EK176=0,0,(EL176-EK176)/EK176*100)</f>
        <v>0</v>
      </c>
      <c r="EN176" s="849"/>
      <c r="EO176" s="849"/>
      <c r="EP176" s="724">
        <f>IF(EN176=0,0,(EO176-EN176)/EN176*100)</f>
        <v>0</v>
      </c>
      <c r="EQ176" s="849"/>
      <c r="ER176" s="849"/>
      <c r="ES176" s="724">
        <f>IF(EQ176=0,0,(ER176-EQ176)/EQ176*100)</f>
        <v>0</v>
      </c>
      <c r="ET176" s="849"/>
      <c r="EU176" s="849"/>
      <c r="EV176" s="724">
        <f>IF(ET176=0,0,(EU176-ET176)/ET176*100)</f>
        <v>0</v>
      </c>
      <c r="EW176" s="849"/>
      <c r="EX176" s="849"/>
      <c r="EY176" s="724">
        <f>IF(EW176=0,0,(EX176-EW176)/EW176*100)</f>
        <v>0</v>
      </c>
      <c r="EZ176" s="849"/>
      <c r="FA176" s="849"/>
      <c r="FB176" s="724">
        <f>IF(EZ176=0,0,(FA176-EZ176)/EZ176*100)</f>
        <v>0</v>
      </c>
      <c r="FC176" s="849"/>
      <c r="FD176" s="849"/>
      <c r="FE176" s="724">
        <f>IF(FC176=0,0,(FD176-FC176)/FC176*100)</f>
        <v>0</v>
      </c>
      <c r="FF176" s="849"/>
      <c r="FG176" s="849"/>
      <c r="FH176" s="724">
        <f>IF(FF176=0,0,(FG176-FF176)/FF176*100)</f>
        <v>0</v>
      </c>
      <c r="FI176" s="849"/>
      <c r="FJ176" s="849"/>
      <c r="FK176" s="724">
        <f>IF(FI176=0,0,(FJ176-FI176)/FI176*100)</f>
        <v>0</v>
      </c>
      <c r="FL176" s="849"/>
      <c r="FM176" s="849"/>
      <c r="FN176" s="724">
        <f>IF(FL176=0,0,(FM176-FL176)/FL176*100)</f>
        <v>0</v>
      </c>
      <c r="FO176" s="849"/>
      <c r="FP176" s="849"/>
      <c r="FQ176" s="724">
        <f>IF(FO176=0,0,(FP176-FO176)/FO176*100)</f>
        <v>0</v>
      </c>
      <c r="FR176" s="849"/>
      <c r="FS176" s="849"/>
      <c r="FT176" s="724">
        <f>IF(FR176=0,0,(FS176-FR176)/FR176*100)</f>
        <v>0</v>
      </c>
      <c r="FU176" s="849"/>
      <c r="FV176" s="849"/>
      <c r="FW176" s="724">
        <f>IF(FU176=0,0,(FV176-FU176)/FU176*100)</f>
        <v>0</v>
      </c>
      <c r="FZ176" s="700" t="s">
        <v>1662</v>
      </c>
    </row>
    <row r="177" spans="1:182" ht="24" hidden="1" customHeight="1">
      <c r="A177" s="78"/>
      <c r="B177" s="622" t="b" cm="1">
        <f t="array" ref="B177">B176</f>
        <v>0</v>
      </c>
      <c r="C177" s="78"/>
      <c r="D177" s="78"/>
      <c r="E177" s="473">
        <v>24.75</v>
      </c>
      <c r="F177" s="3" t="str" cm="1">
        <f t="array" aca="1" ref="F177" ca="1">OFFSET(E177,-1,1)</f>
        <v>2</v>
      </c>
      <c r="G177" s="78"/>
      <c r="H177" s="78" t="s">
        <v>1663</v>
      </c>
      <c r="I177" s="78" t="s">
        <v>1622</v>
      </c>
      <c r="J177" s="78"/>
      <c r="K177" s="78"/>
      <c r="L177" s="78"/>
      <c r="M177" s="78"/>
      <c r="N177" s="78"/>
      <c r="O177" s="78"/>
      <c r="P177" s="78"/>
      <c r="Q177" s="78"/>
      <c r="R177" s="78"/>
      <c r="S177" s="78"/>
      <c r="T177" s="365" t="b" cm="1">
        <f t="array" aca="1" ref="T177" ca="1">T176</f>
        <v>1</v>
      </c>
      <c r="U177" s="78"/>
      <c r="V177" s="78"/>
      <c r="W177" s="78"/>
      <c r="X177" s="1094"/>
      <c r="Y177" s="78"/>
      <c r="Z177" s="1064"/>
      <c r="AA177" s="78"/>
      <c r="AB177" s="12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31" t="s">
        <v>1664</v>
      </c>
      <c r="AD177" s="833"/>
      <c r="AE177" s="833"/>
      <c r="AF177" s="723">
        <f>IF(AD177=0,0,(AE177-AD177)/AD177*100)</f>
        <v>0</v>
      </c>
      <c r="AG177" s="833"/>
      <c r="AH177" s="833"/>
      <c r="AI177" s="723">
        <f>IF(AG177=0,0,(AH177-AG177)/AG177*100)</f>
        <v>0</v>
      </c>
      <c r="AJ177" s="833"/>
      <c r="AK177" s="833"/>
      <c r="AL177" s="723">
        <f>IF(AJ177=0,0,(AK177-AJ177)/AJ177*100)</f>
        <v>0</v>
      </c>
      <c r="AM177" s="833"/>
      <c r="AN177" s="833"/>
      <c r="AO177" s="723">
        <f>IF(AM177=0,0,(AN177-AM177)/AM177*100)</f>
        <v>0</v>
      </c>
      <c r="AP177" s="833"/>
      <c r="AQ177" s="833"/>
      <c r="AR177" s="723">
        <f>IF(AP177=0,0,(AQ177-AP177)/AP177*100)</f>
        <v>0</v>
      </c>
      <c r="AS177" s="833"/>
      <c r="AT177" s="833"/>
      <c r="AU177" s="723">
        <f>IF(AS177=0,0,(AT177-AS177)/AS177*100)</f>
        <v>0</v>
      </c>
      <c r="AV177" s="833"/>
      <c r="AW177" s="833"/>
      <c r="AX177" s="723">
        <f>IF(AV177=0,0,(AW177-AV177)/AV177*100)</f>
        <v>0</v>
      </c>
      <c r="AY177" s="833"/>
      <c r="AZ177" s="833"/>
      <c r="BA177" s="723">
        <f>IF(AY177=0,0,(AZ177-AY177)/AY177*100)</f>
        <v>0</v>
      </c>
      <c r="BB177" s="833"/>
      <c r="BC177" s="833"/>
      <c r="BD177" s="723">
        <f>IF(BB177=0,0,(BC177-BB177)/BB177*100)</f>
        <v>0</v>
      </c>
      <c r="BE177" s="833"/>
      <c r="BF177" s="833"/>
      <c r="BG177" s="723">
        <f>IF(BE177=0,0,(BF177-BE177)/BE177*100)</f>
        <v>0</v>
      </c>
      <c r="BH177" s="833"/>
      <c r="BI177" s="833"/>
      <c r="BJ177" s="723">
        <f>IF(BH177=0,0,(BI177-BH177)/BH177*100)</f>
        <v>0</v>
      </c>
      <c r="BK177" s="833"/>
      <c r="BL177" s="833"/>
      <c r="BM177" s="723">
        <f>IF(BK177=0,0,(BL177-BK177)/BK177*100)</f>
        <v>0</v>
      </c>
      <c r="BN177" s="833"/>
      <c r="BO177" s="833"/>
      <c r="BP177" s="723">
        <f>IF(BN177=0,0,(BO177-BN177)/BN177*100)</f>
        <v>0</v>
      </c>
      <c r="BQ177" s="833"/>
      <c r="BR177" s="833"/>
      <c r="BS177" s="723">
        <f>IF(BQ177=0,0,(BR177-BQ177)/BQ177*100)</f>
        <v>0</v>
      </c>
      <c r="BT177" s="833"/>
      <c r="BU177" s="833"/>
      <c r="BV177" s="723">
        <f>IF(BT177=0,0,(BU177-BT177)/BT177*100)</f>
        <v>0</v>
      </c>
      <c r="BW177" s="833"/>
      <c r="BX177" s="833"/>
      <c r="BY177" s="723">
        <f>IF(BW177=0,0,(BX177-BW177)/BW177*100)</f>
        <v>0</v>
      </c>
      <c r="BZ177" s="833"/>
      <c r="CA177" s="833"/>
      <c r="CB177" s="723">
        <f>IF(BZ177=0,0,(CA177-BZ177)/BZ177*100)</f>
        <v>0</v>
      </c>
      <c r="CC177" s="833"/>
      <c r="CD177" s="833"/>
      <c r="CE177" s="723">
        <f>IF(CC177=0,0,(CD177-CC177)/CC177*100)</f>
        <v>0</v>
      </c>
      <c r="CF177" s="833"/>
      <c r="CG177" s="833"/>
      <c r="CH177" s="723">
        <f>IF(CF177=0,0,(CG177-CF177)/CF177*100)</f>
        <v>0</v>
      </c>
      <c r="CI177" s="833"/>
      <c r="CJ177" s="833"/>
      <c r="CK177" s="723">
        <f>IF(CI177=0,0,(CJ177-CI177)/CI177*100)</f>
        <v>0</v>
      </c>
      <c r="CL177" s="833"/>
      <c r="CM177" s="833"/>
      <c r="CN177" s="723">
        <f>IF(CL177=0,0,(CM177-CL177)/CL177*100)</f>
        <v>0</v>
      </c>
      <c r="CO177" s="833"/>
      <c r="CP177" s="833"/>
      <c r="CQ177" s="723">
        <f>IF(CO177=0,0,(CP177-CO177)/CO177*100)</f>
        <v>0</v>
      </c>
      <c r="CR177" s="833"/>
      <c r="CS177" s="833"/>
      <c r="CT177" s="723">
        <f>IF(CR177=0,0,(CS177-CR177)/CR177*100)</f>
        <v>0</v>
      </c>
      <c r="CU177" s="833"/>
      <c r="CV177" s="833"/>
      <c r="CW177" s="723">
        <f>IF(CU177=0,0,(CV177-CU177)/CU177*100)</f>
        <v>0</v>
      </c>
      <c r="CX177" s="833"/>
      <c r="CY177" s="833"/>
      <c r="CZ177" s="723">
        <f>IF(CX177=0,0,(CY177-CX177)/CX177*100)</f>
        <v>0</v>
      </c>
      <c r="DA177" s="833"/>
      <c r="DB177" s="833"/>
      <c r="DC177" s="723">
        <f>IF(DA177=0,0,(DB177-DA177)/DA177*100)</f>
        <v>0</v>
      </c>
      <c r="DD177" s="833"/>
      <c r="DE177" s="833"/>
      <c r="DF177" s="723">
        <f>IF(DD177=0,0,(DE177-DD177)/DD177*100)</f>
        <v>0</v>
      </c>
      <c r="DG177" s="833"/>
      <c r="DH177" s="833"/>
      <c r="DI177" s="723">
        <f>IF(DG177=0,0,(DH177-DG177)/DG177*100)</f>
        <v>0</v>
      </c>
      <c r="DJ177" s="833"/>
      <c r="DK177" s="833"/>
      <c r="DL177" s="723">
        <f>IF(DJ177=0,0,(DK177-DJ177)/DJ177*100)</f>
        <v>0</v>
      </c>
      <c r="DM177" s="833"/>
      <c r="DN177" s="833"/>
      <c r="DO177" s="723">
        <f>IF(DM177=0,0,(DN177-DM177)/DM177*100)</f>
        <v>0</v>
      </c>
      <c r="DP177" s="833"/>
      <c r="DQ177" s="833"/>
      <c r="DR177" s="723">
        <f>IF(DP177=0,0,(DQ177-DP177)/DP177*100)</f>
        <v>0</v>
      </c>
      <c r="DS177" s="833"/>
      <c r="DT177" s="833"/>
      <c r="DU177" s="723">
        <f>IF(DS177=0,0,(DT177-DS177)/DS177*100)</f>
        <v>0</v>
      </c>
      <c r="DV177" s="833"/>
      <c r="DW177" s="833"/>
      <c r="DX177" s="723">
        <f>IF(DV177=0,0,(DW177-DV177)/DV177*100)</f>
        <v>0</v>
      </c>
      <c r="DY177" s="833"/>
      <c r="DZ177" s="833"/>
      <c r="EA177" s="723">
        <f>IF(DY177=0,0,(DZ177-DY177)/DY177*100)</f>
        <v>0</v>
      </c>
      <c r="EB177" s="833"/>
      <c r="EC177" s="833"/>
      <c r="ED177" s="723">
        <f>IF(EB177=0,0,(EC177-EB177)/EB177*100)</f>
        <v>0</v>
      </c>
      <c r="EE177" s="833"/>
      <c r="EF177" s="833"/>
      <c r="EG177" s="723">
        <f>IF(EE177=0,0,(EF177-EE177)/EE177*100)</f>
        <v>0</v>
      </c>
      <c r="EH177" s="833"/>
      <c r="EI177" s="833"/>
      <c r="EJ177" s="723">
        <f>IF(EH177=0,0,(EI177-EH177)/EH177*100)</f>
        <v>0</v>
      </c>
      <c r="EK177" s="833"/>
      <c r="EL177" s="833"/>
      <c r="EM177" s="723">
        <f>IF(EK177=0,0,(EL177-EK177)/EK177*100)</f>
        <v>0</v>
      </c>
      <c r="EN177" s="833"/>
      <c r="EO177" s="833"/>
      <c r="EP177" s="723">
        <f>IF(EN177=0,0,(EO177-EN177)/EN177*100)</f>
        <v>0</v>
      </c>
      <c r="EQ177" s="833"/>
      <c r="ER177" s="833"/>
      <c r="ES177" s="723">
        <f>IF(EQ177=0,0,(ER177-EQ177)/EQ177*100)</f>
        <v>0</v>
      </c>
      <c r="ET177" s="833"/>
      <c r="EU177" s="833"/>
      <c r="EV177" s="723">
        <f>IF(ET177=0,0,(EU177-ET177)/ET177*100)</f>
        <v>0</v>
      </c>
      <c r="EW177" s="833"/>
      <c r="EX177" s="833"/>
      <c r="EY177" s="723">
        <f>IF(EW177=0,0,(EX177-EW177)/EW177*100)</f>
        <v>0</v>
      </c>
      <c r="EZ177" s="833"/>
      <c r="FA177" s="833"/>
      <c r="FB177" s="723">
        <f>IF(EZ177=0,0,(FA177-EZ177)/EZ177*100)</f>
        <v>0</v>
      </c>
      <c r="FC177" s="833"/>
      <c r="FD177" s="833"/>
      <c r="FE177" s="723">
        <f>IF(FC177=0,0,(FD177-FC177)/FC177*100)</f>
        <v>0</v>
      </c>
      <c r="FF177" s="833"/>
      <c r="FG177" s="833"/>
      <c r="FH177" s="723">
        <f>IF(FF177=0,0,(FG177-FF177)/FF177*100)</f>
        <v>0</v>
      </c>
      <c r="FI177" s="833"/>
      <c r="FJ177" s="833"/>
      <c r="FK177" s="723">
        <f>IF(FI177=0,0,(FJ177-FI177)/FI177*100)</f>
        <v>0</v>
      </c>
      <c r="FL177" s="833"/>
      <c r="FM177" s="833"/>
      <c r="FN177" s="723">
        <f>IF(FL177=0,0,(FM177-FL177)/FL177*100)</f>
        <v>0</v>
      </c>
      <c r="FO177" s="833"/>
      <c r="FP177" s="833"/>
      <c r="FQ177" s="723">
        <f>IF(FO177=0,0,(FP177-FO177)/FO177*100)</f>
        <v>0</v>
      </c>
      <c r="FR177" s="833"/>
      <c r="FS177" s="833"/>
      <c r="FT177" s="723">
        <f>IF(FR177=0,0,(FS177-FR177)/FR177*100)</f>
        <v>0</v>
      </c>
      <c r="FU177" s="833"/>
      <c r="FV177" s="833"/>
      <c r="FW177" s="723">
        <f>IF(FU177=0,0,(FV177-FU177)/FU177*100)</f>
        <v>0</v>
      </c>
      <c r="FZ177" s="700" t="s">
        <v>1665</v>
      </c>
    </row>
    <row r="178" spans="1:182" ht="14.25" hidden="1" customHeight="1">
      <c r="A178" s="78"/>
      <c r="B178" s="622" t="b" cm="1">
        <f t="array" ref="B178">B177</f>
        <v>0</v>
      </c>
      <c r="C178" s="78"/>
      <c r="D178" s="78"/>
      <c r="E178" s="473">
        <v>15</v>
      </c>
      <c r="F178" s="3" t="str" cm="1">
        <f t="array" aca="1" ref="F178" ca="1">OFFSET(E178,-1,1)</f>
        <v>2</v>
      </c>
      <c r="G178" s="78"/>
      <c r="H178" s="78" t="s">
        <v>1666</v>
      </c>
      <c r="I178" s="78" t="s">
        <v>1622</v>
      </c>
      <c r="J178" s="78"/>
      <c r="K178" s="78"/>
      <c r="L178" s="78"/>
      <c r="M178" s="78"/>
      <c r="N178" s="78"/>
      <c r="O178" s="78"/>
      <c r="P178" s="78"/>
      <c r="Q178" s="78"/>
      <c r="R178" s="78"/>
      <c r="S178" s="78"/>
      <c r="T178" s="365" t="b" cm="1">
        <f t="array" aca="1" ref="T178" ca="1">T177</f>
        <v>1</v>
      </c>
      <c r="U178" s="78"/>
      <c r="V178" s="78"/>
      <c r="W178" s="78"/>
      <c r="X178" s="1094"/>
      <c r="Y178" s="78"/>
      <c r="Z178" s="1064"/>
      <c r="AA178" s="78"/>
      <c r="AB178" s="124" t="s">
        <v>1667</v>
      </c>
      <c r="AC178" s="31" t="s">
        <v>1668</v>
      </c>
      <c r="AD178" s="833"/>
      <c r="AE178" s="833"/>
      <c r="AF178" s="723">
        <f>IF(AD178=0,0,(AE178-AD178)/AD178*100)</f>
        <v>0</v>
      </c>
      <c r="AG178" s="833"/>
      <c r="AH178" s="833"/>
      <c r="AI178" s="723">
        <f>IF(AG178=0,0,(AH178-AG178)/AG178*100)</f>
        <v>0</v>
      </c>
      <c r="AJ178" s="833"/>
      <c r="AK178" s="833"/>
      <c r="AL178" s="723">
        <f>IF(AJ178=0,0,(AK178-AJ178)/AJ178*100)</f>
        <v>0</v>
      </c>
      <c r="AM178" s="833"/>
      <c r="AN178" s="833"/>
      <c r="AO178" s="723">
        <f>IF(AM178=0,0,(AN178-AM178)/AM178*100)</f>
        <v>0</v>
      </c>
      <c r="AP178" s="833"/>
      <c r="AQ178" s="833"/>
      <c r="AR178" s="723">
        <f>IF(AP178=0,0,(AQ178-AP178)/AP178*100)</f>
        <v>0</v>
      </c>
      <c r="AS178" s="833"/>
      <c r="AT178" s="833"/>
      <c r="AU178" s="723">
        <f>IF(AS178=0,0,(AT178-AS178)/AS178*100)</f>
        <v>0</v>
      </c>
      <c r="AV178" s="833"/>
      <c r="AW178" s="833"/>
      <c r="AX178" s="723">
        <f>IF(AV178=0,0,(AW178-AV178)/AV178*100)</f>
        <v>0</v>
      </c>
      <c r="AY178" s="833"/>
      <c r="AZ178" s="833"/>
      <c r="BA178" s="723">
        <f>IF(AY178=0,0,(AZ178-AY178)/AY178*100)</f>
        <v>0</v>
      </c>
      <c r="BB178" s="833"/>
      <c r="BC178" s="833"/>
      <c r="BD178" s="723">
        <f>IF(BB178=0,0,(BC178-BB178)/BB178*100)</f>
        <v>0</v>
      </c>
      <c r="BE178" s="833"/>
      <c r="BF178" s="833"/>
      <c r="BG178" s="723">
        <f>IF(BE178=0,0,(BF178-BE178)/BE178*100)</f>
        <v>0</v>
      </c>
      <c r="BH178" s="833"/>
      <c r="BI178" s="833"/>
      <c r="BJ178" s="723">
        <f>IF(BH178=0,0,(BI178-BH178)/BH178*100)</f>
        <v>0</v>
      </c>
      <c r="BK178" s="833"/>
      <c r="BL178" s="833"/>
      <c r="BM178" s="723">
        <f>IF(BK178=0,0,(BL178-BK178)/BK178*100)</f>
        <v>0</v>
      </c>
      <c r="BN178" s="833"/>
      <c r="BO178" s="833"/>
      <c r="BP178" s="723">
        <f>IF(BN178=0,0,(BO178-BN178)/BN178*100)</f>
        <v>0</v>
      </c>
      <c r="BQ178" s="833"/>
      <c r="BR178" s="833"/>
      <c r="BS178" s="723">
        <f>IF(BQ178=0,0,(BR178-BQ178)/BQ178*100)</f>
        <v>0</v>
      </c>
      <c r="BT178" s="833"/>
      <c r="BU178" s="833"/>
      <c r="BV178" s="723">
        <f>IF(BT178=0,0,(BU178-BT178)/BT178*100)</f>
        <v>0</v>
      </c>
      <c r="BW178" s="833"/>
      <c r="BX178" s="833"/>
      <c r="BY178" s="723">
        <f>IF(BW178=0,0,(BX178-BW178)/BW178*100)</f>
        <v>0</v>
      </c>
      <c r="BZ178" s="833"/>
      <c r="CA178" s="833"/>
      <c r="CB178" s="723">
        <f>IF(BZ178=0,0,(CA178-BZ178)/BZ178*100)</f>
        <v>0</v>
      </c>
      <c r="CC178" s="833"/>
      <c r="CD178" s="833"/>
      <c r="CE178" s="723">
        <f>IF(CC178=0,0,(CD178-CC178)/CC178*100)</f>
        <v>0</v>
      </c>
      <c r="CF178" s="833"/>
      <c r="CG178" s="833"/>
      <c r="CH178" s="723">
        <f>IF(CF178=0,0,(CG178-CF178)/CF178*100)</f>
        <v>0</v>
      </c>
      <c r="CI178" s="833"/>
      <c r="CJ178" s="833"/>
      <c r="CK178" s="723">
        <f>IF(CI178=0,0,(CJ178-CI178)/CI178*100)</f>
        <v>0</v>
      </c>
      <c r="CL178" s="833"/>
      <c r="CM178" s="833"/>
      <c r="CN178" s="723">
        <f>IF(CL178=0,0,(CM178-CL178)/CL178*100)</f>
        <v>0</v>
      </c>
      <c r="CO178" s="833"/>
      <c r="CP178" s="833"/>
      <c r="CQ178" s="723">
        <f>IF(CO178=0,0,(CP178-CO178)/CO178*100)</f>
        <v>0</v>
      </c>
      <c r="CR178" s="833"/>
      <c r="CS178" s="833"/>
      <c r="CT178" s="723">
        <f>IF(CR178=0,0,(CS178-CR178)/CR178*100)</f>
        <v>0</v>
      </c>
      <c r="CU178" s="833"/>
      <c r="CV178" s="833"/>
      <c r="CW178" s="723">
        <f>IF(CU178=0,0,(CV178-CU178)/CU178*100)</f>
        <v>0</v>
      </c>
      <c r="CX178" s="833"/>
      <c r="CY178" s="833"/>
      <c r="CZ178" s="723">
        <f>IF(CX178=0,0,(CY178-CX178)/CX178*100)</f>
        <v>0</v>
      </c>
      <c r="DA178" s="833"/>
      <c r="DB178" s="833"/>
      <c r="DC178" s="723">
        <f>IF(DA178=0,0,(DB178-DA178)/DA178*100)</f>
        <v>0</v>
      </c>
      <c r="DD178" s="833"/>
      <c r="DE178" s="833"/>
      <c r="DF178" s="723">
        <f>IF(DD178=0,0,(DE178-DD178)/DD178*100)</f>
        <v>0</v>
      </c>
      <c r="DG178" s="833"/>
      <c r="DH178" s="833"/>
      <c r="DI178" s="723">
        <f>IF(DG178=0,0,(DH178-DG178)/DG178*100)</f>
        <v>0</v>
      </c>
      <c r="DJ178" s="833"/>
      <c r="DK178" s="833"/>
      <c r="DL178" s="723">
        <f>IF(DJ178=0,0,(DK178-DJ178)/DJ178*100)</f>
        <v>0</v>
      </c>
      <c r="DM178" s="833"/>
      <c r="DN178" s="833"/>
      <c r="DO178" s="723">
        <f>IF(DM178=0,0,(DN178-DM178)/DM178*100)</f>
        <v>0</v>
      </c>
      <c r="DP178" s="833"/>
      <c r="DQ178" s="833"/>
      <c r="DR178" s="723">
        <f>IF(DP178=0,0,(DQ178-DP178)/DP178*100)</f>
        <v>0</v>
      </c>
      <c r="DS178" s="833"/>
      <c r="DT178" s="833"/>
      <c r="DU178" s="723">
        <f>IF(DS178=0,0,(DT178-DS178)/DS178*100)</f>
        <v>0</v>
      </c>
      <c r="DV178" s="833"/>
      <c r="DW178" s="833"/>
      <c r="DX178" s="723">
        <f>IF(DV178=0,0,(DW178-DV178)/DV178*100)</f>
        <v>0</v>
      </c>
      <c r="DY178" s="833"/>
      <c r="DZ178" s="833"/>
      <c r="EA178" s="723">
        <f>IF(DY178=0,0,(DZ178-DY178)/DY178*100)</f>
        <v>0</v>
      </c>
      <c r="EB178" s="833"/>
      <c r="EC178" s="833"/>
      <c r="ED178" s="723">
        <f>IF(EB178=0,0,(EC178-EB178)/EB178*100)</f>
        <v>0</v>
      </c>
      <c r="EE178" s="833"/>
      <c r="EF178" s="833"/>
      <c r="EG178" s="723">
        <f>IF(EE178=0,0,(EF178-EE178)/EE178*100)</f>
        <v>0</v>
      </c>
      <c r="EH178" s="833"/>
      <c r="EI178" s="833"/>
      <c r="EJ178" s="723">
        <f>IF(EH178=0,0,(EI178-EH178)/EH178*100)</f>
        <v>0</v>
      </c>
      <c r="EK178" s="833"/>
      <c r="EL178" s="833"/>
      <c r="EM178" s="723">
        <f>IF(EK178=0,0,(EL178-EK178)/EK178*100)</f>
        <v>0</v>
      </c>
      <c r="EN178" s="833"/>
      <c r="EO178" s="833"/>
      <c r="EP178" s="723">
        <f>IF(EN178=0,0,(EO178-EN178)/EN178*100)</f>
        <v>0</v>
      </c>
      <c r="EQ178" s="833"/>
      <c r="ER178" s="833"/>
      <c r="ES178" s="723">
        <f>IF(EQ178=0,0,(ER178-EQ178)/EQ178*100)</f>
        <v>0</v>
      </c>
      <c r="ET178" s="833"/>
      <c r="EU178" s="833"/>
      <c r="EV178" s="723">
        <f>IF(ET178=0,0,(EU178-ET178)/ET178*100)</f>
        <v>0</v>
      </c>
      <c r="EW178" s="833"/>
      <c r="EX178" s="833"/>
      <c r="EY178" s="723">
        <f>IF(EW178=0,0,(EX178-EW178)/EW178*100)</f>
        <v>0</v>
      </c>
      <c r="EZ178" s="833"/>
      <c r="FA178" s="833"/>
      <c r="FB178" s="723">
        <f>IF(EZ178=0,0,(FA178-EZ178)/EZ178*100)</f>
        <v>0</v>
      </c>
      <c r="FC178" s="833"/>
      <c r="FD178" s="833"/>
      <c r="FE178" s="723">
        <f>IF(FC178=0,0,(FD178-FC178)/FC178*100)</f>
        <v>0</v>
      </c>
      <c r="FF178" s="833"/>
      <c r="FG178" s="833"/>
      <c r="FH178" s="723">
        <f>IF(FF178=0,0,(FG178-FF178)/FF178*100)</f>
        <v>0</v>
      </c>
      <c r="FI178" s="833"/>
      <c r="FJ178" s="833"/>
      <c r="FK178" s="723">
        <f>IF(FI178=0,0,(FJ178-FI178)/FI178*100)</f>
        <v>0</v>
      </c>
      <c r="FL178" s="833"/>
      <c r="FM178" s="833"/>
      <c r="FN178" s="723">
        <f>IF(FL178=0,0,(FM178-FL178)/FL178*100)</f>
        <v>0</v>
      </c>
      <c r="FO178" s="833"/>
      <c r="FP178" s="833"/>
      <c r="FQ178" s="723">
        <f>IF(FO178=0,0,(FP178-FO178)/FO178*100)</f>
        <v>0</v>
      </c>
      <c r="FR178" s="833"/>
      <c r="FS178" s="833"/>
      <c r="FT178" s="723">
        <f>IF(FR178=0,0,(FS178-FR178)/FR178*100)</f>
        <v>0</v>
      </c>
      <c r="FU178" s="833"/>
      <c r="FV178" s="833"/>
      <c r="FW178" s="723">
        <f>IF(FU178=0,0,(FV178-FU178)/FU178*100)</f>
        <v>0</v>
      </c>
      <c r="FZ178" s="700" t="s">
        <v>1669</v>
      </c>
    </row>
    <row r="179" spans="1:182" ht="23.25" hidden="1" customHeight="1">
      <c r="A179" s="78"/>
      <c r="B179" s="622" t="b" cm="1">
        <f t="array" ref="B179">B178</f>
        <v>0</v>
      </c>
      <c r="C179" s="78"/>
      <c r="D179" s="78"/>
      <c r="E179" s="473">
        <v>24.5</v>
      </c>
      <c r="F179" s="3" t="str" cm="1">
        <f t="array" aca="1" ref="F179" ca="1">OFFSET(E179,-1,1)</f>
        <v>2</v>
      </c>
      <c r="G179" s="78"/>
      <c r="H179" s="78"/>
      <c r="I179" s="78"/>
      <c r="J179" s="78"/>
      <c r="K179" s="78"/>
      <c r="L179" s="78"/>
      <c r="M179" s="78"/>
      <c r="N179" s="78"/>
      <c r="O179" s="78"/>
      <c r="P179" s="78"/>
      <c r="Q179" s="78"/>
      <c r="R179" s="78"/>
      <c r="S179" s="78"/>
      <c r="T179" s="365" t="b" cm="1">
        <f t="array" aca="1" ref="T179" ca="1">T178</f>
        <v>1</v>
      </c>
      <c r="U179" s="78"/>
      <c r="V179" s="78"/>
      <c r="W179" s="78"/>
      <c r="X179" s="1094"/>
      <c r="Y179" s="78"/>
      <c r="Z179" s="1064"/>
      <c r="AA179" s="78"/>
      <c r="AB179" s="220" t="s">
        <v>1670</v>
      </c>
      <c r="AC179" s="606"/>
      <c r="AD179" s="727"/>
      <c r="AE179" s="727"/>
      <c r="AF179" s="727"/>
      <c r="AG179" s="727"/>
      <c r="AH179" s="727"/>
      <c r="AI179" s="727"/>
      <c r="AJ179" s="727"/>
      <c r="AK179" s="727"/>
      <c r="AL179" s="727"/>
      <c r="AM179" s="727"/>
      <c r="AN179" s="727"/>
      <c r="AO179" s="727"/>
      <c r="AP179" s="727"/>
      <c r="AQ179" s="727"/>
      <c r="AR179" s="727"/>
      <c r="AS179" s="727"/>
      <c r="AT179" s="727"/>
      <c r="AU179" s="727"/>
      <c r="AV179" s="727"/>
      <c r="AW179" s="727"/>
      <c r="AX179" s="727"/>
      <c r="AY179" s="727"/>
      <c r="AZ179" s="727"/>
      <c r="BA179" s="727"/>
      <c r="BB179" s="727"/>
      <c r="BC179" s="727"/>
      <c r="BD179" s="727"/>
      <c r="BE179" s="727"/>
      <c r="BF179" s="727"/>
      <c r="BG179" s="727"/>
      <c r="BH179" s="727"/>
      <c r="BI179" s="727"/>
      <c r="BJ179" s="727"/>
      <c r="BK179" s="727"/>
      <c r="BL179" s="727"/>
      <c r="BM179" s="727"/>
      <c r="BN179" s="727"/>
      <c r="BO179" s="727"/>
      <c r="BP179" s="727"/>
      <c r="BQ179" s="727"/>
      <c r="BR179" s="727"/>
      <c r="BS179" s="727"/>
      <c r="BT179" s="727"/>
      <c r="BU179" s="727"/>
      <c r="BV179" s="727"/>
      <c r="BW179" s="727"/>
      <c r="BX179" s="727"/>
      <c r="BY179" s="727"/>
      <c r="BZ179" s="727"/>
      <c r="CA179" s="727"/>
      <c r="CB179" s="727"/>
      <c r="CC179" s="727"/>
      <c r="CD179" s="727"/>
      <c r="CE179" s="727"/>
      <c r="CF179" s="727"/>
      <c r="CG179" s="727"/>
      <c r="CH179" s="727"/>
      <c r="CI179" s="727"/>
      <c r="CJ179" s="727"/>
      <c r="CK179" s="727"/>
      <c r="CL179" s="727"/>
      <c r="CM179" s="727"/>
      <c r="CN179" s="727"/>
      <c r="CO179" s="727"/>
      <c r="CP179" s="727"/>
      <c r="CQ179" s="727"/>
      <c r="CR179" s="727"/>
      <c r="CS179" s="727"/>
      <c r="CT179" s="727"/>
      <c r="CU179" s="727"/>
      <c r="CV179" s="727"/>
      <c r="CW179" s="727"/>
      <c r="CX179" s="727"/>
      <c r="CY179" s="727"/>
      <c r="CZ179" s="727"/>
      <c r="DA179" s="727"/>
      <c r="DB179" s="727"/>
      <c r="DC179" s="727"/>
      <c r="DD179" s="727"/>
      <c r="DE179" s="727"/>
      <c r="DF179" s="727"/>
      <c r="DG179" s="727"/>
      <c r="DH179" s="727"/>
      <c r="DI179" s="727"/>
      <c r="DJ179" s="727"/>
      <c r="DK179" s="727"/>
      <c r="DL179" s="727"/>
      <c r="DM179" s="727"/>
      <c r="DN179" s="727"/>
      <c r="DO179" s="727"/>
      <c r="DP179" s="727"/>
      <c r="DQ179" s="727"/>
      <c r="DR179" s="727"/>
      <c r="DS179" s="727"/>
      <c r="DT179" s="727"/>
      <c r="DU179" s="727"/>
      <c r="DV179" s="727"/>
      <c r="DW179" s="727"/>
      <c r="DX179" s="727"/>
      <c r="DY179" s="727"/>
      <c r="DZ179" s="727"/>
      <c r="EA179" s="727"/>
      <c r="EB179" s="727"/>
      <c r="EC179" s="727"/>
      <c r="ED179" s="727"/>
      <c r="EE179" s="727"/>
      <c r="EF179" s="727"/>
      <c r="EG179" s="727"/>
      <c r="EH179" s="727"/>
      <c r="EI179" s="727"/>
      <c r="EJ179" s="727"/>
      <c r="EK179" s="727"/>
      <c r="EL179" s="727"/>
      <c r="EM179" s="727"/>
      <c r="EN179" s="727"/>
      <c r="EO179" s="727"/>
      <c r="EP179" s="727"/>
      <c r="EQ179" s="727"/>
      <c r="ER179" s="727"/>
      <c r="ES179" s="727"/>
      <c r="ET179" s="727"/>
      <c r="EU179" s="727"/>
      <c r="EV179" s="727"/>
      <c r="EW179" s="727"/>
      <c r="EX179" s="727"/>
      <c r="EY179" s="727"/>
      <c r="EZ179" s="727"/>
      <c r="FA179" s="727"/>
      <c r="FB179" s="727"/>
      <c r="FC179" s="727"/>
      <c r="FD179" s="727"/>
      <c r="FE179" s="727"/>
      <c r="FF179" s="727"/>
      <c r="FG179" s="727"/>
      <c r="FH179" s="727"/>
      <c r="FI179" s="727"/>
      <c r="FJ179" s="727"/>
      <c r="FK179" s="727"/>
      <c r="FL179" s="727"/>
      <c r="FM179" s="727"/>
      <c r="FN179" s="727"/>
      <c r="FO179" s="727"/>
      <c r="FP179" s="727"/>
      <c r="FQ179" s="727"/>
      <c r="FR179" s="727"/>
      <c r="FS179" s="727"/>
      <c r="FT179" s="727"/>
      <c r="FU179" s="727"/>
      <c r="FV179" s="727"/>
      <c r="FW179" s="728"/>
      <c r="FZ179" s="700"/>
    </row>
    <row r="180" spans="1:182" ht="14.25" hidden="1" customHeight="1">
      <c r="A180" s="78"/>
      <c r="B180" s="622" t="b" cm="1">
        <f t="array" ref="B180">B179</f>
        <v>0</v>
      </c>
      <c r="C180" s="78"/>
      <c r="D180" s="78"/>
      <c r="E180" s="473">
        <v>15</v>
      </c>
      <c r="F180" s="3" t="str" cm="1">
        <f t="array" aca="1" ref="F180" ca="1">OFFSET(E180,-1,1)</f>
        <v>2</v>
      </c>
      <c r="G180" s="78"/>
      <c r="H180" s="78" t="s">
        <v>1562</v>
      </c>
      <c r="I180" s="78" t="s">
        <v>1627</v>
      </c>
      <c r="J180" s="78"/>
      <c r="K180" s="78"/>
      <c r="L180" s="78"/>
      <c r="M180" s="78"/>
      <c r="N180" s="78"/>
      <c r="O180" s="78"/>
      <c r="P180" s="78"/>
      <c r="Q180" s="78"/>
      <c r="R180" s="78"/>
      <c r="S180" s="78"/>
      <c r="T180" s="365" t="b" cm="1">
        <f t="array" aca="1" ref="T180" ca="1">T179</f>
        <v>1</v>
      </c>
      <c r="U180" s="78"/>
      <c r="V180" s="78"/>
      <c r="W180" s="78"/>
      <c r="X180" s="1094"/>
      <c r="Y180" s="78"/>
      <c r="Z180" s="1064"/>
      <c r="AA180" s="78"/>
      <c r="AB180" s="124" t="s">
        <v>1657</v>
      </c>
      <c r="AC180" s="31" t="s">
        <v>1624</v>
      </c>
      <c r="AD180" s="833">
        <f ca="1">IF(AD182=0,0,(AD181*AD182+AD183*AD184*IF(god=2026,3,6))/AD182)</f>
        <v>0</v>
      </c>
      <c r="AE180" s="833">
        <f ca="1">IF(AE182=0,0,(AE181*AE182+AE183*AE184*IF(god=2026,3,6))/AE182)</f>
        <v>0</v>
      </c>
      <c r="AF180" s="723">
        <f ca="1">IF(AD180=0,0,(AE180-AD180)/AD180*100)</f>
        <v>0</v>
      </c>
      <c r="AG180" s="833">
        <f ca="1">IF(AG182=0,0,(AG181*AG182+AG183*AG184*IF(god=2025,3,6))/AG182)</f>
        <v>0</v>
      </c>
      <c r="AH180" s="833">
        <f ca="1">IF(AH182=0,0,(AH181*AH182+AH183*AH184*IF(god=2025,3,6))/AH182)</f>
        <v>0</v>
      </c>
      <c r="AI180" s="723">
        <f ca="1">IF(AG180=0,0,(AH180-AG180)/AG180*100)</f>
        <v>0</v>
      </c>
      <c r="AJ180" s="833">
        <f ca="1">IF(AJ182=0,0,(AJ181*AJ182+AJ183*AJ184*6)/AJ182)</f>
        <v>0</v>
      </c>
      <c r="AK180" s="833">
        <f ca="1">IF(AK182=0,0,(AK181*AK182+AK183*AK184*6)/AK182)</f>
        <v>0</v>
      </c>
      <c r="AL180" s="723">
        <f ca="1">IF(AJ180=0,0,(AK180-AJ180)/AJ180*100)</f>
        <v>0</v>
      </c>
      <c r="AM180" s="833">
        <f ca="1">IF(AM182=0,0,(AM181*AM182+AM183*AM184*6)/AM182)</f>
        <v>0</v>
      </c>
      <c r="AN180" s="833">
        <f ca="1">IF(AN182=0,0,(AN181*AN182+AN183*AN184*6)/AN182)</f>
        <v>0</v>
      </c>
      <c r="AO180" s="723">
        <f ca="1">IF(AM180=0,0,(AN180-AM180)/AM180*100)</f>
        <v>0</v>
      </c>
      <c r="AP180" s="833">
        <f ca="1">IF(AP182=0,0,(AP181*AP182+AP183*AP184*6)/AP182)</f>
        <v>0</v>
      </c>
      <c r="AQ180" s="833">
        <f ca="1">IF(AQ182=0,0,(AQ181*AQ182+AQ183*AQ184*6)/AQ182)</f>
        <v>0</v>
      </c>
      <c r="AR180" s="723">
        <f ca="1">IF(AP180=0,0,(AQ180-AP180)/AP180*100)</f>
        <v>0</v>
      </c>
      <c r="AS180" s="833">
        <f ca="1">IF(AS182=0,0,(AS181*AS182+AS183*AS184*6)/AS182)</f>
        <v>0</v>
      </c>
      <c r="AT180" s="833">
        <f ca="1">IF(AT182=0,0,(AT181*AT182+AT183*AT184*6)/AT182)</f>
        <v>0</v>
      </c>
      <c r="AU180" s="723">
        <f ca="1">IF(AS180=0,0,(AT180-AS180)/AS180*100)</f>
        <v>0</v>
      </c>
      <c r="AV180" s="833">
        <f ca="1">IF(AV182=0,0,(AV181*AV182+AV183*AV184*6)/AV182)</f>
        <v>0</v>
      </c>
      <c r="AW180" s="833">
        <f ca="1">IF(AW182=0,0,(AW181*AW182+AW183*AW184*6)/AW182)</f>
        <v>0</v>
      </c>
      <c r="AX180" s="723">
        <f ca="1">IF(AV180=0,0,(AW180-AV180)/AV180*100)</f>
        <v>0</v>
      </c>
      <c r="AY180" s="833">
        <f ca="1">IF(AY182=0,0,(AY181*AY182+AY183*AY184*6)/AY182)</f>
        <v>0</v>
      </c>
      <c r="AZ180" s="833">
        <f ca="1">IF(AZ182=0,0,(AZ181*AZ182+AZ183*AZ184*6)/AZ182)</f>
        <v>0</v>
      </c>
      <c r="BA180" s="723">
        <f ca="1">IF(AY180=0,0,(AZ180-AY180)/AY180*100)</f>
        <v>0</v>
      </c>
      <c r="BB180" s="833">
        <f ca="1">IF(BB182=0,0,(BB181*BB182+BB183*BB184*6)/BB182)</f>
        <v>0</v>
      </c>
      <c r="BC180" s="833">
        <f ca="1">IF(BC182=0,0,(BC181*BC182+BC183*BC184*6)/BC182)</f>
        <v>0</v>
      </c>
      <c r="BD180" s="723">
        <f ca="1">IF(BB180=0,0,(BC180-BB180)/BB180*100)</f>
        <v>0</v>
      </c>
      <c r="BE180" s="833">
        <f ca="1">IF(BE182=0,0,(BE181*BE182+BE183*BE184*6)/BE182)</f>
        <v>0</v>
      </c>
      <c r="BF180" s="833">
        <f ca="1">IF(BF182=0,0,(BF181*BF182+BF183*BF184*6)/BF182)</f>
        <v>0</v>
      </c>
      <c r="BG180" s="723">
        <f ca="1">IF(BE180=0,0,(BF180-BE180)/BE180*100)</f>
        <v>0</v>
      </c>
      <c r="BH180" s="833">
        <f>IF(BH182=0,0,(BH181*BH182+BH183*BH184*6)/BH182)</f>
        <v>0</v>
      </c>
      <c r="BI180" s="833">
        <f>IF(BI182=0,0,(BI181*BI182+BI183*BI184*6)/BI182)</f>
        <v>0</v>
      </c>
      <c r="BJ180" s="723">
        <f>IF(BH180=0,0,(BI180-BH180)/BH180*100)</f>
        <v>0</v>
      </c>
      <c r="BK180" s="833">
        <f>IF(BK182=0,0,(BK181*BK182+BK183*BK184*6)/BK182)</f>
        <v>0</v>
      </c>
      <c r="BL180" s="833">
        <f>IF(BL182=0,0,(BL181*BL182+BL183*BL184*6)/BL182)</f>
        <v>0</v>
      </c>
      <c r="BM180" s="723">
        <f>IF(BK180=0,0,(BL180-BK180)/BK180*100)</f>
        <v>0</v>
      </c>
      <c r="BN180" s="833">
        <f>IF(BN182=0,0,(BN181*BN182+BN183*BN184*6)/BN182)</f>
        <v>0</v>
      </c>
      <c r="BO180" s="833">
        <f>IF(BO182=0,0,(BO181*BO182+BO183*BO184*6)/BO182)</f>
        <v>0</v>
      </c>
      <c r="BP180" s="723">
        <f>IF(BN180=0,0,(BO180-BN180)/BN180*100)</f>
        <v>0</v>
      </c>
      <c r="BQ180" s="833">
        <f>IF(BQ182=0,0,(BQ181*BQ182+BQ183*BQ184*6)/BQ182)</f>
        <v>0</v>
      </c>
      <c r="BR180" s="833">
        <f>IF(BR182=0,0,(BR181*BR182+BR183*BR184*6)/BR182)</f>
        <v>0</v>
      </c>
      <c r="BS180" s="723">
        <f>IF(BQ180=0,0,(BR180-BQ180)/BQ180*100)</f>
        <v>0</v>
      </c>
      <c r="BT180" s="833">
        <f>IF(BT182=0,0,(BT181*BT182+BT183*BT184*6)/BT182)</f>
        <v>0</v>
      </c>
      <c r="BU180" s="833">
        <f>IF(BU182=0,0,(BU181*BU182+BU183*BU184*6)/BU182)</f>
        <v>0</v>
      </c>
      <c r="BV180" s="723">
        <f>IF(BT180=0,0,(BU180-BT180)/BT180*100)</f>
        <v>0</v>
      </c>
      <c r="BW180" s="833">
        <f>IF(BW182=0,0,(BW181*BW182+BW183*BW184*6)/BW182)</f>
        <v>0</v>
      </c>
      <c r="BX180" s="833">
        <f>IF(BX182=0,0,(BX181*BX182+BX183*BX184*6)/BX182)</f>
        <v>0</v>
      </c>
      <c r="BY180" s="723">
        <f>IF(BW180=0,0,(BX180-BW180)/BW180*100)</f>
        <v>0</v>
      </c>
      <c r="BZ180" s="833">
        <f>IF(BZ182=0,0,(BZ181*BZ182+BZ183*BZ184*6)/BZ182)</f>
        <v>0</v>
      </c>
      <c r="CA180" s="833">
        <f>IF(CA182=0,0,(CA181*CA182+CA183*CA184*6)/CA182)</f>
        <v>0</v>
      </c>
      <c r="CB180" s="723">
        <f>IF(BZ180=0,0,(CA180-BZ180)/BZ180*100)</f>
        <v>0</v>
      </c>
      <c r="CC180" s="833">
        <f>IF(CC182=0,0,(CC181*CC182+CC183*CC184*6)/CC182)</f>
        <v>0</v>
      </c>
      <c r="CD180" s="833">
        <f>IF(CD182=0,0,(CD181*CD182+CD183*CD184*6)/CD182)</f>
        <v>0</v>
      </c>
      <c r="CE180" s="723">
        <f>IF(CC180=0,0,(CD180-CC180)/CC180*100)</f>
        <v>0</v>
      </c>
      <c r="CF180" s="833">
        <f>IF(CF182=0,0,(CF181*CF182+CF183*CF184*6)/CF182)</f>
        <v>0</v>
      </c>
      <c r="CG180" s="833">
        <f>IF(CG182=0,0,(CG181*CG182+CG183*CG184*6)/CG182)</f>
        <v>0</v>
      </c>
      <c r="CH180" s="723">
        <f>IF(CF180=0,0,(CG180-CF180)/CF180*100)</f>
        <v>0</v>
      </c>
      <c r="CI180" s="833">
        <f>IF(CI182=0,0,(CI181*CI182+CI183*CI184*6)/CI182)</f>
        <v>0</v>
      </c>
      <c r="CJ180" s="833">
        <f>IF(CJ182=0,0,(CJ181*CJ182+CJ183*CJ184*6)/CJ182)</f>
        <v>0</v>
      </c>
      <c r="CK180" s="723">
        <f>IF(CI180=0,0,(CJ180-CI180)/CI180*100)</f>
        <v>0</v>
      </c>
      <c r="CL180" s="833">
        <f>IF(CL182=0,0,(CL181*CL182+CL183*CL184*6)/CL182)</f>
        <v>0</v>
      </c>
      <c r="CM180" s="833">
        <f>IF(CM182=0,0,(CM181*CM182+CM183*CM184*6)/CM182)</f>
        <v>0</v>
      </c>
      <c r="CN180" s="723">
        <f>IF(CL180=0,0,(CM180-CL180)/CL180*100)</f>
        <v>0</v>
      </c>
      <c r="CO180" s="833">
        <f>IF(CO182=0,0,(CO181*CO182+CO183*CO184*6)/CO182)</f>
        <v>0</v>
      </c>
      <c r="CP180" s="833">
        <f>IF(CP182=0,0,(CP181*CP182+CP183*CP184*6)/CP182)</f>
        <v>0</v>
      </c>
      <c r="CQ180" s="723">
        <f>IF(CO180=0,0,(CP180-CO180)/CO180*100)</f>
        <v>0</v>
      </c>
      <c r="CR180" s="833">
        <f>IF(CR182=0,0,(CR181*CR182+CR183*CR184*6)/CR182)</f>
        <v>0</v>
      </c>
      <c r="CS180" s="833">
        <f>IF(CS182=0,0,(CS181*CS182+CS183*CS184*6)/CS182)</f>
        <v>0</v>
      </c>
      <c r="CT180" s="723">
        <f>IF(CR180=0,0,(CS180-CR180)/CR180*100)</f>
        <v>0</v>
      </c>
      <c r="CU180" s="833">
        <f>IF(CU182=0,0,(CU181*CU182+CU183*CU184*6)/CU182)</f>
        <v>0</v>
      </c>
      <c r="CV180" s="833">
        <f>IF(CV182=0,0,(CV181*CV182+CV183*CV184*6)/CV182)</f>
        <v>0</v>
      </c>
      <c r="CW180" s="723">
        <f>IF(CU180=0,0,(CV180-CU180)/CU180*100)</f>
        <v>0</v>
      </c>
      <c r="CX180" s="833">
        <f>IF(CX182=0,0,(CX181*CX182+CX183*CX184*6)/CX182)</f>
        <v>0</v>
      </c>
      <c r="CY180" s="833">
        <f>IF(CY182=0,0,(CY181*CY182+CY183*CY184*6)/CY182)</f>
        <v>0</v>
      </c>
      <c r="CZ180" s="723">
        <f>IF(CX180=0,0,(CY180-CX180)/CX180*100)</f>
        <v>0</v>
      </c>
      <c r="DA180" s="833">
        <f>IF(DA182=0,0,(DA181*DA182+DA183*DA184*6)/DA182)</f>
        <v>0</v>
      </c>
      <c r="DB180" s="833">
        <f>IF(DB182=0,0,(DB181*DB182+DB183*DB184*6)/DB182)</f>
        <v>0</v>
      </c>
      <c r="DC180" s="723">
        <f>IF(DA180=0,0,(DB180-DA180)/DA180*100)</f>
        <v>0</v>
      </c>
      <c r="DD180" s="833">
        <f>IF(DD182=0,0,(DD181*DD182+DD183*DD184*6)/DD182)</f>
        <v>0</v>
      </c>
      <c r="DE180" s="833">
        <f>IF(DE182=0,0,(DE181*DE182+DE183*DE184*6)/DE182)</f>
        <v>0</v>
      </c>
      <c r="DF180" s="723">
        <f>IF(DD180=0,0,(DE180-DD180)/DD180*100)</f>
        <v>0</v>
      </c>
      <c r="DG180" s="833">
        <f>IF(DG182=0,0,(DG181*DG182+DG183*DG184*6)/DG182)</f>
        <v>0</v>
      </c>
      <c r="DH180" s="833">
        <f>IF(DH182=0,0,(DH181*DH182+DH183*DH184*6)/DH182)</f>
        <v>0</v>
      </c>
      <c r="DI180" s="723">
        <f>IF(DG180=0,0,(DH180-DG180)/DG180*100)</f>
        <v>0</v>
      </c>
      <c r="DJ180" s="833">
        <f>IF(DJ182=0,0,(DJ181*DJ182+DJ183*DJ184*6)/DJ182)</f>
        <v>0</v>
      </c>
      <c r="DK180" s="833">
        <f>IF(DK182=0,0,(DK181*DK182+DK183*DK184*6)/DK182)</f>
        <v>0</v>
      </c>
      <c r="DL180" s="723">
        <f>IF(DJ180=0,0,(DK180-DJ180)/DJ180*100)</f>
        <v>0</v>
      </c>
      <c r="DM180" s="833">
        <f>IF(DM182=0,0,(DM181*DM182+DM183*DM184*6)/DM182)</f>
        <v>0</v>
      </c>
      <c r="DN180" s="833">
        <f>IF(DN182=0,0,(DN181*DN182+DN183*DN184*6)/DN182)</f>
        <v>0</v>
      </c>
      <c r="DO180" s="723">
        <f>IF(DM180=0,0,(DN180-DM180)/DM180*100)</f>
        <v>0</v>
      </c>
      <c r="DP180" s="833">
        <f>IF(DP182=0,0,(DP181*DP182+DP183*DP184*6)/DP182)</f>
        <v>0</v>
      </c>
      <c r="DQ180" s="833">
        <f>IF(DQ182=0,0,(DQ181*DQ182+DQ183*DQ184*6)/DQ182)</f>
        <v>0</v>
      </c>
      <c r="DR180" s="723">
        <f>IF(DP180=0,0,(DQ180-DP180)/DP180*100)</f>
        <v>0</v>
      </c>
      <c r="DS180" s="833">
        <f>IF(DS182=0,0,(DS181*DS182+DS183*DS184*6)/DS182)</f>
        <v>0</v>
      </c>
      <c r="DT180" s="833">
        <f>IF(DT182=0,0,(DT181*DT182+DT183*DT184*6)/DT182)</f>
        <v>0</v>
      </c>
      <c r="DU180" s="723">
        <f>IF(DS180=0,0,(DT180-DS180)/DS180*100)</f>
        <v>0</v>
      </c>
      <c r="DV180" s="833">
        <f>IF(DV182=0,0,(DV181*DV182+DV183*DV184*6)/DV182)</f>
        <v>0</v>
      </c>
      <c r="DW180" s="833">
        <f>IF(DW182=0,0,(DW181*DW182+DW183*DW184*6)/DW182)</f>
        <v>0</v>
      </c>
      <c r="DX180" s="723">
        <f>IF(DV180=0,0,(DW180-DV180)/DV180*100)</f>
        <v>0</v>
      </c>
      <c r="DY180" s="833">
        <f>IF(DY182=0,0,(DY181*DY182+DY183*DY184*6)/DY182)</f>
        <v>0</v>
      </c>
      <c r="DZ180" s="833">
        <f>IF(DZ182=0,0,(DZ181*DZ182+DZ183*DZ184*6)/DZ182)</f>
        <v>0</v>
      </c>
      <c r="EA180" s="723">
        <f>IF(DY180=0,0,(DZ180-DY180)/DY180*100)</f>
        <v>0</v>
      </c>
      <c r="EB180" s="833">
        <f>IF(EB182=0,0,(EB181*EB182+EB183*EB184*6)/EB182)</f>
        <v>0</v>
      </c>
      <c r="EC180" s="833">
        <f>IF(EC182=0,0,(EC181*EC182+EC183*EC184*6)/EC182)</f>
        <v>0</v>
      </c>
      <c r="ED180" s="723">
        <f>IF(EB180=0,0,(EC180-EB180)/EB180*100)</f>
        <v>0</v>
      </c>
      <c r="EE180" s="833">
        <f>IF(EE182=0,0,(EE181*EE182+EE183*EE184*6)/EE182)</f>
        <v>0</v>
      </c>
      <c r="EF180" s="833">
        <f>IF(EF182=0,0,(EF181*EF182+EF183*EF184*6)/EF182)</f>
        <v>0</v>
      </c>
      <c r="EG180" s="723">
        <f>IF(EE180=0,0,(EF180-EE180)/EE180*100)</f>
        <v>0</v>
      </c>
      <c r="EH180" s="833">
        <f>IF(EH182=0,0,(EH181*EH182+EH183*EH184*6)/EH182)</f>
        <v>0</v>
      </c>
      <c r="EI180" s="833">
        <f>IF(EI182=0,0,(EI181*EI182+EI183*EI184*6)/EI182)</f>
        <v>0</v>
      </c>
      <c r="EJ180" s="723">
        <f>IF(EH180=0,0,(EI180-EH180)/EH180*100)</f>
        <v>0</v>
      </c>
      <c r="EK180" s="833">
        <f>IF(EK182=0,0,(EK181*EK182+EK183*EK184*6)/EK182)</f>
        <v>0</v>
      </c>
      <c r="EL180" s="833">
        <f>IF(EL182=0,0,(EL181*EL182+EL183*EL184*6)/EL182)</f>
        <v>0</v>
      </c>
      <c r="EM180" s="723">
        <f>IF(EK180=0,0,(EL180-EK180)/EK180*100)</f>
        <v>0</v>
      </c>
      <c r="EN180" s="833">
        <f>IF(EN182=0,0,(EN181*EN182+EN183*EN184*6)/EN182)</f>
        <v>0</v>
      </c>
      <c r="EO180" s="833">
        <f>IF(EO182=0,0,(EO181*EO182+EO183*EO184*6)/EO182)</f>
        <v>0</v>
      </c>
      <c r="EP180" s="723">
        <f>IF(EN180=0,0,(EO180-EN180)/EN180*100)</f>
        <v>0</v>
      </c>
      <c r="EQ180" s="833">
        <f>IF(EQ182=0,0,(EQ181*EQ182+EQ183*EQ184*6)/EQ182)</f>
        <v>0</v>
      </c>
      <c r="ER180" s="833">
        <f>IF(ER182=0,0,(ER181*ER182+ER183*ER184*6)/ER182)</f>
        <v>0</v>
      </c>
      <c r="ES180" s="723">
        <f>IF(EQ180=0,0,(ER180-EQ180)/EQ180*100)</f>
        <v>0</v>
      </c>
      <c r="ET180" s="833">
        <f>IF(ET182=0,0,(ET181*ET182+ET183*ET184*6)/ET182)</f>
        <v>0</v>
      </c>
      <c r="EU180" s="833">
        <f>IF(EU182=0,0,(EU181*EU182+EU183*EU184*6)/EU182)</f>
        <v>0</v>
      </c>
      <c r="EV180" s="723">
        <f>IF(ET180=0,0,(EU180-ET180)/ET180*100)</f>
        <v>0</v>
      </c>
      <c r="EW180" s="833">
        <f>IF(EW182=0,0,(EW181*EW182+EW183*EW184*6)/EW182)</f>
        <v>0</v>
      </c>
      <c r="EX180" s="833">
        <f>IF(EX182=0,0,(EX181*EX182+EX183*EX184*6)/EX182)</f>
        <v>0</v>
      </c>
      <c r="EY180" s="723">
        <f>IF(EW180=0,0,(EX180-EW180)/EW180*100)</f>
        <v>0</v>
      </c>
      <c r="EZ180" s="833">
        <f>IF(EZ182=0,0,(EZ181*EZ182+EZ183*EZ184*6)/EZ182)</f>
        <v>0</v>
      </c>
      <c r="FA180" s="833">
        <f>IF(FA182=0,0,(FA181*FA182+FA183*FA184*6)/FA182)</f>
        <v>0</v>
      </c>
      <c r="FB180" s="723">
        <f>IF(EZ180=0,0,(FA180-EZ180)/EZ180*100)</f>
        <v>0</v>
      </c>
      <c r="FC180" s="833">
        <f>IF(FC182=0,0,(FC181*FC182+FC183*FC184*6)/FC182)</f>
        <v>0</v>
      </c>
      <c r="FD180" s="833">
        <f>IF(FD182=0,0,(FD181*FD182+FD183*FD184*6)/FD182)</f>
        <v>0</v>
      </c>
      <c r="FE180" s="723">
        <f>IF(FC180=0,0,(FD180-FC180)/FC180*100)</f>
        <v>0</v>
      </c>
      <c r="FF180" s="833">
        <f>IF(FF182=0,0,(FF181*FF182+FF183*FF184*6)/FF182)</f>
        <v>0</v>
      </c>
      <c r="FG180" s="833">
        <f>IF(FG182=0,0,(FG181*FG182+FG183*FG184*6)/FG182)</f>
        <v>0</v>
      </c>
      <c r="FH180" s="723">
        <f>IF(FF180=0,0,(FG180-FF180)/FF180*100)</f>
        <v>0</v>
      </c>
      <c r="FI180" s="833">
        <f>IF(FI182=0,0,(FI181*FI182+FI183*FI184*6)/FI182)</f>
        <v>0</v>
      </c>
      <c r="FJ180" s="833">
        <f>IF(FJ182=0,0,(FJ181*FJ182+FJ183*FJ184*6)/FJ182)</f>
        <v>0</v>
      </c>
      <c r="FK180" s="723">
        <f>IF(FI180=0,0,(FJ180-FI180)/FI180*100)</f>
        <v>0</v>
      </c>
      <c r="FL180" s="833">
        <f>IF(FL182=0,0,(FL181*FL182+FL183*FL184*6)/FL182)</f>
        <v>0</v>
      </c>
      <c r="FM180" s="833">
        <f>IF(FM182=0,0,(FM181*FM182+FM183*FM184*6)/FM182)</f>
        <v>0</v>
      </c>
      <c r="FN180" s="723">
        <f>IF(FL180=0,0,(FM180-FL180)/FL180*100)</f>
        <v>0</v>
      </c>
      <c r="FO180" s="833">
        <f>IF(FO182=0,0,(FO181*FO182+FO183*FO184*6)/FO182)</f>
        <v>0</v>
      </c>
      <c r="FP180" s="833">
        <f>IF(FP182=0,0,(FP181*FP182+FP183*FP184*6)/FP182)</f>
        <v>0</v>
      </c>
      <c r="FQ180" s="723">
        <f>IF(FO180=0,0,(FP180-FO180)/FO180*100)</f>
        <v>0</v>
      </c>
      <c r="FR180" s="833">
        <f>IF(FR182=0,0,(FR181*FR182+FR183*FR184*6)/FR182)</f>
        <v>0</v>
      </c>
      <c r="FS180" s="833">
        <f>IF(FS182=0,0,(FS181*FS182+FS183*FS184*6)/FS182)</f>
        <v>0</v>
      </c>
      <c r="FT180" s="723">
        <f>IF(FR180=0,0,(FS180-FR180)/FR180*100)</f>
        <v>0</v>
      </c>
      <c r="FU180" s="833">
        <f>IF(FU182=0,0,(FU181*FU182+FU183*FU184*6)/FU182)</f>
        <v>0</v>
      </c>
      <c r="FV180" s="833">
        <f>IF(FV182=0,0,(FV181*FV182+FV183*FV184*6)/FV182)</f>
        <v>0</v>
      </c>
      <c r="FW180" s="723">
        <f>IF(FU180=0,0,(FV180-FU180)/FU180*100)</f>
        <v>0</v>
      </c>
      <c r="FZ180" s="700" t="s">
        <v>1671</v>
      </c>
    </row>
    <row r="181" spans="1:182" ht="14.25" hidden="1" customHeight="1">
      <c r="A181" s="78"/>
      <c r="B181" s="622" t="b" cm="1">
        <f t="array" ref="B181">B180</f>
        <v>0</v>
      </c>
      <c r="C181" s="78"/>
      <c r="D181" s="78"/>
      <c r="E181" s="473">
        <v>15</v>
      </c>
      <c r="F181" s="3" t="str" cm="1">
        <f t="array" aca="1" ref="F181" ca="1">OFFSET(E181,-1,1)</f>
        <v>2</v>
      </c>
      <c r="G181" s="78"/>
      <c r="H181" s="78" t="s">
        <v>1566</v>
      </c>
      <c r="I181" s="78" t="s">
        <v>1627</v>
      </c>
      <c r="J181" s="78"/>
      <c r="K181" s="78"/>
      <c r="L181" s="78"/>
      <c r="M181" s="78"/>
      <c r="N181" s="78"/>
      <c r="O181" s="78"/>
      <c r="P181" s="78"/>
      <c r="Q181" s="78"/>
      <c r="R181" s="78"/>
      <c r="S181" s="78"/>
      <c r="T181" s="365" t="b" cm="1">
        <f t="array" aca="1" ref="T181" ca="1">T180</f>
        <v>1</v>
      </c>
      <c r="U181" s="78"/>
      <c r="V181" s="78"/>
      <c r="W181" s="78"/>
      <c r="X181" s="1094"/>
      <c r="Y181" s="78"/>
      <c r="Z181" s="1064"/>
      <c r="AA181" s="78"/>
      <c r="AB181" s="124" t="str">
        <f>"ставка платы за "&amp;IF(Q155="Водоснабжение","потребление 1 куб.м холодной воды","объем принятых сточных вод")</f>
        <v>ставка платы за объем принятых сточных вод</v>
      </c>
      <c r="AC181" s="31" t="s">
        <v>1624</v>
      </c>
      <c r="AD181" s="833"/>
      <c r="AE181" s="833"/>
      <c r="AF181" s="723">
        <f>IF(AD181=0,0,(AE181-AD181)/AD181*100)</f>
        <v>0</v>
      </c>
      <c r="AG181" s="833"/>
      <c r="AH181" s="833"/>
      <c r="AI181" s="723">
        <f>IF(AG181=0,0,(AH181-AG181)/AG181*100)</f>
        <v>0</v>
      </c>
      <c r="AJ181" s="833"/>
      <c r="AK181" s="833"/>
      <c r="AL181" s="723">
        <f>IF(AJ181=0,0,(AK181-AJ181)/AJ181*100)</f>
        <v>0</v>
      </c>
      <c r="AM181" s="833"/>
      <c r="AN181" s="833"/>
      <c r="AO181" s="723">
        <f>IF(AM181=0,0,(AN181-AM181)/AM181*100)</f>
        <v>0</v>
      </c>
      <c r="AP181" s="833"/>
      <c r="AQ181" s="833"/>
      <c r="AR181" s="723">
        <f>IF(AP181=0,0,(AQ181-AP181)/AP181*100)</f>
        <v>0</v>
      </c>
      <c r="AS181" s="833"/>
      <c r="AT181" s="833"/>
      <c r="AU181" s="723">
        <f>IF(AS181=0,0,(AT181-AS181)/AS181*100)</f>
        <v>0</v>
      </c>
      <c r="AV181" s="833"/>
      <c r="AW181" s="833"/>
      <c r="AX181" s="723">
        <f>IF(AV181=0,0,(AW181-AV181)/AV181*100)</f>
        <v>0</v>
      </c>
      <c r="AY181" s="833"/>
      <c r="AZ181" s="833"/>
      <c r="BA181" s="723">
        <f>IF(AY181=0,0,(AZ181-AY181)/AY181*100)</f>
        <v>0</v>
      </c>
      <c r="BB181" s="833"/>
      <c r="BC181" s="833"/>
      <c r="BD181" s="723">
        <f>IF(BB181=0,0,(BC181-BB181)/BB181*100)</f>
        <v>0</v>
      </c>
      <c r="BE181" s="833"/>
      <c r="BF181" s="833"/>
      <c r="BG181" s="723">
        <f>IF(BE181=0,0,(BF181-BE181)/BE181*100)</f>
        <v>0</v>
      </c>
      <c r="BH181" s="833"/>
      <c r="BI181" s="833"/>
      <c r="BJ181" s="723">
        <f>IF(BH181=0,0,(BI181-BH181)/BH181*100)</f>
        <v>0</v>
      </c>
      <c r="BK181" s="833"/>
      <c r="BL181" s="833"/>
      <c r="BM181" s="723">
        <f>IF(BK181=0,0,(BL181-BK181)/BK181*100)</f>
        <v>0</v>
      </c>
      <c r="BN181" s="833"/>
      <c r="BO181" s="833"/>
      <c r="BP181" s="723">
        <f>IF(BN181=0,0,(BO181-BN181)/BN181*100)</f>
        <v>0</v>
      </c>
      <c r="BQ181" s="833"/>
      <c r="BR181" s="833"/>
      <c r="BS181" s="723">
        <f>IF(BQ181=0,0,(BR181-BQ181)/BQ181*100)</f>
        <v>0</v>
      </c>
      <c r="BT181" s="833"/>
      <c r="BU181" s="833"/>
      <c r="BV181" s="723">
        <f>IF(BT181=0,0,(BU181-BT181)/BT181*100)</f>
        <v>0</v>
      </c>
      <c r="BW181" s="833"/>
      <c r="BX181" s="833"/>
      <c r="BY181" s="723">
        <f>IF(BW181=0,0,(BX181-BW181)/BW181*100)</f>
        <v>0</v>
      </c>
      <c r="BZ181" s="833"/>
      <c r="CA181" s="833"/>
      <c r="CB181" s="723">
        <f>IF(BZ181=0,0,(CA181-BZ181)/BZ181*100)</f>
        <v>0</v>
      </c>
      <c r="CC181" s="833"/>
      <c r="CD181" s="833"/>
      <c r="CE181" s="723">
        <f>IF(CC181=0,0,(CD181-CC181)/CC181*100)</f>
        <v>0</v>
      </c>
      <c r="CF181" s="833"/>
      <c r="CG181" s="833"/>
      <c r="CH181" s="723">
        <f>IF(CF181=0,0,(CG181-CF181)/CF181*100)</f>
        <v>0</v>
      </c>
      <c r="CI181" s="833"/>
      <c r="CJ181" s="833"/>
      <c r="CK181" s="723">
        <f>IF(CI181=0,0,(CJ181-CI181)/CI181*100)</f>
        <v>0</v>
      </c>
      <c r="CL181" s="833"/>
      <c r="CM181" s="833"/>
      <c r="CN181" s="723">
        <f>IF(CL181=0,0,(CM181-CL181)/CL181*100)</f>
        <v>0</v>
      </c>
      <c r="CO181" s="833"/>
      <c r="CP181" s="833"/>
      <c r="CQ181" s="723">
        <f>IF(CO181=0,0,(CP181-CO181)/CO181*100)</f>
        <v>0</v>
      </c>
      <c r="CR181" s="833"/>
      <c r="CS181" s="833"/>
      <c r="CT181" s="723">
        <f>IF(CR181=0,0,(CS181-CR181)/CR181*100)</f>
        <v>0</v>
      </c>
      <c r="CU181" s="833"/>
      <c r="CV181" s="833"/>
      <c r="CW181" s="723">
        <f>IF(CU181=0,0,(CV181-CU181)/CU181*100)</f>
        <v>0</v>
      </c>
      <c r="CX181" s="833"/>
      <c r="CY181" s="833"/>
      <c r="CZ181" s="723">
        <f>IF(CX181=0,0,(CY181-CX181)/CX181*100)</f>
        <v>0</v>
      </c>
      <c r="DA181" s="833"/>
      <c r="DB181" s="833"/>
      <c r="DC181" s="723">
        <f>IF(DA181=0,0,(DB181-DA181)/DA181*100)</f>
        <v>0</v>
      </c>
      <c r="DD181" s="833"/>
      <c r="DE181" s="833"/>
      <c r="DF181" s="723">
        <f>IF(DD181=0,0,(DE181-DD181)/DD181*100)</f>
        <v>0</v>
      </c>
      <c r="DG181" s="833"/>
      <c r="DH181" s="833"/>
      <c r="DI181" s="723">
        <f>IF(DG181=0,0,(DH181-DG181)/DG181*100)</f>
        <v>0</v>
      </c>
      <c r="DJ181" s="833"/>
      <c r="DK181" s="833"/>
      <c r="DL181" s="723">
        <f>IF(DJ181=0,0,(DK181-DJ181)/DJ181*100)</f>
        <v>0</v>
      </c>
      <c r="DM181" s="833"/>
      <c r="DN181" s="833"/>
      <c r="DO181" s="723">
        <f>IF(DM181=0,0,(DN181-DM181)/DM181*100)</f>
        <v>0</v>
      </c>
      <c r="DP181" s="833"/>
      <c r="DQ181" s="833"/>
      <c r="DR181" s="723">
        <f>IF(DP181=0,0,(DQ181-DP181)/DP181*100)</f>
        <v>0</v>
      </c>
      <c r="DS181" s="833"/>
      <c r="DT181" s="833"/>
      <c r="DU181" s="723">
        <f>IF(DS181=0,0,(DT181-DS181)/DS181*100)</f>
        <v>0</v>
      </c>
      <c r="DV181" s="833"/>
      <c r="DW181" s="833"/>
      <c r="DX181" s="723">
        <f>IF(DV181=0,0,(DW181-DV181)/DV181*100)</f>
        <v>0</v>
      </c>
      <c r="DY181" s="833"/>
      <c r="DZ181" s="833"/>
      <c r="EA181" s="723">
        <f>IF(DY181=0,0,(DZ181-DY181)/DY181*100)</f>
        <v>0</v>
      </c>
      <c r="EB181" s="833"/>
      <c r="EC181" s="833"/>
      <c r="ED181" s="723">
        <f>IF(EB181=0,0,(EC181-EB181)/EB181*100)</f>
        <v>0</v>
      </c>
      <c r="EE181" s="833"/>
      <c r="EF181" s="833"/>
      <c r="EG181" s="723">
        <f>IF(EE181=0,0,(EF181-EE181)/EE181*100)</f>
        <v>0</v>
      </c>
      <c r="EH181" s="833"/>
      <c r="EI181" s="833"/>
      <c r="EJ181" s="723">
        <f>IF(EH181=0,0,(EI181-EH181)/EH181*100)</f>
        <v>0</v>
      </c>
      <c r="EK181" s="833"/>
      <c r="EL181" s="833"/>
      <c r="EM181" s="723">
        <f>IF(EK181=0,0,(EL181-EK181)/EK181*100)</f>
        <v>0</v>
      </c>
      <c r="EN181" s="833"/>
      <c r="EO181" s="833"/>
      <c r="EP181" s="723">
        <f>IF(EN181=0,0,(EO181-EN181)/EN181*100)</f>
        <v>0</v>
      </c>
      <c r="EQ181" s="833"/>
      <c r="ER181" s="833"/>
      <c r="ES181" s="723">
        <f>IF(EQ181=0,0,(ER181-EQ181)/EQ181*100)</f>
        <v>0</v>
      </c>
      <c r="ET181" s="833"/>
      <c r="EU181" s="833"/>
      <c r="EV181" s="723">
        <f>IF(ET181=0,0,(EU181-ET181)/ET181*100)</f>
        <v>0</v>
      </c>
      <c r="EW181" s="833"/>
      <c r="EX181" s="833"/>
      <c r="EY181" s="723">
        <f>IF(EW181=0,0,(EX181-EW181)/EW181*100)</f>
        <v>0</v>
      </c>
      <c r="EZ181" s="833"/>
      <c r="FA181" s="833"/>
      <c r="FB181" s="723">
        <f>IF(EZ181=0,0,(FA181-EZ181)/EZ181*100)</f>
        <v>0</v>
      </c>
      <c r="FC181" s="833"/>
      <c r="FD181" s="833"/>
      <c r="FE181" s="723">
        <f>IF(FC181=0,0,(FD181-FC181)/FC181*100)</f>
        <v>0</v>
      </c>
      <c r="FF181" s="833"/>
      <c r="FG181" s="833"/>
      <c r="FH181" s="723">
        <f>IF(FF181=0,0,(FG181-FF181)/FF181*100)</f>
        <v>0</v>
      </c>
      <c r="FI181" s="833"/>
      <c r="FJ181" s="833"/>
      <c r="FK181" s="723">
        <f>IF(FI181=0,0,(FJ181-FI181)/FI181*100)</f>
        <v>0</v>
      </c>
      <c r="FL181" s="833"/>
      <c r="FM181" s="833"/>
      <c r="FN181" s="723">
        <f>IF(FL181=0,0,(FM181-FL181)/FL181*100)</f>
        <v>0</v>
      </c>
      <c r="FO181" s="833"/>
      <c r="FP181" s="833"/>
      <c r="FQ181" s="723">
        <f>IF(FO181=0,0,(FP181-FO181)/FO181*100)</f>
        <v>0</v>
      </c>
      <c r="FR181" s="833"/>
      <c r="FS181" s="833"/>
      <c r="FT181" s="723">
        <f>IF(FR181=0,0,(FS181-FR181)/FR181*100)</f>
        <v>0</v>
      </c>
      <c r="FU181" s="833"/>
      <c r="FV181" s="833"/>
      <c r="FW181" s="723">
        <f>IF(FU181=0,0,(FV181-FU181)/FU181*100)</f>
        <v>0</v>
      </c>
      <c r="FZ181" s="700" t="s">
        <v>1672</v>
      </c>
    </row>
    <row r="182" spans="1:182" ht="14.25" hidden="1" customHeight="1">
      <c r="A182" s="78"/>
      <c r="B182" s="622" t="b" cm="1">
        <f t="array" ref="B182">B181</f>
        <v>0</v>
      </c>
      <c r="C182" s="78"/>
      <c r="D182" s="78"/>
      <c r="E182" s="473">
        <v>15</v>
      </c>
      <c r="F182" s="3" t="str" cm="1">
        <f t="array" aca="1" ref="F182" ca="1">OFFSET(E182,-1,1)</f>
        <v>2</v>
      </c>
      <c r="G182" s="44" t="s">
        <v>1673</v>
      </c>
      <c r="H182" s="78" t="s">
        <v>1661</v>
      </c>
      <c r="I182" s="78" t="s">
        <v>1627</v>
      </c>
      <c r="J182" s="78"/>
      <c r="K182" s="78"/>
      <c r="L182" s="78"/>
      <c r="M182" s="78"/>
      <c r="N182" s="78"/>
      <c r="O182" s="78"/>
      <c r="P182" s="78"/>
      <c r="Q182" s="78"/>
      <c r="R182" s="78"/>
      <c r="S182" s="78"/>
      <c r="T182" s="365" t="b" cm="1">
        <f t="array" aca="1" ref="T182" ca="1">T181</f>
        <v>1</v>
      </c>
      <c r="U182" s="78"/>
      <c r="V182" s="78"/>
      <c r="W182" s="78"/>
      <c r="X182" s="1094"/>
      <c r="Y182" s="78"/>
      <c r="Z182" s="1064"/>
      <c r="AA182" s="78"/>
      <c r="AB182" s="124" t="str">
        <f>"объём "&amp;IF(Q155="Водоснабжение","потребления холодной воды","водоотведения")</f>
        <v>объём водоотведения</v>
      </c>
      <c r="AC182" s="31" t="s">
        <v>534</v>
      </c>
      <c r="AD182" s="849">
        <f ca="1">IF(AND(method_reg="Метод индексации",god&lt;&gt;first_year),SUMIFS(INDEX('Калькуляция (МИ корр)'!$AJ$25:$BC$459,,MATCH(AD$8,'Калькуляция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(МИ)'!$AJ$25:$BC$459,,MATCH(AD$8,'Калькуляция (МИ)'!$AJ$8:$BC$8,0)),'Калькуляция (МИ)'!$F$25:$F$459,$F182,'Калькуляция (МИ)'!$G$25:$G$459,$G182))))</f>
        <v>234.73424999999997</v>
      </c>
      <c r="AE182" s="849">
        <f ca="1">IF(AND(method_reg="Метод индексации",god&lt;&gt;first_year),SUMIFS(INDEX('Калькуляция (МИ корр)'!$AJ$25:$BC$459,,MATCH(AE$8,'Калькуляция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(МИ)'!$AJ$25:$BC$459,,MATCH(AE$8,'Калькуляция (МИ)'!$AJ$8:$BC$8,0)),'Калькуляция (МИ)'!$F$25:$F$459,$F182,'Калькуляция (МИ)'!$G$25:$G$459,$G182))))</f>
        <v>237.04075</v>
      </c>
      <c r="AF182" s="724">
        <f ca="1">IF(AD182=0,0,(AE182-AD182)/AD182*100)</f>
        <v>0.98260053656423307</v>
      </c>
      <c r="AG182" s="849">
        <f ca="1">IF(AND(method_reg="Метод индексации",god&lt;&gt;first_year),SUMIFS(INDEX('Калькуляция (МИ корр)'!$AJ$25:$BC$459,,MATCH(AG$8,'Калькуляция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(МИ)'!$AJ$25:$BC$459,,MATCH(AG$8,'Калькуляция (МИ)'!$AJ$8:$BC$8,0)),'Калькуляция (МИ)'!$F$25:$F$459,$F182,'Калькуляция (МИ)'!$G$25:$G$459,$G182))))</f>
        <v>0</v>
      </c>
      <c r="AH182" s="849">
        <f ca="1">IF(AND(method_reg="Метод индексации",god&lt;&gt;first_year),SUMIFS(INDEX('Калькуляция (МИ корр)'!$AJ$25:$BC$459,,MATCH(AH$8,'Калькуляция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(МИ)'!$AJ$25:$BC$459,,MATCH(AH$8,'Калькуляция (МИ)'!$AJ$8:$BC$8,0)),'Калькуляция (МИ)'!$F$25:$F$459,$F182,'Калькуляция (МИ)'!$G$25:$G$459,$G182))))</f>
        <v>0</v>
      </c>
      <c r="AI182" s="724">
        <f ca="1">IF(AG182=0,0,(AH182-AG182)/AG182*100)</f>
        <v>0</v>
      </c>
      <c r="AJ182" s="849">
        <f ca="1">IF(AND(method_reg="Метод индексации",god&lt;&gt;first_year),SUMIFS(INDEX('Калькуляция (МИ корр)'!$AJ$25:$BC$459,,MATCH(AJ$8,'Калькуляция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(МИ)'!$AJ$25:$BC$459,,MATCH(AJ$8,'Калькуляция (МИ)'!$AJ$8:$BC$8,0)),'Калькуляция (МИ)'!$F$25:$F$459,$F182,'Калькуляция (МИ)'!$G$25:$G$459,$G182))))</f>
        <v>0</v>
      </c>
      <c r="AK182" s="849">
        <f ca="1">IF(AND(method_reg="Метод индексации",god&lt;&gt;first_year),SUMIFS(INDEX('Калькуляция (МИ корр)'!$AJ$25:$BC$459,,MATCH(AK$8,'Калькуляция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(МИ)'!$AJ$25:$BC$459,,MATCH(AK$8,'Калькуляция (МИ)'!$AJ$8:$BC$8,0)),'Калькуляция (МИ)'!$F$25:$F$459,$F182,'Калькуляция (МИ)'!$G$25:$G$459,$G182))))</f>
        <v>0</v>
      </c>
      <c r="AL182" s="724">
        <f ca="1">IF(AJ182=0,0,(AK182-AJ182)/AJ182*100)</f>
        <v>0</v>
      </c>
      <c r="AM182" s="849">
        <f ca="1">IF(AND(method_reg="Метод индексации",god&lt;&gt;first_year),SUMIFS(INDEX('Калькуляция (МИ корр)'!$AJ$25:$BC$459,,MATCH(AM$8,'Калькуляция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(МИ)'!$AJ$25:$BC$459,,MATCH(AM$8,'Калькуляция (МИ)'!$AJ$8:$BC$8,0)),'Калькуляция (МИ)'!$F$25:$F$459,$F182,'Калькуляция (МИ)'!$G$25:$G$459,$G182))))</f>
        <v>0</v>
      </c>
      <c r="AN182" s="849">
        <f ca="1">IF(AND(method_reg="Метод индексации",god&lt;&gt;first_year),SUMIFS(INDEX('Калькуляция (МИ корр)'!$AJ$25:$BC$459,,MATCH(AN$8,'Калькуляция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(МИ)'!$AJ$25:$BC$459,,MATCH(AN$8,'Калькуляция (МИ)'!$AJ$8:$BC$8,0)),'Калькуляция (МИ)'!$F$25:$F$459,$F182,'Калькуляция (МИ)'!$G$25:$G$459,$G182))))</f>
        <v>0</v>
      </c>
      <c r="AO182" s="724">
        <f ca="1">IF(AM182=0,0,(AN182-AM182)/AM182*100)</f>
        <v>0</v>
      </c>
      <c r="AP182" s="849">
        <f ca="1">IF(AND(method_reg="Метод индексации",god&lt;&gt;first_year),SUMIFS(INDEX('Калькуляция (МИ корр)'!$AJ$25:$BC$459,,MATCH(AP$8,'Калькуляция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(МИ)'!$AJ$25:$BC$459,,MATCH(AP$8,'Калькуляция (МИ)'!$AJ$8:$BC$8,0)),'Калькуляция (МИ)'!$F$25:$F$459,$F182,'Калькуляция (МИ)'!$G$25:$G$459,$G182))))</f>
        <v>0</v>
      </c>
      <c r="AQ182" s="849">
        <f ca="1">IF(AND(method_reg="Метод индексации",god&lt;&gt;first_year),SUMIFS(INDEX('Калькуляция (МИ корр)'!$AJ$25:$BC$459,,MATCH(AQ$8,'Калькуляция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(МИ)'!$AJ$25:$BC$459,,MATCH(AQ$8,'Калькуляция (МИ)'!$AJ$8:$BC$8,0)),'Калькуляция (МИ)'!$F$25:$F$459,$F182,'Калькуляция (МИ)'!$G$25:$G$459,$G182))))</f>
        <v>0</v>
      </c>
      <c r="AR182" s="724">
        <f ca="1">IF(AP182=0,0,(AQ182-AP182)/AP182*100)</f>
        <v>0</v>
      </c>
      <c r="AS182" s="849">
        <f ca="1">IF(AND(method_reg="Метод индексации",god&lt;&gt;first_year),SUMIFS(INDEX('Калькуляция (МИ корр)'!$AJ$25:$BC$459,,MATCH(AS$8,'Калькуляция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(МИ)'!$AJ$25:$BC$459,,MATCH(AS$8,'Калькуляция (МИ)'!$AJ$8:$BC$8,0)),'Калькуляция (МИ)'!$F$25:$F$459,$F182,'Калькуляция (МИ)'!$G$25:$G$459,$G182))))</f>
        <v>0</v>
      </c>
      <c r="AT182" s="849">
        <f ca="1">IF(AND(method_reg="Метод индексации",god&lt;&gt;first_year),SUMIFS(INDEX('Калькуляция (МИ корр)'!$AJ$25:$BC$459,,MATCH(AT$8,'Калькуляция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(МИ)'!$AJ$25:$BC$459,,MATCH(AT$8,'Калькуляция (МИ)'!$AJ$8:$BC$8,0)),'Калькуляция (МИ)'!$F$25:$F$459,$F182,'Калькуляция (МИ)'!$G$25:$G$459,$G182))))</f>
        <v>0</v>
      </c>
      <c r="AU182" s="724">
        <f ca="1">IF(AS182=0,0,(AT182-AS182)/AS182*100)</f>
        <v>0</v>
      </c>
      <c r="AV182" s="849">
        <f ca="1">IF(AND(method_reg="Метод индексации",god&lt;&gt;first_year),SUMIFS(INDEX('Калькуляция (МИ корр)'!$AJ$25:$BC$459,,MATCH(AV$8,'Калькуляция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(МИ)'!$AJ$25:$BC$459,,MATCH(AV$8,'Калькуляция (МИ)'!$AJ$8:$BC$8,0)),'Калькуляция (МИ)'!$F$25:$F$459,$F182,'Калькуляция (МИ)'!$G$25:$G$459,$G182))))</f>
        <v>0</v>
      </c>
      <c r="AW182" s="849">
        <f ca="1">IF(AND(method_reg="Метод индексации",god&lt;&gt;first_year),SUMIFS(INDEX('Калькуляция (МИ корр)'!$AJ$25:$BC$459,,MATCH(AW$8,'Калькуляция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(МИ)'!$AJ$25:$BC$459,,MATCH(AW$8,'Калькуляция (МИ)'!$AJ$8:$BC$8,0)),'Калькуляция (МИ)'!$F$25:$F$459,$F182,'Калькуляция (МИ)'!$G$25:$G$459,$G182))))</f>
        <v>0</v>
      </c>
      <c r="AX182" s="724">
        <f ca="1">IF(AV182=0,0,(AW182-AV182)/AV182*100)</f>
        <v>0</v>
      </c>
      <c r="AY182" s="849">
        <f ca="1">IF(AND(method_reg="Метод индексации",god&lt;&gt;first_year),SUMIFS(INDEX('Калькуляция (МИ корр)'!$AJ$25:$BC$459,,MATCH(AY$8,'Калькуляция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(МИ)'!$AJ$25:$BC$459,,MATCH(AY$8,'Калькуляция (МИ)'!$AJ$8:$BC$8,0)),'Калькуляция (МИ)'!$F$25:$F$459,$F182,'Калькуляция (МИ)'!$G$25:$G$459,$G182))))</f>
        <v>0</v>
      </c>
      <c r="AZ182" s="849">
        <f ca="1">IF(AND(method_reg="Метод индексации",god&lt;&gt;first_year),SUMIFS(INDEX('Калькуляция (МИ корр)'!$AJ$25:$BC$459,,MATCH(AZ$8,'Калькуляция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(МИ)'!$AJ$25:$BC$459,,MATCH(AZ$8,'Калькуляция (МИ)'!$AJ$8:$BC$8,0)),'Калькуляция (МИ)'!$F$25:$F$459,$F182,'Калькуляция (МИ)'!$G$25:$G$459,$G182))))</f>
        <v>0</v>
      </c>
      <c r="BA182" s="724">
        <f ca="1">IF(AY182=0,0,(AZ182-AY182)/AY182*100)</f>
        <v>0</v>
      </c>
      <c r="BB182" s="849">
        <f ca="1">IF(AND(method_reg="Метод индексации",god&lt;&gt;first_year),SUMIFS(INDEX('Калькуляция (МИ корр)'!$AJ$25:$BC$459,,MATCH(BB$8,'Калькуляция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(МИ)'!$AJ$25:$BC$459,,MATCH(BB$8,'Калькуляция (МИ)'!$AJ$8:$BC$8,0)),'Калькуляция (МИ)'!$F$25:$F$459,$F182,'Калькуляция (МИ)'!$G$25:$G$459,$G182))))</f>
        <v>0</v>
      </c>
      <c r="BC182" s="849">
        <f ca="1">IF(AND(method_reg="Метод индексации",god&lt;&gt;first_year),SUMIFS(INDEX('Калькуляция (МИ корр)'!$AJ$25:$BC$459,,MATCH(BC$8,'Калькуляция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(МИ)'!$AJ$25:$BC$459,,MATCH(BC$8,'Калькуляция (МИ)'!$AJ$8:$BC$8,0)),'Калькуляция (МИ)'!$F$25:$F$459,$F182,'Калькуляция (МИ)'!$G$25:$G$459,$G182))))</f>
        <v>0</v>
      </c>
      <c r="BD182" s="724">
        <f ca="1">IF(BB182=0,0,(BC182-BB182)/BB182*100)</f>
        <v>0</v>
      </c>
      <c r="BE182" s="849">
        <f ca="1">IF(AND(method_reg="Метод индексации",god&lt;&gt;first_year),SUMIFS(INDEX('Калькуляция (МИ корр)'!$AJ$25:$BC$459,,MATCH(BE$8,'Калькуляция (МИ корр)'!$AJ$8:$BC$8,0)),'Калькуляция (МИ корр)'!$F$25:$F$459,$F182,'Калькуляция (МИ корр)'!$G$25:$G$459,$G182),IF(method_reg="Метод экономически обоснованных расходов",SUMIFS('Калькуляция (МЭОР)'!$AJ$25:$AJ$282,'Калькуляция (МЭОР)'!$F$25:$F$282,$F182,'Калькуляция (МЭОР)'!$G$25:$G$282,$G182),IF(method_reg="Метод сравнения аналогов",SUMIFS('Калькуляция (МСА)'!$AE$25:$AE$84,'Калькуляция (МСА)'!$F$25:$F$84,$F182,'Калькуляция (МСА)'!$G$25:$G$84,$G182),SUMIFS(INDEX('Калькуляция (МИ)'!$AJ$25:$BC$459,,MATCH(BE$8,'Калькуляция (МИ)'!$AJ$8:$BC$8,0)),'Калькуляция (МИ)'!$F$25:$F$459,$F182,'Калькуляция (МИ)'!$G$25:$G$459,$G182))))</f>
        <v>0</v>
      </c>
      <c r="BF182" s="849">
        <f ca="1">IF(AND(method_reg="Метод индексации",god&lt;&gt;first_year),SUMIFS(INDEX('Калькуляция (МИ корр)'!$AJ$25:$BC$459,,MATCH(BF$8,'Калькуляция (МИ корр)'!$AJ$8:$BC$8,0)),'Калькуляция (МИ корр)'!$F$25:$F$459,$F182,'Калькуляция (МИ корр)'!$G$25:$G$459,$G182),IF(method_reg="Метод экономически обоснованных расходов",SUMIFS('Калькуляция (МЭОР)'!$AK$25:$AK$282,'Калькуляция (МЭОР)'!$F$25:$F$282,$F182,'Калькуляция (МЭОР)'!$G$25:$G$282,$G182),IF(method_reg="Метод сравнения аналогов",SUMIFS('Калькуляция (МСА)'!$AF$25:$AF$84,'Калькуляция (МСА)'!$F$25:$F$84,$F182,'Калькуляция (МСА)'!$G$25:$G$84,$G182),SUMIFS(INDEX('Калькуляция (МИ)'!$AJ$25:$BC$459,,MATCH(BF$8,'Калькуляция (МИ)'!$AJ$8:$BC$8,0)),'Калькуляция (МИ)'!$F$25:$F$459,$F182,'Калькуляция (МИ)'!$G$25:$G$459,$G182))))</f>
        <v>0</v>
      </c>
      <c r="BG182" s="724">
        <f ca="1">IF(BE182=0,0,(BF182-BE182)/BE182*100)</f>
        <v>0</v>
      </c>
      <c r="BH182" s="849"/>
      <c r="BI182" s="849"/>
      <c r="BJ182" s="724">
        <f>IF(BH182=0,0,(BI182-BH182)/BH182*100)</f>
        <v>0</v>
      </c>
      <c r="BK182" s="849"/>
      <c r="BL182" s="849"/>
      <c r="BM182" s="724">
        <f>IF(BK182=0,0,(BL182-BK182)/BK182*100)</f>
        <v>0</v>
      </c>
      <c r="BN182" s="849"/>
      <c r="BO182" s="849"/>
      <c r="BP182" s="724">
        <f>IF(BN182=0,0,(BO182-BN182)/BN182*100)</f>
        <v>0</v>
      </c>
      <c r="BQ182" s="849"/>
      <c r="BR182" s="849"/>
      <c r="BS182" s="724">
        <f>IF(BQ182=0,0,(BR182-BQ182)/BQ182*100)</f>
        <v>0</v>
      </c>
      <c r="BT182" s="849"/>
      <c r="BU182" s="849"/>
      <c r="BV182" s="724">
        <f>IF(BT182=0,0,(BU182-BT182)/BT182*100)</f>
        <v>0</v>
      </c>
      <c r="BW182" s="849"/>
      <c r="BX182" s="849"/>
      <c r="BY182" s="724">
        <f>IF(BW182=0,0,(BX182-BW182)/BW182*100)</f>
        <v>0</v>
      </c>
      <c r="BZ182" s="849"/>
      <c r="CA182" s="849"/>
      <c r="CB182" s="724">
        <f>IF(BZ182=0,0,(CA182-BZ182)/BZ182*100)</f>
        <v>0</v>
      </c>
      <c r="CC182" s="849"/>
      <c r="CD182" s="849"/>
      <c r="CE182" s="724">
        <f>IF(CC182=0,0,(CD182-CC182)/CC182*100)</f>
        <v>0</v>
      </c>
      <c r="CF182" s="849"/>
      <c r="CG182" s="849"/>
      <c r="CH182" s="724">
        <f>IF(CF182=0,0,(CG182-CF182)/CF182*100)</f>
        <v>0</v>
      </c>
      <c r="CI182" s="849"/>
      <c r="CJ182" s="849"/>
      <c r="CK182" s="724">
        <f>IF(CI182=0,0,(CJ182-CI182)/CI182*100)</f>
        <v>0</v>
      </c>
      <c r="CL182" s="849"/>
      <c r="CM182" s="849"/>
      <c r="CN182" s="724">
        <f>IF(CL182=0,0,(CM182-CL182)/CL182*100)</f>
        <v>0</v>
      </c>
      <c r="CO182" s="849"/>
      <c r="CP182" s="849"/>
      <c r="CQ182" s="724">
        <f>IF(CO182=0,0,(CP182-CO182)/CO182*100)</f>
        <v>0</v>
      </c>
      <c r="CR182" s="849"/>
      <c r="CS182" s="849"/>
      <c r="CT182" s="724">
        <f>IF(CR182=0,0,(CS182-CR182)/CR182*100)</f>
        <v>0</v>
      </c>
      <c r="CU182" s="849"/>
      <c r="CV182" s="849"/>
      <c r="CW182" s="724">
        <f>IF(CU182=0,0,(CV182-CU182)/CU182*100)</f>
        <v>0</v>
      </c>
      <c r="CX182" s="849"/>
      <c r="CY182" s="849"/>
      <c r="CZ182" s="724">
        <f>IF(CX182=0,0,(CY182-CX182)/CX182*100)</f>
        <v>0</v>
      </c>
      <c r="DA182" s="849"/>
      <c r="DB182" s="849"/>
      <c r="DC182" s="724">
        <f>IF(DA182=0,0,(DB182-DA182)/DA182*100)</f>
        <v>0</v>
      </c>
      <c r="DD182" s="849"/>
      <c r="DE182" s="849"/>
      <c r="DF182" s="724">
        <f>IF(DD182=0,0,(DE182-DD182)/DD182*100)</f>
        <v>0</v>
      </c>
      <c r="DG182" s="849"/>
      <c r="DH182" s="849"/>
      <c r="DI182" s="724">
        <f>IF(DG182=0,0,(DH182-DG182)/DG182*100)</f>
        <v>0</v>
      </c>
      <c r="DJ182" s="849"/>
      <c r="DK182" s="849"/>
      <c r="DL182" s="724">
        <f>IF(DJ182=0,0,(DK182-DJ182)/DJ182*100)</f>
        <v>0</v>
      </c>
      <c r="DM182" s="849"/>
      <c r="DN182" s="849"/>
      <c r="DO182" s="724">
        <f>IF(DM182=0,0,(DN182-DM182)/DM182*100)</f>
        <v>0</v>
      </c>
      <c r="DP182" s="849"/>
      <c r="DQ182" s="849"/>
      <c r="DR182" s="724">
        <f>IF(DP182=0,0,(DQ182-DP182)/DP182*100)</f>
        <v>0</v>
      </c>
      <c r="DS182" s="849"/>
      <c r="DT182" s="849"/>
      <c r="DU182" s="724">
        <f>IF(DS182=0,0,(DT182-DS182)/DS182*100)</f>
        <v>0</v>
      </c>
      <c r="DV182" s="849"/>
      <c r="DW182" s="849"/>
      <c r="DX182" s="724">
        <f>IF(DV182=0,0,(DW182-DV182)/DV182*100)</f>
        <v>0</v>
      </c>
      <c r="DY182" s="849"/>
      <c r="DZ182" s="849"/>
      <c r="EA182" s="724">
        <f>IF(DY182=0,0,(DZ182-DY182)/DY182*100)</f>
        <v>0</v>
      </c>
      <c r="EB182" s="849"/>
      <c r="EC182" s="849"/>
      <c r="ED182" s="724">
        <f>IF(EB182=0,0,(EC182-EB182)/EB182*100)</f>
        <v>0</v>
      </c>
      <c r="EE182" s="849"/>
      <c r="EF182" s="849"/>
      <c r="EG182" s="724">
        <f>IF(EE182=0,0,(EF182-EE182)/EE182*100)</f>
        <v>0</v>
      </c>
      <c r="EH182" s="849"/>
      <c r="EI182" s="849"/>
      <c r="EJ182" s="724">
        <f>IF(EH182=0,0,(EI182-EH182)/EH182*100)</f>
        <v>0</v>
      </c>
      <c r="EK182" s="849"/>
      <c r="EL182" s="849"/>
      <c r="EM182" s="724">
        <f>IF(EK182=0,0,(EL182-EK182)/EK182*100)</f>
        <v>0</v>
      </c>
      <c r="EN182" s="849"/>
      <c r="EO182" s="849"/>
      <c r="EP182" s="724">
        <f>IF(EN182=0,0,(EO182-EN182)/EN182*100)</f>
        <v>0</v>
      </c>
      <c r="EQ182" s="849"/>
      <c r="ER182" s="849"/>
      <c r="ES182" s="724">
        <f>IF(EQ182=0,0,(ER182-EQ182)/EQ182*100)</f>
        <v>0</v>
      </c>
      <c r="ET182" s="849"/>
      <c r="EU182" s="849"/>
      <c r="EV182" s="724">
        <f>IF(ET182=0,0,(EU182-ET182)/ET182*100)</f>
        <v>0</v>
      </c>
      <c r="EW182" s="849"/>
      <c r="EX182" s="849"/>
      <c r="EY182" s="724">
        <f>IF(EW182=0,0,(EX182-EW182)/EW182*100)</f>
        <v>0</v>
      </c>
      <c r="EZ182" s="849"/>
      <c r="FA182" s="849"/>
      <c r="FB182" s="724">
        <f>IF(EZ182=0,0,(FA182-EZ182)/EZ182*100)</f>
        <v>0</v>
      </c>
      <c r="FC182" s="849"/>
      <c r="FD182" s="849"/>
      <c r="FE182" s="724">
        <f>IF(FC182=0,0,(FD182-FC182)/FC182*100)</f>
        <v>0</v>
      </c>
      <c r="FF182" s="849"/>
      <c r="FG182" s="849"/>
      <c r="FH182" s="724">
        <f>IF(FF182=0,0,(FG182-FF182)/FF182*100)</f>
        <v>0</v>
      </c>
      <c r="FI182" s="849"/>
      <c r="FJ182" s="849"/>
      <c r="FK182" s="724">
        <f>IF(FI182=0,0,(FJ182-FI182)/FI182*100)</f>
        <v>0</v>
      </c>
      <c r="FL182" s="849"/>
      <c r="FM182" s="849"/>
      <c r="FN182" s="724">
        <f>IF(FL182=0,0,(FM182-FL182)/FL182*100)</f>
        <v>0</v>
      </c>
      <c r="FO182" s="849"/>
      <c r="FP182" s="849"/>
      <c r="FQ182" s="724">
        <f>IF(FO182=0,0,(FP182-FO182)/FO182*100)</f>
        <v>0</v>
      </c>
      <c r="FR182" s="849"/>
      <c r="FS182" s="849"/>
      <c r="FT182" s="724">
        <f>IF(FR182=0,0,(FS182-FR182)/FR182*100)</f>
        <v>0</v>
      </c>
      <c r="FU182" s="849"/>
      <c r="FV182" s="849"/>
      <c r="FW182" s="724">
        <f>IF(FU182=0,0,(FV182-FU182)/FU182*100)</f>
        <v>0</v>
      </c>
      <c r="FZ182" s="700" t="s">
        <v>1674</v>
      </c>
    </row>
    <row r="183" spans="1:182" ht="21.75" hidden="1" customHeight="1">
      <c r="A183" s="78"/>
      <c r="B183" s="622" t="b" cm="1">
        <f t="array" ref="B183">B182</f>
        <v>0</v>
      </c>
      <c r="C183" s="78"/>
      <c r="D183" s="78"/>
      <c r="E183" s="473">
        <v>22.5</v>
      </c>
      <c r="F183" s="3" t="str" cm="1">
        <f t="array" aca="1" ref="F183" ca="1">OFFSET(E183,-1,1)</f>
        <v>2</v>
      </c>
      <c r="G183" s="78"/>
      <c r="H183" s="78" t="s">
        <v>1663</v>
      </c>
      <c r="I183" s="78" t="s">
        <v>1627</v>
      </c>
      <c r="J183" s="78"/>
      <c r="K183" s="78"/>
      <c r="L183" s="78"/>
      <c r="M183" s="78"/>
      <c r="N183" s="78"/>
      <c r="O183" s="78"/>
      <c r="P183" s="78"/>
      <c r="Q183" s="78"/>
      <c r="R183" s="78"/>
      <c r="S183" s="78"/>
      <c r="T183" s="365" t="b" cm="1">
        <f t="array" aca="1" ref="T183" ca="1">T182</f>
        <v>1</v>
      </c>
      <c r="U183" s="78"/>
      <c r="V183" s="78"/>
      <c r="W183" s="78"/>
      <c r="X183" s="1094"/>
      <c r="Y183" s="78"/>
      <c r="Z183" s="1064"/>
      <c r="AA183" s="78"/>
      <c r="AB183" s="12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31" t="s">
        <v>1664</v>
      </c>
      <c r="AD183" s="833"/>
      <c r="AE183" s="833"/>
      <c r="AF183" s="723">
        <f>IF(AD183=0,0,(AE183-AD183)/AD183*100)</f>
        <v>0</v>
      </c>
      <c r="AG183" s="833"/>
      <c r="AH183" s="833"/>
      <c r="AI183" s="723">
        <f>IF(AG183=0,0,(AH183-AG183)/AG183*100)</f>
        <v>0</v>
      </c>
      <c r="AJ183" s="833"/>
      <c r="AK183" s="833"/>
      <c r="AL183" s="723">
        <f>IF(AJ183=0,0,(AK183-AJ183)/AJ183*100)</f>
        <v>0</v>
      </c>
      <c r="AM183" s="833"/>
      <c r="AN183" s="833"/>
      <c r="AO183" s="723">
        <f>IF(AM183=0,0,(AN183-AM183)/AM183*100)</f>
        <v>0</v>
      </c>
      <c r="AP183" s="833"/>
      <c r="AQ183" s="833"/>
      <c r="AR183" s="723">
        <f>IF(AP183=0,0,(AQ183-AP183)/AP183*100)</f>
        <v>0</v>
      </c>
      <c r="AS183" s="833"/>
      <c r="AT183" s="833"/>
      <c r="AU183" s="723">
        <f>IF(AS183=0,0,(AT183-AS183)/AS183*100)</f>
        <v>0</v>
      </c>
      <c r="AV183" s="833"/>
      <c r="AW183" s="833"/>
      <c r="AX183" s="723">
        <f>IF(AV183=0,0,(AW183-AV183)/AV183*100)</f>
        <v>0</v>
      </c>
      <c r="AY183" s="833"/>
      <c r="AZ183" s="833"/>
      <c r="BA183" s="723">
        <f>IF(AY183=0,0,(AZ183-AY183)/AY183*100)</f>
        <v>0</v>
      </c>
      <c r="BB183" s="833"/>
      <c r="BC183" s="833"/>
      <c r="BD183" s="723">
        <f>IF(BB183=0,0,(BC183-BB183)/BB183*100)</f>
        <v>0</v>
      </c>
      <c r="BE183" s="833"/>
      <c r="BF183" s="833"/>
      <c r="BG183" s="723">
        <f>IF(BE183=0,0,(BF183-BE183)/BE183*100)</f>
        <v>0</v>
      </c>
      <c r="BH183" s="833"/>
      <c r="BI183" s="833"/>
      <c r="BJ183" s="723">
        <f>IF(BH183=0,0,(BI183-BH183)/BH183*100)</f>
        <v>0</v>
      </c>
      <c r="BK183" s="833"/>
      <c r="BL183" s="833"/>
      <c r="BM183" s="723">
        <f>IF(BK183=0,0,(BL183-BK183)/BK183*100)</f>
        <v>0</v>
      </c>
      <c r="BN183" s="833"/>
      <c r="BO183" s="833"/>
      <c r="BP183" s="723">
        <f>IF(BN183=0,0,(BO183-BN183)/BN183*100)</f>
        <v>0</v>
      </c>
      <c r="BQ183" s="833"/>
      <c r="BR183" s="833"/>
      <c r="BS183" s="723">
        <f>IF(BQ183=0,0,(BR183-BQ183)/BQ183*100)</f>
        <v>0</v>
      </c>
      <c r="BT183" s="833"/>
      <c r="BU183" s="833"/>
      <c r="BV183" s="723">
        <f>IF(BT183=0,0,(BU183-BT183)/BT183*100)</f>
        <v>0</v>
      </c>
      <c r="BW183" s="833"/>
      <c r="BX183" s="833"/>
      <c r="BY183" s="723">
        <f>IF(BW183=0,0,(BX183-BW183)/BW183*100)</f>
        <v>0</v>
      </c>
      <c r="BZ183" s="833"/>
      <c r="CA183" s="833"/>
      <c r="CB183" s="723">
        <f>IF(BZ183=0,0,(CA183-BZ183)/BZ183*100)</f>
        <v>0</v>
      </c>
      <c r="CC183" s="833"/>
      <c r="CD183" s="833"/>
      <c r="CE183" s="723">
        <f>IF(CC183=0,0,(CD183-CC183)/CC183*100)</f>
        <v>0</v>
      </c>
      <c r="CF183" s="833"/>
      <c r="CG183" s="833"/>
      <c r="CH183" s="723">
        <f>IF(CF183=0,0,(CG183-CF183)/CF183*100)</f>
        <v>0</v>
      </c>
      <c r="CI183" s="833"/>
      <c r="CJ183" s="833"/>
      <c r="CK183" s="723">
        <f>IF(CI183=0,0,(CJ183-CI183)/CI183*100)</f>
        <v>0</v>
      </c>
      <c r="CL183" s="833"/>
      <c r="CM183" s="833"/>
      <c r="CN183" s="723">
        <f>IF(CL183=0,0,(CM183-CL183)/CL183*100)</f>
        <v>0</v>
      </c>
      <c r="CO183" s="833"/>
      <c r="CP183" s="833"/>
      <c r="CQ183" s="723">
        <f>IF(CO183=0,0,(CP183-CO183)/CO183*100)</f>
        <v>0</v>
      </c>
      <c r="CR183" s="833"/>
      <c r="CS183" s="833"/>
      <c r="CT183" s="723">
        <f>IF(CR183=0,0,(CS183-CR183)/CR183*100)</f>
        <v>0</v>
      </c>
      <c r="CU183" s="833"/>
      <c r="CV183" s="833"/>
      <c r="CW183" s="723">
        <f>IF(CU183=0,0,(CV183-CU183)/CU183*100)</f>
        <v>0</v>
      </c>
      <c r="CX183" s="833"/>
      <c r="CY183" s="833"/>
      <c r="CZ183" s="723">
        <f>IF(CX183=0,0,(CY183-CX183)/CX183*100)</f>
        <v>0</v>
      </c>
      <c r="DA183" s="833"/>
      <c r="DB183" s="833"/>
      <c r="DC183" s="723">
        <f>IF(DA183=0,0,(DB183-DA183)/DA183*100)</f>
        <v>0</v>
      </c>
      <c r="DD183" s="833"/>
      <c r="DE183" s="833"/>
      <c r="DF183" s="723">
        <f>IF(DD183=0,0,(DE183-DD183)/DD183*100)</f>
        <v>0</v>
      </c>
      <c r="DG183" s="833"/>
      <c r="DH183" s="833"/>
      <c r="DI183" s="723">
        <f>IF(DG183=0,0,(DH183-DG183)/DG183*100)</f>
        <v>0</v>
      </c>
      <c r="DJ183" s="833"/>
      <c r="DK183" s="833"/>
      <c r="DL183" s="723">
        <f>IF(DJ183=0,0,(DK183-DJ183)/DJ183*100)</f>
        <v>0</v>
      </c>
      <c r="DM183" s="833"/>
      <c r="DN183" s="833"/>
      <c r="DO183" s="723">
        <f>IF(DM183=0,0,(DN183-DM183)/DM183*100)</f>
        <v>0</v>
      </c>
      <c r="DP183" s="833"/>
      <c r="DQ183" s="833"/>
      <c r="DR183" s="723">
        <f>IF(DP183=0,0,(DQ183-DP183)/DP183*100)</f>
        <v>0</v>
      </c>
      <c r="DS183" s="833"/>
      <c r="DT183" s="833"/>
      <c r="DU183" s="723">
        <f>IF(DS183=0,0,(DT183-DS183)/DS183*100)</f>
        <v>0</v>
      </c>
      <c r="DV183" s="833"/>
      <c r="DW183" s="833"/>
      <c r="DX183" s="723">
        <f>IF(DV183=0,0,(DW183-DV183)/DV183*100)</f>
        <v>0</v>
      </c>
      <c r="DY183" s="833"/>
      <c r="DZ183" s="833"/>
      <c r="EA183" s="723">
        <f>IF(DY183=0,0,(DZ183-DY183)/DY183*100)</f>
        <v>0</v>
      </c>
      <c r="EB183" s="833"/>
      <c r="EC183" s="833"/>
      <c r="ED183" s="723">
        <f>IF(EB183=0,0,(EC183-EB183)/EB183*100)</f>
        <v>0</v>
      </c>
      <c r="EE183" s="833"/>
      <c r="EF183" s="833"/>
      <c r="EG183" s="723">
        <f>IF(EE183=0,0,(EF183-EE183)/EE183*100)</f>
        <v>0</v>
      </c>
      <c r="EH183" s="833"/>
      <c r="EI183" s="833"/>
      <c r="EJ183" s="723">
        <f>IF(EH183=0,0,(EI183-EH183)/EH183*100)</f>
        <v>0</v>
      </c>
      <c r="EK183" s="833"/>
      <c r="EL183" s="833"/>
      <c r="EM183" s="723">
        <f>IF(EK183=0,0,(EL183-EK183)/EK183*100)</f>
        <v>0</v>
      </c>
      <c r="EN183" s="833"/>
      <c r="EO183" s="833"/>
      <c r="EP183" s="723">
        <f>IF(EN183=0,0,(EO183-EN183)/EN183*100)</f>
        <v>0</v>
      </c>
      <c r="EQ183" s="833"/>
      <c r="ER183" s="833"/>
      <c r="ES183" s="723">
        <f>IF(EQ183=0,0,(ER183-EQ183)/EQ183*100)</f>
        <v>0</v>
      </c>
      <c r="ET183" s="833"/>
      <c r="EU183" s="833"/>
      <c r="EV183" s="723">
        <f>IF(ET183=0,0,(EU183-ET183)/ET183*100)</f>
        <v>0</v>
      </c>
      <c r="EW183" s="833"/>
      <c r="EX183" s="833"/>
      <c r="EY183" s="723">
        <f>IF(EW183=0,0,(EX183-EW183)/EW183*100)</f>
        <v>0</v>
      </c>
      <c r="EZ183" s="833"/>
      <c r="FA183" s="833"/>
      <c r="FB183" s="723">
        <f>IF(EZ183=0,0,(FA183-EZ183)/EZ183*100)</f>
        <v>0</v>
      </c>
      <c r="FC183" s="833"/>
      <c r="FD183" s="833"/>
      <c r="FE183" s="723">
        <f>IF(FC183=0,0,(FD183-FC183)/FC183*100)</f>
        <v>0</v>
      </c>
      <c r="FF183" s="833"/>
      <c r="FG183" s="833"/>
      <c r="FH183" s="723">
        <f>IF(FF183=0,0,(FG183-FF183)/FF183*100)</f>
        <v>0</v>
      </c>
      <c r="FI183" s="833"/>
      <c r="FJ183" s="833"/>
      <c r="FK183" s="723">
        <f>IF(FI183=0,0,(FJ183-FI183)/FI183*100)</f>
        <v>0</v>
      </c>
      <c r="FL183" s="833"/>
      <c r="FM183" s="833"/>
      <c r="FN183" s="723">
        <f>IF(FL183=0,0,(FM183-FL183)/FL183*100)</f>
        <v>0</v>
      </c>
      <c r="FO183" s="833"/>
      <c r="FP183" s="833"/>
      <c r="FQ183" s="723">
        <f>IF(FO183=0,0,(FP183-FO183)/FO183*100)</f>
        <v>0</v>
      </c>
      <c r="FR183" s="833"/>
      <c r="FS183" s="833"/>
      <c r="FT183" s="723">
        <f>IF(FR183=0,0,(FS183-FR183)/FR183*100)</f>
        <v>0</v>
      </c>
      <c r="FU183" s="833"/>
      <c r="FV183" s="833"/>
      <c r="FW183" s="723">
        <f>IF(FU183=0,0,(FV183-FU183)/FU183*100)</f>
        <v>0</v>
      </c>
      <c r="FZ183" s="700" t="s">
        <v>1675</v>
      </c>
    </row>
    <row r="184" spans="1:182" ht="14.25" hidden="1" customHeight="1">
      <c r="A184" s="78"/>
      <c r="B184" s="622" t="b" cm="1">
        <f t="array" ref="B184">B183</f>
        <v>0</v>
      </c>
      <c r="C184" s="78"/>
      <c r="D184" s="78"/>
      <c r="E184" s="473">
        <v>15</v>
      </c>
      <c r="F184" s="3" t="str" cm="1">
        <f t="array" aca="1" ref="F184" ca="1">OFFSET(E184,-1,1)</f>
        <v>2</v>
      </c>
      <c r="G184" s="78"/>
      <c r="H184" s="78" t="s">
        <v>1666</v>
      </c>
      <c r="I184" s="78" t="s">
        <v>1627</v>
      </c>
      <c r="J184" s="78"/>
      <c r="K184" s="78"/>
      <c r="L184" s="78"/>
      <c r="M184" s="78"/>
      <c r="N184" s="78"/>
      <c r="O184" s="78"/>
      <c r="P184" s="78"/>
      <c r="Q184" s="78"/>
      <c r="R184" s="78"/>
      <c r="S184" s="78"/>
      <c r="T184" s="365" t="b" cm="1">
        <f t="array" aca="1" ref="T184" ca="1">T183</f>
        <v>1</v>
      </c>
      <c r="U184" s="78"/>
      <c r="V184" s="78"/>
      <c r="W184" s="78"/>
      <c r="X184" s="1094"/>
      <c r="Y184" s="78"/>
      <c r="Z184" s="1064"/>
      <c r="AA184" s="78"/>
      <c r="AB184" s="124" t="s">
        <v>1667</v>
      </c>
      <c r="AC184" s="31" t="s">
        <v>1668</v>
      </c>
      <c r="AD184" s="833"/>
      <c r="AE184" s="833"/>
      <c r="AF184" s="723">
        <f>IF(AD184=0,0,(AE184-AD184)/AD184*100)</f>
        <v>0</v>
      </c>
      <c r="AG184" s="833"/>
      <c r="AH184" s="833"/>
      <c r="AI184" s="723">
        <f>IF(AG184=0,0,(AH184-AG184)/AG184*100)</f>
        <v>0</v>
      </c>
      <c r="AJ184" s="833"/>
      <c r="AK184" s="833"/>
      <c r="AL184" s="723">
        <f>IF(AJ184=0,0,(AK184-AJ184)/AJ184*100)</f>
        <v>0</v>
      </c>
      <c r="AM184" s="833"/>
      <c r="AN184" s="833"/>
      <c r="AO184" s="723">
        <f>IF(AM184=0,0,(AN184-AM184)/AM184*100)</f>
        <v>0</v>
      </c>
      <c r="AP184" s="833"/>
      <c r="AQ184" s="833"/>
      <c r="AR184" s="723">
        <f>IF(AP184=0,0,(AQ184-AP184)/AP184*100)</f>
        <v>0</v>
      </c>
      <c r="AS184" s="833"/>
      <c r="AT184" s="833"/>
      <c r="AU184" s="723">
        <f>IF(AS184=0,0,(AT184-AS184)/AS184*100)</f>
        <v>0</v>
      </c>
      <c r="AV184" s="833"/>
      <c r="AW184" s="833"/>
      <c r="AX184" s="723">
        <f>IF(AV184=0,0,(AW184-AV184)/AV184*100)</f>
        <v>0</v>
      </c>
      <c r="AY184" s="833"/>
      <c r="AZ184" s="833"/>
      <c r="BA184" s="723">
        <f>IF(AY184=0,0,(AZ184-AY184)/AY184*100)</f>
        <v>0</v>
      </c>
      <c r="BB184" s="833"/>
      <c r="BC184" s="833"/>
      <c r="BD184" s="723">
        <f>IF(BB184=0,0,(BC184-BB184)/BB184*100)</f>
        <v>0</v>
      </c>
      <c r="BE184" s="833"/>
      <c r="BF184" s="833"/>
      <c r="BG184" s="723">
        <f>IF(BE184=0,0,(BF184-BE184)/BE184*100)</f>
        <v>0</v>
      </c>
      <c r="BH184" s="833"/>
      <c r="BI184" s="833"/>
      <c r="BJ184" s="723">
        <f>IF(BH184=0,0,(BI184-BH184)/BH184*100)</f>
        <v>0</v>
      </c>
      <c r="BK184" s="833"/>
      <c r="BL184" s="833"/>
      <c r="BM184" s="723">
        <f>IF(BK184=0,0,(BL184-BK184)/BK184*100)</f>
        <v>0</v>
      </c>
      <c r="BN184" s="833"/>
      <c r="BO184" s="833"/>
      <c r="BP184" s="723">
        <f>IF(BN184=0,0,(BO184-BN184)/BN184*100)</f>
        <v>0</v>
      </c>
      <c r="BQ184" s="833"/>
      <c r="BR184" s="833"/>
      <c r="BS184" s="723">
        <f>IF(BQ184=0,0,(BR184-BQ184)/BQ184*100)</f>
        <v>0</v>
      </c>
      <c r="BT184" s="833"/>
      <c r="BU184" s="833"/>
      <c r="BV184" s="723">
        <f>IF(BT184=0,0,(BU184-BT184)/BT184*100)</f>
        <v>0</v>
      </c>
      <c r="BW184" s="833"/>
      <c r="BX184" s="833"/>
      <c r="BY184" s="723">
        <f>IF(BW184=0,0,(BX184-BW184)/BW184*100)</f>
        <v>0</v>
      </c>
      <c r="BZ184" s="833"/>
      <c r="CA184" s="833"/>
      <c r="CB184" s="723">
        <f>IF(BZ184=0,0,(CA184-BZ184)/BZ184*100)</f>
        <v>0</v>
      </c>
      <c r="CC184" s="833"/>
      <c r="CD184" s="833"/>
      <c r="CE184" s="723">
        <f>IF(CC184=0,0,(CD184-CC184)/CC184*100)</f>
        <v>0</v>
      </c>
      <c r="CF184" s="833"/>
      <c r="CG184" s="833"/>
      <c r="CH184" s="723">
        <f>IF(CF184=0,0,(CG184-CF184)/CF184*100)</f>
        <v>0</v>
      </c>
      <c r="CI184" s="833"/>
      <c r="CJ184" s="833"/>
      <c r="CK184" s="723">
        <f>IF(CI184=0,0,(CJ184-CI184)/CI184*100)</f>
        <v>0</v>
      </c>
      <c r="CL184" s="833"/>
      <c r="CM184" s="833"/>
      <c r="CN184" s="723">
        <f>IF(CL184=0,0,(CM184-CL184)/CL184*100)</f>
        <v>0</v>
      </c>
      <c r="CO184" s="833"/>
      <c r="CP184" s="833"/>
      <c r="CQ184" s="723">
        <f>IF(CO184=0,0,(CP184-CO184)/CO184*100)</f>
        <v>0</v>
      </c>
      <c r="CR184" s="833"/>
      <c r="CS184" s="833"/>
      <c r="CT184" s="723">
        <f>IF(CR184=0,0,(CS184-CR184)/CR184*100)</f>
        <v>0</v>
      </c>
      <c r="CU184" s="833"/>
      <c r="CV184" s="833"/>
      <c r="CW184" s="723">
        <f>IF(CU184=0,0,(CV184-CU184)/CU184*100)</f>
        <v>0</v>
      </c>
      <c r="CX184" s="833"/>
      <c r="CY184" s="833"/>
      <c r="CZ184" s="723">
        <f>IF(CX184=0,0,(CY184-CX184)/CX184*100)</f>
        <v>0</v>
      </c>
      <c r="DA184" s="833"/>
      <c r="DB184" s="833"/>
      <c r="DC184" s="723">
        <f>IF(DA184=0,0,(DB184-DA184)/DA184*100)</f>
        <v>0</v>
      </c>
      <c r="DD184" s="833"/>
      <c r="DE184" s="833"/>
      <c r="DF184" s="723">
        <f>IF(DD184=0,0,(DE184-DD184)/DD184*100)</f>
        <v>0</v>
      </c>
      <c r="DG184" s="833"/>
      <c r="DH184" s="833"/>
      <c r="DI184" s="723">
        <f>IF(DG184=0,0,(DH184-DG184)/DG184*100)</f>
        <v>0</v>
      </c>
      <c r="DJ184" s="833"/>
      <c r="DK184" s="833"/>
      <c r="DL184" s="723">
        <f>IF(DJ184=0,0,(DK184-DJ184)/DJ184*100)</f>
        <v>0</v>
      </c>
      <c r="DM184" s="833"/>
      <c r="DN184" s="833"/>
      <c r="DO184" s="723">
        <f>IF(DM184=0,0,(DN184-DM184)/DM184*100)</f>
        <v>0</v>
      </c>
      <c r="DP184" s="833"/>
      <c r="DQ184" s="833"/>
      <c r="DR184" s="723">
        <f>IF(DP184=0,0,(DQ184-DP184)/DP184*100)</f>
        <v>0</v>
      </c>
      <c r="DS184" s="833"/>
      <c r="DT184" s="833"/>
      <c r="DU184" s="723">
        <f>IF(DS184=0,0,(DT184-DS184)/DS184*100)</f>
        <v>0</v>
      </c>
      <c r="DV184" s="833"/>
      <c r="DW184" s="833"/>
      <c r="DX184" s="723">
        <f>IF(DV184=0,0,(DW184-DV184)/DV184*100)</f>
        <v>0</v>
      </c>
      <c r="DY184" s="833"/>
      <c r="DZ184" s="833"/>
      <c r="EA184" s="723">
        <f>IF(DY184=0,0,(DZ184-DY184)/DY184*100)</f>
        <v>0</v>
      </c>
      <c r="EB184" s="833"/>
      <c r="EC184" s="833"/>
      <c r="ED184" s="723">
        <f>IF(EB184=0,0,(EC184-EB184)/EB184*100)</f>
        <v>0</v>
      </c>
      <c r="EE184" s="833"/>
      <c r="EF184" s="833"/>
      <c r="EG184" s="723">
        <f>IF(EE184=0,0,(EF184-EE184)/EE184*100)</f>
        <v>0</v>
      </c>
      <c r="EH184" s="833"/>
      <c r="EI184" s="833"/>
      <c r="EJ184" s="723">
        <f>IF(EH184=0,0,(EI184-EH184)/EH184*100)</f>
        <v>0</v>
      </c>
      <c r="EK184" s="833"/>
      <c r="EL184" s="833"/>
      <c r="EM184" s="723">
        <f>IF(EK184=0,0,(EL184-EK184)/EK184*100)</f>
        <v>0</v>
      </c>
      <c r="EN184" s="833"/>
      <c r="EO184" s="833"/>
      <c r="EP184" s="723">
        <f>IF(EN184=0,0,(EO184-EN184)/EN184*100)</f>
        <v>0</v>
      </c>
      <c r="EQ184" s="833"/>
      <c r="ER184" s="833"/>
      <c r="ES184" s="723">
        <f>IF(EQ184=0,0,(ER184-EQ184)/EQ184*100)</f>
        <v>0</v>
      </c>
      <c r="ET184" s="833"/>
      <c r="EU184" s="833"/>
      <c r="EV184" s="723">
        <f>IF(ET184=0,0,(EU184-ET184)/ET184*100)</f>
        <v>0</v>
      </c>
      <c r="EW184" s="833"/>
      <c r="EX184" s="833"/>
      <c r="EY184" s="723">
        <f>IF(EW184=0,0,(EX184-EW184)/EW184*100)</f>
        <v>0</v>
      </c>
      <c r="EZ184" s="833"/>
      <c r="FA184" s="833"/>
      <c r="FB184" s="723">
        <f>IF(EZ184=0,0,(FA184-EZ184)/EZ184*100)</f>
        <v>0</v>
      </c>
      <c r="FC184" s="833"/>
      <c r="FD184" s="833"/>
      <c r="FE184" s="723">
        <f>IF(FC184=0,0,(FD184-FC184)/FC184*100)</f>
        <v>0</v>
      </c>
      <c r="FF184" s="833"/>
      <c r="FG184" s="833"/>
      <c r="FH184" s="723">
        <f>IF(FF184=0,0,(FG184-FF184)/FF184*100)</f>
        <v>0</v>
      </c>
      <c r="FI184" s="833"/>
      <c r="FJ184" s="833"/>
      <c r="FK184" s="723">
        <f>IF(FI184=0,0,(FJ184-FI184)/FI184*100)</f>
        <v>0</v>
      </c>
      <c r="FL184" s="833"/>
      <c r="FM184" s="833"/>
      <c r="FN184" s="723">
        <f>IF(FL184=0,0,(FM184-FL184)/FL184*100)</f>
        <v>0</v>
      </c>
      <c r="FO184" s="833"/>
      <c r="FP184" s="833"/>
      <c r="FQ184" s="723">
        <f>IF(FO184=0,0,(FP184-FO184)/FO184*100)</f>
        <v>0</v>
      </c>
      <c r="FR184" s="833"/>
      <c r="FS184" s="833"/>
      <c r="FT184" s="723">
        <f>IF(FR184=0,0,(FS184-FR184)/FR184*100)</f>
        <v>0</v>
      </c>
      <c r="FU184" s="833"/>
      <c r="FV184" s="833"/>
      <c r="FW184" s="723">
        <f>IF(FU184=0,0,(FV184-FU184)/FU184*100)</f>
        <v>0</v>
      </c>
      <c r="FZ184" s="700" t="s">
        <v>1676</v>
      </c>
    </row>
    <row r="185" spans="1:182" ht="23.25" hidden="1" customHeight="1">
      <c r="A185" s="78"/>
      <c r="B185" s="622" t="b" cm="1">
        <f t="array" ref="B185">B184</f>
        <v>0</v>
      </c>
      <c r="C185" s="78"/>
      <c r="D185" s="78"/>
      <c r="E185" s="473">
        <v>24.5</v>
      </c>
      <c r="F185" s="3" t="str" cm="1">
        <f t="array" aca="1" ref="F185" ca="1">OFFSET(E185,-1,1)</f>
        <v>2</v>
      </c>
      <c r="G185" s="78"/>
      <c r="H185" s="78"/>
      <c r="I185" s="78"/>
      <c r="J185" s="78"/>
      <c r="K185" s="78"/>
      <c r="L185" s="78"/>
      <c r="M185" s="78"/>
      <c r="N185" s="78"/>
      <c r="O185" s="78"/>
      <c r="P185" s="78"/>
      <c r="Q185" s="78"/>
      <c r="R185" s="78"/>
      <c r="S185" s="78"/>
      <c r="T185" s="365" t="b" cm="1">
        <f t="array" aca="1" ref="T185" ca="1">T184</f>
        <v>1</v>
      </c>
      <c r="U185" s="78"/>
      <c r="V185" s="78"/>
      <c r="W185" s="78"/>
      <c r="X185" s="1094"/>
      <c r="Y185" s="78"/>
      <c r="Z185" s="1064"/>
      <c r="AA185" s="78"/>
      <c r="AB185" s="220" t="s">
        <v>1677</v>
      </c>
      <c r="AC185" s="606"/>
      <c r="AD185" s="727"/>
      <c r="AE185" s="727"/>
      <c r="AF185" s="727"/>
      <c r="AG185" s="727"/>
      <c r="AH185" s="727"/>
      <c r="AI185" s="727"/>
      <c r="AJ185" s="727"/>
      <c r="AK185" s="727"/>
      <c r="AL185" s="727"/>
      <c r="AM185" s="727"/>
      <c r="AN185" s="727"/>
      <c r="AO185" s="727"/>
      <c r="AP185" s="727"/>
      <c r="AQ185" s="727"/>
      <c r="AR185" s="727"/>
      <c r="AS185" s="727"/>
      <c r="AT185" s="727"/>
      <c r="AU185" s="727"/>
      <c r="AV185" s="727"/>
      <c r="AW185" s="727"/>
      <c r="AX185" s="727"/>
      <c r="AY185" s="727"/>
      <c r="AZ185" s="727"/>
      <c r="BA185" s="727"/>
      <c r="BB185" s="727"/>
      <c r="BC185" s="727"/>
      <c r="BD185" s="727"/>
      <c r="BE185" s="727"/>
      <c r="BF185" s="727"/>
      <c r="BG185" s="727"/>
      <c r="BH185" s="727"/>
      <c r="BI185" s="727"/>
      <c r="BJ185" s="727"/>
      <c r="BK185" s="727"/>
      <c r="BL185" s="727"/>
      <c r="BM185" s="727"/>
      <c r="BN185" s="727"/>
      <c r="BO185" s="727"/>
      <c r="BP185" s="727"/>
      <c r="BQ185" s="727"/>
      <c r="BR185" s="727"/>
      <c r="BS185" s="727"/>
      <c r="BT185" s="727"/>
      <c r="BU185" s="727"/>
      <c r="BV185" s="727"/>
      <c r="BW185" s="727"/>
      <c r="BX185" s="727"/>
      <c r="BY185" s="727"/>
      <c r="BZ185" s="727"/>
      <c r="CA185" s="727"/>
      <c r="CB185" s="727"/>
      <c r="CC185" s="727"/>
      <c r="CD185" s="727"/>
      <c r="CE185" s="727"/>
      <c r="CF185" s="727"/>
      <c r="CG185" s="727"/>
      <c r="CH185" s="727"/>
      <c r="CI185" s="727"/>
      <c r="CJ185" s="727"/>
      <c r="CK185" s="727"/>
      <c r="CL185" s="727"/>
      <c r="CM185" s="727"/>
      <c r="CN185" s="727"/>
      <c r="CO185" s="727"/>
      <c r="CP185" s="727"/>
      <c r="CQ185" s="727"/>
      <c r="CR185" s="727"/>
      <c r="CS185" s="727"/>
      <c r="CT185" s="727"/>
      <c r="CU185" s="727"/>
      <c r="CV185" s="727"/>
      <c r="CW185" s="727"/>
      <c r="CX185" s="727"/>
      <c r="CY185" s="727"/>
      <c r="CZ185" s="727"/>
      <c r="DA185" s="727"/>
      <c r="DB185" s="727"/>
      <c r="DC185" s="727"/>
      <c r="DD185" s="727"/>
      <c r="DE185" s="727"/>
      <c r="DF185" s="727"/>
      <c r="DG185" s="727"/>
      <c r="DH185" s="727"/>
      <c r="DI185" s="727"/>
      <c r="DJ185" s="727"/>
      <c r="DK185" s="727"/>
      <c r="DL185" s="727"/>
      <c r="DM185" s="727"/>
      <c r="DN185" s="727"/>
      <c r="DO185" s="727"/>
      <c r="DP185" s="727"/>
      <c r="DQ185" s="727"/>
      <c r="DR185" s="727"/>
      <c r="DS185" s="727"/>
      <c r="DT185" s="727"/>
      <c r="DU185" s="727"/>
      <c r="DV185" s="727"/>
      <c r="DW185" s="727"/>
      <c r="DX185" s="727"/>
      <c r="DY185" s="727"/>
      <c r="DZ185" s="727"/>
      <c r="EA185" s="727"/>
      <c r="EB185" s="727"/>
      <c r="EC185" s="727"/>
      <c r="ED185" s="727"/>
      <c r="EE185" s="727"/>
      <c r="EF185" s="727"/>
      <c r="EG185" s="727"/>
      <c r="EH185" s="727"/>
      <c r="EI185" s="727"/>
      <c r="EJ185" s="727"/>
      <c r="EK185" s="727"/>
      <c r="EL185" s="727"/>
      <c r="EM185" s="727"/>
      <c r="EN185" s="727"/>
      <c r="EO185" s="727"/>
      <c r="EP185" s="727"/>
      <c r="EQ185" s="727"/>
      <c r="ER185" s="727"/>
      <c r="ES185" s="727"/>
      <c r="ET185" s="727"/>
      <c r="EU185" s="727"/>
      <c r="EV185" s="727"/>
      <c r="EW185" s="727"/>
      <c r="EX185" s="727"/>
      <c r="EY185" s="727"/>
      <c r="EZ185" s="727"/>
      <c r="FA185" s="727"/>
      <c r="FB185" s="727"/>
      <c r="FC185" s="727"/>
      <c r="FD185" s="727"/>
      <c r="FE185" s="727"/>
      <c r="FF185" s="727"/>
      <c r="FG185" s="727"/>
      <c r="FH185" s="727"/>
      <c r="FI185" s="727"/>
      <c r="FJ185" s="727"/>
      <c r="FK185" s="727"/>
      <c r="FL185" s="727"/>
      <c r="FM185" s="727"/>
      <c r="FN185" s="727"/>
      <c r="FO185" s="727"/>
      <c r="FP185" s="727"/>
      <c r="FQ185" s="727"/>
      <c r="FR185" s="727"/>
      <c r="FS185" s="727"/>
      <c r="FT185" s="727"/>
      <c r="FU185" s="727"/>
      <c r="FV185" s="727"/>
      <c r="FW185" s="728"/>
      <c r="FZ185" s="700"/>
    </row>
    <row r="186" spans="1:182" ht="14.25" hidden="1" customHeight="1">
      <c r="A186" s="78"/>
      <c r="B186" s="622" t="b" cm="1">
        <f t="array" ref="B186">B185</f>
        <v>0</v>
      </c>
      <c r="C186" s="78"/>
      <c r="D186" s="78"/>
      <c r="E186" s="473">
        <v>15</v>
      </c>
      <c r="F186" s="3" t="str" cm="1">
        <f t="array" aca="1" ref="F186" ca="1">OFFSET(E186,-1,1)</f>
        <v>2</v>
      </c>
      <c r="G186" s="78"/>
      <c r="H186" s="78" t="s">
        <v>1562</v>
      </c>
      <c r="I186" s="78" t="s">
        <v>1637</v>
      </c>
      <c r="J186" s="78"/>
      <c r="K186" s="78"/>
      <c r="L186" s="78"/>
      <c r="M186" s="78"/>
      <c r="N186" s="78"/>
      <c r="O186" s="78"/>
      <c r="P186" s="78"/>
      <c r="Q186" s="78"/>
      <c r="R186" s="78"/>
      <c r="S186" s="78"/>
      <c r="T186" s="365" t="b" cm="1">
        <f t="array" aca="1" ref="T186" ca="1">T185</f>
        <v>1</v>
      </c>
      <c r="U186" s="78"/>
      <c r="V186" s="78"/>
      <c r="W186" s="78"/>
      <c r="X186" s="1094"/>
      <c r="Y186" s="78"/>
      <c r="Z186" s="1064"/>
      <c r="AA186" s="78"/>
      <c r="AB186" s="124" t="s">
        <v>1657</v>
      </c>
      <c r="AC186" s="31" t="s">
        <v>1624</v>
      </c>
      <c r="AD186" s="833">
        <f ca="1">IF(AD188=0,0,(AD187*AD188+AD189*AD190*IF(god=2026,9,6))/AD188)</f>
        <v>0</v>
      </c>
      <c r="AE186" s="833">
        <f ca="1">IF(AE188=0,0,(AE187*AE188+AE189*AE190*IF(god=2026,9,6))/AE188)</f>
        <v>0</v>
      </c>
      <c r="AF186" s="723">
        <f ca="1">IF(AD186=0,0,(AE186-AD186)/AD186*100)</f>
        <v>0</v>
      </c>
      <c r="AG186" s="833">
        <f ca="1">IF(AG188=0,0,(AG187*AG188+AG189*AG190*IF(god=2025,9,6))/AG188)</f>
        <v>0</v>
      </c>
      <c r="AH186" s="833">
        <f ca="1">IF(AH188=0,0,(AH187*AH188+AH189*AH190*IF(god=2025,9,6))/AH188)</f>
        <v>0</v>
      </c>
      <c r="AI186" s="723">
        <f ca="1">IF(AG186=0,0,(AH186-AG186)/AG186*100)</f>
        <v>0</v>
      </c>
      <c r="AJ186" s="833">
        <f ca="1">IF(AJ188=0,0,(AJ187*AJ188+AJ189*AJ190*6)/AJ188)</f>
        <v>0</v>
      </c>
      <c r="AK186" s="833">
        <f ca="1">IF(AK188=0,0,(AK187*AK188+AK189*AK190*6)/AK188)</f>
        <v>0</v>
      </c>
      <c r="AL186" s="723">
        <f ca="1">IF(AJ186=0,0,(AK186-AJ186)/AJ186*100)</f>
        <v>0</v>
      </c>
      <c r="AM186" s="833">
        <f ca="1">IF(AM188=0,0,(AM187*AM188+AM189*AM190*6)/AM188)</f>
        <v>0</v>
      </c>
      <c r="AN186" s="833">
        <f ca="1">IF(AN188=0,0,(AN187*AN188+AN189*AN190*6)/AN188)</f>
        <v>0</v>
      </c>
      <c r="AO186" s="723">
        <f ca="1">IF(AM186=0,0,(AN186-AM186)/AM186*100)</f>
        <v>0</v>
      </c>
      <c r="AP186" s="833">
        <f ca="1">IF(AP188=0,0,(AP187*AP188+AP189*AP190*6)/AP188)</f>
        <v>0</v>
      </c>
      <c r="AQ186" s="833">
        <f ca="1">IF(AQ188=0,0,(AQ187*AQ188+AQ189*AQ190*6)/AQ188)</f>
        <v>0</v>
      </c>
      <c r="AR186" s="723">
        <f ca="1">IF(AP186=0,0,(AQ186-AP186)/AP186*100)</f>
        <v>0</v>
      </c>
      <c r="AS186" s="833">
        <f ca="1">IF(AS188=0,0,(AS187*AS188+AS189*AS190*6)/AS188)</f>
        <v>0</v>
      </c>
      <c r="AT186" s="833">
        <f ca="1">IF(AT188=0,0,(AT187*AT188+AT189*AT190*6)/AT188)</f>
        <v>0</v>
      </c>
      <c r="AU186" s="723">
        <f ca="1">IF(AS186=0,0,(AT186-AS186)/AS186*100)</f>
        <v>0</v>
      </c>
      <c r="AV186" s="833">
        <f ca="1">IF(AV188=0,0,(AV187*AV188+AV189*AV190*6)/AV188)</f>
        <v>0</v>
      </c>
      <c r="AW186" s="833">
        <f ca="1">IF(AW188=0,0,(AW187*AW188+AW189*AW190*6)/AW188)</f>
        <v>0</v>
      </c>
      <c r="AX186" s="723">
        <f ca="1">IF(AV186=0,0,(AW186-AV186)/AV186*100)</f>
        <v>0</v>
      </c>
      <c r="AY186" s="833">
        <f ca="1">IF(AY188=0,0,(AY187*AY188+AY189*AY190*6)/AY188)</f>
        <v>0</v>
      </c>
      <c r="AZ186" s="833">
        <f ca="1">IF(AZ188=0,0,(AZ187*AZ188+AZ189*AZ190*6)/AZ188)</f>
        <v>0</v>
      </c>
      <c r="BA186" s="723">
        <f ca="1">IF(AY186=0,0,(AZ186-AY186)/AY186*100)</f>
        <v>0</v>
      </c>
      <c r="BB186" s="833">
        <f ca="1">IF(BB188=0,0,(BB187*BB188+BB189*BB190*6)/BB188)</f>
        <v>0</v>
      </c>
      <c r="BC186" s="833">
        <f ca="1">IF(BC188=0,0,(BC187*BC188+BC189*BC190*6)/BC188)</f>
        <v>0</v>
      </c>
      <c r="BD186" s="723">
        <f ca="1">IF(BB186=0,0,(BC186-BB186)/BB186*100)</f>
        <v>0</v>
      </c>
      <c r="BE186" s="833">
        <f ca="1">IF(BE188=0,0,(BE187*BE188+BE189*BE190*6)/BE188)</f>
        <v>0</v>
      </c>
      <c r="BF186" s="833">
        <f ca="1">IF(BF188=0,0,(BF187*BF188+BF189*BF190*6)/BF188)</f>
        <v>0</v>
      </c>
      <c r="BG186" s="723">
        <f ca="1">IF(BE186=0,0,(BF186-BE186)/BE186*100)</f>
        <v>0</v>
      </c>
      <c r="BH186" s="833">
        <f>IF(BH188=0,0,(BH187*BH188+BH189*BH190*6)/BH188)</f>
        <v>0</v>
      </c>
      <c r="BI186" s="833">
        <f>IF(BI188=0,0,(BI187*BI188+BI189*BI190*6)/BI188)</f>
        <v>0</v>
      </c>
      <c r="BJ186" s="723">
        <f>IF(BH186=0,0,(BI186-BH186)/BH186*100)</f>
        <v>0</v>
      </c>
      <c r="BK186" s="833">
        <f>IF(BK188=0,0,(BK187*BK188+BK189*BK190*6)/BK188)</f>
        <v>0</v>
      </c>
      <c r="BL186" s="833">
        <f>IF(BL188=0,0,(BL187*BL188+BL189*BL190*6)/BL188)</f>
        <v>0</v>
      </c>
      <c r="BM186" s="723">
        <f>IF(BK186=0,0,(BL186-BK186)/BK186*100)</f>
        <v>0</v>
      </c>
      <c r="BN186" s="833">
        <f>IF(BN188=0,0,(BN187*BN188+BN189*BN190*6)/BN188)</f>
        <v>0</v>
      </c>
      <c r="BO186" s="833">
        <f>IF(BO188=0,0,(BO187*BO188+BO189*BO190*6)/BO188)</f>
        <v>0</v>
      </c>
      <c r="BP186" s="723">
        <f>IF(BN186=0,0,(BO186-BN186)/BN186*100)</f>
        <v>0</v>
      </c>
      <c r="BQ186" s="833">
        <f>IF(BQ188=0,0,(BQ187*BQ188+BQ189*BQ190*6)/BQ188)</f>
        <v>0</v>
      </c>
      <c r="BR186" s="833">
        <f>IF(BR188=0,0,(BR187*BR188+BR189*BR190*6)/BR188)</f>
        <v>0</v>
      </c>
      <c r="BS186" s="723">
        <f>IF(BQ186=0,0,(BR186-BQ186)/BQ186*100)</f>
        <v>0</v>
      </c>
      <c r="BT186" s="833">
        <f>IF(BT188=0,0,(BT187*BT188+BT189*BT190*6)/BT188)</f>
        <v>0</v>
      </c>
      <c r="BU186" s="833">
        <f>IF(BU188=0,0,(BU187*BU188+BU189*BU190*6)/BU188)</f>
        <v>0</v>
      </c>
      <c r="BV186" s="723">
        <f>IF(BT186=0,0,(BU186-BT186)/BT186*100)</f>
        <v>0</v>
      </c>
      <c r="BW186" s="833">
        <f>IF(BW188=0,0,(BW187*BW188+BW189*BW190*6)/BW188)</f>
        <v>0</v>
      </c>
      <c r="BX186" s="833">
        <f>IF(BX188=0,0,(BX187*BX188+BX189*BX190*6)/BX188)</f>
        <v>0</v>
      </c>
      <c r="BY186" s="723">
        <f>IF(BW186=0,0,(BX186-BW186)/BW186*100)</f>
        <v>0</v>
      </c>
      <c r="BZ186" s="833">
        <f>IF(BZ188=0,0,(BZ187*BZ188+BZ189*BZ190*6)/BZ188)</f>
        <v>0</v>
      </c>
      <c r="CA186" s="833">
        <f>IF(CA188=0,0,(CA187*CA188+CA189*CA190*6)/CA188)</f>
        <v>0</v>
      </c>
      <c r="CB186" s="723">
        <f>IF(BZ186=0,0,(CA186-BZ186)/BZ186*100)</f>
        <v>0</v>
      </c>
      <c r="CC186" s="833">
        <f>IF(CC188=0,0,(CC187*CC188+CC189*CC190*6)/CC188)</f>
        <v>0</v>
      </c>
      <c r="CD186" s="833">
        <f>IF(CD188=0,0,(CD187*CD188+CD189*CD190*6)/CD188)</f>
        <v>0</v>
      </c>
      <c r="CE186" s="723">
        <f>IF(CC186=0,0,(CD186-CC186)/CC186*100)</f>
        <v>0</v>
      </c>
      <c r="CF186" s="833">
        <f>IF(CF188=0,0,(CF187*CF188+CF189*CF190*6)/CF188)</f>
        <v>0</v>
      </c>
      <c r="CG186" s="833">
        <f>IF(CG188=0,0,(CG187*CG188+CG189*CG190*6)/CG188)</f>
        <v>0</v>
      </c>
      <c r="CH186" s="723">
        <f>IF(CF186=0,0,(CG186-CF186)/CF186*100)</f>
        <v>0</v>
      </c>
      <c r="CI186" s="833">
        <f>IF(CI188=0,0,(CI187*CI188+CI189*CI190*6)/CI188)</f>
        <v>0</v>
      </c>
      <c r="CJ186" s="833">
        <f>IF(CJ188=0,0,(CJ187*CJ188+CJ189*CJ190*6)/CJ188)</f>
        <v>0</v>
      </c>
      <c r="CK186" s="723">
        <f>IF(CI186=0,0,(CJ186-CI186)/CI186*100)</f>
        <v>0</v>
      </c>
      <c r="CL186" s="833">
        <f>IF(CL188=0,0,(CL187*CL188+CL189*CL190*6)/CL188)</f>
        <v>0</v>
      </c>
      <c r="CM186" s="833">
        <f>IF(CM188=0,0,(CM187*CM188+CM189*CM190*6)/CM188)</f>
        <v>0</v>
      </c>
      <c r="CN186" s="723">
        <f>IF(CL186=0,0,(CM186-CL186)/CL186*100)</f>
        <v>0</v>
      </c>
      <c r="CO186" s="833">
        <f>IF(CO188=0,0,(CO187*CO188+CO189*CO190*6)/CO188)</f>
        <v>0</v>
      </c>
      <c r="CP186" s="833">
        <f>IF(CP188=0,0,(CP187*CP188+CP189*CP190*6)/CP188)</f>
        <v>0</v>
      </c>
      <c r="CQ186" s="723">
        <f>IF(CO186=0,0,(CP186-CO186)/CO186*100)</f>
        <v>0</v>
      </c>
      <c r="CR186" s="833">
        <f>IF(CR188=0,0,(CR187*CR188+CR189*CR190*6)/CR188)</f>
        <v>0</v>
      </c>
      <c r="CS186" s="833">
        <f>IF(CS188=0,0,(CS187*CS188+CS189*CS190*6)/CS188)</f>
        <v>0</v>
      </c>
      <c r="CT186" s="723">
        <f>IF(CR186=0,0,(CS186-CR186)/CR186*100)</f>
        <v>0</v>
      </c>
      <c r="CU186" s="833">
        <f>IF(CU188=0,0,(CU187*CU188+CU189*CU190*6)/CU188)</f>
        <v>0</v>
      </c>
      <c r="CV186" s="833">
        <f>IF(CV188=0,0,(CV187*CV188+CV189*CV190*6)/CV188)</f>
        <v>0</v>
      </c>
      <c r="CW186" s="723">
        <f>IF(CU186=0,0,(CV186-CU186)/CU186*100)</f>
        <v>0</v>
      </c>
      <c r="CX186" s="833">
        <f>IF(CX188=0,0,(CX187*CX188+CX189*CX190*6)/CX188)</f>
        <v>0</v>
      </c>
      <c r="CY186" s="833">
        <f>IF(CY188=0,0,(CY187*CY188+CY189*CY190*6)/CY188)</f>
        <v>0</v>
      </c>
      <c r="CZ186" s="723">
        <f>IF(CX186=0,0,(CY186-CX186)/CX186*100)</f>
        <v>0</v>
      </c>
      <c r="DA186" s="833">
        <f>IF(DA188=0,0,(DA187*DA188+DA189*DA190*6)/DA188)</f>
        <v>0</v>
      </c>
      <c r="DB186" s="833">
        <f>IF(DB188=0,0,(DB187*DB188+DB189*DB190*6)/DB188)</f>
        <v>0</v>
      </c>
      <c r="DC186" s="723">
        <f>IF(DA186=0,0,(DB186-DA186)/DA186*100)</f>
        <v>0</v>
      </c>
      <c r="DD186" s="833">
        <f>IF(DD188=0,0,(DD187*DD188+DD189*DD190*6)/DD188)</f>
        <v>0</v>
      </c>
      <c r="DE186" s="833">
        <f>IF(DE188=0,0,(DE187*DE188+DE189*DE190*6)/DE188)</f>
        <v>0</v>
      </c>
      <c r="DF186" s="723">
        <f>IF(DD186=0,0,(DE186-DD186)/DD186*100)</f>
        <v>0</v>
      </c>
      <c r="DG186" s="833">
        <f>IF(DG188=0,0,(DG187*DG188+DG189*DG190*6)/DG188)</f>
        <v>0</v>
      </c>
      <c r="DH186" s="833">
        <f>IF(DH188=0,0,(DH187*DH188+DH189*DH190*6)/DH188)</f>
        <v>0</v>
      </c>
      <c r="DI186" s="723">
        <f>IF(DG186=0,0,(DH186-DG186)/DG186*100)</f>
        <v>0</v>
      </c>
      <c r="DJ186" s="833">
        <f>IF(DJ188=0,0,(DJ187*DJ188+DJ189*DJ190*6)/DJ188)</f>
        <v>0</v>
      </c>
      <c r="DK186" s="833">
        <f>IF(DK188=0,0,(DK187*DK188+DK189*DK190*6)/DK188)</f>
        <v>0</v>
      </c>
      <c r="DL186" s="723">
        <f>IF(DJ186=0,0,(DK186-DJ186)/DJ186*100)</f>
        <v>0</v>
      </c>
      <c r="DM186" s="833">
        <f>IF(DM188=0,0,(DM187*DM188+DM189*DM190*6)/DM188)</f>
        <v>0</v>
      </c>
      <c r="DN186" s="833">
        <f>IF(DN188=0,0,(DN187*DN188+DN189*DN190*6)/DN188)</f>
        <v>0</v>
      </c>
      <c r="DO186" s="723">
        <f>IF(DM186=0,0,(DN186-DM186)/DM186*100)</f>
        <v>0</v>
      </c>
      <c r="DP186" s="833">
        <f>IF(DP188=0,0,(DP187*DP188+DP189*DP190*6)/DP188)</f>
        <v>0</v>
      </c>
      <c r="DQ186" s="833">
        <f>IF(DQ188=0,0,(DQ187*DQ188+DQ189*DQ190*6)/DQ188)</f>
        <v>0</v>
      </c>
      <c r="DR186" s="723">
        <f>IF(DP186=0,0,(DQ186-DP186)/DP186*100)</f>
        <v>0</v>
      </c>
      <c r="DS186" s="833">
        <f>IF(DS188=0,0,(DS187*DS188+DS189*DS190*6)/DS188)</f>
        <v>0</v>
      </c>
      <c r="DT186" s="833">
        <f>IF(DT188=0,0,(DT187*DT188+DT189*DT190*6)/DT188)</f>
        <v>0</v>
      </c>
      <c r="DU186" s="723">
        <f>IF(DS186=0,0,(DT186-DS186)/DS186*100)</f>
        <v>0</v>
      </c>
      <c r="DV186" s="833">
        <f>IF(DV188=0,0,(DV187*DV188+DV189*DV190*6)/DV188)</f>
        <v>0</v>
      </c>
      <c r="DW186" s="833">
        <f>IF(DW188=0,0,(DW187*DW188+DW189*DW190*6)/DW188)</f>
        <v>0</v>
      </c>
      <c r="DX186" s="723">
        <f>IF(DV186=0,0,(DW186-DV186)/DV186*100)</f>
        <v>0</v>
      </c>
      <c r="DY186" s="833">
        <f>IF(DY188=0,0,(DY187*DY188+DY189*DY190*6)/DY188)</f>
        <v>0</v>
      </c>
      <c r="DZ186" s="833">
        <f>IF(DZ188=0,0,(DZ187*DZ188+DZ189*DZ190*6)/DZ188)</f>
        <v>0</v>
      </c>
      <c r="EA186" s="723">
        <f>IF(DY186=0,0,(DZ186-DY186)/DY186*100)</f>
        <v>0</v>
      </c>
      <c r="EB186" s="833">
        <f>IF(EB188=0,0,(EB187*EB188+EB189*EB190*6)/EB188)</f>
        <v>0</v>
      </c>
      <c r="EC186" s="833">
        <f>IF(EC188=0,0,(EC187*EC188+EC189*EC190*6)/EC188)</f>
        <v>0</v>
      </c>
      <c r="ED186" s="723">
        <f>IF(EB186=0,0,(EC186-EB186)/EB186*100)</f>
        <v>0</v>
      </c>
      <c r="EE186" s="833">
        <f>IF(EE188=0,0,(EE187*EE188+EE189*EE190*6)/EE188)</f>
        <v>0</v>
      </c>
      <c r="EF186" s="833">
        <f>IF(EF188=0,0,(EF187*EF188+EF189*EF190*6)/EF188)</f>
        <v>0</v>
      </c>
      <c r="EG186" s="723">
        <f>IF(EE186=0,0,(EF186-EE186)/EE186*100)</f>
        <v>0</v>
      </c>
      <c r="EH186" s="833">
        <f>IF(EH188=0,0,(EH187*EH188+EH189*EH190*6)/EH188)</f>
        <v>0</v>
      </c>
      <c r="EI186" s="833">
        <f>IF(EI188=0,0,(EI187*EI188+EI189*EI190*6)/EI188)</f>
        <v>0</v>
      </c>
      <c r="EJ186" s="723">
        <f>IF(EH186=0,0,(EI186-EH186)/EH186*100)</f>
        <v>0</v>
      </c>
      <c r="EK186" s="833">
        <f>IF(EK188=0,0,(EK187*EK188+EK189*EK190*6)/EK188)</f>
        <v>0</v>
      </c>
      <c r="EL186" s="833">
        <f>IF(EL188=0,0,(EL187*EL188+EL189*EL190*6)/EL188)</f>
        <v>0</v>
      </c>
      <c r="EM186" s="723">
        <f>IF(EK186=0,0,(EL186-EK186)/EK186*100)</f>
        <v>0</v>
      </c>
      <c r="EN186" s="833">
        <f>IF(EN188=0,0,(EN187*EN188+EN189*EN190*6)/EN188)</f>
        <v>0</v>
      </c>
      <c r="EO186" s="833">
        <f>IF(EO188=0,0,(EO187*EO188+EO189*EO190*6)/EO188)</f>
        <v>0</v>
      </c>
      <c r="EP186" s="723">
        <f>IF(EN186=0,0,(EO186-EN186)/EN186*100)</f>
        <v>0</v>
      </c>
      <c r="EQ186" s="833">
        <f>IF(EQ188=0,0,(EQ187*EQ188+EQ189*EQ190*6)/EQ188)</f>
        <v>0</v>
      </c>
      <c r="ER186" s="833">
        <f>IF(ER188=0,0,(ER187*ER188+ER189*ER190*6)/ER188)</f>
        <v>0</v>
      </c>
      <c r="ES186" s="723">
        <f>IF(EQ186=0,0,(ER186-EQ186)/EQ186*100)</f>
        <v>0</v>
      </c>
      <c r="ET186" s="833">
        <f>IF(ET188=0,0,(ET187*ET188+ET189*ET190*6)/ET188)</f>
        <v>0</v>
      </c>
      <c r="EU186" s="833">
        <f>IF(EU188=0,0,(EU187*EU188+EU189*EU190*6)/EU188)</f>
        <v>0</v>
      </c>
      <c r="EV186" s="723">
        <f>IF(ET186=0,0,(EU186-ET186)/ET186*100)</f>
        <v>0</v>
      </c>
      <c r="EW186" s="833">
        <f>IF(EW188=0,0,(EW187*EW188+EW189*EW190*6)/EW188)</f>
        <v>0</v>
      </c>
      <c r="EX186" s="833">
        <f>IF(EX188=0,0,(EX187*EX188+EX189*EX190*6)/EX188)</f>
        <v>0</v>
      </c>
      <c r="EY186" s="723">
        <f>IF(EW186=0,0,(EX186-EW186)/EW186*100)</f>
        <v>0</v>
      </c>
      <c r="EZ186" s="833">
        <f>IF(EZ188=0,0,(EZ187*EZ188+EZ189*EZ190*6)/EZ188)</f>
        <v>0</v>
      </c>
      <c r="FA186" s="833">
        <f>IF(FA188=0,0,(FA187*FA188+FA189*FA190*6)/FA188)</f>
        <v>0</v>
      </c>
      <c r="FB186" s="723">
        <f>IF(EZ186=0,0,(FA186-EZ186)/EZ186*100)</f>
        <v>0</v>
      </c>
      <c r="FC186" s="833">
        <f>IF(FC188=0,0,(FC187*FC188+FC189*FC190*6)/FC188)</f>
        <v>0</v>
      </c>
      <c r="FD186" s="833">
        <f>IF(FD188=0,0,(FD187*FD188+FD189*FD190*6)/FD188)</f>
        <v>0</v>
      </c>
      <c r="FE186" s="723">
        <f>IF(FC186=0,0,(FD186-FC186)/FC186*100)</f>
        <v>0</v>
      </c>
      <c r="FF186" s="833">
        <f>IF(FF188=0,0,(FF187*FF188+FF189*FF190*6)/FF188)</f>
        <v>0</v>
      </c>
      <c r="FG186" s="833">
        <f>IF(FG188=0,0,(FG187*FG188+FG189*FG190*6)/FG188)</f>
        <v>0</v>
      </c>
      <c r="FH186" s="723">
        <f>IF(FF186=0,0,(FG186-FF186)/FF186*100)</f>
        <v>0</v>
      </c>
      <c r="FI186" s="833">
        <f>IF(FI188=0,0,(FI187*FI188+FI189*FI190*6)/FI188)</f>
        <v>0</v>
      </c>
      <c r="FJ186" s="833">
        <f>IF(FJ188=0,0,(FJ187*FJ188+FJ189*FJ190*6)/FJ188)</f>
        <v>0</v>
      </c>
      <c r="FK186" s="723">
        <f>IF(FI186=0,0,(FJ186-FI186)/FI186*100)</f>
        <v>0</v>
      </c>
      <c r="FL186" s="833">
        <f>IF(FL188=0,0,(FL187*FL188+FL189*FL190*6)/FL188)</f>
        <v>0</v>
      </c>
      <c r="FM186" s="833">
        <f>IF(FM188=0,0,(FM187*FM188+FM189*FM190*6)/FM188)</f>
        <v>0</v>
      </c>
      <c r="FN186" s="723">
        <f>IF(FL186=0,0,(FM186-FL186)/FL186*100)</f>
        <v>0</v>
      </c>
      <c r="FO186" s="833">
        <f>IF(FO188=0,0,(FO187*FO188+FO189*FO190*6)/FO188)</f>
        <v>0</v>
      </c>
      <c r="FP186" s="833">
        <f>IF(FP188=0,0,(FP187*FP188+FP189*FP190*6)/FP188)</f>
        <v>0</v>
      </c>
      <c r="FQ186" s="723">
        <f>IF(FO186=0,0,(FP186-FO186)/FO186*100)</f>
        <v>0</v>
      </c>
      <c r="FR186" s="833">
        <f>IF(FR188=0,0,(FR187*FR188+FR189*FR190*6)/FR188)</f>
        <v>0</v>
      </c>
      <c r="FS186" s="833">
        <f>IF(FS188=0,0,(FS187*FS188+FS189*FS190*6)/FS188)</f>
        <v>0</v>
      </c>
      <c r="FT186" s="723">
        <f>IF(FR186=0,0,(FS186-FR186)/FR186*100)</f>
        <v>0</v>
      </c>
      <c r="FU186" s="833">
        <f>IF(FU188=0,0,(FU187*FU188+FU189*FU190*6)/FU188)</f>
        <v>0</v>
      </c>
      <c r="FV186" s="833">
        <f>IF(FV188=0,0,(FV187*FV188+FV189*FV190*6)/FV188)</f>
        <v>0</v>
      </c>
      <c r="FW186" s="723">
        <f>IF(FU186=0,0,(FV186-FU186)/FU186*100)</f>
        <v>0</v>
      </c>
      <c r="FZ186" s="700" t="s">
        <v>1678</v>
      </c>
    </row>
    <row r="187" spans="1:182" ht="14.25" hidden="1" customHeight="1">
      <c r="A187" s="78"/>
      <c r="B187" s="622" t="b" cm="1">
        <f t="array" ref="B187">B186</f>
        <v>0</v>
      </c>
      <c r="C187" s="78"/>
      <c r="D187" s="78"/>
      <c r="E187" s="473">
        <v>15</v>
      </c>
      <c r="F187" s="3" t="str" cm="1">
        <f t="array" aca="1" ref="F187" ca="1">OFFSET(E187,-1,1)</f>
        <v>2</v>
      </c>
      <c r="G187" s="78"/>
      <c r="H187" s="78" t="s">
        <v>1566</v>
      </c>
      <c r="I187" s="78" t="s">
        <v>1637</v>
      </c>
      <c r="J187" s="78"/>
      <c r="K187" s="78"/>
      <c r="L187" s="78"/>
      <c r="M187" s="78"/>
      <c r="N187" s="78"/>
      <c r="O187" s="78"/>
      <c r="P187" s="78"/>
      <c r="Q187" s="78"/>
      <c r="R187" s="78"/>
      <c r="S187" s="78"/>
      <c r="T187" s="365" t="b" cm="1">
        <f t="array" aca="1" ref="T187" ca="1">T186</f>
        <v>1</v>
      </c>
      <c r="U187" s="78"/>
      <c r="V187" s="78"/>
      <c r="W187" s="78"/>
      <c r="X187" s="1094"/>
      <c r="Y187" s="78"/>
      <c r="Z187" s="1064"/>
      <c r="AA187" s="78"/>
      <c r="AB187" s="124" t="str">
        <f>"ставка платы за "&amp;IF(Q155="Водоснабжение","потребление 1 куб.м холодной воды","объем принятых сточных вод")</f>
        <v>ставка платы за объем принятых сточных вод</v>
      </c>
      <c r="AC187" s="31" t="s">
        <v>1624</v>
      </c>
      <c r="AD187" s="833"/>
      <c r="AE187" s="833"/>
      <c r="AF187" s="723">
        <f>IF(AD187=0,0,(AE187-AD187)/AD187*100)</f>
        <v>0</v>
      </c>
      <c r="AG187" s="833"/>
      <c r="AH187" s="833"/>
      <c r="AI187" s="723">
        <f>IF(AG187=0,0,(AH187-AG187)/AG187*100)</f>
        <v>0</v>
      </c>
      <c r="AJ187" s="833"/>
      <c r="AK187" s="833"/>
      <c r="AL187" s="723">
        <f>IF(AJ187=0,0,(AK187-AJ187)/AJ187*100)</f>
        <v>0</v>
      </c>
      <c r="AM187" s="833"/>
      <c r="AN187" s="833"/>
      <c r="AO187" s="723">
        <f>IF(AM187=0,0,(AN187-AM187)/AM187*100)</f>
        <v>0</v>
      </c>
      <c r="AP187" s="833"/>
      <c r="AQ187" s="833"/>
      <c r="AR187" s="723">
        <f>IF(AP187=0,0,(AQ187-AP187)/AP187*100)</f>
        <v>0</v>
      </c>
      <c r="AS187" s="833"/>
      <c r="AT187" s="833"/>
      <c r="AU187" s="723">
        <f>IF(AS187=0,0,(AT187-AS187)/AS187*100)</f>
        <v>0</v>
      </c>
      <c r="AV187" s="833"/>
      <c r="AW187" s="833"/>
      <c r="AX187" s="723">
        <f>IF(AV187=0,0,(AW187-AV187)/AV187*100)</f>
        <v>0</v>
      </c>
      <c r="AY187" s="833"/>
      <c r="AZ187" s="833"/>
      <c r="BA187" s="723">
        <f>IF(AY187=0,0,(AZ187-AY187)/AY187*100)</f>
        <v>0</v>
      </c>
      <c r="BB187" s="833"/>
      <c r="BC187" s="833"/>
      <c r="BD187" s="723">
        <f>IF(BB187=0,0,(BC187-BB187)/BB187*100)</f>
        <v>0</v>
      </c>
      <c r="BE187" s="833"/>
      <c r="BF187" s="833"/>
      <c r="BG187" s="723">
        <f>IF(BE187=0,0,(BF187-BE187)/BE187*100)</f>
        <v>0</v>
      </c>
      <c r="BH187" s="833"/>
      <c r="BI187" s="833"/>
      <c r="BJ187" s="723">
        <f>IF(BH187=0,0,(BI187-BH187)/BH187*100)</f>
        <v>0</v>
      </c>
      <c r="BK187" s="833"/>
      <c r="BL187" s="833"/>
      <c r="BM187" s="723">
        <f>IF(BK187=0,0,(BL187-BK187)/BK187*100)</f>
        <v>0</v>
      </c>
      <c r="BN187" s="833"/>
      <c r="BO187" s="833"/>
      <c r="BP187" s="723">
        <f>IF(BN187=0,0,(BO187-BN187)/BN187*100)</f>
        <v>0</v>
      </c>
      <c r="BQ187" s="833"/>
      <c r="BR187" s="833"/>
      <c r="BS187" s="723">
        <f>IF(BQ187=0,0,(BR187-BQ187)/BQ187*100)</f>
        <v>0</v>
      </c>
      <c r="BT187" s="833"/>
      <c r="BU187" s="833"/>
      <c r="BV187" s="723">
        <f>IF(BT187=0,0,(BU187-BT187)/BT187*100)</f>
        <v>0</v>
      </c>
      <c r="BW187" s="833"/>
      <c r="BX187" s="833"/>
      <c r="BY187" s="723">
        <f>IF(BW187=0,0,(BX187-BW187)/BW187*100)</f>
        <v>0</v>
      </c>
      <c r="BZ187" s="833"/>
      <c r="CA187" s="833"/>
      <c r="CB187" s="723">
        <f>IF(BZ187=0,0,(CA187-BZ187)/BZ187*100)</f>
        <v>0</v>
      </c>
      <c r="CC187" s="833"/>
      <c r="CD187" s="833"/>
      <c r="CE187" s="723">
        <f>IF(CC187=0,0,(CD187-CC187)/CC187*100)</f>
        <v>0</v>
      </c>
      <c r="CF187" s="833"/>
      <c r="CG187" s="833"/>
      <c r="CH187" s="723">
        <f>IF(CF187=0,0,(CG187-CF187)/CF187*100)</f>
        <v>0</v>
      </c>
      <c r="CI187" s="833"/>
      <c r="CJ187" s="833"/>
      <c r="CK187" s="723">
        <f>IF(CI187=0,0,(CJ187-CI187)/CI187*100)</f>
        <v>0</v>
      </c>
      <c r="CL187" s="833"/>
      <c r="CM187" s="833"/>
      <c r="CN187" s="723">
        <f>IF(CL187=0,0,(CM187-CL187)/CL187*100)</f>
        <v>0</v>
      </c>
      <c r="CO187" s="833"/>
      <c r="CP187" s="833"/>
      <c r="CQ187" s="723">
        <f>IF(CO187=0,0,(CP187-CO187)/CO187*100)</f>
        <v>0</v>
      </c>
      <c r="CR187" s="833"/>
      <c r="CS187" s="833"/>
      <c r="CT187" s="723">
        <f>IF(CR187=0,0,(CS187-CR187)/CR187*100)</f>
        <v>0</v>
      </c>
      <c r="CU187" s="833"/>
      <c r="CV187" s="833"/>
      <c r="CW187" s="723">
        <f>IF(CU187=0,0,(CV187-CU187)/CU187*100)</f>
        <v>0</v>
      </c>
      <c r="CX187" s="833"/>
      <c r="CY187" s="833"/>
      <c r="CZ187" s="723">
        <f>IF(CX187=0,0,(CY187-CX187)/CX187*100)</f>
        <v>0</v>
      </c>
      <c r="DA187" s="833"/>
      <c r="DB187" s="833"/>
      <c r="DC187" s="723">
        <f>IF(DA187=0,0,(DB187-DA187)/DA187*100)</f>
        <v>0</v>
      </c>
      <c r="DD187" s="833"/>
      <c r="DE187" s="833"/>
      <c r="DF187" s="723">
        <f>IF(DD187=0,0,(DE187-DD187)/DD187*100)</f>
        <v>0</v>
      </c>
      <c r="DG187" s="833"/>
      <c r="DH187" s="833"/>
      <c r="DI187" s="723">
        <f>IF(DG187=0,0,(DH187-DG187)/DG187*100)</f>
        <v>0</v>
      </c>
      <c r="DJ187" s="833"/>
      <c r="DK187" s="833"/>
      <c r="DL187" s="723">
        <f>IF(DJ187=0,0,(DK187-DJ187)/DJ187*100)</f>
        <v>0</v>
      </c>
      <c r="DM187" s="833"/>
      <c r="DN187" s="833"/>
      <c r="DO187" s="723">
        <f>IF(DM187=0,0,(DN187-DM187)/DM187*100)</f>
        <v>0</v>
      </c>
      <c r="DP187" s="833"/>
      <c r="DQ187" s="833"/>
      <c r="DR187" s="723">
        <f>IF(DP187=0,0,(DQ187-DP187)/DP187*100)</f>
        <v>0</v>
      </c>
      <c r="DS187" s="833"/>
      <c r="DT187" s="833"/>
      <c r="DU187" s="723">
        <f>IF(DS187=0,0,(DT187-DS187)/DS187*100)</f>
        <v>0</v>
      </c>
      <c r="DV187" s="833"/>
      <c r="DW187" s="833"/>
      <c r="DX187" s="723">
        <f>IF(DV187=0,0,(DW187-DV187)/DV187*100)</f>
        <v>0</v>
      </c>
      <c r="DY187" s="833"/>
      <c r="DZ187" s="833"/>
      <c r="EA187" s="723">
        <f>IF(DY187=0,0,(DZ187-DY187)/DY187*100)</f>
        <v>0</v>
      </c>
      <c r="EB187" s="833"/>
      <c r="EC187" s="833"/>
      <c r="ED187" s="723">
        <f>IF(EB187=0,0,(EC187-EB187)/EB187*100)</f>
        <v>0</v>
      </c>
      <c r="EE187" s="833"/>
      <c r="EF187" s="833"/>
      <c r="EG187" s="723">
        <f>IF(EE187=0,0,(EF187-EE187)/EE187*100)</f>
        <v>0</v>
      </c>
      <c r="EH187" s="833"/>
      <c r="EI187" s="833"/>
      <c r="EJ187" s="723">
        <f>IF(EH187=0,0,(EI187-EH187)/EH187*100)</f>
        <v>0</v>
      </c>
      <c r="EK187" s="833"/>
      <c r="EL187" s="833"/>
      <c r="EM187" s="723">
        <f>IF(EK187=0,0,(EL187-EK187)/EK187*100)</f>
        <v>0</v>
      </c>
      <c r="EN187" s="833"/>
      <c r="EO187" s="833"/>
      <c r="EP187" s="723">
        <f>IF(EN187=0,0,(EO187-EN187)/EN187*100)</f>
        <v>0</v>
      </c>
      <c r="EQ187" s="833"/>
      <c r="ER187" s="833"/>
      <c r="ES187" s="723">
        <f>IF(EQ187=0,0,(ER187-EQ187)/EQ187*100)</f>
        <v>0</v>
      </c>
      <c r="ET187" s="833"/>
      <c r="EU187" s="833"/>
      <c r="EV187" s="723">
        <f>IF(ET187=0,0,(EU187-ET187)/ET187*100)</f>
        <v>0</v>
      </c>
      <c r="EW187" s="833"/>
      <c r="EX187" s="833"/>
      <c r="EY187" s="723">
        <f>IF(EW187=0,0,(EX187-EW187)/EW187*100)</f>
        <v>0</v>
      </c>
      <c r="EZ187" s="833"/>
      <c r="FA187" s="833"/>
      <c r="FB187" s="723">
        <f>IF(EZ187=0,0,(FA187-EZ187)/EZ187*100)</f>
        <v>0</v>
      </c>
      <c r="FC187" s="833"/>
      <c r="FD187" s="833"/>
      <c r="FE187" s="723">
        <f>IF(FC187=0,0,(FD187-FC187)/FC187*100)</f>
        <v>0</v>
      </c>
      <c r="FF187" s="833"/>
      <c r="FG187" s="833"/>
      <c r="FH187" s="723">
        <f>IF(FF187=0,0,(FG187-FF187)/FF187*100)</f>
        <v>0</v>
      </c>
      <c r="FI187" s="833"/>
      <c r="FJ187" s="833"/>
      <c r="FK187" s="723">
        <f>IF(FI187=0,0,(FJ187-FI187)/FI187*100)</f>
        <v>0</v>
      </c>
      <c r="FL187" s="833"/>
      <c r="FM187" s="833"/>
      <c r="FN187" s="723">
        <f>IF(FL187=0,0,(FM187-FL187)/FL187*100)</f>
        <v>0</v>
      </c>
      <c r="FO187" s="833"/>
      <c r="FP187" s="833"/>
      <c r="FQ187" s="723">
        <f>IF(FO187=0,0,(FP187-FO187)/FO187*100)</f>
        <v>0</v>
      </c>
      <c r="FR187" s="833"/>
      <c r="FS187" s="833"/>
      <c r="FT187" s="723">
        <f>IF(FR187=0,0,(FS187-FR187)/FR187*100)</f>
        <v>0</v>
      </c>
      <c r="FU187" s="833"/>
      <c r="FV187" s="833"/>
      <c r="FW187" s="723">
        <f>IF(FU187=0,0,(FV187-FU187)/FU187*100)</f>
        <v>0</v>
      </c>
      <c r="FZ187" s="700" t="s">
        <v>1679</v>
      </c>
    </row>
    <row r="188" spans="1:182" ht="14.25" hidden="1" customHeight="1">
      <c r="A188" s="78"/>
      <c r="B188" s="622" t="b" cm="1">
        <f t="array" ref="B188">B187</f>
        <v>0</v>
      </c>
      <c r="C188" s="78"/>
      <c r="D188" s="78"/>
      <c r="E188" s="473">
        <v>15</v>
      </c>
      <c r="F188" s="3" t="str" cm="1">
        <f t="array" aca="1" ref="F188" ca="1">OFFSET(E188,-1,1)</f>
        <v>2</v>
      </c>
      <c r="G188" s="44" t="s">
        <v>1680</v>
      </c>
      <c r="H188" s="78" t="s">
        <v>1661</v>
      </c>
      <c r="I188" s="78" t="s">
        <v>1637</v>
      </c>
      <c r="J188" s="78"/>
      <c r="K188" s="78"/>
      <c r="L188" s="78"/>
      <c r="M188" s="78"/>
      <c r="N188" s="78"/>
      <c r="O188" s="78"/>
      <c r="P188" s="78"/>
      <c r="Q188" s="78"/>
      <c r="R188" s="78"/>
      <c r="S188" s="78"/>
      <c r="T188" s="365" t="b" cm="1">
        <f t="array" aca="1" ref="T188" ca="1">T187</f>
        <v>1</v>
      </c>
      <c r="U188" s="78"/>
      <c r="V188" s="78"/>
      <c r="W188" s="78"/>
      <c r="X188" s="1094"/>
      <c r="Y188" s="78"/>
      <c r="Z188" s="1064"/>
      <c r="AA188" s="78"/>
      <c r="AB188" s="124" t="str">
        <f>"объём "&amp;IF(Q155="Водоснабжение","потребления холодной воды","водоотведения")</f>
        <v>объём водоотведения</v>
      </c>
      <c r="AC188" s="31" t="s">
        <v>534</v>
      </c>
      <c r="AD188" s="849">
        <f ca="1">IF(AND(method_reg="Метод индексации",god&lt;&gt;first_year),SUMIFS(INDEX('Калькуляция (МИ корр)'!$AJ$25:$BC$459,,MATCH(AD$8,'Калькуляция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(МИ)'!$AJ$25:$BC$459,,MATCH(AD$8,'Калькуляция (МИ)'!$AJ$8:$BC$8,0)),'Калькуляция (МИ)'!$F$25:$F$459,$F188,'Калькуляция (МИ)'!$G$25:$G$459,$G188))))</f>
        <v>450.34275000000002</v>
      </c>
      <c r="AE188" s="849">
        <f ca="1">IF(AND(method_reg="Метод индексации",god&lt;&gt;first_year),SUMIFS(INDEX('Калькуляция (МИ корр)'!$AJ$25:$BC$459,,MATCH(AE$8,'Калькуляция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(МИ)'!$AJ$25:$BC$459,,MATCH(AE$8,'Калькуляция (МИ)'!$AJ$8:$BC$8,0)),'Калькуляция (МИ)'!$F$25:$F$459,$F188,'Калькуляция (МИ)'!$G$25:$G$459,$G188))))</f>
        <v>447.88575000000003</v>
      </c>
      <c r="AF188" s="724">
        <f ca="1">IF(AD188=0,0,(AE188-AD188)/AD188*100)</f>
        <v>-0.54558444651323768</v>
      </c>
      <c r="AG188" s="849">
        <f ca="1">IF(AND(method_reg="Метод индексации",god&lt;&gt;first_year),SUMIFS(INDEX('Калькуляция (МИ корр)'!$AJ$25:$BC$459,,MATCH(AG$8,'Калькуляция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(МИ)'!$AJ$25:$BC$459,,MATCH(AG$8,'Калькуляция (МИ)'!$AJ$8:$BC$8,0)),'Калькуляция (МИ)'!$F$25:$F$459,$F188,'Калькуляция (МИ)'!$G$25:$G$459,$G188))))</f>
        <v>0</v>
      </c>
      <c r="AH188" s="849">
        <f ca="1">IF(AND(method_reg="Метод индексации",god&lt;&gt;first_year),SUMIFS(INDEX('Калькуляция (МИ корр)'!$AJ$25:$BC$459,,MATCH(AH$8,'Калькуляция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(МИ)'!$AJ$25:$BC$459,,MATCH(AH$8,'Калькуляция (МИ)'!$AJ$8:$BC$8,0)),'Калькуляция (МИ)'!$F$25:$F$459,$F188,'Калькуляция (МИ)'!$G$25:$G$459,$G188))))</f>
        <v>0</v>
      </c>
      <c r="AI188" s="724">
        <f ca="1">IF(AG188=0,0,(AH188-AG188)/AG188*100)</f>
        <v>0</v>
      </c>
      <c r="AJ188" s="849">
        <f ca="1">IF(AND(method_reg="Метод индексации",god&lt;&gt;first_year),SUMIFS(INDEX('Калькуляция (МИ корр)'!$AJ$25:$BC$459,,MATCH(AJ$8,'Калькуляция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(МИ)'!$AJ$25:$BC$459,,MATCH(AJ$8,'Калькуляция (МИ)'!$AJ$8:$BC$8,0)),'Калькуляция (МИ)'!$F$25:$F$459,$F188,'Калькуляция (МИ)'!$G$25:$G$459,$G188))))</f>
        <v>0</v>
      </c>
      <c r="AK188" s="849">
        <f ca="1">IF(AND(method_reg="Метод индексации",god&lt;&gt;first_year),SUMIFS(INDEX('Калькуляция (МИ корр)'!$AJ$25:$BC$459,,MATCH(AK$8,'Калькуляция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(МИ)'!$AJ$25:$BC$459,,MATCH(AK$8,'Калькуляция (МИ)'!$AJ$8:$BC$8,0)),'Калькуляция (МИ)'!$F$25:$F$459,$F188,'Калькуляция (МИ)'!$G$25:$G$459,$G188))))</f>
        <v>0</v>
      </c>
      <c r="AL188" s="724">
        <f ca="1">IF(AJ188=0,0,(AK188-AJ188)/AJ188*100)</f>
        <v>0</v>
      </c>
      <c r="AM188" s="849">
        <f ca="1">IF(AND(method_reg="Метод индексации",god&lt;&gt;first_year),SUMIFS(INDEX('Калькуляция (МИ корр)'!$AJ$25:$BC$459,,MATCH(AM$8,'Калькуляция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(МИ)'!$AJ$25:$BC$459,,MATCH(AM$8,'Калькуляция (МИ)'!$AJ$8:$BC$8,0)),'Калькуляция (МИ)'!$F$25:$F$459,$F188,'Калькуляция (МИ)'!$G$25:$G$459,$G188))))</f>
        <v>0</v>
      </c>
      <c r="AN188" s="849">
        <f ca="1">IF(AND(method_reg="Метод индексации",god&lt;&gt;first_year),SUMIFS(INDEX('Калькуляция (МИ корр)'!$AJ$25:$BC$459,,MATCH(AN$8,'Калькуляция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(МИ)'!$AJ$25:$BC$459,,MATCH(AN$8,'Калькуляция (МИ)'!$AJ$8:$BC$8,0)),'Калькуляция (МИ)'!$F$25:$F$459,$F188,'Калькуляция (МИ)'!$G$25:$G$459,$G188))))</f>
        <v>0</v>
      </c>
      <c r="AO188" s="724">
        <f ca="1">IF(AM188=0,0,(AN188-AM188)/AM188*100)</f>
        <v>0</v>
      </c>
      <c r="AP188" s="849">
        <f ca="1">IF(AND(method_reg="Метод индексации",god&lt;&gt;first_year),SUMIFS(INDEX('Калькуляция (МИ корр)'!$AJ$25:$BC$459,,MATCH(AP$8,'Калькуляция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(МИ)'!$AJ$25:$BC$459,,MATCH(AP$8,'Калькуляция (МИ)'!$AJ$8:$BC$8,0)),'Калькуляция (МИ)'!$F$25:$F$459,$F188,'Калькуляция (МИ)'!$G$25:$G$459,$G188))))</f>
        <v>0</v>
      </c>
      <c r="AQ188" s="849">
        <f ca="1">IF(AND(method_reg="Метод индексации",god&lt;&gt;first_year),SUMIFS(INDEX('Калькуляция (МИ корр)'!$AJ$25:$BC$459,,MATCH(AQ$8,'Калькуляция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(МИ)'!$AJ$25:$BC$459,,MATCH(AQ$8,'Калькуляция (МИ)'!$AJ$8:$BC$8,0)),'Калькуляция (МИ)'!$F$25:$F$459,$F188,'Калькуляция (МИ)'!$G$25:$G$459,$G188))))</f>
        <v>0</v>
      </c>
      <c r="AR188" s="724">
        <f ca="1">IF(AP188=0,0,(AQ188-AP188)/AP188*100)</f>
        <v>0</v>
      </c>
      <c r="AS188" s="849">
        <f ca="1">IF(AND(method_reg="Метод индексации",god&lt;&gt;first_year),SUMIFS(INDEX('Калькуляция (МИ корр)'!$AJ$25:$BC$459,,MATCH(AS$8,'Калькуляция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(МИ)'!$AJ$25:$BC$459,,MATCH(AS$8,'Калькуляция (МИ)'!$AJ$8:$BC$8,0)),'Калькуляция (МИ)'!$F$25:$F$459,$F188,'Калькуляция (МИ)'!$G$25:$G$459,$G188))))</f>
        <v>0</v>
      </c>
      <c r="AT188" s="849">
        <f ca="1">IF(AND(method_reg="Метод индексации",god&lt;&gt;first_year),SUMIFS(INDEX('Калькуляция (МИ корр)'!$AJ$25:$BC$459,,MATCH(AT$8,'Калькуляция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(МИ)'!$AJ$25:$BC$459,,MATCH(AT$8,'Калькуляция (МИ)'!$AJ$8:$BC$8,0)),'Калькуляция (МИ)'!$F$25:$F$459,$F188,'Калькуляция (МИ)'!$G$25:$G$459,$G188))))</f>
        <v>0</v>
      </c>
      <c r="AU188" s="724">
        <f ca="1">IF(AS188=0,0,(AT188-AS188)/AS188*100)</f>
        <v>0</v>
      </c>
      <c r="AV188" s="849">
        <f ca="1">IF(AND(method_reg="Метод индексации",god&lt;&gt;first_year),SUMIFS(INDEX('Калькуляция (МИ корр)'!$AJ$25:$BC$459,,MATCH(AV$8,'Калькуляция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(МИ)'!$AJ$25:$BC$459,,MATCH(AV$8,'Калькуляция (МИ)'!$AJ$8:$BC$8,0)),'Калькуляция (МИ)'!$F$25:$F$459,$F188,'Калькуляция (МИ)'!$G$25:$G$459,$G188))))</f>
        <v>0</v>
      </c>
      <c r="AW188" s="849">
        <f ca="1">IF(AND(method_reg="Метод индексации",god&lt;&gt;first_year),SUMIFS(INDEX('Калькуляция (МИ корр)'!$AJ$25:$BC$459,,MATCH(AW$8,'Калькуляция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(МИ)'!$AJ$25:$BC$459,,MATCH(AW$8,'Калькуляция (МИ)'!$AJ$8:$BC$8,0)),'Калькуляция (МИ)'!$F$25:$F$459,$F188,'Калькуляция (МИ)'!$G$25:$G$459,$G188))))</f>
        <v>0</v>
      </c>
      <c r="AX188" s="724">
        <f ca="1">IF(AV188=0,0,(AW188-AV188)/AV188*100)</f>
        <v>0</v>
      </c>
      <c r="AY188" s="849">
        <f ca="1">IF(AND(method_reg="Метод индексации",god&lt;&gt;first_year),SUMIFS(INDEX('Калькуляция (МИ корр)'!$AJ$25:$BC$459,,MATCH(AY$8,'Калькуляция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(МИ)'!$AJ$25:$BC$459,,MATCH(AY$8,'Калькуляция (МИ)'!$AJ$8:$BC$8,0)),'Калькуляция (МИ)'!$F$25:$F$459,$F188,'Калькуляция (МИ)'!$G$25:$G$459,$G188))))</f>
        <v>0</v>
      </c>
      <c r="AZ188" s="849">
        <f ca="1">IF(AND(method_reg="Метод индексации",god&lt;&gt;first_year),SUMIFS(INDEX('Калькуляция (МИ корр)'!$AJ$25:$BC$459,,MATCH(AZ$8,'Калькуляция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(МИ)'!$AJ$25:$BC$459,,MATCH(AZ$8,'Калькуляция (МИ)'!$AJ$8:$BC$8,0)),'Калькуляция (МИ)'!$F$25:$F$459,$F188,'Калькуляция (МИ)'!$G$25:$G$459,$G188))))</f>
        <v>0</v>
      </c>
      <c r="BA188" s="724">
        <f ca="1">IF(AY188=0,0,(AZ188-AY188)/AY188*100)</f>
        <v>0</v>
      </c>
      <c r="BB188" s="849">
        <f ca="1">IF(AND(method_reg="Метод индексации",god&lt;&gt;first_year),SUMIFS(INDEX('Калькуляция (МИ корр)'!$AJ$25:$BC$459,,MATCH(BB$8,'Калькуляция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(МИ)'!$AJ$25:$BC$459,,MATCH(BB$8,'Калькуляция (МИ)'!$AJ$8:$BC$8,0)),'Калькуляция (МИ)'!$F$25:$F$459,$F188,'Калькуляция (МИ)'!$G$25:$G$459,$G188))))</f>
        <v>0</v>
      </c>
      <c r="BC188" s="849">
        <f ca="1">IF(AND(method_reg="Метод индексации",god&lt;&gt;first_year),SUMIFS(INDEX('Калькуляция (МИ корр)'!$AJ$25:$BC$459,,MATCH(BC$8,'Калькуляция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(МИ)'!$AJ$25:$BC$459,,MATCH(BC$8,'Калькуляция (МИ)'!$AJ$8:$BC$8,0)),'Калькуляция (МИ)'!$F$25:$F$459,$F188,'Калькуляция (МИ)'!$G$25:$G$459,$G188))))</f>
        <v>0</v>
      </c>
      <c r="BD188" s="724">
        <f ca="1">IF(BB188=0,0,(BC188-BB188)/BB188*100)</f>
        <v>0</v>
      </c>
      <c r="BE188" s="849">
        <f ca="1">IF(AND(method_reg="Метод индексации",god&lt;&gt;first_year),SUMIFS(INDEX('Калькуляция (МИ корр)'!$AJ$25:$BC$459,,MATCH(BE$8,'Калькуляция (МИ корр)'!$AJ$8:$BC$8,0)),'Калькуляция (МИ корр)'!$F$25:$F$459,$F188,'Калькуляция (МИ корр)'!$G$25:$G$459,$G188),IF(method_reg="Метод экономически обоснованных расходов",SUMIFS('Калькуляция (МЭОР)'!$AJ$25:$AJ$282,'Калькуляция (МЭОР)'!$F$25:$F$282,$F188,'Калькуляция (МЭОР)'!$G$25:$G$282,$G188),IF(method_reg="Метод сравнения аналогов",SUMIFS('Калькуляция (МСА)'!$AE$25:$AE$84,'Калькуляция (МСА)'!$F$25:$F$84,$F188,'Калькуляция (МСА)'!$G$25:$G$84,$G188),SUMIFS(INDEX('Калькуляция (МИ)'!$AJ$25:$BC$459,,MATCH(BE$8,'Калькуляция (МИ)'!$AJ$8:$BC$8,0)),'Калькуляция (МИ)'!$F$25:$F$459,$F188,'Калькуляция (МИ)'!$G$25:$G$459,$G188))))</f>
        <v>0</v>
      </c>
      <c r="BF188" s="849">
        <f ca="1">IF(AND(method_reg="Метод индексации",god&lt;&gt;first_year),SUMIFS(INDEX('Калькуляция (МИ корр)'!$AJ$25:$BC$459,,MATCH(BF$8,'Калькуляция (МИ корр)'!$AJ$8:$BC$8,0)),'Калькуляция (МИ корр)'!$F$25:$F$459,$F188,'Калькуляция (МИ корр)'!$G$25:$G$459,$G188),IF(method_reg="Метод экономически обоснованных расходов",SUMIFS('Калькуляция (МЭОР)'!$AK$25:$AK$282,'Калькуляция (МЭОР)'!$F$25:$F$282,$F188,'Калькуляция (МЭОР)'!$G$25:$G$282,$G188),IF(method_reg="Метод сравнения аналогов",SUMIFS('Калькуляция (МСА)'!$AF$25:$AF$84,'Калькуляция (МСА)'!$F$25:$F$84,$F188,'Калькуляция (МСА)'!$G$25:$G$84,$G188),SUMIFS(INDEX('Калькуляция (МИ)'!$AJ$25:$BC$459,,MATCH(BF$8,'Калькуляция (МИ)'!$AJ$8:$BC$8,0)),'Калькуляция (МИ)'!$F$25:$F$459,$F188,'Калькуляция (МИ)'!$G$25:$G$459,$G188))))</f>
        <v>0</v>
      </c>
      <c r="BG188" s="724">
        <f ca="1">IF(BE188=0,0,(BF188-BE188)/BE188*100)</f>
        <v>0</v>
      </c>
      <c r="BH188" s="849"/>
      <c r="BI188" s="849"/>
      <c r="BJ188" s="724">
        <f>IF(BH188=0,0,(BI188-BH188)/BH188*100)</f>
        <v>0</v>
      </c>
      <c r="BK188" s="849"/>
      <c r="BL188" s="849"/>
      <c r="BM188" s="724">
        <f>IF(BK188=0,0,(BL188-BK188)/BK188*100)</f>
        <v>0</v>
      </c>
      <c r="BN188" s="849"/>
      <c r="BO188" s="849"/>
      <c r="BP188" s="724">
        <f>IF(BN188=0,0,(BO188-BN188)/BN188*100)</f>
        <v>0</v>
      </c>
      <c r="BQ188" s="849"/>
      <c r="BR188" s="849"/>
      <c r="BS188" s="724">
        <f>IF(BQ188=0,0,(BR188-BQ188)/BQ188*100)</f>
        <v>0</v>
      </c>
      <c r="BT188" s="849"/>
      <c r="BU188" s="849"/>
      <c r="BV188" s="724">
        <f>IF(BT188=0,0,(BU188-BT188)/BT188*100)</f>
        <v>0</v>
      </c>
      <c r="BW188" s="849"/>
      <c r="BX188" s="849"/>
      <c r="BY188" s="724">
        <f>IF(BW188=0,0,(BX188-BW188)/BW188*100)</f>
        <v>0</v>
      </c>
      <c r="BZ188" s="849"/>
      <c r="CA188" s="849"/>
      <c r="CB188" s="724">
        <f>IF(BZ188=0,0,(CA188-BZ188)/BZ188*100)</f>
        <v>0</v>
      </c>
      <c r="CC188" s="849"/>
      <c r="CD188" s="849"/>
      <c r="CE188" s="724">
        <f>IF(CC188=0,0,(CD188-CC188)/CC188*100)</f>
        <v>0</v>
      </c>
      <c r="CF188" s="849"/>
      <c r="CG188" s="849"/>
      <c r="CH188" s="724">
        <f>IF(CF188=0,0,(CG188-CF188)/CF188*100)</f>
        <v>0</v>
      </c>
      <c r="CI188" s="849"/>
      <c r="CJ188" s="849"/>
      <c r="CK188" s="724">
        <f>IF(CI188=0,0,(CJ188-CI188)/CI188*100)</f>
        <v>0</v>
      </c>
      <c r="CL188" s="849"/>
      <c r="CM188" s="849"/>
      <c r="CN188" s="724">
        <f>IF(CL188=0,0,(CM188-CL188)/CL188*100)</f>
        <v>0</v>
      </c>
      <c r="CO188" s="849"/>
      <c r="CP188" s="849"/>
      <c r="CQ188" s="724">
        <f>IF(CO188=0,0,(CP188-CO188)/CO188*100)</f>
        <v>0</v>
      </c>
      <c r="CR188" s="849"/>
      <c r="CS188" s="849"/>
      <c r="CT188" s="724">
        <f>IF(CR188=0,0,(CS188-CR188)/CR188*100)</f>
        <v>0</v>
      </c>
      <c r="CU188" s="849"/>
      <c r="CV188" s="849"/>
      <c r="CW188" s="724">
        <f>IF(CU188=0,0,(CV188-CU188)/CU188*100)</f>
        <v>0</v>
      </c>
      <c r="CX188" s="849"/>
      <c r="CY188" s="849"/>
      <c r="CZ188" s="724">
        <f>IF(CX188=0,0,(CY188-CX188)/CX188*100)</f>
        <v>0</v>
      </c>
      <c r="DA188" s="849"/>
      <c r="DB188" s="849"/>
      <c r="DC188" s="724">
        <f>IF(DA188=0,0,(DB188-DA188)/DA188*100)</f>
        <v>0</v>
      </c>
      <c r="DD188" s="849"/>
      <c r="DE188" s="849"/>
      <c r="DF188" s="724">
        <f>IF(DD188=0,0,(DE188-DD188)/DD188*100)</f>
        <v>0</v>
      </c>
      <c r="DG188" s="849"/>
      <c r="DH188" s="849"/>
      <c r="DI188" s="724">
        <f>IF(DG188=0,0,(DH188-DG188)/DG188*100)</f>
        <v>0</v>
      </c>
      <c r="DJ188" s="849"/>
      <c r="DK188" s="849"/>
      <c r="DL188" s="724">
        <f>IF(DJ188=0,0,(DK188-DJ188)/DJ188*100)</f>
        <v>0</v>
      </c>
      <c r="DM188" s="849"/>
      <c r="DN188" s="849"/>
      <c r="DO188" s="724">
        <f>IF(DM188=0,0,(DN188-DM188)/DM188*100)</f>
        <v>0</v>
      </c>
      <c r="DP188" s="849"/>
      <c r="DQ188" s="849"/>
      <c r="DR188" s="724">
        <f>IF(DP188=0,0,(DQ188-DP188)/DP188*100)</f>
        <v>0</v>
      </c>
      <c r="DS188" s="849"/>
      <c r="DT188" s="849"/>
      <c r="DU188" s="724">
        <f>IF(DS188=0,0,(DT188-DS188)/DS188*100)</f>
        <v>0</v>
      </c>
      <c r="DV188" s="849"/>
      <c r="DW188" s="849"/>
      <c r="DX188" s="724">
        <f>IF(DV188=0,0,(DW188-DV188)/DV188*100)</f>
        <v>0</v>
      </c>
      <c r="DY188" s="849"/>
      <c r="DZ188" s="849"/>
      <c r="EA188" s="724">
        <f>IF(DY188=0,0,(DZ188-DY188)/DY188*100)</f>
        <v>0</v>
      </c>
      <c r="EB188" s="849"/>
      <c r="EC188" s="849"/>
      <c r="ED188" s="724">
        <f>IF(EB188=0,0,(EC188-EB188)/EB188*100)</f>
        <v>0</v>
      </c>
      <c r="EE188" s="849"/>
      <c r="EF188" s="849"/>
      <c r="EG188" s="724">
        <f>IF(EE188=0,0,(EF188-EE188)/EE188*100)</f>
        <v>0</v>
      </c>
      <c r="EH188" s="849"/>
      <c r="EI188" s="849"/>
      <c r="EJ188" s="724">
        <f>IF(EH188=0,0,(EI188-EH188)/EH188*100)</f>
        <v>0</v>
      </c>
      <c r="EK188" s="849"/>
      <c r="EL188" s="849"/>
      <c r="EM188" s="724">
        <f>IF(EK188=0,0,(EL188-EK188)/EK188*100)</f>
        <v>0</v>
      </c>
      <c r="EN188" s="849"/>
      <c r="EO188" s="849"/>
      <c r="EP188" s="724">
        <f>IF(EN188=0,0,(EO188-EN188)/EN188*100)</f>
        <v>0</v>
      </c>
      <c r="EQ188" s="849"/>
      <c r="ER188" s="849"/>
      <c r="ES188" s="724">
        <f>IF(EQ188=0,0,(ER188-EQ188)/EQ188*100)</f>
        <v>0</v>
      </c>
      <c r="ET188" s="849"/>
      <c r="EU188" s="849"/>
      <c r="EV188" s="724">
        <f>IF(ET188=0,0,(EU188-ET188)/ET188*100)</f>
        <v>0</v>
      </c>
      <c r="EW188" s="849"/>
      <c r="EX188" s="849"/>
      <c r="EY188" s="724">
        <f>IF(EW188=0,0,(EX188-EW188)/EW188*100)</f>
        <v>0</v>
      </c>
      <c r="EZ188" s="849"/>
      <c r="FA188" s="849"/>
      <c r="FB188" s="724">
        <f>IF(EZ188=0,0,(FA188-EZ188)/EZ188*100)</f>
        <v>0</v>
      </c>
      <c r="FC188" s="849"/>
      <c r="FD188" s="849"/>
      <c r="FE188" s="724">
        <f>IF(FC188=0,0,(FD188-FC188)/FC188*100)</f>
        <v>0</v>
      </c>
      <c r="FF188" s="849"/>
      <c r="FG188" s="849"/>
      <c r="FH188" s="724">
        <f>IF(FF188=0,0,(FG188-FF188)/FF188*100)</f>
        <v>0</v>
      </c>
      <c r="FI188" s="849"/>
      <c r="FJ188" s="849"/>
      <c r="FK188" s="724">
        <f>IF(FI188=0,0,(FJ188-FI188)/FI188*100)</f>
        <v>0</v>
      </c>
      <c r="FL188" s="849"/>
      <c r="FM188" s="849"/>
      <c r="FN188" s="724">
        <f>IF(FL188=0,0,(FM188-FL188)/FL188*100)</f>
        <v>0</v>
      </c>
      <c r="FO188" s="849"/>
      <c r="FP188" s="849"/>
      <c r="FQ188" s="724">
        <f>IF(FO188=0,0,(FP188-FO188)/FO188*100)</f>
        <v>0</v>
      </c>
      <c r="FR188" s="849"/>
      <c r="FS188" s="849"/>
      <c r="FT188" s="724">
        <f>IF(FR188=0,0,(FS188-FR188)/FR188*100)</f>
        <v>0</v>
      </c>
      <c r="FU188" s="849"/>
      <c r="FV188" s="849"/>
      <c r="FW188" s="724">
        <f>IF(FU188=0,0,(FV188-FU188)/FU188*100)</f>
        <v>0</v>
      </c>
      <c r="FZ188" s="700" t="s">
        <v>1681</v>
      </c>
    </row>
    <row r="189" spans="1:182" ht="21.75" hidden="1" customHeight="1">
      <c r="A189" s="78"/>
      <c r="B189" s="622" t="b" cm="1">
        <f t="array" ref="B189">B188</f>
        <v>0</v>
      </c>
      <c r="C189" s="78"/>
      <c r="D189" s="78"/>
      <c r="E189" s="473">
        <v>22.5</v>
      </c>
      <c r="F189" s="3" t="str" cm="1">
        <f t="array" aca="1" ref="F189" ca="1">OFFSET(E189,-1,1)</f>
        <v>2</v>
      </c>
      <c r="G189" s="78"/>
      <c r="H189" s="78" t="s">
        <v>1663</v>
      </c>
      <c r="I189" s="78" t="s">
        <v>1637</v>
      </c>
      <c r="J189" s="78"/>
      <c r="K189" s="78"/>
      <c r="L189" s="78"/>
      <c r="M189" s="78"/>
      <c r="N189" s="78"/>
      <c r="O189" s="78"/>
      <c r="P189" s="78"/>
      <c r="Q189" s="78"/>
      <c r="R189" s="78"/>
      <c r="S189" s="78"/>
      <c r="T189" s="365" t="b" cm="1">
        <f t="array" aca="1" ref="T189" ca="1">T188</f>
        <v>1</v>
      </c>
      <c r="U189" s="78"/>
      <c r="V189" s="78"/>
      <c r="W189" s="78"/>
      <c r="X189" s="1094"/>
      <c r="Y189" s="78"/>
      <c r="Z189" s="1064"/>
      <c r="AA189" s="78"/>
      <c r="AB189" s="12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31" t="s">
        <v>1664</v>
      </c>
      <c r="AD189" s="833"/>
      <c r="AE189" s="833"/>
      <c r="AF189" s="723">
        <f>IF(AD189=0,0,(AE189-AD189)/AD189*100)</f>
        <v>0</v>
      </c>
      <c r="AG189" s="833"/>
      <c r="AH189" s="833"/>
      <c r="AI189" s="723">
        <f>IF(AG189=0,0,(AH189-AG189)/AG189*100)</f>
        <v>0</v>
      </c>
      <c r="AJ189" s="833"/>
      <c r="AK189" s="833"/>
      <c r="AL189" s="723">
        <f>IF(AJ189=0,0,(AK189-AJ189)/AJ189*100)</f>
        <v>0</v>
      </c>
      <c r="AM189" s="833"/>
      <c r="AN189" s="833"/>
      <c r="AO189" s="723">
        <f>IF(AM189=0,0,(AN189-AM189)/AM189*100)</f>
        <v>0</v>
      </c>
      <c r="AP189" s="833"/>
      <c r="AQ189" s="833"/>
      <c r="AR189" s="723">
        <f>IF(AP189=0,0,(AQ189-AP189)/AP189*100)</f>
        <v>0</v>
      </c>
      <c r="AS189" s="833"/>
      <c r="AT189" s="833"/>
      <c r="AU189" s="723">
        <f>IF(AS189=0,0,(AT189-AS189)/AS189*100)</f>
        <v>0</v>
      </c>
      <c r="AV189" s="833"/>
      <c r="AW189" s="833"/>
      <c r="AX189" s="723">
        <f>IF(AV189=0,0,(AW189-AV189)/AV189*100)</f>
        <v>0</v>
      </c>
      <c r="AY189" s="833"/>
      <c r="AZ189" s="833"/>
      <c r="BA189" s="723">
        <f>IF(AY189=0,0,(AZ189-AY189)/AY189*100)</f>
        <v>0</v>
      </c>
      <c r="BB189" s="833"/>
      <c r="BC189" s="833"/>
      <c r="BD189" s="723">
        <f>IF(BB189=0,0,(BC189-BB189)/BB189*100)</f>
        <v>0</v>
      </c>
      <c r="BE189" s="833"/>
      <c r="BF189" s="833"/>
      <c r="BG189" s="723">
        <f>IF(BE189=0,0,(BF189-BE189)/BE189*100)</f>
        <v>0</v>
      </c>
      <c r="BH189" s="833"/>
      <c r="BI189" s="833"/>
      <c r="BJ189" s="723">
        <f>IF(BH189=0,0,(BI189-BH189)/BH189*100)</f>
        <v>0</v>
      </c>
      <c r="BK189" s="833"/>
      <c r="BL189" s="833"/>
      <c r="BM189" s="723">
        <f>IF(BK189=0,0,(BL189-BK189)/BK189*100)</f>
        <v>0</v>
      </c>
      <c r="BN189" s="833"/>
      <c r="BO189" s="833"/>
      <c r="BP189" s="723">
        <f>IF(BN189=0,0,(BO189-BN189)/BN189*100)</f>
        <v>0</v>
      </c>
      <c r="BQ189" s="833"/>
      <c r="BR189" s="833"/>
      <c r="BS189" s="723">
        <f>IF(BQ189=0,0,(BR189-BQ189)/BQ189*100)</f>
        <v>0</v>
      </c>
      <c r="BT189" s="833"/>
      <c r="BU189" s="833"/>
      <c r="BV189" s="723">
        <f>IF(BT189=0,0,(BU189-BT189)/BT189*100)</f>
        <v>0</v>
      </c>
      <c r="BW189" s="833"/>
      <c r="BX189" s="833"/>
      <c r="BY189" s="723">
        <f>IF(BW189=0,0,(BX189-BW189)/BW189*100)</f>
        <v>0</v>
      </c>
      <c r="BZ189" s="833"/>
      <c r="CA189" s="833"/>
      <c r="CB189" s="723">
        <f>IF(BZ189=0,0,(CA189-BZ189)/BZ189*100)</f>
        <v>0</v>
      </c>
      <c r="CC189" s="833"/>
      <c r="CD189" s="833"/>
      <c r="CE189" s="723">
        <f>IF(CC189=0,0,(CD189-CC189)/CC189*100)</f>
        <v>0</v>
      </c>
      <c r="CF189" s="833"/>
      <c r="CG189" s="833"/>
      <c r="CH189" s="723">
        <f>IF(CF189=0,0,(CG189-CF189)/CF189*100)</f>
        <v>0</v>
      </c>
      <c r="CI189" s="833"/>
      <c r="CJ189" s="833"/>
      <c r="CK189" s="723">
        <f>IF(CI189=0,0,(CJ189-CI189)/CI189*100)</f>
        <v>0</v>
      </c>
      <c r="CL189" s="833"/>
      <c r="CM189" s="833"/>
      <c r="CN189" s="723">
        <f>IF(CL189=0,0,(CM189-CL189)/CL189*100)</f>
        <v>0</v>
      </c>
      <c r="CO189" s="833"/>
      <c r="CP189" s="833"/>
      <c r="CQ189" s="723">
        <f>IF(CO189=0,0,(CP189-CO189)/CO189*100)</f>
        <v>0</v>
      </c>
      <c r="CR189" s="833"/>
      <c r="CS189" s="833"/>
      <c r="CT189" s="723">
        <f>IF(CR189=0,0,(CS189-CR189)/CR189*100)</f>
        <v>0</v>
      </c>
      <c r="CU189" s="833"/>
      <c r="CV189" s="833"/>
      <c r="CW189" s="723">
        <f>IF(CU189=0,0,(CV189-CU189)/CU189*100)</f>
        <v>0</v>
      </c>
      <c r="CX189" s="833"/>
      <c r="CY189" s="833"/>
      <c r="CZ189" s="723">
        <f>IF(CX189=0,0,(CY189-CX189)/CX189*100)</f>
        <v>0</v>
      </c>
      <c r="DA189" s="833"/>
      <c r="DB189" s="833"/>
      <c r="DC189" s="723">
        <f>IF(DA189=0,0,(DB189-DA189)/DA189*100)</f>
        <v>0</v>
      </c>
      <c r="DD189" s="833"/>
      <c r="DE189" s="833"/>
      <c r="DF189" s="723">
        <f>IF(DD189=0,0,(DE189-DD189)/DD189*100)</f>
        <v>0</v>
      </c>
      <c r="DG189" s="833"/>
      <c r="DH189" s="833"/>
      <c r="DI189" s="723">
        <f>IF(DG189=0,0,(DH189-DG189)/DG189*100)</f>
        <v>0</v>
      </c>
      <c r="DJ189" s="833"/>
      <c r="DK189" s="833"/>
      <c r="DL189" s="723">
        <f>IF(DJ189=0,0,(DK189-DJ189)/DJ189*100)</f>
        <v>0</v>
      </c>
      <c r="DM189" s="833"/>
      <c r="DN189" s="833"/>
      <c r="DO189" s="723">
        <f>IF(DM189=0,0,(DN189-DM189)/DM189*100)</f>
        <v>0</v>
      </c>
      <c r="DP189" s="833"/>
      <c r="DQ189" s="833"/>
      <c r="DR189" s="723">
        <f>IF(DP189=0,0,(DQ189-DP189)/DP189*100)</f>
        <v>0</v>
      </c>
      <c r="DS189" s="833"/>
      <c r="DT189" s="833"/>
      <c r="DU189" s="723">
        <f>IF(DS189=0,0,(DT189-DS189)/DS189*100)</f>
        <v>0</v>
      </c>
      <c r="DV189" s="833"/>
      <c r="DW189" s="833"/>
      <c r="DX189" s="723">
        <f>IF(DV189=0,0,(DW189-DV189)/DV189*100)</f>
        <v>0</v>
      </c>
      <c r="DY189" s="833"/>
      <c r="DZ189" s="833"/>
      <c r="EA189" s="723">
        <f>IF(DY189=0,0,(DZ189-DY189)/DY189*100)</f>
        <v>0</v>
      </c>
      <c r="EB189" s="833"/>
      <c r="EC189" s="833"/>
      <c r="ED189" s="723">
        <f>IF(EB189=0,0,(EC189-EB189)/EB189*100)</f>
        <v>0</v>
      </c>
      <c r="EE189" s="833"/>
      <c r="EF189" s="833"/>
      <c r="EG189" s="723">
        <f>IF(EE189=0,0,(EF189-EE189)/EE189*100)</f>
        <v>0</v>
      </c>
      <c r="EH189" s="833"/>
      <c r="EI189" s="833"/>
      <c r="EJ189" s="723">
        <f>IF(EH189=0,0,(EI189-EH189)/EH189*100)</f>
        <v>0</v>
      </c>
      <c r="EK189" s="833"/>
      <c r="EL189" s="833"/>
      <c r="EM189" s="723">
        <f>IF(EK189=0,0,(EL189-EK189)/EK189*100)</f>
        <v>0</v>
      </c>
      <c r="EN189" s="833"/>
      <c r="EO189" s="833"/>
      <c r="EP189" s="723">
        <f>IF(EN189=0,0,(EO189-EN189)/EN189*100)</f>
        <v>0</v>
      </c>
      <c r="EQ189" s="833"/>
      <c r="ER189" s="833"/>
      <c r="ES189" s="723">
        <f>IF(EQ189=0,0,(ER189-EQ189)/EQ189*100)</f>
        <v>0</v>
      </c>
      <c r="ET189" s="833"/>
      <c r="EU189" s="833"/>
      <c r="EV189" s="723">
        <f>IF(ET189=0,0,(EU189-ET189)/ET189*100)</f>
        <v>0</v>
      </c>
      <c r="EW189" s="833"/>
      <c r="EX189" s="833"/>
      <c r="EY189" s="723">
        <f>IF(EW189=0,0,(EX189-EW189)/EW189*100)</f>
        <v>0</v>
      </c>
      <c r="EZ189" s="833"/>
      <c r="FA189" s="833"/>
      <c r="FB189" s="723">
        <f>IF(EZ189=0,0,(FA189-EZ189)/EZ189*100)</f>
        <v>0</v>
      </c>
      <c r="FC189" s="833"/>
      <c r="FD189" s="833"/>
      <c r="FE189" s="723">
        <f>IF(FC189=0,0,(FD189-FC189)/FC189*100)</f>
        <v>0</v>
      </c>
      <c r="FF189" s="833"/>
      <c r="FG189" s="833"/>
      <c r="FH189" s="723">
        <f>IF(FF189=0,0,(FG189-FF189)/FF189*100)</f>
        <v>0</v>
      </c>
      <c r="FI189" s="833"/>
      <c r="FJ189" s="833"/>
      <c r="FK189" s="723">
        <f>IF(FI189=0,0,(FJ189-FI189)/FI189*100)</f>
        <v>0</v>
      </c>
      <c r="FL189" s="833"/>
      <c r="FM189" s="833"/>
      <c r="FN189" s="723">
        <f>IF(FL189=0,0,(FM189-FL189)/FL189*100)</f>
        <v>0</v>
      </c>
      <c r="FO189" s="833"/>
      <c r="FP189" s="833"/>
      <c r="FQ189" s="723">
        <f>IF(FO189=0,0,(FP189-FO189)/FO189*100)</f>
        <v>0</v>
      </c>
      <c r="FR189" s="833"/>
      <c r="FS189" s="833"/>
      <c r="FT189" s="723">
        <f>IF(FR189=0,0,(FS189-FR189)/FR189*100)</f>
        <v>0</v>
      </c>
      <c r="FU189" s="833"/>
      <c r="FV189" s="833"/>
      <c r="FW189" s="723">
        <f>IF(FU189=0,0,(FV189-FU189)/FU189*100)</f>
        <v>0</v>
      </c>
      <c r="FZ189" s="700" t="s">
        <v>1682</v>
      </c>
    </row>
    <row r="190" spans="1:182" ht="14.25" hidden="1" customHeight="1">
      <c r="A190" s="78"/>
      <c r="B190" s="622" t="b" cm="1">
        <f t="array" ref="B190">B189</f>
        <v>0</v>
      </c>
      <c r="C190" s="78"/>
      <c r="D190" s="78"/>
      <c r="E190" s="473">
        <v>15</v>
      </c>
      <c r="F190" s="3" t="str" cm="1">
        <f t="array" aca="1" ref="F190" ca="1">OFFSET(E190,-1,1)</f>
        <v>2</v>
      </c>
      <c r="G190" s="78"/>
      <c r="H190" s="78" t="s">
        <v>1666</v>
      </c>
      <c r="I190" s="78" t="s">
        <v>1637</v>
      </c>
      <c r="J190" s="78"/>
      <c r="K190" s="78"/>
      <c r="L190" s="78"/>
      <c r="M190" s="78"/>
      <c r="N190" s="78"/>
      <c r="O190" s="78"/>
      <c r="P190" s="78"/>
      <c r="Q190" s="78"/>
      <c r="R190" s="78"/>
      <c r="S190" s="78"/>
      <c r="T190" s="365" t="b" cm="1">
        <f t="array" aca="1" ref="T190" ca="1">T189</f>
        <v>1</v>
      </c>
      <c r="U190" s="78"/>
      <c r="V190" s="78"/>
      <c r="W190" s="78"/>
      <c r="X190" s="1094"/>
      <c r="Y190" s="78"/>
      <c r="Z190" s="1064"/>
      <c r="AA190" s="78"/>
      <c r="AB190" s="124" t="s">
        <v>1667</v>
      </c>
      <c r="AC190" s="31" t="s">
        <v>1668</v>
      </c>
      <c r="AD190" s="833"/>
      <c r="AE190" s="833"/>
      <c r="AF190" s="723">
        <f>IF(AD190=0,0,(AE190-AD190)/AD190*100)</f>
        <v>0</v>
      </c>
      <c r="AG190" s="833"/>
      <c r="AH190" s="833"/>
      <c r="AI190" s="723">
        <f>IF(AG190=0,0,(AH190-AG190)/AG190*100)</f>
        <v>0</v>
      </c>
      <c r="AJ190" s="833"/>
      <c r="AK190" s="833"/>
      <c r="AL190" s="723">
        <f>IF(AJ190=0,0,(AK190-AJ190)/AJ190*100)</f>
        <v>0</v>
      </c>
      <c r="AM190" s="833"/>
      <c r="AN190" s="833"/>
      <c r="AO190" s="723">
        <f>IF(AM190=0,0,(AN190-AM190)/AM190*100)</f>
        <v>0</v>
      </c>
      <c r="AP190" s="833"/>
      <c r="AQ190" s="833"/>
      <c r="AR190" s="723">
        <f>IF(AP190=0,0,(AQ190-AP190)/AP190*100)</f>
        <v>0</v>
      </c>
      <c r="AS190" s="833"/>
      <c r="AT190" s="833"/>
      <c r="AU190" s="723">
        <f>IF(AS190=0,0,(AT190-AS190)/AS190*100)</f>
        <v>0</v>
      </c>
      <c r="AV190" s="833"/>
      <c r="AW190" s="833"/>
      <c r="AX190" s="723">
        <f>IF(AV190=0,0,(AW190-AV190)/AV190*100)</f>
        <v>0</v>
      </c>
      <c r="AY190" s="833"/>
      <c r="AZ190" s="833"/>
      <c r="BA190" s="723">
        <f>IF(AY190=0,0,(AZ190-AY190)/AY190*100)</f>
        <v>0</v>
      </c>
      <c r="BB190" s="833"/>
      <c r="BC190" s="833"/>
      <c r="BD190" s="723">
        <f>IF(BB190=0,0,(BC190-BB190)/BB190*100)</f>
        <v>0</v>
      </c>
      <c r="BE190" s="833"/>
      <c r="BF190" s="833"/>
      <c r="BG190" s="723">
        <f>IF(BE190=0,0,(BF190-BE190)/BE190*100)</f>
        <v>0</v>
      </c>
      <c r="BH190" s="833"/>
      <c r="BI190" s="833"/>
      <c r="BJ190" s="723">
        <f>IF(BH190=0,0,(BI190-BH190)/BH190*100)</f>
        <v>0</v>
      </c>
      <c r="BK190" s="833"/>
      <c r="BL190" s="833"/>
      <c r="BM190" s="723">
        <f>IF(BK190=0,0,(BL190-BK190)/BK190*100)</f>
        <v>0</v>
      </c>
      <c r="BN190" s="833"/>
      <c r="BO190" s="833"/>
      <c r="BP190" s="723">
        <f>IF(BN190=0,0,(BO190-BN190)/BN190*100)</f>
        <v>0</v>
      </c>
      <c r="BQ190" s="833"/>
      <c r="BR190" s="833"/>
      <c r="BS190" s="723">
        <f>IF(BQ190=0,0,(BR190-BQ190)/BQ190*100)</f>
        <v>0</v>
      </c>
      <c r="BT190" s="833"/>
      <c r="BU190" s="833"/>
      <c r="BV190" s="723">
        <f>IF(BT190=0,0,(BU190-BT190)/BT190*100)</f>
        <v>0</v>
      </c>
      <c r="BW190" s="833"/>
      <c r="BX190" s="833"/>
      <c r="BY190" s="723">
        <f>IF(BW190=0,0,(BX190-BW190)/BW190*100)</f>
        <v>0</v>
      </c>
      <c r="BZ190" s="833"/>
      <c r="CA190" s="833"/>
      <c r="CB190" s="723">
        <f>IF(BZ190=0,0,(CA190-BZ190)/BZ190*100)</f>
        <v>0</v>
      </c>
      <c r="CC190" s="833"/>
      <c r="CD190" s="833"/>
      <c r="CE190" s="723">
        <f>IF(CC190=0,0,(CD190-CC190)/CC190*100)</f>
        <v>0</v>
      </c>
      <c r="CF190" s="833"/>
      <c r="CG190" s="833"/>
      <c r="CH190" s="723">
        <f>IF(CF190=0,0,(CG190-CF190)/CF190*100)</f>
        <v>0</v>
      </c>
      <c r="CI190" s="833"/>
      <c r="CJ190" s="833"/>
      <c r="CK190" s="723">
        <f>IF(CI190=0,0,(CJ190-CI190)/CI190*100)</f>
        <v>0</v>
      </c>
      <c r="CL190" s="833"/>
      <c r="CM190" s="833"/>
      <c r="CN190" s="723">
        <f>IF(CL190=0,0,(CM190-CL190)/CL190*100)</f>
        <v>0</v>
      </c>
      <c r="CO190" s="833"/>
      <c r="CP190" s="833"/>
      <c r="CQ190" s="723">
        <f>IF(CO190=0,0,(CP190-CO190)/CO190*100)</f>
        <v>0</v>
      </c>
      <c r="CR190" s="833"/>
      <c r="CS190" s="833"/>
      <c r="CT190" s="723">
        <f>IF(CR190=0,0,(CS190-CR190)/CR190*100)</f>
        <v>0</v>
      </c>
      <c r="CU190" s="833"/>
      <c r="CV190" s="833"/>
      <c r="CW190" s="723">
        <f>IF(CU190=0,0,(CV190-CU190)/CU190*100)</f>
        <v>0</v>
      </c>
      <c r="CX190" s="833"/>
      <c r="CY190" s="833"/>
      <c r="CZ190" s="723">
        <f>IF(CX190=0,0,(CY190-CX190)/CX190*100)</f>
        <v>0</v>
      </c>
      <c r="DA190" s="833"/>
      <c r="DB190" s="833"/>
      <c r="DC190" s="723">
        <f>IF(DA190=0,0,(DB190-DA190)/DA190*100)</f>
        <v>0</v>
      </c>
      <c r="DD190" s="833"/>
      <c r="DE190" s="833"/>
      <c r="DF190" s="723">
        <f>IF(DD190=0,0,(DE190-DD190)/DD190*100)</f>
        <v>0</v>
      </c>
      <c r="DG190" s="833"/>
      <c r="DH190" s="833"/>
      <c r="DI190" s="723">
        <f>IF(DG190=0,0,(DH190-DG190)/DG190*100)</f>
        <v>0</v>
      </c>
      <c r="DJ190" s="833"/>
      <c r="DK190" s="833"/>
      <c r="DL190" s="723">
        <f>IF(DJ190=0,0,(DK190-DJ190)/DJ190*100)</f>
        <v>0</v>
      </c>
      <c r="DM190" s="833"/>
      <c r="DN190" s="833"/>
      <c r="DO190" s="723">
        <f>IF(DM190=0,0,(DN190-DM190)/DM190*100)</f>
        <v>0</v>
      </c>
      <c r="DP190" s="833"/>
      <c r="DQ190" s="833"/>
      <c r="DR190" s="723">
        <f>IF(DP190=0,0,(DQ190-DP190)/DP190*100)</f>
        <v>0</v>
      </c>
      <c r="DS190" s="833"/>
      <c r="DT190" s="833"/>
      <c r="DU190" s="723">
        <f>IF(DS190=0,0,(DT190-DS190)/DS190*100)</f>
        <v>0</v>
      </c>
      <c r="DV190" s="833"/>
      <c r="DW190" s="833"/>
      <c r="DX190" s="723">
        <f>IF(DV190=0,0,(DW190-DV190)/DV190*100)</f>
        <v>0</v>
      </c>
      <c r="DY190" s="833"/>
      <c r="DZ190" s="833"/>
      <c r="EA190" s="723">
        <f>IF(DY190=0,0,(DZ190-DY190)/DY190*100)</f>
        <v>0</v>
      </c>
      <c r="EB190" s="833"/>
      <c r="EC190" s="833"/>
      <c r="ED190" s="723">
        <f>IF(EB190=0,0,(EC190-EB190)/EB190*100)</f>
        <v>0</v>
      </c>
      <c r="EE190" s="833"/>
      <c r="EF190" s="833"/>
      <c r="EG190" s="723">
        <f>IF(EE190=0,0,(EF190-EE190)/EE190*100)</f>
        <v>0</v>
      </c>
      <c r="EH190" s="833"/>
      <c r="EI190" s="833"/>
      <c r="EJ190" s="723">
        <f>IF(EH190=0,0,(EI190-EH190)/EH190*100)</f>
        <v>0</v>
      </c>
      <c r="EK190" s="833"/>
      <c r="EL190" s="833"/>
      <c r="EM190" s="723">
        <f>IF(EK190=0,0,(EL190-EK190)/EK190*100)</f>
        <v>0</v>
      </c>
      <c r="EN190" s="833"/>
      <c r="EO190" s="833"/>
      <c r="EP190" s="723">
        <f>IF(EN190=0,0,(EO190-EN190)/EN190*100)</f>
        <v>0</v>
      </c>
      <c r="EQ190" s="833"/>
      <c r="ER190" s="833"/>
      <c r="ES190" s="723">
        <f>IF(EQ190=0,0,(ER190-EQ190)/EQ190*100)</f>
        <v>0</v>
      </c>
      <c r="ET190" s="833"/>
      <c r="EU190" s="833"/>
      <c r="EV190" s="723">
        <f>IF(ET190=0,0,(EU190-ET190)/ET190*100)</f>
        <v>0</v>
      </c>
      <c r="EW190" s="833"/>
      <c r="EX190" s="833"/>
      <c r="EY190" s="723">
        <f>IF(EW190=0,0,(EX190-EW190)/EW190*100)</f>
        <v>0</v>
      </c>
      <c r="EZ190" s="833"/>
      <c r="FA190" s="833"/>
      <c r="FB190" s="723">
        <f>IF(EZ190=0,0,(FA190-EZ190)/EZ190*100)</f>
        <v>0</v>
      </c>
      <c r="FC190" s="833"/>
      <c r="FD190" s="833"/>
      <c r="FE190" s="723">
        <f>IF(FC190=0,0,(FD190-FC190)/FC190*100)</f>
        <v>0</v>
      </c>
      <c r="FF190" s="833"/>
      <c r="FG190" s="833"/>
      <c r="FH190" s="723">
        <f>IF(FF190=0,0,(FG190-FF190)/FF190*100)</f>
        <v>0</v>
      </c>
      <c r="FI190" s="833"/>
      <c r="FJ190" s="833"/>
      <c r="FK190" s="723">
        <f>IF(FI190=0,0,(FJ190-FI190)/FI190*100)</f>
        <v>0</v>
      </c>
      <c r="FL190" s="833"/>
      <c r="FM190" s="833"/>
      <c r="FN190" s="723">
        <f>IF(FL190=0,0,(FM190-FL190)/FL190*100)</f>
        <v>0</v>
      </c>
      <c r="FO190" s="833"/>
      <c r="FP190" s="833"/>
      <c r="FQ190" s="723">
        <f>IF(FO190=0,0,(FP190-FO190)/FO190*100)</f>
        <v>0</v>
      </c>
      <c r="FR190" s="833"/>
      <c r="FS190" s="833"/>
      <c r="FT190" s="723">
        <f>IF(FR190=0,0,(FS190-FR190)/FR190*100)</f>
        <v>0</v>
      </c>
      <c r="FU190" s="833"/>
      <c r="FV190" s="833"/>
      <c r="FW190" s="723">
        <f>IF(FU190=0,0,(FV190-FU190)/FU190*100)</f>
        <v>0</v>
      </c>
      <c r="FZ190" s="700" t="s">
        <v>1683</v>
      </c>
    </row>
    <row r="191" spans="1:182" ht="23.25" hidden="1" customHeight="1">
      <c r="A191" s="78"/>
      <c r="B191" s="622" t="b" cm="1">
        <f t="array" ref="B191">B190</f>
        <v>0</v>
      </c>
      <c r="C191" s="78"/>
      <c r="D191" s="78"/>
      <c r="E191" s="473">
        <v>24.5</v>
      </c>
      <c r="F191" s="3" t="str" cm="1">
        <f t="array" aca="1" ref="F191" ca="1">OFFSET(E191,-1,1)</f>
        <v>2</v>
      </c>
      <c r="G191" s="78"/>
      <c r="H191" s="78"/>
      <c r="I191" s="78"/>
      <c r="J191" s="78"/>
      <c r="K191" s="78"/>
      <c r="L191" s="78"/>
      <c r="M191" s="78"/>
      <c r="N191" s="78"/>
      <c r="O191" s="78"/>
      <c r="P191" s="78"/>
      <c r="Q191" s="78"/>
      <c r="R191" s="78"/>
      <c r="S191" s="78"/>
      <c r="T191" s="365" t="b" cm="1">
        <f t="array" aca="1" ref="T191" ca="1">T190</f>
        <v>1</v>
      </c>
      <c r="U191" s="78"/>
      <c r="V191" s="78"/>
      <c r="W191" s="78"/>
      <c r="X191" s="1094"/>
      <c r="Y191" s="78"/>
      <c r="Z191" s="1064"/>
      <c r="AA191" s="78"/>
      <c r="AB191" s="220" t="s">
        <v>1684</v>
      </c>
      <c r="AC191" s="606"/>
      <c r="AD191" s="727"/>
      <c r="AE191" s="727"/>
      <c r="AF191" s="727"/>
      <c r="AG191" s="727"/>
      <c r="AH191" s="727"/>
      <c r="AI191" s="727"/>
      <c r="AJ191" s="727"/>
      <c r="AK191" s="727"/>
      <c r="AL191" s="727"/>
      <c r="AM191" s="727"/>
      <c r="AN191" s="727"/>
      <c r="AO191" s="727"/>
      <c r="AP191" s="727"/>
      <c r="AQ191" s="727"/>
      <c r="AR191" s="727"/>
      <c r="AS191" s="727"/>
      <c r="AT191" s="727"/>
      <c r="AU191" s="727"/>
      <c r="AV191" s="727"/>
      <c r="AW191" s="727"/>
      <c r="AX191" s="727"/>
      <c r="AY191" s="727"/>
      <c r="AZ191" s="727"/>
      <c r="BA191" s="727"/>
      <c r="BB191" s="727"/>
      <c r="BC191" s="727"/>
      <c r="BD191" s="727"/>
      <c r="BE191" s="727"/>
      <c r="BF191" s="727"/>
      <c r="BG191" s="727"/>
      <c r="BH191" s="727"/>
      <c r="BI191" s="727"/>
      <c r="BJ191" s="727"/>
      <c r="BK191" s="727"/>
      <c r="BL191" s="727"/>
      <c r="BM191" s="727"/>
      <c r="BN191" s="727"/>
      <c r="BO191" s="727"/>
      <c r="BP191" s="727"/>
      <c r="BQ191" s="727"/>
      <c r="BR191" s="727"/>
      <c r="BS191" s="727"/>
      <c r="BT191" s="727"/>
      <c r="BU191" s="727"/>
      <c r="BV191" s="727"/>
      <c r="BW191" s="727"/>
      <c r="BX191" s="727"/>
      <c r="BY191" s="727"/>
      <c r="BZ191" s="727"/>
      <c r="CA191" s="727"/>
      <c r="CB191" s="727"/>
      <c r="CC191" s="727"/>
      <c r="CD191" s="727"/>
      <c r="CE191" s="727"/>
      <c r="CF191" s="727"/>
      <c r="CG191" s="727"/>
      <c r="CH191" s="727"/>
      <c r="CI191" s="727"/>
      <c r="CJ191" s="727"/>
      <c r="CK191" s="727"/>
      <c r="CL191" s="727"/>
      <c r="CM191" s="727"/>
      <c r="CN191" s="727"/>
      <c r="CO191" s="727"/>
      <c r="CP191" s="727"/>
      <c r="CQ191" s="727"/>
      <c r="CR191" s="727"/>
      <c r="CS191" s="727"/>
      <c r="CT191" s="727"/>
      <c r="CU191" s="727"/>
      <c r="CV191" s="727"/>
      <c r="CW191" s="727"/>
      <c r="CX191" s="727"/>
      <c r="CY191" s="727"/>
      <c r="CZ191" s="727"/>
      <c r="DA191" s="727"/>
      <c r="DB191" s="727"/>
      <c r="DC191" s="727"/>
      <c r="DD191" s="727"/>
      <c r="DE191" s="727"/>
      <c r="DF191" s="727"/>
      <c r="DG191" s="727"/>
      <c r="DH191" s="727"/>
      <c r="DI191" s="727"/>
      <c r="DJ191" s="727"/>
      <c r="DK191" s="727"/>
      <c r="DL191" s="727"/>
      <c r="DM191" s="727"/>
      <c r="DN191" s="727"/>
      <c r="DO191" s="727"/>
      <c r="DP191" s="727"/>
      <c r="DQ191" s="727"/>
      <c r="DR191" s="727"/>
      <c r="DS191" s="727"/>
      <c r="DT191" s="727"/>
      <c r="DU191" s="727"/>
      <c r="DV191" s="727"/>
      <c r="DW191" s="727"/>
      <c r="DX191" s="727"/>
      <c r="DY191" s="727"/>
      <c r="DZ191" s="727"/>
      <c r="EA191" s="727"/>
      <c r="EB191" s="727"/>
      <c r="EC191" s="727"/>
      <c r="ED191" s="727"/>
      <c r="EE191" s="727"/>
      <c r="EF191" s="727"/>
      <c r="EG191" s="727"/>
      <c r="EH191" s="727"/>
      <c r="EI191" s="727"/>
      <c r="EJ191" s="727"/>
      <c r="EK191" s="727"/>
      <c r="EL191" s="727"/>
      <c r="EM191" s="727"/>
      <c r="EN191" s="727"/>
      <c r="EO191" s="727"/>
      <c r="EP191" s="727"/>
      <c r="EQ191" s="727"/>
      <c r="ER191" s="727"/>
      <c r="ES191" s="727"/>
      <c r="ET191" s="727"/>
      <c r="EU191" s="727"/>
      <c r="EV191" s="727"/>
      <c r="EW191" s="727"/>
      <c r="EX191" s="727"/>
      <c r="EY191" s="727"/>
      <c r="EZ191" s="727"/>
      <c r="FA191" s="727"/>
      <c r="FB191" s="727"/>
      <c r="FC191" s="727"/>
      <c r="FD191" s="727"/>
      <c r="FE191" s="727"/>
      <c r="FF191" s="727"/>
      <c r="FG191" s="727"/>
      <c r="FH191" s="727"/>
      <c r="FI191" s="727"/>
      <c r="FJ191" s="727"/>
      <c r="FK191" s="727"/>
      <c r="FL191" s="727"/>
      <c r="FM191" s="727"/>
      <c r="FN191" s="727"/>
      <c r="FO191" s="727"/>
      <c r="FP191" s="727"/>
      <c r="FQ191" s="727"/>
      <c r="FR191" s="727"/>
      <c r="FS191" s="727"/>
      <c r="FT191" s="727"/>
      <c r="FU191" s="727"/>
      <c r="FV191" s="727"/>
      <c r="FW191" s="728"/>
      <c r="FZ191" s="700"/>
    </row>
    <row r="192" spans="1:182" ht="14.25" hidden="1" customHeight="1">
      <c r="A192" s="78"/>
      <c r="B192" s="622" t="b" cm="1">
        <f t="array" ref="B192">B191</f>
        <v>0</v>
      </c>
      <c r="C192" s="78"/>
      <c r="D192" s="78"/>
      <c r="E192" s="473">
        <v>15</v>
      </c>
      <c r="F192" s="3" t="str" cm="1">
        <f t="array" aca="1" ref="F192" ca="1">OFFSET(E192,-1,1)</f>
        <v>2</v>
      </c>
      <c r="G192" s="78"/>
      <c r="H192" s="78" t="s">
        <v>1562</v>
      </c>
      <c r="I192" s="78" t="s">
        <v>1641</v>
      </c>
      <c r="J192" s="78"/>
      <c r="K192" s="78"/>
      <c r="L192" s="78"/>
      <c r="M192" s="78"/>
      <c r="N192" s="78"/>
      <c r="O192" s="78"/>
      <c r="P192" s="78"/>
      <c r="Q192" s="78"/>
      <c r="R192" s="78"/>
      <c r="S192" s="78"/>
      <c r="T192" s="365" t="b" cm="1">
        <f t="array" aca="1" ref="T192" ca="1">T191</f>
        <v>1</v>
      </c>
      <c r="U192" s="78"/>
      <c r="V192" s="78"/>
      <c r="W192" s="78"/>
      <c r="X192" s="1094"/>
      <c r="Y192" s="78"/>
      <c r="Z192" s="1064"/>
      <c r="AA192" s="78"/>
      <c r="AB192" s="124" t="s">
        <v>1657</v>
      </c>
      <c r="AC192" s="31" t="s">
        <v>1624</v>
      </c>
      <c r="AD192" s="833">
        <f ca="1">IF(AD194=0,0,(AD193*AD194+AD195*AD196*IF(god=2026,3,6))/AD194)</f>
        <v>0</v>
      </c>
      <c r="AE192" s="833">
        <f ca="1">IF(AE194=0,0,(AE193*AE194+AE195*AE196*IF(god=2026,3,6))/AE194)</f>
        <v>0</v>
      </c>
      <c r="AF192" s="723">
        <f ca="1">IF(AD192=0,0,(AE192-AD192)/AD192*100)</f>
        <v>0</v>
      </c>
      <c r="AG192" s="833">
        <f ca="1">IF(AG194=0,0,(AG193*AG194+AG195*AG196*IF(god=2025,3,6))/AG194)</f>
        <v>0</v>
      </c>
      <c r="AH192" s="833">
        <f ca="1">IF(AH194=0,0,(AH193*AH194+AH195*AH196*IF(god=2025,3,6))/AH194)</f>
        <v>0</v>
      </c>
      <c r="AI192" s="723">
        <f ca="1">IF(AG192=0,0,(AH192-AG192)/AG192*100)</f>
        <v>0</v>
      </c>
      <c r="AJ192" s="833">
        <f ca="1">IF(AJ194=0,0,(AJ193*AJ194+AJ195*AJ196*6)/AJ194)</f>
        <v>0</v>
      </c>
      <c r="AK192" s="833">
        <f ca="1">IF(AK194=0,0,(AK193*AK194+AK195*AK196*6)/AK194)</f>
        <v>0</v>
      </c>
      <c r="AL192" s="723">
        <f ca="1">IF(AJ192=0,0,(AK192-AJ192)/AJ192*100)</f>
        <v>0</v>
      </c>
      <c r="AM192" s="833">
        <f ca="1">IF(AM194=0,0,(AM193*AM194+AM195*AM196*6)/AM194)</f>
        <v>0</v>
      </c>
      <c r="AN192" s="833">
        <f ca="1">IF(AN194=0,0,(AN193*AN194+AN195*AN196*6)/AN194)</f>
        <v>0</v>
      </c>
      <c r="AO192" s="723">
        <f ca="1">IF(AM192=0,0,(AN192-AM192)/AM192*100)</f>
        <v>0</v>
      </c>
      <c r="AP192" s="833">
        <f ca="1">IF(AP194=0,0,(AP193*AP194+AP195*AP196*6)/AP194)</f>
        <v>0</v>
      </c>
      <c r="AQ192" s="833">
        <f ca="1">IF(AQ194=0,0,(AQ193*AQ194+AQ195*AQ196*6)/AQ194)</f>
        <v>0</v>
      </c>
      <c r="AR192" s="723">
        <f ca="1">IF(AP192=0,0,(AQ192-AP192)/AP192*100)</f>
        <v>0</v>
      </c>
      <c r="AS192" s="833">
        <f ca="1">IF(AS194=0,0,(AS193*AS194+AS195*AS196*6)/AS194)</f>
        <v>0</v>
      </c>
      <c r="AT192" s="833">
        <f ca="1">IF(AT194=0,0,(AT193*AT194+AT195*AT196*6)/AT194)</f>
        <v>0</v>
      </c>
      <c r="AU192" s="723">
        <f ca="1">IF(AS192=0,0,(AT192-AS192)/AS192*100)</f>
        <v>0</v>
      </c>
      <c r="AV192" s="833">
        <f ca="1">IF(AV194=0,0,(AV193*AV194+AV195*AV196*6)/AV194)</f>
        <v>0</v>
      </c>
      <c r="AW192" s="833">
        <f ca="1">IF(AW194=0,0,(AW193*AW194+AW195*AW196*6)/AW194)</f>
        <v>0</v>
      </c>
      <c r="AX192" s="723">
        <f ca="1">IF(AV192=0,0,(AW192-AV192)/AV192*100)</f>
        <v>0</v>
      </c>
      <c r="AY192" s="833">
        <f ca="1">IF(AY194=0,0,(AY193*AY194+AY195*AY196*6)/AY194)</f>
        <v>0</v>
      </c>
      <c r="AZ192" s="833">
        <f ca="1">IF(AZ194=0,0,(AZ193*AZ194+AZ195*AZ196*6)/AZ194)</f>
        <v>0</v>
      </c>
      <c r="BA192" s="723">
        <f ca="1">IF(AY192=0,0,(AZ192-AY192)/AY192*100)</f>
        <v>0</v>
      </c>
      <c r="BB192" s="833">
        <f ca="1">IF(BB194=0,0,(BB193*BB194+BB195*BB196*6)/BB194)</f>
        <v>0</v>
      </c>
      <c r="BC192" s="833">
        <f ca="1">IF(BC194=0,0,(BC193*BC194+BC195*BC196*6)/BC194)</f>
        <v>0</v>
      </c>
      <c r="BD192" s="723">
        <f ca="1">IF(BB192=0,0,(BC192-BB192)/BB192*100)</f>
        <v>0</v>
      </c>
      <c r="BE192" s="833">
        <f ca="1">IF(BE194=0,0,(BE193*BE194+BE195*BE196*6)/BE194)</f>
        <v>0</v>
      </c>
      <c r="BF192" s="833">
        <f ca="1">IF(BF194=0,0,(BF193*BF194+BF195*BF196*6)/BF194)</f>
        <v>0</v>
      </c>
      <c r="BG192" s="723">
        <f ca="1">IF(BE192=0,0,(BF192-BE192)/BE192*100)</f>
        <v>0</v>
      </c>
      <c r="BH192" s="833">
        <f>IF(BH194=0,0,(BH193*BH194+BH195*BH196*6)/BH194)</f>
        <v>0</v>
      </c>
      <c r="BI192" s="833">
        <f>IF(BI194=0,0,(BI193*BI194+BI195*BI196*6)/BI194)</f>
        <v>0</v>
      </c>
      <c r="BJ192" s="723">
        <f>IF(BH192=0,0,(BI192-BH192)/BH192*100)</f>
        <v>0</v>
      </c>
      <c r="BK192" s="833">
        <f>IF(BK194=0,0,(BK193*BK194+BK195*BK196*6)/BK194)</f>
        <v>0</v>
      </c>
      <c r="BL192" s="833">
        <f>IF(BL194=0,0,(BL193*BL194+BL195*BL196*6)/BL194)</f>
        <v>0</v>
      </c>
      <c r="BM192" s="723">
        <f>IF(BK192=0,0,(BL192-BK192)/BK192*100)</f>
        <v>0</v>
      </c>
      <c r="BN192" s="833">
        <f>IF(BN194=0,0,(BN193*BN194+BN195*BN196*6)/BN194)</f>
        <v>0</v>
      </c>
      <c r="BO192" s="833">
        <f>IF(BO194=0,0,(BO193*BO194+BO195*BO196*6)/BO194)</f>
        <v>0</v>
      </c>
      <c r="BP192" s="723">
        <f>IF(BN192=0,0,(BO192-BN192)/BN192*100)</f>
        <v>0</v>
      </c>
      <c r="BQ192" s="833">
        <f>IF(BQ194=0,0,(BQ193*BQ194+BQ195*BQ196*6)/BQ194)</f>
        <v>0</v>
      </c>
      <c r="BR192" s="833">
        <f>IF(BR194=0,0,(BR193*BR194+BR195*BR196*6)/BR194)</f>
        <v>0</v>
      </c>
      <c r="BS192" s="723">
        <f>IF(BQ192=0,0,(BR192-BQ192)/BQ192*100)</f>
        <v>0</v>
      </c>
      <c r="BT192" s="833">
        <f>IF(BT194=0,0,(BT193*BT194+BT195*BT196*6)/BT194)</f>
        <v>0</v>
      </c>
      <c r="BU192" s="833">
        <f>IF(BU194=0,0,(BU193*BU194+BU195*BU196*6)/BU194)</f>
        <v>0</v>
      </c>
      <c r="BV192" s="723">
        <f>IF(BT192=0,0,(BU192-BT192)/BT192*100)</f>
        <v>0</v>
      </c>
      <c r="BW192" s="833">
        <f>IF(BW194=0,0,(BW193*BW194+BW195*BW196*6)/BW194)</f>
        <v>0</v>
      </c>
      <c r="BX192" s="833">
        <f>IF(BX194=0,0,(BX193*BX194+BX195*BX196*6)/BX194)</f>
        <v>0</v>
      </c>
      <c r="BY192" s="723">
        <f>IF(BW192=0,0,(BX192-BW192)/BW192*100)</f>
        <v>0</v>
      </c>
      <c r="BZ192" s="833">
        <f>IF(BZ194=0,0,(BZ193*BZ194+BZ195*BZ196*6)/BZ194)</f>
        <v>0</v>
      </c>
      <c r="CA192" s="833">
        <f>IF(CA194=0,0,(CA193*CA194+CA195*CA196*6)/CA194)</f>
        <v>0</v>
      </c>
      <c r="CB192" s="723">
        <f>IF(BZ192=0,0,(CA192-BZ192)/BZ192*100)</f>
        <v>0</v>
      </c>
      <c r="CC192" s="833">
        <f>IF(CC194=0,0,(CC193*CC194+CC195*CC196*6)/CC194)</f>
        <v>0</v>
      </c>
      <c r="CD192" s="833">
        <f>IF(CD194=0,0,(CD193*CD194+CD195*CD196*6)/CD194)</f>
        <v>0</v>
      </c>
      <c r="CE192" s="723">
        <f>IF(CC192=0,0,(CD192-CC192)/CC192*100)</f>
        <v>0</v>
      </c>
      <c r="CF192" s="833">
        <f>IF(CF194=0,0,(CF193*CF194+CF195*CF196*6)/CF194)</f>
        <v>0</v>
      </c>
      <c r="CG192" s="833">
        <f>IF(CG194=0,0,(CG193*CG194+CG195*CG196*6)/CG194)</f>
        <v>0</v>
      </c>
      <c r="CH192" s="723">
        <f>IF(CF192=0,0,(CG192-CF192)/CF192*100)</f>
        <v>0</v>
      </c>
      <c r="CI192" s="833">
        <f>IF(CI194=0,0,(CI193*CI194+CI195*CI196*6)/CI194)</f>
        <v>0</v>
      </c>
      <c r="CJ192" s="833">
        <f>IF(CJ194=0,0,(CJ193*CJ194+CJ195*CJ196*6)/CJ194)</f>
        <v>0</v>
      </c>
      <c r="CK192" s="723">
        <f>IF(CI192=0,0,(CJ192-CI192)/CI192*100)</f>
        <v>0</v>
      </c>
      <c r="CL192" s="833">
        <f>IF(CL194=0,0,(CL193*CL194+CL195*CL196*6)/CL194)</f>
        <v>0</v>
      </c>
      <c r="CM192" s="833">
        <f>IF(CM194=0,0,(CM193*CM194+CM195*CM196*6)/CM194)</f>
        <v>0</v>
      </c>
      <c r="CN192" s="723">
        <f>IF(CL192=0,0,(CM192-CL192)/CL192*100)</f>
        <v>0</v>
      </c>
      <c r="CO192" s="833">
        <f>IF(CO194=0,0,(CO193*CO194+CO195*CO196*6)/CO194)</f>
        <v>0</v>
      </c>
      <c r="CP192" s="833">
        <f>IF(CP194=0,0,(CP193*CP194+CP195*CP196*6)/CP194)</f>
        <v>0</v>
      </c>
      <c r="CQ192" s="723">
        <f>IF(CO192=0,0,(CP192-CO192)/CO192*100)</f>
        <v>0</v>
      </c>
      <c r="CR192" s="833">
        <f>IF(CR194=0,0,(CR193*CR194+CR195*CR196*6)/CR194)</f>
        <v>0</v>
      </c>
      <c r="CS192" s="833">
        <f>IF(CS194=0,0,(CS193*CS194+CS195*CS196*6)/CS194)</f>
        <v>0</v>
      </c>
      <c r="CT192" s="723">
        <f>IF(CR192=0,0,(CS192-CR192)/CR192*100)</f>
        <v>0</v>
      </c>
      <c r="CU192" s="833">
        <f>IF(CU194=0,0,(CU193*CU194+CU195*CU196*6)/CU194)</f>
        <v>0</v>
      </c>
      <c r="CV192" s="833">
        <f>IF(CV194=0,0,(CV193*CV194+CV195*CV196*6)/CV194)</f>
        <v>0</v>
      </c>
      <c r="CW192" s="723">
        <f>IF(CU192=0,0,(CV192-CU192)/CU192*100)</f>
        <v>0</v>
      </c>
      <c r="CX192" s="833">
        <f>IF(CX194=0,0,(CX193*CX194+CX195*CX196*6)/CX194)</f>
        <v>0</v>
      </c>
      <c r="CY192" s="833">
        <f>IF(CY194=0,0,(CY193*CY194+CY195*CY196*6)/CY194)</f>
        <v>0</v>
      </c>
      <c r="CZ192" s="723">
        <f>IF(CX192=0,0,(CY192-CX192)/CX192*100)</f>
        <v>0</v>
      </c>
      <c r="DA192" s="833">
        <f>IF(DA194=0,0,(DA193*DA194+DA195*DA196*6)/DA194)</f>
        <v>0</v>
      </c>
      <c r="DB192" s="833">
        <f>IF(DB194=0,0,(DB193*DB194+DB195*DB196*6)/DB194)</f>
        <v>0</v>
      </c>
      <c r="DC192" s="723">
        <f>IF(DA192=0,0,(DB192-DA192)/DA192*100)</f>
        <v>0</v>
      </c>
      <c r="DD192" s="833">
        <f>IF(DD194=0,0,(DD193*DD194+DD195*DD196*6)/DD194)</f>
        <v>0</v>
      </c>
      <c r="DE192" s="833">
        <f>IF(DE194=0,0,(DE193*DE194+DE195*DE196*6)/DE194)</f>
        <v>0</v>
      </c>
      <c r="DF192" s="723">
        <f>IF(DD192=0,0,(DE192-DD192)/DD192*100)</f>
        <v>0</v>
      </c>
      <c r="DG192" s="833">
        <f>IF(DG194=0,0,(DG193*DG194+DG195*DG196*6)/DG194)</f>
        <v>0</v>
      </c>
      <c r="DH192" s="833">
        <f>IF(DH194=0,0,(DH193*DH194+DH195*DH196*6)/DH194)</f>
        <v>0</v>
      </c>
      <c r="DI192" s="723">
        <f>IF(DG192=0,0,(DH192-DG192)/DG192*100)</f>
        <v>0</v>
      </c>
      <c r="DJ192" s="833">
        <f>IF(DJ194=0,0,(DJ193*DJ194+DJ195*DJ196*6)/DJ194)</f>
        <v>0</v>
      </c>
      <c r="DK192" s="833">
        <f>IF(DK194=0,0,(DK193*DK194+DK195*DK196*6)/DK194)</f>
        <v>0</v>
      </c>
      <c r="DL192" s="723">
        <f>IF(DJ192=0,0,(DK192-DJ192)/DJ192*100)</f>
        <v>0</v>
      </c>
      <c r="DM192" s="833">
        <f>IF(DM194=0,0,(DM193*DM194+DM195*DM196*6)/DM194)</f>
        <v>0</v>
      </c>
      <c r="DN192" s="833">
        <f>IF(DN194=0,0,(DN193*DN194+DN195*DN196*6)/DN194)</f>
        <v>0</v>
      </c>
      <c r="DO192" s="723">
        <f>IF(DM192=0,0,(DN192-DM192)/DM192*100)</f>
        <v>0</v>
      </c>
      <c r="DP192" s="833">
        <f>IF(DP194=0,0,(DP193*DP194+DP195*DP196*6)/DP194)</f>
        <v>0</v>
      </c>
      <c r="DQ192" s="833">
        <f>IF(DQ194=0,0,(DQ193*DQ194+DQ195*DQ196*6)/DQ194)</f>
        <v>0</v>
      </c>
      <c r="DR192" s="723">
        <f>IF(DP192=0,0,(DQ192-DP192)/DP192*100)</f>
        <v>0</v>
      </c>
      <c r="DS192" s="833">
        <f>IF(DS194=0,0,(DS193*DS194+DS195*DS196*6)/DS194)</f>
        <v>0</v>
      </c>
      <c r="DT192" s="833">
        <f>IF(DT194=0,0,(DT193*DT194+DT195*DT196*6)/DT194)</f>
        <v>0</v>
      </c>
      <c r="DU192" s="723">
        <f>IF(DS192=0,0,(DT192-DS192)/DS192*100)</f>
        <v>0</v>
      </c>
      <c r="DV192" s="833">
        <f>IF(DV194=0,0,(DV193*DV194+DV195*DV196*6)/DV194)</f>
        <v>0</v>
      </c>
      <c r="DW192" s="833">
        <f>IF(DW194=0,0,(DW193*DW194+DW195*DW196*6)/DW194)</f>
        <v>0</v>
      </c>
      <c r="DX192" s="723">
        <f>IF(DV192=0,0,(DW192-DV192)/DV192*100)</f>
        <v>0</v>
      </c>
      <c r="DY192" s="833">
        <f>IF(DY194=0,0,(DY193*DY194+DY195*DY196*6)/DY194)</f>
        <v>0</v>
      </c>
      <c r="DZ192" s="833">
        <f>IF(DZ194=0,0,(DZ193*DZ194+DZ195*DZ196*6)/DZ194)</f>
        <v>0</v>
      </c>
      <c r="EA192" s="723">
        <f>IF(DY192=0,0,(DZ192-DY192)/DY192*100)</f>
        <v>0</v>
      </c>
      <c r="EB192" s="833">
        <f>IF(EB194=0,0,(EB193*EB194+EB195*EB196*6)/EB194)</f>
        <v>0</v>
      </c>
      <c r="EC192" s="833">
        <f>IF(EC194=0,0,(EC193*EC194+EC195*EC196*6)/EC194)</f>
        <v>0</v>
      </c>
      <c r="ED192" s="723">
        <f>IF(EB192=0,0,(EC192-EB192)/EB192*100)</f>
        <v>0</v>
      </c>
      <c r="EE192" s="833">
        <f>IF(EE194=0,0,(EE193*EE194+EE195*EE196*6)/EE194)</f>
        <v>0</v>
      </c>
      <c r="EF192" s="833">
        <f>IF(EF194=0,0,(EF193*EF194+EF195*EF196*6)/EF194)</f>
        <v>0</v>
      </c>
      <c r="EG192" s="723">
        <f>IF(EE192=0,0,(EF192-EE192)/EE192*100)</f>
        <v>0</v>
      </c>
      <c r="EH192" s="833">
        <f>IF(EH194=0,0,(EH193*EH194+EH195*EH196*6)/EH194)</f>
        <v>0</v>
      </c>
      <c r="EI192" s="833">
        <f>IF(EI194=0,0,(EI193*EI194+EI195*EI196*6)/EI194)</f>
        <v>0</v>
      </c>
      <c r="EJ192" s="723">
        <f>IF(EH192=0,0,(EI192-EH192)/EH192*100)</f>
        <v>0</v>
      </c>
      <c r="EK192" s="833">
        <f>IF(EK194=0,0,(EK193*EK194+EK195*EK196*6)/EK194)</f>
        <v>0</v>
      </c>
      <c r="EL192" s="833">
        <f>IF(EL194=0,0,(EL193*EL194+EL195*EL196*6)/EL194)</f>
        <v>0</v>
      </c>
      <c r="EM192" s="723">
        <f>IF(EK192=0,0,(EL192-EK192)/EK192*100)</f>
        <v>0</v>
      </c>
      <c r="EN192" s="833">
        <f>IF(EN194=0,0,(EN193*EN194+EN195*EN196*6)/EN194)</f>
        <v>0</v>
      </c>
      <c r="EO192" s="833">
        <f>IF(EO194=0,0,(EO193*EO194+EO195*EO196*6)/EO194)</f>
        <v>0</v>
      </c>
      <c r="EP192" s="723">
        <f>IF(EN192=0,0,(EO192-EN192)/EN192*100)</f>
        <v>0</v>
      </c>
      <c r="EQ192" s="833">
        <f>IF(EQ194=0,0,(EQ193*EQ194+EQ195*EQ196*6)/EQ194)</f>
        <v>0</v>
      </c>
      <c r="ER192" s="833">
        <f>IF(ER194=0,0,(ER193*ER194+ER195*ER196*6)/ER194)</f>
        <v>0</v>
      </c>
      <c r="ES192" s="723">
        <f>IF(EQ192=0,0,(ER192-EQ192)/EQ192*100)</f>
        <v>0</v>
      </c>
      <c r="ET192" s="833">
        <f>IF(ET194=0,0,(ET193*ET194+ET195*ET196*6)/ET194)</f>
        <v>0</v>
      </c>
      <c r="EU192" s="833">
        <f>IF(EU194=0,0,(EU193*EU194+EU195*EU196*6)/EU194)</f>
        <v>0</v>
      </c>
      <c r="EV192" s="723">
        <f>IF(ET192=0,0,(EU192-ET192)/ET192*100)</f>
        <v>0</v>
      </c>
      <c r="EW192" s="833">
        <f>IF(EW194=0,0,(EW193*EW194+EW195*EW196*6)/EW194)</f>
        <v>0</v>
      </c>
      <c r="EX192" s="833">
        <f>IF(EX194=0,0,(EX193*EX194+EX195*EX196*6)/EX194)</f>
        <v>0</v>
      </c>
      <c r="EY192" s="723">
        <f>IF(EW192=0,0,(EX192-EW192)/EW192*100)</f>
        <v>0</v>
      </c>
      <c r="EZ192" s="833">
        <f>IF(EZ194=0,0,(EZ193*EZ194+EZ195*EZ196*6)/EZ194)</f>
        <v>0</v>
      </c>
      <c r="FA192" s="833">
        <f>IF(FA194=0,0,(FA193*FA194+FA195*FA196*6)/FA194)</f>
        <v>0</v>
      </c>
      <c r="FB192" s="723">
        <f>IF(EZ192=0,0,(FA192-EZ192)/EZ192*100)</f>
        <v>0</v>
      </c>
      <c r="FC192" s="833">
        <f>IF(FC194=0,0,(FC193*FC194+FC195*FC196*6)/FC194)</f>
        <v>0</v>
      </c>
      <c r="FD192" s="833">
        <f>IF(FD194=0,0,(FD193*FD194+FD195*FD196*6)/FD194)</f>
        <v>0</v>
      </c>
      <c r="FE192" s="723">
        <f>IF(FC192=0,0,(FD192-FC192)/FC192*100)</f>
        <v>0</v>
      </c>
      <c r="FF192" s="833">
        <f>IF(FF194=0,0,(FF193*FF194+FF195*FF196*6)/FF194)</f>
        <v>0</v>
      </c>
      <c r="FG192" s="833">
        <f>IF(FG194=0,0,(FG193*FG194+FG195*FG196*6)/FG194)</f>
        <v>0</v>
      </c>
      <c r="FH192" s="723">
        <f>IF(FF192=0,0,(FG192-FF192)/FF192*100)</f>
        <v>0</v>
      </c>
      <c r="FI192" s="833">
        <f>IF(FI194=0,0,(FI193*FI194+FI195*FI196*6)/FI194)</f>
        <v>0</v>
      </c>
      <c r="FJ192" s="833">
        <f>IF(FJ194=0,0,(FJ193*FJ194+FJ195*FJ196*6)/FJ194)</f>
        <v>0</v>
      </c>
      <c r="FK192" s="723">
        <f>IF(FI192=0,0,(FJ192-FI192)/FI192*100)</f>
        <v>0</v>
      </c>
      <c r="FL192" s="833">
        <f>IF(FL194=0,0,(FL193*FL194+FL195*FL196*6)/FL194)</f>
        <v>0</v>
      </c>
      <c r="FM192" s="833">
        <f>IF(FM194=0,0,(FM193*FM194+FM195*FM196*6)/FM194)</f>
        <v>0</v>
      </c>
      <c r="FN192" s="723">
        <f>IF(FL192=0,0,(FM192-FL192)/FL192*100)</f>
        <v>0</v>
      </c>
      <c r="FO192" s="833">
        <f>IF(FO194=0,0,(FO193*FO194+FO195*FO196*6)/FO194)</f>
        <v>0</v>
      </c>
      <c r="FP192" s="833">
        <f>IF(FP194=0,0,(FP193*FP194+FP195*FP196*6)/FP194)</f>
        <v>0</v>
      </c>
      <c r="FQ192" s="723">
        <f>IF(FO192=0,0,(FP192-FO192)/FO192*100)</f>
        <v>0</v>
      </c>
      <c r="FR192" s="833">
        <f>IF(FR194=0,0,(FR193*FR194+FR195*FR196*6)/FR194)</f>
        <v>0</v>
      </c>
      <c r="FS192" s="833">
        <f>IF(FS194=0,0,(FS193*FS194+FS195*FS196*6)/FS194)</f>
        <v>0</v>
      </c>
      <c r="FT192" s="723">
        <f>IF(FR192=0,0,(FS192-FR192)/FR192*100)</f>
        <v>0</v>
      </c>
      <c r="FU192" s="833">
        <f>IF(FU194=0,0,(FU193*FU194+FU195*FU196*6)/FU194)</f>
        <v>0</v>
      </c>
      <c r="FV192" s="833">
        <f>IF(FV194=0,0,(FV193*FV194+FV195*FV196*6)/FV194)</f>
        <v>0</v>
      </c>
      <c r="FW192" s="723">
        <f>IF(FU192=0,0,(FV192-FU192)/FU192*100)</f>
        <v>0</v>
      </c>
      <c r="FZ192" s="700" t="s">
        <v>1685</v>
      </c>
    </row>
    <row r="193" spans="1:186" ht="14.25" hidden="1" customHeight="1">
      <c r="A193" s="78"/>
      <c r="B193" s="622" t="b" cm="1">
        <f t="array" ref="B193">B192</f>
        <v>0</v>
      </c>
      <c r="C193" s="78"/>
      <c r="D193" s="78"/>
      <c r="E193" s="473">
        <v>15</v>
      </c>
      <c r="F193" s="3" t="str" cm="1">
        <f t="array" aca="1" ref="F193" ca="1">OFFSET(E193,-1,1)</f>
        <v>2</v>
      </c>
      <c r="G193" s="78"/>
      <c r="H193" s="78" t="s">
        <v>1566</v>
      </c>
      <c r="I193" s="78" t="s">
        <v>1641</v>
      </c>
      <c r="J193" s="78"/>
      <c r="K193" s="78"/>
      <c r="L193" s="78"/>
      <c r="M193" s="78"/>
      <c r="N193" s="78"/>
      <c r="O193" s="78"/>
      <c r="P193" s="78"/>
      <c r="Q193" s="78"/>
      <c r="R193" s="78"/>
      <c r="S193" s="78"/>
      <c r="T193" s="365" t="b" cm="1">
        <f t="array" aca="1" ref="T193" ca="1">T192</f>
        <v>1</v>
      </c>
      <c r="U193" s="78"/>
      <c r="V193" s="78"/>
      <c r="W193" s="78"/>
      <c r="X193" s="1094"/>
      <c r="Y193" s="78"/>
      <c r="Z193" s="1064"/>
      <c r="AA193" s="78"/>
      <c r="AB193" s="124" t="str">
        <f>"ставка платы за "&amp;IF(Q155="Водоснабжение","потребление 1 куб.м холодной воды","объем принятых сточных вод")</f>
        <v>ставка платы за объем принятых сточных вод</v>
      </c>
      <c r="AC193" s="31" t="s">
        <v>1624</v>
      </c>
      <c r="AD193" s="833"/>
      <c r="AE193" s="833"/>
      <c r="AF193" s="723">
        <f>IF(AD193=0,0,(AE193-AD193)/AD193*100)</f>
        <v>0</v>
      </c>
      <c r="AG193" s="833"/>
      <c r="AH193" s="833"/>
      <c r="AI193" s="723">
        <f>IF(AG193=0,0,(AH193-AG193)/AG193*100)</f>
        <v>0</v>
      </c>
      <c r="AJ193" s="833"/>
      <c r="AK193" s="833"/>
      <c r="AL193" s="723">
        <f>IF(AJ193=0,0,(AK193-AJ193)/AJ193*100)</f>
        <v>0</v>
      </c>
      <c r="AM193" s="833"/>
      <c r="AN193" s="833"/>
      <c r="AO193" s="723">
        <f>IF(AM193=0,0,(AN193-AM193)/AM193*100)</f>
        <v>0</v>
      </c>
      <c r="AP193" s="833"/>
      <c r="AQ193" s="833"/>
      <c r="AR193" s="723">
        <f>IF(AP193=0,0,(AQ193-AP193)/AP193*100)</f>
        <v>0</v>
      </c>
      <c r="AS193" s="833"/>
      <c r="AT193" s="833"/>
      <c r="AU193" s="723">
        <f>IF(AS193=0,0,(AT193-AS193)/AS193*100)</f>
        <v>0</v>
      </c>
      <c r="AV193" s="833"/>
      <c r="AW193" s="833"/>
      <c r="AX193" s="723">
        <f>IF(AV193=0,0,(AW193-AV193)/AV193*100)</f>
        <v>0</v>
      </c>
      <c r="AY193" s="833"/>
      <c r="AZ193" s="833"/>
      <c r="BA193" s="723">
        <f>IF(AY193=0,0,(AZ193-AY193)/AY193*100)</f>
        <v>0</v>
      </c>
      <c r="BB193" s="833"/>
      <c r="BC193" s="833"/>
      <c r="BD193" s="723">
        <f>IF(BB193=0,0,(BC193-BB193)/BB193*100)</f>
        <v>0</v>
      </c>
      <c r="BE193" s="833"/>
      <c r="BF193" s="833"/>
      <c r="BG193" s="723">
        <f>IF(BE193=0,0,(BF193-BE193)/BE193*100)</f>
        <v>0</v>
      </c>
      <c r="BH193" s="833"/>
      <c r="BI193" s="833"/>
      <c r="BJ193" s="723">
        <f>IF(BH193=0,0,(BI193-BH193)/BH193*100)</f>
        <v>0</v>
      </c>
      <c r="BK193" s="833"/>
      <c r="BL193" s="833"/>
      <c r="BM193" s="723">
        <f>IF(BK193=0,0,(BL193-BK193)/BK193*100)</f>
        <v>0</v>
      </c>
      <c r="BN193" s="833"/>
      <c r="BO193" s="833"/>
      <c r="BP193" s="723">
        <f>IF(BN193=0,0,(BO193-BN193)/BN193*100)</f>
        <v>0</v>
      </c>
      <c r="BQ193" s="833"/>
      <c r="BR193" s="833"/>
      <c r="BS193" s="723">
        <f>IF(BQ193=0,0,(BR193-BQ193)/BQ193*100)</f>
        <v>0</v>
      </c>
      <c r="BT193" s="833"/>
      <c r="BU193" s="833"/>
      <c r="BV193" s="723">
        <f>IF(BT193=0,0,(BU193-BT193)/BT193*100)</f>
        <v>0</v>
      </c>
      <c r="BW193" s="833"/>
      <c r="BX193" s="833"/>
      <c r="BY193" s="723">
        <f>IF(BW193=0,0,(BX193-BW193)/BW193*100)</f>
        <v>0</v>
      </c>
      <c r="BZ193" s="833"/>
      <c r="CA193" s="833"/>
      <c r="CB193" s="723">
        <f>IF(BZ193=0,0,(CA193-BZ193)/BZ193*100)</f>
        <v>0</v>
      </c>
      <c r="CC193" s="833"/>
      <c r="CD193" s="833"/>
      <c r="CE193" s="723">
        <f>IF(CC193=0,0,(CD193-CC193)/CC193*100)</f>
        <v>0</v>
      </c>
      <c r="CF193" s="833"/>
      <c r="CG193" s="833"/>
      <c r="CH193" s="723">
        <f>IF(CF193=0,0,(CG193-CF193)/CF193*100)</f>
        <v>0</v>
      </c>
      <c r="CI193" s="833"/>
      <c r="CJ193" s="833"/>
      <c r="CK193" s="723">
        <f>IF(CI193=0,0,(CJ193-CI193)/CI193*100)</f>
        <v>0</v>
      </c>
      <c r="CL193" s="833"/>
      <c r="CM193" s="833"/>
      <c r="CN193" s="723">
        <f>IF(CL193=0,0,(CM193-CL193)/CL193*100)</f>
        <v>0</v>
      </c>
      <c r="CO193" s="833"/>
      <c r="CP193" s="833"/>
      <c r="CQ193" s="723">
        <f>IF(CO193=0,0,(CP193-CO193)/CO193*100)</f>
        <v>0</v>
      </c>
      <c r="CR193" s="833"/>
      <c r="CS193" s="833"/>
      <c r="CT193" s="723">
        <f>IF(CR193=0,0,(CS193-CR193)/CR193*100)</f>
        <v>0</v>
      </c>
      <c r="CU193" s="833"/>
      <c r="CV193" s="833"/>
      <c r="CW193" s="723">
        <f>IF(CU193=0,0,(CV193-CU193)/CU193*100)</f>
        <v>0</v>
      </c>
      <c r="CX193" s="833"/>
      <c r="CY193" s="833"/>
      <c r="CZ193" s="723">
        <f>IF(CX193=0,0,(CY193-CX193)/CX193*100)</f>
        <v>0</v>
      </c>
      <c r="DA193" s="833"/>
      <c r="DB193" s="833"/>
      <c r="DC193" s="723">
        <f>IF(DA193=0,0,(DB193-DA193)/DA193*100)</f>
        <v>0</v>
      </c>
      <c r="DD193" s="833"/>
      <c r="DE193" s="833"/>
      <c r="DF193" s="723">
        <f>IF(DD193=0,0,(DE193-DD193)/DD193*100)</f>
        <v>0</v>
      </c>
      <c r="DG193" s="833"/>
      <c r="DH193" s="833"/>
      <c r="DI193" s="723">
        <f>IF(DG193=0,0,(DH193-DG193)/DG193*100)</f>
        <v>0</v>
      </c>
      <c r="DJ193" s="833"/>
      <c r="DK193" s="833"/>
      <c r="DL193" s="723">
        <f>IF(DJ193=0,0,(DK193-DJ193)/DJ193*100)</f>
        <v>0</v>
      </c>
      <c r="DM193" s="833"/>
      <c r="DN193" s="833"/>
      <c r="DO193" s="723">
        <f>IF(DM193=0,0,(DN193-DM193)/DM193*100)</f>
        <v>0</v>
      </c>
      <c r="DP193" s="833"/>
      <c r="DQ193" s="833"/>
      <c r="DR193" s="723">
        <f>IF(DP193=0,0,(DQ193-DP193)/DP193*100)</f>
        <v>0</v>
      </c>
      <c r="DS193" s="833"/>
      <c r="DT193" s="833"/>
      <c r="DU193" s="723">
        <f>IF(DS193=0,0,(DT193-DS193)/DS193*100)</f>
        <v>0</v>
      </c>
      <c r="DV193" s="833"/>
      <c r="DW193" s="833"/>
      <c r="DX193" s="723">
        <f>IF(DV193=0,0,(DW193-DV193)/DV193*100)</f>
        <v>0</v>
      </c>
      <c r="DY193" s="833"/>
      <c r="DZ193" s="833"/>
      <c r="EA193" s="723">
        <f>IF(DY193=0,0,(DZ193-DY193)/DY193*100)</f>
        <v>0</v>
      </c>
      <c r="EB193" s="833"/>
      <c r="EC193" s="833"/>
      <c r="ED193" s="723">
        <f>IF(EB193=0,0,(EC193-EB193)/EB193*100)</f>
        <v>0</v>
      </c>
      <c r="EE193" s="833"/>
      <c r="EF193" s="833"/>
      <c r="EG193" s="723">
        <f>IF(EE193=0,0,(EF193-EE193)/EE193*100)</f>
        <v>0</v>
      </c>
      <c r="EH193" s="833"/>
      <c r="EI193" s="833"/>
      <c r="EJ193" s="723">
        <f>IF(EH193=0,0,(EI193-EH193)/EH193*100)</f>
        <v>0</v>
      </c>
      <c r="EK193" s="833"/>
      <c r="EL193" s="833"/>
      <c r="EM193" s="723">
        <f>IF(EK193=0,0,(EL193-EK193)/EK193*100)</f>
        <v>0</v>
      </c>
      <c r="EN193" s="833"/>
      <c r="EO193" s="833"/>
      <c r="EP193" s="723">
        <f>IF(EN193=0,0,(EO193-EN193)/EN193*100)</f>
        <v>0</v>
      </c>
      <c r="EQ193" s="833"/>
      <c r="ER193" s="833"/>
      <c r="ES193" s="723">
        <f>IF(EQ193=0,0,(ER193-EQ193)/EQ193*100)</f>
        <v>0</v>
      </c>
      <c r="ET193" s="833"/>
      <c r="EU193" s="833"/>
      <c r="EV193" s="723">
        <f>IF(ET193=0,0,(EU193-ET193)/ET193*100)</f>
        <v>0</v>
      </c>
      <c r="EW193" s="833"/>
      <c r="EX193" s="833"/>
      <c r="EY193" s="723">
        <f>IF(EW193=0,0,(EX193-EW193)/EW193*100)</f>
        <v>0</v>
      </c>
      <c r="EZ193" s="833"/>
      <c r="FA193" s="833"/>
      <c r="FB193" s="723">
        <f>IF(EZ193=0,0,(FA193-EZ193)/EZ193*100)</f>
        <v>0</v>
      </c>
      <c r="FC193" s="833"/>
      <c r="FD193" s="833"/>
      <c r="FE193" s="723">
        <f>IF(FC193=0,0,(FD193-FC193)/FC193*100)</f>
        <v>0</v>
      </c>
      <c r="FF193" s="833"/>
      <c r="FG193" s="833"/>
      <c r="FH193" s="723">
        <f>IF(FF193=0,0,(FG193-FF193)/FF193*100)</f>
        <v>0</v>
      </c>
      <c r="FI193" s="833"/>
      <c r="FJ193" s="833"/>
      <c r="FK193" s="723">
        <f>IF(FI193=0,0,(FJ193-FI193)/FI193*100)</f>
        <v>0</v>
      </c>
      <c r="FL193" s="833"/>
      <c r="FM193" s="833"/>
      <c r="FN193" s="723">
        <f>IF(FL193=0,0,(FM193-FL193)/FL193*100)</f>
        <v>0</v>
      </c>
      <c r="FO193" s="833"/>
      <c r="FP193" s="833"/>
      <c r="FQ193" s="723">
        <f>IF(FO193=0,0,(FP193-FO193)/FO193*100)</f>
        <v>0</v>
      </c>
      <c r="FR193" s="833"/>
      <c r="FS193" s="833"/>
      <c r="FT193" s="723">
        <f>IF(FR193=0,0,(FS193-FR193)/FR193*100)</f>
        <v>0</v>
      </c>
      <c r="FU193" s="833"/>
      <c r="FV193" s="833"/>
      <c r="FW193" s="723">
        <f>IF(FU193=0,0,(FV193-FU193)/FU193*100)</f>
        <v>0</v>
      </c>
      <c r="FZ193" s="700" t="s">
        <v>1686</v>
      </c>
    </row>
    <row r="194" spans="1:186" ht="14.25" hidden="1" customHeight="1">
      <c r="A194" s="78"/>
      <c r="B194" s="622" t="b" cm="1">
        <f t="array" ref="B194">B193</f>
        <v>0</v>
      </c>
      <c r="C194" s="78"/>
      <c r="D194" s="78"/>
      <c r="E194" s="473">
        <v>15</v>
      </c>
      <c r="F194" s="3" t="str" cm="1">
        <f t="array" aca="1" ref="F194" ca="1">OFFSET(E194,-1,1)</f>
        <v>2</v>
      </c>
      <c r="G194" s="44" t="s">
        <v>1687</v>
      </c>
      <c r="H194" s="78" t="s">
        <v>1661</v>
      </c>
      <c r="I194" s="78" t="s">
        <v>1641</v>
      </c>
      <c r="J194" s="78"/>
      <c r="K194" s="78"/>
      <c r="L194" s="78"/>
      <c r="M194" s="78"/>
      <c r="N194" s="78"/>
      <c r="O194" s="78"/>
      <c r="P194" s="78"/>
      <c r="Q194" s="78"/>
      <c r="R194" s="78"/>
      <c r="S194" s="78"/>
      <c r="T194" s="365" t="b" cm="1">
        <f t="array" aca="1" ref="T194" ca="1">T193</f>
        <v>1</v>
      </c>
      <c r="U194" s="78"/>
      <c r="V194" s="78"/>
      <c r="W194" s="78"/>
      <c r="X194" s="1094"/>
      <c r="Y194" s="78"/>
      <c r="Z194" s="1064"/>
      <c r="AA194" s="78"/>
      <c r="AB194" s="124" t="str">
        <f>"объём "&amp;IF(Q155="Водоснабжение","потребления холодной воды","водоотведения")</f>
        <v>объём водоотведения</v>
      </c>
      <c r="AC194" s="31" t="s">
        <v>534</v>
      </c>
      <c r="AD194" s="849">
        <f ca="1">IF(AND(method_reg="Метод индексации",god&lt;&gt;first_year),SUMIFS(INDEX('Калькуляция (МИ корр)'!$AJ$25:$BC$459,,MATCH(AD$8,'Калькуляция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(МИ)'!$AJ$25:$BC$459,,MATCH(AD$8,'Калькуляция (МИ)'!$AJ$8:$BC$8,0)),'Калькуляция (МИ)'!$F$25:$F$459,$F194,'Калькуляция (МИ)'!$G$25:$G$459,$G194))))</f>
        <v>150.11424999999997</v>
      </c>
      <c r="AE194" s="849">
        <f ca="1">IF(AND(method_reg="Метод индексации",god&lt;&gt;first_year),SUMIFS(INDEX('Калькуляция (МИ корр)'!$AJ$25:$BC$459,,MATCH(AE$8,'Калькуляция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(МИ)'!$AJ$25:$BC$459,,MATCH(AE$8,'Калькуляция (МИ)'!$AJ$8:$BC$8,0)),'Калькуляция (МИ)'!$F$25:$F$459,$F194,'Калькуляция (МИ)'!$G$25:$G$459,$G194))))</f>
        <v>149.29525000000001</v>
      </c>
      <c r="AF194" s="724">
        <f ca="1">IF(AD194=0,0,(AE194-AD194)/AD194*100)</f>
        <v>-0.54558444651321247</v>
      </c>
      <c r="AG194" s="849">
        <f ca="1">IF(AND(method_reg="Метод индексации",god&lt;&gt;first_year),SUMIFS(INDEX('Калькуляция (МИ корр)'!$AJ$25:$BC$459,,MATCH(AG$8,'Калькуляция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(МИ)'!$AJ$25:$BC$459,,MATCH(AG$8,'Калькуляция (МИ)'!$AJ$8:$BC$8,0)),'Калькуляция (МИ)'!$F$25:$F$459,$F194,'Калькуляция (МИ)'!$G$25:$G$459,$G194))))</f>
        <v>0</v>
      </c>
      <c r="AH194" s="849">
        <f ca="1">IF(AND(method_reg="Метод индексации",god&lt;&gt;first_year),SUMIFS(INDEX('Калькуляция (МИ корр)'!$AJ$25:$BC$459,,MATCH(AH$8,'Калькуляция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(МИ)'!$AJ$25:$BC$459,,MATCH(AH$8,'Калькуляция (МИ)'!$AJ$8:$BC$8,0)),'Калькуляция (МИ)'!$F$25:$F$459,$F194,'Калькуляция (МИ)'!$G$25:$G$459,$G194))))</f>
        <v>0</v>
      </c>
      <c r="AI194" s="724">
        <f ca="1">IF(AG194=0,0,(AH194-AG194)/AG194*100)</f>
        <v>0</v>
      </c>
      <c r="AJ194" s="849">
        <f ca="1">IF(AND(method_reg="Метод индексации",god&lt;&gt;first_year),SUMIFS(INDEX('Калькуляция (МИ корр)'!$AJ$25:$BC$459,,MATCH(AJ$8,'Калькуляция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(МИ)'!$AJ$25:$BC$459,,MATCH(AJ$8,'Калькуляция (МИ)'!$AJ$8:$BC$8,0)),'Калькуляция (МИ)'!$F$25:$F$459,$F194,'Калькуляция (МИ)'!$G$25:$G$459,$G194))))</f>
        <v>0</v>
      </c>
      <c r="AK194" s="849">
        <f ca="1">IF(AND(method_reg="Метод индексации",god&lt;&gt;first_year),SUMIFS(INDEX('Калькуляция (МИ корр)'!$AJ$25:$BC$459,,MATCH(AK$8,'Калькуляция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(МИ)'!$AJ$25:$BC$459,,MATCH(AK$8,'Калькуляция (МИ)'!$AJ$8:$BC$8,0)),'Калькуляция (МИ)'!$F$25:$F$459,$F194,'Калькуляция (МИ)'!$G$25:$G$459,$G194))))</f>
        <v>0</v>
      </c>
      <c r="AL194" s="724">
        <f ca="1">IF(AJ194=0,0,(AK194-AJ194)/AJ194*100)</f>
        <v>0</v>
      </c>
      <c r="AM194" s="849">
        <f ca="1">IF(AND(method_reg="Метод индексации",god&lt;&gt;first_year),SUMIFS(INDEX('Калькуляция (МИ корр)'!$AJ$25:$BC$459,,MATCH(AM$8,'Калькуляция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(МИ)'!$AJ$25:$BC$459,,MATCH(AM$8,'Калькуляция (МИ)'!$AJ$8:$BC$8,0)),'Калькуляция (МИ)'!$F$25:$F$459,$F194,'Калькуляция (МИ)'!$G$25:$G$459,$G194))))</f>
        <v>0</v>
      </c>
      <c r="AN194" s="849">
        <f ca="1">IF(AND(method_reg="Метод индексации",god&lt;&gt;first_year),SUMIFS(INDEX('Калькуляция (МИ корр)'!$AJ$25:$BC$459,,MATCH(AN$8,'Калькуляция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(МИ)'!$AJ$25:$BC$459,,MATCH(AN$8,'Калькуляция (МИ)'!$AJ$8:$BC$8,0)),'Калькуляция (МИ)'!$F$25:$F$459,$F194,'Калькуляция (МИ)'!$G$25:$G$459,$G194))))</f>
        <v>0</v>
      </c>
      <c r="AO194" s="724">
        <f ca="1">IF(AM194=0,0,(AN194-AM194)/AM194*100)</f>
        <v>0</v>
      </c>
      <c r="AP194" s="849">
        <f ca="1">IF(AND(method_reg="Метод индексации",god&lt;&gt;first_year),SUMIFS(INDEX('Калькуляция (МИ корр)'!$AJ$25:$BC$459,,MATCH(AP$8,'Калькуляция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(МИ)'!$AJ$25:$BC$459,,MATCH(AP$8,'Калькуляция (МИ)'!$AJ$8:$BC$8,0)),'Калькуляция (МИ)'!$F$25:$F$459,$F194,'Калькуляция (МИ)'!$G$25:$G$459,$G194))))</f>
        <v>0</v>
      </c>
      <c r="AQ194" s="849">
        <f ca="1">IF(AND(method_reg="Метод индексации",god&lt;&gt;first_year),SUMIFS(INDEX('Калькуляция (МИ корр)'!$AJ$25:$BC$459,,MATCH(AQ$8,'Калькуляция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(МИ)'!$AJ$25:$BC$459,,MATCH(AQ$8,'Калькуляция (МИ)'!$AJ$8:$BC$8,0)),'Калькуляция (МИ)'!$F$25:$F$459,$F194,'Калькуляция (МИ)'!$G$25:$G$459,$G194))))</f>
        <v>0</v>
      </c>
      <c r="AR194" s="724">
        <f ca="1">IF(AP194=0,0,(AQ194-AP194)/AP194*100)</f>
        <v>0</v>
      </c>
      <c r="AS194" s="849">
        <f ca="1">IF(AND(method_reg="Метод индексации",god&lt;&gt;first_year),SUMIFS(INDEX('Калькуляция (МИ корр)'!$AJ$25:$BC$459,,MATCH(AS$8,'Калькуляция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(МИ)'!$AJ$25:$BC$459,,MATCH(AS$8,'Калькуляция (МИ)'!$AJ$8:$BC$8,0)),'Калькуляция (МИ)'!$F$25:$F$459,$F194,'Калькуляция (МИ)'!$G$25:$G$459,$G194))))</f>
        <v>0</v>
      </c>
      <c r="AT194" s="849">
        <f ca="1">IF(AND(method_reg="Метод индексации",god&lt;&gt;first_year),SUMIFS(INDEX('Калькуляция (МИ корр)'!$AJ$25:$BC$459,,MATCH(AT$8,'Калькуляция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(МИ)'!$AJ$25:$BC$459,,MATCH(AT$8,'Калькуляция (МИ)'!$AJ$8:$BC$8,0)),'Калькуляция (МИ)'!$F$25:$F$459,$F194,'Калькуляция (МИ)'!$G$25:$G$459,$G194))))</f>
        <v>0</v>
      </c>
      <c r="AU194" s="724">
        <f ca="1">IF(AS194=0,0,(AT194-AS194)/AS194*100)</f>
        <v>0</v>
      </c>
      <c r="AV194" s="849">
        <f ca="1">IF(AND(method_reg="Метод индексации",god&lt;&gt;first_year),SUMIFS(INDEX('Калькуляция (МИ корр)'!$AJ$25:$BC$459,,MATCH(AV$8,'Калькуляция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(МИ)'!$AJ$25:$BC$459,,MATCH(AV$8,'Калькуляция (МИ)'!$AJ$8:$BC$8,0)),'Калькуляция (МИ)'!$F$25:$F$459,$F194,'Калькуляция (МИ)'!$G$25:$G$459,$G194))))</f>
        <v>0</v>
      </c>
      <c r="AW194" s="849">
        <f ca="1">IF(AND(method_reg="Метод индексации",god&lt;&gt;first_year),SUMIFS(INDEX('Калькуляция (МИ корр)'!$AJ$25:$BC$459,,MATCH(AW$8,'Калькуляция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(МИ)'!$AJ$25:$BC$459,,MATCH(AW$8,'Калькуляция (МИ)'!$AJ$8:$BC$8,0)),'Калькуляция (МИ)'!$F$25:$F$459,$F194,'Калькуляция (МИ)'!$G$25:$G$459,$G194))))</f>
        <v>0</v>
      </c>
      <c r="AX194" s="724">
        <f ca="1">IF(AV194=0,0,(AW194-AV194)/AV194*100)</f>
        <v>0</v>
      </c>
      <c r="AY194" s="849">
        <f ca="1">IF(AND(method_reg="Метод индексации",god&lt;&gt;first_year),SUMIFS(INDEX('Калькуляция (МИ корр)'!$AJ$25:$BC$459,,MATCH(AY$8,'Калькуляция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(МИ)'!$AJ$25:$BC$459,,MATCH(AY$8,'Калькуляция (МИ)'!$AJ$8:$BC$8,0)),'Калькуляция (МИ)'!$F$25:$F$459,$F194,'Калькуляция (МИ)'!$G$25:$G$459,$G194))))</f>
        <v>0</v>
      </c>
      <c r="AZ194" s="849">
        <f ca="1">IF(AND(method_reg="Метод индексации",god&lt;&gt;first_year),SUMIFS(INDEX('Калькуляция (МИ корр)'!$AJ$25:$BC$459,,MATCH(AZ$8,'Калькуляция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(МИ)'!$AJ$25:$BC$459,,MATCH(AZ$8,'Калькуляция (МИ)'!$AJ$8:$BC$8,0)),'Калькуляция (МИ)'!$F$25:$F$459,$F194,'Калькуляция (МИ)'!$G$25:$G$459,$G194))))</f>
        <v>0</v>
      </c>
      <c r="BA194" s="724">
        <f ca="1">IF(AY194=0,0,(AZ194-AY194)/AY194*100)</f>
        <v>0</v>
      </c>
      <c r="BB194" s="849">
        <f ca="1">IF(AND(method_reg="Метод индексации",god&lt;&gt;first_year),SUMIFS(INDEX('Калькуляция (МИ корр)'!$AJ$25:$BC$459,,MATCH(BB$8,'Калькуляция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(МИ)'!$AJ$25:$BC$459,,MATCH(BB$8,'Калькуляция (МИ)'!$AJ$8:$BC$8,0)),'Калькуляция (МИ)'!$F$25:$F$459,$F194,'Калькуляция (МИ)'!$G$25:$G$459,$G194))))</f>
        <v>0</v>
      </c>
      <c r="BC194" s="849">
        <f ca="1">IF(AND(method_reg="Метод индексации",god&lt;&gt;first_year),SUMIFS(INDEX('Калькуляция (МИ корр)'!$AJ$25:$BC$459,,MATCH(BC$8,'Калькуляция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(МИ)'!$AJ$25:$BC$459,,MATCH(BC$8,'Калькуляция (МИ)'!$AJ$8:$BC$8,0)),'Калькуляция (МИ)'!$F$25:$F$459,$F194,'Калькуляция (МИ)'!$G$25:$G$459,$G194))))</f>
        <v>0</v>
      </c>
      <c r="BD194" s="724">
        <f ca="1">IF(BB194=0,0,(BC194-BB194)/BB194*100)</f>
        <v>0</v>
      </c>
      <c r="BE194" s="849">
        <f ca="1">IF(AND(method_reg="Метод индексации",god&lt;&gt;first_year),SUMIFS(INDEX('Калькуляция (МИ корр)'!$AJ$25:$BC$459,,MATCH(BE$8,'Калькуляция (МИ корр)'!$AJ$8:$BC$8,0)),'Калькуляция (МИ корр)'!$F$25:$F$459,$F194,'Калькуляция (МИ корр)'!$G$25:$G$459,$G194),IF(method_reg="Метод экономически обоснованных расходов",SUMIFS('Калькуляция (МЭОР)'!$AJ$25:$AJ$282,'Калькуляция (МЭОР)'!$F$25:$F$282,$F194,'Калькуляция (МЭОР)'!$G$25:$G$282,$G194),IF(method_reg="Метод сравнения аналогов",SUMIFS('Калькуляция (МСА)'!$AE$25:$AE$84,'Калькуляция (МСА)'!$F$25:$F$84,$F194,'Калькуляция (МСА)'!$G$25:$G$84,$G194),SUMIFS(INDEX('Калькуляция (МИ)'!$AJ$25:$BC$459,,MATCH(BE$8,'Калькуляция (МИ)'!$AJ$8:$BC$8,0)),'Калькуляция (МИ)'!$F$25:$F$459,$F194,'Калькуляция (МИ)'!$G$25:$G$459,$G194))))</f>
        <v>0</v>
      </c>
      <c r="BF194" s="849">
        <f ca="1">IF(AND(method_reg="Метод индексации",god&lt;&gt;first_year),SUMIFS(INDEX('Калькуляция (МИ корр)'!$AJ$25:$BC$459,,MATCH(BF$8,'Калькуляция (МИ корр)'!$AJ$8:$BC$8,0)),'Калькуляция (МИ корр)'!$F$25:$F$459,$F194,'Калькуляция (МИ корр)'!$G$25:$G$459,$G194),IF(method_reg="Метод экономически обоснованных расходов",SUMIFS('Калькуляция (МЭОР)'!$AK$25:$AK$282,'Калькуляция (МЭОР)'!$F$25:$F$282,$F194,'Калькуляция (МЭОР)'!$G$25:$G$282,$G194),IF(method_reg="Метод сравнения аналогов",SUMIFS('Калькуляция (МСА)'!$AF$25:$AF$84,'Калькуляция (МСА)'!$F$25:$F$84,$F194,'Калькуляция (МСА)'!$G$25:$G$84,$G194),SUMIFS(INDEX('Калькуляция (МИ)'!$AJ$25:$BC$459,,MATCH(BF$8,'Калькуляция (МИ)'!$AJ$8:$BC$8,0)),'Калькуляция (МИ)'!$F$25:$F$459,$F194,'Калькуляция (МИ)'!$G$25:$G$459,$G194))))</f>
        <v>0</v>
      </c>
      <c r="BG194" s="724">
        <f ca="1">IF(BE194=0,0,(BF194-BE194)/BE194*100)</f>
        <v>0</v>
      </c>
      <c r="BH194" s="849"/>
      <c r="BI194" s="849"/>
      <c r="BJ194" s="724">
        <f>IF(BH194=0,0,(BI194-BH194)/BH194*100)</f>
        <v>0</v>
      </c>
      <c r="BK194" s="849"/>
      <c r="BL194" s="849"/>
      <c r="BM194" s="724">
        <f>IF(BK194=0,0,(BL194-BK194)/BK194*100)</f>
        <v>0</v>
      </c>
      <c r="BN194" s="849"/>
      <c r="BO194" s="849"/>
      <c r="BP194" s="724">
        <f>IF(BN194=0,0,(BO194-BN194)/BN194*100)</f>
        <v>0</v>
      </c>
      <c r="BQ194" s="849"/>
      <c r="BR194" s="849"/>
      <c r="BS194" s="724">
        <f>IF(BQ194=0,0,(BR194-BQ194)/BQ194*100)</f>
        <v>0</v>
      </c>
      <c r="BT194" s="849"/>
      <c r="BU194" s="849"/>
      <c r="BV194" s="724">
        <f>IF(BT194=0,0,(BU194-BT194)/BT194*100)</f>
        <v>0</v>
      </c>
      <c r="BW194" s="849"/>
      <c r="BX194" s="849"/>
      <c r="BY194" s="724">
        <f>IF(BW194=0,0,(BX194-BW194)/BW194*100)</f>
        <v>0</v>
      </c>
      <c r="BZ194" s="849"/>
      <c r="CA194" s="849"/>
      <c r="CB194" s="724">
        <f>IF(BZ194=0,0,(CA194-BZ194)/BZ194*100)</f>
        <v>0</v>
      </c>
      <c r="CC194" s="849"/>
      <c r="CD194" s="849"/>
      <c r="CE194" s="724">
        <f>IF(CC194=0,0,(CD194-CC194)/CC194*100)</f>
        <v>0</v>
      </c>
      <c r="CF194" s="849"/>
      <c r="CG194" s="849"/>
      <c r="CH194" s="724">
        <f>IF(CF194=0,0,(CG194-CF194)/CF194*100)</f>
        <v>0</v>
      </c>
      <c r="CI194" s="849"/>
      <c r="CJ194" s="849"/>
      <c r="CK194" s="724">
        <f>IF(CI194=0,0,(CJ194-CI194)/CI194*100)</f>
        <v>0</v>
      </c>
      <c r="CL194" s="849"/>
      <c r="CM194" s="849"/>
      <c r="CN194" s="724">
        <f>IF(CL194=0,0,(CM194-CL194)/CL194*100)</f>
        <v>0</v>
      </c>
      <c r="CO194" s="849"/>
      <c r="CP194" s="849"/>
      <c r="CQ194" s="724">
        <f>IF(CO194=0,0,(CP194-CO194)/CO194*100)</f>
        <v>0</v>
      </c>
      <c r="CR194" s="849"/>
      <c r="CS194" s="849"/>
      <c r="CT194" s="724">
        <f>IF(CR194=0,0,(CS194-CR194)/CR194*100)</f>
        <v>0</v>
      </c>
      <c r="CU194" s="849"/>
      <c r="CV194" s="849"/>
      <c r="CW194" s="724">
        <f>IF(CU194=0,0,(CV194-CU194)/CU194*100)</f>
        <v>0</v>
      </c>
      <c r="CX194" s="849"/>
      <c r="CY194" s="849"/>
      <c r="CZ194" s="724">
        <f>IF(CX194=0,0,(CY194-CX194)/CX194*100)</f>
        <v>0</v>
      </c>
      <c r="DA194" s="849"/>
      <c r="DB194" s="849"/>
      <c r="DC194" s="724">
        <f>IF(DA194=0,0,(DB194-DA194)/DA194*100)</f>
        <v>0</v>
      </c>
      <c r="DD194" s="849"/>
      <c r="DE194" s="849"/>
      <c r="DF194" s="724">
        <f>IF(DD194=0,0,(DE194-DD194)/DD194*100)</f>
        <v>0</v>
      </c>
      <c r="DG194" s="849"/>
      <c r="DH194" s="849"/>
      <c r="DI194" s="724">
        <f>IF(DG194=0,0,(DH194-DG194)/DG194*100)</f>
        <v>0</v>
      </c>
      <c r="DJ194" s="849"/>
      <c r="DK194" s="849"/>
      <c r="DL194" s="724">
        <f>IF(DJ194=0,0,(DK194-DJ194)/DJ194*100)</f>
        <v>0</v>
      </c>
      <c r="DM194" s="849"/>
      <c r="DN194" s="849"/>
      <c r="DO194" s="724">
        <f>IF(DM194=0,0,(DN194-DM194)/DM194*100)</f>
        <v>0</v>
      </c>
      <c r="DP194" s="849"/>
      <c r="DQ194" s="849"/>
      <c r="DR194" s="724">
        <f>IF(DP194=0,0,(DQ194-DP194)/DP194*100)</f>
        <v>0</v>
      </c>
      <c r="DS194" s="849"/>
      <c r="DT194" s="849"/>
      <c r="DU194" s="724">
        <f>IF(DS194=0,0,(DT194-DS194)/DS194*100)</f>
        <v>0</v>
      </c>
      <c r="DV194" s="849"/>
      <c r="DW194" s="849"/>
      <c r="DX194" s="724">
        <f>IF(DV194=0,0,(DW194-DV194)/DV194*100)</f>
        <v>0</v>
      </c>
      <c r="DY194" s="849"/>
      <c r="DZ194" s="849"/>
      <c r="EA194" s="724">
        <f>IF(DY194=0,0,(DZ194-DY194)/DY194*100)</f>
        <v>0</v>
      </c>
      <c r="EB194" s="849"/>
      <c r="EC194" s="849"/>
      <c r="ED194" s="724">
        <f>IF(EB194=0,0,(EC194-EB194)/EB194*100)</f>
        <v>0</v>
      </c>
      <c r="EE194" s="849"/>
      <c r="EF194" s="849"/>
      <c r="EG194" s="724">
        <f>IF(EE194=0,0,(EF194-EE194)/EE194*100)</f>
        <v>0</v>
      </c>
      <c r="EH194" s="849"/>
      <c r="EI194" s="849"/>
      <c r="EJ194" s="724">
        <f>IF(EH194=0,0,(EI194-EH194)/EH194*100)</f>
        <v>0</v>
      </c>
      <c r="EK194" s="849"/>
      <c r="EL194" s="849"/>
      <c r="EM194" s="724">
        <f>IF(EK194=0,0,(EL194-EK194)/EK194*100)</f>
        <v>0</v>
      </c>
      <c r="EN194" s="849"/>
      <c r="EO194" s="849"/>
      <c r="EP194" s="724">
        <f>IF(EN194=0,0,(EO194-EN194)/EN194*100)</f>
        <v>0</v>
      </c>
      <c r="EQ194" s="849"/>
      <c r="ER194" s="849"/>
      <c r="ES194" s="724">
        <f>IF(EQ194=0,0,(ER194-EQ194)/EQ194*100)</f>
        <v>0</v>
      </c>
      <c r="ET194" s="849"/>
      <c r="EU194" s="849"/>
      <c r="EV194" s="724">
        <f>IF(ET194=0,0,(EU194-ET194)/ET194*100)</f>
        <v>0</v>
      </c>
      <c r="EW194" s="849"/>
      <c r="EX194" s="849"/>
      <c r="EY194" s="724">
        <f>IF(EW194=0,0,(EX194-EW194)/EW194*100)</f>
        <v>0</v>
      </c>
      <c r="EZ194" s="849"/>
      <c r="FA194" s="849"/>
      <c r="FB194" s="724">
        <f>IF(EZ194=0,0,(FA194-EZ194)/EZ194*100)</f>
        <v>0</v>
      </c>
      <c r="FC194" s="849"/>
      <c r="FD194" s="849"/>
      <c r="FE194" s="724">
        <f>IF(FC194=0,0,(FD194-FC194)/FC194*100)</f>
        <v>0</v>
      </c>
      <c r="FF194" s="849"/>
      <c r="FG194" s="849"/>
      <c r="FH194" s="724">
        <f>IF(FF194=0,0,(FG194-FF194)/FF194*100)</f>
        <v>0</v>
      </c>
      <c r="FI194" s="849"/>
      <c r="FJ194" s="849"/>
      <c r="FK194" s="724">
        <f>IF(FI194=0,0,(FJ194-FI194)/FI194*100)</f>
        <v>0</v>
      </c>
      <c r="FL194" s="849"/>
      <c r="FM194" s="849"/>
      <c r="FN194" s="724">
        <f>IF(FL194=0,0,(FM194-FL194)/FL194*100)</f>
        <v>0</v>
      </c>
      <c r="FO194" s="849"/>
      <c r="FP194" s="849"/>
      <c r="FQ194" s="724">
        <f>IF(FO194=0,0,(FP194-FO194)/FO194*100)</f>
        <v>0</v>
      </c>
      <c r="FR194" s="849"/>
      <c r="FS194" s="849"/>
      <c r="FT194" s="724">
        <f>IF(FR194=0,0,(FS194-FR194)/FR194*100)</f>
        <v>0</v>
      </c>
      <c r="FU194" s="849"/>
      <c r="FV194" s="849"/>
      <c r="FW194" s="724">
        <f>IF(FU194=0,0,(FV194-FU194)/FU194*100)</f>
        <v>0</v>
      </c>
      <c r="FZ194" s="700" t="s">
        <v>1688</v>
      </c>
    </row>
    <row r="195" spans="1:186" ht="21.75" hidden="1" customHeight="1">
      <c r="A195" s="78"/>
      <c r="B195" s="622" t="b" cm="1">
        <f t="array" ref="B195">B194</f>
        <v>0</v>
      </c>
      <c r="C195" s="78"/>
      <c r="D195" s="78"/>
      <c r="E195" s="473">
        <v>22.5</v>
      </c>
      <c r="F195" s="3" t="str" cm="1">
        <f t="array" aca="1" ref="F195" ca="1">OFFSET(E195,-1,1)</f>
        <v>2</v>
      </c>
      <c r="G195" s="78"/>
      <c r="H195" s="78" t="s">
        <v>1663</v>
      </c>
      <c r="I195" s="78" t="s">
        <v>1641</v>
      </c>
      <c r="J195" s="78"/>
      <c r="K195" s="78"/>
      <c r="L195" s="78"/>
      <c r="M195" s="78"/>
      <c r="N195" s="78"/>
      <c r="O195" s="78"/>
      <c r="P195" s="78"/>
      <c r="Q195" s="78"/>
      <c r="R195" s="78"/>
      <c r="S195" s="78"/>
      <c r="T195" s="365" t="b" cm="1">
        <f t="array" aca="1" ref="T195" ca="1">T194</f>
        <v>1</v>
      </c>
      <c r="U195" s="78"/>
      <c r="V195" s="78"/>
      <c r="W195" s="78"/>
      <c r="X195" s="1094"/>
      <c r="Y195" s="78"/>
      <c r="Z195" s="1064"/>
      <c r="AA195" s="78"/>
      <c r="AB195" s="12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31" t="s">
        <v>1664</v>
      </c>
      <c r="AD195" s="833"/>
      <c r="AE195" s="833"/>
      <c r="AF195" s="723">
        <f>IF(AD195=0,0,(AE195-AD195)/AD195*100)</f>
        <v>0</v>
      </c>
      <c r="AG195" s="833"/>
      <c r="AH195" s="833"/>
      <c r="AI195" s="723">
        <f>IF(AG195=0,0,(AH195-AG195)/AG195*100)</f>
        <v>0</v>
      </c>
      <c r="AJ195" s="833"/>
      <c r="AK195" s="833"/>
      <c r="AL195" s="723">
        <f>IF(AJ195=0,0,(AK195-AJ195)/AJ195*100)</f>
        <v>0</v>
      </c>
      <c r="AM195" s="833"/>
      <c r="AN195" s="833"/>
      <c r="AO195" s="723">
        <f>IF(AM195=0,0,(AN195-AM195)/AM195*100)</f>
        <v>0</v>
      </c>
      <c r="AP195" s="833"/>
      <c r="AQ195" s="833"/>
      <c r="AR195" s="723">
        <f>IF(AP195=0,0,(AQ195-AP195)/AP195*100)</f>
        <v>0</v>
      </c>
      <c r="AS195" s="833"/>
      <c r="AT195" s="833"/>
      <c r="AU195" s="723">
        <f>IF(AS195=0,0,(AT195-AS195)/AS195*100)</f>
        <v>0</v>
      </c>
      <c r="AV195" s="833"/>
      <c r="AW195" s="833"/>
      <c r="AX195" s="723">
        <f>IF(AV195=0,0,(AW195-AV195)/AV195*100)</f>
        <v>0</v>
      </c>
      <c r="AY195" s="833"/>
      <c r="AZ195" s="833"/>
      <c r="BA195" s="723">
        <f>IF(AY195=0,0,(AZ195-AY195)/AY195*100)</f>
        <v>0</v>
      </c>
      <c r="BB195" s="833"/>
      <c r="BC195" s="833"/>
      <c r="BD195" s="723">
        <f>IF(BB195=0,0,(BC195-BB195)/BB195*100)</f>
        <v>0</v>
      </c>
      <c r="BE195" s="833"/>
      <c r="BF195" s="833"/>
      <c r="BG195" s="723">
        <f>IF(BE195=0,0,(BF195-BE195)/BE195*100)</f>
        <v>0</v>
      </c>
      <c r="BH195" s="833"/>
      <c r="BI195" s="833"/>
      <c r="BJ195" s="723">
        <f>IF(BH195=0,0,(BI195-BH195)/BH195*100)</f>
        <v>0</v>
      </c>
      <c r="BK195" s="833"/>
      <c r="BL195" s="833"/>
      <c r="BM195" s="723">
        <f>IF(BK195=0,0,(BL195-BK195)/BK195*100)</f>
        <v>0</v>
      </c>
      <c r="BN195" s="833"/>
      <c r="BO195" s="833"/>
      <c r="BP195" s="723">
        <f>IF(BN195=0,0,(BO195-BN195)/BN195*100)</f>
        <v>0</v>
      </c>
      <c r="BQ195" s="833"/>
      <c r="BR195" s="833"/>
      <c r="BS195" s="723">
        <f>IF(BQ195=0,0,(BR195-BQ195)/BQ195*100)</f>
        <v>0</v>
      </c>
      <c r="BT195" s="833"/>
      <c r="BU195" s="833"/>
      <c r="BV195" s="723">
        <f>IF(BT195=0,0,(BU195-BT195)/BT195*100)</f>
        <v>0</v>
      </c>
      <c r="BW195" s="833"/>
      <c r="BX195" s="833"/>
      <c r="BY195" s="723">
        <f>IF(BW195=0,0,(BX195-BW195)/BW195*100)</f>
        <v>0</v>
      </c>
      <c r="BZ195" s="833"/>
      <c r="CA195" s="833"/>
      <c r="CB195" s="723">
        <f>IF(BZ195=0,0,(CA195-BZ195)/BZ195*100)</f>
        <v>0</v>
      </c>
      <c r="CC195" s="833"/>
      <c r="CD195" s="833"/>
      <c r="CE195" s="723">
        <f>IF(CC195=0,0,(CD195-CC195)/CC195*100)</f>
        <v>0</v>
      </c>
      <c r="CF195" s="833"/>
      <c r="CG195" s="833"/>
      <c r="CH195" s="723">
        <f>IF(CF195=0,0,(CG195-CF195)/CF195*100)</f>
        <v>0</v>
      </c>
      <c r="CI195" s="833"/>
      <c r="CJ195" s="833"/>
      <c r="CK195" s="723">
        <f>IF(CI195=0,0,(CJ195-CI195)/CI195*100)</f>
        <v>0</v>
      </c>
      <c r="CL195" s="833"/>
      <c r="CM195" s="833"/>
      <c r="CN195" s="723">
        <f>IF(CL195=0,0,(CM195-CL195)/CL195*100)</f>
        <v>0</v>
      </c>
      <c r="CO195" s="833"/>
      <c r="CP195" s="833"/>
      <c r="CQ195" s="723">
        <f>IF(CO195=0,0,(CP195-CO195)/CO195*100)</f>
        <v>0</v>
      </c>
      <c r="CR195" s="833"/>
      <c r="CS195" s="833"/>
      <c r="CT195" s="723">
        <f>IF(CR195=0,0,(CS195-CR195)/CR195*100)</f>
        <v>0</v>
      </c>
      <c r="CU195" s="833"/>
      <c r="CV195" s="833"/>
      <c r="CW195" s="723">
        <f>IF(CU195=0,0,(CV195-CU195)/CU195*100)</f>
        <v>0</v>
      </c>
      <c r="CX195" s="833"/>
      <c r="CY195" s="833"/>
      <c r="CZ195" s="723">
        <f>IF(CX195=0,0,(CY195-CX195)/CX195*100)</f>
        <v>0</v>
      </c>
      <c r="DA195" s="833"/>
      <c r="DB195" s="833"/>
      <c r="DC195" s="723">
        <f>IF(DA195=0,0,(DB195-DA195)/DA195*100)</f>
        <v>0</v>
      </c>
      <c r="DD195" s="833"/>
      <c r="DE195" s="833"/>
      <c r="DF195" s="723">
        <f>IF(DD195=0,0,(DE195-DD195)/DD195*100)</f>
        <v>0</v>
      </c>
      <c r="DG195" s="833"/>
      <c r="DH195" s="833"/>
      <c r="DI195" s="723">
        <f>IF(DG195=0,0,(DH195-DG195)/DG195*100)</f>
        <v>0</v>
      </c>
      <c r="DJ195" s="833"/>
      <c r="DK195" s="833"/>
      <c r="DL195" s="723">
        <f>IF(DJ195=0,0,(DK195-DJ195)/DJ195*100)</f>
        <v>0</v>
      </c>
      <c r="DM195" s="833"/>
      <c r="DN195" s="833"/>
      <c r="DO195" s="723">
        <f>IF(DM195=0,0,(DN195-DM195)/DM195*100)</f>
        <v>0</v>
      </c>
      <c r="DP195" s="833"/>
      <c r="DQ195" s="833"/>
      <c r="DR195" s="723">
        <f>IF(DP195=0,0,(DQ195-DP195)/DP195*100)</f>
        <v>0</v>
      </c>
      <c r="DS195" s="833"/>
      <c r="DT195" s="833"/>
      <c r="DU195" s="723">
        <f>IF(DS195=0,0,(DT195-DS195)/DS195*100)</f>
        <v>0</v>
      </c>
      <c r="DV195" s="833"/>
      <c r="DW195" s="833"/>
      <c r="DX195" s="723">
        <f>IF(DV195=0,0,(DW195-DV195)/DV195*100)</f>
        <v>0</v>
      </c>
      <c r="DY195" s="833"/>
      <c r="DZ195" s="833"/>
      <c r="EA195" s="723">
        <f>IF(DY195=0,0,(DZ195-DY195)/DY195*100)</f>
        <v>0</v>
      </c>
      <c r="EB195" s="833"/>
      <c r="EC195" s="833"/>
      <c r="ED195" s="723">
        <f>IF(EB195=0,0,(EC195-EB195)/EB195*100)</f>
        <v>0</v>
      </c>
      <c r="EE195" s="833"/>
      <c r="EF195" s="833"/>
      <c r="EG195" s="723">
        <f>IF(EE195=0,0,(EF195-EE195)/EE195*100)</f>
        <v>0</v>
      </c>
      <c r="EH195" s="833"/>
      <c r="EI195" s="833"/>
      <c r="EJ195" s="723">
        <f>IF(EH195=0,0,(EI195-EH195)/EH195*100)</f>
        <v>0</v>
      </c>
      <c r="EK195" s="833"/>
      <c r="EL195" s="833"/>
      <c r="EM195" s="723">
        <f>IF(EK195=0,0,(EL195-EK195)/EK195*100)</f>
        <v>0</v>
      </c>
      <c r="EN195" s="833"/>
      <c r="EO195" s="833"/>
      <c r="EP195" s="723">
        <f>IF(EN195=0,0,(EO195-EN195)/EN195*100)</f>
        <v>0</v>
      </c>
      <c r="EQ195" s="833"/>
      <c r="ER195" s="833"/>
      <c r="ES195" s="723">
        <f>IF(EQ195=0,0,(ER195-EQ195)/EQ195*100)</f>
        <v>0</v>
      </c>
      <c r="ET195" s="833"/>
      <c r="EU195" s="833"/>
      <c r="EV195" s="723">
        <f>IF(ET195=0,0,(EU195-ET195)/ET195*100)</f>
        <v>0</v>
      </c>
      <c r="EW195" s="833"/>
      <c r="EX195" s="833"/>
      <c r="EY195" s="723">
        <f>IF(EW195=0,0,(EX195-EW195)/EW195*100)</f>
        <v>0</v>
      </c>
      <c r="EZ195" s="833"/>
      <c r="FA195" s="833"/>
      <c r="FB195" s="723">
        <f>IF(EZ195=0,0,(FA195-EZ195)/EZ195*100)</f>
        <v>0</v>
      </c>
      <c r="FC195" s="833"/>
      <c r="FD195" s="833"/>
      <c r="FE195" s="723">
        <f>IF(FC195=0,0,(FD195-FC195)/FC195*100)</f>
        <v>0</v>
      </c>
      <c r="FF195" s="833"/>
      <c r="FG195" s="833"/>
      <c r="FH195" s="723">
        <f>IF(FF195=0,0,(FG195-FF195)/FF195*100)</f>
        <v>0</v>
      </c>
      <c r="FI195" s="833"/>
      <c r="FJ195" s="833"/>
      <c r="FK195" s="723">
        <f>IF(FI195=0,0,(FJ195-FI195)/FI195*100)</f>
        <v>0</v>
      </c>
      <c r="FL195" s="833"/>
      <c r="FM195" s="833"/>
      <c r="FN195" s="723">
        <f>IF(FL195=0,0,(FM195-FL195)/FL195*100)</f>
        <v>0</v>
      </c>
      <c r="FO195" s="833"/>
      <c r="FP195" s="833"/>
      <c r="FQ195" s="723">
        <f>IF(FO195=0,0,(FP195-FO195)/FO195*100)</f>
        <v>0</v>
      </c>
      <c r="FR195" s="833"/>
      <c r="FS195" s="833"/>
      <c r="FT195" s="723">
        <f>IF(FR195=0,0,(FS195-FR195)/FR195*100)</f>
        <v>0</v>
      </c>
      <c r="FU195" s="833"/>
      <c r="FV195" s="833"/>
      <c r="FW195" s="723">
        <f>IF(FU195=0,0,(FV195-FU195)/FU195*100)</f>
        <v>0</v>
      </c>
      <c r="FZ195" s="700" t="s">
        <v>1689</v>
      </c>
    </row>
    <row r="196" spans="1:186" ht="14.25" hidden="1" customHeight="1">
      <c r="A196" s="78"/>
      <c r="B196" s="622" t="b" cm="1">
        <f t="array" ref="B196">B195</f>
        <v>0</v>
      </c>
      <c r="C196" s="78"/>
      <c r="D196" s="78"/>
      <c r="E196" s="473">
        <v>15</v>
      </c>
      <c r="F196" s="3" t="str" cm="1">
        <f t="array" aca="1" ref="F196" ca="1">OFFSET(E196,-1,1)</f>
        <v>2</v>
      </c>
      <c r="G196" s="78"/>
      <c r="H196" s="78" t="s">
        <v>1666</v>
      </c>
      <c r="I196" s="78" t="s">
        <v>1641</v>
      </c>
      <c r="J196" s="78"/>
      <c r="K196" s="78"/>
      <c r="L196" s="78"/>
      <c r="M196" s="78"/>
      <c r="N196" s="78"/>
      <c r="O196" s="78"/>
      <c r="P196" s="78"/>
      <c r="Q196" s="78"/>
      <c r="R196" s="78"/>
      <c r="S196" s="78"/>
      <c r="T196" s="365" t="b" cm="1">
        <f t="array" aca="1" ref="T196" ca="1">T195</f>
        <v>1</v>
      </c>
      <c r="U196" s="78"/>
      <c r="V196" s="78"/>
      <c r="W196" s="78"/>
      <c r="X196" s="1094"/>
      <c r="Y196" s="78"/>
      <c r="Z196" s="1064"/>
      <c r="AA196" s="78"/>
      <c r="AB196" s="124" t="s">
        <v>1667</v>
      </c>
      <c r="AC196" s="31" t="s">
        <v>1668</v>
      </c>
      <c r="AD196" s="833"/>
      <c r="AE196" s="833"/>
      <c r="AF196" s="723">
        <f>IF(AD196=0,0,(AE196-AD196)/AD196*100)</f>
        <v>0</v>
      </c>
      <c r="AG196" s="833"/>
      <c r="AH196" s="833"/>
      <c r="AI196" s="723">
        <f>IF(AG196=0,0,(AH196-AG196)/AG196*100)</f>
        <v>0</v>
      </c>
      <c r="AJ196" s="833"/>
      <c r="AK196" s="833"/>
      <c r="AL196" s="723">
        <f>IF(AJ196=0,0,(AK196-AJ196)/AJ196*100)</f>
        <v>0</v>
      </c>
      <c r="AM196" s="833"/>
      <c r="AN196" s="833"/>
      <c r="AO196" s="723">
        <f>IF(AM196=0,0,(AN196-AM196)/AM196*100)</f>
        <v>0</v>
      </c>
      <c r="AP196" s="833"/>
      <c r="AQ196" s="833"/>
      <c r="AR196" s="723">
        <f>IF(AP196=0,0,(AQ196-AP196)/AP196*100)</f>
        <v>0</v>
      </c>
      <c r="AS196" s="833"/>
      <c r="AT196" s="833"/>
      <c r="AU196" s="723">
        <f>IF(AS196=0,0,(AT196-AS196)/AS196*100)</f>
        <v>0</v>
      </c>
      <c r="AV196" s="833"/>
      <c r="AW196" s="833"/>
      <c r="AX196" s="723">
        <f>IF(AV196=0,0,(AW196-AV196)/AV196*100)</f>
        <v>0</v>
      </c>
      <c r="AY196" s="833"/>
      <c r="AZ196" s="833"/>
      <c r="BA196" s="723">
        <f>IF(AY196=0,0,(AZ196-AY196)/AY196*100)</f>
        <v>0</v>
      </c>
      <c r="BB196" s="833"/>
      <c r="BC196" s="833"/>
      <c r="BD196" s="723">
        <f>IF(BB196=0,0,(BC196-BB196)/BB196*100)</f>
        <v>0</v>
      </c>
      <c r="BE196" s="833"/>
      <c r="BF196" s="833"/>
      <c r="BG196" s="723">
        <f>IF(BE196=0,0,(BF196-BE196)/BE196*100)</f>
        <v>0</v>
      </c>
      <c r="BH196" s="833"/>
      <c r="BI196" s="833"/>
      <c r="BJ196" s="723">
        <f>IF(BH196=0,0,(BI196-BH196)/BH196*100)</f>
        <v>0</v>
      </c>
      <c r="BK196" s="833"/>
      <c r="BL196" s="833"/>
      <c r="BM196" s="723">
        <f>IF(BK196=0,0,(BL196-BK196)/BK196*100)</f>
        <v>0</v>
      </c>
      <c r="BN196" s="833"/>
      <c r="BO196" s="833"/>
      <c r="BP196" s="723">
        <f>IF(BN196=0,0,(BO196-BN196)/BN196*100)</f>
        <v>0</v>
      </c>
      <c r="BQ196" s="833"/>
      <c r="BR196" s="833"/>
      <c r="BS196" s="723">
        <f>IF(BQ196=0,0,(BR196-BQ196)/BQ196*100)</f>
        <v>0</v>
      </c>
      <c r="BT196" s="833"/>
      <c r="BU196" s="833"/>
      <c r="BV196" s="723">
        <f>IF(BT196=0,0,(BU196-BT196)/BT196*100)</f>
        <v>0</v>
      </c>
      <c r="BW196" s="833"/>
      <c r="BX196" s="833"/>
      <c r="BY196" s="723">
        <f>IF(BW196=0,0,(BX196-BW196)/BW196*100)</f>
        <v>0</v>
      </c>
      <c r="BZ196" s="833"/>
      <c r="CA196" s="833"/>
      <c r="CB196" s="723">
        <f>IF(BZ196=0,0,(CA196-BZ196)/BZ196*100)</f>
        <v>0</v>
      </c>
      <c r="CC196" s="833"/>
      <c r="CD196" s="833"/>
      <c r="CE196" s="723">
        <f>IF(CC196=0,0,(CD196-CC196)/CC196*100)</f>
        <v>0</v>
      </c>
      <c r="CF196" s="833"/>
      <c r="CG196" s="833"/>
      <c r="CH196" s="723">
        <f>IF(CF196=0,0,(CG196-CF196)/CF196*100)</f>
        <v>0</v>
      </c>
      <c r="CI196" s="833"/>
      <c r="CJ196" s="833"/>
      <c r="CK196" s="723">
        <f>IF(CI196=0,0,(CJ196-CI196)/CI196*100)</f>
        <v>0</v>
      </c>
      <c r="CL196" s="833"/>
      <c r="CM196" s="833"/>
      <c r="CN196" s="723">
        <f>IF(CL196=0,0,(CM196-CL196)/CL196*100)</f>
        <v>0</v>
      </c>
      <c r="CO196" s="833"/>
      <c r="CP196" s="833"/>
      <c r="CQ196" s="723">
        <f>IF(CO196=0,0,(CP196-CO196)/CO196*100)</f>
        <v>0</v>
      </c>
      <c r="CR196" s="833"/>
      <c r="CS196" s="833"/>
      <c r="CT196" s="723">
        <f>IF(CR196=0,0,(CS196-CR196)/CR196*100)</f>
        <v>0</v>
      </c>
      <c r="CU196" s="833"/>
      <c r="CV196" s="833"/>
      <c r="CW196" s="723">
        <f>IF(CU196=0,0,(CV196-CU196)/CU196*100)</f>
        <v>0</v>
      </c>
      <c r="CX196" s="833"/>
      <c r="CY196" s="833"/>
      <c r="CZ196" s="723">
        <f>IF(CX196=0,0,(CY196-CX196)/CX196*100)</f>
        <v>0</v>
      </c>
      <c r="DA196" s="833"/>
      <c r="DB196" s="833"/>
      <c r="DC196" s="723">
        <f>IF(DA196=0,0,(DB196-DA196)/DA196*100)</f>
        <v>0</v>
      </c>
      <c r="DD196" s="833"/>
      <c r="DE196" s="833"/>
      <c r="DF196" s="723">
        <f>IF(DD196=0,0,(DE196-DD196)/DD196*100)</f>
        <v>0</v>
      </c>
      <c r="DG196" s="833"/>
      <c r="DH196" s="833"/>
      <c r="DI196" s="723">
        <f>IF(DG196=0,0,(DH196-DG196)/DG196*100)</f>
        <v>0</v>
      </c>
      <c r="DJ196" s="833"/>
      <c r="DK196" s="833"/>
      <c r="DL196" s="723">
        <f>IF(DJ196=0,0,(DK196-DJ196)/DJ196*100)</f>
        <v>0</v>
      </c>
      <c r="DM196" s="833"/>
      <c r="DN196" s="833"/>
      <c r="DO196" s="723">
        <f>IF(DM196=0,0,(DN196-DM196)/DM196*100)</f>
        <v>0</v>
      </c>
      <c r="DP196" s="833"/>
      <c r="DQ196" s="833"/>
      <c r="DR196" s="723">
        <f>IF(DP196=0,0,(DQ196-DP196)/DP196*100)</f>
        <v>0</v>
      </c>
      <c r="DS196" s="833"/>
      <c r="DT196" s="833"/>
      <c r="DU196" s="723">
        <f>IF(DS196=0,0,(DT196-DS196)/DS196*100)</f>
        <v>0</v>
      </c>
      <c r="DV196" s="833"/>
      <c r="DW196" s="833"/>
      <c r="DX196" s="723">
        <f>IF(DV196=0,0,(DW196-DV196)/DV196*100)</f>
        <v>0</v>
      </c>
      <c r="DY196" s="833"/>
      <c r="DZ196" s="833"/>
      <c r="EA196" s="723">
        <f>IF(DY196=0,0,(DZ196-DY196)/DY196*100)</f>
        <v>0</v>
      </c>
      <c r="EB196" s="833"/>
      <c r="EC196" s="833"/>
      <c r="ED196" s="723">
        <f>IF(EB196=0,0,(EC196-EB196)/EB196*100)</f>
        <v>0</v>
      </c>
      <c r="EE196" s="833"/>
      <c r="EF196" s="833"/>
      <c r="EG196" s="723">
        <f>IF(EE196=0,0,(EF196-EE196)/EE196*100)</f>
        <v>0</v>
      </c>
      <c r="EH196" s="833"/>
      <c r="EI196" s="833"/>
      <c r="EJ196" s="723">
        <f>IF(EH196=0,0,(EI196-EH196)/EH196*100)</f>
        <v>0</v>
      </c>
      <c r="EK196" s="833"/>
      <c r="EL196" s="833"/>
      <c r="EM196" s="723">
        <f>IF(EK196=0,0,(EL196-EK196)/EK196*100)</f>
        <v>0</v>
      </c>
      <c r="EN196" s="833"/>
      <c r="EO196" s="833"/>
      <c r="EP196" s="723">
        <f>IF(EN196=0,0,(EO196-EN196)/EN196*100)</f>
        <v>0</v>
      </c>
      <c r="EQ196" s="833"/>
      <c r="ER196" s="833"/>
      <c r="ES196" s="723">
        <f>IF(EQ196=0,0,(ER196-EQ196)/EQ196*100)</f>
        <v>0</v>
      </c>
      <c r="ET196" s="833"/>
      <c r="EU196" s="833"/>
      <c r="EV196" s="723">
        <f>IF(ET196=0,0,(EU196-ET196)/ET196*100)</f>
        <v>0</v>
      </c>
      <c r="EW196" s="833"/>
      <c r="EX196" s="833"/>
      <c r="EY196" s="723">
        <f>IF(EW196=0,0,(EX196-EW196)/EW196*100)</f>
        <v>0</v>
      </c>
      <c r="EZ196" s="833"/>
      <c r="FA196" s="833"/>
      <c r="FB196" s="723">
        <f>IF(EZ196=0,0,(FA196-EZ196)/EZ196*100)</f>
        <v>0</v>
      </c>
      <c r="FC196" s="833"/>
      <c r="FD196" s="833"/>
      <c r="FE196" s="723">
        <f>IF(FC196=0,0,(FD196-FC196)/FC196*100)</f>
        <v>0</v>
      </c>
      <c r="FF196" s="833"/>
      <c r="FG196" s="833"/>
      <c r="FH196" s="723">
        <f>IF(FF196=0,0,(FG196-FF196)/FF196*100)</f>
        <v>0</v>
      </c>
      <c r="FI196" s="833"/>
      <c r="FJ196" s="833"/>
      <c r="FK196" s="723">
        <f>IF(FI196=0,0,(FJ196-FI196)/FI196*100)</f>
        <v>0</v>
      </c>
      <c r="FL196" s="833"/>
      <c r="FM196" s="833"/>
      <c r="FN196" s="723">
        <f>IF(FL196=0,0,(FM196-FL196)/FL196*100)</f>
        <v>0</v>
      </c>
      <c r="FO196" s="833"/>
      <c r="FP196" s="833"/>
      <c r="FQ196" s="723">
        <f>IF(FO196=0,0,(FP196-FO196)/FO196*100)</f>
        <v>0</v>
      </c>
      <c r="FR196" s="833"/>
      <c r="FS196" s="833"/>
      <c r="FT196" s="723">
        <f>IF(FR196=0,0,(FS196-FR196)/FR196*100)</f>
        <v>0</v>
      </c>
      <c r="FU196" s="833"/>
      <c r="FV196" s="833"/>
      <c r="FW196" s="723">
        <f>IF(FU196=0,0,(FV196-FU196)/FU196*100)</f>
        <v>0</v>
      </c>
      <c r="FZ196" s="700" t="s">
        <v>1690</v>
      </c>
    </row>
    <row r="197" spans="1:186" ht="18" hidden="1" customHeight="1">
      <c r="A197" s="78"/>
      <c r="B197" s="622" t="b" cm="1">
        <f t="array" ref="B197">B196</f>
        <v>0</v>
      </c>
      <c r="C197" s="78"/>
      <c r="D197" s="78"/>
      <c r="E197" s="473">
        <v>18.75</v>
      </c>
      <c r="F197" s="3" t="str" cm="1">
        <f t="array" aca="1" ref="F197" ca="1">OFFSET(E197,-1,1)</f>
        <v>2</v>
      </c>
      <c r="G197" s="78"/>
      <c r="H197" s="78"/>
      <c r="I197" s="78"/>
      <c r="J197" s="78"/>
      <c r="K197" s="78"/>
      <c r="L197" s="78"/>
      <c r="M197" s="78"/>
      <c r="N197" s="78"/>
      <c r="O197" s="78"/>
      <c r="P197" s="78"/>
      <c r="Q197" s="78"/>
      <c r="R197" s="78"/>
      <c r="S197" s="78"/>
      <c r="T197" s="365" t="b">
        <f ca="1">AND(F197&gt;0,Y197&gt;0)</f>
        <v>0</v>
      </c>
      <c r="U197" s="78"/>
      <c r="V197" s="78"/>
      <c r="W197" s="78" t="s">
        <v>173</v>
      </c>
      <c r="X197" s="1094"/>
      <c r="Y197" s="1094">
        <v>0</v>
      </c>
      <c r="Z197" s="1064"/>
      <c r="AA197" s="1049" t="s">
        <v>174</v>
      </c>
      <c r="AB197" s="944"/>
      <c r="AC197" s="594"/>
      <c r="AD197" s="729"/>
      <c r="AE197" s="730"/>
      <c r="AF197" s="730"/>
      <c r="AG197" s="729"/>
      <c r="AH197" s="730"/>
      <c r="AI197" s="730"/>
      <c r="AJ197" s="729"/>
      <c r="AK197" s="730"/>
      <c r="AL197" s="730"/>
      <c r="AM197" s="729"/>
      <c r="AN197" s="730"/>
      <c r="AO197" s="730"/>
      <c r="AP197" s="729"/>
      <c r="AQ197" s="730"/>
      <c r="AR197" s="730"/>
      <c r="AS197" s="729"/>
      <c r="AT197" s="730"/>
      <c r="AU197" s="730"/>
      <c r="AV197" s="729"/>
      <c r="AW197" s="730"/>
      <c r="AX197" s="730"/>
      <c r="AY197" s="729"/>
      <c r="AZ197" s="730"/>
      <c r="BA197" s="730"/>
      <c r="BB197" s="729"/>
      <c r="BC197" s="730"/>
      <c r="BD197" s="730"/>
      <c r="BE197" s="729"/>
      <c r="BF197" s="730"/>
      <c r="BG197" s="730"/>
      <c r="BH197" s="729"/>
      <c r="BI197" s="730"/>
      <c r="BJ197" s="730"/>
      <c r="BK197" s="729"/>
      <c r="BL197" s="730"/>
      <c r="BM197" s="730"/>
      <c r="BN197" s="729"/>
      <c r="BO197" s="730"/>
      <c r="BP197" s="730"/>
      <c r="BQ197" s="729"/>
      <c r="BR197" s="730"/>
      <c r="BS197" s="730"/>
      <c r="BT197" s="729"/>
      <c r="BU197" s="730"/>
      <c r="BV197" s="730"/>
      <c r="BW197" s="729"/>
      <c r="BX197" s="730"/>
      <c r="BY197" s="730"/>
      <c r="BZ197" s="729"/>
      <c r="CA197" s="730"/>
      <c r="CB197" s="730"/>
      <c r="CC197" s="729"/>
      <c r="CD197" s="730"/>
      <c r="CE197" s="730"/>
      <c r="CF197" s="729"/>
      <c r="CG197" s="730"/>
      <c r="CH197" s="730"/>
      <c r="CI197" s="729"/>
      <c r="CJ197" s="730"/>
      <c r="CK197" s="730"/>
      <c r="CL197" s="729"/>
      <c r="CM197" s="730"/>
      <c r="CN197" s="730"/>
      <c r="CO197" s="729"/>
      <c r="CP197" s="730"/>
      <c r="CQ197" s="730"/>
      <c r="CR197" s="729"/>
      <c r="CS197" s="730"/>
      <c r="CT197" s="730"/>
      <c r="CU197" s="729"/>
      <c r="CV197" s="730"/>
      <c r="CW197" s="730"/>
      <c r="CX197" s="729"/>
      <c r="CY197" s="730"/>
      <c r="CZ197" s="730"/>
      <c r="DA197" s="729"/>
      <c r="DB197" s="730"/>
      <c r="DC197" s="730"/>
      <c r="DD197" s="729"/>
      <c r="DE197" s="730"/>
      <c r="DF197" s="730"/>
      <c r="DG197" s="729"/>
      <c r="DH197" s="730"/>
      <c r="DI197" s="730"/>
      <c r="DJ197" s="729"/>
      <c r="DK197" s="730"/>
      <c r="DL197" s="730"/>
      <c r="DM197" s="729"/>
      <c r="DN197" s="730"/>
      <c r="DO197" s="730"/>
      <c r="DP197" s="729"/>
      <c r="DQ197" s="730"/>
      <c r="DR197" s="730"/>
      <c r="DS197" s="729"/>
      <c r="DT197" s="730"/>
      <c r="DU197" s="730"/>
      <c r="DV197" s="729"/>
      <c r="DW197" s="730"/>
      <c r="DX197" s="730"/>
      <c r="DY197" s="729"/>
      <c r="DZ197" s="730"/>
      <c r="EA197" s="730"/>
      <c r="EB197" s="729"/>
      <c r="EC197" s="730"/>
      <c r="ED197" s="730"/>
      <c r="EE197" s="729"/>
      <c r="EF197" s="730"/>
      <c r="EG197" s="730"/>
      <c r="EH197" s="729"/>
      <c r="EI197" s="730"/>
      <c r="EJ197" s="730"/>
      <c r="EK197" s="729"/>
      <c r="EL197" s="730"/>
      <c r="EM197" s="730"/>
      <c r="EN197" s="729"/>
      <c r="EO197" s="730"/>
      <c r="EP197" s="730"/>
      <c r="EQ197" s="729"/>
      <c r="ER197" s="730"/>
      <c r="ES197" s="730"/>
      <c r="ET197" s="729"/>
      <c r="EU197" s="730"/>
      <c r="EV197" s="730"/>
      <c r="EW197" s="729"/>
      <c r="EX197" s="730"/>
      <c r="EY197" s="730"/>
      <c r="EZ197" s="729"/>
      <c r="FA197" s="730"/>
      <c r="FB197" s="730"/>
      <c r="FC197" s="729"/>
      <c r="FD197" s="730"/>
      <c r="FE197" s="730"/>
      <c r="FF197" s="729"/>
      <c r="FG197" s="730"/>
      <c r="FH197" s="730"/>
      <c r="FI197" s="729"/>
      <c r="FJ197" s="730"/>
      <c r="FK197" s="730"/>
      <c r="FL197" s="729"/>
      <c r="FM197" s="730"/>
      <c r="FN197" s="730"/>
      <c r="FO197" s="729"/>
      <c r="FP197" s="730"/>
      <c r="FQ197" s="730"/>
      <c r="FR197" s="729"/>
      <c r="FS197" s="730"/>
      <c r="FT197" s="730"/>
      <c r="FU197" s="729"/>
      <c r="FV197" s="730"/>
      <c r="FW197" s="731"/>
      <c r="FZ197" s="700"/>
      <c r="GD197" s="472" t="b">
        <v>1</v>
      </c>
    </row>
    <row r="198" spans="1:186" ht="14.25" hidden="1" customHeight="1">
      <c r="A198" s="78"/>
      <c r="B198" s="622" t="b" cm="1">
        <f t="array" ref="B198">B197</f>
        <v>0</v>
      </c>
      <c r="C198" s="78"/>
      <c r="D198" s="78"/>
      <c r="E198" s="473">
        <v>15</v>
      </c>
      <c r="F198" s="3" t="str" cm="1">
        <f t="array" aca="1" ref="F198" ca="1">OFFSET(E198,-1,1)</f>
        <v>2</v>
      </c>
      <c r="G198" s="78"/>
      <c r="H198" s="78" t="s">
        <v>1562</v>
      </c>
      <c r="I198" s="78" cm="1">
        <f t="array" ref="I198">AB197</f>
        <v>0</v>
      </c>
      <c r="J198" s="78"/>
      <c r="K198" s="78"/>
      <c r="L198" s="78"/>
      <c r="M198" s="78"/>
      <c r="N198" s="78"/>
      <c r="O198" s="78"/>
      <c r="P198" s="78"/>
      <c r="Q198" s="78"/>
      <c r="R198" s="78"/>
      <c r="S198" s="78"/>
      <c r="T198" s="365" t="b" cm="1">
        <f t="array" aca="1" ref="T198" ca="1">T197</f>
        <v>0</v>
      </c>
      <c r="U198" s="78"/>
      <c r="V198" s="78"/>
      <c r="W198" s="78"/>
      <c r="X198" s="1094"/>
      <c r="Y198" s="1094"/>
      <c r="Z198" s="1064"/>
      <c r="AA198" s="1049"/>
      <c r="AB198" s="124" t="s">
        <v>1657</v>
      </c>
      <c r="AC198" s="31" t="s">
        <v>1624</v>
      </c>
      <c r="AD198" s="833">
        <f>IF(AD200=0,0,(AD199*AD200+AD201*AD202*IF(god=2026,3,6))/AD200)</f>
        <v>0</v>
      </c>
      <c r="AE198" s="833">
        <f>IF(AE200=0,0,(AE199*AE200+AE201*AE202*IF(god=2026,3,6))/AE200)</f>
        <v>0</v>
      </c>
      <c r="AF198" s="723">
        <f>IF(AD198=0,0,(AE198-AD198)/AD198*100)</f>
        <v>0</v>
      </c>
      <c r="AG198" s="833">
        <f>IF(AG200=0,0,(AG199*AG200+AG201*AG202*IF(god=2025,3,6))/AG200)</f>
        <v>0</v>
      </c>
      <c r="AH198" s="833">
        <f>IF(AH200=0,0,(AH199*AH200+AH201*AH202*IF(god=2025,3,6))/AH200)</f>
        <v>0</v>
      </c>
      <c r="AI198" s="723">
        <f>IF(AG198=0,0,(AH198-AG198)/AG198*100)</f>
        <v>0</v>
      </c>
      <c r="AJ198" s="833">
        <f>IF(AJ200=0,0,(AJ199*AJ200+AJ201*AJ202*6)/AJ200)</f>
        <v>0</v>
      </c>
      <c r="AK198" s="833">
        <f>IF(AK200=0,0,(AK199*AK200+AK201*AK202*6)/AK200)</f>
        <v>0</v>
      </c>
      <c r="AL198" s="723">
        <f>IF(AJ198=0,0,(AK198-AJ198)/AJ198*100)</f>
        <v>0</v>
      </c>
      <c r="AM198" s="833">
        <f>IF(AM200=0,0,(AM199*AM200+AM201*AM202*6)/AM200)</f>
        <v>0</v>
      </c>
      <c r="AN198" s="833">
        <f>IF(AN200=0,0,(AN199*AN200+AN201*AN202*6)/AN200)</f>
        <v>0</v>
      </c>
      <c r="AO198" s="723">
        <f>IF(AM198=0,0,(AN198-AM198)/AM198*100)</f>
        <v>0</v>
      </c>
      <c r="AP198" s="833">
        <f>IF(AP200=0,0,(AP199*AP200+AP201*AP202*6)/AP200)</f>
        <v>0</v>
      </c>
      <c r="AQ198" s="833">
        <f>IF(AQ200=0,0,(AQ199*AQ200+AQ201*AQ202*6)/AQ200)</f>
        <v>0</v>
      </c>
      <c r="AR198" s="723">
        <f>IF(AP198=0,0,(AQ198-AP198)/AP198*100)</f>
        <v>0</v>
      </c>
      <c r="AS198" s="833">
        <f>IF(AS200=0,0,(AS199*AS200+AS201*AS202*6)/AS200)</f>
        <v>0</v>
      </c>
      <c r="AT198" s="833">
        <f>IF(AT200=0,0,(AT199*AT200+AT201*AT202*6)/AT200)</f>
        <v>0</v>
      </c>
      <c r="AU198" s="723">
        <f>IF(AS198=0,0,(AT198-AS198)/AS198*100)</f>
        <v>0</v>
      </c>
      <c r="AV198" s="833">
        <f>IF(AV200=0,0,(AV199*AV200+AV201*AV202*6)/AV200)</f>
        <v>0</v>
      </c>
      <c r="AW198" s="833">
        <f>IF(AW200=0,0,(AW199*AW200+AW201*AW202*6)/AW200)</f>
        <v>0</v>
      </c>
      <c r="AX198" s="723">
        <f>IF(AV198=0,0,(AW198-AV198)/AV198*100)</f>
        <v>0</v>
      </c>
      <c r="AY198" s="833">
        <f>IF(AY200=0,0,(AY199*AY200+AY201*AY202*6)/AY200)</f>
        <v>0</v>
      </c>
      <c r="AZ198" s="833">
        <f>IF(AZ200=0,0,(AZ199*AZ200+AZ201*AZ202*6)/AZ200)</f>
        <v>0</v>
      </c>
      <c r="BA198" s="723">
        <f>IF(AY198=0,0,(AZ198-AY198)/AY198*100)</f>
        <v>0</v>
      </c>
      <c r="BB198" s="833">
        <f>IF(BB200=0,0,(BB199*BB200+BB201*BB202*6)/BB200)</f>
        <v>0</v>
      </c>
      <c r="BC198" s="833">
        <f>IF(BC200=0,0,(BC199*BC200+BC201*BC202*6)/BC200)</f>
        <v>0</v>
      </c>
      <c r="BD198" s="723">
        <f>IF(BB198=0,0,(BC198-BB198)/BB198*100)</f>
        <v>0</v>
      </c>
      <c r="BE198" s="833">
        <f>IF(BE200=0,0,(BE199*BE200+BE201*BE202*6)/BE200)</f>
        <v>0</v>
      </c>
      <c r="BF198" s="833">
        <f>IF(BF200=0,0,(BF199*BF200+BF201*BF202*6)/BF200)</f>
        <v>0</v>
      </c>
      <c r="BG198" s="723">
        <f>IF(BE198=0,0,(BF198-BE198)/BE198*100)</f>
        <v>0</v>
      </c>
      <c r="BH198" s="833">
        <f>IF(BH200=0,0,(BH199*BH200+BH201*BH202*6)/BH200)</f>
        <v>0</v>
      </c>
      <c r="BI198" s="833">
        <f>IF(BI200=0,0,(BI199*BI200+BI201*BI202*6)/BI200)</f>
        <v>0</v>
      </c>
      <c r="BJ198" s="723">
        <f>IF(BH198=0,0,(BI198-BH198)/BH198*100)</f>
        <v>0</v>
      </c>
      <c r="BK198" s="833">
        <f>IF(BK200=0,0,(BK199*BK200+BK201*BK202*6)/BK200)</f>
        <v>0</v>
      </c>
      <c r="BL198" s="833">
        <f>IF(BL200=0,0,(BL199*BL200+BL201*BL202*6)/BL200)</f>
        <v>0</v>
      </c>
      <c r="BM198" s="723">
        <f>IF(BK198=0,0,(BL198-BK198)/BK198*100)</f>
        <v>0</v>
      </c>
      <c r="BN198" s="833">
        <f>IF(BN200=0,0,(BN199*BN200+BN201*BN202*6)/BN200)</f>
        <v>0</v>
      </c>
      <c r="BO198" s="833">
        <f>IF(BO200=0,0,(BO199*BO200+BO201*BO202*6)/BO200)</f>
        <v>0</v>
      </c>
      <c r="BP198" s="723">
        <f>IF(BN198=0,0,(BO198-BN198)/BN198*100)</f>
        <v>0</v>
      </c>
      <c r="BQ198" s="833">
        <f>IF(BQ200=0,0,(BQ199*BQ200+BQ201*BQ202*6)/BQ200)</f>
        <v>0</v>
      </c>
      <c r="BR198" s="833">
        <f>IF(BR200=0,0,(BR199*BR200+BR201*BR202*6)/BR200)</f>
        <v>0</v>
      </c>
      <c r="BS198" s="723">
        <f>IF(BQ198=0,0,(BR198-BQ198)/BQ198*100)</f>
        <v>0</v>
      </c>
      <c r="BT198" s="833">
        <f>IF(BT200=0,0,(BT199*BT200+BT201*BT202*6)/BT200)</f>
        <v>0</v>
      </c>
      <c r="BU198" s="833">
        <f>IF(BU200=0,0,(BU199*BU200+BU201*BU202*6)/BU200)</f>
        <v>0</v>
      </c>
      <c r="BV198" s="723">
        <f>IF(BT198=0,0,(BU198-BT198)/BT198*100)</f>
        <v>0</v>
      </c>
      <c r="BW198" s="833">
        <f>IF(BW200=0,0,(BW199*BW200+BW201*BW202*6)/BW200)</f>
        <v>0</v>
      </c>
      <c r="BX198" s="833">
        <f>IF(BX200=0,0,(BX199*BX200+BX201*BX202*6)/BX200)</f>
        <v>0</v>
      </c>
      <c r="BY198" s="723">
        <f>IF(BW198=0,0,(BX198-BW198)/BW198*100)</f>
        <v>0</v>
      </c>
      <c r="BZ198" s="833">
        <f>IF(BZ200=0,0,(BZ199*BZ200+BZ201*BZ202*6)/BZ200)</f>
        <v>0</v>
      </c>
      <c r="CA198" s="833">
        <f>IF(CA200=0,0,(CA199*CA200+CA201*CA202*6)/CA200)</f>
        <v>0</v>
      </c>
      <c r="CB198" s="723">
        <f>IF(BZ198=0,0,(CA198-BZ198)/BZ198*100)</f>
        <v>0</v>
      </c>
      <c r="CC198" s="833">
        <f>IF(CC200=0,0,(CC199*CC200+CC201*CC202*6)/CC200)</f>
        <v>0</v>
      </c>
      <c r="CD198" s="833">
        <f>IF(CD200=0,0,(CD199*CD200+CD201*CD202*6)/CD200)</f>
        <v>0</v>
      </c>
      <c r="CE198" s="723">
        <f>IF(CC198=0,0,(CD198-CC198)/CC198*100)</f>
        <v>0</v>
      </c>
      <c r="CF198" s="833">
        <f>IF(CF200=0,0,(CF199*CF200+CF201*CF202*6)/CF200)</f>
        <v>0</v>
      </c>
      <c r="CG198" s="833">
        <f>IF(CG200=0,0,(CG199*CG200+CG201*CG202*6)/CG200)</f>
        <v>0</v>
      </c>
      <c r="CH198" s="723">
        <f>IF(CF198=0,0,(CG198-CF198)/CF198*100)</f>
        <v>0</v>
      </c>
      <c r="CI198" s="833">
        <f>IF(CI200=0,0,(CI199*CI200+CI201*CI202*6)/CI200)</f>
        <v>0</v>
      </c>
      <c r="CJ198" s="833">
        <f>IF(CJ200=0,0,(CJ199*CJ200+CJ201*CJ202*6)/CJ200)</f>
        <v>0</v>
      </c>
      <c r="CK198" s="723">
        <f>IF(CI198=0,0,(CJ198-CI198)/CI198*100)</f>
        <v>0</v>
      </c>
      <c r="CL198" s="833">
        <f>IF(CL200=0,0,(CL199*CL200+CL201*CL202*6)/CL200)</f>
        <v>0</v>
      </c>
      <c r="CM198" s="833">
        <f>IF(CM200=0,0,(CM199*CM200+CM201*CM202*6)/CM200)</f>
        <v>0</v>
      </c>
      <c r="CN198" s="723">
        <f>IF(CL198=0,0,(CM198-CL198)/CL198*100)</f>
        <v>0</v>
      </c>
      <c r="CO198" s="833">
        <f>IF(CO200=0,0,(CO199*CO200+CO201*CO202*6)/CO200)</f>
        <v>0</v>
      </c>
      <c r="CP198" s="833">
        <f>IF(CP200=0,0,(CP199*CP200+CP201*CP202*6)/CP200)</f>
        <v>0</v>
      </c>
      <c r="CQ198" s="723">
        <f>IF(CO198=0,0,(CP198-CO198)/CO198*100)</f>
        <v>0</v>
      </c>
      <c r="CR198" s="833">
        <f>IF(CR200=0,0,(CR199*CR200+CR201*CR202*6)/CR200)</f>
        <v>0</v>
      </c>
      <c r="CS198" s="833">
        <f>IF(CS200=0,0,(CS199*CS200+CS201*CS202*6)/CS200)</f>
        <v>0</v>
      </c>
      <c r="CT198" s="723">
        <f>IF(CR198=0,0,(CS198-CR198)/CR198*100)</f>
        <v>0</v>
      </c>
      <c r="CU198" s="833">
        <f>IF(CU200=0,0,(CU199*CU200+CU201*CU202*6)/CU200)</f>
        <v>0</v>
      </c>
      <c r="CV198" s="833">
        <f>IF(CV200=0,0,(CV199*CV200+CV201*CV202*6)/CV200)</f>
        <v>0</v>
      </c>
      <c r="CW198" s="723">
        <f>IF(CU198=0,0,(CV198-CU198)/CU198*100)</f>
        <v>0</v>
      </c>
      <c r="CX198" s="833">
        <f>IF(CX200=0,0,(CX199*CX200+CX201*CX202*6)/CX200)</f>
        <v>0</v>
      </c>
      <c r="CY198" s="833">
        <f>IF(CY200=0,0,(CY199*CY200+CY201*CY202*6)/CY200)</f>
        <v>0</v>
      </c>
      <c r="CZ198" s="723">
        <f>IF(CX198=0,0,(CY198-CX198)/CX198*100)</f>
        <v>0</v>
      </c>
      <c r="DA198" s="833">
        <f>IF(DA200=0,0,(DA199*DA200+DA201*DA202*6)/DA200)</f>
        <v>0</v>
      </c>
      <c r="DB198" s="833">
        <f>IF(DB200=0,0,(DB199*DB200+DB201*DB202*6)/DB200)</f>
        <v>0</v>
      </c>
      <c r="DC198" s="723">
        <f>IF(DA198=0,0,(DB198-DA198)/DA198*100)</f>
        <v>0</v>
      </c>
      <c r="DD198" s="833">
        <f>IF(DD200=0,0,(DD199*DD200+DD201*DD202*6)/DD200)</f>
        <v>0</v>
      </c>
      <c r="DE198" s="833">
        <f>IF(DE200=0,0,(DE199*DE200+DE201*DE202*6)/DE200)</f>
        <v>0</v>
      </c>
      <c r="DF198" s="723">
        <f>IF(DD198=0,0,(DE198-DD198)/DD198*100)</f>
        <v>0</v>
      </c>
      <c r="DG198" s="833">
        <f>IF(DG200=0,0,(DG199*DG200+DG201*DG202*6)/DG200)</f>
        <v>0</v>
      </c>
      <c r="DH198" s="833">
        <f>IF(DH200=0,0,(DH199*DH200+DH201*DH202*6)/DH200)</f>
        <v>0</v>
      </c>
      <c r="DI198" s="723">
        <f>IF(DG198=0,0,(DH198-DG198)/DG198*100)</f>
        <v>0</v>
      </c>
      <c r="DJ198" s="833">
        <f>IF(DJ200=0,0,(DJ199*DJ200+DJ201*DJ202*6)/DJ200)</f>
        <v>0</v>
      </c>
      <c r="DK198" s="833">
        <f>IF(DK200=0,0,(DK199*DK200+DK201*DK202*6)/DK200)</f>
        <v>0</v>
      </c>
      <c r="DL198" s="723">
        <f>IF(DJ198=0,0,(DK198-DJ198)/DJ198*100)</f>
        <v>0</v>
      </c>
      <c r="DM198" s="833">
        <f>IF(DM200=0,0,(DM199*DM200+DM201*DM202*6)/DM200)</f>
        <v>0</v>
      </c>
      <c r="DN198" s="833">
        <f>IF(DN200=0,0,(DN199*DN200+DN201*DN202*6)/DN200)</f>
        <v>0</v>
      </c>
      <c r="DO198" s="723">
        <f>IF(DM198=0,0,(DN198-DM198)/DM198*100)</f>
        <v>0</v>
      </c>
      <c r="DP198" s="833">
        <f>IF(DP200=0,0,(DP199*DP200+DP201*DP202*6)/DP200)</f>
        <v>0</v>
      </c>
      <c r="DQ198" s="833">
        <f>IF(DQ200=0,0,(DQ199*DQ200+DQ201*DQ202*6)/DQ200)</f>
        <v>0</v>
      </c>
      <c r="DR198" s="723">
        <f>IF(DP198=0,0,(DQ198-DP198)/DP198*100)</f>
        <v>0</v>
      </c>
      <c r="DS198" s="833">
        <f>IF(DS200=0,0,(DS199*DS200+DS201*DS202*6)/DS200)</f>
        <v>0</v>
      </c>
      <c r="DT198" s="833">
        <f>IF(DT200=0,0,(DT199*DT200+DT201*DT202*6)/DT200)</f>
        <v>0</v>
      </c>
      <c r="DU198" s="723">
        <f>IF(DS198=0,0,(DT198-DS198)/DS198*100)</f>
        <v>0</v>
      </c>
      <c r="DV198" s="833">
        <f>IF(DV200=0,0,(DV199*DV200+DV201*DV202*6)/DV200)</f>
        <v>0</v>
      </c>
      <c r="DW198" s="833">
        <f>IF(DW200=0,0,(DW199*DW200+DW201*DW202*6)/DW200)</f>
        <v>0</v>
      </c>
      <c r="DX198" s="723">
        <f>IF(DV198=0,0,(DW198-DV198)/DV198*100)</f>
        <v>0</v>
      </c>
      <c r="DY198" s="833">
        <f>IF(DY200=0,0,(DY199*DY200+DY201*DY202*6)/DY200)</f>
        <v>0</v>
      </c>
      <c r="DZ198" s="833">
        <f>IF(DZ200=0,0,(DZ199*DZ200+DZ201*DZ202*6)/DZ200)</f>
        <v>0</v>
      </c>
      <c r="EA198" s="723">
        <f>IF(DY198=0,0,(DZ198-DY198)/DY198*100)</f>
        <v>0</v>
      </c>
      <c r="EB198" s="833">
        <f>IF(EB200=0,0,(EB199*EB200+EB201*EB202*6)/EB200)</f>
        <v>0</v>
      </c>
      <c r="EC198" s="833">
        <f>IF(EC200=0,0,(EC199*EC200+EC201*EC202*6)/EC200)</f>
        <v>0</v>
      </c>
      <c r="ED198" s="723">
        <f>IF(EB198=0,0,(EC198-EB198)/EB198*100)</f>
        <v>0</v>
      </c>
      <c r="EE198" s="833">
        <f>IF(EE200=0,0,(EE199*EE200+EE201*EE202*6)/EE200)</f>
        <v>0</v>
      </c>
      <c r="EF198" s="833">
        <f>IF(EF200=0,0,(EF199*EF200+EF201*EF202*6)/EF200)</f>
        <v>0</v>
      </c>
      <c r="EG198" s="723">
        <f>IF(EE198=0,0,(EF198-EE198)/EE198*100)</f>
        <v>0</v>
      </c>
      <c r="EH198" s="833">
        <f>IF(EH200=0,0,(EH199*EH200+EH201*EH202*6)/EH200)</f>
        <v>0</v>
      </c>
      <c r="EI198" s="833">
        <f>IF(EI200=0,0,(EI199*EI200+EI201*EI202*6)/EI200)</f>
        <v>0</v>
      </c>
      <c r="EJ198" s="723">
        <f>IF(EH198=0,0,(EI198-EH198)/EH198*100)</f>
        <v>0</v>
      </c>
      <c r="EK198" s="833">
        <f>IF(EK200=0,0,(EK199*EK200+EK201*EK202*6)/EK200)</f>
        <v>0</v>
      </c>
      <c r="EL198" s="833">
        <f>IF(EL200=0,0,(EL199*EL200+EL201*EL202*6)/EL200)</f>
        <v>0</v>
      </c>
      <c r="EM198" s="723">
        <f>IF(EK198=0,0,(EL198-EK198)/EK198*100)</f>
        <v>0</v>
      </c>
      <c r="EN198" s="833">
        <f>IF(EN200=0,0,(EN199*EN200+EN201*EN202*6)/EN200)</f>
        <v>0</v>
      </c>
      <c r="EO198" s="833">
        <f>IF(EO200=0,0,(EO199*EO200+EO201*EO202*6)/EO200)</f>
        <v>0</v>
      </c>
      <c r="EP198" s="723">
        <f>IF(EN198=0,0,(EO198-EN198)/EN198*100)</f>
        <v>0</v>
      </c>
      <c r="EQ198" s="833">
        <f>IF(EQ200=0,0,(EQ199*EQ200+EQ201*EQ202*6)/EQ200)</f>
        <v>0</v>
      </c>
      <c r="ER198" s="833">
        <f>IF(ER200=0,0,(ER199*ER200+ER201*ER202*6)/ER200)</f>
        <v>0</v>
      </c>
      <c r="ES198" s="723">
        <f>IF(EQ198=0,0,(ER198-EQ198)/EQ198*100)</f>
        <v>0</v>
      </c>
      <c r="ET198" s="833">
        <f>IF(ET200=0,0,(ET199*ET200+ET201*ET202*6)/ET200)</f>
        <v>0</v>
      </c>
      <c r="EU198" s="833">
        <f>IF(EU200=0,0,(EU199*EU200+EU201*EU202*6)/EU200)</f>
        <v>0</v>
      </c>
      <c r="EV198" s="723">
        <f>IF(ET198=0,0,(EU198-ET198)/ET198*100)</f>
        <v>0</v>
      </c>
      <c r="EW198" s="833">
        <f>IF(EW200=0,0,(EW199*EW200+EW201*EW202*6)/EW200)</f>
        <v>0</v>
      </c>
      <c r="EX198" s="833">
        <f>IF(EX200=0,0,(EX199*EX200+EX201*EX202*6)/EX200)</f>
        <v>0</v>
      </c>
      <c r="EY198" s="723">
        <f>IF(EW198=0,0,(EX198-EW198)/EW198*100)</f>
        <v>0</v>
      </c>
      <c r="EZ198" s="833">
        <f>IF(EZ200=0,0,(EZ199*EZ200+EZ201*EZ202*6)/EZ200)</f>
        <v>0</v>
      </c>
      <c r="FA198" s="833">
        <f>IF(FA200=0,0,(FA199*FA200+FA201*FA202*6)/FA200)</f>
        <v>0</v>
      </c>
      <c r="FB198" s="723">
        <f>IF(EZ198=0,0,(FA198-EZ198)/EZ198*100)</f>
        <v>0</v>
      </c>
      <c r="FC198" s="833">
        <f>IF(FC200=0,0,(FC199*FC200+FC201*FC202*6)/FC200)</f>
        <v>0</v>
      </c>
      <c r="FD198" s="833">
        <f>IF(FD200=0,0,(FD199*FD200+FD201*FD202*6)/FD200)</f>
        <v>0</v>
      </c>
      <c r="FE198" s="723">
        <f>IF(FC198=0,0,(FD198-FC198)/FC198*100)</f>
        <v>0</v>
      </c>
      <c r="FF198" s="833">
        <f>IF(FF200=0,0,(FF199*FF200+FF201*FF202*6)/FF200)</f>
        <v>0</v>
      </c>
      <c r="FG198" s="833">
        <f>IF(FG200=0,0,(FG199*FG200+FG201*FG202*6)/FG200)</f>
        <v>0</v>
      </c>
      <c r="FH198" s="723">
        <f>IF(FF198=0,0,(FG198-FF198)/FF198*100)</f>
        <v>0</v>
      </c>
      <c r="FI198" s="833">
        <f>IF(FI200=0,0,(FI199*FI200+FI201*FI202*6)/FI200)</f>
        <v>0</v>
      </c>
      <c r="FJ198" s="833">
        <f>IF(FJ200=0,0,(FJ199*FJ200+FJ201*FJ202*6)/FJ200)</f>
        <v>0</v>
      </c>
      <c r="FK198" s="723">
        <f>IF(FI198=0,0,(FJ198-FI198)/FI198*100)</f>
        <v>0</v>
      </c>
      <c r="FL198" s="833">
        <f>IF(FL200=0,0,(FL199*FL200+FL201*FL202*6)/FL200)</f>
        <v>0</v>
      </c>
      <c r="FM198" s="833">
        <f>IF(FM200=0,0,(FM199*FM200+FM201*FM202*6)/FM200)</f>
        <v>0</v>
      </c>
      <c r="FN198" s="723">
        <f>IF(FL198=0,0,(FM198-FL198)/FL198*100)</f>
        <v>0</v>
      </c>
      <c r="FO198" s="833">
        <f>IF(FO200=0,0,(FO199*FO200+FO201*FO202*6)/FO200)</f>
        <v>0</v>
      </c>
      <c r="FP198" s="833">
        <f>IF(FP200=0,0,(FP199*FP200+FP201*FP202*6)/FP200)</f>
        <v>0</v>
      </c>
      <c r="FQ198" s="723">
        <f>IF(FO198=0,0,(FP198-FO198)/FO198*100)</f>
        <v>0</v>
      </c>
      <c r="FR198" s="833">
        <f>IF(FR200=0,0,(FR199*FR200+FR201*FR202*6)/FR200)</f>
        <v>0</v>
      </c>
      <c r="FS198" s="833">
        <f>IF(FS200=0,0,(FS199*FS200+FS201*FS202*6)/FS200)</f>
        <v>0</v>
      </c>
      <c r="FT198" s="723">
        <f>IF(FR198=0,0,(FS198-FR198)/FR198*100)</f>
        <v>0</v>
      </c>
      <c r="FU198" s="833">
        <f>IF(FU200=0,0,(FU199*FU200+FU201*FU202*6)/FU200)</f>
        <v>0</v>
      </c>
      <c r="FV198" s="833">
        <f>IF(FV200=0,0,(FV199*FV200+FV201*FV202*6)/FV200)</f>
        <v>0</v>
      </c>
      <c r="FW198" s="723">
        <f>IF(FU198=0,0,(FV198-FU198)/FU198*100)</f>
        <v>0</v>
      </c>
      <c r="FZ198" s="700" t="s">
        <v>1691</v>
      </c>
      <c r="GA198" s="680" t="s">
        <v>865</v>
      </c>
      <c r="GB198" s="702" cm="1">
        <f t="array" ref="GB198">AB197</f>
        <v>0</v>
      </c>
    </row>
    <row r="199" spans="1:186" ht="14.25" hidden="1" customHeight="1">
      <c r="A199" s="78"/>
      <c r="B199" s="622" t="b" cm="1">
        <f t="array" ref="B199">B198</f>
        <v>0</v>
      </c>
      <c r="C199" s="78"/>
      <c r="D199" s="78"/>
      <c r="E199" s="473">
        <v>15</v>
      </c>
      <c r="F199" s="3" t="str" cm="1">
        <f t="array" aca="1" ref="F199" ca="1">OFFSET(E199,-1,1)</f>
        <v>2</v>
      </c>
      <c r="G199" s="78"/>
      <c r="H199" s="78" t="s">
        <v>1566</v>
      </c>
      <c r="I199" s="78" cm="1">
        <f t="array" ref="I199">I198</f>
        <v>0</v>
      </c>
      <c r="J199" s="78"/>
      <c r="K199" s="78"/>
      <c r="L199" s="78"/>
      <c r="M199" s="78"/>
      <c r="N199" s="78"/>
      <c r="O199" s="78"/>
      <c r="P199" s="78"/>
      <c r="Q199" s="78"/>
      <c r="R199" s="78"/>
      <c r="S199" s="78"/>
      <c r="T199" s="365" t="b" cm="1">
        <f t="array" aca="1" ref="T199" ca="1">T198</f>
        <v>0</v>
      </c>
      <c r="U199" s="78"/>
      <c r="V199" s="78"/>
      <c r="W199" s="78"/>
      <c r="X199" s="1094"/>
      <c r="Y199" s="1094"/>
      <c r="Z199" s="1064"/>
      <c r="AA199" s="1049"/>
      <c r="AB199" s="124" t="str">
        <f>"ставка платы за "&amp;IF(Q155="Водоснабжение","потребление 1 куб.м холодной воды","объем принятых сточных вод")</f>
        <v>ставка платы за объем принятых сточных вод</v>
      </c>
      <c r="AC199" s="31" t="s">
        <v>1624</v>
      </c>
      <c r="AD199" s="833"/>
      <c r="AE199" s="833"/>
      <c r="AF199" s="723">
        <f>IF(AD199=0,0,(AE199-AD199)/AD199*100)</f>
        <v>0</v>
      </c>
      <c r="AG199" s="833"/>
      <c r="AH199" s="833"/>
      <c r="AI199" s="723">
        <f>IF(AG199=0,0,(AH199-AG199)/AG199*100)</f>
        <v>0</v>
      </c>
      <c r="AJ199" s="833"/>
      <c r="AK199" s="833"/>
      <c r="AL199" s="723">
        <f>IF(AJ199=0,0,(AK199-AJ199)/AJ199*100)</f>
        <v>0</v>
      </c>
      <c r="AM199" s="833"/>
      <c r="AN199" s="833"/>
      <c r="AO199" s="723">
        <f>IF(AM199=0,0,(AN199-AM199)/AM199*100)</f>
        <v>0</v>
      </c>
      <c r="AP199" s="833"/>
      <c r="AQ199" s="833"/>
      <c r="AR199" s="723">
        <f>IF(AP199=0,0,(AQ199-AP199)/AP199*100)</f>
        <v>0</v>
      </c>
      <c r="AS199" s="833"/>
      <c r="AT199" s="833"/>
      <c r="AU199" s="723">
        <f>IF(AS199=0,0,(AT199-AS199)/AS199*100)</f>
        <v>0</v>
      </c>
      <c r="AV199" s="833"/>
      <c r="AW199" s="833"/>
      <c r="AX199" s="723">
        <f>IF(AV199=0,0,(AW199-AV199)/AV199*100)</f>
        <v>0</v>
      </c>
      <c r="AY199" s="833"/>
      <c r="AZ199" s="833"/>
      <c r="BA199" s="723">
        <f>IF(AY199=0,0,(AZ199-AY199)/AY199*100)</f>
        <v>0</v>
      </c>
      <c r="BB199" s="833"/>
      <c r="BC199" s="833"/>
      <c r="BD199" s="723">
        <f>IF(BB199=0,0,(BC199-BB199)/BB199*100)</f>
        <v>0</v>
      </c>
      <c r="BE199" s="833"/>
      <c r="BF199" s="833"/>
      <c r="BG199" s="723">
        <f>IF(BE199=0,0,(BF199-BE199)/BE199*100)</f>
        <v>0</v>
      </c>
      <c r="BH199" s="833"/>
      <c r="BI199" s="833"/>
      <c r="BJ199" s="723">
        <f>IF(BH199=0,0,(BI199-BH199)/BH199*100)</f>
        <v>0</v>
      </c>
      <c r="BK199" s="833"/>
      <c r="BL199" s="833"/>
      <c r="BM199" s="723">
        <f>IF(BK199=0,0,(BL199-BK199)/BK199*100)</f>
        <v>0</v>
      </c>
      <c r="BN199" s="833"/>
      <c r="BO199" s="833"/>
      <c r="BP199" s="723">
        <f>IF(BN199=0,0,(BO199-BN199)/BN199*100)</f>
        <v>0</v>
      </c>
      <c r="BQ199" s="833"/>
      <c r="BR199" s="833"/>
      <c r="BS199" s="723">
        <f>IF(BQ199=0,0,(BR199-BQ199)/BQ199*100)</f>
        <v>0</v>
      </c>
      <c r="BT199" s="833"/>
      <c r="BU199" s="833"/>
      <c r="BV199" s="723">
        <f>IF(BT199=0,0,(BU199-BT199)/BT199*100)</f>
        <v>0</v>
      </c>
      <c r="BW199" s="833"/>
      <c r="BX199" s="833"/>
      <c r="BY199" s="723">
        <f>IF(BW199=0,0,(BX199-BW199)/BW199*100)</f>
        <v>0</v>
      </c>
      <c r="BZ199" s="833"/>
      <c r="CA199" s="833"/>
      <c r="CB199" s="723">
        <f>IF(BZ199=0,0,(CA199-BZ199)/BZ199*100)</f>
        <v>0</v>
      </c>
      <c r="CC199" s="833"/>
      <c r="CD199" s="833"/>
      <c r="CE199" s="723">
        <f>IF(CC199=0,0,(CD199-CC199)/CC199*100)</f>
        <v>0</v>
      </c>
      <c r="CF199" s="833"/>
      <c r="CG199" s="833"/>
      <c r="CH199" s="723">
        <f>IF(CF199=0,0,(CG199-CF199)/CF199*100)</f>
        <v>0</v>
      </c>
      <c r="CI199" s="833"/>
      <c r="CJ199" s="833"/>
      <c r="CK199" s="723">
        <f>IF(CI199=0,0,(CJ199-CI199)/CI199*100)</f>
        <v>0</v>
      </c>
      <c r="CL199" s="833"/>
      <c r="CM199" s="833"/>
      <c r="CN199" s="723">
        <f>IF(CL199=0,0,(CM199-CL199)/CL199*100)</f>
        <v>0</v>
      </c>
      <c r="CO199" s="833"/>
      <c r="CP199" s="833"/>
      <c r="CQ199" s="723">
        <f>IF(CO199=0,0,(CP199-CO199)/CO199*100)</f>
        <v>0</v>
      </c>
      <c r="CR199" s="833"/>
      <c r="CS199" s="833"/>
      <c r="CT199" s="723">
        <f>IF(CR199=0,0,(CS199-CR199)/CR199*100)</f>
        <v>0</v>
      </c>
      <c r="CU199" s="833"/>
      <c r="CV199" s="833"/>
      <c r="CW199" s="723">
        <f>IF(CU199=0,0,(CV199-CU199)/CU199*100)</f>
        <v>0</v>
      </c>
      <c r="CX199" s="833"/>
      <c r="CY199" s="833"/>
      <c r="CZ199" s="723">
        <f>IF(CX199=0,0,(CY199-CX199)/CX199*100)</f>
        <v>0</v>
      </c>
      <c r="DA199" s="833"/>
      <c r="DB199" s="833"/>
      <c r="DC199" s="723">
        <f>IF(DA199=0,0,(DB199-DA199)/DA199*100)</f>
        <v>0</v>
      </c>
      <c r="DD199" s="833"/>
      <c r="DE199" s="833"/>
      <c r="DF199" s="723">
        <f>IF(DD199=0,0,(DE199-DD199)/DD199*100)</f>
        <v>0</v>
      </c>
      <c r="DG199" s="833"/>
      <c r="DH199" s="833"/>
      <c r="DI199" s="723">
        <f>IF(DG199=0,0,(DH199-DG199)/DG199*100)</f>
        <v>0</v>
      </c>
      <c r="DJ199" s="833"/>
      <c r="DK199" s="833"/>
      <c r="DL199" s="723">
        <f>IF(DJ199=0,0,(DK199-DJ199)/DJ199*100)</f>
        <v>0</v>
      </c>
      <c r="DM199" s="833"/>
      <c r="DN199" s="833"/>
      <c r="DO199" s="723">
        <f>IF(DM199=0,0,(DN199-DM199)/DM199*100)</f>
        <v>0</v>
      </c>
      <c r="DP199" s="833"/>
      <c r="DQ199" s="833"/>
      <c r="DR199" s="723">
        <f>IF(DP199=0,0,(DQ199-DP199)/DP199*100)</f>
        <v>0</v>
      </c>
      <c r="DS199" s="833"/>
      <c r="DT199" s="833"/>
      <c r="DU199" s="723">
        <f>IF(DS199=0,0,(DT199-DS199)/DS199*100)</f>
        <v>0</v>
      </c>
      <c r="DV199" s="833"/>
      <c r="DW199" s="833"/>
      <c r="DX199" s="723">
        <f>IF(DV199=0,0,(DW199-DV199)/DV199*100)</f>
        <v>0</v>
      </c>
      <c r="DY199" s="833"/>
      <c r="DZ199" s="833"/>
      <c r="EA199" s="723">
        <f>IF(DY199=0,0,(DZ199-DY199)/DY199*100)</f>
        <v>0</v>
      </c>
      <c r="EB199" s="833"/>
      <c r="EC199" s="833"/>
      <c r="ED199" s="723">
        <f>IF(EB199=0,0,(EC199-EB199)/EB199*100)</f>
        <v>0</v>
      </c>
      <c r="EE199" s="833"/>
      <c r="EF199" s="833"/>
      <c r="EG199" s="723">
        <f>IF(EE199=0,0,(EF199-EE199)/EE199*100)</f>
        <v>0</v>
      </c>
      <c r="EH199" s="833"/>
      <c r="EI199" s="833"/>
      <c r="EJ199" s="723">
        <f>IF(EH199=0,0,(EI199-EH199)/EH199*100)</f>
        <v>0</v>
      </c>
      <c r="EK199" s="833"/>
      <c r="EL199" s="833"/>
      <c r="EM199" s="723">
        <f>IF(EK199=0,0,(EL199-EK199)/EK199*100)</f>
        <v>0</v>
      </c>
      <c r="EN199" s="833"/>
      <c r="EO199" s="833"/>
      <c r="EP199" s="723">
        <f>IF(EN199=0,0,(EO199-EN199)/EN199*100)</f>
        <v>0</v>
      </c>
      <c r="EQ199" s="833"/>
      <c r="ER199" s="833"/>
      <c r="ES199" s="723">
        <f>IF(EQ199=0,0,(ER199-EQ199)/EQ199*100)</f>
        <v>0</v>
      </c>
      <c r="ET199" s="833"/>
      <c r="EU199" s="833"/>
      <c r="EV199" s="723">
        <f>IF(ET199=0,0,(EU199-ET199)/ET199*100)</f>
        <v>0</v>
      </c>
      <c r="EW199" s="833"/>
      <c r="EX199" s="833"/>
      <c r="EY199" s="723">
        <f>IF(EW199=0,0,(EX199-EW199)/EW199*100)</f>
        <v>0</v>
      </c>
      <c r="EZ199" s="833"/>
      <c r="FA199" s="833"/>
      <c r="FB199" s="723">
        <f>IF(EZ199=0,0,(FA199-EZ199)/EZ199*100)</f>
        <v>0</v>
      </c>
      <c r="FC199" s="833"/>
      <c r="FD199" s="833"/>
      <c r="FE199" s="723">
        <f>IF(FC199=0,0,(FD199-FC199)/FC199*100)</f>
        <v>0</v>
      </c>
      <c r="FF199" s="833"/>
      <c r="FG199" s="833"/>
      <c r="FH199" s="723">
        <f>IF(FF199=0,0,(FG199-FF199)/FF199*100)</f>
        <v>0</v>
      </c>
      <c r="FI199" s="833"/>
      <c r="FJ199" s="833"/>
      <c r="FK199" s="723">
        <f>IF(FI199=0,0,(FJ199-FI199)/FI199*100)</f>
        <v>0</v>
      </c>
      <c r="FL199" s="833"/>
      <c r="FM199" s="833"/>
      <c r="FN199" s="723">
        <f>IF(FL199=0,0,(FM199-FL199)/FL199*100)</f>
        <v>0</v>
      </c>
      <c r="FO199" s="833"/>
      <c r="FP199" s="833"/>
      <c r="FQ199" s="723">
        <f>IF(FO199=0,0,(FP199-FO199)/FO199*100)</f>
        <v>0</v>
      </c>
      <c r="FR199" s="833"/>
      <c r="FS199" s="833"/>
      <c r="FT199" s="723">
        <f>IF(FR199=0,0,(FS199-FR199)/FR199*100)</f>
        <v>0</v>
      </c>
      <c r="FU199" s="833"/>
      <c r="FV199" s="833"/>
      <c r="FW199" s="723">
        <f>IF(FU199=0,0,(FV199-FU199)/FU199*100)</f>
        <v>0</v>
      </c>
      <c r="FZ199" s="700" t="s">
        <v>1692</v>
      </c>
      <c r="GA199" s="680" t="s">
        <v>865</v>
      </c>
      <c r="GB199" s="680" cm="1">
        <f t="array" ref="GB199">GB198</f>
        <v>0</v>
      </c>
    </row>
    <row r="200" spans="1:186" ht="14.25" hidden="1" customHeight="1">
      <c r="A200" s="78"/>
      <c r="B200" s="622" t="b" cm="1">
        <f t="array" ref="B200">B199</f>
        <v>0</v>
      </c>
      <c r="C200" s="78"/>
      <c r="D200" s="78"/>
      <c r="E200" s="473">
        <v>15</v>
      </c>
      <c r="F200" s="3" t="str" cm="1">
        <f t="array" aca="1" ref="F200" ca="1">OFFSET(E200,-1,1)</f>
        <v>2</v>
      </c>
      <c r="G200" s="78"/>
      <c r="H200" s="78" t="s">
        <v>1661</v>
      </c>
      <c r="I200" s="78" cm="1">
        <f t="array" ref="I200">I199</f>
        <v>0</v>
      </c>
      <c r="J200" s="78"/>
      <c r="K200" s="78"/>
      <c r="L200" s="78"/>
      <c r="M200" s="78"/>
      <c r="N200" s="78"/>
      <c r="O200" s="78"/>
      <c r="P200" s="78"/>
      <c r="Q200" s="78"/>
      <c r="R200" s="78"/>
      <c r="S200" s="78"/>
      <c r="T200" s="365" t="b" cm="1">
        <f t="array" aca="1" ref="T200" ca="1">T199</f>
        <v>0</v>
      </c>
      <c r="U200" s="78"/>
      <c r="V200" s="78"/>
      <c r="W200" s="78"/>
      <c r="X200" s="1094"/>
      <c r="Y200" s="1094"/>
      <c r="Z200" s="1064"/>
      <c r="AA200" s="1049"/>
      <c r="AB200" s="124" t="str">
        <f>"объём "&amp;IF(Q155="Водоснабжение","потребления холодной воды","водоотведения")</f>
        <v>объём водоотведения</v>
      </c>
      <c r="AC200" s="31" t="s">
        <v>534</v>
      </c>
      <c r="AD200" s="849"/>
      <c r="AE200" s="849"/>
      <c r="AF200" s="724">
        <f>IF(AD200=0,0,(AE200-AD200)/AD200*100)</f>
        <v>0</v>
      </c>
      <c r="AG200" s="849"/>
      <c r="AH200" s="849"/>
      <c r="AI200" s="724">
        <f>IF(AG200=0,0,(AH200-AG200)/AG200*100)</f>
        <v>0</v>
      </c>
      <c r="AJ200" s="849"/>
      <c r="AK200" s="849"/>
      <c r="AL200" s="724">
        <f>IF(AJ200=0,0,(AK200-AJ200)/AJ200*100)</f>
        <v>0</v>
      </c>
      <c r="AM200" s="849"/>
      <c r="AN200" s="849"/>
      <c r="AO200" s="724">
        <f>IF(AM200=0,0,(AN200-AM200)/AM200*100)</f>
        <v>0</v>
      </c>
      <c r="AP200" s="849"/>
      <c r="AQ200" s="849"/>
      <c r="AR200" s="724">
        <f>IF(AP200=0,0,(AQ200-AP200)/AP200*100)</f>
        <v>0</v>
      </c>
      <c r="AS200" s="849"/>
      <c r="AT200" s="849"/>
      <c r="AU200" s="724">
        <f>IF(AS200=0,0,(AT200-AS200)/AS200*100)</f>
        <v>0</v>
      </c>
      <c r="AV200" s="849"/>
      <c r="AW200" s="849"/>
      <c r="AX200" s="724">
        <f>IF(AV200=0,0,(AW200-AV200)/AV200*100)</f>
        <v>0</v>
      </c>
      <c r="AY200" s="849"/>
      <c r="AZ200" s="849"/>
      <c r="BA200" s="724">
        <f>IF(AY200=0,0,(AZ200-AY200)/AY200*100)</f>
        <v>0</v>
      </c>
      <c r="BB200" s="849"/>
      <c r="BC200" s="849"/>
      <c r="BD200" s="724">
        <f>IF(BB200=0,0,(BC200-BB200)/BB200*100)</f>
        <v>0</v>
      </c>
      <c r="BE200" s="849"/>
      <c r="BF200" s="849"/>
      <c r="BG200" s="724">
        <f>IF(BE200=0,0,(BF200-BE200)/BE200*100)</f>
        <v>0</v>
      </c>
      <c r="BH200" s="849"/>
      <c r="BI200" s="849"/>
      <c r="BJ200" s="724">
        <f>IF(BH200=0,0,(BI200-BH200)/BH200*100)</f>
        <v>0</v>
      </c>
      <c r="BK200" s="849"/>
      <c r="BL200" s="849"/>
      <c r="BM200" s="724">
        <f>IF(BK200=0,0,(BL200-BK200)/BK200*100)</f>
        <v>0</v>
      </c>
      <c r="BN200" s="849"/>
      <c r="BO200" s="849"/>
      <c r="BP200" s="724">
        <f>IF(BN200=0,0,(BO200-BN200)/BN200*100)</f>
        <v>0</v>
      </c>
      <c r="BQ200" s="849"/>
      <c r="BR200" s="849"/>
      <c r="BS200" s="724">
        <f>IF(BQ200=0,0,(BR200-BQ200)/BQ200*100)</f>
        <v>0</v>
      </c>
      <c r="BT200" s="849"/>
      <c r="BU200" s="849"/>
      <c r="BV200" s="724">
        <f>IF(BT200=0,0,(BU200-BT200)/BT200*100)</f>
        <v>0</v>
      </c>
      <c r="BW200" s="849"/>
      <c r="BX200" s="849"/>
      <c r="BY200" s="724">
        <f>IF(BW200=0,0,(BX200-BW200)/BW200*100)</f>
        <v>0</v>
      </c>
      <c r="BZ200" s="849"/>
      <c r="CA200" s="849"/>
      <c r="CB200" s="724">
        <f>IF(BZ200=0,0,(CA200-BZ200)/BZ200*100)</f>
        <v>0</v>
      </c>
      <c r="CC200" s="849"/>
      <c r="CD200" s="849"/>
      <c r="CE200" s="724">
        <f>IF(CC200=0,0,(CD200-CC200)/CC200*100)</f>
        <v>0</v>
      </c>
      <c r="CF200" s="849"/>
      <c r="CG200" s="849"/>
      <c r="CH200" s="724">
        <f>IF(CF200=0,0,(CG200-CF200)/CF200*100)</f>
        <v>0</v>
      </c>
      <c r="CI200" s="849"/>
      <c r="CJ200" s="849"/>
      <c r="CK200" s="724">
        <f>IF(CI200=0,0,(CJ200-CI200)/CI200*100)</f>
        <v>0</v>
      </c>
      <c r="CL200" s="849"/>
      <c r="CM200" s="849"/>
      <c r="CN200" s="724">
        <f>IF(CL200=0,0,(CM200-CL200)/CL200*100)</f>
        <v>0</v>
      </c>
      <c r="CO200" s="849"/>
      <c r="CP200" s="849"/>
      <c r="CQ200" s="724">
        <f>IF(CO200=0,0,(CP200-CO200)/CO200*100)</f>
        <v>0</v>
      </c>
      <c r="CR200" s="849"/>
      <c r="CS200" s="849"/>
      <c r="CT200" s="724">
        <f>IF(CR200=0,0,(CS200-CR200)/CR200*100)</f>
        <v>0</v>
      </c>
      <c r="CU200" s="849"/>
      <c r="CV200" s="849"/>
      <c r="CW200" s="724">
        <f>IF(CU200=0,0,(CV200-CU200)/CU200*100)</f>
        <v>0</v>
      </c>
      <c r="CX200" s="849"/>
      <c r="CY200" s="849"/>
      <c r="CZ200" s="724">
        <f>IF(CX200=0,0,(CY200-CX200)/CX200*100)</f>
        <v>0</v>
      </c>
      <c r="DA200" s="849"/>
      <c r="DB200" s="849"/>
      <c r="DC200" s="724">
        <f>IF(DA200=0,0,(DB200-DA200)/DA200*100)</f>
        <v>0</v>
      </c>
      <c r="DD200" s="849"/>
      <c r="DE200" s="849"/>
      <c r="DF200" s="724">
        <f>IF(DD200=0,0,(DE200-DD200)/DD200*100)</f>
        <v>0</v>
      </c>
      <c r="DG200" s="849"/>
      <c r="DH200" s="849"/>
      <c r="DI200" s="724">
        <f>IF(DG200=0,0,(DH200-DG200)/DG200*100)</f>
        <v>0</v>
      </c>
      <c r="DJ200" s="849"/>
      <c r="DK200" s="849"/>
      <c r="DL200" s="724">
        <f>IF(DJ200=0,0,(DK200-DJ200)/DJ200*100)</f>
        <v>0</v>
      </c>
      <c r="DM200" s="849"/>
      <c r="DN200" s="849"/>
      <c r="DO200" s="724">
        <f>IF(DM200=0,0,(DN200-DM200)/DM200*100)</f>
        <v>0</v>
      </c>
      <c r="DP200" s="849"/>
      <c r="DQ200" s="849"/>
      <c r="DR200" s="724">
        <f>IF(DP200=0,0,(DQ200-DP200)/DP200*100)</f>
        <v>0</v>
      </c>
      <c r="DS200" s="849"/>
      <c r="DT200" s="849"/>
      <c r="DU200" s="724">
        <f>IF(DS200=0,0,(DT200-DS200)/DS200*100)</f>
        <v>0</v>
      </c>
      <c r="DV200" s="849"/>
      <c r="DW200" s="849"/>
      <c r="DX200" s="724">
        <f>IF(DV200=0,0,(DW200-DV200)/DV200*100)</f>
        <v>0</v>
      </c>
      <c r="DY200" s="849"/>
      <c r="DZ200" s="849"/>
      <c r="EA200" s="724">
        <f>IF(DY200=0,0,(DZ200-DY200)/DY200*100)</f>
        <v>0</v>
      </c>
      <c r="EB200" s="849"/>
      <c r="EC200" s="849"/>
      <c r="ED200" s="724">
        <f>IF(EB200=0,0,(EC200-EB200)/EB200*100)</f>
        <v>0</v>
      </c>
      <c r="EE200" s="849"/>
      <c r="EF200" s="849"/>
      <c r="EG200" s="724">
        <f>IF(EE200=0,0,(EF200-EE200)/EE200*100)</f>
        <v>0</v>
      </c>
      <c r="EH200" s="849"/>
      <c r="EI200" s="849"/>
      <c r="EJ200" s="724">
        <f>IF(EH200=0,0,(EI200-EH200)/EH200*100)</f>
        <v>0</v>
      </c>
      <c r="EK200" s="849"/>
      <c r="EL200" s="849"/>
      <c r="EM200" s="724">
        <f>IF(EK200=0,0,(EL200-EK200)/EK200*100)</f>
        <v>0</v>
      </c>
      <c r="EN200" s="849"/>
      <c r="EO200" s="849"/>
      <c r="EP200" s="724">
        <f>IF(EN200=0,0,(EO200-EN200)/EN200*100)</f>
        <v>0</v>
      </c>
      <c r="EQ200" s="849"/>
      <c r="ER200" s="849"/>
      <c r="ES200" s="724">
        <f>IF(EQ200=0,0,(ER200-EQ200)/EQ200*100)</f>
        <v>0</v>
      </c>
      <c r="ET200" s="849"/>
      <c r="EU200" s="849"/>
      <c r="EV200" s="724">
        <f>IF(ET200=0,0,(EU200-ET200)/ET200*100)</f>
        <v>0</v>
      </c>
      <c r="EW200" s="849"/>
      <c r="EX200" s="849"/>
      <c r="EY200" s="724">
        <f>IF(EW200=0,0,(EX200-EW200)/EW200*100)</f>
        <v>0</v>
      </c>
      <c r="EZ200" s="849"/>
      <c r="FA200" s="849"/>
      <c r="FB200" s="724">
        <f>IF(EZ200=0,0,(FA200-EZ200)/EZ200*100)</f>
        <v>0</v>
      </c>
      <c r="FC200" s="849"/>
      <c r="FD200" s="849"/>
      <c r="FE200" s="724">
        <f>IF(FC200=0,0,(FD200-FC200)/FC200*100)</f>
        <v>0</v>
      </c>
      <c r="FF200" s="849"/>
      <c r="FG200" s="849"/>
      <c r="FH200" s="724">
        <f>IF(FF200=0,0,(FG200-FF200)/FF200*100)</f>
        <v>0</v>
      </c>
      <c r="FI200" s="849"/>
      <c r="FJ200" s="849"/>
      <c r="FK200" s="724">
        <f>IF(FI200=0,0,(FJ200-FI200)/FI200*100)</f>
        <v>0</v>
      </c>
      <c r="FL200" s="849"/>
      <c r="FM200" s="849"/>
      <c r="FN200" s="724">
        <f>IF(FL200=0,0,(FM200-FL200)/FL200*100)</f>
        <v>0</v>
      </c>
      <c r="FO200" s="849"/>
      <c r="FP200" s="849"/>
      <c r="FQ200" s="724">
        <f>IF(FO200=0,0,(FP200-FO200)/FO200*100)</f>
        <v>0</v>
      </c>
      <c r="FR200" s="849"/>
      <c r="FS200" s="849"/>
      <c r="FT200" s="724">
        <f>IF(FR200=0,0,(FS200-FR200)/FR200*100)</f>
        <v>0</v>
      </c>
      <c r="FU200" s="849"/>
      <c r="FV200" s="849"/>
      <c r="FW200" s="724">
        <f>IF(FU200=0,0,(FV200-FU200)/FU200*100)</f>
        <v>0</v>
      </c>
      <c r="FZ200" s="700" t="s">
        <v>1693</v>
      </c>
      <c r="GA200" s="680" t="s">
        <v>865</v>
      </c>
      <c r="GB200" s="680" cm="1">
        <f t="array" ref="GB200">GB199</f>
        <v>0</v>
      </c>
    </row>
    <row r="201" spans="1:186" ht="21.75" hidden="1" customHeight="1">
      <c r="A201" s="78"/>
      <c r="B201" s="622" t="b" cm="1">
        <f t="array" ref="B201">B200</f>
        <v>0</v>
      </c>
      <c r="C201" s="78"/>
      <c r="D201" s="78"/>
      <c r="E201" s="473">
        <v>22.5</v>
      </c>
      <c r="F201" s="3" t="str" cm="1">
        <f t="array" aca="1" ref="F201" ca="1">OFFSET(E201,-1,1)</f>
        <v>2</v>
      </c>
      <c r="G201" s="78"/>
      <c r="H201" s="78" t="s">
        <v>1663</v>
      </c>
      <c r="I201" s="78" cm="1">
        <f t="array" ref="I201">I200</f>
        <v>0</v>
      </c>
      <c r="J201" s="78"/>
      <c r="K201" s="78"/>
      <c r="L201" s="78"/>
      <c r="M201" s="78"/>
      <c r="N201" s="78"/>
      <c r="O201" s="78"/>
      <c r="P201" s="78"/>
      <c r="Q201" s="78"/>
      <c r="R201" s="78"/>
      <c r="S201" s="78"/>
      <c r="T201" s="365" t="b" cm="1">
        <f t="array" aca="1" ref="T201" ca="1">T200</f>
        <v>0</v>
      </c>
      <c r="U201" s="78"/>
      <c r="V201" s="78"/>
      <c r="W201" s="78"/>
      <c r="X201" s="1094"/>
      <c r="Y201" s="1094"/>
      <c r="Z201" s="1064"/>
      <c r="AA201" s="1049"/>
      <c r="AB201" s="124"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31" t="s">
        <v>1664</v>
      </c>
      <c r="AD201" s="833"/>
      <c r="AE201" s="833"/>
      <c r="AF201" s="723">
        <f>IF(AD201=0,0,(AE201-AD201)/AD201*100)</f>
        <v>0</v>
      </c>
      <c r="AG201" s="833"/>
      <c r="AH201" s="833"/>
      <c r="AI201" s="723">
        <f>IF(AG201=0,0,(AH201-AG201)/AG201*100)</f>
        <v>0</v>
      </c>
      <c r="AJ201" s="833"/>
      <c r="AK201" s="833"/>
      <c r="AL201" s="723">
        <f>IF(AJ201=0,0,(AK201-AJ201)/AJ201*100)</f>
        <v>0</v>
      </c>
      <c r="AM201" s="833"/>
      <c r="AN201" s="833"/>
      <c r="AO201" s="723">
        <f>IF(AM201=0,0,(AN201-AM201)/AM201*100)</f>
        <v>0</v>
      </c>
      <c r="AP201" s="833"/>
      <c r="AQ201" s="833"/>
      <c r="AR201" s="723">
        <f>IF(AP201=0,0,(AQ201-AP201)/AP201*100)</f>
        <v>0</v>
      </c>
      <c r="AS201" s="833"/>
      <c r="AT201" s="833"/>
      <c r="AU201" s="723">
        <f>IF(AS201=0,0,(AT201-AS201)/AS201*100)</f>
        <v>0</v>
      </c>
      <c r="AV201" s="833"/>
      <c r="AW201" s="833"/>
      <c r="AX201" s="723">
        <f>IF(AV201=0,0,(AW201-AV201)/AV201*100)</f>
        <v>0</v>
      </c>
      <c r="AY201" s="833"/>
      <c r="AZ201" s="833"/>
      <c r="BA201" s="723">
        <f>IF(AY201=0,0,(AZ201-AY201)/AY201*100)</f>
        <v>0</v>
      </c>
      <c r="BB201" s="833"/>
      <c r="BC201" s="833"/>
      <c r="BD201" s="723">
        <f>IF(BB201=0,0,(BC201-BB201)/BB201*100)</f>
        <v>0</v>
      </c>
      <c r="BE201" s="833"/>
      <c r="BF201" s="833"/>
      <c r="BG201" s="723">
        <f>IF(BE201=0,0,(BF201-BE201)/BE201*100)</f>
        <v>0</v>
      </c>
      <c r="BH201" s="833"/>
      <c r="BI201" s="833"/>
      <c r="BJ201" s="723">
        <f>IF(BH201=0,0,(BI201-BH201)/BH201*100)</f>
        <v>0</v>
      </c>
      <c r="BK201" s="833"/>
      <c r="BL201" s="833"/>
      <c r="BM201" s="723">
        <f>IF(BK201=0,0,(BL201-BK201)/BK201*100)</f>
        <v>0</v>
      </c>
      <c r="BN201" s="833"/>
      <c r="BO201" s="833"/>
      <c r="BP201" s="723">
        <f>IF(BN201=0,0,(BO201-BN201)/BN201*100)</f>
        <v>0</v>
      </c>
      <c r="BQ201" s="833"/>
      <c r="BR201" s="833"/>
      <c r="BS201" s="723">
        <f>IF(BQ201=0,0,(BR201-BQ201)/BQ201*100)</f>
        <v>0</v>
      </c>
      <c r="BT201" s="833"/>
      <c r="BU201" s="833"/>
      <c r="BV201" s="723">
        <f>IF(BT201=0,0,(BU201-BT201)/BT201*100)</f>
        <v>0</v>
      </c>
      <c r="BW201" s="833"/>
      <c r="BX201" s="833"/>
      <c r="BY201" s="723">
        <f>IF(BW201=0,0,(BX201-BW201)/BW201*100)</f>
        <v>0</v>
      </c>
      <c r="BZ201" s="833"/>
      <c r="CA201" s="833"/>
      <c r="CB201" s="723">
        <f>IF(BZ201=0,0,(CA201-BZ201)/BZ201*100)</f>
        <v>0</v>
      </c>
      <c r="CC201" s="833"/>
      <c r="CD201" s="833"/>
      <c r="CE201" s="723">
        <f>IF(CC201=0,0,(CD201-CC201)/CC201*100)</f>
        <v>0</v>
      </c>
      <c r="CF201" s="833"/>
      <c r="CG201" s="833"/>
      <c r="CH201" s="723">
        <f>IF(CF201=0,0,(CG201-CF201)/CF201*100)</f>
        <v>0</v>
      </c>
      <c r="CI201" s="833"/>
      <c r="CJ201" s="833"/>
      <c r="CK201" s="723">
        <f>IF(CI201=0,0,(CJ201-CI201)/CI201*100)</f>
        <v>0</v>
      </c>
      <c r="CL201" s="833"/>
      <c r="CM201" s="833"/>
      <c r="CN201" s="723">
        <f>IF(CL201=0,0,(CM201-CL201)/CL201*100)</f>
        <v>0</v>
      </c>
      <c r="CO201" s="833"/>
      <c r="CP201" s="833"/>
      <c r="CQ201" s="723">
        <f>IF(CO201=0,0,(CP201-CO201)/CO201*100)</f>
        <v>0</v>
      </c>
      <c r="CR201" s="833"/>
      <c r="CS201" s="833"/>
      <c r="CT201" s="723">
        <f>IF(CR201=0,0,(CS201-CR201)/CR201*100)</f>
        <v>0</v>
      </c>
      <c r="CU201" s="833"/>
      <c r="CV201" s="833"/>
      <c r="CW201" s="723">
        <f>IF(CU201=0,0,(CV201-CU201)/CU201*100)</f>
        <v>0</v>
      </c>
      <c r="CX201" s="833"/>
      <c r="CY201" s="833"/>
      <c r="CZ201" s="723">
        <f>IF(CX201=0,0,(CY201-CX201)/CX201*100)</f>
        <v>0</v>
      </c>
      <c r="DA201" s="833"/>
      <c r="DB201" s="833"/>
      <c r="DC201" s="723">
        <f>IF(DA201=0,0,(DB201-DA201)/DA201*100)</f>
        <v>0</v>
      </c>
      <c r="DD201" s="833"/>
      <c r="DE201" s="833"/>
      <c r="DF201" s="723">
        <f>IF(DD201=0,0,(DE201-DD201)/DD201*100)</f>
        <v>0</v>
      </c>
      <c r="DG201" s="833"/>
      <c r="DH201" s="833"/>
      <c r="DI201" s="723">
        <f>IF(DG201=0,0,(DH201-DG201)/DG201*100)</f>
        <v>0</v>
      </c>
      <c r="DJ201" s="833"/>
      <c r="DK201" s="833"/>
      <c r="DL201" s="723">
        <f>IF(DJ201=0,0,(DK201-DJ201)/DJ201*100)</f>
        <v>0</v>
      </c>
      <c r="DM201" s="833"/>
      <c r="DN201" s="833"/>
      <c r="DO201" s="723">
        <f>IF(DM201=0,0,(DN201-DM201)/DM201*100)</f>
        <v>0</v>
      </c>
      <c r="DP201" s="833"/>
      <c r="DQ201" s="833"/>
      <c r="DR201" s="723">
        <f>IF(DP201=0,0,(DQ201-DP201)/DP201*100)</f>
        <v>0</v>
      </c>
      <c r="DS201" s="833"/>
      <c r="DT201" s="833"/>
      <c r="DU201" s="723">
        <f>IF(DS201=0,0,(DT201-DS201)/DS201*100)</f>
        <v>0</v>
      </c>
      <c r="DV201" s="833"/>
      <c r="DW201" s="833"/>
      <c r="DX201" s="723">
        <f>IF(DV201=0,0,(DW201-DV201)/DV201*100)</f>
        <v>0</v>
      </c>
      <c r="DY201" s="833"/>
      <c r="DZ201" s="833"/>
      <c r="EA201" s="723">
        <f>IF(DY201=0,0,(DZ201-DY201)/DY201*100)</f>
        <v>0</v>
      </c>
      <c r="EB201" s="833"/>
      <c r="EC201" s="833"/>
      <c r="ED201" s="723">
        <f>IF(EB201=0,0,(EC201-EB201)/EB201*100)</f>
        <v>0</v>
      </c>
      <c r="EE201" s="833"/>
      <c r="EF201" s="833"/>
      <c r="EG201" s="723">
        <f>IF(EE201=0,0,(EF201-EE201)/EE201*100)</f>
        <v>0</v>
      </c>
      <c r="EH201" s="833"/>
      <c r="EI201" s="833"/>
      <c r="EJ201" s="723">
        <f>IF(EH201=0,0,(EI201-EH201)/EH201*100)</f>
        <v>0</v>
      </c>
      <c r="EK201" s="833"/>
      <c r="EL201" s="833"/>
      <c r="EM201" s="723">
        <f>IF(EK201=0,0,(EL201-EK201)/EK201*100)</f>
        <v>0</v>
      </c>
      <c r="EN201" s="833"/>
      <c r="EO201" s="833"/>
      <c r="EP201" s="723">
        <f>IF(EN201=0,0,(EO201-EN201)/EN201*100)</f>
        <v>0</v>
      </c>
      <c r="EQ201" s="833"/>
      <c r="ER201" s="833"/>
      <c r="ES201" s="723">
        <f>IF(EQ201=0,0,(ER201-EQ201)/EQ201*100)</f>
        <v>0</v>
      </c>
      <c r="ET201" s="833"/>
      <c r="EU201" s="833"/>
      <c r="EV201" s="723">
        <f>IF(ET201=0,0,(EU201-ET201)/ET201*100)</f>
        <v>0</v>
      </c>
      <c r="EW201" s="833"/>
      <c r="EX201" s="833"/>
      <c r="EY201" s="723">
        <f>IF(EW201=0,0,(EX201-EW201)/EW201*100)</f>
        <v>0</v>
      </c>
      <c r="EZ201" s="833"/>
      <c r="FA201" s="833"/>
      <c r="FB201" s="723">
        <f>IF(EZ201=0,0,(FA201-EZ201)/EZ201*100)</f>
        <v>0</v>
      </c>
      <c r="FC201" s="833"/>
      <c r="FD201" s="833"/>
      <c r="FE201" s="723">
        <f>IF(FC201=0,0,(FD201-FC201)/FC201*100)</f>
        <v>0</v>
      </c>
      <c r="FF201" s="833"/>
      <c r="FG201" s="833"/>
      <c r="FH201" s="723">
        <f>IF(FF201=0,0,(FG201-FF201)/FF201*100)</f>
        <v>0</v>
      </c>
      <c r="FI201" s="833"/>
      <c r="FJ201" s="833"/>
      <c r="FK201" s="723">
        <f>IF(FI201=0,0,(FJ201-FI201)/FI201*100)</f>
        <v>0</v>
      </c>
      <c r="FL201" s="833"/>
      <c r="FM201" s="833"/>
      <c r="FN201" s="723">
        <f>IF(FL201=0,0,(FM201-FL201)/FL201*100)</f>
        <v>0</v>
      </c>
      <c r="FO201" s="833"/>
      <c r="FP201" s="833"/>
      <c r="FQ201" s="723">
        <f>IF(FO201=0,0,(FP201-FO201)/FO201*100)</f>
        <v>0</v>
      </c>
      <c r="FR201" s="833"/>
      <c r="FS201" s="833"/>
      <c r="FT201" s="723">
        <f>IF(FR201=0,0,(FS201-FR201)/FR201*100)</f>
        <v>0</v>
      </c>
      <c r="FU201" s="833"/>
      <c r="FV201" s="833"/>
      <c r="FW201" s="723">
        <f>IF(FU201=0,0,(FV201-FU201)/FU201*100)</f>
        <v>0</v>
      </c>
      <c r="FZ201" s="700" t="s">
        <v>1694</v>
      </c>
      <c r="GA201" s="680" t="s">
        <v>865</v>
      </c>
      <c r="GB201" s="680" cm="1">
        <f t="array" ref="GB201">GB200</f>
        <v>0</v>
      </c>
    </row>
    <row r="202" spans="1:186" ht="14.25" hidden="1" customHeight="1">
      <c r="A202" s="78"/>
      <c r="B202" s="622" t="b" cm="1">
        <f t="array" ref="B202">B201</f>
        <v>0</v>
      </c>
      <c r="C202" s="78"/>
      <c r="D202" s="78"/>
      <c r="E202" s="473">
        <v>15</v>
      </c>
      <c r="F202" s="3" t="str" cm="1">
        <f t="array" aca="1" ref="F202" ca="1">OFFSET(E202,-1,1)</f>
        <v>2</v>
      </c>
      <c r="G202" s="78"/>
      <c r="H202" s="78" t="s">
        <v>1666</v>
      </c>
      <c r="I202" s="78" cm="1">
        <f t="array" ref="I202">I201</f>
        <v>0</v>
      </c>
      <c r="J202" s="78"/>
      <c r="K202" s="78"/>
      <c r="L202" s="78"/>
      <c r="M202" s="78"/>
      <c r="N202" s="78"/>
      <c r="O202" s="78"/>
      <c r="P202" s="78"/>
      <c r="Q202" s="78"/>
      <c r="R202" s="78"/>
      <c r="S202" s="78"/>
      <c r="T202" s="365" t="b" cm="1">
        <f t="array" aca="1" ref="T202" ca="1">T201</f>
        <v>0</v>
      </c>
      <c r="U202" s="78"/>
      <c r="V202" s="78"/>
      <c r="W202" s="78"/>
      <c r="X202" s="1094"/>
      <c r="Y202" s="1094"/>
      <c r="Z202" s="1064"/>
      <c r="AA202" s="1049"/>
      <c r="AB202" s="124" t="s">
        <v>1667</v>
      </c>
      <c r="AC202" s="31" t="s">
        <v>1668</v>
      </c>
      <c r="AD202" s="833"/>
      <c r="AE202" s="833"/>
      <c r="AF202" s="723">
        <f>IF(AD202=0,0,(AE202-AD202)/AD202*100)</f>
        <v>0</v>
      </c>
      <c r="AG202" s="833"/>
      <c r="AH202" s="833"/>
      <c r="AI202" s="723">
        <f>IF(AG202=0,0,(AH202-AG202)/AG202*100)</f>
        <v>0</v>
      </c>
      <c r="AJ202" s="833"/>
      <c r="AK202" s="833"/>
      <c r="AL202" s="723">
        <f>IF(AJ202=0,0,(AK202-AJ202)/AJ202*100)</f>
        <v>0</v>
      </c>
      <c r="AM202" s="833"/>
      <c r="AN202" s="833"/>
      <c r="AO202" s="723">
        <f>IF(AM202=0,0,(AN202-AM202)/AM202*100)</f>
        <v>0</v>
      </c>
      <c r="AP202" s="833"/>
      <c r="AQ202" s="833"/>
      <c r="AR202" s="723">
        <f>IF(AP202=0,0,(AQ202-AP202)/AP202*100)</f>
        <v>0</v>
      </c>
      <c r="AS202" s="833"/>
      <c r="AT202" s="833"/>
      <c r="AU202" s="723">
        <f>IF(AS202=0,0,(AT202-AS202)/AS202*100)</f>
        <v>0</v>
      </c>
      <c r="AV202" s="833"/>
      <c r="AW202" s="833"/>
      <c r="AX202" s="723">
        <f>IF(AV202=0,0,(AW202-AV202)/AV202*100)</f>
        <v>0</v>
      </c>
      <c r="AY202" s="833"/>
      <c r="AZ202" s="833"/>
      <c r="BA202" s="723">
        <f>IF(AY202=0,0,(AZ202-AY202)/AY202*100)</f>
        <v>0</v>
      </c>
      <c r="BB202" s="833"/>
      <c r="BC202" s="833"/>
      <c r="BD202" s="723">
        <f>IF(BB202=0,0,(BC202-BB202)/BB202*100)</f>
        <v>0</v>
      </c>
      <c r="BE202" s="833"/>
      <c r="BF202" s="833"/>
      <c r="BG202" s="723">
        <f>IF(BE202=0,0,(BF202-BE202)/BE202*100)</f>
        <v>0</v>
      </c>
      <c r="BH202" s="833"/>
      <c r="BI202" s="833"/>
      <c r="BJ202" s="723">
        <f>IF(BH202=0,0,(BI202-BH202)/BH202*100)</f>
        <v>0</v>
      </c>
      <c r="BK202" s="833"/>
      <c r="BL202" s="833"/>
      <c r="BM202" s="723">
        <f>IF(BK202=0,0,(BL202-BK202)/BK202*100)</f>
        <v>0</v>
      </c>
      <c r="BN202" s="833"/>
      <c r="BO202" s="833"/>
      <c r="BP202" s="723">
        <f>IF(BN202=0,0,(BO202-BN202)/BN202*100)</f>
        <v>0</v>
      </c>
      <c r="BQ202" s="833"/>
      <c r="BR202" s="833"/>
      <c r="BS202" s="723">
        <f>IF(BQ202=0,0,(BR202-BQ202)/BQ202*100)</f>
        <v>0</v>
      </c>
      <c r="BT202" s="833"/>
      <c r="BU202" s="833"/>
      <c r="BV202" s="723">
        <f>IF(BT202=0,0,(BU202-BT202)/BT202*100)</f>
        <v>0</v>
      </c>
      <c r="BW202" s="833"/>
      <c r="BX202" s="833"/>
      <c r="BY202" s="723">
        <f>IF(BW202=0,0,(BX202-BW202)/BW202*100)</f>
        <v>0</v>
      </c>
      <c r="BZ202" s="833"/>
      <c r="CA202" s="833"/>
      <c r="CB202" s="723">
        <f>IF(BZ202=0,0,(CA202-BZ202)/BZ202*100)</f>
        <v>0</v>
      </c>
      <c r="CC202" s="833"/>
      <c r="CD202" s="833"/>
      <c r="CE202" s="723">
        <f>IF(CC202=0,0,(CD202-CC202)/CC202*100)</f>
        <v>0</v>
      </c>
      <c r="CF202" s="833"/>
      <c r="CG202" s="833"/>
      <c r="CH202" s="723">
        <f>IF(CF202=0,0,(CG202-CF202)/CF202*100)</f>
        <v>0</v>
      </c>
      <c r="CI202" s="833"/>
      <c r="CJ202" s="833"/>
      <c r="CK202" s="723">
        <f>IF(CI202=0,0,(CJ202-CI202)/CI202*100)</f>
        <v>0</v>
      </c>
      <c r="CL202" s="833"/>
      <c r="CM202" s="833"/>
      <c r="CN202" s="723">
        <f>IF(CL202=0,0,(CM202-CL202)/CL202*100)</f>
        <v>0</v>
      </c>
      <c r="CO202" s="833"/>
      <c r="CP202" s="833"/>
      <c r="CQ202" s="723">
        <f>IF(CO202=0,0,(CP202-CO202)/CO202*100)</f>
        <v>0</v>
      </c>
      <c r="CR202" s="833"/>
      <c r="CS202" s="833"/>
      <c r="CT202" s="723">
        <f>IF(CR202=0,0,(CS202-CR202)/CR202*100)</f>
        <v>0</v>
      </c>
      <c r="CU202" s="833"/>
      <c r="CV202" s="833"/>
      <c r="CW202" s="723">
        <f>IF(CU202=0,0,(CV202-CU202)/CU202*100)</f>
        <v>0</v>
      </c>
      <c r="CX202" s="833"/>
      <c r="CY202" s="833"/>
      <c r="CZ202" s="723">
        <f>IF(CX202=0,0,(CY202-CX202)/CX202*100)</f>
        <v>0</v>
      </c>
      <c r="DA202" s="833"/>
      <c r="DB202" s="833"/>
      <c r="DC202" s="723">
        <f>IF(DA202=0,0,(DB202-DA202)/DA202*100)</f>
        <v>0</v>
      </c>
      <c r="DD202" s="833"/>
      <c r="DE202" s="833"/>
      <c r="DF202" s="723">
        <f>IF(DD202=0,0,(DE202-DD202)/DD202*100)</f>
        <v>0</v>
      </c>
      <c r="DG202" s="833"/>
      <c r="DH202" s="833"/>
      <c r="DI202" s="723">
        <f>IF(DG202=0,0,(DH202-DG202)/DG202*100)</f>
        <v>0</v>
      </c>
      <c r="DJ202" s="833"/>
      <c r="DK202" s="833"/>
      <c r="DL202" s="723">
        <f>IF(DJ202=0,0,(DK202-DJ202)/DJ202*100)</f>
        <v>0</v>
      </c>
      <c r="DM202" s="833"/>
      <c r="DN202" s="833"/>
      <c r="DO202" s="723">
        <f>IF(DM202=0,0,(DN202-DM202)/DM202*100)</f>
        <v>0</v>
      </c>
      <c r="DP202" s="833"/>
      <c r="DQ202" s="833"/>
      <c r="DR202" s="723">
        <f>IF(DP202=0,0,(DQ202-DP202)/DP202*100)</f>
        <v>0</v>
      </c>
      <c r="DS202" s="833"/>
      <c r="DT202" s="833"/>
      <c r="DU202" s="723">
        <f>IF(DS202=0,0,(DT202-DS202)/DS202*100)</f>
        <v>0</v>
      </c>
      <c r="DV202" s="833"/>
      <c r="DW202" s="833"/>
      <c r="DX202" s="723">
        <f>IF(DV202=0,0,(DW202-DV202)/DV202*100)</f>
        <v>0</v>
      </c>
      <c r="DY202" s="833"/>
      <c r="DZ202" s="833"/>
      <c r="EA202" s="723">
        <f>IF(DY202=0,0,(DZ202-DY202)/DY202*100)</f>
        <v>0</v>
      </c>
      <c r="EB202" s="833"/>
      <c r="EC202" s="833"/>
      <c r="ED202" s="723">
        <f>IF(EB202=0,0,(EC202-EB202)/EB202*100)</f>
        <v>0</v>
      </c>
      <c r="EE202" s="833"/>
      <c r="EF202" s="833"/>
      <c r="EG202" s="723">
        <f>IF(EE202=0,0,(EF202-EE202)/EE202*100)</f>
        <v>0</v>
      </c>
      <c r="EH202" s="833"/>
      <c r="EI202" s="833"/>
      <c r="EJ202" s="723">
        <f>IF(EH202=0,0,(EI202-EH202)/EH202*100)</f>
        <v>0</v>
      </c>
      <c r="EK202" s="833"/>
      <c r="EL202" s="833"/>
      <c r="EM202" s="723">
        <f>IF(EK202=0,0,(EL202-EK202)/EK202*100)</f>
        <v>0</v>
      </c>
      <c r="EN202" s="833"/>
      <c r="EO202" s="833"/>
      <c r="EP202" s="723">
        <f>IF(EN202=0,0,(EO202-EN202)/EN202*100)</f>
        <v>0</v>
      </c>
      <c r="EQ202" s="833"/>
      <c r="ER202" s="833"/>
      <c r="ES202" s="723">
        <f>IF(EQ202=0,0,(ER202-EQ202)/EQ202*100)</f>
        <v>0</v>
      </c>
      <c r="ET202" s="833"/>
      <c r="EU202" s="833"/>
      <c r="EV202" s="723">
        <f>IF(ET202=0,0,(EU202-ET202)/ET202*100)</f>
        <v>0</v>
      </c>
      <c r="EW202" s="833"/>
      <c r="EX202" s="833"/>
      <c r="EY202" s="723">
        <f>IF(EW202=0,0,(EX202-EW202)/EW202*100)</f>
        <v>0</v>
      </c>
      <c r="EZ202" s="833"/>
      <c r="FA202" s="833"/>
      <c r="FB202" s="723">
        <f>IF(EZ202=0,0,(FA202-EZ202)/EZ202*100)</f>
        <v>0</v>
      </c>
      <c r="FC202" s="833"/>
      <c r="FD202" s="833"/>
      <c r="FE202" s="723">
        <f>IF(FC202=0,0,(FD202-FC202)/FC202*100)</f>
        <v>0</v>
      </c>
      <c r="FF202" s="833"/>
      <c r="FG202" s="833"/>
      <c r="FH202" s="723">
        <f>IF(FF202=0,0,(FG202-FF202)/FF202*100)</f>
        <v>0</v>
      </c>
      <c r="FI202" s="833"/>
      <c r="FJ202" s="833"/>
      <c r="FK202" s="723">
        <f>IF(FI202=0,0,(FJ202-FI202)/FI202*100)</f>
        <v>0</v>
      </c>
      <c r="FL202" s="833"/>
      <c r="FM202" s="833"/>
      <c r="FN202" s="723">
        <f>IF(FL202=0,0,(FM202-FL202)/FL202*100)</f>
        <v>0</v>
      </c>
      <c r="FO202" s="833"/>
      <c r="FP202" s="833"/>
      <c r="FQ202" s="723">
        <f>IF(FO202=0,0,(FP202-FO202)/FO202*100)</f>
        <v>0</v>
      </c>
      <c r="FR202" s="833"/>
      <c r="FS202" s="833"/>
      <c r="FT202" s="723">
        <f>IF(FR202=0,0,(FS202-FR202)/FR202*100)</f>
        <v>0</v>
      </c>
      <c r="FU202" s="833"/>
      <c r="FV202" s="833"/>
      <c r="FW202" s="723">
        <f>IF(FU202=0,0,(FV202-FU202)/FU202*100)</f>
        <v>0</v>
      </c>
      <c r="FZ202" s="700" t="s">
        <v>1695</v>
      </c>
      <c r="GA202" s="680" t="s">
        <v>865</v>
      </c>
      <c r="GB202" s="680" cm="1">
        <f t="array" ref="GB202">GB201</f>
        <v>0</v>
      </c>
    </row>
    <row r="203" spans="1:186" ht="18.600000000000001" hidden="1" customHeight="1">
      <c r="A203" s="78"/>
      <c r="B203" s="622" t="b" cm="1">
        <f t="array" ref="B203">B202</f>
        <v>0</v>
      </c>
      <c r="C203" s="78"/>
      <c r="D203" s="78"/>
      <c r="E203" s="473">
        <v>19</v>
      </c>
      <c r="F203" s="3" t="str" cm="1">
        <f t="array" aca="1" ref="F203" ca="1">OFFSET(E203,-1,1)</f>
        <v>2</v>
      </c>
      <c r="G203" s="78"/>
      <c r="H203" s="78"/>
      <c r="I203" s="78"/>
      <c r="J203" s="78"/>
      <c r="K203" s="78"/>
      <c r="L203" s="78"/>
      <c r="M203" s="78"/>
      <c r="N203" s="78"/>
      <c r="O203" s="78"/>
      <c r="P203" s="78"/>
      <c r="Q203" s="78"/>
      <c r="R203" s="78"/>
      <c r="S203" s="78"/>
      <c r="T203" s="365" t="b" cm="1">
        <f t="array" aca="1" ref="T203" ca="1">T202</f>
        <v>0</v>
      </c>
      <c r="U203" s="78"/>
      <c r="V203" s="78"/>
      <c r="W203" s="78"/>
      <c r="X203" s="1094"/>
      <c r="Y203" s="1094"/>
      <c r="Z203" s="1064"/>
      <c r="AA203" s="1049"/>
      <c r="AB203" s="944"/>
      <c r="AC203" s="594"/>
      <c r="AD203" s="729"/>
      <c r="AE203" s="730"/>
      <c r="AF203" s="730"/>
      <c r="AG203" s="729"/>
      <c r="AH203" s="730"/>
      <c r="AI203" s="730"/>
      <c r="AJ203" s="729"/>
      <c r="AK203" s="730"/>
      <c r="AL203" s="730"/>
      <c r="AM203" s="729"/>
      <c r="AN203" s="730"/>
      <c r="AO203" s="730"/>
      <c r="AP203" s="729"/>
      <c r="AQ203" s="730"/>
      <c r="AR203" s="730"/>
      <c r="AS203" s="729"/>
      <c r="AT203" s="730"/>
      <c r="AU203" s="730"/>
      <c r="AV203" s="729"/>
      <c r="AW203" s="730"/>
      <c r="AX203" s="730"/>
      <c r="AY203" s="729"/>
      <c r="AZ203" s="730"/>
      <c r="BA203" s="730"/>
      <c r="BB203" s="729"/>
      <c r="BC203" s="730"/>
      <c r="BD203" s="730"/>
      <c r="BE203" s="729"/>
      <c r="BF203" s="730"/>
      <c r="BG203" s="730"/>
      <c r="BH203" s="729"/>
      <c r="BI203" s="730"/>
      <c r="BJ203" s="730"/>
      <c r="BK203" s="729"/>
      <c r="BL203" s="730"/>
      <c r="BM203" s="730"/>
      <c r="BN203" s="729"/>
      <c r="BO203" s="730"/>
      <c r="BP203" s="730"/>
      <c r="BQ203" s="729"/>
      <c r="BR203" s="730"/>
      <c r="BS203" s="730"/>
      <c r="BT203" s="729"/>
      <c r="BU203" s="730"/>
      <c r="BV203" s="730"/>
      <c r="BW203" s="729"/>
      <c r="BX203" s="730"/>
      <c r="BY203" s="730"/>
      <c r="BZ203" s="729"/>
      <c r="CA203" s="730"/>
      <c r="CB203" s="730"/>
      <c r="CC203" s="729"/>
      <c r="CD203" s="730"/>
      <c r="CE203" s="730"/>
      <c r="CF203" s="729"/>
      <c r="CG203" s="730"/>
      <c r="CH203" s="730"/>
      <c r="CI203" s="729"/>
      <c r="CJ203" s="730"/>
      <c r="CK203" s="730"/>
      <c r="CL203" s="729"/>
      <c r="CM203" s="730"/>
      <c r="CN203" s="730"/>
      <c r="CO203" s="729"/>
      <c r="CP203" s="730"/>
      <c r="CQ203" s="730"/>
      <c r="CR203" s="729"/>
      <c r="CS203" s="730"/>
      <c r="CT203" s="730"/>
      <c r="CU203" s="729"/>
      <c r="CV203" s="730"/>
      <c r="CW203" s="730"/>
      <c r="CX203" s="729"/>
      <c r="CY203" s="730"/>
      <c r="CZ203" s="730"/>
      <c r="DA203" s="729"/>
      <c r="DB203" s="730"/>
      <c r="DC203" s="730"/>
      <c r="DD203" s="729"/>
      <c r="DE203" s="730"/>
      <c r="DF203" s="730"/>
      <c r="DG203" s="729"/>
      <c r="DH203" s="730"/>
      <c r="DI203" s="730"/>
      <c r="DJ203" s="729"/>
      <c r="DK203" s="730"/>
      <c r="DL203" s="730"/>
      <c r="DM203" s="729"/>
      <c r="DN203" s="730"/>
      <c r="DO203" s="730"/>
      <c r="DP203" s="729"/>
      <c r="DQ203" s="730"/>
      <c r="DR203" s="730"/>
      <c r="DS203" s="729"/>
      <c r="DT203" s="730"/>
      <c r="DU203" s="730"/>
      <c r="DV203" s="729"/>
      <c r="DW203" s="730"/>
      <c r="DX203" s="730"/>
      <c r="DY203" s="729"/>
      <c r="DZ203" s="730"/>
      <c r="EA203" s="730"/>
      <c r="EB203" s="729"/>
      <c r="EC203" s="730"/>
      <c r="ED203" s="730"/>
      <c r="EE203" s="729"/>
      <c r="EF203" s="730"/>
      <c r="EG203" s="730"/>
      <c r="EH203" s="729"/>
      <c r="EI203" s="730"/>
      <c r="EJ203" s="730"/>
      <c r="EK203" s="729"/>
      <c r="EL203" s="730"/>
      <c r="EM203" s="730"/>
      <c r="EN203" s="729"/>
      <c r="EO203" s="730"/>
      <c r="EP203" s="730"/>
      <c r="EQ203" s="729"/>
      <c r="ER203" s="730"/>
      <c r="ES203" s="730"/>
      <c r="ET203" s="729"/>
      <c r="EU203" s="730"/>
      <c r="EV203" s="730"/>
      <c r="EW203" s="729"/>
      <c r="EX203" s="730"/>
      <c r="EY203" s="730"/>
      <c r="EZ203" s="729"/>
      <c r="FA203" s="730"/>
      <c r="FB203" s="730"/>
      <c r="FC203" s="729"/>
      <c r="FD203" s="730"/>
      <c r="FE203" s="730"/>
      <c r="FF203" s="729"/>
      <c r="FG203" s="730"/>
      <c r="FH203" s="730"/>
      <c r="FI203" s="729"/>
      <c r="FJ203" s="730"/>
      <c r="FK203" s="730"/>
      <c r="FL203" s="729"/>
      <c r="FM203" s="730"/>
      <c r="FN203" s="730"/>
      <c r="FO203" s="729"/>
      <c r="FP203" s="730"/>
      <c r="FQ203" s="730"/>
      <c r="FR203" s="729"/>
      <c r="FS203" s="730"/>
      <c r="FT203" s="730"/>
      <c r="FU203" s="729"/>
      <c r="FV203" s="730"/>
      <c r="FW203" s="731"/>
      <c r="GA203" s="680" t="s">
        <v>225</v>
      </c>
      <c r="GB203" s="680" cm="1">
        <f t="array" ref="GB203">GB202</f>
        <v>0</v>
      </c>
    </row>
    <row r="204" spans="1:186" ht="18.600000000000001" hidden="1" customHeight="1">
      <c r="A204" s="78"/>
      <c r="B204" s="622" t="b" cm="1">
        <f t="array" ref="B204">B203</f>
        <v>0</v>
      </c>
      <c r="C204" s="78"/>
      <c r="D204" s="78"/>
      <c r="E204" s="473">
        <v>19</v>
      </c>
      <c r="F204" s="3" t="str" cm="1">
        <f t="array" aca="1" ref="F204" ca="1">OFFSET(E204,-1,1)</f>
        <v>2</v>
      </c>
      <c r="G204" s="78"/>
      <c r="H204" s="78"/>
      <c r="I204" s="78"/>
      <c r="J204" s="78"/>
      <c r="K204" s="78"/>
      <c r="L204" s="78"/>
      <c r="M204" s="78"/>
      <c r="N204" s="78"/>
      <c r="O204" s="78"/>
      <c r="P204" s="78"/>
      <c r="Q204" s="78"/>
      <c r="R204" s="78"/>
      <c r="S204" s="78"/>
      <c r="T204" s="365" t="b" cm="1">
        <f t="array" aca="1" ref="T204" ca="1">T203</f>
        <v>0</v>
      </c>
      <c r="U204" s="78"/>
      <c r="V204" s="78"/>
      <c r="W204" s="78"/>
      <c r="X204" s="1094"/>
      <c r="Y204" s="1094"/>
      <c r="Z204" s="1064"/>
      <c r="AA204" s="1049"/>
      <c r="AB204" s="124" t="s">
        <v>1657</v>
      </c>
      <c r="AC204" s="31" t="s">
        <v>1624</v>
      </c>
      <c r="AD204" s="833"/>
      <c r="AE204" s="833"/>
      <c r="AF204" s="723">
        <f>IF(AD204=0,0,(AE204-AD204)/AD204*100)</f>
        <v>0</v>
      </c>
      <c r="AG204" s="833"/>
      <c r="AH204" s="833"/>
      <c r="AI204" s="723">
        <f>IF(AG204=0,0,(AH204-AG204)/AG204*100)</f>
        <v>0</v>
      </c>
      <c r="AJ204" s="833"/>
      <c r="AK204" s="833"/>
      <c r="AL204" s="723">
        <f>IF(AJ204=0,0,(AK204-AJ204)/AJ204*100)</f>
        <v>0</v>
      </c>
      <c r="AM204" s="833"/>
      <c r="AN204" s="833"/>
      <c r="AO204" s="723">
        <f>IF(AM204=0,0,(AN204-AM204)/AM204*100)</f>
        <v>0</v>
      </c>
      <c r="AP204" s="833"/>
      <c r="AQ204" s="833"/>
      <c r="AR204" s="723">
        <f>IF(AP204=0,0,(AQ204-AP204)/AP204*100)</f>
        <v>0</v>
      </c>
      <c r="AS204" s="833"/>
      <c r="AT204" s="833"/>
      <c r="AU204" s="723">
        <f>IF(AS204=0,0,(AT204-AS204)/AS204*100)</f>
        <v>0</v>
      </c>
      <c r="AV204" s="833"/>
      <c r="AW204" s="833"/>
      <c r="AX204" s="723">
        <f>IF(AV204=0,0,(AW204-AV204)/AV204*100)</f>
        <v>0</v>
      </c>
      <c r="AY204" s="833"/>
      <c r="AZ204" s="833"/>
      <c r="BA204" s="723">
        <f>IF(AY204=0,0,(AZ204-AY204)/AY204*100)</f>
        <v>0</v>
      </c>
      <c r="BB204" s="833"/>
      <c r="BC204" s="833"/>
      <c r="BD204" s="723">
        <f>IF(BB204=0,0,(BC204-BB204)/BB204*100)</f>
        <v>0</v>
      </c>
      <c r="BE204" s="833"/>
      <c r="BF204" s="833"/>
      <c r="BG204" s="723">
        <f>IF(BE204=0,0,(BF204-BE204)/BE204*100)</f>
        <v>0</v>
      </c>
      <c r="BH204" s="833"/>
      <c r="BI204" s="833"/>
      <c r="BJ204" s="723">
        <f>IF(BH204=0,0,(BI204-BH204)/BH204*100)</f>
        <v>0</v>
      </c>
      <c r="BK204" s="833"/>
      <c r="BL204" s="833"/>
      <c r="BM204" s="723">
        <f>IF(BK204=0,0,(BL204-BK204)/BK204*100)</f>
        <v>0</v>
      </c>
      <c r="BN204" s="833"/>
      <c r="BO204" s="833"/>
      <c r="BP204" s="723">
        <f>IF(BN204=0,0,(BO204-BN204)/BN204*100)</f>
        <v>0</v>
      </c>
      <c r="BQ204" s="833"/>
      <c r="BR204" s="833"/>
      <c r="BS204" s="723">
        <f>IF(BQ204=0,0,(BR204-BQ204)/BQ204*100)</f>
        <v>0</v>
      </c>
      <c r="BT204" s="833"/>
      <c r="BU204" s="833"/>
      <c r="BV204" s="723">
        <f>IF(BT204=0,0,(BU204-BT204)/BT204*100)</f>
        <v>0</v>
      </c>
      <c r="BW204" s="833"/>
      <c r="BX204" s="833"/>
      <c r="BY204" s="723">
        <f>IF(BW204=0,0,(BX204-BW204)/BW204*100)</f>
        <v>0</v>
      </c>
      <c r="BZ204" s="833"/>
      <c r="CA204" s="833"/>
      <c r="CB204" s="723">
        <f>IF(BZ204=0,0,(CA204-BZ204)/BZ204*100)</f>
        <v>0</v>
      </c>
      <c r="CC204" s="833"/>
      <c r="CD204" s="833"/>
      <c r="CE204" s="723">
        <f>IF(CC204=0,0,(CD204-CC204)/CC204*100)</f>
        <v>0</v>
      </c>
      <c r="CF204" s="833"/>
      <c r="CG204" s="833"/>
      <c r="CH204" s="723">
        <f>IF(CF204=0,0,(CG204-CF204)/CF204*100)</f>
        <v>0</v>
      </c>
      <c r="CI204" s="833"/>
      <c r="CJ204" s="833"/>
      <c r="CK204" s="723">
        <f>IF(CI204=0,0,(CJ204-CI204)/CI204*100)</f>
        <v>0</v>
      </c>
      <c r="CL204" s="833"/>
      <c r="CM204" s="833"/>
      <c r="CN204" s="723">
        <f>IF(CL204=0,0,(CM204-CL204)/CL204*100)</f>
        <v>0</v>
      </c>
      <c r="CO204" s="833"/>
      <c r="CP204" s="833"/>
      <c r="CQ204" s="723">
        <f>IF(CO204=0,0,(CP204-CO204)/CO204*100)</f>
        <v>0</v>
      </c>
      <c r="CR204" s="833"/>
      <c r="CS204" s="833"/>
      <c r="CT204" s="723">
        <f>IF(CR204=0,0,(CS204-CR204)/CR204*100)</f>
        <v>0</v>
      </c>
      <c r="CU204" s="833"/>
      <c r="CV204" s="833"/>
      <c r="CW204" s="723">
        <f>IF(CU204=0,0,(CV204-CU204)/CU204*100)</f>
        <v>0</v>
      </c>
      <c r="CX204" s="833"/>
      <c r="CY204" s="833"/>
      <c r="CZ204" s="723">
        <f>IF(CX204=0,0,(CY204-CX204)/CX204*100)</f>
        <v>0</v>
      </c>
      <c r="DA204" s="833"/>
      <c r="DB204" s="833"/>
      <c r="DC204" s="723">
        <f>IF(DA204=0,0,(DB204-DA204)/DA204*100)</f>
        <v>0</v>
      </c>
      <c r="DD204" s="833"/>
      <c r="DE204" s="833"/>
      <c r="DF204" s="723">
        <f>IF(DD204=0,0,(DE204-DD204)/DD204*100)</f>
        <v>0</v>
      </c>
      <c r="DG204" s="833"/>
      <c r="DH204" s="833"/>
      <c r="DI204" s="723">
        <f>IF(DG204=0,0,(DH204-DG204)/DG204*100)</f>
        <v>0</v>
      </c>
      <c r="DJ204" s="833"/>
      <c r="DK204" s="833"/>
      <c r="DL204" s="723">
        <f>IF(DJ204=0,0,(DK204-DJ204)/DJ204*100)</f>
        <v>0</v>
      </c>
      <c r="DM204" s="833"/>
      <c r="DN204" s="833"/>
      <c r="DO204" s="723">
        <f>IF(DM204=0,0,(DN204-DM204)/DM204*100)</f>
        <v>0</v>
      </c>
      <c r="DP204" s="833"/>
      <c r="DQ204" s="833"/>
      <c r="DR204" s="723">
        <f>IF(DP204=0,0,(DQ204-DP204)/DP204*100)</f>
        <v>0</v>
      </c>
      <c r="DS204" s="833"/>
      <c r="DT204" s="833"/>
      <c r="DU204" s="723">
        <f>IF(DS204=0,0,(DT204-DS204)/DS204*100)</f>
        <v>0</v>
      </c>
      <c r="DV204" s="833"/>
      <c r="DW204" s="833"/>
      <c r="DX204" s="723">
        <f>IF(DV204=0,0,(DW204-DV204)/DV204*100)</f>
        <v>0</v>
      </c>
      <c r="DY204" s="833"/>
      <c r="DZ204" s="833"/>
      <c r="EA204" s="723">
        <f>IF(DY204=0,0,(DZ204-DY204)/DY204*100)</f>
        <v>0</v>
      </c>
      <c r="EB204" s="833"/>
      <c r="EC204" s="833"/>
      <c r="ED204" s="723">
        <f>IF(EB204=0,0,(EC204-EB204)/EB204*100)</f>
        <v>0</v>
      </c>
      <c r="EE204" s="833"/>
      <c r="EF204" s="833"/>
      <c r="EG204" s="723">
        <f>IF(EE204=0,0,(EF204-EE204)/EE204*100)</f>
        <v>0</v>
      </c>
      <c r="EH204" s="833"/>
      <c r="EI204" s="833"/>
      <c r="EJ204" s="723">
        <f>IF(EH204=0,0,(EI204-EH204)/EH204*100)</f>
        <v>0</v>
      </c>
      <c r="EK204" s="833"/>
      <c r="EL204" s="833"/>
      <c r="EM204" s="723">
        <f>IF(EK204=0,0,(EL204-EK204)/EK204*100)</f>
        <v>0</v>
      </c>
      <c r="EN204" s="833"/>
      <c r="EO204" s="833"/>
      <c r="EP204" s="723">
        <f>IF(EN204=0,0,(EO204-EN204)/EN204*100)</f>
        <v>0</v>
      </c>
      <c r="EQ204" s="833"/>
      <c r="ER204" s="833"/>
      <c r="ES204" s="723">
        <f>IF(EQ204=0,0,(ER204-EQ204)/EQ204*100)</f>
        <v>0</v>
      </c>
      <c r="ET204" s="833"/>
      <c r="EU204" s="833"/>
      <c r="EV204" s="723">
        <f>IF(ET204=0,0,(EU204-ET204)/ET204*100)</f>
        <v>0</v>
      </c>
      <c r="EW204" s="833"/>
      <c r="EX204" s="833"/>
      <c r="EY204" s="723">
        <f>IF(EW204=0,0,(EX204-EW204)/EW204*100)</f>
        <v>0</v>
      </c>
      <c r="EZ204" s="833"/>
      <c r="FA204" s="833"/>
      <c r="FB204" s="723">
        <f>IF(EZ204=0,0,(FA204-EZ204)/EZ204*100)</f>
        <v>0</v>
      </c>
      <c r="FC204" s="833"/>
      <c r="FD204" s="833"/>
      <c r="FE204" s="723">
        <f>IF(FC204=0,0,(FD204-FC204)/FC204*100)</f>
        <v>0</v>
      </c>
      <c r="FF204" s="833"/>
      <c r="FG204" s="833"/>
      <c r="FH204" s="723">
        <f>IF(FF204=0,0,(FG204-FF204)/FF204*100)</f>
        <v>0</v>
      </c>
      <c r="FI204" s="833"/>
      <c r="FJ204" s="833"/>
      <c r="FK204" s="723">
        <f>IF(FI204=0,0,(FJ204-FI204)/FI204*100)</f>
        <v>0</v>
      </c>
      <c r="FL204" s="833"/>
      <c r="FM204" s="833"/>
      <c r="FN204" s="723">
        <f>IF(FL204=0,0,(FM204-FL204)/FL204*100)</f>
        <v>0</v>
      </c>
      <c r="FO204" s="833"/>
      <c r="FP204" s="833"/>
      <c r="FQ204" s="723">
        <f>IF(FO204=0,0,(FP204-FO204)/FO204*100)</f>
        <v>0</v>
      </c>
      <c r="FR204" s="833"/>
      <c r="FS204" s="833"/>
      <c r="FT204" s="723">
        <f>IF(FR204=0,0,(FS204-FR204)/FR204*100)</f>
        <v>0</v>
      </c>
      <c r="FU204" s="833"/>
      <c r="FV204" s="833"/>
      <c r="FW204" s="723">
        <f>IF(FU204=0,0,(FV204-FU204)/FU204*100)</f>
        <v>0</v>
      </c>
      <c r="FZ204" s="680" t="s">
        <v>1696</v>
      </c>
      <c r="GA204" s="680" t="s">
        <v>865</v>
      </c>
      <c r="GB204" s="680" cm="1">
        <f t="array" ref="GB204">GB203</f>
        <v>0</v>
      </c>
    </row>
    <row r="205" spans="1:186" ht="18.600000000000001" hidden="1" customHeight="1">
      <c r="A205" s="78"/>
      <c r="B205" s="622" t="b" cm="1">
        <f t="array" ref="B205">B204</f>
        <v>0</v>
      </c>
      <c r="C205" s="78"/>
      <c r="D205" s="78"/>
      <c r="E205" s="473">
        <v>19</v>
      </c>
      <c r="F205" s="3" t="str" cm="1">
        <f t="array" aca="1" ref="F205" ca="1">OFFSET(E205,-1,1)</f>
        <v>2</v>
      </c>
      <c r="G205" s="78"/>
      <c r="H205" s="78"/>
      <c r="I205" s="78"/>
      <c r="J205" s="78"/>
      <c r="K205" s="78"/>
      <c r="L205" s="78"/>
      <c r="M205" s="78"/>
      <c r="N205" s="78"/>
      <c r="O205" s="78"/>
      <c r="P205" s="78"/>
      <c r="Q205" s="78"/>
      <c r="R205" s="78"/>
      <c r="S205" s="78"/>
      <c r="T205" s="365" t="b" cm="1">
        <f t="array" aca="1" ref="T205" ca="1">T204</f>
        <v>0</v>
      </c>
      <c r="U205" s="78"/>
      <c r="V205" s="78"/>
      <c r="W205" s="78"/>
      <c r="X205" s="1094"/>
      <c r="Y205" s="1094"/>
      <c r="Z205" s="1064"/>
      <c r="AA205" s="1049"/>
      <c r="AB205" s="124" t="str">
        <f>"ставка платы за "&amp;IF(Q161="Водоснабжение","потребление 1 куб.м холодной воды","объем принятых сточных вод")</f>
        <v>ставка платы за объем принятых сточных вод</v>
      </c>
      <c r="AC205" s="31" t="s">
        <v>1624</v>
      </c>
      <c r="AD205" s="833"/>
      <c r="AE205" s="833"/>
      <c r="AF205" s="723">
        <f>IF(AD205=0,0,(AE205-AD205)/AD205*100)</f>
        <v>0</v>
      </c>
      <c r="AG205" s="833"/>
      <c r="AH205" s="833"/>
      <c r="AI205" s="723">
        <f>IF(AG205=0,0,(AH205-AG205)/AG205*100)</f>
        <v>0</v>
      </c>
      <c r="AJ205" s="833"/>
      <c r="AK205" s="833"/>
      <c r="AL205" s="723">
        <f>IF(AJ205=0,0,(AK205-AJ205)/AJ205*100)</f>
        <v>0</v>
      </c>
      <c r="AM205" s="833"/>
      <c r="AN205" s="833"/>
      <c r="AO205" s="723">
        <f>IF(AM205=0,0,(AN205-AM205)/AM205*100)</f>
        <v>0</v>
      </c>
      <c r="AP205" s="833"/>
      <c r="AQ205" s="833"/>
      <c r="AR205" s="723">
        <f>IF(AP205=0,0,(AQ205-AP205)/AP205*100)</f>
        <v>0</v>
      </c>
      <c r="AS205" s="833"/>
      <c r="AT205" s="833"/>
      <c r="AU205" s="723">
        <f>IF(AS205=0,0,(AT205-AS205)/AS205*100)</f>
        <v>0</v>
      </c>
      <c r="AV205" s="833"/>
      <c r="AW205" s="833"/>
      <c r="AX205" s="723">
        <f>IF(AV205=0,0,(AW205-AV205)/AV205*100)</f>
        <v>0</v>
      </c>
      <c r="AY205" s="833"/>
      <c r="AZ205" s="833"/>
      <c r="BA205" s="723">
        <f>IF(AY205=0,0,(AZ205-AY205)/AY205*100)</f>
        <v>0</v>
      </c>
      <c r="BB205" s="833"/>
      <c r="BC205" s="833"/>
      <c r="BD205" s="723">
        <f>IF(BB205=0,0,(BC205-BB205)/BB205*100)</f>
        <v>0</v>
      </c>
      <c r="BE205" s="833"/>
      <c r="BF205" s="833"/>
      <c r="BG205" s="723">
        <f>IF(BE205=0,0,(BF205-BE205)/BE205*100)</f>
        <v>0</v>
      </c>
      <c r="BH205" s="833"/>
      <c r="BI205" s="833"/>
      <c r="BJ205" s="723">
        <f>IF(BH205=0,0,(BI205-BH205)/BH205*100)</f>
        <v>0</v>
      </c>
      <c r="BK205" s="833"/>
      <c r="BL205" s="833"/>
      <c r="BM205" s="723">
        <f>IF(BK205=0,0,(BL205-BK205)/BK205*100)</f>
        <v>0</v>
      </c>
      <c r="BN205" s="833"/>
      <c r="BO205" s="833"/>
      <c r="BP205" s="723">
        <f>IF(BN205=0,0,(BO205-BN205)/BN205*100)</f>
        <v>0</v>
      </c>
      <c r="BQ205" s="833"/>
      <c r="BR205" s="833"/>
      <c r="BS205" s="723">
        <f>IF(BQ205=0,0,(BR205-BQ205)/BQ205*100)</f>
        <v>0</v>
      </c>
      <c r="BT205" s="833"/>
      <c r="BU205" s="833"/>
      <c r="BV205" s="723">
        <f>IF(BT205=0,0,(BU205-BT205)/BT205*100)</f>
        <v>0</v>
      </c>
      <c r="BW205" s="833"/>
      <c r="BX205" s="833"/>
      <c r="BY205" s="723">
        <f>IF(BW205=0,0,(BX205-BW205)/BW205*100)</f>
        <v>0</v>
      </c>
      <c r="BZ205" s="833"/>
      <c r="CA205" s="833"/>
      <c r="CB205" s="723">
        <f>IF(BZ205=0,0,(CA205-BZ205)/BZ205*100)</f>
        <v>0</v>
      </c>
      <c r="CC205" s="833"/>
      <c r="CD205" s="833"/>
      <c r="CE205" s="723">
        <f>IF(CC205=0,0,(CD205-CC205)/CC205*100)</f>
        <v>0</v>
      </c>
      <c r="CF205" s="833"/>
      <c r="CG205" s="833"/>
      <c r="CH205" s="723">
        <f>IF(CF205=0,0,(CG205-CF205)/CF205*100)</f>
        <v>0</v>
      </c>
      <c r="CI205" s="833"/>
      <c r="CJ205" s="833"/>
      <c r="CK205" s="723">
        <f>IF(CI205=0,0,(CJ205-CI205)/CI205*100)</f>
        <v>0</v>
      </c>
      <c r="CL205" s="833"/>
      <c r="CM205" s="833"/>
      <c r="CN205" s="723">
        <f>IF(CL205=0,0,(CM205-CL205)/CL205*100)</f>
        <v>0</v>
      </c>
      <c r="CO205" s="833"/>
      <c r="CP205" s="833"/>
      <c r="CQ205" s="723">
        <f>IF(CO205=0,0,(CP205-CO205)/CO205*100)</f>
        <v>0</v>
      </c>
      <c r="CR205" s="833"/>
      <c r="CS205" s="833"/>
      <c r="CT205" s="723">
        <f>IF(CR205=0,0,(CS205-CR205)/CR205*100)</f>
        <v>0</v>
      </c>
      <c r="CU205" s="833"/>
      <c r="CV205" s="833"/>
      <c r="CW205" s="723">
        <f>IF(CU205=0,0,(CV205-CU205)/CU205*100)</f>
        <v>0</v>
      </c>
      <c r="CX205" s="833"/>
      <c r="CY205" s="833"/>
      <c r="CZ205" s="723">
        <f>IF(CX205=0,0,(CY205-CX205)/CX205*100)</f>
        <v>0</v>
      </c>
      <c r="DA205" s="833"/>
      <c r="DB205" s="833"/>
      <c r="DC205" s="723">
        <f>IF(DA205=0,0,(DB205-DA205)/DA205*100)</f>
        <v>0</v>
      </c>
      <c r="DD205" s="833"/>
      <c r="DE205" s="833"/>
      <c r="DF205" s="723">
        <f>IF(DD205=0,0,(DE205-DD205)/DD205*100)</f>
        <v>0</v>
      </c>
      <c r="DG205" s="833"/>
      <c r="DH205" s="833"/>
      <c r="DI205" s="723">
        <f>IF(DG205=0,0,(DH205-DG205)/DG205*100)</f>
        <v>0</v>
      </c>
      <c r="DJ205" s="833"/>
      <c r="DK205" s="833"/>
      <c r="DL205" s="723">
        <f>IF(DJ205=0,0,(DK205-DJ205)/DJ205*100)</f>
        <v>0</v>
      </c>
      <c r="DM205" s="833"/>
      <c r="DN205" s="833"/>
      <c r="DO205" s="723">
        <f>IF(DM205=0,0,(DN205-DM205)/DM205*100)</f>
        <v>0</v>
      </c>
      <c r="DP205" s="833"/>
      <c r="DQ205" s="833"/>
      <c r="DR205" s="723">
        <f>IF(DP205=0,0,(DQ205-DP205)/DP205*100)</f>
        <v>0</v>
      </c>
      <c r="DS205" s="833"/>
      <c r="DT205" s="833"/>
      <c r="DU205" s="723">
        <f>IF(DS205=0,0,(DT205-DS205)/DS205*100)</f>
        <v>0</v>
      </c>
      <c r="DV205" s="833"/>
      <c r="DW205" s="833"/>
      <c r="DX205" s="723">
        <f>IF(DV205=0,0,(DW205-DV205)/DV205*100)</f>
        <v>0</v>
      </c>
      <c r="DY205" s="833"/>
      <c r="DZ205" s="833"/>
      <c r="EA205" s="723">
        <f>IF(DY205=0,0,(DZ205-DY205)/DY205*100)</f>
        <v>0</v>
      </c>
      <c r="EB205" s="833"/>
      <c r="EC205" s="833"/>
      <c r="ED205" s="723">
        <f>IF(EB205=0,0,(EC205-EB205)/EB205*100)</f>
        <v>0</v>
      </c>
      <c r="EE205" s="833"/>
      <c r="EF205" s="833"/>
      <c r="EG205" s="723">
        <f>IF(EE205=0,0,(EF205-EE205)/EE205*100)</f>
        <v>0</v>
      </c>
      <c r="EH205" s="833"/>
      <c r="EI205" s="833"/>
      <c r="EJ205" s="723">
        <f>IF(EH205=0,0,(EI205-EH205)/EH205*100)</f>
        <v>0</v>
      </c>
      <c r="EK205" s="833"/>
      <c r="EL205" s="833"/>
      <c r="EM205" s="723">
        <f>IF(EK205=0,0,(EL205-EK205)/EK205*100)</f>
        <v>0</v>
      </c>
      <c r="EN205" s="833"/>
      <c r="EO205" s="833"/>
      <c r="EP205" s="723">
        <f>IF(EN205=0,0,(EO205-EN205)/EN205*100)</f>
        <v>0</v>
      </c>
      <c r="EQ205" s="833"/>
      <c r="ER205" s="833"/>
      <c r="ES205" s="723">
        <f>IF(EQ205=0,0,(ER205-EQ205)/EQ205*100)</f>
        <v>0</v>
      </c>
      <c r="ET205" s="833"/>
      <c r="EU205" s="833"/>
      <c r="EV205" s="723">
        <f>IF(ET205=0,0,(EU205-ET205)/ET205*100)</f>
        <v>0</v>
      </c>
      <c r="EW205" s="833"/>
      <c r="EX205" s="833"/>
      <c r="EY205" s="723">
        <f>IF(EW205=0,0,(EX205-EW205)/EW205*100)</f>
        <v>0</v>
      </c>
      <c r="EZ205" s="833"/>
      <c r="FA205" s="833"/>
      <c r="FB205" s="723">
        <f>IF(EZ205=0,0,(FA205-EZ205)/EZ205*100)</f>
        <v>0</v>
      </c>
      <c r="FC205" s="833"/>
      <c r="FD205" s="833"/>
      <c r="FE205" s="723">
        <f>IF(FC205=0,0,(FD205-FC205)/FC205*100)</f>
        <v>0</v>
      </c>
      <c r="FF205" s="833"/>
      <c r="FG205" s="833"/>
      <c r="FH205" s="723">
        <f>IF(FF205=0,0,(FG205-FF205)/FF205*100)</f>
        <v>0</v>
      </c>
      <c r="FI205" s="833"/>
      <c r="FJ205" s="833"/>
      <c r="FK205" s="723">
        <f>IF(FI205=0,0,(FJ205-FI205)/FI205*100)</f>
        <v>0</v>
      </c>
      <c r="FL205" s="833"/>
      <c r="FM205" s="833"/>
      <c r="FN205" s="723">
        <f>IF(FL205=0,0,(FM205-FL205)/FL205*100)</f>
        <v>0</v>
      </c>
      <c r="FO205" s="833"/>
      <c r="FP205" s="833"/>
      <c r="FQ205" s="723">
        <f>IF(FO205=0,0,(FP205-FO205)/FO205*100)</f>
        <v>0</v>
      </c>
      <c r="FR205" s="833"/>
      <c r="FS205" s="833"/>
      <c r="FT205" s="723">
        <f>IF(FR205=0,0,(FS205-FR205)/FR205*100)</f>
        <v>0</v>
      </c>
      <c r="FU205" s="833"/>
      <c r="FV205" s="833"/>
      <c r="FW205" s="723">
        <f>IF(FU205=0,0,(FV205-FU205)/FU205*100)</f>
        <v>0</v>
      </c>
      <c r="FZ205" s="680" t="s">
        <v>1697</v>
      </c>
      <c r="GA205" s="680" t="s">
        <v>865</v>
      </c>
      <c r="GB205" s="680" cm="1">
        <f t="array" ref="GB205">GB204</f>
        <v>0</v>
      </c>
    </row>
    <row r="206" spans="1:186" ht="18.600000000000001" hidden="1" customHeight="1">
      <c r="A206" s="78"/>
      <c r="B206" s="622" t="b" cm="1">
        <f t="array" ref="B206">B205</f>
        <v>0</v>
      </c>
      <c r="C206" s="78"/>
      <c r="D206" s="78"/>
      <c r="E206" s="473">
        <v>19</v>
      </c>
      <c r="F206" s="3" t="str" cm="1">
        <f t="array" aca="1" ref="F206" ca="1">OFFSET(E206,-1,1)</f>
        <v>2</v>
      </c>
      <c r="G206" s="78"/>
      <c r="H206" s="78"/>
      <c r="I206" s="78"/>
      <c r="J206" s="78"/>
      <c r="K206" s="78"/>
      <c r="L206" s="78"/>
      <c r="M206" s="78"/>
      <c r="N206" s="78"/>
      <c r="O206" s="78"/>
      <c r="P206" s="78"/>
      <c r="Q206" s="78"/>
      <c r="R206" s="78"/>
      <c r="S206" s="78"/>
      <c r="T206" s="365" t="b" cm="1">
        <f t="array" aca="1" ref="T206" ca="1">T205</f>
        <v>0</v>
      </c>
      <c r="U206" s="78"/>
      <c r="V206" s="78"/>
      <c r="W206" s="78"/>
      <c r="X206" s="1094"/>
      <c r="Y206" s="1094"/>
      <c r="Z206" s="1064"/>
      <c r="AA206" s="1049"/>
      <c r="AB206" s="124" t="str">
        <f>"объём "&amp;IF(Q161="Водоснабжение","потребления холодной воды","водоотведения")</f>
        <v>объём водоотведения</v>
      </c>
      <c r="AC206" s="31" t="s">
        <v>534</v>
      </c>
      <c r="AD206" s="849"/>
      <c r="AE206" s="849"/>
      <c r="AF206" s="724">
        <f>IF(AD206=0,0,(AE206-AD206)/AD206*100)</f>
        <v>0</v>
      </c>
      <c r="AG206" s="849"/>
      <c r="AH206" s="849"/>
      <c r="AI206" s="724">
        <f>IF(AG206=0,0,(AH206-AG206)/AG206*100)</f>
        <v>0</v>
      </c>
      <c r="AJ206" s="849"/>
      <c r="AK206" s="849"/>
      <c r="AL206" s="724">
        <f>IF(AJ206=0,0,(AK206-AJ206)/AJ206*100)</f>
        <v>0</v>
      </c>
      <c r="AM206" s="849"/>
      <c r="AN206" s="849"/>
      <c r="AO206" s="724">
        <f>IF(AM206=0,0,(AN206-AM206)/AM206*100)</f>
        <v>0</v>
      </c>
      <c r="AP206" s="849"/>
      <c r="AQ206" s="849"/>
      <c r="AR206" s="724">
        <f>IF(AP206=0,0,(AQ206-AP206)/AP206*100)</f>
        <v>0</v>
      </c>
      <c r="AS206" s="849"/>
      <c r="AT206" s="849"/>
      <c r="AU206" s="724">
        <f>IF(AS206=0,0,(AT206-AS206)/AS206*100)</f>
        <v>0</v>
      </c>
      <c r="AV206" s="849"/>
      <c r="AW206" s="849"/>
      <c r="AX206" s="724">
        <f>IF(AV206=0,0,(AW206-AV206)/AV206*100)</f>
        <v>0</v>
      </c>
      <c r="AY206" s="849"/>
      <c r="AZ206" s="849"/>
      <c r="BA206" s="724">
        <f>IF(AY206=0,0,(AZ206-AY206)/AY206*100)</f>
        <v>0</v>
      </c>
      <c r="BB206" s="849"/>
      <c r="BC206" s="849"/>
      <c r="BD206" s="724">
        <f>IF(BB206=0,0,(BC206-BB206)/BB206*100)</f>
        <v>0</v>
      </c>
      <c r="BE206" s="849"/>
      <c r="BF206" s="849"/>
      <c r="BG206" s="724">
        <f>IF(BE206=0,0,(BF206-BE206)/BE206*100)</f>
        <v>0</v>
      </c>
      <c r="BH206" s="849"/>
      <c r="BI206" s="849"/>
      <c r="BJ206" s="724">
        <f>IF(BH206=0,0,(BI206-BH206)/BH206*100)</f>
        <v>0</v>
      </c>
      <c r="BK206" s="849"/>
      <c r="BL206" s="849"/>
      <c r="BM206" s="724">
        <f>IF(BK206=0,0,(BL206-BK206)/BK206*100)</f>
        <v>0</v>
      </c>
      <c r="BN206" s="849"/>
      <c r="BO206" s="849"/>
      <c r="BP206" s="724">
        <f>IF(BN206=0,0,(BO206-BN206)/BN206*100)</f>
        <v>0</v>
      </c>
      <c r="BQ206" s="849"/>
      <c r="BR206" s="849"/>
      <c r="BS206" s="724">
        <f>IF(BQ206=0,0,(BR206-BQ206)/BQ206*100)</f>
        <v>0</v>
      </c>
      <c r="BT206" s="849"/>
      <c r="BU206" s="849"/>
      <c r="BV206" s="724">
        <f>IF(BT206=0,0,(BU206-BT206)/BT206*100)</f>
        <v>0</v>
      </c>
      <c r="BW206" s="849"/>
      <c r="BX206" s="849"/>
      <c r="BY206" s="724">
        <f>IF(BW206=0,0,(BX206-BW206)/BW206*100)</f>
        <v>0</v>
      </c>
      <c r="BZ206" s="849"/>
      <c r="CA206" s="849"/>
      <c r="CB206" s="724">
        <f>IF(BZ206=0,0,(CA206-BZ206)/BZ206*100)</f>
        <v>0</v>
      </c>
      <c r="CC206" s="849"/>
      <c r="CD206" s="849"/>
      <c r="CE206" s="724">
        <f>IF(CC206=0,0,(CD206-CC206)/CC206*100)</f>
        <v>0</v>
      </c>
      <c r="CF206" s="849"/>
      <c r="CG206" s="849"/>
      <c r="CH206" s="724">
        <f>IF(CF206=0,0,(CG206-CF206)/CF206*100)</f>
        <v>0</v>
      </c>
      <c r="CI206" s="849"/>
      <c r="CJ206" s="849"/>
      <c r="CK206" s="724">
        <f>IF(CI206=0,0,(CJ206-CI206)/CI206*100)</f>
        <v>0</v>
      </c>
      <c r="CL206" s="849"/>
      <c r="CM206" s="849"/>
      <c r="CN206" s="724">
        <f>IF(CL206=0,0,(CM206-CL206)/CL206*100)</f>
        <v>0</v>
      </c>
      <c r="CO206" s="849"/>
      <c r="CP206" s="849"/>
      <c r="CQ206" s="724">
        <f>IF(CO206=0,0,(CP206-CO206)/CO206*100)</f>
        <v>0</v>
      </c>
      <c r="CR206" s="849"/>
      <c r="CS206" s="849"/>
      <c r="CT206" s="724">
        <f>IF(CR206=0,0,(CS206-CR206)/CR206*100)</f>
        <v>0</v>
      </c>
      <c r="CU206" s="849"/>
      <c r="CV206" s="849"/>
      <c r="CW206" s="724">
        <f>IF(CU206=0,0,(CV206-CU206)/CU206*100)</f>
        <v>0</v>
      </c>
      <c r="CX206" s="849"/>
      <c r="CY206" s="849"/>
      <c r="CZ206" s="724">
        <f>IF(CX206=0,0,(CY206-CX206)/CX206*100)</f>
        <v>0</v>
      </c>
      <c r="DA206" s="849"/>
      <c r="DB206" s="849"/>
      <c r="DC206" s="724">
        <f>IF(DA206=0,0,(DB206-DA206)/DA206*100)</f>
        <v>0</v>
      </c>
      <c r="DD206" s="849"/>
      <c r="DE206" s="849"/>
      <c r="DF206" s="724">
        <f>IF(DD206=0,0,(DE206-DD206)/DD206*100)</f>
        <v>0</v>
      </c>
      <c r="DG206" s="849"/>
      <c r="DH206" s="849"/>
      <c r="DI206" s="724">
        <f>IF(DG206=0,0,(DH206-DG206)/DG206*100)</f>
        <v>0</v>
      </c>
      <c r="DJ206" s="849"/>
      <c r="DK206" s="849"/>
      <c r="DL206" s="724">
        <f>IF(DJ206=0,0,(DK206-DJ206)/DJ206*100)</f>
        <v>0</v>
      </c>
      <c r="DM206" s="849"/>
      <c r="DN206" s="849"/>
      <c r="DO206" s="724">
        <f>IF(DM206=0,0,(DN206-DM206)/DM206*100)</f>
        <v>0</v>
      </c>
      <c r="DP206" s="849"/>
      <c r="DQ206" s="849"/>
      <c r="DR206" s="724">
        <f>IF(DP206=0,0,(DQ206-DP206)/DP206*100)</f>
        <v>0</v>
      </c>
      <c r="DS206" s="849"/>
      <c r="DT206" s="849"/>
      <c r="DU206" s="724">
        <f>IF(DS206=0,0,(DT206-DS206)/DS206*100)</f>
        <v>0</v>
      </c>
      <c r="DV206" s="849"/>
      <c r="DW206" s="849"/>
      <c r="DX206" s="724">
        <f>IF(DV206=0,0,(DW206-DV206)/DV206*100)</f>
        <v>0</v>
      </c>
      <c r="DY206" s="849"/>
      <c r="DZ206" s="849"/>
      <c r="EA206" s="724">
        <f>IF(DY206=0,0,(DZ206-DY206)/DY206*100)</f>
        <v>0</v>
      </c>
      <c r="EB206" s="849"/>
      <c r="EC206" s="849"/>
      <c r="ED206" s="724">
        <f>IF(EB206=0,0,(EC206-EB206)/EB206*100)</f>
        <v>0</v>
      </c>
      <c r="EE206" s="849"/>
      <c r="EF206" s="849"/>
      <c r="EG206" s="724">
        <f>IF(EE206=0,0,(EF206-EE206)/EE206*100)</f>
        <v>0</v>
      </c>
      <c r="EH206" s="849"/>
      <c r="EI206" s="849"/>
      <c r="EJ206" s="724">
        <f>IF(EH206=0,0,(EI206-EH206)/EH206*100)</f>
        <v>0</v>
      </c>
      <c r="EK206" s="849"/>
      <c r="EL206" s="849"/>
      <c r="EM206" s="724">
        <f>IF(EK206=0,0,(EL206-EK206)/EK206*100)</f>
        <v>0</v>
      </c>
      <c r="EN206" s="849"/>
      <c r="EO206" s="849"/>
      <c r="EP206" s="724">
        <f>IF(EN206=0,0,(EO206-EN206)/EN206*100)</f>
        <v>0</v>
      </c>
      <c r="EQ206" s="849"/>
      <c r="ER206" s="849"/>
      <c r="ES206" s="724">
        <f>IF(EQ206=0,0,(ER206-EQ206)/EQ206*100)</f>
        <v>0</v>
      </c>
      <c r="ET206" s="849"/>
      <c r="EU206" s="849"/>
      <c r="EV206" s="724">
        <f>IF(ET206=0,0,(EU206-ET206)/ET206*100)</f>
        <v>0</v>
      </c>
      <c r="EW206" s="849"/>
      <c r="EX206" s="849"/>
      <c r="EY206" s="724">
        <f>IF(EW206=0,0,(EX206-EW206)/EW206*100)</f>
        <v>0</v>
      </c>
      <c r="EZ206" s="849"/>
      <c r="FA206" s="849"/>
      <c r="FB206" s="724">
        <f>IF(EZ206=0,0,(FA206-EZ206)/EZ206*100)</f>
        <v>0</v>
      </c>
      <c r="FC206" s="849"/>
      <c r="FD206" s="849"/>
      <c r="FE206" s="724">
        <f>IF(FC206=0,0,(FD206-FC206)/FC206*100)</f>
        <v>0</v>
      </c>
      <c r="FF206" s="849"/>
      <c r="FG206" s="849"/>
      <c r="FH206" s="724">
        <f>IF(FF206=0,0,(FG206-FF206)/FF206*100)</f>
        <v>0</v>
      </c>
      <c r="FI206" s="849"/>
      <c r="FJ206" s="849"/>
      <c r="FK206" s="724">
        <f>IF(FI206=0,0,(FJ206-FI206)/FI206*100)</f>
        <v>0</v>
      </c>
      <c r="FL206" s="849"/>
      <c r="FM206" s="849"/>
      <c r="FN206" s="724">
        <f>IF(FL206=0,0,(FM206-FL206)/FL206*100)</f>
        <v>0</v>
      </c>
      <c r="FO206" s="849"/>
      <c r="FP206" s="849"/>
      <c r="FQ206" s="724">
        <f>IF(FO206=0,0,(FP206-FO206)/FO206*100)</f>
        <v>0</v>
      </c>
      <c r="FR206" s="849"/>
      <c r="FS206" s="849"/>
      <c r="FT206" s="724">
        <f>IF(FR206=0,0,(FS206-FR206)/FR206*100)</f>
        <v>0</v>
      </c>
      <c r="FU206" s="849"/>
      <c r="FV206" s="849"/>
      <c r="FW206" s="724">
        <f>IF(FU206=0,0,(FV206-FU206)/FU206*100)</f>
        <v>0</v>
      </c>
      <c r="FZ206" s="680" t="s">
        <v>1698</v>
      </c>
      <c r="GA206" s="680" t="s">
        <v>865</v>
      </c>
      <c r="GB206" s="680" cm="1">
        <f t="array" ref="GB206">GB205</f>
        <v>0</v>
      </c>
    </row>
    <row r="207" spans="1:186" ht="23.25" hidden="1" customHeight="1">
      <c r="A207" s="78"/>
      <c r="B207" s="622" t="b" cm="1">
        <f t="array" ref="B207">B206</f>
        <v>0</v>
      </c>
      <c r="C207" s="78"/>
      <c r="D207" s="78"/>
      <c r="E207" s="473">
        <v>19</v>
      </c>
      <c r="F207" s="3" t="str" cm="1">
        <f t="array" aca="1" ref="F207" ca="1">OFFSET(E207,-1,1)</f>
        <v>2</v>
      </c>
      <c r="G207" s="78"/>
      <c r="H207" s="78"/>
      <c r="I207" s="78"/>
      <c r="J207" s="78"/>
      <c r="K207" s="78"/>
      <c r="L207" s="78"/>
      <c r="M207" s="78"/>
      <c r="N207" s="78"/>
      <c r="O207" s="78"/>
      <c r="P207" s="78"/>
      <c r="Q207" s="78"/>
      <c r="R207" s="78"/>
      <c r="S207" s="78"/>
      <c r="T207" s="365" t="b" cm="1">
        <f t="array" aca="1" ref="T207" ca="1">T206</f>
        <v>0</v>
      </c>
      <c r="U207" s="78"/>
      <c r="V207" s="78"/>
      <c r="W207" s="78"/>
      <c r="X207" s="1094"/>
      <c r="Y207" s="1094"/>
      <c r="Z207" s="1064"/>
      <c r="AA207" s="1049"/>
      <c r="AB207" s="124"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31" t="s">
        <v>1664</v>
      </c>
      <c r="AD207" s="833"/>
      <c r="AE207" s="833"/>
      <c r="AF207" s="723">
        <f>IF(AD207=0,0,(AE207-AD207)/AD207*100)</f>
        <v>0</v>
      </c>
      <c r="AG207" s="833"/>
      <c r="AH207" s="833"/>
      <c r="AI207" s="723">
        <f>IF(AG207=0,0,(AH207-AG207)/AG207*100)</f>
        <v>0</v>
      </c>
      <c r="AJ207" s="833"/>
      <c r="AK207" s="833"/>
      <c r="AL207" s="723">
        <f>IF(AJ207=0,0,(AK207-AJ207)/AJ207*100)</f>
        <v>0</v>
      </c>
      <c r="AM207" s="833"/>
      <c r="AN207" s="833"/>
      <c r="AO207" s="723">
        <f>IF(AM207=0,0,(AN207-AM207)/AM207*100)</f>
        <v>0</v>
      </c>
      <c r="AP207" s="833"/>
      <c r="AQ207" s="833"/>
      <c r="AR207" s="723">
        <f>IF(AP207=0,0,(AQ207-AP207)/AP207*100)</f>
        <v>0</v>
      </c>
      <c r="AS207" s="833"/>
      <c r="AT207" s="833"/>
      <c r="AU207" s="723">
        <f>IF(AS207=0,0,(AT207-AS207)/AS207*100)</f>
        <v>0</v>
      </c>
      <c r="AV207" s="833"/>
      <c r="AW207" s="833"/>
      <c r="AX207" s="723">
        <f>IF(AV207=0,0,(AW207-AV207)/AV207*100)</f>
        <v>0</v>
      </c>
      <c r="AY207" s="833"/>
      <c r="AZ207" s="833"/>
      <c r="BA207" s="723">
        <f>IF(AY207=0,0,(AZ207-AY207)/AY207*100)</f>
        <v>0</v>
      </c>
      <c r="BB207" s="833"/>
      <c r="BC207" s="833"/>
      <c r="BD207" s="723">
        <f>IF(BB207=0,0,(BC207-BB207)/BB207*100)</f>
        <v>0</v>
      </c>
      <c r="BE207" s="833"/>
      <c r="BF207" s="833"/>
      <c r="BG207" s="723">
        <f>IF(BE207=0,0,(BF207-BE207)/BE207*100)</f>
        <v>0</v>
      </c>
      <c r="BH207" s="833"/>
      <c r="BI207" s="833"/>
      <c r="BJ207" s="723">
        <f>IF(BH207=0,0,(BI207-BH207)/BH207*100)</f>
        <v>0</v>
      </c>
      <c r="BK207" s="833"/>
      <c r="BL207" s="833"/>
      <c r="BM207" s="723">
        <f>IF(BK207=0,0,(BL207-BK207)/BK207*100)</f>
        <v>0</v>
      </c>
      <c r="BN207" s="833"/>
      <c r="BO207" s="833"/>
      <c r="BP207" s="723">
        <f>IF(BN207=0,0,(BO207-BN207)/BN207*100)</f>
        <v>0</v>
      </c>
      <c r="BQ207" s="833"/>
      <c r="BR207" s="833"/>
      <c r="BS207" s="723">
        <f>IF(BQ207=0,0,(BR207-BQ207)/BQ207*100)</f>
        <v>0</v>
      </c>
      <c r="BT207" s="833"/>
      <c r="BU207" s="833"/>
      <c r="BV207" s="723">
        <f>IF(BT207=0,0,(BU207-BT207)/BT207*100)</f>
        <v>0</v>
      </c>
      <c r="BW207" s="833"/>
      <c r="BX207" s="833"/>
      <c r="BY207" s="723">
        <f>IF(BW207=0,0,(BX207-BW207)/BW207*100)</f>
        <v>0</v>
      </c>
      <c r="BZ207" s="833"/>
      <c r="CA207" s="833"/>
      <c r="CB207" s="723">
        <f>IF(BZ207=0,0,(CA207-BZ207)/BZ207*100)</f>
        <v>0</v>
      </c>
      <c r="CC207" s="833"/>
      <c r="CD207" s="833"/>
      <c r="CE207" s="723">
        <f>IF(CC207=0,0,(CD207-CC207)/CC207*100)</f>
        <v>0</v>
      </c>
      <c r="CF207" s="833"/>
      <c r="CG207" s="833"/>
      <c r="CH207" s="723">
        <f>IF(CF207=0,0,(CG207-CF207)/CF207*100)</f>
        <v>0</v>
      </c>
      <c r="CI207" s="833"/>
      <c r="CJ207" s="833"/>
      <c r="CK207" s="723">
        <f>IF(CI207=0,0,(CJ207-CI207)/CI207*100)</f>
        <v>0</v>
      </c>
      <c r="CL207" s="833"/>
      <c r="CM207" s="833"/>
      <c r="CN207" s="723">
        <f>IF(CL207=0,0,(CM207-CL207)/CL207*100)</f>
        <v>0</v>
      </c>
      <c r="CO207" s="833"/>
      <c r="CP207" s="833"/>
      <c r="CQ207" s="723">
        <f>IF(CO207=0,0,(CP207-CO207)/CO207*100)</f>
        <v>0</v>
      </c>
      <c r="CR207" s="833"/>
      <c r="CS207" s="833"/>
      <c r="CT207" s="723">
        <f>IF(CR207=0,0,(CS207-CR207)/CR207*100)</f>
        <v>0</v>
      </c>
      <c r="CU207" s="833"/>
      <c r="CV207" s="833"/>
      <c r="CW207" s="723">
        <f>IF(CU207=0,0,(CV207-CU207)/CU207*100)</f>
        <v>0</v>
      </c>
      <c r="CX207" s="833"/>
      <c r="CY207" s="833"/>
      <c r="CZ207" s="723">
        <f>IF(CX207=0,0,(CY207-CX207)/CX207*100)</f>
        <v>0</v>
      </c>
      <c r="DA207" s="833"/>
      <c r="DB207" s="833"/>
      <c r="DC207" s="723">
        <f>IF(DA207=0,0,(DB207-DA207)/DA207*100)</f>
        <v>0</v>
      </c>
      <c r="DD207" s="833"/>
      <c r="DE207" s="833"/>
      <c r="DF207" s="723">
        <f>IF(DD207=0,0,(DE207-DD207)/DD207*100)</f>
        <v>0</v>
      </c>
      <c r="DG207" s="833"/>
      <c r="DH207" s="833"/>
      <c r="DI207" s="723">
        <f>IF(DG207=0,0,(DH207-DG207)/DG207*100)</f>
        <v>0</v>
      </c>
      <c r="DJ207" s="833"/>
      <c r="DK207" s="833"/>
      <c r="DL207" s="723">
        <f>IF(DJ207=0,0,(DK207-DJ207)/DJ207*100)</f>
        <v>0</v>
      </c>
      <c r="DM207" s="833"/>
      <c r="DN207" s="833"/>
      <c r="DO207" s="723">
        <f>IF(DM207=0,0,(DN207-DM207)/DM207*100)</f>
        <v>0</v>
      </c>
      <c r="DP207" s="833"/>
      <c r="DQ207" s="833"/>
      <c r="DR207" s="723">
        <f>IF(DP207=0,0,(DQ207-DP207)/DP207*100)</f>
        <v>0</v>
      </c>
      <c r="DS207" s="833"/>
      <c r="DT207" s="833"/>
      <c r="DU207" s="723">
        <f>IF(DS207=0,0,(DT207-DS207)/DS207*100)</f>
        <v>0</v>
      </c>
      <c r="DV207" s="833"/>
      <c r="DW207" s="833"/>
      <c r="DX207" s="723">
        <f>IF(DV207=0,0,(DW207-DV207)/DV207*100)</f>
        <v>0</v>
      </c>
      <c r="DY207" s="833"/>
      <c r="DZ207" s="833"/>
      <c r="EA207" s="723">
        <f>IF(DY207=0,0,(DZ207-DY207)/DY207*100)</f>
        <v>0</v>
      </c>
      <c r="EB207" s="833"/>
      <c r="EC207" s="833"/>
      <c r="ED207" s="723">
        <f>IF(EB207=0,0,(EC207-EB207)/EB207*100)</f>
        <v>0</v>
      </c>
      <c r="EE207" s="833"/>
      <c r="EF207" s="833"/>
      <c r="EG207" s="723">
        <f>IF(EE207=0,0,(EF207-EE207)/EE207*100)</f>
        <v>0</v>
      </c>
      <c r="EH207" s="833"/>
      <c r="EI207" s="833"/>
      <c r="EJ207" s="723">
        <f>IF(EH207=0,0,(EI207-EH207)/EH207*100)</f>
        <v>0</v>
      </c>
      <c r="EK207" s="833"/>
      <c r="EL207" s="833"/>
      <c r="EM207" s="723">
        <f>IF(EK207=0,0,(EL207-EK207)/EK207*100)</f>
        <v>0</v>
      </c>
      <c r="EN207" s="833"/>
      <c r="EO207" s="833"/>
      <c r="EP207" s="723">
        <f>IF(EN207=0,0,(EO207-EN207)/EN207*100)</f>
        <v>0</v>
      </c>
      <c r="EQ207" s="833"/>
      <c r="ER207" s="833"/>
      <c r="ES207" s="723">
        <f>IF(EQ207=0,0,(ER207-EQ207)/EQ207*100)</f>
        <v>0</v>
      </c>
      <c r="ET207" s="833"/>
      <c r="EU207" s="833"/>
      <c r="EV207" s="723">
        <f>IF(ET207=0,0,(EU207-ET207)/ET207*100)</f>
        <v>0</v>
      </c>
      <c r="EW207" s="833"/>
      <c r="EX207" s="833"/>
      <c r="EY207" s="723">
        <f>IF(EW207=0,0,(EX207-EW207)/EW207*100)</f>
        <v>0</v>
      </c>
      <c r="EZ207" s="833"/>
      <c r="FA207" s="833"/>
      <c r="FB207" s="723">
        <f>IF(EZ207=0,0,(FA207-EZ207)/EZ207*100)</f>
        <v>0</v>
      </c>
      <c r="FC207" s="833"/>
      <c r="FD207" s="833"/>
      <c r="FE207" s="723">
        <f>IF(FC207=0,0,(FD207-FC207)/FC207*100)</f>
        <v>0</v>
      </c>
      <c r="FF207" s="833"/>
      <c r="FG207" s="833"/>
      <c r="FH207" s="723">
        <f>IF(FF207=0,0,(FG207-FF207)/FF207*100)</f>
        <v>0</v>
      </c>
      <c r="FI207" s="833"/>
      <c r="FJ207" s="833"/>
      <c r="FK207" s="723">
        <f>IF(FI207=0,0,(FJ207-FI207)/FI207*100)</f>
        <v>0</v>
      </c>
      <c r="FL207" s="833"/>
      <c r="FM207" s="833"/>
      <c r="FN207" s="723">
        <f>IF(FL207=0,0,(FM207-FL207)/FL207*100)</f>
        <v>0</v>
      </c>
      <c r="FO207" s="833"/>
      <c r="FP207" s="833"/>
      <c r="FQ207" s="723">
        <f>IF(FO207=0,0,(FP207-FO207)/FO207*100)</f>
        <v>0</v>
      </c>
      <c r="FR207" s="833"/>
      <c r="FS207" s="833"/>
      <c r="FT207" s="723">
        <f>IF(FR207=0,0,(FS207-FR207)/FR207*100)</f>
        <v>0</v>
      </c>
      <c r="FU207" s="833"/>
      <c r="FV207" s="833"/>
      <c r="FW207" s="723">
        <f>IF(FU207=0,0,(FV207-FU207)/FU207*100)</f>
        <v>0</v>
      </c>
      <c r="FZ207" s="680" t="s">
        <v>1699</v>
      </c>
      <c r="GA207" s="680" t="s">
        <v>865</v>
      </c>
      <c r="GB207" s="680" cm="1">
        <f t="array" ref="GB207">GB206</f>
        <v>0</v>
      </c>
    </row>
    <row r="208" spans="1:186" ht="18.600000000000001" hidden="1" customHeight="1">
      <c r="A208" s="78"/>
      <c r="B208" s="622" t="b" cm="1">
        <f t="array" ref="B208">B207</f>
        <v>0</v>
      </c>
      <c r="C208" s="78"/>
      <c r="D208" s="78"/>
      <c r="E208" s="473">
        <v>19</v>
      </c>
      <c r="F208" s="3" t="str" cm="1">
        <f t="array" aca="1" ref="F208" ca="1">OFFSET(E208,-1,1)</f>
        <v>2</v>
      </c>
      <c r="G208" s="78"/>
      <c r="H208" s="78"/>
      <c r="I208" s="78"/>
      <c r="J208" s="78"/>
      <c r="K208" s="78"/>
      <c r="L208" s="78"/>
      <c r="M208" s="78"/>
      <c r="N208" s="78"/>
      <c r="O208" s="78"/>
      <c r="P208" s="78"/>
      <c r="Q208" s="78"/>
      <c r="R208" s="78"/>
      <c r="S208" s="78"/>
      <c r="T208" s="365" t="b" cm="1">
        <f t="array" aca="1" ref="T208" ca="1">T207</f>
        <v>0</v>
      </c>
      <c r="U208" s="78"/>
      <c r="V208" s="78"/>
      <c r="W208" s="78"/>
      <c r="X208" s="1094"/>
      <c r="Y208" s="1094"/>
      <c r="Z208" s="1064"/>
      <c r="AA208" s="1049"/>
      <c r="AB208" s="124" t="s">
        <v>1667</v>
      </c>
      <c r="AC208" s="31" t="s">
        <v>1668</v>
      </c>
      <c r="AD208" s="833"/>
      <c r="AE208" s="833"/>
      <c r="AF208" s="723">
        <f>IF(AD208=0,0,(AE208-AD208)/AD208*100)</f>
        <v>0</v>
      </c>
      <c r="AG208" s="833"/>
      <c r="AH208" s="833"/>
      <c r="AI208" s="723">
        <f>IF(AG208=0,0,(AH208-AG208)/AG208*100)</f>
        <v>0</v>
      </c>
      <c r="AJ208" s="833"/>
      <c r="AK208" s="833"/>
      <c r="AL208" s="723">
        <f>IF(AJ208=0,0,(AK208-AJ208)/AJ208*100)</f>
        <v>0</v>
      </c>
      <c r="AM208" s="833"/>
      <c r="AN208" s="833"/>
      <c r="AO208" s="723">
        <f>IF(AM208=0,0,(AN208-AM208)/AM208*100)</f>
        <v>0</v>
      </c>
      <c r="AP208" s="833"/>
      <c r="AQ208" s="833"/>
      <c r="AR208" s="723">
        <f>IF(AP208=0,0,(AQ208-AP208)/AP208*100)</f>
        <v>0</v>
      </c>
      <c r="AS208" s="833"/>
      <c r="AT208" s="833"/>
      <c r="AU208" s="723">
        <f>IF(AS208=0,0,(AT208-AS208)/AS208*100)</f>
        <v>0</v>
      </c>
      <c r="AV208" s="833"/>
      <c r="AW208" s="833"/>
      <c r="AX208" s="723">
        <f>IF(AV208=0,0,(AW208-AV208)/AV208*100)</f>
        <v>0</v>
      </c>
      <c r="AY208" s="833"/>
      <c r="AZ208" s="833"/>
      <c r="BA208" s="723">
        <f>IF(AY208=0,0,(AZ208-AY208)/AY208*100)</f>
        <v>0</v>
      </c>
      <c r="BB208" s="833"/>
      <c r="BC208" s="833"/>
      <c r="BD208" s="723">
        <f>IF(BB208=0,0,(BC208-BB208)/BB208*100)</f>
        <v>0</v>
      </c>
      <c r="BE208" s="833"/>
      <c r="BF208" s="833"/>
      <c r="BG208" s="723">
        <f>IF(BE208=0,0,(BF208-BE208)/BE208*100)</f>
        <v>0</v>
      </c>
      <c r="BH208" s="833"/>
      <c r="BI208" s="833"/>
      <c r="BJ208" s="723">
        <f>IF(BH208=0,0,(BI208-BH208)/BH208*100)</f>
        <v>0</v>
      </c>
      <c r="BK208" s="833"/>
      <c r="BL208" s="833"/>
      <c r="BM208" s="723">
        <f>IF(BK208=0,0,(BL208-BK208)/BK208*100)</f>
        <v>0</v>
      </c>
      <c r="BN208" s="833"/>
      <c r="BO208" s="833"/>
      <c r="BP208" s="723">
        <f>IF(BN208=0,0,(BO208-BN208)/BN208*100)</f>
        <v>0</v>
      </c>
      <c r="BQ208" s="833"/>
      <c r="BR208" s="833"/>
      <c r="BS208" s="723">
        <f>IF(BQ208=0,0,(BR208-BQ208)/BQ208*100)</f>
        <v>0</v>
      </c>
      <c r="BT208" s="833"/>
      <c r="BU208" s="833"/>
      <c r="BV208" s="723">
        <f>IF(BT208=0,0,(BU208-BT208)/BT208*100)</f>
        <v>0</v>
      </c>
      <c r="BW208" s="833"/>
      <c r="BX208" s="833"/>
      <c r="BY208" s="723">
        <f>IF(BW208=0,0,(BX208-BW208)/BW208*100)</f>
        <v>0</v>
      </c>
      <c r="BZ208" s="833"/>
      <c r="CA208" s="833"/>
      <c r="CB208" s="723">
        <f>IF(BZ208=0,0,(CA208-BZ208)/BZ208*100)</f>
        <v>0</v>
      </c>
      <c r="CC208" s="833"/>
      <c r="CD208" s="833"/>
      <c r="CE208" s="723">
        <f>IF(CC208=0,0,(CD208-CC208)/CC208*100)</f>
        <v>0</v>
      </c>
      <c r="CF208" s="833"/>
      <c r="CG208" s="833"/>
      <c r="CH208" s="723">
        <f>IF(CF208=0,0,(CG208-CF208)/CF208*100)</f>
        <v>0</v>
      </c>
      <c r="CI208" s="833"/>
      <c r="CJ208" s="833"/>
      <c r="CK208" s="723">
        <f>IF(CI208=0,0,(CJ208-CI208)/CI208*100)</f>
        <v>0</v>
      </c>
      <c r="CL208" s="833"/>
      <c r="CM208" s="833"/>
      <c r="CN208" s="723">
        <f>IF(CL208=0,0,(CM208-CL208)/CL208*100)</f>
        <v>0</v>
      </c>
      <c r="CO208" s="833"/>
      <c r="CP208" s="833"/>
      <c r="CQ208" s="723">
        <f>IF(CO208=0,0,(CP208-CO208)/CO208*100)</f>
        <v>0</v>
      </c>
      <c r="CR208" s="833"/>
      <c r="CS208" s="833"/>
      <c r="CT208" s="723">
        <f>IF(CR208=0,0,(CS208-CR208)/CR208*100)</f>
        <v>0</v>
      </c>
      <c r="CU208" s="833"/>
      <c r="CV208" s="833"/>
      <c r="CW208" s="723">
        <f>IF(CU208=0,0,(CV208-CU208)/CU208*100)</f>
        <v>0</v>
      </c>
      <c r="CX208" s="833"/>
      <c r="CY208" s="833"/>
      <c r="CZ208" s="723">
        <f>IF(CX208=0,0,(CY208-CX208)/CX208*100)</f>
        <v>0</v>
      </c>
      <c r="DA208" s="833"/>
      <c r="DB208" s="833"/>
      <c r="DC208" s="723">
        <f>IF(DA208=0,0,(DB208-DA208)/DA208*100)</f>
        <v>0</v>
      </c>
      <c r="DD208" s="833"/>
      <c r="DE208" s="833"/>
      <c r="DF208" s="723">
        <f>IF(DD208=0,0,(DE208-DD208)/DD208*100)</f>
        <v>0</v>
      </c>
      <c r="DG208" s="833"/>
      <c r="DH208" s="833"/>
      <c r="DI208" s="723">
        <f>IF(DG208=0,0,(DH208-DG208)/DG208*100)</f>
        <v>0</v>
      </c>
      <c r="DJ208" s="833"/>
      <c r="DK208" s="833"/>
      <c r="DL208" s="723">
        <f>IF(DJ208=0,0,(DK208-DJ208)/DJ208*100)</f>
        <v>0</v>
      </c>
      <c r="DM208" s="833"/>
      <c r="DN208" s="833"/>
      <c r="DO208" s="723">
        <f>IF(DM208=0,0,(DN208-DM208)/DM208*100)</f>
        <v>0</v>
      </c>
      <c r="DP208" s="833"/>
      <c r="DQ208" s="833"/>
      <c r="DR208" s="723">
        <f>IF(DP208=0,0,(DQ208-DP208)/DP208*100)</f>
        <v>0</v>
      </c>
      <c r="DS208" s="833"/>
      <c r="DT208" s="833"/>
      <c r="DU208" s="723">
        <f>IF(DS208=0,0,(DT208-DS208)/DS208*100)</f>
        <v>0</v>
      </c>
      <c r="DV208" s="833"/>
      <c r="DW208" s="833"/>
      <c r="DX208" s="723">
        <f>IF(DV208=0,0,(DW208-DV208)/DV208*100)</f>
        <v>0</v>
      </c>
      <c r="DY208" s="833"/>
      <c r="DZ208" s="833"/>
      <c r="EA208" s="723">
        <f>IF(DY208=0,0,(DZ208-DY208)/DY208*100)</f>
        <v>0</v>
      </c>
      <c r="EB208" s="833"/>
      <c r="EC208" s="833"/>
      <c r="ED208" s="723">
        <f>IF(EB208=0,0,(EC208-EB208)/EB208*100)</f>
        <v>0</v>
      </c>
      <c r="EE208" s="833"/>
      <c r="EF208" s="833"/>
      <c r="EG208" s="723">
        <f>IF(EE208=0,0,(EF208-EE208)/EE208*100)</f>
        <v>0</v>
      </c>
      <c r="EH208" s="833"/>
      <c r="EI208" s="833"/>
      <c r="EJ208" s="723">
        <f>IF(EH208=0,0,(EI208-EH208)/EH208*100)</f>
        <v>0</v>
      </c>
      <c r="EK208" s="833"/>
      <c r="EL208" s="833"/>
      <c r="EM208" s="723">
        <f>IF(EK208=0,0,(EL208-EK208)/EK208*100)</f>
        <v>0</v>
      </c>
      <c r="EN208" s="833"/>
      <c r="EO208" s="833"/>
      <c r="EP208" s="723">
        <f>IF(EN208=0,0,(EO208-EN208)/EN208*100)</f>
        <v>0</v>
      </c>
      <c r="EQ208" s="833"/>
      <c r="ER208" s="833"/>
      <c r="ES208" s="723">
        <f>IF(EQ208=0,0,(ER208-EQ208)/EQ208*100)</f>
        <v>0</v>
      </c>
      <c r="ET208" s="833"/>
      <c r="EU208" s="833"/>
      <c r="EV208" s="723">
        <f>IF(ET208=0,0,(EU208-ET208)/ET208*100)</f>
        <v>0</v>
      </c>
      <c r="EW208" s="833"/>
      <c r="EX208" s="833"/>
      <c r="EY208" s="723">
        <f>IF(EW208=0,0,(EX208-EW208)/EW208*100)</f>
        <v>0</v>
      </c>
      <c r="EZ208" s="833"/>
      <c r="FA208" s="833"/>
      <c r="FB208" s="723">
        <f>IF(EZ208=0,0,(FA208-EZ208)/EZ208*100)</f>
        <v>0</v>
      </c>
      <c r="FC208" s="833"/>
      <c r="FD208" s="833"/>
      <c r="FE208" s="723">
        <f>IF(FC208=0,0,(FD208-FC208)/FC208*100)</f>
        <v>0</v>
      </c>
      <c r="FF208" s="833"/>
      <c r="FG208" s="833"/>
      <c r="FH208" s="723">
        <f>IF(FF208=0,0,(FG208-FF208)/FF208*100)</f>
        <v>0</v>
      </c>
      <c r="FI208" s="833"/>
      <c r="FJ208" s="833"/>
      <c r="FK208" s="723">
        <f>IF(FI208=0,0,(FJ208-FI208)/FI208*100)</f>
        <v>0</v>
      </c>
      <c r="FL208" s="833"/>
      <c r="FM208" s="833"/>
      <c r="FN208" s="723">
        <f>IF(FL208=0,0,(FM208-FL208)/FL208*100)</f>
        <v>0</v>
      </c>
      <c r="FO208" s="833"/>
      <c r="FP208" s="833"/>
      <c r="FQ208" s="723">
        <f>IF(FO208=0,0,(FP208-FO208)/FO208*100)</f>
        <v>0</v>
      </c>
      <c r="FR208" s="833"/>
      <c r="FS208" s="833"/>
      <c r="FT208" s="723">
        <f>IF(FR208=0,0,(FS208-FR208)/FR208*100)</f>
        <v>0</v>
      </c>
      <c r="FU208" s="833"/>
      <c r="FV208" s="833"/>
      <c r="FW208" s="723">
        <f>IF(FU208=0,0,(FV208-FU208)/FU208*100)</f>
        <v>0</v>
      </c>
      <c r="FZ208" s="680" t="s">
        <v>1700</v>
      </c>
      <c r="GA208" s="680" t="s">
        <v>865</v>
      </c>
      <c r="GB208" s="680" cm="1">
        <f t="array" ref="GB208">GB207</f>
        <v>0</v>
      </c>
    </row>
    <row r="209" spans="1:186" ht="14.25" hidden="1" customHeight="1">
      <c r="A209" s="78"/>
      <c r="B209" s="622" t="b" cm="1">
        <f t="array" ref="B209">B202</f>
        <v>0</v>
      </c>
      <c r="C209" s="78"/>
      <c r="D209" s="78"/>
      <c r="E209" s="473">
        <v>15</v>
      </c>
      <c r="F209" s="3" t="str" cm="1">
        <f t="array" aca="1" ref="F209" ca="1">OFFSET(E209,-1,1)</f>
        <v>2</v>
      </c>
      <c r="G209" s="78"/>
      <c r="H209" s="78"/>
      <c r="I209" s="36" t="s">
        <v>1701</v>
      </c>
      <c r="J209" s="78"/>
      <c r="K209" s="78"/>
      <c r="L209" s="78"/>
      <c r="M209" s="78"/>
      <c r="N209" s="78"/>
      <c r="O209" s="78"/>
      <c r="P209" s="78"/>
      <c r="Q209" s="78"/>
      <c r="R209" s="78"/>
      <c r="S209" s="78"/>
      <c r="T209" s="365" t="b">
        <f ca="1">F209&gt;0</f>
        <v>1</v>
      </c>
      <c r="U209" s="78"/>
      <c r="W209" s="528" t="s">
        <v>1654</v>
      </c>
      <c r="X209" s="1094"/>
      <c r="Z209" s="1064"/>
      <c r="AB209" s="191" t="s">
        <v>177</v>
      </c>
      <c r="AC209" s="195"/>
      <c r="AD209" s="725"/>
      <c r="AE209" s="725"/>
      <c r="AF209" s="725"/>
      <c r="AG209" s="725"/>
      <c r="AH209" s="725"/>
      <c r="AI209" s="725"/>
      <c r="AJ209" s="725"/>
      <c r="AK209" s="725"/>
      <c r="AL209" s="725"/>
      <c r="AM209" s="725"/>
      <c r="AN209" s="725"/>
      <c r="AO209" s="725"/>
      <c r="AP209" s="725"/>
      <c r="AQ209" s="725"/>
      <c r="AR209" s="725"/>
      <c r="AS209" s="725"/>
      <c r="AT209" s="725"/>
      <c r="AU209" s="725"/>
      <c r="AV209" s="725"/>
      <c r="AW209" s="725"/>
      <c r="AX209" s="725"/>
      <c r="AY209" s="725"/>
      <c r="AZ209" s="725"/>
      <c r="BA209" s="725"/>
      <c r="BB209" s="725"/>
      <c r="BC209" s="725"/>
      <c r="BD209" s="725"/>
      <c r="BE209" s="725"/>
      <c r="BF209" s="725"/>
      <c r="BG209" s="725"/>
      <c r="BH209" s="725"/>
      <c r="BI209" s="725"/>
      <c r="BJ209" s="725"/>
      <c r="BK209" s="725"/>
      <c r="BL209" s="725"/>
      <c r="BM209" s="725"/>
      <c r="BN209" s="725"/>
      <c r="BO209" s="725"/>
      <c r="BP209" s="725"/>
      <c r="BQ209" s="725"/>
      <c r="BR209" s="725"/>
      <c r="BS209" s="725"/>
      <c r="BT209" s="725"/>
      <c r="BU209" s="725"/>
      <c r="BV209" s="725"/>
      <c r="BW209" s="725"/>
      <c r="BX209" s="725"/>
      <c r="BY209" s="725"/>
      <c r="BZ209" s="725"/>
      <c r="CA209" s="725"/>
      <c r="CB209" s="725"/>
      <c r="CC209" s="725"/>
      <c r="CD209" s="725"/>
      <c r="CE209" s="725"/>
      <c r="CF209" s="725"/>
      <c r="CG209" s="725"/>
      <c r="CH209" s="725"/>
      <c r="CI209" s="725"/>
      <c r="CJ209" s="725"/>
      <c r="CK209" s="725"/>
      <c r="CL209" s="725"/>
      <c r="CM209" s="725"/>
      <c r="CN209" s="725"/>
      <c r="CO209" s="725"/>
      <c r="CP209" s="725"/>
      <c r="CQ209" s="725"/>
      <c r="CR209" s="725"/>
      <c r="CS209" s="725"/>
      <c r="CT209" s="725"/>
      <c r="CU209" s="725"/>
      <c r="CV209" s="725"/>
      <c r="CW209" s="725"/>
      <c r="CX209" s="725"/>
      <c r="CY209" s="725"/>
      <c r="CZ209" s="725"/>
      <c r="DA209" s="725"/>
      <c r="DB209" s="725"/>
      <c r="DC209" s="725"/>
      <c r="DD209" s="725"/>
      <c r="DE209" s="725"/>
      <c r="DF209" s="725"/>
      <c r="DG209" s="725"/>
      <c r="DH209" s="725"/>
      <c r="DI209" s="725"/>
      <c r="DJ209" s="725"/>
      <c r="DK209" s="725"/>
      <c r="DL209" s="725"/>
      <c r="DM209" s="725"/>
      <c r="DN209" s="725"/>
      <c r="DO209" s="725"/>
      <c r="DP209" s="725"/>
      <c r="DQ209" s="725"/>
      <c r="DR209" s="725"/>
      <c r="DS209" s="725"/>
      <c r="DT209" s="725"/>
      <c r="DU209" s="725"/>
      <c r="DV209" s="725"/>
      <c r="DW209" s="725"/>
      <c r="DX209" s="725"/>
      <c r="DY209" s="725"/>
      <c r="DZ209" s="725"/>
      <c r="EA209" s="725"/>
      <c r="EB209" s="725"/>
      <c r="EC209" s="725"/>
      <c r="ED209" s="725"/>
      <c r="EE209" s="725"/>
      <c r="EF209" s="725"/>
      <c r="EG209" s="725"/>
      <c r="EH209" s="725"/>
      <c r="EI209" s="725"/>
      <c r="EJ209" s="725"/>
      <c r="EK209" s="725"/>
      <c r="EL209" s="725"/>
      <c r="EM209" s="725"/>
      <c r="EN209" s="725"/>
      <c r="EO209" s="725"/>
      <c r="EP209" s="725"/>
      <c r="EQ209" s="725"/>
      <c r="ER209" s="725"/>
      <c r="ES209" s="725"/>
      <c r="ET209" s="725"/>
      <c r="EU209" s="725"/>
      <c r="EV209" s="725"/>
      <c r="EW209" s="725"/>
      <c r="EX209" s="725"/>
      <c r="EY209" s="725"/>
      <c r="EZ209" s="725"/>
      <c r="FA209" s="725"/>
      <c r="FB209" s="725"/>
      <c r="FC209" s="725"/>
      <c r="FD209" s="725"/>
      <c r="FE209" s="725"/>
      <c r="FF209" s="725"/>
      <c r="FG209" s="725"/>
      <c r="FH209" s="725"/>
      <c r="FI209" s="725"/>
      <c r="FJ209" s="725"/>
      <c r="FK209" s="725"/>
      <c r="FL209" s="725"/>
      <c r="FM209" s="725"/>
      <c r="FN209" s="725"/>
      <c r="FO209" s="725"/>
      <c r="FP209" s="725"/>
      <c r="FQ209" s="725"/>
      <c r="FR209" s="725"/>
      <c r="FS209" s="725"/>
      <c r="FT209" s="725"/>
      <c r="FU209" s="725"/>
      <c r="FV209" s="725"/>
      <c r="FW209" s="726"/>
      <c r="FZ209" s="700" t="s">
        <v>225</v>
      </c>
      <c r="GC209" s="472" t="s">
        <v>865</v>
      </c>
    </row>
    <row r="210" spans="1:186" ht="11.25" hidden="1" customHeight="1">
      <c r="A210" s="327"/>
      <c r="B210" s="622"/>
      <c r="C210" s="327"/>
      <c r="D210" s="327"/>
      <c r="E210" s="491">
        <v>0</v>
      </c>
      <c r="F210" s="774" t="str" cm="1">
        <f t="array" aca="1" ref="F210" ca="1">OFFSET(E210,-1,1)</f>
        <v>2</v>
      </c>
      <c r="G210" s="327"/>
      <c r="H210" s="327"/>
      <c r="I210" s="327"/>
      <c r="J210" s="327"/>
      <c r="K210" s="327"/>
      <c r="L210" s="327"/>
      <c r="M210" s="327"/>
      <c r="N210" s="327"/>
      <c r="O210" s="327"/>
      <c r="P210" s="327"/>
      <c r="Q210" s="327"/>
      <c r="R210" s="327"/>
      <c r="S210" s="327"/>
      <c r="T210" s="365" t="b">
        <v>0</v>
      </c>
      <c r="U210" s="327"/>
      <c r="V210" s="327"/>
      <c r="W210" s="327"/>
      <c r="X210" s="1094"/>
      <c r="Y210" s="327"/>
      <c r="Z210" s="1064"/>
      <c r="AA210" s="327"/>
      <c r="AB210"/>
      <c r="AC210" s="327"/>
      <c r="AD210" s="327"/>
      <c r="AE210" s="327"/>
      <c r="AF210" s="327"/>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s="700" t="s">
        <v>225</v>
      </c>
      <c r="GA210" s="670"/>
      <c r="GB210" s="664"/>
      <c r="GC210" s="465"/>
      <c r="GD210" s="465"/>
    </row>
    <row r="211" spans="1:186" s="947" customFormat="1" ht="23.25" hidden="1" customHeight="1">
      <c r="A211" s="603"/>
      <c r="B211" s="622" t="b" cm="1">
        <f t="array" ref="B211">S155</f>
        <v>0</v>
      </c>
      <c r="C211" s="603"/>
      <c r="D211" s="603"/>
      <c r="E211" s="473">
        <v>24.5</v>
      </c>
      <c r="F211" s="3" t="str" cm="1">
        <f t="array" aca="1" ref="F211" ca="1">OFFSET(E211,-1,1)</f>
        <v>2</v>
      </c>
      <c r="G211" s="44" t="s">
        <v>1621</v>
      </c>
      <c r="H211" s="78" t="s">
        <v>461</v>
      </c>
      <c r="I211" s="78" t="s">
        <v>1702</v>
      </c>
      <c r="J211" s="603"/>
      <c r="K211" s="603"/>
      <c r="L211" s="603"/>
      <c r="M211" s="603"/>
      <c r="N211" s="603"/>
      <c r="O211" s="603"/>
      <c r="P211" s="603"/>
      <c r="Q211" s="603"/>
      <c r="R211" s="603"/>
      <c r="S211" s="78"/>
      <c r="T211" s="365" t="b" cm="1">
        <f t="array" aca="1" ref="T211" ca="1">T209</f>
        <v>1</v>
      </c>
      <c r="U211" s="603"/>
      <c r="V211" s="603"/>
      <c r="W211" s="603"/>
      <c r="X211" s="1094"/>
      <c r="Y211" s="603"/>
      <c r="Z211" s="1064"/>
      <c r="AA211" s="603"/>
      <c r="AB211" s="151" t="s">
        <v>1703</v>
      </c>
      <c r="AC211" s="166" t="s">
        <v>1624</v>
      </c>
      <c r="AD211" s="946">
        <f ca="1">IF(AND(method_reg="Метод индексации",god&lt;&gt;first_year),SUMIFS(INDEX('Калькуляция (МИ корр)'!$AJ$25:$BC$459,,MATCH(AD$8,'Калькуляция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(МИ)'!$AJ$25:$BC$459,,MATCH(AD$8,'Калькуляция (МИ)'!$AJ$8:$BC$8,0)),'Калькуляция (МИ)'!$F$25:$F$459,$F211,'Калькуляция (МИ)'!$G$25:$G$459,$G211))))</f>
        <v>74.062496205815705</v>
      </c>
      <c r="AE211" s="946">
        <f ca="1">IF(AND(method_reg="Метод индексации",god&lt;&gt;first_year),SUMIFS(INDEX('Калькуляция (МИ корр)'!$AJ$25:$BC$459,,MATCH(AE$8,'Калькуляция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(МИ)'!$AJ$25:$BC$459,,MATCH(AE$8,'Калькуляция (МИ)'!$AJ$8:$BC$8,0)),'Калькуляция (МИ)'!$F$25:$F$459,$F211,'Калькуляция (МИ)'!$G$25:$G$459,$G211))))</f>
        <v>40.9199998044</v>
      </c>
      <c r="AF211" s="222">
        <f ca="1">IF(AD211=0,0,(AE211-AD211)/AD211*100)</f>
        <v>-44.749364522246843</v>
      </c>
      <c r="AG211" s="946">
        <f ca="1">IF(AND(method_reg="Метод индексации",god&lt;&gt;first_year),SUMIFS(INDEX('Калькуляция (МИ корр)'!$AJ$25:$BC$459,,MATCH(AG$8,'Калькуляция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(МИ)'!$AJ$25:$BC$459,,MATCH(AG$8,'Калькуляция (МИ)'!$AJ$8:$BC$8,0)),'Калькуляция (МИ)'!$F$25:$F$459,$F211,'Калькуляция (МИ)'!$G$25:$G$459,$G211))))</f>
        <v>0</v>
      </c>
      <c r="AH211" s="946">
        <f ca="1">IF(AND(method_reg="Метод индексации",god&lt;&gt;first_year),SUMIFS(INDEX('Калькуляция (МИ корр)'!$AJ$25:$BC$459,,MATCH(AH$8,'Калькуляция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(МИ)'!$AJ$25:$BC$459,,MATCH(AH$8,'Калькуляция (МИ)'!$AJ$8:$BC$8,0)),'Калькуляция (МИ)'!$F$25:$F$459,$F211,'Калькуляция (МИ)'!$G$25:$G$459,$G211))))</f>
        <v>43.819995458486737</v>
      </c>
      <c r="AI211" s="222">
        <f ca="1">IF(AG211=0,0,(AH211-AG211)/AG211*100)</f>
        <v>0</v>
      </c>
      <c r="AJ211" s="946">
        <f ca="1">IF(AND(method_reg="Метод индексации",god&lt;&gt;first_year),SUMIFS(INDEX('Калькуляция (МИ корр)'!$AJ$25:$BC$459,,MATCH(AJ$8,'Калькуляция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(МИ)'!$AJ$25:$BC$459,,MATCH(AJ$8,'Калькуляция (МИ)'!$AJ$8:$BC$8,0)),'Калькуляция (МИ)'!$F$25:$F$459,$F211,'Калькуляция (МИ)'!$G$25:$G$459,$G211))))</f>
        <v>0</v>
      </c>
      <c r="AK211" s="946">
        <f ca="1">IF(AND(method_reg="Метод индексации",god&lt;&gt;first_year),SUMIFS(INDEX('Калькуляция (МИ корр)'!$AJ$25:$BC$459,,MATCH(AK$8,'Калькуляция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(МИ)'!$AJ$25:$BC$459,,MATCH(AK$8,'Калькуляция (МИ)'!$AJ$8:$BC$8,0)),'Калькуляция (МИ)'!$F$25:$F$459,$F211,'Калькуляция (МИ)'!$G$25:$G$459,$G211))))</f>
        <v>0</v>
      </c>
      <c r="AL211" s="222">
        <f ca="1">IF(AJ211=0,0,(AK211-AJ211)/AJ211*100)</f>
        <v>0</v>
      </c>
      <c r="AM211" s="946">
        <f ca="1">IF(AND(method_reg="Метод индексации",god&lt;&gt;first_year),SUMIFS(INDEX('Калькуляция (МИ корр)'!$AJ$25:$BC$459,,MATCH(AM$8,'Калькуляция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(МИ)'!$AJ$25:$BC$459,,MATCH(AM$8,'Калькуляция (МИ)'!$AJ$8:$BC$8,0)),'Калькуляция (МИ)'!$F$25:$F$459,$F211,'Калькуляция (МИ)'!$G$25:$G$459,$G211))))</f>
        <v>0</v>
      </c>
      <c r="AN211" s="946">
        <f ca="1">IF(AND(method_reg="Метод индексации",god&lt;&gt;first_year),SUMIFS(INDEX('Калькуляция (МИ корр)'!$AJ$25:$BC$459,,MATCH(AN$8,'Калькуляция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(МИ)'!$AJ$25:$BC$459,,MATCH(AN$8,'Калькуляция (МИ)'!$AJ$8:$BC$8,0)),'Калькуляция (МИ)'!$F$25:$F$459,$F211,'Калькуляция (МИ)'!$G$25:$G$459,$G211))))</f>
        <v>0</v>
      </c>
      <c r="AO211" s="222">
        <f ca="1">IF(AM211=0,0,(AN211-AM211)/AM211*100)</f>
        <v>0</v>
      </c>
      <c r="AP211" s="946">
        <f ca="1">IF(AND(method_reg="Метод индексации",god&lt;&gt;first_year),SUMIFS(INDEX('Калькуляция (МИ корр)'!$AJ$25:$BC$459,,MATCH(AP$8,'Калькуляция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(МИ)'!$AJ$25:$BC$459,,MATCH(AP$8,'Калькуляция (МИ)'!$AJ$8:$BC$8,0)),'Калькуляция (МИ)'!$F$25:$F$459,$F211,'Калькуляция (МИ)'!$G$25:$G$459,$G211))))</f>
        <v>0</v>
      </c>
      <c r="AQ211" s="946">
        <f ca="1">IF(AND(method_reg="Метод индексации",god&lt;&gt;first_year),SUMIFS(INDEX('Калькуляция (МИ корр)'!$AJ$25:$BC$459,,MATCH(AQ$8,'Калькуляция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(МИ)'!$AJ$25:$BC$459,,MATCH(AQ$8,'Калькуляция (МИ)'!$AJ$8:$BC$8,0)),'Калькуляция (МИ)'!$F$25:$F$459,$F211,'Калькуляция (МИ)'!$G$25:$G$459,$G211))))</f>
        <v>0</v>
      </c>
      <c r="AR211" s="222">
        <f ca="1">IF(AP211=0,0,(AQ211-AP211)/AP211*100)</f>
        <v>0</v>
      </c>
      <c r="AS211" s="946">
        <f ca="1">IF(AND(method_reg="Метод индексации",god&lt;&gt;first_year),SUMIFS(INDEX('Калькуляция (МИ корр)'!$AJ$25:$BC$459,,MATCH(AS$8,'Калькуляция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(МИ)'!$AJ$25:$BC$459,,MATCH(AS$8,'Калькуляция (МИ)'!$AJ$8:$BC$8,0)),'Калькуляция (МИ)'!$F$25:$F$459,$F211,'Калькуляция (МИ)'!$G$25:$G$459,$G211))))</f>
        <v>0</v>
      </c>
      <c r="AT211" s="946">
        <f ca="1">IF(AND(method_reg="Метод индексации",god&lt;&gt;first_year),SUMIFS(INDEX('Калькуляция (МИ корр)'!$AJ$25:$BC$459,,MATCH(AT$8,'Калькуляция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(МИ)'!$AJ$25:$BC$459,,MATCH(AT$8,'Калькуляция (МИ)'!$AJ$8:$BC$8,0)),'Калькуляция (МИ)'!$F$25:$F$459,$F211,'Калькуляция (МИ)'!$G$25:$G$459,$G211))))</f>
        <v>0</v>
      </c>
      <c r="AU211" s="222">
        <f ca="1">IF(AS211=0,0,(AT211-AS211)/AS211*100)</f>
        <v>0</v>
      </c>
      <c r="AV211" s="946">
        <f ca="1">IF(AND(method_reg="Метод индексации",god&lt;&gt;first_year),SUMIFS(INDEX('Калькуляция (МИ корр)'!$AJ$25:$BC$459,,MATCH(AV$8,'Калькуляция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(МИ)'!$AJ$25:$BC$459,,MATCH(AV$8,'Калькуляция (МИ)'!$AJ$8:$BC$8,0)),'Калькуляция (МИ)'!$F$25:$F$459,$F211,'Калькуляция (МИ)'!$G$25:$G$459,$G211))))</f>
        <v>0</v>
      </c>
      <c r="AW211" s="946">
        <f ca="1">IF(AND(method_reg="Метод индексации",god&lt;&gt;first_year),SUMIFS(INDEX('Калькуляция (МИ корр)'!$AJ$25:$BC$459,,MATCH(AW$8,'Калькуляция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(МИ)'!$AJ$25:$BC$459,,MATCH(AW$8,'Калькуляция (МИ)'!$AJ$8:$BC$8,0)),'Калькуляция (МИ)'!$F$25:$F$459,$F211,'Калькуляция (МИ)'!$G$25:$G$459,$G211))))</f>
        <v>0</v>
      </c>
      <c r="AX211" s="222">
        <f ca="1">IF(AV211=0,0,(AW211-AV211)/AV211*100)</f>
        <v>0</v>
      </c>
      <c r="AY211" s="946">
        <f ca="1">IF(AND(method_reg="Метод индексации",god&lt;&gt;first_year),SUMIFS(INDEX('Калькуляция (МИ корр)'!$AJ$25:$BC$459,,MATCH(AY$8,'Калькуляция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(МИ)'!$AJ$25:$BC$459,,MATCH(AY$8,'Калькуляция (МИ)'!$AJ$8:$BC$8,0)),'Калькуляция (МИ)'!$F$25:$F$459,$F211,'Калькуляция (МИ)'!$G$25:$G$459,$G211))))</f>
        <v>0</v>
      </c>
      <c r="AZ211" s="946">
        <f ca="1">IF(AND(method_reg="Метод индексации",god&lt;&gt;first_year),SUMIFS(INDEX('Калькуляция (МИ корр)'!$AJ$25:$BC$459,,MATCH(AZ$8,'Калькуляция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(МИ)'!$AJ$25:$BC$459,,MATCH(AZ$8,'Калькуляция (МИ)'!$AJ$8:$BC$8,0)),'Калькуляция (МИ)'!$F$25:$F$459,$F211,'Калькуляция (МИ)'!$G$25:$G$459,$G211))))</f>
        <v>0</v>
      </c>
      <c r="BA211" s="222">
        <f ca="1">IF(AY211=0,0,(AZ211-AY211)/AY211*100)</f>
        <v>0</v>
      </c>
      <c r="BB211" s="946">
        <f ca="1">IF(AND(method_reg="Метод индексации",god&lt;&gt;first_year),SUMIFS(INDEX('Калькуляция (МИ корр)'!$AJ$25:$BC$459,,MATCH(BB$8,'Калькуляция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(МИ)'!$AJ$25:$BC$459,,MATCH(BB$8,'Калькуляция (МИ)'!$AJ$8:$BC$8,0)),'Калькуляция (МИ)'!$F$25:$F$459,$F211,'Калькуляция (МИ)'!$G$25:$G$459,$G211))))</f>
        <v>0</v>
      </c>
      <c r="BC211" s="946">
        <f ca="1">IF(AND(method_reg="Метод индексации",god&lt;&gt;first_year),SUMIFS(INDEX('Калькуляция (МИ корр)'!$AJ$25:$BC$459,,MATCH(BC$8,'Калькуляция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(МИ)'!$AJ$25:$BC$459,,MATCH(BC$8,'Калькуляция (МИ)'!$AJ$8:$BC$8,0)),'Калькуляция (МИ)'!$F$25:$F$459,$F211,'Калькуляция (МИ)'!$G$25:$G$459,$G211))))</f>
        <v>0</v>
      </c>
      <c r="BD211" s="222">
        <f ca="1">IF(BB211=0,0,(BC211-BB211)/BB211*100)</f>
        <v>0</v>
      </c>
      <c r="BE211" s="946">
        <f ca="1">IF(AND(method_reg="Метод индексации",god&lt;&gt;first_year),SUMIFS(INDEX('Калькуляция (МИ корр)'!$AJ$25:$BC$459,,MATCH(BE$8,'Калькуляция (МИ корр)'!$AJ$8:$BC$8,0)),'Калькуляция (МИ корр)'!$F$25:$F$459,$F211,'Калькуляция (МИ корр)'!$G$25:$G$459,$G211),IF(method_reg="Метод экономически обоснованных расходов",SUMIFS('Калькуляция (МЭОР)'!$AJ$25:$AJ$282,'Калькуляция (МЭОР)'!$F$25:$F$282,$F211,'Калькуляция (МЭОР)'!$G$25:$G$282,$G211),IF(method_reg="Метод сравнения аналогов",SUMIFS('Калькуляция (МСА)'!$AE$25:$AE$84,'Калькуляция (МСА)'!$F$25:$F$84,$F211,'Калькуляция (МСА)'!$G$25:$G$84,$G211),SUMIFS(INDEX('Калькуляция (МИ)'!$AJ$25:$BC$459,,MATCH(BE$8,'Калькуляция (МИ)'!$AJ$8:$BC$8,0)),'Калькуляция (МИ)'!$F$25:$F$459,$F211,'Калькуляция (МИ)'!$G$25:$G$459,$G211))))</f>
        <v>0</v>
      </c>
      <c r="BF211" s="946">
        <f ca="1">IF(AND(method_reg="Метод индексации",god&lt;&gt;first_year),SUMIFS(INDEX('Калькуляция (МИ корр)'!$AJ$25:$BC$459,,MATCH(BF$8,'Калькуляция (МИ корр)'!$AJ$8:$BC$8,0)),'Калькуляция (МИ корр)'!$F$25:$F$459,$F211,'Калькуляция (МИ корр)'!$G$25:$G$459,$G211),IF(method_reg="Метод экономически обоснованных расходов",SUMIFS('Калькуляция (МЭОР)'!$AK$25:$AK$282,'Калькуляция (МЭОР)'!$F$25:$F$282,$F211,'Калькуляция (МЭОР)'!$G$25:$G$282,$G211),IF(method_reg="Метод сравнения аналогов",SUMIFS('Калькуляция (МСА)'!$AF$25:$AF$84,'Калькуляция (МСА)'!$F$25:$F$84,$F211,'Калькуляция (МСА)'!$G$25:$G$84,$G211),SUMIFS(INDEX('Калькуляция (МИ)'!$AJ$25:$BC$459,,MATCH(BF$8,'Калькуляция (МИ)'!$AJ$8:$BC$8,0)),'Калькуляция (МИ)'!$F$25:$F$459,$F211,'Калькуляция (МИ)'!$G$25:$G$459,$G211))))</f>
        <v>0</v>
      </c>
      <c r="BG211" s="222">
        <f ca="1">IF(BE211=0,0,(BF211-BE211)/BE211*100)</f>
        <v>0</v>
      </c>
      <c r="BH211" s="946"/>
      <c r="BI211" s="946"/>
      <c r="BJ211" s="222">
        <f>IF(BH211=0,0,(BI211-BH211)/BH211*100)</f>
        <v>0</v>
      </c>
      <c r="BK211" s="946"/>
      <c r="BL211" s="946"/>
      <c r="BM211" s="222">
        <f>IF(BK211=0,0,(BL211-BK211)/BK211*100)</f>
        <v>0</v>
      </c>
      <c r="BN211" s="946"/>
      <c r="BO211" s="946"/>
      <c r="BP211" s="222">
        <f>IF(BN211=0,0,(BO211-BN211)/BN211*100)</f>
        <v>0</v>
      </c>
      <c r="BQ211" s="946"/>
      <c r="BR211" s="946"/>
      <c r="BS211" s="222">
        <f>IF(BQ211=0,0,(BR211-BQ211)/BQ211*100)</f>
        <v>0</v>
      </c>
      <c r="BT211" s="946"/>
      <c r="BU211" s="946"/>
      <c r="BV211" s="222">
        <f>IF(BT211=0,0,(BU211-BT211)/BT211*100)</f>
        <v>0</v>
      </c>
      <c r="BW211" s="946"/>
      <c r="BX211" s="946"/>
      <c r="BY211" s="222">
        <f>IF(BW211=0,0,(BX211-BW211)/BW211*100)</f>
        <v>0</v>
      </c>
      <c r="BZ211" s="946"/>
      <c r="CA211" s="946"/>
      <c r="CB211" s="222">
        <f>IF(BZ211=0,0,(CA211-BZ211)/BZ211*100)</f>
        <v>0</v>
      </c>
      <c r="CC211" s="946"/>
      <c r="CD211" s="946"/>
      <c r="CE211" s="222">
        <f>IF(CC211=0,0,(CD211-CC211)/CC211*100)</f>
        <v>0</v>
      </c>
      <c r="CF211" s="946"/>
      <c r="CG211" s="946"/>
      <c r="CH211" s="222">
        <f>IF(CF211=0,0,(CG211-CF211)/CF211*100)</f>
        <v>0</v>
      </c>
      <c r="CI211" s="946"/>
      <c r="CJ211" s="946"/>
      <c r="CK211" s="222">
        <f>IF(CI211=0,0,(CJ211-CI211)/CI211*100)</f>
        <v>0</v>
      </c>
      <c r="CL211" s="946"/>
      <c r="CM211" s="946"/>
      <c r="CN211" s="222">
        <f>IF(CL211=0,0,(CM211-CL211)/CL211*100)</f>
        <v>0</v>
      </c>
      <c r="CO211" s="946"/>
      <c r="CP211" s="946"/>
      <c r="CQ211" s="222">
        <f>IF(CO211=0,0,(CP211-CO211)/CO211*100)</f>
        <v>0</v>
      </c>
      <c r="CR211" s="946"/>
      <c r="CS211" s="946"/>
      <c r="CT211" s="222">
        <f>IF(CR211=0,0,(CS211-CR211)/CR211*100)</f>
        <v>0</v>
      </c>
      <c r="CU211" s="946"/>
      <c r="CV211" s="946"/>
      <c r="CW211" s="222">
        <f>IF(CU211=0,0,(CV211-CU211)/CU211*100)</f>
        <v>0</v>
      </c>
      <c r="CX211" s="946"/>
      <c r="CY211" s="946"/>
      <c r="CZ211" s="222">
        <f>IF(CX211=0,0,(CY211-CX211)/CX211*100)</f>
        <v>0</v>
      </c>
      <c r="DA211" s="946"/>
      <c r="DB211" s="946"/>
      <c r="DC211" s="222">
        <f>IF(DA211=0,0,(DB211-DA211)/DA211*100)</f>
        <v>0</v>
      </c>
      <c r="DD211" s="946"/>
      <c r="DE211" s="946"/>
      <c r="DF211" s="222">
        <f>IF(DD211=0,0,(DE211-DD211)/DD211*100)</f>
        <v>0</v>
      </c>
      <c r="DG211" s="946"/>
      <c r="DH211" s="946"/>
      <c r="DI211" s="222">
        <f>IF(DG211=0,0,(DH211-DG211)/DG211*100)</f>
        <v>0</v>
      </c>
      <c r="DJ211" s="946"/>
      <c r="DK211" s="946"/>
      <c r="DL211" s="222">
        <f>IF(DJ211=0,0,(DK211-DJ211)/DJ211*100)</f>
        <v>0</v>
      </c>
      <c r="DM211" s="946"/>
      <c r="DN211" s="946"/>
      <c r="DO211" s="222">
        <f>IF(DM211=0,0,(DN211-DM211)/DM211*100)</f>
        <v>0</v>
      </c>
      <c r="DP211" s="946"/>
      <c r="DQ211" s="946"/>
      <c r="DR211" s="222">
        <f>IF(DP211=0,0,(DQ211-DP211)/DP211*100)</f>
        <v>0</v>
      </c>
      <c r="DS211" s="946"/>
      <c r="DT211" s="946"/>
      <c r="DU211" s="222">
        <f>IF(DS211=0,0,(DT211-DS211)/DS211*100)</f>
        <v>0</v>
      </c>
      <c r="DV211" s="946"/>
      <c r="DW211" s="946"/>
      <c r="DX211" s="222">
        <f>IF(DV211=0,0,(DW211-DV211)/DV211*100)</f>
        <v>0</v>
      </c>
      <c r="DY211" s="946"/>
      <c r="DZ211" s="946"/>
      <c r="EA211" s="222">
        <f>IF(DY211=0,0,(DZ211-DY211)/DY211*100)</f>
        <v>0</v>
      </c>
      <c r="EB211" s="946"/>
      <c r="EC211" s="946"/>
      <c r="ED211" s="222">
        <f>IF(EB211=0,0,(EC211-EB211)/EB211*100)</f>
        <v>0</v>
      </c>
      <c r="EE211" s="946"/>
      <c r="EF211" s="946"/>
      <c r="EG211" s="222">
        <f>IF(EE211=0,0,(EF211-EE211)/EE211*100)</f>
        <v>0</v>
      </c>
      <c r="EH211" s="946"/>
      <c r="EI211" s="946"/>
      <c r="EJ211" s="222">
        <f>IF(EH211=0,0,(EI211-EH211)/EH211*100)</f>
        <v>0</v>
      </c>
      <c r="EK211" s="946"/>
      <c r="EL211" s="946"/>
      <c r="EM211" s="222">
        <f>IF(EK211=0,0,(EL211-EK211)/EK211*100)</f>
        <v>0</v>
      </c>
      <c r="EN211" s="946"/>
      <c r="EO211" s="946"/>
      <c r="EP211" s="222">
        <f>IF(EN211=0,0,(EO211-EN211)/EN211*100)</f>
        <v>0</v>
      </c>
      <c r="EQ211" s="946"/>
      <c r="ER211" s="946"/>
      <c r="ES211" s="222">
        <f>IF(EQ211=0,0,(ER211-EQ211)/EQ211*100)</f>
        <v>0</v>
      </c>
      <c r="ET211" s="946"/>
      <c r="EU211" s="946"/>
      <c r="EV211" s="222">
        <f>IF(ET211=0,0,(EU211-ET211)/ET211*100)</f>
        <v>0</v>
      </c>
      <c r="EW211" s="946"/>
      <c r="EX211" s="946"/>
      <c r="EY211" s="222">
        <f>IF(EW211=0,0,(EX211-EW211)/EW211*100)</f>
        <v>0</v>
      </c>
      <c r="EZ211" s="946"/>
      <c r="FA211" s="946"/>
      <c r="FB211" s="222">
        <f>IF(EZ211=0,0,(FA211-EZ211)/EZ211*100)</f>
        <v>0</v>
      </c>
      <c r="FC211" s="946"/>
      <c r="FD211" s="946"/>
      <c r="FE211" s="222">
        <f>IF(FC211=0,0,(FD211-FC211)/FC211*100)</f>
        <v>0</v>
      </c>
      <c r="FF211" s="946"/>
      <c r="FG211" s="946"/>
      <c r="FH211" s="222">
        <f>IF(FF211=0,0,(FG211-FF211)/FF211*100)</f>
        <v>0</v>
      </c>
      <c r="FI211" s="946"/>
      <c r="FJ211" s="946"/>
      <c r="FK211" s="222">
        <f>IF(FI211=0,0,(FJ211-FI211)/FI211*100)</f>
        <v>0</v>
      </c>
      <c r="FL211" s="946"/>
      <c r="FM211" s="946"/>
      <c r="FN211" s="222">
        <f>IF(FL211=0,0,(FM211-FL211)/FL211*100)</f>
        <v>0</v>
      </c>
      <c r="FO211" s="946"/>
      <c r="FP211" s="946"/>
      <c r="FQ211" s="222">
        <f>IF(FO211=0,0,(FP211-FO211)/FO211*100)</f>
        <v>0</v>
      </c>
      <c r="FR211" s="946"/>
      <c r="FS211" s="946"/>
      <c r="FT211" s="222">
        <f>IF(FR211=0,0,(FS211-FR211)/FR211*100)</f>
        <v>0</v>
      </c>
      <c r="FU211" s="946"/>
      <c r="FV211" s="946"/>
      <c r="FW211" s="222">
        <f>IF(FU211=0,0,(FV211-FU211)/FU211*100)</f>
        <v>0</v>
      </c>
      <c r="FX211" s="219"/>
      <c r="FY211" s="219"/>
      <c r="FZ211" s="700" t="s">
        <v>1704</v>
      </c>
      <c r="GA211" s="700"/>
      <c r="GB211" s="700"/>
      <c r="GC211" s="701"/>
      <c r="GD211" s="701"/>
    </row>
    <row r="212" spans="1:186" s="947" customFormat="1" ht="23.25" hidden="1" customHeight="1">
      <c r="A212" s="603"/>
      <c r="B212" s="622" t="b" cm="1">
        <f t="array" ref="B212">B211</f>
        <v>0</v>
      </c>
      <c r="C212" s="603"/>
      <c r="D212" s="603"/>
      <c r="E212" s="473">
        <v>24.5</v>
      </c>
      <c r="F212" s="3" t="str" cm="1">
        <f t="array" aca="1" ref="F212" ca="1">OFFSET(E212,-1,1)</f>
        <v>2</v>
      </c>
      <c r="G212" s="44" t="s">
        <v>1626</v>
      </c>
      <c r="H212" s="78" t="s">
        <v>461</v>
      </c>
      <c r="I212" s="78" t="s">
        <v>1705</v>
      </c>
      <c r="J212" s="603"/>
      <c r="K212" s="603"/>
      <c r="L212" s="603"/>
      <c r="M212" s="603"/>
      <c r="N212" s="603"/>
      <c r="O212" s="603"/>
      <c r="P212" s="603"/>
      <c r="Q212" s="603"/>
      <c r="R212" s="603"/>
      <c r="S212" s="78"/>
      <c r="T212" s="365" t="b" cm="1">
        <f t="array" aca="1" ref="T212" ca="1">T211</f>
        <v>1</v>
      </c>
      <c r="U212" s="603"/>
      <c r="V212" s="603"/>
      <c r="W212" s="603"/>
      <c r="X212" s="1094"/>
      <c r="Y212" s="603"/>
      <c r="Z212" s="1064"/>
      <c r="AA212" s="603"/>
      <c r="AB212" s="151" t="s">
        <v>1706</v>
      </c>
      <c r="AC212" s="166" t="s">
        <v>1624</v>
      </c>
      <c r="AD212" s="946">
        <f ca="1">IF(AND(method_reg="Метод индексации",god&lt;&gt;first_year),SUMIFS(INDEX('Калькуляция (МИ корр)'!$AJ$25:$BC$459,,MATCH(AD$8,'Калькуляция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(МИ)'!$AJ$25:$BC$459,,MATCH(AD$8,'Калькуляция (МИ)'!$AJ$8:$BC$8,0)),'Калькуляция (МИ)'!$F$25:$F$459,$F212,'Калькуляция (МИ)'!$G$25:$G$459,$G212))))</f>
        <v>74.0624777168224</v>
      </c>
      <c r="AE212" s="946">
        <f ca="1">IF(AND(method_reg="Метод индексации",god&lt;&gt;first_year),SUMIFS(INDEX('Калькуляция (МИ корр)'!$AJ$25:$BC$459,,MATCH(AE$8,'Калькуляция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(МИ)'!$AJ$25:$BC$459,,MATCH(AE$8,'Калькуляция (МИ)'!$AJ$8:$BC$8,0)),'Калькуляция (МИ)'!$F$25:$F$459,$F212,'Калькуляция (МИ)'!$G$25:$G$459,$G212))))</f>
        <v>43.819995458486737</v>
      </c>
      <c r="AF212" s="222">
        <f ca="1">IF(AD212=0,0,(AE212-AD212)/AD212*100)</f>
        <v>-40.833743604916485</v>
      </c>
      <c r="AG212" s="946">
        <f ca="1">IF(AND(method_reg="Метод индексации",god&lt;&gt;first_year),SUMIFS(INDEX('Калькуляция (МИ корр)'!$AJ$25:$BC$459,,MATCH(AG$8,'Калькуляция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(МИ)'!$AJ$25:$BC$459,,MATCH(AG$8,'Калькуляция (МИ)'!$AJ$8:$BC$8,0)),'Калькуляция (МИ)'!$F$25:$F$459,$F212,'Калькуляция (МИ)'!$G$25:$G$459,$G212))))</f>
        <v>0</v>
      </c>
      <c r="AH212" s="946">
        <f ca="1">IF(AND(method_reg="Метод индексации",god&lt;&gt;first_year),SUMIFS(INDEX('Калькуляция (МИ корр)'!$AJ$25:$BC$459,,MATCH(AH$8,'Калькуляция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(МИ)'!$AJ$25:$BC$459,,MATCH(AH$8,'Калькуляция (МИ)'!$AJ$8:$BC$8,0)),'Калькуляция (МИ)'!$F$25:$F$459,$F212,'Калькуляция (МИ)'!$G$25:$G$459,$G212))))</f>
        <v>0</v>
      </c>
      <c r="AI212" s="222">
        <f ca="1">IF(AG212=0,0,(AH212-AG212)/AG212*100)</f>
        <v>0</v>
      </c>
      <c r="AJ212" s="946">
        <f ca="1">IF(AND(method_reg="Метод индексации",god&lt;&gt;first_year),SUMIFS(INDEX('Калькуляция (МИ корр)'!$AJ$25:$BC$459,,MATCH(AJ$8,'Калькуляция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(МИ)'!$AJ$25:$BC$459,,MATCH(AJ$8,'Калькуляция (МИ)'!$AJ$8:$BC$8,0)),'Калькуляция (МИ)'!$F$25:$F$459,$F212,'Калькуляция (МИ)'!$G$25:$G$459,$G212))))</f>
        <v>0</v>
      </c>
      <c r="AK212" s="946">
        <f ca="1">IF(AND(method_reg="Метод индексации",god&lt;&gt;first_year),SUMIFS(INDEX('Калькуляция (МИ корр)'!$AJ$25:$BC$459,,MATCH(AK$8,'Калькуляция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(МИ)'!$AJ$25:$BC$459,,MATCH(AK$8,'Калькуляция (МИ)'!$AJ$8:$BC$8,0)),'Калькуляция (МИ)'!$F$25:$F$459,$F212,'Калькуляция (МИ)'!$G$25:$G$459,$G212))))</f>
        <v>0</v>
      </c>
      <c r="AL212" s="222">
        <f ca="1">IF(AJ212=0,0,(AK212-AJ212)/AJ212*100)</f>
        <v>0</v>
      </c>
      <c r="AM212" s="946">
        <f ca="1">IF(AND(method_reg="Метод индексации",god&lt;&gt;first_year),SUMIFS(INDEX('Калькуляция (МИ корр)'!$AJ$25:$BC$459,,MATCH(AM$8,'Калькуляция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(МИ)'!$AJ$25:$BC$459,,MATCH(AM$8,'Калькуляция (МИ)'!$AJ$8:$BC$8,0)),'Калькуляция (МИ)'!$F$25:$F$459,$F212,'Калькуляция (МИ)'!$G$25:$G$459,$G212))))</f>
        <v>0</v>
      </c>
      <c r="AN212" s="946">
        <f ca="1">IF(AND(method_reg="Метод индексации",god&lt;&gt;first_year),SUMIFS(INDEX('Калькуляция (МИ корр)'!$AJ$25:$BC$459,,MATCH(AN$8,'Калькуляция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(МИ)'!$AJ$25:$BC$459,,MATCH(AN$8,'Калькуляция (МИ)'!$AJ$8:$BC$8,0)),'Калькуляция (МИ)'!$F$25:$F$459,$F212,'Калькуляция (МИ)'!$G$25:$G$459,$G212))))</f>
        <v>0</v>
      </c>
      <c r="AO212" s="222">
        <f ca="1">IF(AM212=0,0,(AN212-AM212)/AM212*100)</f>
        <v>0</v>
      </c>
      <c r="AP212" s="946">
        <f ca="1">IF(AND(method_reg="Метод индексации",god&lt;&gt;first_year),SUMIFS(INDEX('Калькуляция (МИ корр)'!$AJ$25:$BC$459,,MATCH(AP$8,'Калькуляция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(МИ)'!$AJ$25:$BC$459,,MATCH(AP$8,'Калькуляция (МИ)'!$AJ$8:$BC$8,0)),'Калькуляция (МИ)'!$F$25:$F$459,$F212,'Калькуляция (МИ)'!$G$25:$G$459,$G212))))</f>
        <v>0</v>
      </c>
      <c r="AQ212" s="946">
        <f ca="1">IF(AND(method_reg="Метод индексации",god&lt;&gt;first_year),SUMIFS(INDEX('Калькуляция (МИ корр)'!$AJ$25:$BC$459,,MATCH(AQ$8,'Калькуляция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(МИ)'!$AJ$25:$BC$459,,MATCH(AQ$8,'Калькуляция (МИ)'!$AJ$8:$BC$8,0)),'Калькуляция (МИ)'!$F$25:$F$459,$F212,'Калькуляция (МИ)'!$G$25:$G$459,$G212))))</f>
        <v>0</v>
      </c>
      <c r="AR212" s="222">
        <f ca="1">IF(AP212=0,0,(AQ212-AP212)/AP212*100)</f>
        <v>0</v>
      </c>
      <c r="AS212" s="946">
        <f ca="1">IF(AND(method_reg="Метод индексации",god&lt;&gt;first_year),SUMIFS(INDEX('Калькуляция (МИ корр)'!$AJ$25:$BC$459,,MATCH(AS$8,'Калькуляция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(МИ)'!$AJ$25:$BC$459,,MATCH(AS$8,'Калькуляция (МИ)'!$AJ$8:$BC$8,0)),'Калькуляция (МИ)'!$F$25:$F$459,$F212,'Калькуляция (МИ)'!$G$25:$G$459,$G212))))</f>
        <v>0</v>
      </c>
      <c r="AT212" s="946">
        <f ca="1">IF(AND(method_reg="Метод индексации",god&lt;&gt;first_year),SUMIFS(INDEX('Калькуляция (МИ корр)'!$AJ$25:$BC$459,,MATCH(AT$8,'Калькуляция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(МИ)'!$AJ$25:$BC$459,,MATCH(AT$8,'Калькуляция (МИ)'!$AJ$8:$BC$8,0)),'Калькуляция (МИ)'!$F$25:$F$459,$F212,'Калькуляция (МИ)'!$G$25:$G$459,$G212))))</f>
        <v>0</v>
      </c>
      <c r="AU212" s="222">
        <f ca="1">IF(AS212=0,0,(AT212-AS212)/AS212*100)</f>
        <v>0</v>
      </c>
      <c r="AV212" s="946">
        <f ca="1">IF(AND(method_reg="Метод индексации",god&lt;&gt;first_year),SUMIFS(INDEX('Калькуляция (МИ корр)'!$AJ$25:$BC$459,,MATCH(AV$8,'Калькуляция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(МИ)'!$AJ$25:$BC$459,,MATCH(AV$8,'Калькуляция (МИ)'!$AJ$8:$BC$8,0)),'Калькуляция (МИ)'!$F$25:$F$459,$F212,'Калькуляция (МИ)'!$G$25:$G$459,$G212))))</f>
        <v>0</v>
      </c>
      <c r="AW212" s="946">
        <f ca="1">IF(AND(method_reg="Метод индексации",god&lt;&gt;first_year),SUMIFS(INDEX('Калькуляция (МИ корр)'!$AJ$25:$BC$459,,MATCH(AW$8,'Калькуляция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(МИ)'!$AJ$25:$BC$459,,MATCH(AW$8,'Калькуляция (МИ)'!$AJ$8:$BC$8,0)),'Калькуляция (МИ)'!$F$25:$F$459,$F212,'Калькуляция (МИ)'!$G$25:$G$459,$G212))))</f>
        <v>0</v>
      </c>
      <c r="AX212" s="222">
        <f ca="1">IF(AV212=0,0,(AW212-AV212)/AV212*100)</f>
        <v>0</v>
      </c>
      <c r="AY212" s="946">
        <f ca="1">IF(AND(method_reg="Метод индексации",god&lt;&gt;first_year),SUMIFS(INDEX('Калькуляция (МИ корр)'!$AJ$25:$BC$459,,MATCH(AY$8,'Калькуляция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(МИ)'!$AJ$25:$BC$459,,MATCH(AY$8,'Калькуляция (МИ)'!$AJ$8:$BC$8,0)),'Калькуляция (МИ)'!$F$25:$F$459,$F212,'Калькуляция (МИ)'!$G$25:$G$459,$G212))))</f>
        <v>0</v>
      </c>
      <c r="AZ212" s="946">
        <f ca="1">IF(AND(method_reg="Метод индексации",god&lt;&gt;first_year),SUMIFS(INDEX('Калькуляция (МИ корр)'!$AJ$25:$BC$459,,MATCH(AZ$8,'Калькуляция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(МИ)'!$AJ$25:$BC$459,,MATCH(AZ$8,'Калькуляция (МИ)'!$AJ$8:$BC$8,0)),'Калькуляция (МИ)'!$F$25:$F$459,$F212,'Калькуляция (МИ)'!$G$25:$G$459,$G212))))</f>
        <v>0</v>
      </c>
      <c r="BA212" s="222">
        <f ca="1">IF(AY212=0,0,(AZ212-AY212)/AY212*100)</f>
        <v>0</v>
      </c>
      <c r="BB212" s="946">
        <f ca="1">IF(AND(method_reg="Метод индексации",god&lt;&gt;first_year),SUMIFS(INDEX('Калькуляция (МИ корр)'!$AJ$25:$BC$459,,MATCH(BB$8,'Калькуляция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(МИ)'!$AJ$25:$BC$459,,MATCH(BB$8,'Калькуляция (МИ)'!$AJ$8:$BC$8,0)),'Калькуляция (МИ)'!$F$25:$F$459,$F212,'Калькуляция (МИ)'!$G$25:$G$459,$G212))))</f>
        <v>0</v>
      </c>
      <c r="BC212" s="946">
        <f ca="1">IF(AND(method_reg="Метод индексации",god&lt;&gt;first_year),SUMIFS(INDEX('Калькуляция (МИ корр)'!$AJ$25:$BC$459,,MATCH(BC$8,'Калькуляция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(МИ)'!$AJ$25:$BC$459,,MATCH(BC$8,'Калькуляция (МИ)'!$AJ$8:$BC$8,0)),'Калькуляция (МИ)'!$F$25:$F$459,$F212,'Калькуляция (МИ)'!$G$25:$G$459,$G212))))</f>
        <v>0</v>
      </c>
      <c r="BD212" s="222">
        <f ca="1">IF(BB212=0,0,(BC212-BB212)/BB212*100)</f>
        <v>0</v>
      </c>
      <c r="BE212" s="946">
        <f ca="1">IF(AND(method_reg="Метод индексации",god&lt;&gt;first_year),SUMIFS(INDEX('Калькуляция (МИ корр)'!$AJ$25:$BC$459,,MATCH(BE$8,'Калькуляция (МИ корр)'!$AJ$8:$BC$8,0)),'Калькуляция (МИ корр)'!$F$25:$F$459,$F212,'Калькуляция (МИ корр)'!$G$25:$G$459,$G212),IF(method_reg="Метод экономически обоснованных расходов",SUMIFS('Калькуляция (МЭОР)'!$AJ$25:$AJ$282,'Калькуляция (МЭОР)'!$F$25:$F$282,$F212,'Калькуляция (МЭОР)'!$G$25:$G$282,$G212),IF(method_reg="Метод сравнения аналогов",SUMIFS('Калькуляция (МСА)'!$AE$25:$AE$84,'Калькуляция (МСА)'!$F$25:$F$84,$F212,'Калькуляция (МСА)'!$G$25:$G$84,$G212),SUMIFS(INDEX('Калькуляция (МИ)'!$AJ$25:$BC$459,,MATCH(BE$8,'Калькуляция (МИ)'!$AJ$8:$BC$8,0)),'Калькуляция (МИ)'!$F$25:$F$459,$F212,'Калькуляция (МИ)'!$G$25:$G$459,$G212))))</f>
        <v>0</v>
      </c>
      <c r="BF212" s="946">
        <f ca="1">IF(AND(method_reg="Метод индексации",god&lt;&gt;first_year),SUMIFS(INDEX('Калькуляция (МИ корр)'!$AJ$25:$BC$459,,MATCH(BF$8,'Калькуляция (МИ корр)'!$AJ$8:$BC$8,0)),'Калькуляция (МИ корр)'!$F$25:$F$459,$F212,'Калькуляция (МИ корр)'!$G$25:$G$459,$G212),IF(method_reg="Метод экономически обоснованных расходов",SUMIFS('Калькуляция (МЭОР)'!$AK$25:$AK$282,'Калькуляция (МЭОР)'!$F$25:$F$282,$F212,'Калькуляция (МЭОР)'!$G$25:$G$282,$G212),IF(method_reg="Метод сравнения аналогов",SUMIFS('Калькуляция (МСА)'!$AF$25:$AF$84,'Калькуляция (МСА)'!$F$25:$F$84,$F212,'Калькуляция (МСА)'!$G$25:$G$84,$G212),SUMIFS(INDEX('Калькуляция (МИ)'!$AJ$25:$BC$459,,MATCH(BF$8,'Калькуляция (МИ)'!$AJ$8:$BC$8,0)),'Калькуляция (МИ)'!$F$25:$F$459,$F212,'Калькуляция (МИ)'!$G$25:$G$459,$G212))))</f>
        <v>0</v>
      </c>
      <c r="BG212" s="222">
        <f ca="1">IF(BE212=0,0,(BF212-BE212)/BE212*100)</f>
        <v>0</v>
      </c>
      <c r="BH212" s="946"/>
      <c r="BI212" s="946"/>
      <c r="BJ212" s="222">
        <f>IF(BH212=0,0,(BI212-BH212)/BH212*100)</f>
        <v>0</v>
      </c>
      <c r="BK212" s="946"/>
      <c r="BL212" s="946"/>
      <c r="BM212" s="222">
        <f>IF(BK212=0,0,(BL212-BK212)/BK212*100)</f>
        <v>0</v>
      </c>
      <c r="BN212" s="946"/>
      <c r="BO212" s="946"/>
      <c r="BP212" s="222">
        <f>IF(BN212=0,0,(BO212-BN212)/BN212*100)</f>
        <v>0</v>
      </c>
      <c r="BQ212" s="946"/>
      <c r="BR212" s="946"/>
      <c r="BS212" s="222">
        <f>IF(BQ212=0,0,(BR212-BQ212)/BQ212*100)</f>
        <v>0</v>
      </c>
      <c r="BT212" s="946"/>
      <c r="BU212" s="946"/>
      <c r="BV212" s="222">
        <f>IF(BT212=0,0,(BU212-BT212)/BT212*100)</f>
        <v>0</v>
      </c>
      <c r="BW212" s="946"/>
      <c r="BX212" s="946"/>
      <c r="BY212" s="222">
        <f>IF(BW212=0,0,(BX212-BW212)/BW212*100)</f>
        <v>0</v>
      </c>
      <c r="BZ212" s="946"/>
      <c r="CA212" s="946"/>
      <c r="CB212" s="222">
        <f>IF(BZ212=0,0,(CA212-BZ212)/BZ212*100)</f>
        <v>0</v>
      </c>
      <c r="CC212" s="946"/>
      <c r="CD212" s="946"/>
      <c r="CE212" s="222">
        <f>IF(CC212=0,0,(CD212-CC212)/CC212*100)</f>
        <v>0</v>
      </c>
      <c r="CF212" s="946"/>
      <c r="CG212" s="946"/>
      <c r="CH212" s="222">
        <f>IF(CF212=0,0,(CG212-CF212)/CF212*100)</f>
        <v>0</v>
      </c>
      <c r="CI212" s="946"/>
      <c r="CJ212" s="946"/>
      <c r="CK212" s="222">
        <f>IF(CI212=0,0,(CJ212-CI212)/CI212*100)</f>
        <v>0</v>
      </c>
      <c r="CL212" s="946"/>
      <c r="CM212" s="946"/>
      <c r="CN212" s="222">
        <f>IF(CL212=0,0,(CM212-CL212)/CL212*100)</f>
        <v>0</v>
      </c>
      <c r="CO212" s="946"/>
      <c r="CP212" s="946"/>
      <c r="CQ212" s="222">
        <f>IF(CO212=0,0,(CP212-CO212)/CO212*100)</f>
        <v>0</v>
      </c>
      <c r="CR212" s="946"/>
      <c r="CS212" s="946"/>
      <c r="CT212" s="222">
        <f>IF(CR212=0,0,(CS212-CR212)/CR212*100)</f>
        <v>0</v>
      </c>
      <c r="CU212" s="946"/>
      <c r="CV212" s="946"/>
      <c r="CW212" s="222">
        <f>IF(CU212=0,0,(CV212-CU212)/CU212*100)</f>
        <v>0</v>
      </c>
      <c r="CX212" s="946"/>
      <c r="CY212" s="946"/>
      <c r="CZ212" s="222">
        <f>IF(CX212=0,0,(CY212-CX212)/CX212*100)</f>
        <v>0</v>
      </c>
      <c r="DA212" s="946"/>
      <c r="DB212" s="946"/>
      <c r="DC212" s="222">
        <f>IF(DA212=0,0,(DB212-DA212)/DA212*100)</f>
        <v>0</v>
      </c>
      <c r="DD212" s="946"/>
      <c r="DE212" s="946"/>
      <c r="DF212" s="222">
        <f>IF(DD212=0,0,(DE212-DD212)/DD212*100)</f>
        <v>0</v>
      </c>
      <c r="DG212" s="946"/>
      <c r="DH212" s="946"/>
      <c r="DI212" s="222">
        <f>IF(DG212=0,0,(DH212-DG212)/DG212*100)</f>
        <v>0</v>
      </c>
      <c r="DJ212" s="946"/>
      <c r="DK212" s="946"/>
      <c r="DL212" s="222">
        <f>IF(DJ212=0,0,(DK212-DJ212)/DJ212*100)</f>
        <v>0</v>
      </c>
      <c r="DM212" s="946"/>
      <c r="DN212" s="946"/>
      <c r="DO212" s="222">
        <f>IF(DM212=0,0,(DN212-DM212)/DM212*100)</f>
        <v>0</v>
      </c>
      <c r="DP212" s="946"/>
      <c r="DQ212" s="946"/>
      <c r="DR212" s="222">
        <f>IF(DP212=0,0,(DQ212-DP212)/DP212*100)</f>
        <v>0</v>
      </c>
      <c r="DS212" s="946"/>
      <c r="DT212" s="946"/>
      <c r="DU212" s="222">
        <f>IF(DS212=0,0,(DT212-DS212)/DS212*100)</f>
        <v>0</v>
      </c>
      <c r="DV212" s="946"/>
      <c r="DW212" s="946"/>
      <c r="DX212" s="222">
        <f>IF(DV212=0,0,(DW212-DV212)/DV212*100)</f>
        <v>0</v>
      </c>
      <c r="DY212" s="946"/>
      <c r="DZ212" s="946"/>
      <c r="EA212" s="222">
        <f>IF(DY212=0,0,(DZ212-DY212)/DY212*100)</f>
        <v>0</v>
      </c>
      <c r="EB212" s="946"/>
      <c r="EC212" s="946"/>
      <c r="ED212" s="222">
        <f>IF(EB212=0,0,(EC212-EB212)/EB212*100)</f>
        <v>0</v>
      </c>
      <c r="EE212" s="946"/>
      <c r="EF212" s="946"/>
      <c r="EG212" s="222">
        <f>IF(EE212=0,0,(EF212-EE212)/EE212*100)</f>
        <v>0</v>
      </c>
      <c r="EH212" s="946"/>
      <c r="EI212" s="946"/>
      <c r="EJ212" s="222">
        <f>IF(EH212=0,0,(EI212-EH212)/EH212*100)</f>
        <v>0</v>
      </c>
      <c r="EK212" s="946"/>
      <c r="EL212" s="946"/>
      <c r="EM212" s="222">
        <f>IF(EK212=0,0,(EL212-EK212)/EK212*100)</f>
        <v>0</v>
      </c>
      <c r="EN212" s="946"/>
      <c r="EO212" s="946"/>
      <c r="EP212" s="222">
        <f>IF(EN212=0,0,(EO212-EN212)/EN212*100)</f>
        <v>0</v>
      </c>
      <c r="EQ212" s="946"/>
      <c r="ER212" s="946"/>
      <c r="ES212" s="222">
        <f>IF(EQ212=0,0,(ER212-EQ212)/EQ212*100)</f>
        <v>0</v>
      </c>
      <c r="ET212" s="946"/>
      <c r="EU212" s="946"/>
      <c r="EV212" s="222">
        <f>IF(ET212=0,0,(EU212-ET212)/ET212*100)</f>
        <v>0</v>
      </c>
      <c r="EW212" s="946"/>
      <c r="EX212" s="946"/>
      <c r="EY212" s="222">
        <f>IF(EW212=0,0,(EX212-EW212)/EW212*100)</f>
        <v>0</v>
      </c>
      <c r="EZ212" s="946"/>
      <c r="FA212" s="946"/>
      <c r="FB212" s="222">
        <f>IF(EZ212=0,0,(FA212-EZ212)/EZ212*100)</f>
        <v>0</v>
      </c>
      <c r="FC212" s="946"/>
      <c r="FD212" s="946"/>
      <c r="FE212" s="222">
        <f>IF(FC212=0,0,(FD212-FC212)/FC212*100)</f>
        <v>0</v>
      </c>
      <c r="FF212" s="946"/>
      <c r="FG212" s="946"/>
      <c r="FH212" s="222">
        <f>IF(FF212=0,0,(FG212-FF212)/FF212*100)</f>
        <v>0</v>
      </c>
      <c r="FI212" s="946"/>
      <c r="FJ212" s="946"/>
      <c r="FK212" s="222">
        <f>IF(FI212=0,0,(FJ212-FI212)/FI212*100)</f>
        <v>0</v>
      </c>
      <c r="FL212" s="946"/>
      <c r="FM212" s="946"/>
      <c r="FN212" s="222">
        <f>IF(FL212=0,0,(FM212-FL212)/FL212*100)</f>
        <v>0</v>
      </c>
      <c r="FO212" s="946"/>
      <c r="FP212" s="946"/>
      <c r="FQ212" s="222">
        <f>IF(FO212=0,0,(FP212-FO212)/FO212*100)</f>
        <v>0</v>
      </c>
      <c r="FR212" s="946"/>
      <c r="FS212" s="946"/>
      <c r="FT212" s="222">
        <f>IF(FR212=0,0,(FS212-FR212)/FR212*100)</f>
        <v>0</v>
      </c>
      <c r="FU212" s="946"/>
      <c r="FV212" s="946"/>
      <c r="FW212" s="222">
        <f>IF(FU212=0,0,(FV212-FU212)/FU212*100)</f>
        <v>0</v>
      </c>
      <c r="FX212" s="219"/>
      <c r="FY212" s="219"/>
      <c r="FZ212" s="700" t="s">
        <v>1707</v>
      </c>
      <c r="GA212" s="700"/>
      <c r="GB212" s="700"/>
      <c r="GC212" s="701"/>
      <c r="GD212" s="701"/>
    </row>
    <row r="213" spans="1:186" ht="14.25" hidden="1" customHeight="1">
      <c r="A213" s="78"/>
      <c r="B213" s="622" t="b" cm="1">
        <f t="array" ref="B213">B212</f>
        <v>0</v>
      </c>
      <c r="C213" s="78"/>
      <c r="D213" s="78"/>
      <c r="E213" s="473">
        <v>15</v>
      </c>
      <c r="F213" s="3" t="str" cm="1">
        <f t="array" aca="1" ref="F213" ca="1">OFFSET(E213,-1,1)</f>
        <v>2</v>
      </c>
      <c r="G213" s="78"/>
      <c r="H213" s="78" t="s">
        <v>465</v>
      </c>
      <c r="I213" s="78"/>
      <c r="J213" s="78"/>
      <c r="K213" s="78"/>
      <c r="L213" s="78"/>
      <c r="M213" s="78"/>
      <c r="N213" s="78"/>
      <c r="O213" s="78"/>
      <c r="P213" s="78"/>
      <c r="Q213" s="78"/>
      <c r="R213" s="78"/>
      <c r="S213" s="78"/>
      <c r="T213" s="365" t="b" cm="1">
        <f t="array" aca="1" ref="T213" ca="1">T212</f>
        <v>1</v>
      </c>
      <c r="U213" s="78"/>
      <c r="V213" s="78"/>
      <c r="W213" s="78"/>
      <c r="X213" s="1094"/>
      <c r="Y213" s="78"/>
      <c r="Z213" s="1064"/>
      <c r="AA213" s="78"/>
      <c r="AB213" s="358" t="s">
        <v>1708</v>
      </c>
      <c r="AC213" s="28" t="s">
        <v>456</v>
      </c>
      <c r="AD213" s="629">
        <f ca="1">IF(AD211=0,0,AD212/AD211)*100</f>
        <v>99.999975035957121</v>
      </c>
      <c r="AE213" s="629">
        <f ca="1">IF(AE211=0,0,AE212/AE211)*100</f>
        <v>107.08698843584772</v>
      </c>
      <c r="AF213" s="732"/>
      <c r="AG213" s="629">
        <f ca="1">IF(AG211=0,0,AG212/AG211)*100</f>
        <v>0</v>
      </c>
      <c r="AH213" s="629">
        <f ca="1">IF(AH211=0,0,AH212/AH211)*100</f>
        <v>0</v>
      </c>
      <c r="AI213" s="732"/>
      <c r="AJ213" s="629">
        <f ca="1">IF(AJ211=0,0,AJ212/AJ211)*100</f>
        <v>0</v>
      </c>
      <c r="AK213" s="629">
        <f ca="1">IF(AK211=0,0,AK212/AK211)*100</f>
        <v>0</v>
      </c>
      <c r="AL213" s="732"/>
      <c r="AM213" s="629">
        <f ca="1">IF(AM211=0,0,AM212/AM211)*100</f>
        <v>0</v>
      </c>
      <c r="AN213" s="629">
        <f ca="1">IF(AN211=0,0,AN212/AN211)*100</f>
        <v>0</v>
      </c>
      <c r="AO213" s="732"/>
      <c r="AP213" s="629">
        <f ca="1">IF(AP211=0,0,AP212/AP211)*100</f>
        <v>0</v>
      </c>
      <c r="AQ213" s="629">
        <f ca="1">IF(AQ211=0,0,AQ212/AQ211)*100</f>
        <v>0</v>
      </c>
      <c r="AR213" s="732"/>
      <c r="AS213" s="629">
        <f ca="1">IF(AS211=0,0,AS212/AS211)*100</f>
        <v>0</v>
      </c>
      <c r="AT213" s="629">
        <f ca="1">IF(AT211=0,0,AT212/AT211)*100</f>
        <v>0</v>
      </c>
      <c r="AU213" s="732"/>
      <c r="AV213" s="629">
        <f ca="1">IF(AV211=0,0,AV212/AV211)*100</f>
        <v>0</v>
      </c>
      <c r="AW213" s="629">
        <f ca="1">IF(AW211=0,0,AW212/AW211)*100</f>
        <v>0</v>
      </c>
      <c r="AX213" s="732"/>
      <c r="AY213" s="629">
        <f ca="1">IF(AY211=0,0,AY212/AY211)*100</f>
        <v>0</v>
      </c>
      <c r="AZ213" s="629">
        <f ca="1">IF(AZ211=0,0,AZ212/AZ211)*100</f>
        <v>0</v>
      </c>
      <c r="BA213" s="732"/>
      <c r="BB213" s="629">
        <f ca="1">IF(BB211=0,0,BB212/BB211)*100</f>
        <v>0</v>
      </c>
      <c r="BC213" s="629">
        <f ca="1">IF(BC211=0,0,BC212/BC211)*100</f>
        <v>0</v>
      </c>
      <c r="BD213" s="732"/>
      <c r="BE213" s="629">
        <f ca="1">IF(BE211=0,0,BE212/BE211)*100</f>
        <v>0</v>
      </c>
      <c r="BF213" s="629">
        <f ca="1">IF(BF211=0,0,BF212/BF211)*100</f>
        <v>0</v>
      </c>
      <c r="BG213" s="732"/>
      <c r="BH213" s="629">
        <f>IF(BH211=0,0,BH212/BH211)*100</f>
        <v>0</v>
      </c>
      <c r="BI213" s="629">
        <f>IF(BI211=0,0,BI212/BI211)*100</f>
        <v>0</v>
      </c>
      <c r="BJ213" s="732"/>
      <c r="BK213" s="629">
        <f>IF(BK211=0,0,BK212/BK211)*100</f>
        <v>0</v>
      </c>
      <c r="BL213" s="629">
        <f>IF(BL211=0,0,BL212/BL211)*100</f>
        <v>0</v>
      </c>
      <c r="BM213" s="732"/>
      <c r="BN213" s="629">
        <f>IF(BN211=0,0,BN212/BN211)*100</f>
        <v>0</v>
      </c>
      <c r="BO213" s="629">
        <f>IF(BO211=0,0,BO212/BO211)*100</f>
        <v>0</v>
      </c>
      <c r="BP213" s="732"/>
      <c r="BQ213" s="629">
        <f>IF(BQ211=0,0,BQ212/BQ211)*100</f>
        <v>0</v>
      </c>
      <c r="BR213" s="629">
        <f>IF(BR211=0,0,BR212/BR211)*100</f>
        <v>0</v>
      </c>
      <c r="BS213" s="732"/>
      <c r="BT213" s="629">
        <f>IF(BT211=0,0,BT212/BT211)*100</f>
        <v>0</v>
      </c>
      <c r="BU213" s="629">
        <f>IF(BU211=0,0,BU212/BU211)*100</f>
        <v>0</v>
      </c>
      <c r="BV213" s="732"/>
      <c r="BW213" s="629">
        <f>IF(BW211=0,0,BW212/BW211)*100</f>
        <v>0</v>
      </c>
      <c r="BX213" s="629">
        <f>IF(BX211=0,0,BX212/BX211)*100</f>
        <v>0</v>
      </c>
      <c r="BY213" s="732"/>
      <c r="BZ213" s="629">
        <f>IF(BZ211=0,0,BZ212/BZ211)*100</f>
        <v>0</v>
      </c>
      <c r="CA213" s="629">
        <f>IF(CA211=0,0,CA212/CA211)*100</f>
        <v>0</v>
      </c>
      <c r="CB213" s="732"/>
      <c r="CC213" s="629">
        <f>IF(CC211=0,0,CC212/CC211)*100</f>
        <v>0</v>
      </c>
      <c r="CD213" s="629">
        <f>IF(CD211=0,0,CD212/CD211)*100</f>
        <v>0</v>
      </c>
      <c r="CE213" s="732"/>
      <c r="CF213" s="629">
        <f>IF(CF211=0,0,CF212/CF211)*100</f>
        <v>0</v>
      </c>
      <c r="CG213" s="629">
        <f>IF(CG211=0,0,CG212/CG211)*100</f>
        <v>0</v>
      </c>
      <c r="CH213" s="732"/>
      <c r="CI213" s="629">
        <f>IF(CI211=0,0,CI212/CI211)*100</f>
        <v>0</v>
      </c>
      <c r="CJ213" s="629">
        <f>IF(CJ211=0,0,CJ212/CJ211)*100</f>
        <v>0</v>
      </c>
      <c r="CK213" s="732"/>
      <c r="CL213" s="629">
        <f>IF(CL211=0,0,CL212/CL211)*100</f>
        <v>0</v>
      </c>
      <c r="CM213" s="629">
        <f>IF(CM211=0,0,CM212/CM211)*100</f>
        <v>0</v>
      </c>
      <c r="CN213" s="732"/>
      <c r="CO213" s="629">
        <f>IF(CO211=0,0,CO212/CO211)*100</f>
        <v>0</v>
      </c>
      <c r="CP213" s="629">
        <f>IF(CP211=0,0,CP212/CP211)*100</f>
        <v>0</v>
      </c>
      <c r="CQ213" s="732"/>
      <c r="CR213" s="629">
        <f>IF(CR211=0,0,CR212/CR211)*100</f>
        <v>0</v>
      </c>
      <c r="CS213" s="629">
        <f>IF(CS211=0,0,CS212/CS211)*100</f>
        <v>0</v>
      </c>
      <c r="CT213" s="732"/>
      <c r="CU213" s="629">
        <f>IF(CU211=0,0,CU212/CU211)*100</f>
        <v>0</v>
      </c>
      <c r="CV213" s="629">
        <f>IF(CV211=0,0,CV212/CV211)*100</f>
        <v>0</v>
      </c>
      <c r="CW213" s="732"/>
      <c r="CX213" s="629">
        <f>IF(CX211=0,0,CX212/CX211)*100</f>
        <v>0</v>
      </c>
      <c r="CY213" s="629">
        <f>IF(CY211=0,0,CY212/CY211)*100</f>
        <v>0</v>
      </c>
      <c r="CZ213" s="732"/>
      <c r="DA213" s="629">
        <f>IF(DA211=0,0,DA212/DA211)*100</f>
        <v>0</v>
      </c>
      <c r="DB213" s="629">
        <f>IF(DB211=0,0,DB212/DB211)*100</f>
        <v>0</v>
      </c>
      <c r="DC213" s="732"/>
      <c r="DD213" s="629">
        <f>IF(DD211=0,0,DD212/DD211)*100</f>
        <v>0</v>
      </c>
      <c r="DE213" s="629">
        <f>IF(DE211=0,0,DE212/DE211)*100</f>
        <v>0</v>
      </c>
      <c r="DF213" s="732"/>
      <c r="DG213" s="629">
        <f>IF(DG211=0,0,DG212/DG211)*100</f>
        <v>0</v>
      </c>
      <c r="DH213" s="629">
        <f>IF(DH211=0,0,DH212/DH211)*100</f>
        <v>0</v>
      </c>
      <c r="DI213" s="732"/>
      <c r="DJ213" s="629">
        <f>IF(DJ211=0,0,DJ212/DJ211)*100</f>
        <v>0</v>
      </c>
      <c r="DK213" s="629">
        <f>IF(DK211=0,0,DK212/DK211)*100</f>
        <v>0</v>
      </c>
      <c r="DL213" s="732"/>
      <c r="DM213" s="629">
        <f>IF(DM211=0,0,DM212/DM211)*100</f>
        <v>0</v>
      </c>
      <c r="DN213" s="629">
        <f>IF(DN211=0,0,DN212/DN211)*100</f>
        <v>0</v>
      </c>
      <c r="DO213" s="732"/>
      <c r="DP213" s="629">
        <f>IF(DP211=0,0,DP212/DP211)*100</f>
        <v>0</v>
      </c>
      <c r="DQ213" s="629">
        <f>IF(DQ211=0,0,DQ212/DQ211)*100</f>
        <v>0</v>
      </c>
      <c r="DR213" s="732"/>
      <c r="DS213" s="629">
        <f>IF(DS211=0,0,DS212/DS211)*100</f>
        <v>0</v>
      </c>
      <c r="DT213" s="629">
        <f>IF(DT211=0,0,DT212/DT211)*100</f>
        <v>0</v>
      </c>
      <c r="DU213" s="732"/>
      <c r="DV213" s="629">
        <f>IF(DV211=0,0,DV212/DV211)*100</f>
        <v>0</v>
      </c>
      <c r="DW213" s="629">
        <f>IF(DW211=0,0,DW212/DW211)*100</f>
        <v>0</v>
      </c>
      <c r="DX213" s="732"/>
      <c r="DY213" s="629">
        <f>IF(DY211=0,0,DY212/DY211)*100</f>
        <v>0</v>
      </c>
      <c r="DZ213" s="629">
        <f>IF(DZ211=0,0,DZ212/DZ211)*100</f>
        <v>0</v>
      </c>
      <c r="EA213" s="732"/>
      <c r="EB213" s="629">
        <f>IF(EB211=0,0,EB212/EB211)*100</f>
        <v>0</v>
      </c>
      <c r="EC213" s="629">
        <f>IF(EC211=0,0,EC212/EC211)*100</f>
        <v>0</v>
      </c>
      <c r="ED213" s="732"/>
      <c r="EE213" s="629">
        <f>IF(EE211=0,0,EE212/EE211)*100</f>
        <v>0</v>
      </c>
      <c r="EF213" s="629">
        <f>IF(EF211=0,0,EF212/EF211)*100</f>
        <v>0</v>
      </c>
      <c r="EG213" s="732"/>
      <c r="EH213" s="629">
        <f>IF(EH211=0,0,EH212/EH211)*100</f>
        <v>0</v>
      </c>
      <c r="EI213" s="629">
        <f>IF(EI211=0,0,EI212/EI211)*100</f>
        <v>0</v>
      </c>
      <c r="EJ213" s="732"/>
      <c r="EK213" s="629">
        <f>IF(EK211=0,0,EK212/EK211)*100</f>
        <v>0</v>
      </c>
      <c r="EL213" s="629">
        <f>IF(EL211=0,0,EL212/EL211)*100</f>
        <v>0</v>
      </c>
      <c r="EM213" s="732"/>
      <c r="EN213" s="629">
        <f>IF(EN211=0,0,EN212/EN211)*100</f>
        <v>0</v>
      </c>
      <c r="EO213" s="629">
        <f>IF(EO211=0,0,EO212/EO211)*100</f>
        <v>0</v>
      </c>
      <c r="EP213" s="732"/>
      <c r="EQ213" s="629">
        <f>IF(EQ211=0,0,EQ212/EQ211)*100</f>
        <v>0</v>
      </c>
      <c r="ER213" s="629">
        <f>IF(ER211=0,0,ER212/ER211)*100</f>
        <v>0</v>
      </c>
      <c r="ES213" s="732"/>
      <c r="ET213" s="629">
        <f>IF(ET211=0,0,ET212/ET211)*100</f>
        <v>0</v>
      </c>
      <c r="EU213" s="629">
        <f>IF(EU211=0,0,EU212/EU211)*100</f>
        <v>0</v>
      </c>
      <c r="EV213" s="732"/>
      <c r="EW213" s="629">
        <f>IF(EW211=0,0,EW212/EW211)*100</f>
        <v>0</v>
      </c>
      <c r="EX213" s="629">
        <f>IF(EX211=0,0,EX212/EX211)*100</f>
        <v>0</v>
      </c>
      <c r="EY213" s="732"/>
      <c r="EZ213" s="629">
        <f>IF(EZ211=0,0,EZ212/EZ211)*100</f>
        <v>0</v>
      </c>
      <c r="FA213" s="629">
        <f>IF(FA211=0,0,FA212/FA211)*100</f>
        <v>0</v>
      </c>
      <c r="FB213" s="732"/>
      <c r="FC213" s="629">
        <f>IF(FC211=0,0,FC212/FC211)*100</f>
        <v>0</v>
      </c>
      <c r="FD213" s="629">
        <f>IF(FD211=0,0,FD212/FD211)*100</f>
        <v>0</v>
      </c>
      <c r="FE213" s="732"/>
      <c r="FF213" s="629">
        <f>IF(FF211=0,0,FF212/FF211)*100</f>
        <v>0</v>
      </c>
      <c r="FG213" s="629">
        <f>IF(FG211=0,0,FG212/FG211)*100</f>
        <v>0</v>
      </c>
      <c r="FH213" s="732"/>
      <c r="FI213" s="629">
        <f>IF(FI211=0,0,FI212/FI211)*100</f>
        <v>0</v>
      </c>
      <c r="FJ213" s="629">
        <f>IF(FJ211=0,0,FJ212/FJ211)*100</f>
        <v>0</v>
      </c>
      <c r="FK213" s="732"/>
      <c r="FL213" s="629">
        <f>IF(FL211=0,0,FL212/FL211)*100</f>
        <v>0</v>
      </c>
      <c r="FM213" s="629">
        <f>IF(FM211=0,0,FM212/FM211)*100</f>
        <v>0</v>
      </c>
      <c r="FN213" s="732"/>
      <c r="FO213" s="629">
        <f>IF(FO211=0,0,FO212/FO211)*100</f>
        <v>0</v>
      </c>
      <c r="FP213" s="629">
        <f>IF(FP211=0,0,FP212/FP211)*100</f>
        <v>0</v>
      </c>
      <c r="FQ213" s="732"/>
      <c r="FR213" s="629">
        <f>IF(FR211=0,0,FR212/FR211)*100</f>
        <v>0</v>
      </c>
      <c r="FS213" s="629">
        <f>IF(FS211=0,0,FS212/FS211)*100</f>
        <v>0</v>
      </c>
      <c r="FT213" s="732"/>
      <c r="FU213" s="629">
        <f>IF(FU211=0,0,FU212/FU211)*100</f>
        <v>0</v>
      </c>
      <c r="FV213" s="629">
        <f>IF(FV211=0,0,FV212/FV211)*100</f>
        <v>0</v>
      </c>
      <c r="FW213" s="733"/>
      <c r="FX213" s="219"/>
      <c r="FZ213" s="700" t="s">
        <v>1709</v>
      </c>
    </row>
    <row r="214" spans="1:186" ht="14.25" hidden="1" customHeight="1">
      <c r="A214" s="78"/>
      <c r="B214" s="622" t="b" cm="1">
        <f t="array" ref="B214">B213</f>
        <v>0</v>
      </c>
      <c r="C214" s="78"/>
      <c r="D214" s="78"/>
      <c r="E214" s="473">
        <v>15</v>
      </c>
      <c r="F214" s="3" t="str" cm="1">
        <f t="array" aca="1" ref="F214" ca="1">OFFSET(E214,-1,1)</f>
        <v>2</v>
      </c>
      <c r="G214" s="44" t="s">
        <v>1633</v>
      </c>
      <c r="H214" s="78"/>
      <c r="I214" s="78"/>
      <c r="J214" s="78"/>
      <c r="K214" s="78"/>
      <c r="L214" s="78"/>
      <c r="M214" s="78"/>
      <c r="N214" s="78"/>
      <c r="O214" s="78"/>
      <c r="P214" s="78"/>
      <c r="Q214" s="78"/>
      <c r="R214" s="78"/>
      <c r="S214" s="78"/>
      <c r="T214" s="365" t="b" cm="1">
        <f t="array" aca="1" ref="T214" ca="1">T213</f>
        <v>1</v>
      </c>
      <c r="U214" s="78"/>
      <c r="V214" s="78"/>
      <c r="W214" s="78"/>
      <c r="X214" s="1094"/>
      <c r="Y214" s="78"/>
      <c r="Z214" s="1064"/>
      <c r="AA214" s="78"/>
      <c r="AB214" s="73" t="s">
        <v>1634</v>
      </c>
      <c r="AC214" s="31" t="s">
        <v>534</v>
      </c>
      <c r="AD214" s="849">
        <f ca="1">IF(AND(method_reg="Метод индексации",god&lt;&gt;first_year),SUMIFS(INDEX('Калькуляция (МИ корр)'!$AJ$25:$BC$459,,MATCH(AD$8,'Калькуляция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(МИ)'!$AJ$25:$BC$459,,MATCH(AD$8,'Калькуляция (МИ)'!$AJ$8:$BC$8,0)),'Калькуляция (МИ)'!$F$25:$F$459,$F214,'Калькуляция (МИ)'!$G$25:$G$459,$G214))))</f>
        <v>938.9369999999999</v>
      </c>
      <c r="AE214" s="849">
        <f ca="1">IF(AND(method_reg="Метод индексации",god&lt;&gt;first_year),SUMIFS(INDEX('Калькуляция (МИ корр)'!$AJ$25:$BC$459,,MATCH(AE$8,'Калькуляция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(МИ)'!$AJ$25:$BC$459,,MATCH(AE$8,'Калькуляция (МИ)'!$AJ$8:$BC$8,0)),'Калькуляция (МИ)'!$F$25:$F$459,$F214,'Калькуляция (МИ)'!$G$25:$G$459,$G214))))</f>
        <v>948.16300000000001</v>
      </c>
      <c r="AF214" s="724">
        <f ca="1">IF(AD214=0,0,(AE214-AD214)/AD214*100)</f>
        <v>0.98260053656423307</v>
      </c>
      <c r="AG214" s="849">
        <f ca="1">IF(AND(method_reg="Метод индексации",god&lt;&gt;first_year),SUMIFS(INDEX('Калькуляция (МИ корр)'!$AJ$25:$BC$459,,MATCH(AG$8,'Калькуляция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(МИ)'!$AJ$25:$BC$459,,MATCH(AG$8,'Калькуляция (МИ)'!$AJ$8:$BC$8,0)),'Калькуляция (МИ)'!$F$25:$F$459,$F214,'Калькуляция (МИ)'!$G$25:$G$459,$G214))))</f>
        <v>0</v>
      </c>
      <c r="AH214" s="849">
        <f ca="1">IF(AND(method_reg="Метод индексации",god&lt;&gt;first_year),SUMIFS(INDEX('Калькуляция (МИ корр)'!$AJ$25:$BC$459,,MATCH(AH$8,'Калькуляция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(МИ)'!$AJ$25:$BC$459,,MATCH(AH$8,'Калькуляция (МИ)'!$AJ$8:$BC$8,0)),'Калькуляция (МИ)'!$F$25:$F$459,$F214,'Калькуляция (МИ)'!$G$25:$G$459,$G214))))</f>
        <v>0</v>
      </c>
      <c r="AI214" s="724">
        <f ca="1">IF(AG214=0,0,(AH214-AG214)/AG214*100)</f>
        <v>0</v>
      </c>
      <c r="AJ214" s="849">
        <f ca="1">IF(AND(method_reg="Метод индексации",god&lt;&gt;first_year),SUMIFS(INDEX('Калькуляция (МИ корр)'!$AJ$25:$BC$459,,MATCH(AJ$8,'Калькуляция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(МИ)'!$AJ$25:$BC$459,,MATCH(AJ$8,'Калькуляция (МИ)'!$AJ$8:$BC$8,0)),'Калькуляция (МИ)'!$F$25:$F$459,$F214,'Калькуляция (МИ)'!$G$25:$G$459,$G214))))</f>
        <v>0</v>
      </c>
      <c r="AK214" s="849">
        <f ca="1">IF(AND(method_reg="Метод индексации",god&lt;&gt;first_year),SUMIFS(INDEX('Калькуляция (МИ корр)'!$AJ$25:$BC$459,,MATCH(AK$8,'Калькуляция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(МИ)'!$AJ$25:$BC$459,,MATCH(AK$8,'Калькуляция (МИ)'!$AJ$8:$BC$8,0)),'Калькуляция (МИ)'!$F$25:$F$459,$F214,'Калькуляция (МИ)'!$G$25:$G$459,$G214))))</f>
        <v>0</v>
      </c>
      <c r="AL214" s="724">
        <f ca="1">IF(AJ214=0,0,(AK214-AJ214)/AJ214*100)</f>
        <v>0</v>
      </c>
      <c r="AM214" s="849">
        <f ca="1">IF(AND(method_reg="Метод индексации",god&lt;&gt;first_year),SUMIFS(INDEX('Калькуляция (МИ корр)'!$AJ$25:$BC$459,,MATCH(AM$8,'Калькуляция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(МИ)'!$AJ$25:$BC$459,,MATCH(AM$8,'Калькуляция (МИ)'!$AJ$8:$BC$8,0)),'Калькуляция (МИ)'!$F$25:$F$459,$F214,'Калькуляция (МИ)'!$G$25:$G$459,$G214))))</f>
        <v>0</v>
      </c>
      <c r="AN214" s="849">
        <f ca="1">IF(AND(method_reg="Метод индексации",god&lt;&gt;first_year),SUMIFS(INDEX('Калькуляция (МИ корр)'!$AJ$25:$BC$459,,MATCH(AN$8,'Калькуляция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(МИ)'!$AJ$25:$BC$459,,MATCH(AN$8,'Калькуляция (МИ)'!$AJ$8:$BC$8,0)),'Калькуляция (МИ)'!$F$25:$F$459,$F214,'Калькуляция (МИ)'!$G$25:$G$459,$G214))))</f>
        <v>0</v>
      </c>
      <c r="AO214" s="724">
        <f ca="1">IF(AM214=0,0,(AN214-AM214)/AM214*100)</f>
        <v>0</v>
      </c>
      <c r="AP214" s="849">
        <f ca="1">IF(AND(method_reg="Метод индексации",god&lt;&gt;first_year),SUMIFS(INDEX('Калькуляция (МИ корр)'!$AJ$25:$BC$459,,MATCH(AP$8,'Калькуляция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(МИ)'!$AJ$25:$BC$459,,MATCH(AP$8,'Калькуляция (МИ)'!$AJ$8:$BC$8,0)),'Калькуляция (МИ)'!$F$25:$F$459,$F214,'Калькуляция (МИ)'!$G$25:$G$459,$G214))))</f>
        <v>0</v>
      </c>
      <c r="AQ214" s="849">
        <f ca="1">IF(AND(method_reg="Метод индексации",god&lt;&gt;first_year),SUMIFS(INDEX('Калькуляция (МИ корр)'!$AJ$25:$BC$459,,MATCH(AQ$8,'Калькуляция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(МИ)'!$AJ$25:$BC$459,,MATCH(AQ$8,'Калькуляция (МИ)'!$AJ$8:$BC$8,0)),'Калькуляция (МИ)'!$F$25:$F$459,$F214,'Калькуляция (МИ)'!$G$25:$G$459,$G214))))</f>
        <v>0</v>
      </c>
      <c r="AR214" s="724">
        <f ca="1">IF(AP214=0,0,(AQ214-AP214)/AP214*100)</f>
        <v>0</v>
      </c>
      <c r="AS214" s="849">
        <f ca="1">IF(AND(method_reg="Метод индексации",god&lt;&gt;first_year),SUMIFS(INDEX('Калькуляция (МИ корр)'!$AJ$25:$BC$459,,MATCH(AS$8,'Калькуляция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(МИ)'!$AJ$25:$BC$459,,MATCH(AS$8,'Калькуляция (МИ)'!$AJ$8:$BC$8,0)),'Калькуляция (МИ)'!$F$25:$F$459,$F214,'Калькуляция (МИ)'!$G$25:$G$459,$G214))))</f>
        <v>0</v>
      </c>
      <c r="AT214" s="849">
        <f ca="1">IF(AND(method_reg="Метод индексации",god&lt;&gt;first_year),SUMIFS(INDEX('Калькуляция (МИ корр)'!$AJ$25:$BC$459,,MATCH(AT$8,'Калькуляция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(МИ)'!$AJ$25:$BC$459,,MATCH(AT$8,'Калькуляция (МИ)'!$AJ$8:$BC$8,0)),'Калькуляция (МИ)'!$F$25:$F$459,$F214,'Калькуляция (МИ)'!$G$25:$G$459,$G214))))</f>
        <v>0</v>
      </c>
      <c r="AU214" s="724">
        <f ca="1">IF(AS214=0,0,(AT214-AS214)/AS214*100)</f>
        <v>0</v>
      </c>
      <c r="AV214" s="849">
        <f ca="1">IF(AND(method_reg="Метод индексации",god&lt;&gt;first_year),SUMIFS(INDEX('Калькуляция (МИ корр)'!$AJ$25:$BC$459,,MATCH(AV$8,'Калькуляция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(МИ)'!$AJ$25:$BC$459,,MATCH(AV$8,'Калькуляция (МИ)'!$AJ$8:$BC$8,0)),'Калькуляция (МИ)'!$F$25:$F$459,$F214,'Калькуляция (МИ)'!$G$25:$G$459,$G214))))</f>
        <v>0</v>
      </c>
      <c r="AW214" s="849">
        <f ca="1">IF(AND(method_reg="Метод индексации",god&lt;&gt;first_year),SUMIFS(INDEX('Калькуляция (МИ корр)'!$AJ$25:$BC$459,,MATCH(AW$8,'Калькуляция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(МИ)'!$AJ$25:$BC$459,,MATCH(AW$8,'Калькуляция (МИ)'!$AJ$8:$BC$8,0)),'Калькуляция (МИ)'!$F$25:$F$459,$F214,'Калькуляция (МИ)'!$G$25:$G$459,$G214))))</f>
        <v>0</v>
      </c>
      <c r="AX214" s="724">
        <f ca="1">IF(AV214=0,0,(AW214-AV214)/AV214*100)</f>
        <v>0</v>
      </c>
      <c r="AY214" s="849">
        <f ca="1">IF(AND(method_reg="Метод индексации",god&lt;&gt;first_year),SUMIFS(INDEX('Калькуляция (МИ корр)'!$AJ$25:$BC$459,,MATCH(AY$8,'Калькуляция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(МИ)'!$AJ$25:$BC$459,,MATCH(AY$8,'Калькуляция (МИ)'!$AJ$8:$BC$8,0)),'Калькуляция (МИ)'!$F$25:$F$459,$F214,'Калькуляция (МИ)'!$G$25:$G$459,$G214))))</f>
        <v>0</v>
      </c>
      <c r="AZ214" s="849">
        <f ca="1">IF(AND(method_reg="Метод индексации",god&lt;&gt;first_year),SUMIFS(INDEX('Калькуляция (МИ корр)'!$AJ$25:$BC$459,,MATCH(AZ$8,'Калькуляция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(МИ)'!$AJ$25:$BC$459,,MATCH(AZ$8,'Калькуляция (МИ)'!$AJ$8:$BC$8,0)),'Калькуляция (МИ)'!$F$25:$F$459,$F214,'Калькуляция (МИ)'!$G$25:$G$459,$G214))))</f>
        <v>0</v>
      </c>
      <c r="BA214" s="724">
        <f ca="1">IF(AY214=0,0,(AZ214-AY214)/AY214*100)</f>
        <v>0</v>
      </c>
      <c r="BB214" s="849">
        <f ca="1">IF(AND(method_reg="Метод индексации",god&lt;&gt;first_year),SUMIFS(INDEX('Калькуляция (МИ корр)'!$AJ$25:$BC$459,,MATCH(BB$8,'Калькуляция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(МИ)'!$AJ$25:$BC$459,,MATCH(BB$8,'Калькуляция (МИ)'!$AJ$8:$BC$8,0)),'Калькуляция (МИ)'!$F$25:$F$459,$F214,'Калькуляция (МИ)'!$G$25:$G$459,$G214))))</f>
        <v>0</v>
      </c>
      <c r="BC214" s="849">
        <f ca="1">IF(AND(method_reg="Метод индексации",god&lt;&gt;first_year),SUMIFS(INDEX('Калькуляция (МИ корр)'!$AJ$25:$BC$459,,MATCH(BC$8,'Калькуляция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(МИ)'!$AJ$25:$BC$459,,MATCH(BC$8,'Калькуляция (МИ)'!$AJ$8:$BC$8,0)),'Калькуляция (МИ)'!$F$25:$F$459,$F214,'Калькуляция (МИ)'!$G$25:$G$459,$G214))))</f>
        <v>0</v>
      </c>
      <c r="BD214" s="724">
        <f ca="1">IF(BB214=0,0,(BC214-BB214)/BB214*100)</f>
        <v>0</v>
      </c>
      <c r="BE214" s="849">
        <f ca="1">IF(AND(method_reg="Метод индексации",god&lt;&gt;first_year),SUMIFS(INDEX('Калькуляция (МИ корр)'!$AJ$25:$BC$459,,MATCH(BE$8,'Калькуляция (МИ корр)'!$AJ$8:$BC$8,0)),'Калькуляция (МИ корр)'!$F$25:$F$459,$F214,'Калькуляция (МИ корр)'!$G$25:$G$459,$G214),IF(method_reg="Метод экономически обоснованных расходов",SUMIFS('Калькуляция (МЭОР)'!$AJ$25:$AJ$282,'Калькуляция (МЭОР)'!$F$25:$F$282,$F214,'Калькуляция (МЭОР)'!$G$25:$G$282,$G214),IF(method_reg="Метод сравнения аналогов",SUMIFS('Калькуляция (МСА)'!$AE$25:$AE$84,'Калькуляция (МСА)'!$F$25:$F$84,$F214,'Калькуляция (МСА)'!$G$25:$G$84,$G214),SUMIFS(INDEX('Калькуляция (МИ)'!$AJ$25:$BC$459,,MATCH(BE$8,'Калькуляция (МИ)'!$AJ$8:$BC$8,0)),'Калькуляция (МИ)'!$F$25:$F$459,$F214,'Калькуляция (МИ)'!$G$25:$G$459,$G214))))</f>
        <v>0</v>
      </c>
      <c r="BF214" s="849">
        <f ca="1">IF(AND(method_reg="Метод индексации",god&lt;&gt;first_year),SUMIFS(INDEX('Калькуляция (МИ корр)'!$AJ$25:$BC$459,,MATCH(BF$8,'Калькуляция (МИ корр)'!$AJ$8:$BC$8,0)),'Калькуляция (МИ корр)'!$F$25:$F$459,$F214,'Калькуляция (МИ корр)'!$G$25:$G$459,$G214),IF(method_reg="Метод экономически обоснованных расходов",SUMIFS('Калькуляция (МЭОР)'!$AK$25:$AK$282,'Калькуляция (МЭОР)'!$F$25:$F$282,$F214,'Калькуляция (МЭОР)'!$G$25:$G$282,$G214),IF(method_reg="Метод сравнения аналогов",SUMIFS('Калькуляция (МСА)'!$AF$25:$AF$84,'Калькуляция (МСА)'!$F$25:$F$84,$F214,'Калькуляция (МСА)'!$G$25:$G$84,$G214),SUMIFS(INDEX('Калькуляция (МИ)'!$AJ$25:$BC$459,,MATCH(BF$8,'Калькуляция (МИ)'!$AJ$8:$BC$8,0)),'Калькуляция (МИ)'!$F$25:$F$459,$F214,'Калькуляция (МИ)'!$G$25:$G$459,$G214))))</f>
        <v>0</v>
      </c>
      <c r="BG214" s="724">
        <f ca="1">IF(BE214=0,0,(BF214-BE214)/BE214*100)</f>
        <v>0</v>
      </c>
      <c r="BH214" s="849"/>
      <c r="BI214" s="849"/>
      <c r="BJ214" s="724">
        <f>IF(BH214=0,0,(BI214-BH214)/BH214*100)</f>
        <v>0</v>
      </c>
      <c r="BK214" s="849"/>
      <c r="BL214" s="849"/>
      <c r="BM214" s="724">
        <f>IF(BK214=0,0,(BL214-BK214)/BK214*100)</f>
        <v>0</v>
      </c>
      <c r="BN214" s="849"/>
      <c r="BO214" s="849"/>
      <c r="BP214" s="724">
        <f>IF(BN214=0,0,(BO214-BN214)/BN214*100)</f>
        <v>0</v>
      </c>
      <c r="BQ214" s="849"/>
      <c r="BR214" s="849"/>
      <c r="BS214" s="724">
        <f>IF(BQ214=0,0,(BR214-BQ214)/BQ214*100)</f>
        <v>0</v>
      </c>
      <c r="BT214" s="849"/>
      <c r="BU214" s="849"/>
      <c r="BV214" s="724">
        <f>IF(BT214=0,0,(BU214-BT214)/BT214*100)</f>
        <v>0</v>
      </c>
      <c r="BW214" s="849"/>
      <c r="BX214" s="849"/>
      <c r="BY214" s="724">
        <f>IF(BW214=0,0,(BX214-BW214)/BW214*100)</f>
        <v>0</v>
      </c>
      <c r="BZ214" s="849"/>
      <c r="CA214" s="849"/>
      <c r="CB214" s="724">
        <f>IF(BZ214=0,0,(CA214-BZ214)/BZ214*100)</f>
        <v>0</v>
      </c>
      <c r="CC214" s="849"/>
      <c r="CD214" s="849"/>
      <c r="CE214" s="724">
        <f>IF(CC214=0,0,(CD214-CC214)/CC214*100)</f>
        <v>0</v>
      </c>
      <c r="CF214" s="849"/>
      <c r="CG214" s="849"/>
      <c r="CH214" s="724">
        <f>IF(CF214=0,0,(CG214-CF214)/CF214*100)</f>
        <v>0</v>
      </c>
      <c r="CI214" s="849"/>
      <c r="CJ214" s="849"/>
      <c r="CK214" s="724">
        <f>IF(CI214=0,0,(CJ214-CI214)/CI214*100)</f>
        <v>0</v>
      </c>
      <c r="CL214" s="849"/>
      <c r="CM214" s="849"/>
      <c r="CN214" s="724">
        <f>IF(CL214=0,0,(CM214-CL214)/CL214*100)</f>
        <v>0</v>
      </c>
      <c r="CO214" s="849"/>
      <c r="CP214" s="849"/>
      <c r="CQ214" s="724">
        <f>IF(CO214=0,0,(CP214-CO214)/CO214*100)</f>
        <v>0</v>
      </c>
      <c r="CR214" s="849"/>
      <c r="CS214" s="849"/>
      <c r="CT214" s="724">
        <f>IF(CR214=0,0,(CS214-CR214)/CR214*100)</f>
        <v>0</v>
      </c>
      <c r="CU214" s="849"/>
      <c r="CV214" s="849"/>
      <c r="CW214" s="724">
        <f>IF(CU214=0,0,(CV214-CU214)/CU214*100)</f>
        <v>0</v>
      </c>
      <c r="CX214" s="849"/>
      <c r="CY214" s="849"/>
      <c r="CZ214" s="724">
        <f>IF(CX214=0,0,(CY214-CX214)/CX214*100)</f>
        <v>0</v>
      </c>
      <c r="DA214" s="849"/>
      <c r="DB214" s="849"/>
      <c r="DC214" s="724">
        <f>IF(DA214=0,0,(DB214-DA214)/DA214*100)</f>
        <v>0</v>
      </c>
      <c r="DD214" s="849"/>
      <c r="DE214" s="849"/>
      <c r="DF214" s="724">
        <f>IF(DD214=0,0,(DE214-DD214)/DD214*100)</f>
        <v>0</v>
      </c>
      <c r="DG214" s="849"/>
      <c r="DH214" s="849"/>
      <c r="DI214" s="724">
        <f>IF(DG214=0,0,(DH214-DG214)/DG214*100)</f>
        <v>0</v>
      </c>
      <c r="DJ214" s="849"/>
      <c r="DK214" s="849"/>
      <c r="DL214" s="724">
        <f>IF(DJ214=0,0,(DK214-DJ214)/DJ214*100)</f>
        <v>0</v>
      </c>
      <c r="DM214" s="849"/>
      <c r="DN214" s="849"/>
      <c r="DO214" s="724">
        <f>IF(DM214=0,0,(DN214-DM214)/DM214*100)</f>
        <v>0</v>
      </c>
      <c r="DP214" s="849"/>
      <c r="DQ214" s="849"/>
      <c r="DR214" s="724">
        <f>IF(DP214=0,0,(DQ214-DP214)/DP214*100)</f>
        <v>0</v>
      </c>
      <c r="DS214" s="849"/>
      <c r="DT214" s="849"/>
      <c r="DU214" s="724">
        <f>IF(DS214=0,0,(DT214-DS214)/DS214*100)</f>
        <v>0</v>
      </c>
      <c r="DV214" s="849"/>
      <c r="DW214" s="849"/>
      <c r="DX214" s="724">
        <f>IF(DV214=0,0,(DW214-DV214)/DV214*100)</f>
        <v>0</v>
      </c>
      <c r="DY214" s="849"/>
      <c r="DZ214" s="849"/>
      <c r="EA214" s="724">
        <f>IF(DY214=0,0,(DZ214-DY214)/DY214*100)</f>
        <v>0</v>
      </c>
      <c r="EB214" s="849"/>
      <c r="EC214" s="849"/>
      <c r="ED214" s="724">
        <f>IF(EB214=0,0,(EC214-EB214)/EB214*100)</f>
        <v>0</v>
      </c>
      <c r="EE214" s="849"/>
      <c r="EF214" s="849"/>
      <c r="EG214" s="724">
        <f>IF(EE214=0,0,(EF214-EE214)/EE214*100)</f>
        <v>0</v>
      </c>
      <c r="EH214" s="849"/>
      <c r="EI214" s="849"/>
      <c r="EJ214" s="724">
        <f>IF(EH214=0,0,(EI214-EH214)/EH214*100)</f>
        <v>0</v>
      </c>
      <c r="EK214" s="849"/>
      <c r="EL214" s="849"/>
      <c r="EM214" s="724">
        <f>IF(EK214=0,0,(EL214-EK214)/EK214*100)</f>
        <v>0</v>
      </c>
      <c r="EN214" s="849"/>
      <c r="EO214" s="849"/>
      <c r="EP214" s="724">
        <f>IF(EN214=0,0,(EO214-EN214)/EN214*100)</f>
        <v>0</v>
      </c>
      <c r="EQ214" s="849"/>
      <c r="ER214" s="849"/>
      <c r="ES214" s="724">
        <f>IF(EQ214=0,0,(ER214-EQ214)/EQ214*100)</f>
        <v>0</v>
      </c>
      <c r="ET214" s="849"/>
      <c r="EU214" s="849"/>
      <c r="EV214" s="724">
        <f>IF(ET214=0,0,(EU214-ET214)/ET214*100)</f>
        <v>0</v>
      </c>
      <c r="EW214" s="849"/>
      <c r="EX214" s="849"/>
      <c r="EY214" s="724">
        <f>IF(EW214=0,0,(EX214-EW214)/EW214*100)</f>
        <v>0</v>
      </c>
      <c r="EZ214" s="849"/>
      <c r="FA214" s="849"/>
      <c r="FB214" s="724">
        <f>IF(EZ214=0,0,(FA214-EZ214)/EZ214*100)</f>
        <v>0</v>
      </c>
      <c r="FC214" s="849"/>
      <c r="FD214" s="849"/>
      <c r="FE214" s="724">
        <f>IF(FC214=0,0,(FD214-FC214)/FC214*100)</f>
        <v>0</v>
      </c>
      <c r="FF214" s="849"/>
      <c r="FG214" s="849"/>
      <c r="FH214" s="724">
        <f>IF(FF214=0,0,(FG214-FF214)/FF214*100)</f>
        <v>0</v>
      </c>
      <c r="FI214" s="849"/>
      <c r="FJ214" s="849"/>
      <c r="FK214" s="724">
        <f>IF(FI214=0,0,(FJ214-FI214)/FI214*100)</f>
        <v>0</v>
      </c>
      <c r="FL214" s="849"/>
      <c r="FM214" s="849"/>
      <c r="FN214" s="724">
        <f>IF(FL214=0,0,(FM214-FL214)/FL214*100)</f>
        <v>0</v>
      </c>
      <c r="FO214" s="849"/>
      <c r="FP214" s="849"/>
      <c r="FQ214" s="724">
        <f>IF(FO214=0,0,(FP214-FO214)/FO214*100)</f>
        <v>0</v>
      </c>
      <c r="FR214" s="849"/>
      <c r="FS214" s="849"/>
      <c r="FT214" s="724">
        <f>IF(FR214=0,0,(FS214-FR214)/FR214*100)</f>
        <v>0</v>
      </c>
      <c r="FU214" s="849"/>
      <c r="FV214" s="849"/>
      <c r="FW214" s="724">
        <f>IF(FU214=0,0,(FV214-FU214)/FU214*100)</f>
        <v>0</v>
      </c>
      <c r="FX214" s="219"/>
      <c r="FZ214" s="700" t="s">
        <v>1710</v>
      </c>
    </row>
    <row r="215" spans="1:186" ht="18" hidden="1" customHeight="1">
      <c r="A215" s="78"/>
      <c r="B215" s="622" t="b" cm="1">
        <f t="array" ref="B215">B214</f>
        <v>0</v>
      </c>
      <c r="C215" s="78"/>
      <c r="D215" s="78"/>
      <c r="E215" s="473">
        <v>18.75</v>
      </c>
      <c r="F215" s="3" t="str" cm="1">
        <f t="array" aca="1" ref="F215" ca="1">OFFSET(E215,-1,1)</f>
        <v>2</v>
      </c>
      <c r="G215" s="78"/>
      <c r="H215" s="78" t="s">
        <v>461</v>
      </c>
      <c r="I215" s="78" cm="1">
        <f t="array" ref="I215">AB215</f>
        <v>0</v>
      </c>
      <c r="J215" s="78"/>
      <c r="K215" s="78"/>
      <c r="L215" s="78"/>
      <c r="M215" s="78"/>
      <c r="N215" s="78"/>
      <c r="O215" s="78"/>
      <c r="P215" s="78"/>
      <c r="Q215" s="78"/>
      <c r="R215" s="78"/>
      <c r="S215" s="78"/>
      <c r="T215" s="365" t="b">
        <f ca="1">AND(F215&gt;0,Y215&gt;0)</f>
        <v>0</v>
      </c>
      <c r="U215" s="78"/>
      <c r="V215" s="78"/>
      <c r="W215" s="78" t="s">
        <v>173</v>
      </c>
      <c r="X215" s="1094"/>
      <c r="Y215" s="78">
        <v>0</v>
      </c>
      <c r="Z215" s="1064"/>
      <c r="AA215" s="493" t="s">
        <v>174</v>
      </c>
      <c r="AB215" s="875"/>
      <c r="AC215" s="31" t="s">
        <v>1624</v>
      </c>
      <c r="AD215" s="833"/>
      <c r="AE215" s="945"/>
      <c r="AF215" s="723">
        <f>IF(AD215=0,0,(AE215-AD215)/AD215*100)</f>
        <v>0</v>
      </c>
      <c r="AG215" s="945"/>
      <c r="AH215" s="945"/>
      <c r="AI215" s="723">
        <f>IF(AG215=0,0,(AH215-AG215)/AG215*100)</f>
        <v>0</v>
      </c>
      <c r="AJ215" s="945"/>
      <c r="AK215" s="945"/>
      <c r="AL215" s="723">
        <f>IF(AJ215=0,0,(AK215-AJ215)/AJ215*100)</f>
        <v>0</v>
      </c>
      <c r="AM215" s="945"/>
      <c r="AN215" s="945"/>
      <c r="AO215" s="723">
        <f>IF(AM215=0,0,(AN215-AM215)/AM215*100)</f>
        <v>0</v>
      </c>
      <c r="AP215" s="945"/>
      <c r="AQ215" s="945"/>
      <c r="AR215" s="723">
        <f>IF(AP215=0,0,(AQ215-AP215)/AP215*100)</f>
        <v>0</v>
      </c>
      <c r="AS215" s="945"/>
      <c r="AT215" s="945"/>
      <c r="AU215" s="723">
        <f>IF(AS215=0,0,(AT215-AS215)/AS215*100)</f>
        <v>0</v>
      </c>
      <c r="AV215" s="945"/>
      <c r="AW215" s="945"/>
      <c r="AX215" s="723">
        <f>IF(AV215=0,0,(AW215-AV215)/AV215*100)</f>
        <v>0</v>
      </c>
      <c r="AY215" s="945"/>
      <c r="AZ215" s="945"/>
      <c r="BA215" s="723">
        <f>IF(AY215=0,0,(AZ215-AY215)/AY215*100)</f>
        <v>0</v>
      </c>
      <c r="BB215" s="945"/>
      <c r="BC215" s="945"/>
      <c r="BD215" s="723">
        <f>IF(BB215=0,0,(BC215-BB215)/BB215*100)</f>
        <v>0</v>
      </c>
      <c r="BE215" s="945"/>
      <c r="BF215" s="945"/>
      <c r="BG215" s="723">
        <f>IF(BE215=0,0,(BF215-BE215)/BE215*100)</f>
        <v>0</v>
      </c>
      <c r="BH215" s="945"/>
      <c r="BI215" s="945"/>
      <c r="BJ215" s="723">
        <f>IF(BH215=0,0,(BI215-BH215)/BH215*100)</f>
        <v>0</v>
      </c>
      <c r="BK215" s="945"/>
      <c r="BL215" s="945"/>
      <c r="BM215" s="723">
        <f>IF(BK215=0,0,(BL215-BK215)/BK215*100)</f>
        <v>0</v>
      </c>
      <c r="BN215" s="945"/>
      <c r="BO215" s="945"/>
      <c r="BP215" s="723">
        <f>IF(BN215=0,0,(BO215-BN215)/BN215*100)</f>
        <v>0</v>
      </c>
      <c r="BQ215" s="945"/>
      <c r="BR215" s="945"/>
      <c r="BS215" s="723">
        <f>IF(BQ215=0,0,(BR215-BQ215)/BQ215*100)</f>
        <v>0</v>
      </c>
      <c r="BT215" s="945"/>
      <c r="BU215" s="945"/>
      <c r="BV215" s="723">
        <f>IF(BT215=0,0,(BU215-BT215)/BT215*100)</f>
        <v>0</v>
      </c>
      <c r="BW215" s="945"/>
      <c r="BX215" s="945"/>
      <c r="BY215" s="723">
        <f>IF(BW215=0,0,(BX215-BW215)/BW215*100)</f>
        <v>0</v>
      </c>
      <c r="BZ215" s="945"/>
      <c r="CA215" s="945"/>
      <c r="CB215" s="723">
        <f>IF(BZ215=0,0,(CA215-BZ215)/BZ215*100)</f>
        <v>0</v>
      </c>
      <c r="CC215" s="945"/>
      <c r="CD215" s="945"/>
      <c r="CE215" s="723">
        <f>IF(CC215=0,0,(CD215-CC215)/CC215*100)</f>
        <v>0</v>
      </c>
      <c r="CF215" s="945"/>
      <c r="CG215" s="945"/>
      <c r="CH215" s="723">
        <f>IF(CF215=0,0,(CG215-CF215)/CF215*100)</f>
        <v>0</v>
      </c>
      <c r="CI215" s="945"/>
      <c r="CJ215" s="945"/>
      <c r="CK215" s="723">
        <f>IF(CI215=0,0,(CJ215-CI215)/CI215*100)</f>
        <v>0</v>
      </c>
      <c r="CL215" s="945"/>
      <c r="CM215" s="945"/>
      <c r="CN215" s="723">
        <f>IF(CL215=0,0,(CM215-CL215)/CL215*100)</f>
        <v>0</v>
      </c>
      <c r="CO215" s="945"/>
      <c r="CP215" s="945"/>
      <c r="CQ215" s="723">
        <f>IF(CO215=0,0,(CP215-CO215)/CO215*100)</f>
        <v>0</v>
      </c>
      <c r="CR215" s="945"/>
      <c r="CS215" s="945"/>
      <c r="CT215" s="723">
        <f>IF(CR215=0,0,(CS215-CR215)/CR215*100)</f>
        <v>0</v>
      </c>
      <c r="CU215" s="945"/>
      <c r="CV215" s="945"/>
      <c r="CW215" s="723">
        <f>IF(CU215=0,0,(CV215-CU215)/CU215*100)</f>
        <v>0</v>
      </c>
      <c r="CX215" s="945"/>
      <c r="CY215" s="945"/>
      <c r="CZ215" s="723">
        <f>IF(CX215=0,0,(CY215-CX215)/CX215*100)</f>
        <v>0</v>
      </c>
      <c r="DA215" s="945"/>
      <c r="DB215" s="945"/>
      <c r="DC215" s="723">
        <f>IF(DA215=0,0,(DB215-DA215)/DA215*100)</f>
        <v>0</v>
      </c>
      <c r="DD215" s="945"/>
      <c r="DE215" s="945"/>
      <c r="DF215" s="723">
        <f>IF(DD215=0,0,(DE215-DD215)/DD215*100)</f>
        <v>0</v>
      </c>
      <c r="DG215" s="945"/>
      <c r="DH215" s="945"/>
      <c r="DI215" s="723">
        <f>IF(DG215=0,0,(DH215-DG215)/DG215*100)</f>
        <v>0</v>
      </c>
      <c r="DJ215" s="945"/>
      <c r="DK215" s="945"/>
      <c r="DL215" s="723">
        <f>IF(DJ215=0,0,(DK215-DJ215)/DJ215*100)</f>
        <v>0</v>
      </c>
      <c r="DM215" s="945"/>
      <c r="DN215" s="945"/>
      <c r="DO215" s="723">
        <f>IF(DM215=0,0,(DN215-DM215)/DM215*100)</f>
        <v>0</v>
      </c>
      <c r="DP215" s="945"/>
      <c r="DQ215" s="945"/>
      <c r="DR215" s="723">
        <f>IF(DP215=0,0,(DQ215-DP215)/DP215*100)</f>
        <v>0</v>
      </c>
      <c r="DS215" s="945"/>
      <c r="DT215" s="945"/>
      <c r="DU215" s="723">
        <f>IF(DS215=0,0,(DT215-DS215)/DS215*100)</f>
        <v>0</v>
      </c>
      <c r="DV215" s="945"/>
      <c r="DW215" s="945"/>
      <c r="DX215" s="723">
        <f>IF(DV215=0,0,(DW215-DV215)/DV215*100)</f>
        <v>0</v>
      </c>
      <c r="DY215" s="945"/>
      <c r="DZ215" s="945"/>
      <c r="EA215" s="723">
        <f>IF(DY215=0,0,(DZ215-DY215)/DY215*100)</f>
        <v>0</v>
      </c>
      <c r="EB215" s="945"/>
      <c r="EC215" s="945"/>
      <c r="ED215" s="723">
        <f>IF(EB215=0,0,(EC215-EB215)/EB215*100)</f>
        <v>0</v>
      </c>
      <c r="EE215" s="945"/>
      <c r="EF215" s="945"/>
      <c r="EG215" s="723">
        <f>IF(EE215=0,0,(EF215-EE215)/EE215*100)</f>
        <v>0</v>
      </c>
      <c r="EH215" s="945"/>
      <c r="EI215" s="945"/>
      <c r="EJ215" s="723">
        <f>IF(EH215=0,0,(EI215-EH215)/EH215*100)</f>
        <v>0</v>
      </c>
      <c r="EK215" s="945"/>
      <c r="EL215" s="945"/>
      <c r="EM215" s="723">
        <f>IF(EK215=0,0,(EL215-EK215)/EK215*100)</f>
        <v>0</v>
      </c>
      <c r="EN215" s="945"/>
      <c r="EO215" s="945"/>
      <c r="EP215" s="723">
        <f>IF(EN215=0,0,(EO215-EN215)/EN215*100)</f>
        <v>0</v>
      </c>
      <c r="EQ215" s="945"/>
      <c r="ER215" s="945"/>
      <c r="ES215" s="723">
        <f>IF(EQ215=0,0,(ER215-EQ215)/EQ215*100)</f>
        <v>0</v>
      </c>
      <c r="ET215" s="945"/>
      <c r="EU215" s="945"/>
      <c r="EV215" s="723">
        <f>IF(ET215=0,0,(EU215-ET215)/ET215*100)</f>
        <v>0</v>
      </c>
      <c r="EW215" s="945"/>
      <c r="EX215" s="945"/>
      <c r="EY215" s="723">
        <f>IF(EW215=0,0,(EX215-EW215)/EW215*100)</f>
        <v>0</v>
      </c>
      <c r="EZ215" s="945"/>
      <c r="FA215" s="945"/>
      <c r="FB215" s="723">
        <f>IF(EZ215=0,0,(FA215-EZ215)/EZ215*100)</f>
        <v>0</v>
      </c>
      <c r="FC215" s="945"/>
      <c r="FD215" s="945"/>
      <c r="FE215" s="723">
        <f>IF(FC215=0,0,(FD215-FC215)/FC215*100)</f>
        <v>0</v>
      </c>
      <c r="FF215" s="945"/>
      <c r="FG215" s="945"/>
      <c r="FH215" s="723">
        <f>IF(FF215=0,0,(FG215-FF215)/FF215*100)</f>
        <v>0</v>
      </c>
      <c r="FI215" s="945"/>
      <c r="FJ215" s="945"/>
      <c r="FK215" s="723">
        <f>IF(FI215=0,0,(FJ215-FI215)/FI215*100)</f>
        <v>0</v>
      </c>
      <c r="FL215" s="945"/>
      <c r="FM215" s="945"/>
      <c r="FN215" s="723">
        <f>IF(FL215=0,0,(FM215-FL215)/FL215*100)</f>
        <v>0</v>
      </c>
      <c r="FO215" s="945"/>
      <c r="FP215" s="945"/>
      <c r="FQ215" s="723">
        <f>IF(FO215=0,0,(FP215-FO215)/FO215*100)</f>
        <v>0</v>
      </c>
      <c r="FR215" s="945"/>
      <c r="FS215" s="945"/>
      <c r="FT215" s="723">
        <f>IF(FR215=0,0,(FS215-FR215)/FR215*100)</f>
        <v>0</v>
      </c>
      <c r="FU215" s="945"/>
      <c r="FV215" s="945"/>
      <c r="FW215" s="723">
        <f>IF(FU215=0,0,(FV215-FU215)/FU215*100)</f>
        <v>0</v>
      </c>
      <c r="FX215" s="219"/>
      <c r="FZ215" s="700" t="s">
        <v>1711</v>
      </c>
      <c r="GA215" s="680" t="s">
        <v>1712</v>
      </c>
      <c r="GB215" s="680" cm="1">
        <f t="array" ref="GB215">AB215</f>
        <v>0</v>
      </c>
      <c r="GD215" s="472" t="b">
        <v>1</v>
      </c>
    </row>
    <row r="216" spans="1:186" ht="14.25" hidden="1" customHeight="1">
      <c r="B216" s="622" t="b" cm="1">
        <f t="array" ref="B216">B215</f>
        <v>0</v>
      </c>
      <c r="D216" s="78"/>
      <c r="E216" s="473">
        <v>15</v>
      </c>
      <c r="F216" s="3" t="str" cm="1">
        <f t="array" aca="1" ref="F216" ca="1">OFFSET(E216,-1,1)</f>
        <v>2</v>
      </c>
      <c r="G216" s="78"/>
      <c r="I216" s="36" t="s">
        <v>1713</v>
      </c>
      <c r="T216" s="365" t="b">
        <f ca="1">F216&gt;0</f>
        <v>1</v>
      </c>
      <c r="W216" s="528" t="s">
        <v>1654</v>
      </c>
      <c r="X216" s="1094"/>
      <c r="Z216" s="1064"/>
      <c r="AB216" s="191" t="s">
        <v>177</v>
      </c>
      <c r="AC216" s="195"/>
      <c r="AD216" s="193"/>
      <c r="AE216" s="193"/>
      <c r="AF216" s="193"/>
      <c r="AG216" s="193"/>
      <c r="AH216" s="193"/>
      <c r="AI216" s="193"/>
      <c r="AJ216" s="193"/>
      <c r="AK216" s="193"/>
      <c r="AL216" s="193"/>
      <c r="AM216" s="193"/>
      <c r="AN216" s="193"/>
      <c r="AO216" s="193"/>
      <c r="AP216" s="193"/>
      <c r="AQ216" s="193"/>
      <c r="AR216" s="193"/>
      <c r="AS216" s="193"/>
      <c r="AT216" s="193"/>
      <c r="AU216" s="193"/>
      <c r="AV216" s="193"/>
      <c r="AW216" s="193"/>
      <c r="AX216" s="193"/>
      <c r="AY216" s="193"/>
      <c r="AZ216" s="193"/>
      <c r="BA216" s="193"/>
      <c r="BB216" s="193"/>
      <c r="BC216" s="193"/>
      <c r="BD216" s="193"/>
      <c r="BE216" s="193"/>
      <c r="BF216" s="193"/>
      <c r="BG216" s="193"/>
      <c r="BH216" s="193"/>
      <c r="BI216" s="193"/>
      <c r="BJ216" s="193"/>
      <c r="BK216" s="193"/>
      <c r="BL216" s="193"/>
      <c r="BM216" s="193"/>
      <c r="BN216" s="193"/>
      <c r="BO216" s="193"/>
      <c r="BP216" s="193"/>
      <c r="BQ216" s="193"/>
      <c r="BR216" s="193"/>
      <c r="BS216" s="193"/>
      <c r="BT216" s="193"/>
      <c r="BU216" s="193"/>
      <c r="BV216" s="193"/>
      <c r="BW216" s="193"/>
      <c r="BX216" s="193"/>
      <c r="BY216" s="193"/>
      <c r="BZ216" s="193"/>
      <c r="CA216" s="193"/>
      <c r="CB216" s="193"/>
      <c r="CC216" s="193"/>
      <c r="CD216" s="193"/>
      <c r="CE216" s="193"/>
      <c r="CF216" s="193"/>
      <c r="CG216" s="193"/>
      <c r="CH216" s="193"/>
      <c r="CI216" s="193"/>
      <c r="CJ216" s="193"/>
      <c r="CK216" s="193"/>
      <c r="CL216" s="193"/>
      <c r="CM216" s="193"/>
      <c r="CN216" s="193"/>
      <c r="CO216" s="193"/>
      <c r="CP216" s="193"/>
      <c r="CQ216" s="193"/>
      <c r="CR216" s="193"/>
      <c r="CS216" s="193"/>
      <c r="CT216" s="193"/>
      <c r="CU216" s="193"/>
      <c r="CV216" s="193"/>
      <c r="CW216" s="193"/>
      <c r="CX216" s="193"/>
      <c r="CY216" s="193"/>
      <c r="CZ216" s="193"/>
      <c r="DA216" s="193"/>
      <c r="DB216" s="193"/>
      <c r="DC216" s="193"/>
      <c r="DD216" s="193"/>
      <c r="DE216" s="193"/>
      <c r="DF216" s="193"/>
      <c r="DG216" s="193"/>
      <c r="DH216" s="193"/>
      <c r="DI216" s="193"/>
      <c r="DJ216" s="193"/>
      <c r="DK216" s="193"/>
      <c r="DL216" s="193"/>
      <c r="DM216" s="193"/>
      <c r="DN216" s="193"/>
      <c r="DO216" s="193"/>
      <c r="DP216" s="193"/>
      <c r="DQ216" s="193"/>
      <c r="DR216" s="193"/>
      <c r="DS216" s="193"/>
      <c r="DT216" s="193"/>
      <c r="DU216" s="193"/>
      <c r="DV216" s="193"/>
      <c r="DW216" s="193"/>
      <c r="DX216" s="193"/>
      <c r="DY216" s="193"/>
      <c r="DZ216" s="193"/>
      <c r="EA216" s="193"/>
      <c r="EB216" s="193"/>
      <c r="EC216" s="193"/>
      <c r="ED216" s="193"/>
      <c r="EE216" s="193"/>
      <c r="EF216" s="193"/>
      <c r="EG216" s="193"/>
      <c r="EH216" s="193"/>
      <c r="EI216" s="193"/>
      <c r="EJ216" s="193"/>
      <c r="EK216" s="193"/>
      <c r="EL216" s="193"/>
      <c r="EM216" s="193"/>
      <c r="EN216" s="193"/>
      <c r="EO216" s="193"/>
      <c r="EP216" s="193"/>
      <c r="EQ216" s="193"/>
      <c r="ER216" s="193"/>
      <c r="ES216" s="193"/>
      <c r="ET216" s="193"/>
      <c r="EU216" s="193"/>
      <c r="EV216" s="193"/>
      <c r="EW216" s="193"/>
      <c r="EX216" s="193"/>
      <c r="EY216" s="193"/>
      <c r="EZ216" s="193"/>
      <c r="FA216" s="193"/>
      <c r="FB216" s="193"/>
      <c r="FC216" s="193"/>
      <c r="FD216" s="193"/>
      <c r="FE216" s="193"/>
      <c r="FF216" s="193"/>
      <c r="FG216" s="193"/>
      <c r="FH216" s="193"/>
      <c r="FI216" s="193"/>
      <c r="FJ216" s="193"/>
      <c r="FK216" s="193"/>
      <c r="FL216" s="193"/>
      <c r="FM216" s="193"/>
      <c r="FN216" s="193"/>
      <c r="FO216" s="193"/>
      <c r="FP216" s="193"/>
      <c r="FQ216" s="193"/>
      <c r="FR216" s="193"/>
      <c r="FS216" s="193"/>
      <c r="FT216" s="193"/>
      <c r="FU216" s="193"/>
      <c r="FV216" s="193"/>
      <c r="FW216" s="194"/>
      <c r="GC216" s="472" t="s">
        <v>1712</v>
      </c>
    </row>
    <row r="217" spans="1:186" ht="10.5" customHeight="1">
      <c r="B217" s="607"/>
      <c r="D217" s="78"/>
      <c r="E217" s="473">
        <v>11.5</v>
      </c>
      <c r="G217" s="78"/>
      <c r="T217" s="365" t="b" cm="1">
        <f t="array" aca="1" ref="T217" ca="1">T216</f>
        <v>1</v>
      </c>
      <c r="W217" s="528"/>
      <c r="X217" s="1094"/>
      <c r="Z217" s="1064"/>
      <c r="FZ217" s="670"/>
      <c r="GA217" s="670"/>
      <c r="GB217" s="664"/>
      <c r="GC217" s="465"/>
      <c r="GD217" s="465"/>
    </row>
    <row r="218" spans="1:186" ht="10.9" customHeight="1">
      <c r="A218" s="327"/>
      <c r="B218" s="623"/>
      <c r="C218" s="327"/>
      <c r="D218" s="327"/>
      <c r="E218" s="491">
        <v>11.25</v>
      </c>
      <c r="F218" s="625"/>
      <c r="G218" s="327"/>
      <c r="H218" s="327"/>
      <c r="I218" s="327"/>
      <c r="J218" s="327"/>
      <c r="K218" s="327"/>
      <c r="L218" s="327"/>
      <c r="M218" s="327"/>
      <c r="N218" s="327"/>
      <c r="O218" s="327"/>
      <c r="P218" s="327"/>
      <c r="Q218" s="327"/>
      <c r="R218" s="327"/>
      <c r="S218" s="327"/>
      <c r="T218" s="327"/>
      <c r="U218" s="327" t="s">
        <v>177</v>
      </c>
      <c r="V218" s="75" t="s">
        <v>1714</v>
      </c>
      <c r="W218" s="327"/>
      <c r="X218" s="327"/>
      <c r="Y218" s="327"/>
      <c r="Z218" s="327"/>
      <c r="AA218" s="327"/>
      <c r="AB218"/>
      <c r="AC218" s="37"/>
      <c r="AD218" s="37"/>
      <c r="AE218" s="37"/>
      <c r="AF218" s="37"/>
      <c r="AG218"/>
      <c r="AH218"/>
      <c r="AI218"/>
      <c r="AJ218"/>
      <c r="AK218"/>
      <c r="AL218"/>
      <c r="AM218"/>
      <c r="AN218"/>
      <c r="AO218"/>
      <c r="AP218"/>
      <c r="AQ218" s="3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s="670"/>
      <c r="GA218" s="670"/>
      <c r="GB218" s="664"/>
      <c r="GC218" s="465"/>
      <c r="GD218" s="465"/>
    </row>
    <row r="219" spans="1:186" ht="14.65" customHeight="1">
      <c r="E219" s="472">
        <v>15</v>
      </c>
      <c r="AB219" s="1088" t="s">
        <v>398</v>
      </c>
      <c r="AC219" s="1088"/>
      <c r="AD219" s="1088"/>
      <c r="AE219" s="1088"/>
      <c r="AF219" s="1088"/>
      <c r="AG219" s="1088"/>
      <c r="AH219" s="1088"/>
      <c r="AI219" s="1088"/>
      <c r="AJ219" s="1088"/>
      <c r="AK219" s="1088"/>
      <c r="AL219" s="1088"/>
      <c r="AM219" s="1088"/>
      <c r="AN219" s="1088"/>
      <c r="AO219" s="1088"/>
      <c r="AP219" s="1088"/>
      <c r="AQ219" s="1088"/>
      <c r="AR219" s="1088"/>
      <c r="AS219" s="1088"/>
      <c r="AT219" s="1088"/>
      <c r="AU219" s="1088"/>
      <c r="AV219" s="1088"/>
      <c r="AW219" s="1088"/>
      <c r="AX219" s="1088"/>
      <c r="AY219" s="1088"/>
      <c r="AZ219" s="1088"/>
      <c r="BA219" s="1088"/>
      <c r="BB219" s="1088"/>
      <c r="BC219" s="1088"/>
      <c r="BD219" s="1088"/>
      <c r="BE219" s="1088"/>
      <c r="BF219" s="1088"/>
      <c r="BG219" s="1088"/>
    </row>
    <row r="220" spans="1:186" ht="14.65" customHeight="1">
      <c r="E220" s="472">
        <v>15</v>
      </c>
      <c r="AA220" s="492"/>
      <c r="AB220" s="1180"/>
      <c r="AC220" s="1180"/>
      <c r="AD220" s="1180"/>
      <c r="AE220" s="1180"/>
      <c r="AF220" s="1180"/>
      <c r="AG220" s="1181"/>
      <c r="AH220" s="1181"/>
      <c r="AI220" s="1181"/>
      <c r="AJ220" s="1181"/>
      <c r="AK220" s="1181"/>
      <c r="AL220" s="1181"/>
      <c r="AM220" s="1181"/>
      <c r="AN220" s="1181"/>
      <c r="AO220" s="1181"/>
      <c r="AP220" s="1181"/>
      <c r="AQ220" s="1181"/>
      <c r="AR220" s="1181"/>
      <c r="AS220" s="1181"/>
      <c r="AT220" s="1181"/>
      <c r="AU220" s="1181"/>
      <c r="AV220" s="1181"/>
      <c r="AW220" s="1181"/>
      <c r="AX220" s="1181"/>
      <c r="AY220" s="1181"/>
      <c r="AZ220" s="1181"/>
      <c r="BA220" s="1181"/>
      <c r="BB220" s="1181"/>
      <c r="BC220" s="1181"/>
      <c r="BD220" s="1181"/>
      <c r="BE220" s="1181"/>
      <c r="BF220" s="1181"/>
      <c r="BG220" s="1181"/>
    </row>
    <row r="221" spans="1:186" ht="14.65" hidden="1" customHeight="1">
      <c r="E221" s="472">
        <v>15</v>
      </c>
      <c r="T221" s="365" t="b">
        <f>ROW(W221)&gt;ROW(W$221)</f>
        <v>0</v>
      </c>
      <c r="W221" s="36" t="s">
        <v>173</v>
      </c>
      <c r="AA221" s="493" t="s">
        <v>174</v>
      </c>
      <c r="AB221" s="1092"/>
      <c r="AC221" s="1055"/>
      <c r="AD221" s="1055"/>
      <c r="AE221" s="1055"/>
      <c r="AF221" s="1055"/>
      <c r="AG221" s="1055"/>
      <c r="AH221" s="1055"/>
      <c r="AI221" s="1055"/>
      <c r="AJ221" s="1055"/>
      <c r="AK221" s="1055"/>
      <c r="AL221" s="1055"/>
      <c r="AM221" s="1055"/>
      <c r="AN221" s="1055"/>
      <c r="AO221" s="1055"/>
      <c r="AP221" s="1055"/>
      <c r="AQ221" s="1055"/>
      <c r="AR221" s="1055"/>
      <c r="AS221" s="1055"/>
      <c r="AT221" s="1055"/>
      <c r="AU221" s="1055"/>
      <c r="AV221" s="1055"/>
      <c r="AW221" s="1055"/>
      <c r="AX221" s="1055"/>
      <c r="AY221" s="1055"/>
      <c r="AZ221" s="1055"/>
      <c r="BA221" s="1055"/>
      <c r="BB221" s="1055"/>
      <c r="BC221" s="1055"/>
      <c r="BD221" s="1055"/>
      <c r="BE221" s="1055"/>
      <c r="BF221" s="1055"/>
      <c r="BG221" s="1093"/>
    </row>
    <row r="222" spans="1:186" ht="14.65" customHeight="1">
      <c r="E222" s="472">
        <v>15</v>
      </c>
      <c r="W222" s="528" t="s">
        <v>399</v>
      </c>
      <c r="AB222" s="1178" t="s">
        <v>400</v>
      </c>
      <c r="AC222" s="1179"/>
      <c r="AD222" s="231"/>
      <c r="AE222" s="231"/>
      <c r="AF222" s="231"/>
      <c r="AG222" s="231"/>
      <c r="AH222" s="231"/>
      <c r="AI222" s="231"/>
      <c r="AJ222" s="231"/>
      <c r="AK222" s="231"/>
      <c r="AL222" s="231"/>
      <c r="AM222" s="231"/>
      <c r="AN222" s="231"/>
      <c r="AO222" s="231"/>
      <c r="AP222" s="231"/>
      <c r="AQ222" s="231"/>
      <c r="AR222" s="231"/>
      <c r="AS222" s="231"/>
      <c r="AT222" s="231"/>
      <c r="AU222" s="231"/>
      <c r="AV222" s="231"/>
      <c r="AW222" s="231"/>
      <c r="AX222" s="231"/>
      <c r="AY222" s="231"/>
      <c r="AZ222" s="231"/>
      <c r="BA222" s="231"/>
      <c r="BB222" s="231"/>
      <c r="BC222" s="231"/>
      <c r="BD222" s="231"/>
      <c r="BE222" s="231"/>
      <c r="BF222" s="231"/>
      <c r="BG222" s="206"/>
    </row>
    <row r="223" spans="1:186" ht="10.9" customHeight="1">
      <c r="E223" s="472">
        <v>11.25</v>
      </c>
      <c r="FX223" s="41"/>
    </row>
  </sheetData>
  <sheetProtection formatColumns="0" formatRows="0" insertRows="0" deleteColumns="0" deleteRows="0" sort="0" autoFilter="0"/>
  <mergeCells count="98">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Y42:Y44"/>
    <mergeCell ref="AB29:AC29"/>
    <mergeCell ref="AB30:AC30"/>
    <mergeCell ref="AB31:AC31"/>
    <mergeCell ref="AB32:AC32"/>
    <mergeCell ref="AB222:AC222"/>
    <mergeCell ref="AB220:BG220"/>
    <mergeCell ref="AB219:BG219"/>
    <mergeCell ref="AB221:BG221"/>
    <mergeCell ref="BK25:BM25"/>
    <mergeCell ref="AD29:FW29"/>
    <mergeCell ref="AD30:FW30"/>
    <mergeCell ref="AD31:FW31"/>
    <mergeCell ref="AD32:FW32"/>
    <mergeCell ref="AD92:FW92"/>
    <mergeCell ref="AD93:FW93"/>
    <mergeCell ref="AD94:FW94"/>
    <mergeCell ref="AD95:FW95"/>
    <mergeCell ref="AD155:FW155"/>
    <mergeCell ref="AD156:FW156"/>
    <mergeCell ref="AD157:FW157"/>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 ref="X92:X154"/>
    <mergeCell ref="Z92:Z154"/>
    <mergeCell ref="AA105:AA107"/>
    <mergeCell ref="Y105:Y107"/>
    <mergeCell ref="AB92:AC92"/>
    <mergeCell ref="AB93:AC93"/>
    <mergeCell ref="AB94:AC94"/>
    <mergeCell ref="AB95:AC95"/>
    <mergeCell ref="X155:X217"/>
    <mergeCell ref="Z155:Z217"/>
    <mergeCell ref="AA168:AA170"/>
    <mergeCell ref="Y168:Y170"/>
    <mergeCell ref="AB155:AC155"/>
    <mergeCell ref="AB156:AC156"/>
    <mergeCell ref="AB157:AC157"/>
    <mergeCell ref="AB158:AC158"/>
    <mergeCell ref="Y71:Y82"/>
    <mergeCell ref="AA71:AA82"/>
    <mergeCell ref="AD158:FW158"/>
    <mergeCell ref="Y197:Y208"/>
    <mergeCell ref="AA197:AA208"/>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AD169 AE168:AE169 AG168:AG169 AH168:AH169 AJ168:AJ169 AK168:AK169 AM168:AM169 AN168:AN169 AP168:AP169 AQ168:AQ169 AS168:AS169 AT168:AT169 AV168:AV169 AW168:AW169 AY168:AY169 AZ168:AZ169 BB168:BB169 BC168:BC169 BE168:BE169 BF168:BF169 BH168:BH169 BI168:BI169 BK168:BK169 BL168:BL169 BN168:BN169 BO168:BO169 BQ168:BQ169 BR168:BR169 BT168:BT169 BU168:BU169 BW168:BW169 BX168:BX169 BZ168:BZ169 CA168:CA169 CC168:CC169 CD168:CD169 CF168:CF169 CG168:CG169 CI168:CI169 CJ168:CJ169 CL168:CL169 CM168:CM169 CO168:CO169 CP168:CP169 CR168:CR169 CS168:CS169 CU168:CU169 CV168:CV169 CX168:CX169 CY168:CY169 DA168:DA169 DB168:DB169 DD168:DD169 DE168:DE169 DG168:DG169 DH168:DH169 DJ168:DJ169 DK168:DK169 DM168:DM169 DN168:DN169 DP168:DP169 DQ168:DQ169 DS168:DS169 DT168:DT169 DV168:DV169 DW168:DW169 DY168:DY169 DZ168:DZ169 EB168:EB169 EC168:EC169 EE168:EE169 EF168:EF169 EH168:EH169 EI168:EI169 EK168:EK169 EL168:EL169 EN168:EN169 EO168:EO169 EQ168:EQ169 ER168:ER169 ET168:ET169 EU168:EU169 EW168:EW169 EX168:EX169 EZ168:EZ169 FA168:FA169 FC168:FC169 FD168:FD169 FF168:FF169 FG168:FG169 FI168:FI169 FJ168:FJ169 FL168:FL169 FM168:FM169 FO168:FO169 FP168:FP169 FR168:FR169 FS168:FS169 FU168:FU169 FV168: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AD208 AE202:AE208 AG202:AG208 AH202:AH208 AJ202:AJ208 AK202:AK208 AM202:AM208 AN202:AN208 AP202:AP208 AQ202:AQ208 AS202:AS208 AT202:AT208 AV202:AV208 AW202:AW208 AY202:AY208 AZ202:AZ208 BB202:BB208 BC202:BC208 BE202:BE208 BF202:BF208 BH202:BH208 BI202:BI208 BK202:BK208 BL202:BL208 BN202:BN208 BO202:BO208 BQ202:BQ208 BR202:BR208 BT202:BT208 BU202:BU208 BW202:BW208 BX202:BX208 BZ202:BZ208 CA202:CA208 CC202:CC208 CD202:CD208 CF202:CF208 CG202:CG208 CI202:CI208 CJ202:CJ208 CL202:CL208 CM202:CM208 CO202:CO208 CP202:CP208 CR202:CR208 CS202:CS208 CU202:CU208 CV202:CV208 CX202:CX208 CY202:CY208 DA202:DA208 DB202:DB208 DD202:DD208 DE202:DE208 DG202:DG208 DH202:DH208 DJ202:DJ208 DK202:DK208 DM202:DM208 DN202:DN208 DP202:DP208 DQ202:DQ208 DS202:DS208 DT202:DT208 DV202:DV208 DW202:DW208 DY202:DY208 DZ202:DZ208 EB202:EB208 EC202:EC208 EE202:EE208 EF202:EF208 EH202:EH208 EI202:EI208 EK202:EK208 EL202:EL208 EN202:EN208 EO202:EO208 EQ202:EQ208 ER202:ER208 ET202:ET208 EU202:EU208 EW202:EW208 EX202:EX208 EZ202:EZ208 FA202:FA208 FC202:FC208 FD202:FD208 FF202:FF208 FG202:FG208 FI202:FI208 FJ202:FJ208 FL202:FL208 FM202:FM208 FO202:FO208 FP202:FP208 FR202:FR208 FS202:FS208 FU202:FU208 FV202: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09318-E258-71FB-2129-3FE81B25A97E}">
  <sheetPr>
    <tabColor rgb="FF92D050"/>
    <outlinePr summaryBelow="0"/>
  </sheetPr>
  <dimension ref="A1:AV28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cols>
    <col min="1" max="1" width="4" style="291" hidden="1" customWidth="1"/>
    <col min="2" max="2" width="11" style="291" hidden="1" customWidth="1"/>
    <col min="3" max="4" width="4" style="291" hidden="1" customWidth="1"/>
    <col min="5" max="5" width="4" style="515" hidden="1" customWidth="1"/>
    <col min="6" max="6" width="4" style="291" hidden="1" customWidth="1"/>
    <col min="7" max="7" width="10.140625" style="291" hidden="1" customWidth="1"/>
    <col min="8" max="8" width="10.42578125" style="291" hidden="1" customWidth="1"/>
    <col min="9" max="15" width="4" style="291" hidden="1" customWidth="1"/>
    <col min="16" max="16" width="3.7109375" style="291" hidden="1" customWidth="1"/>
    <col min="17" max="19" width="4" style="291" hidden="1" customWidth="1"/>
    <col min="20" max="20" width="8.5703125" style="291" hidden="1" customWidth="1"/>
    <col min="21" max="21" width="5.85546875" style="291" hidden="1" customWidth="1"/>
    <col min="22" max="23" width="6.140625" style="291" hidden="1" customWidth="1"/>
    <col min="24" max="24" width="5.7109375" style="291" hidden="1" customWidth="1"/>
    <col min="25" max="25" width="5.5703125" style="291" hidden="1" customWidth="1"/>
    <col min="26" max="26" width="5.28515625" style="291" hidden="1" customWidth="1"/>
    <col min="27" max="27" width="3" style="291" customWidth="1"/>
    <col min="28" max="28" width="11" style="291" customWidth="1"/>
    <col min="29" max="29" width="75" style="291" customWidth="1"/>
    <col min="30" max="30" width="11.28515625" style="291" customWidth="1"/>
    <col min="31" max="33" width="13" style="291" customWidth="1"/>
    <col min="34" max="34" width="15.140625" style="291" customWidth="1"/>
    <col min="35" max="37" width="13" style="291" customWidth="1"/>
    <col min="38" max="38" width="23.5703125" style="291" customWidth="1"/>
    <col min="39" max="40" width="20" style="291" customWidth="1"/>
    <col min="41" max="41" width="32.7109375" style="291" customWidth="1"/>
    <col min="42" max="42" width="3" style="291" customWidth="1"/>
    <col min="43" max="43" width="9.140625" style="291" hidden="1"/>
    <col min="44" max="46" width="9.140625" style="703" hidden="1"/>
    <col min="47" max="48" width="9.140625" style="515" hidden="1"/>
  </cols>
  <sheetData>
    <row r="1" spans="1:48" ht="15" hidden="1" customHeight="1">
      <c r="E1" s="291"/>
      <c r="F1" s="291" t="s">
        <v>315</v>
      </c>
      <c r="I1" s="291" t="s">
        <v>326</v>
      </c>
      <c r="J1" s="291" t="s">
        <v>350</v>
      </c>
      <c r="T1" s="365" t="s">
        <v>93</v>
      </c>
      <c r="U1" s="365" t="s">
        <v>98</v>
      </c>
      <c r="V1" s="365" t="s">
        <v>94</v>
      </c>
      <c r="W1" s="365" t="s">
        <v>95</v>
      </c>
      <c r="X1" s="365" t="s">
        <v>96</v>
      </c>
      <c r="Y1" s="367" t="s">
        <v>317</v>
      </c>
      <c r="Z1" s="365" t="s">
        <v>100</v>
      </c>
      <c r="AA1" s="367" t="s">
        <v>97</v>
      </c>
      <c r="AC1" s="366" t="s">
        <v>99</v>
      </c>
      <c r="AR1" s="703" t="s">
        <v>318</v>
      </c>
      <c r="AS1" s="703" t="s">
        <v>319</v>
      </c>
      <c r="AT1" s="703" t="s">
        <v>320</v>
      </c>
      <c r="AU1" s="515" t="s">
        <v>323</v>
      </c>
      <c r="AV1" s="515" t="s">
        <v>324</v>
      </c>
    </row>
    <row r="2" spans="1:48" ht="15" hidden="1" customHeight="1">
      <c r="B2" s="353" t="s">
        <v>19</v>
      </c>
      <c r="E2" s="291"/>
      <c r="AE2" s="36" t="b">
        <f>FIRST_TIME_REG="нет"</f>
        <v>1</v>
      </c>
      <c r="AF2" s="36" t="b">
        <f>AND(FIRST_TIME_REG="нет",isOrgDeclare)</f>
        <v>1</v>
      </c>
      <c r="AG2" s="36" t="b">
        <f>FIRST_TIME_REG="нет"</f>
        <v>1</v>
      </c>
      <c r="AH2" s="36" t="b">
        <f>AND(FIRST_TIME_REG="нет",isOrgDeclare)</f>
        <v>1</v>
      </c>
      <c r="AI2" s="36" t="b">
        <f>FIRST_TIME_REG="нет"</f>
        <v>1</v>
      </c>
      <c r="AJ2" s="291" t="b" cm="1">
        <f t="array" ref="AJ2">isOrgDeclare</f>
        <v>1</v>
      </c>
    </row>
    <row r="3" spans="1:48" ht="15" hidden="1" customHeight="1">
      <c r="E3" s="291"/>
    </row>
    <row r="4" spans="1:48" ht="15" hidden="1" customHeight="1">
      <c r="E4" s="291"/>
    </row>
    <row r="5" spans="1:48" s="515" customFormat="1" ht="15" hidden="1" customHeight="1">
      <c r="A5" s="291"/>
      <c r="B5" s="291"/>
      <c r="C5" s="291"/>
      <c r="D5" s="291"/>
      <c r="E5" s="515" t="s">
        <v>20</v>
      </c>
      <c r="AA5" s="515">
        <v>3</v>
      </c>
      <c r="AB5" s="515">
        <v>11</v>
      </c>
      <c r="AC5" s="515">
        <v>75</v>
      </c>
      <c r="AD5" s="515">
        <v>11.29</v>
      </c>
      <c r="AE5" s="515">
        <v>13</v>
      </c>
      <c r="AF5" s="515">
        <v>13</v>
      </c>
      <c r="AG5" s="515">
        <v>13</v>
      </c>
      <c r="AH5" s="515">
        <v>15.14</v>
      </c>
      <c r="AI5" s="515">
        <v>13</v>
      </c>
      <c r="AJ5" s="515">
        <v>13</v>
      </c>
      <c r="AK5" s="515">
        <v>13</v>
      </c>
      <c r="AL5" s="515">
        <v>23.57</v>
      </c>
      <c r="AM5" s="515">
        <v>20</v>
      </c>
      <c r="AN5" s="515">
        <v>20</v>
      </c>
      <c r="AO5" s="515">
        <v>32.71</v>
      </c>
      <c r="AP5" s="515">
        <v>3</v>
      </c>
      <c r="AR5" s="703"/>
      <c r="AS5" s="703"/>
      <c r="AT5" s="703"/>
    </row>
    <row r="6" spans="1:48" ht="11.25" hidden="1" customHeight="1">
      <c r="A6" s="291" t="s">
        <v>1715</v>
      </c>
      <c r="AM6" s="291" t="str" cm="1">
        <f t="array" ref="AM6">AM24</f>
        <v>Указание на подтверждающие документы / URL-ссылка на копии подтверждающих документов</v>
      </c>
      <c r="AN6" s="291" t="str" cm="1">
        <f t="array" ref="AN6">AN24</f>
        <v>Ссылка на правовую норму (основание для принятия показателя в расчет тарифа)</v>
      </c>
      <c r="AO6" s="291"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c r="A7" s="291" t="s">
        <v>353</v>
      </c>
      <c r="AE7" s="91">
        <f>god-2</f>
        <v>2024</v>
      </c>
      <c r="AF7" s="91">
        <f>god-2</f>
        <v>2024</v>
      </c>
      <c r="AG7" s="91">
        <f>god-2</f>
        <v>2024</v>
      </c>
      <c r="AH7" s="91">
        <f>god-2</f>
        <v>2024</v>
      </c>
      <c r="AI7" s="36">
        <f>god-1</f>
        <v>2025</v>
      </c>
      <c r="AJ7" s="36" cm="1">
        <f t="array" ref="AJ7">god</f>
        <v>2026</v>
      </c>
      <c r="AK7" s="36" cm="1">
        <f t="array" ref="AK7">god</f>
        <v>2026</v>
      </c>
    </row>
    <row r="8" spans="1:48" ht="11.25" hidden="1" customHeight="1">
      <c r="A8" s="291" t="s">
        <v>354</v>
      </c>
      <c r="AE8" s="36" t="str" cm="1">
        <f t="array" ref="AE8">AE25</f>
        <v>Принято органом регулирования</v>
      </c>
      <c r="AF8" s="36" t="str" cm="1">
        <f t="array" ref="AF8">AF25</f>
        <v>Факт по данным организации</v>
      </c>
      <c r="AG8" s="36" t="str" cm="1">
        <f t="array" ref="AG8">AG25</f>
        <v>Факт, принятый органом регулирования</v>
      </c>
      <c r="AH8" s="36" t="str" cm="1">
        <f t="array" ref="AH8">AH25</f>
        <v>отклонение факта по данным организации к факту принятому органом регулирования</v>
      </c>
      <c r="AI8" s="36" t="str" cm="1">
        <f t="array" ref="AI8">AI25</f>
        <v>Принято органом регулирования</v>
      </c>
      <c r="AJ8" s="36" t="str" cm="1">
        <f t="array" ref="AJ8">AJ25</f>
        <v>Предложение организации</v>
      </c>
      <c r="AK8" s="36" t="str" cm="1">
        <f t="array" ref="AK8">AK25</f>
        <v>Принято органом регулирования</v>
      </c>
    </row>
    <row r="9" spans="1:48" ht="11.25" hidden="1" customHeight="1">
      <c r="AE9" s="36" t="str">
        <f t="shared" ref="AE9:AK9" si="0">AE7&amp;AE8</f>
        <v>2024Принято органом регулирования</v>
      </c>
      <c r="AF9" s="36" t="str">
        <f t="shared" si="0"/>
        <v>2024Факт по данным организации</v>
      </c>
      <c r="AG9" s="36" t="str">
        <f t="shared" si="0"/>
        <v>2024Факт, принятый органом регулирования</v>
      </c>
      <c r="AH9" s="36" t="str">
        <f t="shared" si="0"/>
        <v>2024отклонение факта по данным организации к факту принятому органом регулирования</v>
      </c>
      <c r="AI9" s="36" t="str">
        <f t="shared" si="0"/>
        <v>2025Принято органом регулирования</v>
      </c>
      <c r="AJ9" s="36" t="str">
        <f t="shared" si="0"/>
        <v>2026Предложение организации</v>
      </c>
      <c r="AK9" s="36" t="str">
        <f t="shared" si="0"/>
        <v>2026Принято органом регулирования</v>
      </c>
    </row>
    <row r="10" spans="1:48" s="703" customFormat="1" ht="11.25" hidden="1" customHeight="1">
      <c r="A10" s="665" t="s">
        <v>358</v>
      </c>
      <c r="AE10" s="680" cm="1">
        <f t="array" ref="AE10">AE7</f>
        <v>2024</v>
      </c>
      <c r="AF10" s="680" cm="1">
        <f t="array" ref="AF10">AF7</f>
        <v>2024</v>
      </c>
      <c r="AG10" s="680" cm="1">
        <f t="array" ref="AG10">AG7</f>
        <v>2024</v>
      </c>
      <c r="AH10" s="680" cm="1">
        <f t="array" ref="AH10">AH7</f>
        <v>2024</v>
      </c>
      <c r="AI10" s="680" cm="1">
        <f t="array" ref="AI10">AI7</f>
        <v>2025</v>
      </c>
      <c r="AJ10" s="680" cm="1">
        <f t="array" ref="AJ10">AJ7</f>
        <v>2026</v>
      </c>
      <c r="AK10" s="680" cm="1">
        <f t="array" ref="AK10">AK7</f>
        <v>2026</v>
      </c>
      <c r="AL10" s="680"/>
      <c r="AU10" s="515"/>
      <c r="AV10" s="515"/>
    </row>
    <row r="11" spans="1:48" s="703" customFormat="1" ht="11.25" hidden="1" customHeight="1">
      <c r="A11" s="665" t="s">
        <v>359</v>
      </c>
      <c r="AE11" s="680" t="str" cm="1">
        <f t="array" ref="AE11">AE25</f>
        <v>Принято органом регулирования</v>
      </c>
      <c r="AF11" s="680" t="str" cm="1">
        <f t="array" ref="AF11">AF25</f>
        <v>Факт по данным организации</v>
      </c>
      <c r="AG11" s="680" t="str" cm="1">
        <f t="array" ref="AG11">AG25</f>
        <v>Факт, принятый органом регулирования</v>
      </c>
      <c r="AH11" s="680" t="str" cm="1">
        <f t="array" ref="AH11">AH25</f>
        <v>отклонение факта по данным организации к факту принятому органом регулирования</v>
      </c>
      <c r="AI11" s="680" t="str" cm="1">
        <f t="array" ref="AI11">AI25</f>
        <v>Принято органом регулирования</v>
      </c>
      <c r="AJ11" s="680" t="str" cm="1">
        <f t="array" ref="AJ11">AJ25</f>
        <v>Предложение организации</v>
      </c>
      <c r="AK11" s="680" t="str" cm="1">
        <f t="array" ref="AK11">AK25</f>
        <v>Принято органом регулирования</v>
      </c>
      <c r="AL11" s="680"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15"/>
      <c r="AV11" s="515"/>
    </row>
    <row r="12" spans="1:48" s="703" customFormat="1" ht="11.25" hidden="1" customHeight="1">
      <c r="A12" s="665" t="s">
        <v>360</v>
      </c>
      <c r="AE12" s="680"/>
      <c r="AF12" s="680"/>
      <c r="AG12" s="680"/>
      <c r="AH12" s="680"/>
      <c r="AI12" s="680"/>
      <c r="AJ12" s="680"/>
      <c r="AK12" s="680"/>
      <c r="AM12" s="703" t="str" cm="1">
        <f t="array" ref="AM12">AM24</f>
        <v>Указание на подтверждающие документы / URL-ссылка на копии подтверждающих документов</v>
      </c>
      <c r="AN12" s="703" t="str" cm="1">
        <f t="array" ref="AN12">AN24</f>
        <v>Ссылка на правовую норму (основание для принятия показателя в расчет тарифа)</v>
      </c>
      <c r="AO12" s="703"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15"/>
      <c r="AV12" s="515"/>
    </row>
    <row r="13" spans="1:48" s="703" customFormat="1" ht="11.25" hidden="1" customHeight="1">
      <c r="A13" s="703" t="s">
        <v>333</v>
      </c>
      <c r="AC13" s="703" t="s">
        <v>320</v>
      </c>
      <c r="AE13" s="680"/>
      <c r="AF13" s="680"/>
      <c r="AG13" s="680"/>
      <c r="AH13" s="680"/>
      <c r="AI13" s="680"/>
      <c r="AJ13" s="680"/>
      <c r="AK13" s="680"/>
      <c r="AU13" s="515"/>
      <c r="AV13" s="515"/>
    </row>
    <row r="14" spans="1:48" ht="11.25" hidden="1" customHeight="1"/>
    <row r="15" spans="1:48" ht="11.25" hidden="1" customHeight="1"/>
    <row r="16" spans="1:48" ht="11.25" hidden="1" customHeight="1"/>
    <row r="17" spans="1:48" ht="11.25" hidden="1" customHeight="1">
      <c r="AJ17" s="57"/>
    </row>
    <row r="18" spans="1:48" ht="11.25" hidden="1" customHeight="1">
      <c r="A18" s="291" t="s">
        <v>361</v>
      </c>
      <c r="AC18" s="291" t="s">
        <v>362</v>
      </c>
    </row>
    <row r="19" spans="1:48" ht="11.25" hidden="1" customHeight="1"/>
    <row r="20" spans="1:48" ht="11.25" hidden="1" customHeight="1"/>
    <row r="21" spans="1:48" ht="14.65" customHeight="1">
      <c r="E21" s="515">
        <v>15</v>
      </c>
      <c r="AC21" s="433" t="str" cm="1">
        <f t="array" ref="AC21">tpl_title</f>
        <v>Кемеровская область / 2026 / ООО "Энергосервис г. Гурьевска" (ИНН:4202049045, КПП:420201001) / ДПР: 2024-2028</v>
      </c>
    </row>
    <row r="22" spans="1:48" ht="19.5" customHeight="1">
      <c r="E22" s="515">
        <v>20</v>
      </c>
      <c r="AB22" s="239" t="s">
        <v>1716</v>
      </c>
      <c r="AC22" s="183"/>
      <c r="AD22" s="183"/>
      <c r="AE22" s="183"/>
      <c r="AF22" s="183"/>
      <c r="AG22" s="183"/>
      <c r="AH22" s="183"/>
      <c r="AI22" s="183"/>
      <c r="AJ22" s="183"/>
      <c r="AK22" s="183"/>
      <c r="AL22" s="183"/>
      <c r="AM22" s="183"/>
      <c r="AN22" s="183"/>
      <c r="AO22" s="183"/>
    </row>
    <row r="23" spans="1:48" ht="14.65" customHeight="1">
      <c r="E23" s="515">
        <v>15</v>
      </c>
      <c r="AB23" s="92"/>
      <c r="AC23" s="92"/>
      <c r="AD23" s="92"/>
      <c r="AE23" s="92"/>
      <c r="AF23" s="92"/>
      <c r="AG23" s="92"/>
      <c r="AH23" s="92"/>
      <c r="AI23" s="92"/>
      <c r="AJ23" s="92"/>
      <c r="AK23" s="92"/>
      <c r="AL23" s="92"/>
      <c r="AM23" s="92"/>
      <c r="AN23" s="92"/>
      <c r="AO23" s="92"/>
    </row>
    <row r="24" spans="1:48" ht="25.5" customHeight="1">
      <c r="E24" s="515">
        <v>26.25</v>
      </c>
      <c r="AB24" s="1091" t="s">
        <v>22</v>
      </c>
      <c r="AC24" s="1091" t="s">
        <v>362</v>
      </c>
      <c r="AD24" s="1091" t="s">
        <v>363</v>
      </c>
      <c r="AE24" s="29" t="str">
        <f>god-2&amp;" год"</f>
        <v>2024 год</v>
      </c>
      <c r="AF24" s="736" t="str">
        <f>god-2&amp;" год"</f>
        <v>2024 год</v>
      </c>
      <c r="AG24" s="29" t="str">
        <f>god-2&amp;" год"</f>
        <v>2024 год</v>
      </c>
      <c r="AH24" s="29" t="str">
        <f>god-2&amp;" год"</f>
        <v>2024 год</v>
      </c>
      <c r="AI24" s="29" t="str">
        <f>god-1&amp;" год"</f>
        <v>2025 год</v>
      </c>
      <c r="AJ24" s="737" t="str">
        <f>god&amp;" год"</f>
        <v>2026 год</v>
      </c>
      <c r="AK24" s="29" t="str">
        <f>god&amp;" год"</f>
        <v>2026 год</v>
      </c>
      <c r="AL24" s="1088" t="s">
        <v>1717</v>
      </c>
      <c r="AM24" s="1101" t="s">
        <v>1718</v>
      </c>
      <c r="AN24" s="1099" t="s">
        <v>529</v>
      </c>
      <c r="AO24" s="1099" t="s">
        <v>1719</v>
      </c>
    </row>
    <row r="25" spans="1:48" ht="77.45" customHeight="1">
      <c r="E25" s="515">
        <v>79.5</v>
      </c>
      <c r="AB25" s="1091"/>
      <c r="AC25" s="1091"/>
      <c r="AD25" s="1091"/>
      <c r="AE25" s="29" t="s">
        <v>355</v>
      </c>
      <c r="AF25" s="736" t="s">
        <v>450</v>
      </c>
      <c r="AG25" s="29" t="s">
        <v>451</v>
      </c>
      <c r="AH25" s="29" t="s">
        <v>1720</v>
      </c>
      <c r="AI25" s="29" t="s">
        <v>355</v>
      </c>
      <c r="AJ25" s="738" t="s">
        <v>356</v>
      </c>
      <c r="AK25" s="29" t="s">
        <v>355</v>
      </c>
      <c r="AL25" s="1088"/>
      <c r="AM25" s="1101"/>
      <c r="AN25" s="1099"/>
      <c r="AO25" s="1099"/>
    </row>
    <row r="26" spans="1:48" ht="11.25" hidden="1" customHeight="1">
      <c r="E26" s="515">
        <v>0</v>
      </c>
      <c r="AB26" s="542"/>
      <c r="AC26" s="533"/>
      <c r="AD26" s="533"/>
      <c r="AE26" s="81"/>
      <c r="AF26" s="81"/>
      <c r="AG26" s="81"/>
      <c r="AH26" s="81"/>
      <c r="AI26" s="81"/>
      <c r="AJ26" s="81"/>
      <c r="AK26" s="81"/>
      <c r="AL26" s="223"/>
      <c r="AM26" s="81"/>
      <c r="AN26" s="81"/>
      <c r="AO26" s="81"/>
    </row>
    <row r="27" spans="1:48" ht="14.65" hidden="1" customHeight="1">
      <c r="E27" s="515">
        <v>15</v>
      </c>
      <c r="F27" s="36" cm="1">
        <f t="array" ref="F27">X27</f>
        <v>0</v>
      </c>
      <c r="G27" s="36" cm="1">
        <f t="array" ref="G27">INDEX('Общие сведения'!$AK$179:$AK$222,MATCH($X27,'Общие сведения'!$Z$179:$Z$222,0))</f>
        <v>0</v>
      </c>
      <c r="T27" s="365" t="b">
        <f>X27&gt;0</f>
        <v>0</v>
      </c>
      <c r="V27" s="291" t="s">
        <v>264</v>
      </c>
      <c r="X27" s="1123">
        <v>0</v>
      </c>
      <c r="Z27" s="1184"/>
      <c r="AB27" s="116" t="str" cm="1">
        <f t="array" ref="AB27">INDEX('Общие сведения'!$AG$179:$AG$222,MATCH($X27,'Общие сведения'!$Z$179:$Z$222,0))</f>
        <v xml:space="preserve">Тариф 0 () - </v>
      </c>
      <c r="AC27" s="184"/>
      <c r="AD27" s="184"/>
      <c r="AE27" s="184"/>
      <c r="AF27" s="184"/>
      <c r="AG27" s="184"/>
      <c r="AH27" s="184"/>
      <c r="AI27" s="184"/>
      <c r="AJ27" s="184"/>
      <c r="AK27" s="184"/>
      <c r="AL27" s="184"/>
      <c r="AM27" s="184"/>
      <c r="AN27" s="184"/>
      <c r="AO27" s="184"/>
    </row>
    <row r="28" spans="1:48" ht="14.65" hidden="1" customHeight="1">
      <c r="E28" s="515">
        <v>15</v>
      </c>
      <c r="F28" s="3" cm="1">
        <f t="array" aca="1" ref="F28" ca="1">OFFSET(E28,-1,1)</f>
        <v>0</v>
      </c>
      <c r="I28" s="57" t="s">
        <v>327</v>
      </c>
      <c r="J28" s="57"/>
      <c r="K28" s="57"/>
      <c r="L28" s="57"/>
      <c r="M28" s="57"/>
      <c r="N28" s="57"/>
      <c r="O28" s="57"/>
      <c r="P28" s="57"/>
      <c r="Q28" s="57"/>
      <c r="R28" s="57"/>
      <c r="S28" s="57"/>
      <c r="T28" s="365" t="b" cm="1">
        <f t="array" ref="T28">T27</f>
        <v>0</v>
      </c>
      <c r="X28" s="1123"/>
      <c r="Z28" s="1184"/>
      <c r="AB28" s="179" t="s">
        <v>275</v>
      </c>
      <c r="AC28" s="151" t="s">
        <v>1721</v>
      </c>
      <c r="AD28" s="28" t="s">
        <v>804</v>
      </c>
      <c r="AE28" s="145">
        <f ca="1">AE29+AE33+AE43+AE44+AE47+AE48+AE49</f>
        <v>0</v>
      </c>
      <c r="AF28" s="145">
        <f ca="1">AF29+AF33+AF43+AF44+AF47+AF48+AF49</f>
        <v>0</v>
      </c>
      <c r="AG28" s="145">
        <f ca="1">AG29+AG33+AG43+AG44+AG47+AG48+AG49</f>
        <v>0</v>
      </c>
      <c r="AH28" s="145">
        <f t="shared" ref="AH28:AH54" ca="1" si="1">AG28-AF28</f>
        <v>0</v>
      </c>
      <c r="AI28" s="145">
        <f ca="1">AI29+AI33+AI43+AI44+AI47+AI48+AI49</f>
        <v>0</v>
      </c>
      <c r="AJ28" s="145">
        <f ca="1">AJ29+AJ33+AJ43+AJ44+AJ47+AJ48+AJ49</f>
        <v>0</v>
      </c>
      <c r="AK28" s="145">
        <f ca="1">AK29+AK33+AK43+AK44+AK47+AK48+AK49</f>
        <v>0</v>
      </c>
      <c r="AL28" s="190">
        <f t="shared" ref="AL28:AL54" ca="1" si="2">IF(AI28=0,0,(AK28-AI28)/AI28*100)</f>
        <v>0</v>
      </c>
      <c r="AM28" s="784"/>
      <c r="AN28" s="788"/>
      <c r="AO28" s="784"/>
      <c r="AR28" s="703" t="s">
        <v>516</v>
      </c>
    </row>
    <row r="29" spans="1:48" s="434" customFormat="1" ht="21.95" hidden="1" customHeight="1">
      <c r="E29" s="516">
        <v>22.5</v>
      </c>
      <c r="F29" s="3" cm="1">
        <f t="array" aca="1" ref="F29" ca="1">OFFSET(E29,-1,1)</f>
        <v>0</v>
      </c>
      <c r="I29" s="173" t="s">
        <v>461</v>
      </c>
      <c r="J29" s="173"/>
      <c r="K29" s="173"/>
      <c r="L29" s="173"/>
      <c r="M29" s="173"/>
      <c r="N29" s="173"/>
      <c r="O29" s="173"/>
      <c r="P29" s="173"/>
      <c r="Q29" s="173"/>
      <c r="R29" s="173"/>
      <c r="S29" s="173"/>
      <c r="T29" s="365" t="b" cm="1">
        <f t="array" ref="T29">T28</f>
        <v>0</v>
      </c>
      <c r="X29" s="1123"/>
      <c r="Z29" s="1184"/>
      <c r="AB29" s="150" t="s">
        <v>897</v>
      </c>
      <c r="AC29" s="276" t="s">
        <v>1722</v>
      </c>
      <c r="AD29" s="166" t="s">
        <v>804</v>
      </c>
      <c r="AE29" s="145">
        <f ca="1">SUM(AE30:AE32)</f>
        <v>0</v>
      </c>
      <c r="AF29" s="145">
        <f ca="1">SUM(AF30:AF32)</f>
        <v>0</v>
      </c>
      <c r="AG29" s="145">
        <f ca="1">SUM(AG30:AG32)</f>
        <v>0</v>
      </c>
      <c r="AH29" s="145">
        <f t="shared" ca="1" si="1"/>
        <v>0</v>
      </c>
      <c r="AI29" s="145">
        <f ca="1">SUM(AI30:AI32)</f>
        <v>0</v>
      </c>
      <c r="AJ29" s="145">
        <f ca="1">SUM(AJ30:AJ32)</f>
        <v>0</v>
      </c>
      <c r="AK29" s="145">
        <f ca="1">SUM(AK30:AK32)</f>
        <v>0</v>
      </c>
      <c r="AL29" s="145">
        <f t="shared" ca="1" si="2"/>
        <v>0</v>
      </c>
      <c r="AM29" s="786"/>
      <c r="AN29" s="786"/>
      <c r="AO29" s="786"/>
      <c r="AR29" s="704" t="s">
        <v>1723</v>
      </c>
      <c r="AS29" s="704"/>
      <c r="AT29" s="704"/>
      <c r="AU29" s="516"/>
      <c r="AV29" s="516"/>
    </row>
    <row r="30" spans="1:48" ht="14.65" hidden="1" customHeight="1">
      <c r="E30" s="515">
        <v>15</v>
      </c>
      <c r="F30" s="3" cm="1">
        <f t="array" aca="1" ref="F30" ca="1">OFFSET(E30,-1,1)</f>
        <v>0</v>
      </c>
      <c r="I30" s="57" t="s">
        <v>1004</v>
      </c>
      <c r="J30" s="57"/>
      <c r="K30" s="57"/>
      <c r="L30" s="57"/>
      <c r="M30" s="57"/>
      <c r="N30" s="57"/>
      <c r="O30" s="57"/>
      <c r="P30" s="57"/>
      <c r="Q30" s="57"/>
      <c r="R30" s="57"/>
      <c r="S30" s="57"/>
      <c r="T30" s="365" t="b" cm="1">
        <f t="array" ref="T30">T29</f>
        <v>0</v>
      </c>
      <c r="X30" s="1123"/>
      <c r="Z30" s="1184"/>
      <c r="AB30" s="152" t="s">
        <v>1005</v>
      </c>
      <c r="AC30" s="153" t="s">
        <v>1724</v>
      </c>
      <c r="AD30" s="28" t="s">
        <v>804</v>
      </c>
      <c r="AE30" s="190">
        <f ca="1">SUMIFS('Сырье и материалы'!AE$25:AE$96,'Сырье и материалы'!$F$25:$F$96,$F30,'Сырье и материалы'!$I$25:$I$96,"Реагенты")</f>
        <v>0</v>
      </c>
      <c r="AF30" s="190">
        <f ca="1">SUMIFS('Сырье и материалы'!AF$25:AF$96,'Сырье и материалы'!$F$25:$F$96,$F30,'Сырье и материалы'!$I$25:$I$96,"Реагенты")</f>
        <v>0</v>
      </c>
      <c r="AG30" s="190">
        <f ca="1">SUMIFS('Сырье и материалы'!AG$25:AG$96,'Сырье и материалы'!$F$25:$F$96,$F30,'Сырье и материалы'!$I$25:$I$96,"Реагенты")</f>
        <v>0</v>
      </c>
      <c r="AH30" s="190">
        <f t="shared" ca="1" si="1"/>
        <v>0</v>
      </c>
      <c r="AI30" s="190">
        <f ca="1">SUMIFS('Сырье и материалы'!AH$25:AH$96,'Сырье и материалы'!$F$25:$F$96,$F30,'Сырье и материалы'!$I$25:$I$96,"Реагенты")</f>
        <v>0</v>
      </c>
      <c r="AJ30" s="190">
        <f ca="1">SUMIFS('Сырье и материалы'!AI$25:AI$96,'Сырье и материалы'!$F$25:$F$96,$F30,'Сырье и материалы'!$I$25:$I$96,"Реагенты")</f>
        <v>0</v>
      </c>
      <c r="AK30" s="190">
        <f ca="1">SUMIFS('Сырье и материалы'!AS$25:AS$96,'Сырье и материалы'!$F$25:$F$96,$F30,'Сырье и материалы'!$I$25:$I$96,"Реагенты")</f>
        <v>0</v>
      </c>
      <c r="AL30" s="190">
        <f t="shared" ca="1" si="2"/>
        <v>0</v>
      </c>
      <c r="AM30" s="784"/>
      <c r="AN30" s="788" t="str">
        <f ca="1">IF(IFERROR(INDEX('Сырье и материалы'!$K$26:$L$96,MATCH($F30&amp;"komm",'Сырье и материалы'!$K$26:$K$96,0),2),"")=0,"",IFERROR(INDEX('Сырье и материалы'!$K$26:$L$96,MATCH($F30&amp;"komm",'Сырье и материалы'!$K$26:$K$96,0),2),""))</f>
        <v/>
      </c>
      <c r="AO30" s="784"/>
      <c r="AR30" s="703" t="s">
        <v>1725</v>
      </c>
    </row>
    <row r="31" spans="1:48" ht="14.65" hidden="1" customHeight="1">
      <c r="E31" s="515">
        <v>15</v>
      </c>
      <c r="F31" s="3" cm="1">
        <f t="array" aca="1" ref="F31" ca="1">OFFSET(E31,-1,1)</f>
        <v>0</v>
      </c>
      <c r="I31" s="57" t="s">
        <v>1008</v>
      </c>
      <c r="J31" s="57"/>
      <c r="K31" s="57"/>
      <c r="L31" s="57"/>
      <c r="M31" s="57"/>
      <c r="N31" s="57"/>
      <c r="O31" s="57"/>
      <c r="P31" s="57"/>
      <c r="Q31" s="57"/>
      <c r="R31" s="57"/>
      <c r="S31" s="57"/>
      <c r="T31" s="365" t="b" cm="1">
        <f t="array" ref="T31">T30</f>
        <v>0</v>
      </c>
      <c r="X31" s="1123"/>
      <c r="Z31" s="1184"/>
      <c r="AB31" s="152" t="s">
        <v>1009</v>
      </c>
      <c r="AC31" s="153" t="s">
        <v>1726</v>
      </c>
      <c r="AD31" s="28" t="s">
        <v>804</v>
      </c>
      <c r="AE31" s="190">
        <f ca="1">SUMIFS('Сырье и материалы'!AE$25:AE$96,'Сырье и материалы'!$F$25:$F$96,$F31,'Сырье и материалы'!$I$25:$I$96,"Горюче-смазочные материалы")</f>
        <v>0</v>
      </c>
      <c r="AF31" s="190">
        <f ca="1">SUMIFS('Сырье и материалы'!AF$25:AF$96,'Сырье и материалы'!$F$25:$F$96,$F31,'Сырье и материалы'!$I$25:$I$96,"Горюче-смазочные материалы")</f>
        <v>0</v>
      </c>
      <c r="AG31" s="190">
        <f ca="1">SUMIFS('Сырье и материалы'!AG$25:AG$96,'Сырье и материалы'!$F$25:$F$96,$F31,'Сырье и материалы'!$I$25:$I$96,"Горюче-смазочные материалы")</f>
        <v>0</v>
      </c>
      <c r="AH31" s="190">
        <f t="shared" ca="1" si="1"/>
        <v>0</v>
      </c>
      <c r="AI31" s="190">
        <f ca="1">SUMIFS('Сырье и материалы'!AH$25:AH$96,'Сырье и материалы'!$F$25:$F$96,$F31,'Сырье и материалы'!$I$25:$I$96,"Горюче-смазочные материалы")</f>
        <v>0</v>
      </c>
      <c r="AJ31" s="190">
        <f ca="1">SUMIFS('Сырье и материалы'!AI$25:AI$96,'Сырье и материалы'!$F$25:$F$96,$F31,'Сырье и материалы'!$I$25:$I$96,"Горюче-смазочные материалы")</f>
        <v>0</v>
      </c>
      <c r="AK31" s="190">
        <f ca="1">SUMIFS('Сырье и материалы'!AS$25:AS$96,'Сырье и материалы'!$F$25:$F$96,$F31,'Сырье и материалы'!$I$25:$I$96,"Горюче-смазочные материалы")</f>
        <v>0</v>
      </c>
      <c r="AL31" s="190">
        <f t="shared" ca="1" si="2"/>
        <v>0</v>
      </c>
      <c r="AM31" s="784"/>
      <c r="AN31" s="784"/>
      <c r="AO31" s="784"/>
      <c r="AR31" s="703" t="s">
        <v>1727</v>
      </c>
    </row>
    <row r="32" spans="1:48" ht="14.65" hidden="1" customHeight="1">
      <c r="E32" s="515">
        <v>15</v>
      </c>
      <c r="F32" s="3" cm="1">
        <f t="array" aca="1" ref="F32" ca="1">OFFSET(E32,-1,1)</f>
        <v>0</v>
      </c>
      <c r="I32" s="57" t="s">
        <v>1311</v>
      </c>
      <c r="J32" s="57"/>
      <c r="K32" s="57"/>
      <c r="L32" s="57"/>
      <c r="M32" s="57"/>
      <c r="N32" s="57"/>
      <c r="O32" s="57"/>
      <c r="P32" s="57"/>
      <c r="Q32" s="57"/>
      <c r="R32" s="57"/>
      <c r="S32" s="57"/>
      <c r="T32" s="365" t="b" cm="1">
        <f t="array" ref="T32">T31</f>
        <v>0</v>
      </c>
      <c r="X32" s="1123"/>
      <c r="Z32" s="1184"/>
      <c r="AB32" s="152" t="s">
        <v>1312</v>
      </c>
      <c r="AC32" s="153" t="s">
        <v>1728</v>
      </c>
      <c r="AD32" s="28" t="s">
        <v>804</v>
      </c>
      <c r="AE32" s="190">
        <f ca="1">SUMIFS('Сырье и материалы'!AE$25:AE$96,'Сырье и материалы'!$F$25:$F$96,$F32,'Сырье и материалы'!$I$25:$I$96,"Материалы")</f>
        <v>0</v>
      </c>
      <c r="AF32" s="190">
        <f ca="1">SUMIFS('Сырье и материалы'!AF$25:AF$96,'Сырье и материалы'!$F$25:$F$96,$F32,'Сырье и материалы'!$I$25:$I$96,"Материалы")</f>
        <v>0</v>
      </c>
      <c r="AG32" s="190">
        <f ca="1">SUMIFS('Сырье и материалы'!AG$25:AG$96,'Сырье и материалы'!$F$25:$F$96,$F32,'Сырье и материалы'!$I$25:$I$96,"Материалы")</f>
        <v>0</v>
      </c>
      <c r="AH32" s="190">
        <f t="shared" ca="1" si="1"/>
        <v>0</v>
      </c>
      <c r="AI32" s="190">
        <f ca="1">SUMIFS('Сырье и материалы'!AH$25:AH$96,'Сырье и материалы'!$F$25:$F$96,$F32,'Сырье и материалы'!$I$25:$I$96,"Материалы")</f>
        <v>0</v>
      </c>
      <c r="AJ32" s="190">
        <f ca="1">SUMIFS('Сырье и материалы'!AI$25:AI$96,'Сырье и материалы'!$F$25:$F$96,$F32,'Сырье и материалы'!$I$25:$I$96,"Материалы")</f>
        <v>0</v>
      </c>
      <c r="AK32" s="190">
        <f ca="1">SUMIFS('Сырье и материалы'!AS$25:AS$96,'Сырье и материалы'!$F$25:$F$96,$F32,'Сырье и материалы'!$I$25:$I$96,"Материалы")</f>
        <v>0</v>
      </c>
      <c r="AL32" s="190">
        <f t="shared" ca="1" si="2"/>
        <v>0</v>
      </c>
      <c r="AM32" s="784"/>
      <c r="AN32" s="784"/>
      <c r="AO32" s="784"/>
      <c r="AR32" s="703" t="s">
        <v>1729</v>
      </c>
    </row>
    <row r="33" spans="5:48" s="434" customFormat="1" ht="21.95" hidden="1" customHeight="1">
      <c r="E33" s="516">
        <v>22.5</v>
      </c>
      <c r="F33" s="3" cm="1">
        <f t="array" aca="1" ref="F33" ca="1">OFFSET(E33,-1,1)</f>
        <v>0</v>
      </c>
      <c r="I33" s="173" t="s">
        <v>465</v>
      </c>
      <c r="J33" s="173"/>
      <c r="K33" s="173"/>
      <c r="L33" s="173"/>
      <c r="M33" s="173"/>
      <c r="N33" s="173"/>
      <c r="O33" s="173"/>
      <c r="P33" s="173"/>
      <c r="Q33" s="173"/>
      <c r="R33" s="173"/>
      <c r="S33" s="173"/>
      <c r="T33" s="365" t="b" cm="1">
        <f t="array" ref="T33">T32</f>
        <v>0</v>
      </c>
      <c r="X33" s="1123"/>
      <c r="Z33" s="1184"/>
      <c r="AB33" s="150" t="s">
        <v>900</v>
      </c>
      <c r="AC33" s="276" t="s">
        <v>1730</v>
      </c>
      <c r="AD33" s="166" t="s">
        <v>804</v>
      </c>
      <c r="AE33" s="145">
        <f ca="1">SUM(AE34:AE42)</f>
        <v>0</v>
      </c>
      <c r="AF33" s="145">
        <f ca="1">SUM(AF34:AF42)</f>
        <v>0</v>
      </c>
      <c r="AG33" s="145">
        <f ca="1">SUM(AG34:AG42)</f>
        <v>0</v>
      </c>
      <c r="AH33" s="145">
        <f t="shared" ca="1" si="1"/>
        <v>0</v>
      </c>
      <c r="AI33" s="145">
        <f ca="1">SUM(AI34:AI42)</f>
        <v>0</v>
      </c>
      <c r="AJ33" s="145">
        <f ca="1">SUM(AJ34:AJ42)</f>
        <v>0</v>
      </c>
      <c r="AK33" s="145">
        <f ca="1">SUM(AK34:AK42)</f>
        <v>0</v>
      </c>
      <c r="AL33" s="145">
        <f t="shared" ca="1" si="2"/>
        <v>0</v>
      </c>
      <c r="AM33" s="786"/>
      <c r="AN33" s="786"/>
      <c r="AO33" s="786"/>
      <c r="AR33" s="704" t="s">
        <v>1731</v>
      </c>
      <c r="AS33" s="704"/>
      <c r="AT33" s="704"/>
      <c r="AU33" s="516"/>
      <c r="AV33" s="516"/>
    </row>
    <row r="34" spans="5:48" ht="14.65" hidden="1" customHeight="1">
      <c r="E34" s="515">
        <v>15</v>
      </c>
      <c r="F34" s="3" cm="1">
        <f t="array" aca="1" ref="F34" ca="1">OFFSET(E34,-1,1)</f>
        <v>0</v>
      </c>
      <c r="I34" s="57" t="s">
        <v>1336</v>
      </c>
      <c r="J34" s="57"/>
      <c r="K34" s="57"/>
      <c r="L34" s="57"/>
      <c r="M34" s="57"/>
      <c r="N34" s="57"/>
      <c r="O34" s="57"/>
      <c r="P34" s="57"/>
      <c r="Q34" s="57"/>
      <c r="R34" s="57"/>
      <c r="S34" s="57"/>
      <c r="T34" s="365" t="b" cm="1">
        <f t="array" ref="T34">T33</f>
        <v>0</v>
      </c>
      <c r="X34" s="1123"/>
      <c r="Z34" s="1184"/>
      <c r="AB34" s="152" t="s">
        <v>1337</v>
      </c>
      <c r="AC34" s="153" t="s">
        <v>1732</v>
      </c>
      <c r="AD34" s="28" t="s">
        <v>804</v>
      </c>
      <c r="AE34" s="190">
        <f ca="1">SUMIFS(ЭЭ!AE$25:AE$109,ЭЭ!$F$25:$F$109,$F34,ЭЭ!$AC$25:$AC$109,"Всего по тарифу")</f>
        <v>0</v>
      </c>
      <c r="AF34" s="190">
        <f ca="1">SUMIFS(ЭЭ!AF$25:AF$109,ЭЭ!$F$25:$F$109,$F34,ЭЭ!$AC$25:$AC$109,"Всего по тарифу")</f>
        <v>0</v>
      </c>
      <c r="AG34" s="190">
        <f ca="1">SUMIFS(ЭЭ!AG$25:AG$109,ЭЭ!$F$25:$F$109,$F34,ЭЭ!$AC$25:$AC$109,"Всего по тарифу")</f>
        <v>0</v>
      </c>
      <c r="AH34" s="190">
        <f t="shared" ca="1" si="1"/>
        <v>0</v>
      </c>
      <c r="AI34" s="190">
        <f ca="1">SUMIFS(ЭЭ!AH$25:AH$109,ЭЭ!$F$25:$F$109,$F34,ЭЭ!$AC$25:$AC$109,"Всего по тарифу")</f>
        <v>0</v>
      </c>
      <c r="AJ34" s="190">
        <f ca="1">SUMIFS(ЭЭ!AI$25:AI$109,ЭЭ!$F$25:$F$109,$F34,ЭЭ!$AC$25:$AC$109,"Всего по тарифу")</f>
        <v>0</v>
      </c>
      <c r="AK34" s="190">
        <f ca="1">SUMIFS(ЭЭ!AS$25:AS$109,ЭЭ!$F$25:$F$109,$F34,ЭЭ!$AC$25:$AC$109,"Всего по тарифу")</f>
        <v>0</v>
      </c>
      <c r="AL34" s="190">
        <f t="shared" ca="1" si="2"/>
        <v>0</v>
      </c>
      <c r="AM34" s="784"/>
      <c r="AN34" s="788" t="str">
        <f ca="1">IF(IFERROR(INDEX(ЭЭ!$K$26:$L$109,MATCH($F34&amp;"komm",ЭЭ!$K$26:$K$109,0),2),"")=0,"",IFERROR(INDEX(ЭЭ!$K$26:$L$109,MATCH($F34&amp;"komm",ЭЭ!$K$26:$K$109,0),2),""))</f>
        <v/>
      </c>
      <c r="AO34" s="784"/>
      <c r="AR34" s="703" t="s">
        <v>1733</v>
      </c>
    </row>
    <row r="35" spans="5:48" ht="14.65" hidden="1" customHeight="1">
      <c r="E35" s="515">
        <v>15</v>
      </c>
      <c r="F35" s="3" cm="1">
        <f t="array" aca="1" ref="F35" ca="1">OFFSET(E35,-1,1)</f>
        <v>0</v>
      </c>
      <c r="G35" s="291" t="s">
        <v>1106</v>
      </c>
      <c r="I35" s="57" t="s">
        <v>1339</v>
      </c>
      <c r="J35" s="57"/>
      <c r="K35" s="57"/>
      <c r="L35" s="57"/>
      <c r="M35" s="57"/>
      <c r="N35" s="57"/>
      <c r="O35" s="57"/>
      <c r="P35" s="57"/>
      <c r="Q35" s="57"/>
      <c r="R35" s="57"/>
      <c r="S35" s="57"/>
      <c r="T35" s="365" t="b" cm="1">
        <f t="array" ref="T35">T34</f>
        <v>0</v>
      </c>
      <c r="X35" s="1123"/>
      <c r="Z35" s="1184"/>
      <c r="AB35" s="152" t="s">
        <v>1340</v>
      </c>
      <c r="AC35" s="153" t="s">
        <v>1734</v>
      </c>
      <c r="AD35" s="28" t="s">
        <v>804</v>
      </c>
      <c r="AE35" s="190">
        <f ca="1">SUMIFS(Покупка!AE$25:AE$254,Покупка!$F$25:$F$254,$F35,Покупка!$AC$25:$AC$254,$G35)</f>
        <v>0</v>
      </c>
      <c r="AF35" s="190">
        <f ca="1">SUMIFS(Покупка!AF$25:AF$254,Покупка!$F$25:$F$254,$F35,Покупка!$AC$25:$AC$254,$G35)</f>
        <v>0</v>
      </c>
      <c r="AG35" s="190">
        <f ca="1">SUMIFS(Покупка!AG$25:AG$254,Покупка!$F$25:$F$254,$F35,Покупка!$AC$25:$AC$254,$G35)</f>
        <v>0</v>
      </c>
      <c r="AH35" s="190">
        <f t="shared" ca="1" si="1"/>
        <v>0</v>
      </c>
      <c r="AI35" s="190">
        <f ca="1">SUMIFS(Покупка!AH$25:AH$254,Покупка!$F$25:$F$254,$F35,Покупка!$AC$25:$AC$254,$G35)</f>
        <v>0</v>
      </c>
      <c r="AJ35" s="190">
        <f ca="1">SUMIFS(Покупка!AI$25:AI$254,Покупка!$F$25:$F$254,$F35,Покупка!$AC$25:$AC$254,$G35)</f>
        <v>0</v>
      </c>
      <c r="AK35" s="190">
        <f ca="1">SUMIFS(Покупка!AS$25:AS$254,Покупка!$F$25:$F$254,$F35,Покупка!$AC$25:$AC$254,$G35)</f>
        <v>0</v>
      </c>
      <c r="AL35" s="190">
        <f t="shared" ca="1" si="2"/>
        <v>0</v>
      </c>
      <c r="AM35" s="784"/>
      <c r="AN35" s="788" t="str">
        <f ca="1">IF(IFERROR(INDEX(Покупка!$K$26:$L$254,MATCH($F35&amp;"6komm",Покупка!$K$26:$K$254,0),2),"")=0,"",IFERROR(INDEX(Покупка!$K$26:$L$254,MATCH($F35&amp;"6komm",Покупка!$K$26:$K$254,0),2),""))</f>
        <v/>
      </c>
      <c r="AO35" s="784"/>
      <c r="AR35" s="703" t="s">
        <v>1107</v>
      </c>
    </row>
    <row r="36" spans="5:48" ht="14.65" hidden="1" customHeight="1">
      <c r="E36" s="515">
        <v>15</v>
      </c>
      <c r="F36" s="3" cm="1">
        <f t="array" aca="1" ref="F36" ca="1">OFFSET(E36,-1,1)</f>
        <v>0</v>
      </c>
      <c r="G36" s="291" t="s">
        <v>1128</v>
      </c>
      <c r="I36" s="57" t="s">
        <v>1343</v>
      </c>
      <c r="J36" s="57"/>
      <c r="K36" s="57"/>
      <c r="L36" s="57"/>
      <c r="M36" s="57"/>
      <c r="N36" s="57"/>
      <c r="O36" s="57"/>
      <c r="P36" s="57"/>
      <c r="Q36" s="57"/>
      <c r="R36" s="57"/>
      <c r="S36" s="57"/>
      <c r="T36" s="365" t="b" cm="1">
        <f t="array" ref="T36">T35</f>
        <v>0</v>
      </c>
      <c r="X36" s="1123"/>
      <c r="Z36" s="1184"/>
      <c r="AB36" s="152" t="s">
        <v>1344</v>
      </c>
      <c r="AC36" s="153" t="s">
        <v>1735</v>
      </c>
      <c r="AD36" s="28" t="s">
        <v>804</v>
      </c>
      <c r="AE36" s="190">
        <f ca="1">SUMIFS(Покупка!AE$25:AE$254,Покупка!$F$25:$F$254,$F36,Покупка!$AC$25:$AC$254,$G36)</f>
        <v>0</v>
      </c>
      <c r="AF36" s="190">
        <f ca="1">SUMIFS(Покупка!AF$25:AF$254,Покупка!$F$25:$F$254,$F36,Покупка!$AC$25:$AC$254,$G36)</f>
        <v>0</v>
      </c>
      <c r="AG36" s="190">
        <f ca="1">SUMIFS(Покупка!AG$25:AG$254,Покупка!$F$25:$F$254,$F36,Покупка!$AC$25:$AC$254,$G36)</f>
        <v>0</v>
      </c>
      <c r="AH36" s="190">
        <f t="shared" ca="1" si="1"/>
        <v>0</v>
      </c>
      <c r="AI36" s="190">
        <f ca="1">SUMIFS(Покупка!AH$25:AH$254,Покупка!$F$25:$F$254,$F36,Покупка!$AC$25:$AC$254,$G36)</f>
        <v>0</v>
      </c>
      <c r="AJ36" s="190">
        <f ca="1">SUMIFS(Покупка!AI$25:AI$254,Покупка!$F$25:$F$254,$F36,Покупка!$AC$25:$AC$254,$G36)</f>
        <v>0</v>
      </c>
      <c r="AK36" s="190">
        <f ca="1">SUMIFS(Покупка!AS$25:AS$254,Покупка!$F$25:$F$254,$F36,Покупка!$AC$25:$AC$254,$G36)</f>
        <v>0</v>
      </c>
      <c r="AL36" s="190">
        <f t="shared" ca="1" si="2"/>
        <v>0</v>
      </c>
      <c r="AM36" s="784"/>
      <c r="AN36" s="788" t="str">
        <f ca="1">IF(IFERROR(INDEX(Покупка!$K$26:$L$254,MATCH($F36&amp;"7komm",Покупка!$K$26:$K$254,0),2),"")=0,"",IFERROR(INDEX(Покупка!$K$26:$L$254,MATCH($F36&amp;"7komm",Покупка!$K$26:$K$254,0),2),""))</f>
        <v/>
      </c>
      <c r="AO36" s="784"/>
      <c r="AR36" s="703" t="s">
        <v>1129</v>
      </c>
    </row>
    <row r="37" spans="5:48" ht="14.65" hidden="1" customHeight="1">
      <c r="E37" s="515">
        <v>15</v>
      </c>
      <c r="F37" s="3" cm="1">
        <f t="array" aca="1" ref="F37" ca="1">OFFSET(E37,-1,1)</f>
        <v>0</v>
      </c>
      <c r="G37" s="291" t="s">
        <v>1140</v>
      </c>
      <c r="I37" s="57" t="s">
        <v>1502</v>
      </c>
      <c r="J37" s="57"/>
      <c r="K37" s="57"/>
      <c r="L37" s="57"/>
      <c r="M37" s="57"/>
      <c r="N37" s="57"/>
      <c r="O37" s="57"/>
      <c r="P37" s="57"/>
      <c r="Q37" s="57"/>
      <c r="R37" s="57"/>
      <c r="S37" s="57"/>
      <c r="T37" s="365" t="b" cm="1">
        <f t="array" ref="T37">T36</f>
        <v>0</v>
      </c>
      <c r="X37" s="1123"/>
      <c r="Z37" s="1184"/>
      <c r="AB37" s="152" t="s">
        <v>1736</v>
      </c>
      <c r="AC37" s="153" t="s">
        <v>1737</v>
      </c>
      <c r="AD37" s="28" t="s">
        <v>804</v>
      </c>
      <c r="AE37" s="190">
        <f ca="1">SUMIFS(Покупка!AE$25:AE$254,Покупка!$F$25:$F$254,$F37,Покупка!$AC$25:$AC$254,$G37)</f>
        <v>0</v>
      </c>
      <c r="AF37" s="190">
        <f ca="1">SUMIFS(Покупка!AF$25:AF$254,Покупка!$F$25:$F$254,$F37,Покупка!$AC$25:$AC$254,$G37)</f>
        <v>0</v>
      </c>
      <c r="AG37" s="190">
        <f ca="1">SUMIFS(Покупка!AG$25:AG$254,Покупка!$F$25:$F$254,$F37,Покупка!$AC$25:$AC$254,$G37)</f>
        <v>0</v>
      </c>
      <c r="AH37" s="190">
        <f t="shared" ca="1" si="1"/>
        <v>0</v>
      </c>
      <c r="AI37" s="190">
        <f ca="1">SUMIFS(Покупка!AH$25:AH$254,Покупка!$F$25:$F$254,$F37,Покупка!$AC$25:$AC$254,$G37)</f>
        <v>0</v>
      </c>
      <c r="AJ37" s="190">
        <f ca="1">SUMIFS(Покупка!AI$25:AI$254,Покупка!$F$25:$F$254,$F37,Покупка!$AC$25:$AC$254,$G37)</f>
        <v>0</v>
      </c>
      <c r="AK37" s="190">
        <f ca="1">SUMIFS(Покупка!AS$25:AS$254,Покупка!$F$25:$F$254,$F37,Покупка!$AC$25:$AC$254,$G37)</f>
        <v>0</v>
      </c>
      <c r="AL37" s="190">
        <f t="shared" ca="1" si="2"/>
        <v>0</v>
      </c>
      <c r="AM37" s="784"/>
      <c r="AN37" s="788" t="str">
        <f ca="1">IF(IFERROR(INDEX(Покупка!$K$26:$L$254,MATCH($F37&amp;"9komm",Покупка!$K$26:$K$254,0),2),"")=0,"",IFERROR(INDEX(Покупка!$K$26:$L$254,MATCH($F37&amp;"9komm",Покупка!$K$26:$K$254,0),2),""))</f>
        <v/>
      </c>
      <c r="AO37" s="784"/>
      <c r="AR37" s="703" t="s">
        <v>1141</v>
      </c>
    </row>
    <row r="38" spans="5:48" ht="14.65" hidden="1" customHeight="1">
      <c r="E38" s="515">
        <v>15</v>
      </c>
      <c r="F38" s="3" cm="1">
        <f t="array" aca="1" ref="F38" ca="1">OFFSET(E38,-1,1)</f>
        <v>0</v>
      </c>
      <c r="G38" s="291" t="s">
        <v>1067</v>
      </c>
      <c r="I38" s="57" t="s">
        <v>1506</v>
      </c>
      <c r="J38" s="57"/>
      <c r="K38" s="57"/>
      <c r="L38" s="57"/>
      <c r="M38" s="57"/>
      <c r="N38" s="57"/>
      <c r="O38" s="57"/>
      <c r="P38" s="57"/>
      <c r="Q38" s="57"/>
      <c r="R38" s="57"/>
      <c r="S38" s="57"/>
      <c r="T38" s="365" t="b" cm="1">
        <f t="array" ref="T38">T37</f>
        <v>0</v>
      </c>
      <c r="X38" s="1123"/>
      <c r="Z38" s="1184"/>
      <c r="AB38" s="152" t="s">
        <v>1738</v>
      </c>
      <c r="AC38" s="153" t="s">
        <v>1739</v>
      </c>
      <c r="AD38" s="28" t="s">
        <v>804</v>
      </c>
      <c r="AE38" s="190">
        <f ca="1">SUMIFS(Покупка!AE$25:AE$254,Покупка!$F$25:$F$254,$F38,Покупка!$AC$25:$AC$254,$G38)</f>
        <v>0</v>
      </c>
      <c r="AF38" s="190">
        <f ca="1">SUMIFS(Покупка!AF$25:AF$254,Покупка!$F$25:$F$254,$F38,Покупка!$AC$25:$AC$254,$G38)</f>
        <v>0</v>
      </c>
      <c r="AG38" s="190">
        <f ca="1">SUMIFS(Покупка!AG$25:AG$254,Покупка!$F$25:$F$254,$F38,Покупка!$AC$25:$AC$254,$G38)</f>
        <v>0</v>
      </c>
      <c r="AH38" s="190">
        <f t="shared" ca="1" si="1"/>
        <v>0</v>
      </c>
      <c r="AI38" s="190">
        <f ca="1">SUMIFS(Покупка!AH$25:AH$254,Покупка!$F$25:$F$254,$F38,Покупка!$AC$25:$AC$254,$G38)</f>
        <v>0</v>
      </c>
      <c r="AJ38" s="190">
        <f ca="1">SUMIFS(Покупка!AI$25:AI$254,Покупка!$F$25:$F$254,$F38,Покупка!$AC$25:$AC$254,$G38)</f>
        <v>0</v>
      </c>
      <c r="AK38" s="190">
        <f ca="1">SUMIFS(Покупка!AS$25:AS$254,Покупка!$F$25:$F$254,$F38,Покупка!$AC$25:$AC$254,$G38)</f>
        <v>0</v>
      </c>
      <c r="AL38" s="190">
        <f t="shared" ca="1" si="2"/>
        <v>0</v>
      </c>
      <c r="AM38" s="784"/>
      <c r="AN38" s="788" t="str">
        <f ca="1">IF(IFERROR(INDEX(Покупка!$K$26:$L$254,MATCH($F38&amp;"1komm",Покупка!$K$26:$K$254,0),2),"")=0,"",IFERROR(INDEX(Покупка!$K$26:$L$254,MATCH($F38&amp;"1komm",Покупка!$K$26:$K$254,0),2),""))</f>
        <v/>
      </c>
      <c r="AO38" s="784"/>
      <c r="AR38" s="703" t="s">
        <v>1740</v>
      </c>
    </row>
    <row r="39" spans="5:48" ht="14.65" hidden="1" customHeight="1">
      <c r="E39" s="515">
        <v>15</v>
      </c>
      <c r="F39" s="3" cm="1">
        <f t="array" aca="1" ref="F39" ca="1">OFFSET(E39,-1,1)</f>
        <v>0</v>
      </c>
      <c r="G39" s="291" t="s">
        <v>1080</v>
      </c>
      <c r="I39" s="57" t="s">
        <v>1511</v>
      </c>
      <c r="J39" s="57"/>
      <c r="K39" s="57"/>
      <c r="L39" s="57"/>
      <c r="M39" s="57"/>
      <c r="N39" s="57"/>
      <c r="O39" s="57"/>
      <c r="P39" s="57"/>
      <c r="Q39" s="57"/>
      <c r="R39" s="57"/>
      <c r="S39" s="57"/>
      <c r="T39" s="365" t="b" cm="1">
        <f t="array" ref="T39">T38</f>
        <v>0</v>
      </c>
      <c r="X39" s="1123"/>
      <c r="Z39" s="1184"/>
      <c r="AB39" s="152" t="s">
        <v>1741</v>
      </c>
      <c r="AC39" s="153" t="s">
        <v>1742</v>
      </c>
      <c r="AD39" s="28" t="s">
        <v>804</v>
      </c>
      <c r="AE39" s="190">
        <f ca="1">SUMIFS(Покупка!AE$25:AE$254,Покупка!$F$25:$F$254,$F39,Покупка!$AC$25:$AC$254,$G39)</f>
        <v>0</v>
      </c>
      <c r="AF39" s="190">
        <f ca="1">SUMIFS(Покупка!AF$25:AF$254,Покупка!$F$25:$F$254,$F39,Покупка!$AC$25:$AC$254,$G39)</f>
        <v>0</v>
      </c>
      <c r="AG39" s="190">
        <f ca="1">SUMIFS(Покупка!AG$25:AG$254,Покупка!$F$25:$F$254,$F39,Покупка!$AC$25:$AC$254,$G39)</f>
        <v>0</v>
      </c>
      <c r="AH39" s="190">
        <f t="shared" ca="1" si="1"/>
        <v>0</v>
      </c>
      <c r="AI39" s="190">
        <f ca="1">SUMIFS(Покупка!AH$25:AH$254,Покупка!$F$25:$F$254,$F39,Покупка!$AC$25:$AC$254,$G39)</f>
        <v>0</v>
      </c>
      <c r="AJ39" s="190">
        <f ca="1">SUMIFS(Покупка!AI$25:AI$254,Покупка!$F$25:$F$254,$F39,Покупка!$AC$25:$AC$254,$G39)</f>
        <v>0</v>
      </c>
      <c r="AK39" s="190">
        <f ca="1">SUMIFS(Покупка!AS$25:AS$254,Покупка!$F$25:$F$254,$F39,Покупка!$AC$25:$AC$254,$G39)</f>
        <v>0</v>
      </c>
      <c r="AL39" s="190">
        <f t="shared" ca="1" si="2"/>
        <v>0</v>
      </c>
      <c r="AM39" s="784"/>
      <c r="AN39" s="788" t="str">
        <f ca="1">IF(IFERROR(INDEX(Покупка!$K$26:$L$254,MATCH($F39&amp;"2komm",Покупка!$K$26:$K$254,0),2),"")=0,"",IFERROR(INDEX(Покупка!$K$26:$L$254,MATCH($F39&amp;"2komm",Покупка!$K$26:$K$254,0),2),""))</f>
        <v/>
      </c>
      <c r="AO39" s="784"/>
      <c r="AR39" s="703" t="s">
        <v>1743</v>
      </c>
    </row>
    <row r="40" spans="5:48" ht="14.65" hidden="1" customHeight="1">
      <c r="E40" s="515">
        <v>15</v>
      </c>
      <c r="F40" s="3" cm="1">
        <f t="array" aca="1" ref="F40" ca="1">OFFSET(E40,-1,1)</f>
        <v>0</v>
      </c>
      <c r="G40" s="291" t="s">
        <v>1086</v>
      </c>
      <c r="I40" s="57" t="s">
        <v>1520</v>
      </c>
      <c r="J40" s="57"/>
      <c r="K40" s="57"/>
      <c r="L40" s="57"/>
      <c r="M40" s="57"/>
      <c r="N40" s="57"/>
      <c r="O40" s="57"/>
      <c r="P40" s="57"/>
      <c r="Q40" s="57"/>
      <c r="R40" s="57"/>
      <c r="S40" s="57"/>
      <c r="T40" s="365" t="b" cm="1">
        <f t="array" ref="T40">T39</f>
        <v>0</v>
      </c>
      <c r="X40" s="1123"/>
      <c r="Z40" s="1184"/>
      <c r="AB40" s="152" t="s">
        <v>1744</v>
      </c>
      <c r="AC40" s="153" t="s">
        <v>1745</v>
      </c>
      <c r="AD40" s="28" t="s">
        <v>804</v>
      </c>
      <c r="AE40" s="190">
        <f ca="1">SUMIFS(Покупка!AE$25:AE$254,Покупка!$F$25:$F$254,$F40,Покупка!$AC$25:$AC$254,$G40)</f>
        <v>0</v>
      </c>
      <c r="AF40" s="190">
        <f ca="1">SUMIFS(Покупка!AF$25:AF$254,Покупка!$F$25:$F$254,$F40,Покупка!$AC$25:$AC$254,$G40)</f>
        <v>0</v>
      </c>
      <c r="AG40" s="190">
        <f ca="1">SUMIFS(Покупка!AG$25:AG$254,Покупка!$F$25:$F$254,$F40,Покупка!$AC$25:$AC$254,$G40)</f>
        <v>0</v>
      </c>
      <c r="AH40" s="190">
        <f t="shared" ca="1" si="1"/>
        <v>0</v>
      </c>
      <c r="AI40" s="190">
        <f ca="1">SUMIFS(Покупка!AH$25:AH$254,Покупка!$F$25:$F$254,$F40,Покупка!$AC$25:$AC$254,$G40)</f>
        <v>0</v>
      </c>
      <c r="AJ40" s="190">
        <f ca="1">SUMIFS(Покупка!AI$25:AI$254,Покупка!$F$25:$F$254,$F40,Покупка!$AC$25:$AC$254,$G40)</f>
        <v>0</v>
      </c>
      <c r="AK40" s="190">
        <f ca="1">SUMIFS(Покупка!AS$25:AS$254,Покупка!$F$25:$F$254,$F40,Покупка!$AC$25:$AC$254,$G40)</f>
        <v>0</v>
      </c>
      <c r="AL40" s="190">
        <f t="shared" ca="1" si="2"/>
        <v>0</v>
      </c>
      <c r="AM40" s="784"/>
      <c r="AN40" s="788" t="str">
        <f ca="1">IF(IFERROR(INDEX(Покупка!$K$26:$L$254,MATCH($F40&amp;"3komm",Покупка!$K$26:$K$254,0),2),"")=0,"",IFERROR(INDEX(Покупка!$K$26:$L$254,MATCH($F40&amp;"3komm",Покупка!$K$26:$K$254,0),2),""))</f>
        <v/>
      </c>
      <c r="AO40" s="784"/>
      <c r="AR40" s="703" t="s">
        <v>1746</v>
      </c>
    </row>
    <row r="41" spans="5:48" ht="14.65" hidden="1" customHeight="1">
      <c r="E41" s="515">
        <v>15</v>
      </c>
      <c r="F41" s="3" cm="1">
        <f t="array" aca="1" ref="F41" ca="1">OFFSET(E41,-1,1)</f>
        <v>0</v>
      </c>
      <c r="G41" s="291" t="s">
        <v>1092</v>
      </c>
      <c r="I41" s="57" t="s">
        <v>1525</v>
      </c>
      <c r="J41" s="57"/>
      <c r="K41" s="57"/>
      <c r="L41" s="57"/>
      <c r="M41" s="57"/>
      <c r="N41" s="57"/>
      <c r="O41" s="57"/>
      <c r="P41" s="57"/>
      <c r="Q41" s="57"/>
      <c r="R41" s="57"/>
      <c r="S41" s="57"/>
      <c r="T41" s="365" t="b" cm="1">
        <f t="array" ref="T41">T40</f>
        <v>0</v>
      </c>
      <c r="X41" s="1123"/>
      <c r="Z41" s="1184"/>
      <c r="AB41" s="152" t="s">
        <v>1747</v>
      </c>
      <c r="AC41" s="153" t="s">
        <v>1748</v>
      </c>
      <c r="AD41" s="28" t="s">
        <v>804</v>
      </c>
      <c r="AE41" s="190">
        <f ca="1">SUMIFS(Покупка!AE$25:AE$254,Покупка!$F$25:$F$254,$F41,Покупка!$AC$25:$AC$254,$G41)</f>
        <v>0</v>
      </c>
      <c r="AF41" s="190">
        <f ca="1">SUMIFS(Покупка!AF$25:AF$254,Покупка!$F$25:$F$254,$F41,Покупка!$AC$25:$AC$254,$G41)</f>
        <v>0</v>
      </c>
      <c r="AG41" s="190">
        <f ca="1">SUMIFS(Покупка!AG$25:AG$254,Покупка!$F$25:$F$254,$F41,Покупка!$AC$25:$AC$254,$G41)</f>
        <v>0</v>
      </c>
      <c r="AH41" s="190">
        <f t="shared" ca="1" si="1"/>
        <v>0</v>
      </c>
      <c r="AI41" s="190">
        <f ca="1">SUMIFS(Покупка!AH$25:AH$254,Покупка!$F$25:$F$254,$F41,Покупка!$AC$25:$AC$254,$G41)</f>
        <v>0</v>
      </c>
      <c r="AJ41" s="190">
        <f ca="1">SUMIFS(Покупка!AI$25:AI$254,Покупка!$F$25:$F$254,$F41,Покупка!$AC$25:$AC$254,$G41)</f>
        <v>0</v>
      </c>
      <c r="AK41" s="190">
        <f ca="1">SUMIFS(Покупка!AS$25:AS$254,Покупка!$F$25:$F$254,$F41,Покупка!$AC$25:$AC$254,$G41)</f>
        <v>0</v>
      </c>
      <c r="AL41" s="190">
        <f t="shared" ca="1" si="2"/>
        <v>0</v>
      </c>
      <c r="AM41" s="784"/>
      <c r="AN41" s="788" t="str">
        <f ca="1">IF(IFERROR(INDEX(Покупка!$K$26:$L$254,MATCH($F41&amp;"4komm",Покупка!$K$26:$K$254,0),2),"")=0,"",IFERROR(INDEX(Покупка!$K$26:$L$254,MATCH($F41&amp;"4komm",Покупка!$K$26:$K$254,0),2),""))</f>
        <v/>
      </c>
      <c r="AO41" s="784"/>
      <c r="AR41" s="703" t="s">
        <v>1749</v>
      </c>
    </row>
    <row r="42" spans="5:48" ht="14.65" hidden="1" customHeight="1">
      <c r="E42" s="515">
        <v>15</v>
      </c>
      <c r="F42" s="3" cm="1">
        <f t="array" aca="1" ref="F42" ca="1">OFFSET(E42,-1,1)</f>
        <v>0</v>
      </c>
      <c r="G42" s="291" t="s">
        <v>1099</v>
      </c>
      <c r="I42" s="57" t="s">
        <v>1535</v>
      </c>
      <c r="J42" s="57"/>
      <c r="K42" s="57"/>
      <c r="L42" s="57"/>
      <c r="M42" s="57"/>
      <c r="N42" s="57"/>
      <c r="O42" s="57"/>
      <c r="P42" s="57"/>
      <c r="Q42" s="57"/>
      <c r="R42" s="57"/>
      <c r="S42" s="57"/>
      <c r="T42" s="365" t="b" cm="1">
        <f t="array" ref="T42">T41</f>
        <v>0</v>
      </c>
      <c r="X42" s="1123"/>
      <c r="Z42" s="1184"/>
      <c r="AB42" s="152" t="s">
        <v>1750</v>
      </c>
      <c r="AC42" s="153" t="s">
        <v>1751</v>
      </c>
      <c r="AD42" s="28" t="s">
        <v>804</v>
      </c>
      <c r="AE42" s="190">
        <f ca="1">SUMIFS(Покупка!AE$25:AE$254,Покупка!$F$25:$F$254,$F42,Покупка!$AC$25:$AC$254,$G42)</f>
        <v>0</v>
      </c>
      <c r="AF42" s="190">
        <f ca="1">SUMIFS(Покупка!AF$25:AF$254,Покупка!$F$25:$F$254,$F42,Покупка!$AC$25:$AC$254,$G42)</f>
        <v>0</v>
      </c>
      <c r="AG42" s="190">
        <f ca="1">SUMIFS(Покупка!AG$25:AG$254,Покупка!$F$25:$F$254,$F42,Покупка!$AC$25:$AC$254,$G42)</f>
        <v>0</v>
      </c>
      <c r="AH42" s="190">
        <f t="shared" ca="1" si="1"/>
        <v>0</v>
      </c>
      <c r="AI42" s="190">
        <f ca="1">SUMIFS(Покупка!AH$25:AH$254,Покупка!$F$25:$F$254,$F42,Покупка!$AC$25:$AC$254,$G42)</f>
        <v>0</v>
      </c>
      <c r="AJ42" s="190">
        <f ca="1">SUMIFS(Покупка!AI$25:AI$254,Покупка!$F$25:$F$254,$F42,Покупка!$AC$25:$AC$254,$G42)</f>
        <v>0</v>
      </c>
      <c r="AK42" s="190">
        <f ca="1">SUMIFS(Покупка!AS$25:AS$254,Покупка!$F$25:$F$254,$F42,Покупка!$AC$25:$AC$254,$G42)</f>
        <v>0</v>
      </c>
      <c r="AL42" s="190">
        <f t="shared" ca="1" si="2"/>
        <v>0</v>
      </c>
      <c r="AM42" s="784"/>
      <c r="AN42" s="788" t="str">
        <f ca="1">IF(IFERROR(INDEX(Покупка!$K$26:$L$254,MATCH($F42&amp;"5komm",Покупка!$K$26:$K$254,0),2),"")=0,"",IFERROR(INDEX(Покупка!$K$26:$L$254,MATCH($F42&amp;"5komm",Покупка!$K$26:$K$254,0),2),""))</f>
        <v/>
      </c>
      <c r="AO42" s="784"/>
      <c r="AR42" s="703" t="s">
        <v>1752</v>
      </c>
    </row>
    <row r="43" spans="5:48" s="434" customFormat="1" ht="43.9" hidden="1" customHeight="1">
      <c r="E43" s="516">
        <v>45</v>
      </c>
      <c r="F43" s="3" cm="1">
        <f t="array" aca="1" ref="F43" ca="1">OFFSET(E43,-1,1)</f>
        <v>0</v>
      </c>
      <c r="I43" s="173" t="s">
        <v>468</v>
      </c>
      <c r="J43" s="173"/>
      <c r="K43" s="173"/>
      <c r="L43" s="173"/>
      <c r="M43" s="173"/>
      <c r="N43" s="173"/>
      <c r="O43" s="173"/>
      <c r="P43" s="173"/>
      <c r="Q43" s="173"/>
      <c r="R43" s="173"/>
      <c r="S43" s="173"/>
      <c r="T43" s="365" t="b" cm="1">
        <f t="array" ref="T43">T42</f>
        <v>0</v>
      </c>
      <c r="X43" s="1123"/>
      <c r="Z43" s="1184"/>
      <c r="AB43" s="150" t="s">
        <v>903</v>
      </c>
      <c r="AC43" s="276" t="s">
        <v>1753</v>
      </c>
      <c r="AD43" s="166" t="s">
        <v>804</v>
      </c>
      <c r="AE43" s="783"/>
      <c r="AF43" s="783"/>
      <c r="AG43" s="783"/>
      <c r="AH43" s="145">
        <f t="shared" si="1"/>
        <v>0</v>
      </c>
      <c r="AI43" s="783"/>
      <c r="AJ43" s="783"/>
      <c r="AK43" s="783"/>
      <c r="AL43" s="145">
        <f t="shared" si="2"/>
        <v>0</v>
      </c>
      <c r="AM43" s="786"/>
      <c r="AN43" s="786"/>
      <c r="AO43" s="786"/>
      <c r="AR43" s="704" t="s">
        <v>1754</v>
      </c>
      <c r="AS43" s="704"/>
      <c r="AT43" s="704"/>
      <c r="AU43" s="516"/>
      <c r="AV43" s="516"/>
    </row>
    <row r="44" spans="5:48" s="434" customFormat="1" ht="43.9" hidden="1" customHeight="1">
      <c r="E44" s="516">
        <v>45</v>
      </c>
      <c r="F44" s="3" cm="1">
        <f t="array" aca="1" ref="F44" ca="1">OFFSET(E44,-1,1)</f>
        <v>0</v>
      </c>
      <c r="I44" s="173" t="s">
        <v>472</v>
      </c>
      <c r="J44" s="173"/>
      <c r="K44" s="173"/>
      <c r="L44" s="173"/>
      <c r="M44" s="173"/>
      <c r="N44" s="173"/>
      <c r="O44" s="173"/>
      <c r="P44" s="173"/>
      <c r="Q44" s="173"/>
      <c r="R44" s="173"/>
      <c r="S44" s="173"/>
      <c r="T44" s="365" t="b" cm="1">
        <f t="array" ref="T44">T43</f>
        <v>0</v>
      </c>
      <c r="X44" s="1123"/>
      <c r="Z44" s="1184"/>
      <c r="AB44" s="150" t="s">
        <v>906</v>
      </c>
      <c r="AC44" s="276" t="s">
        <v>1755</v>
      </c>
      <c r="AD44" s="166" t="s">
        <v>804</v>
      </c>
      <c r="AE44" s="145">
        <f ca="1">AE45+AE46</f>
        <v>0</v>
      </c>
      <c r="AF44" s="145">
        <f ca="1">AF45+AF46</f>
        <v>0</v>
      </c>
      <c r="AG44" s="145">
        <f ca="1">AG45+AG46</f>
        <v>0</v>
      </c>
      <c r="AH44" s="145">
        <f t="shared" ca="1" si="1"/>
        <v>0</v>
      </c>
      <c r="AI44" s="145">
        <f ca="1">AI45+AI46</f>
        <v>0</v>
      </c>
      <c r="AJ44" s="145">
        <f ca="1">AJ45+AJ46</f>
        <v>0</v>
      </c>
      <c r="AK44" s="145">
        <f ca="1">AK45+AK46</f>
        <v>0</v>
      </c>
      <c r="AL44" s="145">
        <f t="shared" ca="1" si="2"/>
        <v>0</v>
      </c>
      <c r="AM44" s="786"/>
      <c r="AN44" s="786"/>
      <c r="AO44" s="786"/>
      <c r="AR44" s="704" t="s">
        <v>1756</v>
      </c>
      <c r="AS44" s="704"/>
      <c r="AT44" s="704"/>
      <c r="AU44" s="516"/>
      <c r="AV44" s="516"/>
    </row>
    <row r="45" spans="5:48" ht="14.65" hidden="1" customHeight="1">
      <c r="E45" s="515">
        <v>15</v>
      </c>
      <c r="F45" s="3" cm="1">
        <f t="array" aca="1" ref="F45" ca="1">OFFSET(E45,-1,1)</f>
        <v>0</v>
      </c>
      <c r="G45" s="266" t="s">
        <v>1156</v>
      </c>
      <c r="I45" s="57" t="s">
        <v>1363</v>
      </c>
      <c r="J45" s="57"/>
      <c r="K45" s="57"/>
      <c r="L45" s="57"/>
      <c r="M45" s="57"/>
      <c r="N45" s="57"/>
      <c r="O45" s="57"/>
      <c r="P45" s="173"/>
      <c r="Q45" s="57"/>
      <c r="R45" s="57"/>
      <c r="S45" s="57"/>
      <c r="T45" s="365" t="b" cm="1">
        <f t="array" ref="T45">T44</f>
        <v>0</v>
      </c>
      <c r="X45" s="1123"/>
      <c r="Z45" s="1184"/>
      <c r="AB45" s="152" t="s">
        <v>1021</v>
      </c>
      <c r="AC45" s="153" t="s">
        <v>1757</v>
      </c>
      <c r="AD45" s="28" t="s">
        <v>804</v>
      </c>
      <c r="AE45" s="190">
        <f ca="1">SUMIFS(ФОТ!AE$25:AE$102,ФОТ!$F$25:$F$102,$F45,ФОТ!$G$25:$G$102,$G45)</f>
        <v>0</v>
      </c>
      <c r="AF45" s="190">
        <f ca="1">SUMIFS(ФОТ!AF$25:AF$102,ФОТ!$F$25:$F$102,$F45,ФОТ!$G$25:$G$102,$G45)</f>
        <v>0</v>
      </c>
      <c r="AG45" s="190">
        <f ca="1">SUMIFS(ФОТ!AG$25:AG$102,ФОТ!$F$25:$F$102,$F45,ФОТ!$G$25:$G$102,$G45)</f>
        <v>0</v>
      </c>
      <c r="AH45" s="190">
        <f t="shared" ca="1" si="1"/>
        <v>0</v>
      </c>
      <c r="AI45" s="190">
        <f ca="1">SUMIFS(ФОТ!AH$25:AH$102,ФОТ!$F$25:$F$102,$F45,ФОТ!$G$25:$G$102,$G45)</f>
        <v>0</v>
      </c>
      <c r="AJ45" s="190">
        <f ca="1">SUMIFS(ФОТ!AI$25:AI$102,ФОТ!$F$25:$F$102,$F45,ФОТ!$G$25:$G$102,$G45)</f>
        <v>0</v>
      </c>
      <c r="AK45" s="190">
        <f ca="1">SUMIFS(ФОТ!AJ$25:AJ$102,ФОТ!$F$25:$F$102,$F45,ФОТ!$G$25:$G$102,$G45)</f>
        <v>0</v>
      </c>
      <c r="AL45" s="190">
        <f t="shared" ca="1" si="2"/>
        <v>0</v>
      </c>
      <c r="AM45" s="784"/>
      <c r="AN45" s="788" t="str">
        <f ca="1">IF(IFERROR(INDEX(ФОТ!$K$26:$L$102,MATCH($F45&amp;"1komm",ФОТ!$K$26:$K$102,0),2),"")=0,"",IFERROR(INDEX(ФОТ!$K$26:$L$102,MATCH($F45&amp;"1komm",ФОТ!$K$26:$K$102,0),2),""))</f>
        <v/>
      </c>
      <c r="AO45" s="784"/>
      <c r="AR45" s="703" t="s">
        <v>1758</v>
      </c>
    </row>
    <row r="46" spans="5:48" ht="21.95" hidden="1" customHeight="1">
      <c r="E46" s="515">
        <v>22.5</v>
      </c>
      <c r="F46" s="3" cm="1">
        <f t="array" aca="1" ref="F46" ca="1">OFFSET(E46,-1,1)</f>
        <v>0</v>
      </c>
      <c r="G46" s="266" t="s">
        <v>1168</v>
      </c>
      <c r="I46" s="57" t="s">
        <v>1364</v>
      </c>
      <c r="J46" s="57"/>
      <c r="K46" s="57"/>
      <c r="L46" s="57"/>
      <c r="M46" s="57"/>
      <c r="N46" s="57"/>
      <c r="O46" s="57"/>
      <c r="P46" s="173"/>
      <c r="Q46" s="57"/>
      <c r="R46" s="57"/>
      <c r="S46" s="57"/>
      <c r="T46" s="365" t="b" cm="1">
        <f t="array" ref="T46">T45</f>
        <v>0</v>
      </c>
      <c r="X46" s="1123"/>
      <c r="Z46" s="1184"/>
      <c r="AB46" s="152" t="s">
        <v>1024</v>
      </c>
      <c r="AC46" s="153" t="s">
        <v>1759</v>
      </c>
      <c r="AD46" s="28" t="s">
        <v>804</v>
      </c>
      <c r="AE46" s="190">
        <f ca="1">SUMIFS(ФОТ!AE$25:AE$102,ФОТ!$F$25:$F$102,$F46,ФОТ!$G$25:$G$102,$G46)</f>
        <v>0</v>
      </c>
      <c r="AF46" s="190">
        <f ca="1">SUMIFS(ФОТ!AF$25:AF$102,ФОТ!$F$25:$F$102,$F46,ФОТ!$G$25:$G$102,$G46)</f>
        <v>0</v>
      </c>
      <c r="AG46" s="190">
        <f ca="1">SUMIFS(ФОТ!AG$25:AG$102,ФОТ!$F$25:$F$102,$F46,ФОТ!$G$25:$G$102,$G46)</f>
        <v>0</v>
      </c>
      <c r="AH46" s="190">
        <f t="shared" ca="1" si="1"/>
        <v>0</v>
      </c>
      <c r="AI46" s="190">
        <f ca="1">SUMIFS(ФОТ!AH$25:AH$102,ФОТ!$F$25:$F$102,$F46,ФОТ!$G$25:$G$102,$G46)</f>
        <v>0</v>
      </c>
      <c r="AJ46" s="190">
        <f ca="1">SUMIFS(ФОТ!AI$25:AI$102,ФОТ!$F$25:$F$102,$F46,ФОТ!$G$25:$G$102,$G46)</f>
        <v>0</v>
      </c>
      <c r="AK46" s="190">
        <f ca="1">SUMIFS(ФОТ!AJ$25:AJ$102,ФОТ!$F$25:$F$102,$F46,ФОТ!$G$25:$G$102,$G46)</f>
        <v>0</v>
      </c>
      <c r="AL46" s="190">
        <f t="shared" ca="1" si="2"/>
        <v>0</v>
      </c>
      <c r="AM46" s="784"/>
      <c r="AN46" s="788" t="str">
        <f ca="1">IF(IFERROR(INDEX(ФОТ!$K$26:$L$102,MATCH($F46&amp;"2komm",ФОТ!$K$26:$K$102,0),2),"")=0,"",IFERROR(INDEX(ФОТ!$K$26:$L$102,MATCH($F46&amp;"2komm",ФОТ!$K$26:$K$102,0),2),""))</f>
        <v/>
      </c>
      <c r="AO46" s="784"/>
      <c r="AR46" s="703" t="s">
        <v>1760</v>
      </c>
    </row>
    <row r="47" spans="5:48" s="434" customFormat="1" ht="14.65" hidden="1" customHeight="1">
      <c r="E47" s="516">
        <v>15</v>
      </c>
      <c r="F47" s="3" cm="1">
        <f t="array" aca="1" ref="F47" ca="1">OFFSET(E47,-1,1)</f>
        <v>0</v>
      </c>
      <c r="I47" s="173" t="s">
        <v>909</v>
      </c>
      <c r="J47" s="173"/>
      <c r="K47" s="173"/>
      <c r="L47" s="173"/>
      <c r="M47" s="173"/>
      <c r="N47" s="173"/>
      <c r="O47" s="173"/>
      <c r="P47" s="173"/>
      <c r="Q47" s="173"/>
      <c r="R47" s="173"/>
      <c r="S47" s="173"/>
      <c r="T47" s="365" t="b" cm="1">
        <f t="array" ref="T47">T46</f>
        <v>0</v>
      </c>
      <c r="X47" s="1123"/>
      <c r="Z47" s="1184"/>
      <c r="AB47" s="150" t="s">
        <v>910</v>
      </c>
      <c r="AC47" s="276" t="s">
        <v>1761</v>
      </c>
      <c r="AD47" s="166" t="s">
        <v>804</v>
      </c>
      <c r="AE47" s="783"/>
      <c r="AF47" s="783"/>
      <c r="AG47" s="783"/>
      <c r="AH47" s="145">
        <f t="shared" si="1"/>
        <v>0</v>
      </c>
      <c r="AI47" s="783"/>
      <c r="AJ47" s="783"/>
      <c r="AK47" s="783"/>
      <c r="AL47" s="145">
        <f t="shared" si="2"/>
        <v>0</v>
      </c>
      <c r="AM47" s="786"/>
      <c r="AN47" s="786"/>
      <c r="AO47" s="786"/>
      <c r="AR47" s="704" t="s">
        <v>1342</v>
      </c>
      <c r="AS47" s="704"/>
      <c r="AT47" s="704"/>
      <c r="AU47" s="516"/>
      <c r="AV47" s="516"/>
    </row>
    <row r="48" spans="5:48" s="434" customFormat="1" ht="14.65" hidden="1" customHeight="1">
      <c r="E48" s="516">
        <v>15</v>
      </c>
      <c r="F48" s="3" cm="1">
        <f t="array" aca="1" ref="F48" ca="1">OFFSET(E48,-1,1)</f>
        <v>0</v>
      </c>
      <c r="I48" s="173" t="s">
        <v>1762</v>
      </c>
      <c r="J48" s="173"/>
      <c r="K48" s="173"/>
      <c r="L48" s="173"/>
      <c r="M48" s="173"/>
      <c r="N48" s="173"/>
      <c r="O48" s="173"/>
      <c r="P48" s="173"/>
      <c r="Q48" s="173"/>
      <c r="R48" s="173"/>
      <c r="S48" s="173"/>
      <c r="T48" s="365" t="b" cm="1">
        <f t="array" ref="T48">T47</f>
        <v>0</v>
      </c>
      <c r="X48" s="1123"/>
      <c r="Z48" s="1184"/>
      <c r="AB48" s="150" t="s">
        <v>1763</v>
      </c>
      <c r="AC48" s="276" t="s">
        <v>1764</v>
      </c>
      <c r="AD48" s="166" t="s">
        <v>804</v>
      </c>
      <c r="AE48" s="783"/>
      <c r="AF48" s="783"/>
      <c r="AG48" s="783"/>
      <c r="AH48" s="145">
        <f t="shared" si="1"/>
        <v>0</v>
      </c>
      <c r="AI48" s="783"/>
      <c r="AJ48" s="783"/>
      <c r="AK48" s="783"/>
      <c r="AL48" s="145">
        <f t="shared" si="2"/>
        <v>0</v>
      </c>
      <c r="AM48" s="786"/>
      <c r="AN48" s="786"/>
      <c r="AO48" s="786"/>
      <c r="AR48" s="704" t="s">
        <v>1765</v>
      </c>
      <c r="AS48" s="704"/>
      <c r="AT48" s="704"/>
      <c r="AU48" s="516"/>
      <c r="AV48" s="516"/>
    </row>
    <row r="49" spans="5:48" s="434" customFormat="1" ht="14.65" hidden="1" customHeight="1">
      <c r="E49" s="516">
        <v>15</v>
      </c>
      <c r="F49" s="3" cm="1">
        <f t="array" aca="1" ref="F49" ca="1">OFFSET(E49,-1,1)</f>
        <v>0</v>
      </c>
      <c r="I49" s="173" t="s">
        <v>1766</v>
      </c>
      <c r="J49" s="173"/>
      <c r="K49" s="173"/>
      <c r="L49" s="173"/>
      <c r="M49" s="173"/>
      <c r="N49" s="173"/>
      <c r="O49" s="173"/>
      <c r="P49" s="173"/>
      <c r="Q49" s="173"/>
      <c r="R49" s="173"/>
      <c r="S49" s="173"/>
      <c r="T49" s="365" t="b" cm="1">
        <f t="array" ref="T49">T48</f>
        <v>0</v>
      </c>
      <c r="X49" s="1123"/>
      <c r="Z49" s="1184"/>
      <c r="AB49" s="150" t="s">
        <v>1767</v>
      </c>
      <c r="AC49" s="276" t="s">
        <v>1768</v>
      </c>
      <c r="AD49" s="166" t="s">
        <v>804</v>
      </c>
      <c r="AE49" s="145">
        <f>SUM(AE50:AE55)</f>
        <v>0</v>
      </c>
      <c r="AF49" s="145">
        <f>SUM(AF50:AF55)</f>
        <v>0</v>
      </c>
      <c r="AG49" s="145">
        <f>SUM(AG50:AG55)</f>
        <v>0</v>
      </c>
      <c r="AH49" s="145">
        <f t="shared" si="1"/>
        <v>0</v>
      </c>
      <c r="AI49" s="145">
        <f>SUM(AI50:AI55)</f>
        <v>0</v>
      </c>
      <c r="AJ49" s="145">
        <f>SUM(AJ50:AJ55)</f>
        <v>0</v>
      </c>
      <c r="AK49" s="145">
        <f>SUM(AK50:AK55)</f>
        <v>0</v>
      </c>
      <c r="AL49" s="145">
        <f t="shared" si="2"/>
        <v>0</v>
      </c>
      <c r="AM49" s="786"/>
      <c r="AN49" s="786"/>
      <c r="AO49" s="786"/>
      <c r="AR49" s="704" t="s">
        <v>1769</v>
      </c>
      <c r="AS49" s="704"/>
      <c r="AT49" s="704"/>
      <c r="AU49" s="516"/>
      <c r="AV49" s="516"/>
    </row>
    <row r="50" spans="5:48" ht="14.65" hidden="1" customHeight="1">
      <c r="E50" s="515">
        <v>15</v>
      </c>
      <c r="F50" s="3" cm="1">
        <f t="array" aca="1" ref="F50" ca="1">OFFSET(E50,-1,1)</f>
        <v>0</v>
      </c>
      <c r="I50" s="57" t="s">
        <v>1766</v>
      </c>
      <c r="J50" s="291" t="s">
        <v>1770</v>
      </c>
      <c r="L50" s="57"/>
      <c r="M50" s="57"/>
      <c r="N50" s="57"/>
      <c r="O50" s="57"/>
      <c r="P50" s="57"/>
      <c r="Q50" s="57"/>
      <c r="R50" s="57"/>
      <c r="S50" s="57"/>
      <c r="T50" s="365" t="b" cm="1">
        <f t="array" ref="T50">T49</f>
        <v>0</v>
      </c>
      <c r="X50" s="1123"/>
      <c r="Z50" s="1184"/>
      <c r="AB50" s="152" t="s">
        <v>1771</v>
      </c>
      <c r="AC50" s="153" t="s">
        <v>1772</v>
      </c>
      <c r="AD50" s="28" t="s">
        <v>804</v>
      </c>
      <c r="AE50" s="787"/>
      <c r="AF50" s="787"/>
      <c r="AG50" s="787"/>
      <c r="AH50" s="190">
        <f t="shared" si="1"/>
        <v>0</v>
      </c>
      <c r="AI50" s="787"/>
      <c r="AJ50" s="787"/>
      <c r="AK50" s="787"/>
      <c r="AL50" s="190">
        <f t="shared" si="2"/>
        <v>0</v>
      </c>
      <c r="AM50" s="784"/>
      <c r="AN50" s="784"/>
      <c r="AO50" s="784"/>
      <c r="AR50" s="703" t="s">
        <v>1773</v>
      </c>
    </row>
    <row r="51" spans="5:48" ht="14.65" hidden="1" customHeight="1">
      <c r="E51" s="515">
        <v>15</v>
      </c>
      <c r="F51" s="3" cm="1">
        <f t="array" aca="1" ref="F51" ca="1">OFFSET(E51,-1,1)</f>
        <v>0</v>
      </c>
      <c r="I51" s="57" t="s">
        <v>1766</v>
      </c>
      <c r="J51" s="291" t="s">
        <v>1774</v>
      </c>
      <c r="L51" s="57"/>
      <c r="M51" s="57"/>
      <c r="N51" s="57"/>
      <c r="O51" s="57"/>
      <c r="P51" s="57"/>
      <c r="Q51" s="57"/>
      <c r="R51" s="57"/>
      <c r="S51" s="57"/>
      <c r="T51" s="365" t="b" cm="1">
        <f t="array" ref="T51">T50</f>
        <v>0</v>
      </c>
      <c r="X51" s="1123"/>
      <c r="Z51" s="1184"/>
      <c r="AB51" s="152" t="s">
        <v>1775</v>
      </c>
      <c r="AC51" s="153" t="s">
        <v>1776</v>
      </c>
      <c r="AD51" s="28" t="s">
        <v>804</v>
      </c>
      <c r="AE51" s="787"/>
      <c r="AF51" s="787"/>
      <c r="AG51" s="787"/>
      <c r="AH51" s="190">
        <f t="shared" si="1"/>
        <v>0</v>
      </c>
      <c r="AI51" s="787"/>
      <c r="AJ51" s="787"/>
      <c r="AK51" s="787"/>
      <c r="AL51" s="190">
        <f t="shared" si="2"/>
        <v>0</v>
      </c>
      <c r="AM51" s="784"/>
      <c r="AN51" s="784"/>
      <c r="AO51" s="784"/>
      <c r="AR51" s="703" t="s">
        <v>1777</v>
      </c>
    </row>
    <row r="52" spans="5:48" ht="14.65" hidden="1" customHeight="1">
      <c r="E52" s="515">
        <v>15</v>
      </c>
      <c r="F52" s="3" cm="1">
        <f t="array" aca="1" ref="F52" ca="1">OFFSET(E52,-1,1)</f>
        <v>0</v>
      </c>
      <c r="I52" s="57" t="s">
        <v>1766</v>
      </c>
      <c r="J52" s="291" t="s">
        <v>1778</v>
      </c>
      <c r="L52" s="57"/>
      <c r="M52" s="57"/>
      <c r="N52" s="57"/>
      <c r="O52" s="57"/>
      <c r="P52" s="57"/>
      <c r="Q52" s="57"/>
      <c r="R52" s="57"/>
      <c r="S52" s="57"/>
      <c r="T52" s="365" t="b" cm="1">
        <f t="array" ref="T52">T51</f>
        <v>0</v>
      </c>
      <c r="X52" s="1123"/>
      <c r="Z52" s="1184"/>
      <c r="AB52" s="152" t="s">
        <v>1779</v>
      </c>
      <c r="AC52" s="153" t="s">
        <v>1780</v>
      </c>
      <c r="AD52" s="28" t="s">
        <v>804</v>
      </c>
      <c r="AE52" s="787"/>
      <c r="AF52" s="787"/>
      <c r="AG52" s="787"/>
      <c r="AH52" s="190">
        <f t="shared" si="1"/>
        <v>0</v>
      </c>
      <c r="AI52" s="787"/>
      <c r="AJ52" s="787"/>
      <c r="AK52" s="787"/>
      <c r="AL52" s="190">
        <f t="shared" si="2"/>
        <v>0</v>
      </c>
      <c r="AM52" s="784"/>
      <c r="AN52" s="784"/>
      <c r="AO52" s="784"/>
      <c r="AR52" s="703" t="s">
        <v>1781</v>
      </c>
    </row>
    <row r="53" spans="5:48" ht="14.65" hidden="1" customHeight="1">
      <c r="E53" s="515">
        <v>15</v>
      </c>
      <c r="F53" s="3" cm="1">
        <f t="array" aca="1" ref="F53" ca="1">OFFSET(E53,-1,1)</f>
        <v>0</v>
      </c>
      <c r="I53" s="57" t="s">
        <v>1766</v>
      </c>
      <c r="J53" s="291" t="s">
        <v>1782</v>
      </c>
      <c r="L53" s="57"/>
      <c r="M53" s="57"/>
      <c r="N53" s="57"/>
      <c r="O53" s="57"/>
      <c r="P53" s="57"/>
      <c r="Q53" s="57"/>
      <c r="R53" s="57"/>
      <c r="S53" s="57"/>
      <c r="T53" s="365" t="b" cm="1">
        <f t="array" ref="T53">T52</f>
        <v>0</v>
      </c>
      <c r="X53" s="1123"/>
      <c r="Z53" s="1184"/>
      <c r="AB53" s="152" t="s">
        <v>1783</v>
      </c>
      <c r="AC53" s="153" t="s">
        <v>1784</v>
      </c>
      <c r="AD53" s="28" t="s">
        <v>804</v>
      </c>
      <c r="AE53" s="787"/>
      <c r="AF53" s="787"/>
      <c r="AG53" s="787"/>
      <c r="AH53" s="190">
        <f t="shared" si="1"/>
        <v>0</v>
      </c>
      <c r="AI53" s="787"/>
      <c r="AJ53" s="787"/>
      <c r="AK53" s="787"/>
      <c r="AL53" s="190">
        <f t="shared" si="2"/>
        <v>0</v>
      </c>
      <c r="AM53" s="784"/>
      <c r="AN53" s="784"/>
      <c r="AO53" s="784"/>
      <c r="AR53" s="703" t="s">
        <v>1785</v>
      </c>
    </row>
    <row r="54" spans="5:48" ht="14.65" hidden="1" customHeight="1">
      <c r="E54" s="515">
        <v>15</v>
      </c>
      <c r="F54" s="3" cm="1">
        <f t="array" aca="1" ref="F54" ca="1">OFFSET(E54,-1,1)</f>
        <v>0</v>
      </c>
      <c r="I54" s="57" t="s">
        <v>1766</v>
      </c>
      <c r="J54" s="291" cm="1">
        <f t="array" ref="J54">AC54</f>
        <v>0</v>
      </c>
      <c r="L54" s="57"/>
      <c r="M54" s="57"/>
      <c r="N54" s="57"/>
      <c r="O54" s="57"/>
      <c r="P54" s="57"/>
      <c r="Q54" s="57"/>
      <c r="R54" s="57"/>
      <c r="S54" s="57"/>
      <c r="T54" s="365" t="b">
        <f ca="1">AND(F54&gt;0,Y54&gt;4)</f>
        <v>0</v>
      </c>
      <c r="W54" s="528" t="s">
        <v>173</v>
      </c>
      <c r="X54" s="1123"/>
      <c r="Y54" s="291">
        <v>4</v>
      </c>
      <c r="Z54" s="1184"/>
      <c r="AA54" s="493" t="s">
        <v>174</v>
      </c>
      <c r="AB54" s="511" t="str">
        <f>"1.7."&amp;Y54</f>
        <v>1.7.4</v>
      </c>
      <c r="AC54" s="789"/>
      <c r="AD54" s="28" t="s">
        <v>804</v>
      </c>
      <c r="AE54" s="787"/>
      <c r="AF54" s="787"/>
      <c r="AG54" s="787"/>
      <c r="AH54" s="190">
        <f t="shared" si="1"/>
        <v>0</v>
      </c>
      <c r="AI54" s="787"/>
      <c r="AJ54" s="787"/>
      <c r="AK54" s="787"/>
      <c r="AL54" s="190">
        <f t="shared" si="2"/>
        <v>0</v>
      </c>
      <c r="AM54" s="784"/>
      <c r="AN54" s="784"/>
      <c r="AO54" s="784"/>
      <c r="AR54" s="703" t="s">
        <v>1786</v>
      </c>
      <c r="AS54" s="703" t="s">
        <v>1142</v>
      </c>
      <c r="AT54" s="703" cm="1">
        <f t="array" ref="AT54">AC54</f>
        <v>0</v>
      </c>
      <c r="AV54" s="515" t="b">
        <v>1</v>
      </c>
    </row>
    <row r="55" spans="5:48" ht="14.65" hidden="1" customHeight="1">
      <c r="E55" s="515">
        <v>15</v>
      </c>
      <c r="F55" s="3" cm="1">
        <f t="array" aca="1" ref="F55" ca="1">OFFSET(E55,-1,1)</f>
        <v>0</v>
      </c>
      <c r="I55" s="36"/>
      <c r="J55" s="36" t="s">
        <v>1787</v>
      </c>
      <c r="K55" s="36"/>
      <c r="L55" s="36"/>
      <c r="M55" s="36"/>
      <c r="N55" s="36"/>
      <c r="O55" s="36"/>
      <c r="P55" s="36"/>
      <c r="Q55" s="36"/>
      <c r="R55" s="36"/>
      <c r="S55" s="36"/>
      <c r="T55" s="365" t="b">
        <f ca="1">F55&gt;0</f>
        <v>0</v>
      </c>
      <c r="W55" s="517" t="s">
        <v>392</v>
      </c>
      <c r="X55" s="1123"/>
      <c r="Z55" s="1184"/>
      <c r="AB55" s="556"/>
      <c r="AC55" s="191" t="s">
        <v>177</v>
      </c>
      <c r="AD55" s="557"/>
      <c r="AE55" s="557"/>
      <c r="AF55" s="557"/>
      <c r="AG55" s="557"/>
      <c r="AH55" s="557"/>
      <c r="AI55" s="557"/>
      <c r="AJ55" s="557"/>
      <c r="AK55" s="557"/>
      <c r="AL55" s="557"/>
      <c r="AM55" s="557"/>
      <c r="AN55" s="557"/>
      <c r="AO55" s="558"/>
      <c r="AU55" s="515" t="s">
        <v>1142</v>
      </c>
    </row>
    <row r="56" spans="5:48" s="434" customFormat="1" ht="14.65" hidden="1" customHeight="1">
      <c r="E56" s="516">
        <v>15</v>
      </c>
      <c r="F56" s="3" cm="1">
        <f t="array" aca="1" ref="F56" ca="1">OFFSET(E56,-1,1)</f>
        <v>0</v>
      </c>
      <c r="I56" s="173" t="s">
        <v>328</v>
      </c>
      <c r="J56" s="173"/>
      <c r="K56" s="173"/>
      <c r="L56" s="173"/>
      <c r="M56" s="173"/>
      <c r="N56" s="173"/>
      <c r="O56" s="173"/>
      <c r="P56" s="173"/>
      <c r="Q56" s="173"/>
      <c r="R56" s="173"/>
      <c r="S56" s="173"/>
      <c r="T56" s="365" t="b" cm="1">
        <f t="array" aca="1" ref="T56" ca="1">T55</f>
        <v>0</v>
      </c>
      <c r="X56" s="1123"/>
      <c r="Z56" s="1184"/>
      <c r="AB56" s="150" t="s">
        <v>285</v>
      </c>
      <c r="AC56" s="151" t="s">
        <v>1788</v>
      </c>
      <c r="AD56" s="143" t="s">
        <v>804</v>
      </c>
      <c r="AE56" s="145">
        <f ca="1">AE57+AE58</f>
        <v>0</v>
      </c>
      <c r="AF56" s="145">
        <f ca="1">AF57+AF58</f>
        <v>0</v>
      </c>
      <c r="AG56" s="145">
        <f ca="1">AG57+AG58</f>
        <v>0</v>
      </c>
      <c r="AH56" s="145">
        <f t="shared" ref="AH56:AH81" ca="1" si="3">AG56-AF56</f>
        <v>0</v>
      </c>
      <c r="AI56" s="145">
        <f ca="1">AI57+AI58</f>
        <v>0</v>
      </c>
      <c r="AJ56" s="145">
        <f ca="1">AJ57+AJ58</f>
        <v>0</v>
      </c>
      <c r="AK56" s="145">
        <f ca="1">AK57+AK58</f>
        <v>0</v>
      </c>
      <c r="AL56" s="145">
        <f t="shared" ref="AL56:AL95" ca="1" si="4">IF(AI56=0,0,(AK56-AI56)/AI56*100)</f>
        <v>0</v>
      </c>
      <c r="AM56" s="786"/>
      <c r="AN56" s="786"/>
      <c r="AO56" s="786"/>
      <c r="AR56" s="704" t="s">
        <v>1789</v>
      </c>
      <c r="AS56" s="704"/>
      <c r="AT56" s="704"/>
      <c r="AU56" s="516"/>
      <c r="AV56" s="516"/>
    </row>
    <row r="57" spans="5:48" ht="32.85" hidden="1" customHeight="1">
      <c r="E57" s="515">
        <v>33.75</v>
      </c>
      <c r="F57" s="3" cm="1">
        <f t="array" aca="1" ref="F57" ca="1">OFFSET(E57,-1,1)</f>
        <v>0</v>
      </c>
      <c r="I57" s="57" t="s">
        <v>479</v>
      </c>
      <c r="J57" s="57"/>
      <c r="K57" s="57"/>
      <c r="L57" s="57"/>
      <c r="M57" s="57"/>
      <c r="N57" s="57"/>
      <c r="O57" s="57"/>
      <c r="P57" s="57"/>
      <c r="Q57" s="57"/>
      <c r="R57" s="57"/>
      <c r="S57" s="57"/>
      <c r="T57" s="365" t="b" cm="1">
        <f t="array" aca="1" ref="T57" ca="1">T56</f>
        <v>0</v>
      </c>
      <c r="X57" s="1123"/>
      <c r="Z57" s="1184"/>
      <c r="AB57" s="152" t="s">
        <v>537</v>
      </c>
      <c r="AC57" s="146" t="s">
        <v>1790</v>
      </c>
      <c r="AD57" s="26" t="s">
        <v>804</v>
      </c>
      <c r="AE57" s="787"/>
      <c r="AF57" s="787"/>
      <c r="AG57" s="787"/>
      <c r="AH57" s="190">
        <f t="shared" si="3"/>
        <v>0</v>
      </c>
      <c r="AI57" s="787"/>
      <c r="AJ57" s="787"/>
      <c r="AK57" s="787"/>
      <c r="AL57" s="190">
        <f t="shared" si="4"/>
        <v>0</v>
      </c>
      <c r="AM57" s="784"/>
      <c r="AN57" s="784"/>
      <c r="AO57" s="784"/>
      <c r="AR57" s="703" t="s">
        <v>1791</v>
      </c>
    </row>
    <row r="58" spans="5:48" ht="35.1" hidden="1" customHeight="1">
      <c r="E58" s="515">
        <v>36</v>
      </c>
      <c r="F58" s="3" cm="1">
        <f t="array" aca="1" ref="F58" ca="1">OFFSET(E58,-1,1)</f>
        <v>0</v>
      </c>
      <c r="I58" s="57" t="s">
        <v>482</v>
      </c>
      <c r="J58" s="57"/>
      <c r="K58" s="57"/>
      <c r="L58" s="57"/>
      <c r="M58" s="57"/>
      <c r="N58" s="57"/>
      <c r="O58" s="57"/>
      <c r="P58" s="57"/>
      <c r="Q58" s="57"/>
      <c r="R58" s="57"/>
      <c r="S58" s="57"/>
      <c r="T58" s="365" t="b" cm="1">
        <f t="array" aca="1" ref="T58" ca="1">T57</f>
        <v>0</v>
      </c>
      <c r="X58" s="1123"/>
      <c r="Z58" s="1184"/>
      <c r="AB58" s="152" t="s">
        <v>541</v>
      </c>
      <c r="AC58" s="146" t="s">
        <v>1792</v>
      </c>
      <c r="AD58" s="26" t="s">
        <v>804</v>
      </c>
      <c r="AE58" s="190">
        <f ca="1">AE59+AE60</f>
        <v>0</v>
      </c>
      <c r="AF58" s="190">
        <f ca="1">AF59+AF60</f>
        <v>0</v>
      </c>
      <c r="AG58" s="190">
        <f ca="1">AG59+AG60</f>
        <v>0</v>
      </c>
      <c r="AH58" s="190">
        <f t="shared" ca="1" si="3"/>
        <v>0</v>
      </c>
      <c r="AI58" s="190">
        <f ca="1">AI59+AI60</f>
        <v>0</v>
      </c>
      <c r="AJ58" s="190">
        <f ca="1">AJ59+AJ60</f>
        <v>0</v>
      </c>
      <c r="AK58" s="190">
        <f ca="1">AK59+AK60</f>
        <v>0</v>
      </c>
      <c r="AL58" s="190">
        <f t="shared" ca="1" si="4"/>
        <v>0</v>
      </c>
      <c r="AM58" s="784"/>
      <c r="AN58" s="784"/>
      <c r="AO58" s="784"/>
      <c r="AR58" s="703" t="s">
        <v>1793</v>
      </c>
    </row>
    <row r="59" spans="5:48" ht="14.65" hidden="1" customHeight="1">
      <c r="E59" s="515">
        <v>15</v>
      </c>
      <c r="F59" s="3" cm="1">
        <f t="array" aca="1" ref="F59" ca="1">OFFSET(E59,-1,1)</f>
        <v>0</v>
      </c>
      <c r="G59" s="291" t="s">
        <v>1171</v>
      </c>
      <c r="I59" s="57" t="s">
        <v>1794</v>
      </c>
      <c r="J59" s="57"/>
      <c r="K59" s="57"/>
      <c r="L59" s="57"/>
      <c r="M59" s="57"/>
      <c r="N59" s="57"/>
      <c r="O59" s="57"/>
      <c r="P59" s="57"/>
      <c r="Q59" s="57"/>
      <c r="R59" s="57"/>
      <c r="S59" s="57"/>
      <c r="T59" s="365" t="b" cm="1">
        <f t="array" aca="1" ref="T59" ca="1">T58</f>
        <v>0</v>
      </c>
      <c r="X59" s="1123"/>
      <c r="Z59" s="1184"/>
      <c r="AB59" s="152" t="s">
        <v>493</v>
      </c>
      <c r="AC59" s="153" t="s">
        <v>1795</v>
      </c>
      <c r="AD59" s="26" t="s">
        <v>804</v>
      </c>
      <c r="AE59" s="190">
        <f ca="1">SUMIFS(ФОТ!AE$25:AE$102,ФОТ!$F$25:$F$102,$F59,ФОТ!$G$25:$G$102,$G59)</f>
        <v>0</v>
      </c>
      <c r="AF59" s="190">
        <f ca="1">SUMIFS(ФОТ!AF$25:AF$102,ФОТ!$F$25:$F$102,$F59,ФОТ!$G$25:$G$102,$G59)</f>
        <v>0</v>
      </c>
      <c r="AG59" s="190">
        <f ca="1">SUMIFS(ФОТ!AG$25:AG$102,ФОТ!$F$25:$F$102,$F59,ФОТ!$G$25:$G$102,$G59)</f>
        <v>0</v>
      </c>
      <c r="AH59" s="190">
        <f t="shared" ca="1" si="3"/>
        <v>0</v>
      </c>
      <c r="AI59" s="190">
        <f ca="1">SUMIFS(ФОТ!AH$25:AH$102,ФОТ!$F$25:$F$102,$F59,ФОТ!$G$25:$G$102,$G59)</f>
        <v>0</v>
      </c>
      <c r="AJ59" s="190">
        <f ca="1">SUMIFS(ФОТ!AI$25:AI$102,ФОТ!$F$25:$F$102,$F59,ФОТ!$G$25:$G$102,$G59)</f>
        <v>0</v>
      </c>
      <c r="AK59" s="190">
        <f ca="1">SUMIFS(ФОТ!AJ$25:AJ$102,ФОТ!$F$25:$F$102,$F59,ФОТ!$G$25:$G$102,$G59)</f>
        <v>0</v>
      </c>
      <c r="AL59" s="190">
        <f t="shared" ca="1" si="4"/>
        <v>0</v>
      </c>
      <c r="AM59" s="784"/>
      <c r="AN59" s="788" t="str">
        <f ca="1">IF(IFERROR(INDEX(ФОТ!$K$26:$L$102,MATCH($F59&amp;"3komm",ФОТ!$K$26:$K$102,0),2),"")=0,"",IFERROR(INDEX(ФОТ!$K$26:$L$102,MATCH($F59&amp;"3komm",ФОТ!$K$26:$K$102,0),2),""))</f>
        <v/>
      </c>
      <c r="AO59" s="784"/>
      <c r="AR59" s="703" t="s">
        <v>1796</v>
      </c>
    </row>
    <row r="60" spans="5:48" ht="21.95" hidden="1" customHeight="1">
      <c r="E60" s="515">
        <v>22.5</v>
      </c>
      <c r="F60" s="3" cm="1">
        <f t="array" aca="1" ref="F60" ca="1">OFFSET(E60,-1,1)</f>
        <v>0</v>
      </c>
      <c r="G60" s="291" t="s">
        <v>1176</v>
      </c>
      <c r="I60" s="57" t="s">
        <v>1797</v>
      </c>
      <c r="J60" s="57"/>
      <c r="K60" s="57"/>
      <c r="L60" s="57"/>
      <c r="M60" s="57"/>
      <c r="N60" s="57"/>
      <c r="O60" s="57"/>
      <c r="P60" s="57"/>
      <c r="Q60" s="57"/>
      <c r="R60" s="57"/>
      <c r="S60" s="57"/>
      <c r="T60" s="365" t="b" cm="1">
        <f t="array" aca="1" ref="T60" ca="1">T59</f>
        <v>0</v>
      </c>
      <c r="X60" s="1123"/>
      <c r="Z60" s="1184"/>
      <c r="AB60" s="152" t="s">
        <v>1438</v>
      </c>
      <c r="AC60" s="153" t="s">
        <v>1798</v>
      </c>
      <c r="AD60" s="26" t="s">
        <v>804</v>
      </c>
      <c r="AE60" s="190">
        <f ca="1">SUMIFS(ФОТ!AE$25:AE$102,ФОТ!$F$25:$F$102,$F60,ФОТ!$G$25:$G$102,$G60)</f>
        <v>0</v>
      </c>
      <c r="AF60" s="190">
        <f ca="1">SUMIFS(ФОТ!AF$25:AF$102,ФОТ!$F$25:$F$102,$F60,ФОТ!$G$25:$G$102,$G60)</f>
        <v>0</v>
      </c>
      <c r="AG60" s="190">
        <f ca="1">SUMIFS(ФОТ!AG$25:AG$102,ФОТ!$F$25:$F$102,$F60,ФОТ!$G$25:$G$102,$G60)</f>
        <v>0</v>
      </c>
      <c r="AH60" s="190">
        <f t="shared" ca="1" si="3"/>
        <v>0</v>
      </c>
      <c r="AI60" s="190">
        <f ca="1">SUMIFS(ФОТ!AH$25:AH$102,ФОТ!$F$25:$F$102,$F60,ФОТ!$G$25:$G$102,$G60)</f>
        <v>0</v>
      </c>
      <c r="AJ60" s="190">
        <f ca="1">SUMIFS(ФОТ!AI$25:AI$102,ФОТ!$F$25:$F$102,$F60,ФОТ!$G$25:$G$102,$G60)</f>
        <v>0</v>
      </c>
      <c r="AK60" s="190">
        <f ca="1">SUMIFS(ФОТ!AJ$25:AJ$102,ФОТ!$F$25:$F$102,$F60,ФОТ!$G$25:$G$102,$G60)</f>
        <v>0</v>
      </c>
      <c r="AL60" s="190">
        <f t="shared" ca="1" si="4"/>
        <v>0</v>
      </c>
      <c r="AM60" s="784"/>
      <c r="AN60" s="788" t="str">
        <f ca="1">IF(IFERROR(INDEX(ФОТ!$K$26:$L$102,MATCH($F60&amp;"4komm",ФОТ!$K$26:$K$102,0),2),"")=0,"",IFERROR(INDEX(ФОТ!$K$26:$L$102,MATCH($F60&amp;"4komm",ФОТ!$K$26:$K$102,0),2),""))</f>
        <v/>
      </c>
      <c r="AO60" s="784"/>
      <c r="AR60" s="703" t="s">
        <v>1799</v>
      </c>
    </row>
    <row r="61" spans="5:48" s="434" customFormat="1" ht="14.65" hidden="1" customHeight="1">
      <c r="E61" s="516">
        <v>15</v>
      </c>
      <c r="F61" s="3" cm="1">
        <f t="array" aca="1" ref="F61" ca="1">OFFSET(E61,-1,1)</f>
        <v>0</v>
      </c>
      <c r="I61" s="173" t="s">
        <v>329</v>
      </c>
      <c r="J61" s="173"/>
      <c r="K61" s="173"/>
      <c r="L61" s="173"/>
      <c r="M61" s="173"/>
      <c r="N61" s="173"/>
      <c r="O61" s="173"/>
      <c r="P61" s="173"/>
      <c r="Q61" s="173"/>
      <c r="R61" s="173"/>
      <c r="S61" s="173"/>
      <c r="T61" s="365" t="b" cm="1">
        <f t="array" aca="1" ref="T61" ca="1">T60</f>
        <v>0</v>
      </c>
      <c r="X61" s="1123"/>
      <c r="Z61" s="1184"/>
      <c r="AB61" s="150" t="s">
        <v>325</v>
      </c>
      <c r="AC61" s="151" t="s">
        <v>1800</v>
      </c>
      <c r="AD61" s="143" t="s">
        <v>804</v>
      </c>
      <c r="AE61" s="145">
        <f ca="1">AE62+AE63+AE66+AE67+AE68+AE69+AE70</f>
        <v>0</v>
      </c>
      <c r="AF61" s="145">
        <f ca="1">AF62+AF63+AF66+AF67+AF68+AF69+AF70</f>
        <v>0</v>
      </c>
      <c r="AG61" s="145">
        <f ca="1">AG62+AG63+AG66+AG67+AG68+AG69+AG70</f>
        <v>0</v>
      </c>
      <c r="AH61" s="145">
        <f t="shared" ca="1" si="3"/>
        <v>0</v>
      </c>
      <c r="AI61" s="145">
        <f ca="1">AI62+AI63+AI66+AI67+AI68+AI69+AI70</f>
        <v>0</v>
      </c>
      <c r="AJ61" s="145">
        <f ca="1">AJ62+AJ63+AJ66+AJ67+AJ68+AJ69+AJ70</f>
        <v>0</v>
      </c>
      <c r="AK61" s="145">
        <f ca="1">AK62+AK63+AK66+AK67+AK68+AK69+AK70</f>
        <v>0</v>
      </c>
      <c r="AL61" s="145">
        <f t="shared" ca="1" si="4"/>
        <v>0</v>
      </c>
      <c r="AM61" s="786"/>
      <c r="AN61" s="786"/>
      <c r="AO61" s="786"/>
      <c r="AR61" s="704" t="s">
        <v>1801</v>
      </c>
      <c r="AS61" s="704"/>
      <c r="AT61" s="704"/>
      <c r="AU61" s="516"/>
      <c r="AV61" s="516"/>
    </row>
    <row r="62" spans="5:48" ht="21.95" hidden="1" customHeight="1">
      <c r="E62" s="515">
        <v>22.5</v>
      </c>
      <c r="F62" s="3" cm="1">
        <f t="array" aca="1" ref="F62" ca="1">OFFSET(E62,-1,1)</f>
        <v>0</v>
      </c>
      <c r="G62" s="291" t="s">
        <v>1197</v>
      </c>
      <c r="I62" s="57" t="s">
        <v>927</v>
      </c>
      <c r="J62" s="57"/>
      <c r="K62" s="57"/>
      <c r="L62" s="57"/>
      <c r="M62" s="57"/>
      <c r="N62" s="57"/>
      <c r="O62" s="57"/>
      <c r="P62" s="57"/>
      <c r="Q62" s="57"/>
      <c r="R62" s="57"/>
      <c r="S62" s="57"/>
      <c r="T62" s="365" t="b" cm="1">
        <f t="array" aca="1" ref="T62" ca="1">T61</f>
        <v>0</v>
      </c>
      <c r="X62" s="1123"/>
      <c r="Z62" s="1184"/>
      <c r="AB62" s="152" t="s">
        <v>551</v>
      </c>
      <c r="AC62" s="146" t="s">
        <v>1802</v>
      </c>
      <c r="AD62" s="26" t="s">
        <v>804</v>
      </c>
      <c r="AE62" s="190">
        <f ca="1">SUMIFS(Административные!AE$25:AE$84,Административные!$F$25:$F$84,$F62,Административные!$G$25:$G$84,$G62)</f>
        <v>0</v>
      </c>
      <c r="AF62" s="190">
        <f ca="1">SUMIFS(Административные!AF$25:AF$84,Административные!$F$25:$F$84,$F62,Административные!$G$25:$G$84,$G62)</f>
        <v>0</v>
      </c>
      <c r="AG62" s="190">
        <f ca="1">SUMIFS(Административные!AG$25:AG$84,Административные!$F$25:$F$84,$F62,Административные!$G$25:$G$84,$G62)</f>
        <v>0</v>
      </c>
      <c r="AH62" s="190">
        <f t="shared" ca="1" si="3"/>
        <v>0</v>
      </c>
      <c r="AI62" s="190">
        <f ca="1">SUMIFS(Административные!AH$25:AH$84,Административные!$F$25:$F$84,$F62,Административные!$G$25:$G$84,$G62)</f>
        <v>0</v>
      </c>
      <c r="AJ62" s="190">
        <f ca="1">SUMIFS(Административные!AI$25:AI$84,Административные!$F$25:$F$84,$F62,Административные!$G$25:$G$84,$G62)</f>
        <v>0</v>
      </c>
      <c r="AK62" s="190">
        <f ca="1">SUMIFS(Административные!AJ$25:AJ$84,Административные!$F$25:$F$84,$F62,Административные!$G$25:$G$84,$G62)</f>
        <v>0</v>
      </c>
      <c r="AL62" s="190">
        <f t="shared" ca="1" si="4"/>
        <v>0</v>
      </c>
      <c r="AM62" s="784"/>
      <c r="AN62" s="788" t="str">
        <f ca="1">IF(IFERROR(INDEX(Административные!$K$26:$L$84,MATCH($F62&amp;"17komm",Административные!$K$26:$K$84,0),2),"")=0,"",IFERROR(INDEX(Административные!$K$26:$L$84,MATCH($F62&amp;"17komm",Административные!$K$26:$K$84,0),2),""))</f>
        <v/>
      </c>
      <c r="AO62" s="784"/>
      <c r="AR62" s="703" t="s">
        <v>1199</v>
      </c>
    </row>
    <row r="63" spans="5:48" ht="32.85" hidden="1" customHeight="1">
      <c r="E63" s="515">
        <v>33.75</v>
      </c>
      <c r="F63" s="3" cm="1">
        <f t="array" aca="1" ref="F63" ca="1">OFFSET(E63,-1,1)</f>
        <v>0</v>
      </c>
      <c r="I63" s="57" t="s">
        <v>929</v>
      </c>
      <c r="J63" s="57"/>
      <c r="K63" s="57"/>
      <c r="L63" s="57"/>
      <c r="M63" s="57"/>
      <c r="N63" s="57"/>
      <c r="O63" s="57"/>
      <c r="P63" s="57"/>
      <c r="Q63" s="57"/>
      <c r="R63" s="57"/>
      <c r="S63" s="57"/>
      <c r="T63" s="365" t="b" cm="1">
        <f t="array" aca="1" ref="T63" ca="1">T62</f>
        <v>0</v>
      </c>
      <c r="X63" s="1123"/>
      <c r="Z63" s="1184"/>
      <c r="AB63" s="152" t="s">
        <v>555</v>
      </c>
      <c r="AC63" s="146" t="s">
        <v>1803</v>
      </c>
      <c r="AD63" s="26" t="s">
        <v>804</v>
      </c>
      <c r="AE63" s="190">
        <f ca="1">AE64+AE65</f>
        <v>0</v>
      </c>
      <c r="AF63" s="190">
        <f ca="1">AF64+AF65</f>
        <v>0</v>
      </c>
      <c r="AG63" s="190">
        <f ca="1">AG64+AG65</f>
        <v>0</v>
      </c>
      <c r="AH63" s="190">
        <f t="shared" ca="1" si="3"/>
        <v>0</v>
      </c>
      <c r="AI63" s="190">
        <f ca="1">AI64+AI65</f>
        <v>0</v>
      </c>
      <c r="AJ63" s="190">
        <f ca="1">AJ64+AJ65</f>
        <v>0</v>
      </c>
      <c r="AK63" s="190">
        <f ca="1">AK64+AK65</f>
        <v>0</v>
      </c>
      <c r="AL63" s="190">
        <f t="shared" ca="1" si="4"/>
        <v>0</v>
      </c>
      <c r="AM63" s="784"/>
      <c r="AN63" s="784"/>
      <c r="AO63" s="784"/>
      <c r="AR63" s="703" t="s">
        <v>1804</v>
      </c>
    </row>
    <row r="64" spans="5:48" ht="21.95" hidden="1" customHeight="1">
      <c r="E64" s="515">
        <v>22.5</v>
      </c>
      <c r="F64" s="3" cm="1">
        <f t="array" aca="1" ref="F64" ca="1">OFFSET(E64,-1,1)</f>
        <v>0</v>
      </c>
      <c r="G64" s="388" t="s">
        <v>1179</v>
      </c>
      <c r="I64" s="57" t="s">
        <v>497</v>
      </c>
      <c r="J64" s="57"/>
      <c r="K64" s="57"/>
      <c r="L64" s="57"/>
      <c r="M64" s="57"/>
      <c r="N64" s="57"/>
      <c r="O64" s="57"/>
      <c r="P64" s="57"/>
      <c r="Q64" s="57"/>
      <c r="R64" s="57"/>
      <c r="S64" s="57"/>
      <c r="T64" s="365" t="b" cm="1">
        <f t="array" aca="1" ref="T64" ca="1">T63</f>
        <v>0</v>
      </c>
      <c r="X64" s="1123"/>
      <c r="Z64" s="1184"/>
      <c r="AB64" s="152" t="s">
        <v>765</v>
      </c>
      <c r="AC64" s="153" t="s">
        <v>1805</v>
      </c>
      <c r="AD64" s="26" t="s">
        <v>804</v>
      </c>
      <c r="AE64" s="190">
        <f ca="1">SUMIFS(ФОТ!AE$25:AE$102,ФОТ!$F$25:$F$102,$F64,ФОТ!$G$25:$G$102,$G64)</f>
        <v>0</v>
      </c>
      <c r="AF64" s="190">
        <f ca="1">SUMIFS(ФОТ!AF$25:AF$102,ФОТ!$F$25:$F$102,$F64,ФОТ!$G$25:$G$102,$G64)</f>
        <v>0</v>
      </c>
      <c r="AG64" s="190">
        <f ca="1">SUMIFS(ФОТ!AG$25:AG$102,ФОТ!$F$25:$F$102,$F64,ФОТ!$G$25:$G$102,$G64)</f>
        <v>0</v>
      </c>
      <c r="AH64" s="190">
        <f t="shared" ca="1" si="3"/>
        <v>0</v>
      </c>
      <c r="AI64" s="190">
        <f ca="1">SUMIFS(ФОТ!AH$25:AH$102,ФОТ!$F$25:$F$102,$F64,ФОТ!$G$25:$G$102,$G64)</f>
        <v>0</v>
      </c>
      <c r="AJ64" s="190">
        <f ca="1">SUMIFS(ФОТ!AI$25:AI$102,ФОТ!$F$25:$F$102,$F64,ФОТ!$G$25:$G$102,$G64)</f>
        <v>0</v>
      </c>
      <c r="AK64" s="190">
        <f ca="1">SUMIFS(ФОТ!AJ$25:AJ$102,ФОТ!$F$25:$F$102,$F64,ФОТ!$G$25:$G$102,$G64)</f>
        <v>0</v>
      </c>
      <c r="AL64" s="190">
        <f t="shared" ca="1" si="4"/>
        <v>0</v>
      </c>
      <c r="AM64" s="784"/>
      <c r="AN64" s="788" t="str">
        <f ca="1">IF(IFERROR(INDEX(ФОТ!$K$26:$L$102,MATCH($F64&amp;"5komm",ФОТ!$K$26:$K$102,0),2),"")=0,"",IFERROR(INDEX(ФОТ!$K$26:$L$102,MATCH($F64&amp;"5komm",ФОТ!$K$26:$K$102,0),2),""))</f>
        <v/>
      </c>
      <c r="AO64" s="784"/>
      <c r="AR64" s="703" t="s">
        <v>1196</v>
      </c>
    </row>
    <row r="65" spans="2:48" ht="32.85" hidden="1" customHeight="1">
      <c r="E65" s="515">
        <v>33.75</v>
      </c>
      <c r="F65" s="3" cm="1">
        <f t="array" aca="1" ref="F65" ca="1">OFFSET(E65,-1,1)</f>
        <v>0</v>
      </c>
      <c r="G65" s="388" t="s">
        <v>1184</v>
      </c>
      <c r="I65" s="57" t="s">
        <v>502</v>
      </c>
      <c r="J65" s="57"/>
      <c r="K65" s="57"/>
      <c r="L65" s="57"/>
      <c r="M65" s="57"/>
      <c r="N65" s="57"/>
      <c r="O65" s="57"/>
      <c r="P65" s="57"/>
      <c r="Q65" s="57"/>
      <c r="R65" s="57"/>
      <c r="S65" s="57"/>
      <c r="T65" s="365" t="b" cm="1">
        <f t="array" aca="1" ref="T65" ca="1">T64</f>
        <v>0</v>
      </c>
      <c r="X65" s="1123"/>
      <c r="Z65" s="1184"/>
      <c r="AB65" s="152" t="s">
        <v>768</v>
      </c>
      <c r="AC65" s="153" t="s">
        <v>1806</v>
      </c>
      <c r="AD65" s="26" t="s">
        <v>804</v>
      </c>
      <c r="AE65" s="190">
        <f ca="1">SUMIFS(ФОТ!AE$25:AE$102,ФОТ!$F$25:$F$102,$F65,ФОТ!$G$25:$G$102,$G65)</f>
        <v>0</v>
      </c>
      <c r="AF65" s="190">
        <f ca="1">SUMIFS(ФОТ!AF$25:AF$102,ФОТ!$F$25:$F$102,$F65,ФОТ!$G$25:$G$102,$G65)</f>
        <v>0</v>
      </c>
      <c r="AG65" s="190">
        <f ca="1">SUMIFS(ФОТ!AG$25:AG$102,ФОТ!$F$25:$F$102,$F65,ФОТ!$G$25:$G$102,$G65)</f>
        <v>0</v>
      </c>
      <c r="AH65" s="190">
        <f t="shared" ca="1" si="3"/>
        <v>0</v>
      </c>
      <c r="AI65" s="190">
        <f ca="1">SUMIFS(ФОТ!AH$25:AH$102,ФОТ!$F$25:$F$102,$F65,ФОТ!$G$25:$G$102,$G65)</f>
        <v>0</v>
      </c>
      <c r="AJ65" s="190">
        <f ca="1">SUMIFS(ФОТ!AI$25:AI$102,ФОТ!$F$25:$F$102,$F65,ФОТ!$G$25:$G$102,$G65)</f>
        <v>0</v>
      </c>
      <c r="AK65" s="190">
        <f ca="1">SUMIFS(ФОТ!AJ$25:AJ$102,ФОТ!$F$25:$F$102,$F65,ФОТ!$G$25:$G$102,$G65)</f>
        <v>0</v>
      </c>
      <c r="AL65" s="190">
        <f t="shared" ca="1" si="4"/>
        <v>0</v>
      </c>
      <c r="AM65" s="784"/>
      <c r="AN65" s="788" t="str">
        <f ca="1">IF(IFERROR(INDEX(ФОТ!$K$26:$L$102,MATCH($F65&amp;"6komm",ФОТ!$K$26:$K$102,0),2),"")=0,"",IFERROR(INDEX(ФОТ!$K$26:$L$102,MATCH($F65&amp;"6komm",ФОТ!$K$26:$K$102,0),2),""))</f>
        <v/>
      </c>
      <c r="AO65" s="784"/>
      <c r="AR65" s="703" t="s">
        <v>1807</v>
      </c>
    </row>
    <row r="66" spans="2:48" ht="32.85" hidden="1" customHeight="1">
      <c r="E66" s="515">
        <v>33.75</v>
      </c>
      <c r="F66" s="3" cm="1">
        <f t="array" aca="1" ref="F66" ca="1">OFFSET(E66,-1,1)</f>
        <v>0</v>
      </c>
      <c r="G66" s="291" t="s">
        <v>1225</v>
      </c>
      <c r="I66" s="57" t="s">
        <v>931</v>
      </c>
      <c r="J66" s="57"/>
      <c r="K66" s="57"/>
      <c r="L66" s="57"/>
      <c r="M66" s="57"/>
      <c r="N66" s="57"/>
      <c r="O66" s="57"/>
      <c r="P66" s="57"/>
      <c r="Q66" s="57"/>
      <c r="R66" s="57"/>
      <c r="S66" s="57"/>
      <c r="T66" s="365" t="b" cm="1">
        <f t="array" aca="1" ref="T66" ca="1">T65</f>
        <v>0</v>
      </c>
      <c r="X66" s="1123"/>
      <c r="Z66" s="1184"/>
      <c r="AB66" s="152" t="s">
        <v>771</v>
      </c>
      <c r="AC66" s="146" t="s">
        <v>1808</v>
      </c>
      <c r="AD66" s="26" t="s">
        <v>804</v>
      </c>
      <c r="AE66" s="190">
        <f ca="1">SUMIFS(Административные!AE$25:AE$84,Административные!$F$25:$F$84,$F66,Административные!$G$25:$G$84,$G66)</f>
        <v>0</v>
      </c>
      <c r="AF66" s="190">
        <f ca="1">SUMIFS(Административные!AF$25:AF$84,Административные!$F$25:$F$84,$F66,Административные!$G$25:$G$84,$G66)</f>
        <v>0</v>
      </c>
      <c r="AG66" s="190">
        <f ca="1">SUMIFS(Административные!AG$25:AG$84,Административные!$F$25:$F$84,$F66,Административные!$G$25:$G$84,$G66)</f>
        <v>0</v>
      </c>
      <c r="AH66" s="190">
        <f t="shared" ca="1" si="3"/>
        <v>0</v>
      </c>
      <c r="AI66" s="190">
        <f ca="1">SUMIFS(Административные!AH$25:AH$84,Административные!$F$25:$F$84,$F66,Административные!$G$25:$G$84,$G66)</f>
        <v>0</v>
      </c>
      <c r="AJ66" s="190">
        <f ca="1">SUMIFS(Административные!AI$25:AI$84,Административные!$F$25:$F$84,$F66,Административные!$G$25:$G$84,$G66)</f>
        <v>0</v>
      </c>
      <c r="AK66" s="190">
        <f ca="1">SUMIFS(Административные!AJ$25:AJ$84,Административные!$F$25:$F$84,$F66,Административные!$G$25:$G$84,$G66)</f>
        <v>0</v>
      </c>
      <c r="AL66" s="190">
        <f t="shared" ca="1" si="4"/>
        <v>0</v>
      </c>
      <c r="AM66" s="784"/>
      <c r="AN66" s="788" t="str">
        <f ca="1">IF(IFERROR(INDEX(Административные!$K$26:$L$84,MATCH($F66&amp;"2komm",Административные!$K$26:$K$84,0),2),"")=0,"",IFERROR(INDEX(Административные!$K$26:$L$84,MATCH($F66&amp;"2komm",Административные!$K$26:$K$84,0),2),""))</f>
        <v/>
      </c>
      <c r="AO66" s="784"/>
      <c r="AR66" s="703" t="s">
        <v>1227</v>
      </c>
    </row>
    <row r="67" spans="2:48" ht="14.65" hidden="1" customHeight="1">
      <c r="E67" s="515">
        <v>15</v>
      </c>
      <c r="F67" s="3" cm="1">
        <f t="array" aca="1" ref="F67" ca="1">OFFSET(E67,-1,1)</f>
        <v>0</v>
      </c>
      <c r="G67" s="291" t="s">
        <v>1228</v>
      </c>
      <c r="I67" s="57" t="s">
        <v>933</v>
      </c>
      <c r="J67" s="57"/>
      <c r="K67" s="57"/>
      <c r="L67" s="57"/>
      <c r="M67" s="57"/>
      <c r="N67" s="57"/>
      <c r="O67" s="57"/>
      <c r="P67" s="57"/>
      <c r="Q67" s="57"/>
      <c r="R67" s="57"/>
      <c r="S67" s="57"/>
      <c r="T67" s="365" t="b" cm="1">
        <f t="array" aca="1" ref="T67" ca="1">T66</f>
        <v>0</v>
      </c>
      <c r="X67" s="1123"/>
      <c r="Z67" s="1184"/>
      <c r="AB67" s="152" t="s">
        <v>934</v>
      </c>
      <c r="AC67" s="146" t="s">
        <v>1229</v>
      </c>
      <c r="AD67" s="26" t="s">
        <v>804</v>
      </c>
      <c r="AE67" s="190">
        <f ca="1">SUMIFS(Административные!AE$25:AE$84,Административные!$F$25:$F$84,$F67,Административные!$G$25:$G$84,$G67)</f>
        <v>0</v>
      </c>
      <c r="AF67" s="190">
        <f ca="1">SUMIFS(Административные!AF$25:AF$84,Административные!$F$25:$F$84,$F67,Административные!$G$25:$G$84,$G67)</f>
        <v>0</v>
      </c>
      <c r="AG67" s="190">
        <f ca="1">SUMIFS(Административные!AG$25:AG$84,Административные!$F$25:$F$84,$F67,Административные!$G$25:$G$84,$G67)</f>
        <v>0</v>
      </c>
      <c r="AH67" s="190">
        <f t="shared" ca="1" si="3"/>
        <v>0</v>
      </c>
      <c r="AI67" s="190">
        <f ca="1">SUMIFS(Административные!AH$25:AH$84,Административные!$F$25:$F$84,$F67,Административные!$G$25:$G$84,$G67)</f>
        <v>0</v>
      </c>
      <c r="AJ67" s="190">
        <f ca="1">SUMIFS(Административные!AI$25:AI$84,Административные!$F$25:$F$84,$F67,Административные!$G$25:$G$84,$G67)</f>
        <v>0</v>
      </c>
      <c r="AK67" s="190">
        <f ca="1">SUMIFS(Административные!AJ$25:AJ$84,Административные!$F$25:$F$84,$F67,Административные!$G$25:$G$84,$G67)</f>
        <v>0</v>
      </c>
      <c r="AL67" s="190">
        <f t="shared" ca="1" si="4"/>
        <v>0</v>
      </c>
      <c r="AM67" s="784"/>
      <c r="AN67" s="788" t="str">
        <f ca="1">IF(IFERROR(INDEX(Административные!$K$26:$L$84,MATCH($F67&amp;"3komm",Административные!$K$26:$K$84,0),2),"")=0,"",IFERROR(INDEX(Административные!$K$26:$L$84,MATCH($F67&amp;"3komm",Административные!$K$26:$K$84,0),2),""))</f>
        <v/>
      </c>
      <c r="AO67" s="784"/>
      <c r="AR67" s="703" t="s">
        <v>1230</v>
      </c>
    </row>
    <row r="68" spans="2:48" ht="14.65" hidden="1" customHeight="1">
      <c r="E68" s="515">
        <v>15</v>
      </c>
      <c r="F68" s="3" cm="1">
        <f t="array" aca="1" ref="F68" ca="1">OFFSET(E68,-1,1)</f>
        <v>0</v>
      </c>
      <c r="G68" s="291" t="s">
        <v>1231</v>
      </c>
      <c r="I68" s="57" t="s">
        <v>936</v>
      </c>
      <c r="J68" s="57"/>
      <c r="K68" s="57"/>
      <c r="L68" s="57"/>
      <c r="M68" s="57"/>
      <c r="N68" s="57"/>
      <c r="O68" s="57"/>
      <c r="P68" s="57"/>
      <c r="Q68" s="57"/>
      <c r="R68" s="57"/>
      <c r="S68" s="57"/>
      <c r="T68" s="365" t="b" cm="1">
        <f t="array" aca="1" ref="T68" ca="1">T67</f>
        <v>0</v>
      </c>
      <c r="X68" s="1123"/>
      <c r="Z68" s="1184"/>
      <c r="AB68" s="152" t="s">
        <v>937</v>
      </c>
      <c r="AC68" s="146" t="s">
        <v>1232</v>
      </c>
      <c r="AD68" s="26" t="s">
        <v>804</v>
      </c>
      <c r="AE68" s="190">
        <f ca="1">SUMIFS(Административные!AE$25:AE$84,Административные!$F$25:$F$84,$F68,Административные!$G$25:$G$84,$G68)</f>
        <v>0</v>
      </c>
      <c r="AF68" s="190">
        <f ca="1">SUMIFS(Административные!AF$25:AF$84,Административные!$F$25:$F$84,$F68,Административные!$G$25:$G$84,$G68)</f>
        <v>0</v>
      </c>
      <c r="AG68" s="190">
        <f ca="1">SUMIFS(Административные!AG$25:AG$84,Административные!$F$25:$F$84,$F68,Административные!$G$25:$G$84,$G68)</f>
        <v>0</v>
      </c>
      <c r="AH68" s="190">
        <f t="shared" ca="1" si="3"/>
        <v>0</v>
      </c>
      <c r="AI68" s="190">
        <f ca="1">SUMIFS(Административные!AH$25:AH$84,Административные!$F$25:$F$84,$F68,Административные!$G$25:$G$84,$G68)</f>
        <v>0</v>
      </c>
      <c r="AJ68" s="190">
        <f ca="1">SUMIFS(Административные!AI$25:AI$84,Административные!$F$25:$F$84,$F68,Административные!$G$25:$G$84,$G68)</f>
        <v>0</v>
      </c>
      <c r="AK68" s="190">
        <f ca="1">SUMIFS(Административные!AJ$25:AJ$84,Административные!$F$25:$F$84,$F68,Административные!$G$25:$G$84,$G68)</f>
        <v>0</v>
      </c>
      <c r="AL68" s="190">
        <f t="shared" ca="1" si="4"/>
        <v>0</v>
      </c>
      <c r="AM68" s="784"/>
      <c r="AN68" s="788" t="str">
        <f ca="1">IF(IFERROR(INDEX(Административные!$K$26:$L$84,MATCH($F68&amp;"4komm",Административные!$K$26:$K$84,0),2),"")=0,"",IFERROR(INDEX(Административные!$K$26:$L$84,MATCH($F68&amp;"4komm",Административные!$K$26:$K$84,0),2),""))</f>
        <v/>
      </c>
      <c r="AO68" s="784"/>
      <c r="AR68" s="703" t="s">
        <v>1233</v>
      </c>
    </row>
    <row r="69" spans="2:48" ht="14.65" hidden="1" customHeight="1">
      <c r="E69" s="515">
        <v>15</v>
      </c>
      <c r="F69" s="3" cm="1">
        <f t="array" aca="1" ref="F69" ca="1">OFFSET(E69,-1,1)</f>
        <v>0</v>
      </c>
      <c r="G69" s="291" t="s">
        <v>1234</v>
      </c>
      <c r="I69" s="57" t="s">
        <v>1216</v>
      </c>
      <c r="J69" s="57"/>
      <c r="K69" s="57"/>
      <c r="L69" s="57"/>
      <c r="M69" s="57"/>
      <c r="N69" s="57"/>
      <c r="O69" s="57"/>
      <c r="P69" s="57"/>
      <c r="Q69" s="57"/>
      <c r="R69" s="57"/>
      <c r="S69" s="57"/>
      <c r="T69" s="365" t="b" cm="1">
        <f t="array" aca="1" ref="T69" ca="1">T68</f>
        <v>0</v>
      </c>
      <c r="X69" s="1123"/>
      <c r="Z69" s="1184"/>
      <c r="AB69" s="152" t="s">
        <v>1217</v>
      </c>
      <c r="AC69" s="146" t="s">
        <v>1235</v>
      </c>
      <c r="AD69" s="26" t="s">
        <v>804</v>
      </c>
      <c r="AE69" s="190">
        <f ca="1">SUMIFS(Административные!AE$25:AE$84,Административные!$F$25:$F$84,$F69,Административные!$G$25:$G$84,$G69)</f>
        <v>0</v>
      </c>
      <c r="AF69" s="190">
        <f ca="1">SUMIFS(Административные!AF$25:AF$84,Административные!$F$25:$F$84,$F69,Административные!$G$25:$G$84,$G69)</f>
        <v>0</v>
      </c>
      <c r="AG69" s="190">
        <f ca="1">SUMIFS(Административные!AG$25:AG$84,Административные!$F$25:$F$84,$F69,Административные!$G$25:$G$84,$G69)</f>
        <v>0</v>
      </c>
      <c r="AH69" s="190">
        <f t="shared" ca="1" si="3"/>
        <v>0</v>
      </c>
      <c r="AI69" s="190">
        <f ca="1">SUMIFS(Административные!AH$25:AH$84,Административные!$F$25:$F$84,$F69,Административные!$G$25:$G$84,$G69)</f>
        <v>0</v>
      </c>
      <c r="AJ69" s="190">
        <f ca="1">SUMIFS(Административные!AI$25:AI$84,Административные!$F$25:$F$84,$F69,Административные!$G$25:$G$84,$G69)</f>
        <v>0</v>
      </c>
      <c r="AK69" s="190">
        <f ca="1">SUMIFS(Административные!AJ$25:AJ$84,Административные!$F$25:$F$84,$F69,Административные!$G$25:$G$84,$G69)</f>
        <v>0</v>
      </c>
      <c r="AL69" s="190">
        <f t="shared" ca="1" si="4"/>
        <v>0</v>
      </c>
      <c r="AM69" s="784"/>
      <c r="AN69" s="788" t="str">
        <f ca="1">IF(IFERROR(INDEX(Административные!$K$26:$L$84,MATCH($F65&amp;"5komm",Административные!$K$26:$K$84,0),2),"")=0,"",IFERROR(INDEX(Административные!$K$26:$L$84,MATCH($F65&amp;"5komm",Административные!$K$26:$K$84,0),2),""))</f>
        <v/>
      </c>
      <c r="AO69" s="784"/>
      <c r="AR69" s="703" t="s">
        <v>1809</v>
      </c>
    </row>
    <row r="70" spans="2:48" ht="14.65" hidden="1" customHeight="1">
      <c r="E70" s="515">
        <v>15</v>
      </c>
      <c r="F70" s="3" cm="1">
        <f t="array" aca="1" ref="F70" ca="1">OFFSET(E70,-1,1)</f>
        <v>0</v>
      </c>
      <c r="G70" s="291" t="s">
        <v>1237</v>
      </c>
      <c r="I70" s="57" t="s">
        <v>1221</v>
      </c>
      <c r="J70" s="57"/>
      <c r="K70" s="57"/>
      <c r="L70" s="57"/>
      <c r="M70" s="57"/>
      <c r="N70" s="57"/>
      <c r="O70" s="57"/>
      <c r="P70" s="57"/>
      <c r="Q70" s="57"/>
      <c r="R70" s="57"/>
      <c r="S70" s="57"/>
      <c r="T70" s="365" t="b" cm="1">
        <f t="array" aca="1" ref="T70" ca="1">T69</f>
        <v>0</v>
      </c>
      <c r="X70" s="1123"/>
      <c r="Z70" s="1184"/>
      <c r="AB70" s="152" t="s">
        <v>1222</v>
      </c>
      <c r="AC70" s="146" t="s">
        <v>1810</v>
      </c>
      <c r="AD70" s="26" t="s">
        <v>804</v>
      </c>
      <c r="AE70" s="190">
        <f ca="1">SUMIFS(Административные!AE$25:AE$84,Административные!$F$25:$F$84,$F70,Административные!$G$25:$G$84,$G70)</f>
        <v>0</v>
      </c>
      <c r="AF70" s="190">
        <f ca="1">SUMIFS(Административные!AF$25:AF$84,Административные!$F$25:$F$84,$F70,Административные!$G$25:$G$84,$G70)</f>
        <v>0</v>
      </c>
      <c r="AG70" s="190">
        <f ca="1">SUMIFS(Административные!AG$25:AG$84,Административные!$F$25:$F$84,$F70,Административные!$G$25:$G$84,$G70)</f>
        <v>0</v>
      </c>
      <c r="AH70" s="190">
        <f t="shared" ca="1" si="3"/>
        <v>0</v>
      </c>
      <c r="AI70" s="190">
        <f ca="1">SUMIFS(Административные!AH$25:AH$84,Административные!$F$25:$F$84,$F70,Административные!$G$25:$G$84,$G70)</f>
        <v>0</v>
      </c>
      <c r="AJ70" s="190">
        <f ca="1">SUMIFS(Административные!AI$25:AI$84,Административные!$F$25:$F$84,$F70,Административные!$G$25:$G$84,$G70)</f>
        <v>0</v>
      </c>
      <c r="AK70" s="190">
        <f ca="1">SUMIFS(Административные!AJ$25:AJ$84,Административные!$F$25:$F$84,$F70,Административные!$G$25:$G$84,$G70)</f>
        <v>0</v>
      </c>
      <c r="AL70" s="190">
        <f t="shared" ca="1" si="4"/>
        <v>0</v>
      </c>
      <c r="AM70" s="784"/>
      <c r="AN70" s="788" t="str">
        <f ca="1">IF(IFERROR(INDEX(Административные!$K$26:$L$84,MATCH($F70&amp;"6komm",Административные!$K$26:$K$84,0),2),"")=0,"",IFERROR(INDEX(Административные!$K$26:$L$84,MATCH($F65&amp;"6komm",Административные!$K$26:$K$84,0),2),""))</f>
        <v/>
      </c>
      <c r="AO70" s="784"/>
      <c r="AR70" s="703" t="s">
        <v>1811</v>
      </c>
    </row>
    <row r="71" spans="2:48" ht="14.65" hidden="1" customHeight="1">
      <c r="E71" s="515">
        <v>15</v>
      </c>
      <c r="F71" s="3" cm="1">
        <f t="array" aca="1" ref="F71" ca="1">OFFSET(E71,-1,1)</f>
        <v>0</v>
      </c>
      <c r="G71" s="291" t="s">
        <v>1239</v>
      </c>
      <c r="I71" s="57" t="s">
        <v>1812</v>
      </c>
      <c r="J71" s="57"/>
      <c r="K71" s="57"/>
      <c r="L71" s="57"/>
      <c r="M71" s="57"/>
      <c r="N71" s="57"/>
      <c r="O71" s="57"/>
      <c r="P71" s="57"/>
      <c r="Q71" s="57"/>
      <c r="R71" s="57"/>
      <c r="S71" s="57"/>
      <c r="T71" s="365" t="b" cm="1">
        <f t="array" aca="1" ref="T71" ca="1">T70</f>
        <v>0</v>
      </c>
      <c r="X71" s="1123"/>
      <c r="Z71" s="1184"/>
      <c r="AB71" s="152" t="s">
        <v>1813</v>
      </c>
      <c r="AC71" s="153" t="s">
        <v>1814</v>
      </c>
      <c r="AD71" s="26" t="s">
        <v>804</v>
      </c>
      <c r="AE71" s="190">
        <f ca="1">SUMIFS(Административные!AE$25:AE$84,Административные!$F$25:$F$84,$F71,Административные!$G$25:$G$84,$G71)</f>
        <v>0</v>
      </c>
      <c r="AF71" s="190">
        <f ca="1">SUMIFS(Административные!AF$25:AF$84,Административные!$F$25:$F$84,$F71,Административные!$G$25:$G$84,$G71)</f>
        <v>0</v>
      </c>
      <c r="AG71" s="190">
        <f ca="1">SUMIFS(Административные!AG$25:AG$84,Административные!$F$25:$F$84,$F71,Административные!$G$25:$G$84,$G71)</f>
        <v>0</v>
      </c>
      <c r="AH71" s="190">
        <f t="shared" ca="1" si="3"/>
        <v>0</v>
      </c>
      <c r="AI71" s="190">
        <f ca="1">SUMIFS(Административные!AH$25:AH$84,Административные!$F$25:$F$84,$F71,Административные!$G$25:$G$84,$G71)</f>
        <v>0</v>
      </c>
      <c r="AJ71" s="190">
        <f ca="1">SUMIFS(Административные!AI$25:AI$84,Административные!$F$25:$F$84,$F71,Административные!$G$25:$G$84,$G71)</f>
        <v>0</v>
      </c>
      <c r="AK71" s="190">
        <f ca="1">SUMIFS(Административные!AJ$25:AJ$84,Административные!$F$25:$F$84,$F71,Административные!$G$25:$G$84,$G71)</f>
        <v>0</v>
      </c>
      <c r="AL71" s="190">
        <f t="shared" ca="1" si="4"/>
        <v>0</v>
      </c>
      <c r="AM71" s="784"/>
      <c r="AN71" s="788" t="str">
        <f ca="1">IF(IFERROR(INDEX(Административные!$K$26:$L$84,MATCH($F71&amp;"7komm",Административные!$K$26:$K$84,0),2),"")=0,"",IFERROR(INDEX(Административные!$K$26:$L$84,MATCH($F66&amp;"7komm",Административные!$K$26:$K$84,0),2),""))</f>
        <v/>
      </c>
      <c r="AO71" s="784"/>
      <c r="AR71" s="703" t="s">
        <v>1815</v>
      </c>
    </row>
    <row r="72" spans="2:48" ht="43.9" hidden="1" customHeight="1">
      <c r="E72" s="515">
        <v>45</v>
      </c>
      <c r="F72" s="3" cm="1">
        <f t="array" aca="1" ref="F72" ca="1">OFFSET(E72,-1,1)</f>
        <v>0</v>
      </c>
      <c r="G72" s="291" t="s">
        <v>1242</v>
      </c>
      <c r="I72" s="57" t="s">
        <v>1816</v>
      </c>
      <c r="J72" s="57"/>
      <c r="K72" s="57"/>
      <c r="L72" s="57"/>
      <c r="M72" s="57"/>
      <c r="N72" s="57"/>
      <c r="O72" s="57"/>
      <c r="P72" s="57"/>
      <c r="Q72" s="57"/>
      <c r="R72" s="57"/>
      <c r="S72" s="57"/>
      <c r="T72" s="365" t="b" cm="1">
        <f t="array" aca="1" ref="T72" ca="1">T71</f>
        <v>0</v>
      </c>
      <c r="X72" s="1123"/>
      <c r="Z72" s="1184"/>
      <c r="AB72" s="152" t="s">
        <v>1817</v>
      </c>
      <c r="AC72" s="146" t="s">
        <v>1243</v>
      </c>
      <c r="AD72" s="26" t="s">
        <v>804</v>
      </c>
      <c r="AE72" s="190">
        <f ca="1">SUMIFS(Административные!AE$25:AE$84,Административные!$F$25:$F$84,$F72,Административные!$G$25:$G$84,$G72)</f>
        <v>0</v>
      </c>
      <c r="AF72" s="190">
        <f ca="1">SUMIFS(Административные!AF$25:AF$84,Административные!$F$25:$F$84,$F72,Административные!$G$25:$G$84,$G72)</f>
        <v>0</v>
      </c>
      <c r="AG72" s="190">
        <f ca="1">SUMIFS(Административные!AG$25:AG$84,Административные!$F$25:$F$84,$F72,Административные!$G$25:$G$84,$G72)</f>
        <v>0</v>
      </c>
      <c r="AH72" s="190">
        <f t="shared" ca="1" si="3"/>
        <v>0</v>
      </c>
      <c r="AI72" s="190">
        <f ca="1">SUMIFS(Административные!AH$25:AH$84,Административные!$F$25:$F$84,$F72,Административные!$G$25:$G$84,$G72)</f>
        <v>0</v>
      </c>
      <c r="AJ72" s="190">
        <f ca="1">SUMIFS(Административные!AI$25:AI$84,Административные!$F$25:$F$84,$F72,Административные!$G$25:$G$84,$G72)</f>
        <v>0</v>
      </c>
      <c r="AK72" s="190">
        <f ca="1">SUMIFS(Административные!AJ$25:AJ$84,Административные!$F$25:$F$84,$F72,Административные!$G$25:$G$84,$G72)</f>
        <v>0</v>
      </c>
      <c r="AL72" s="190">
        <f t="shared" ca="1" si="4"/>
        <v>0</v>
      </c>
      <c r="AM72" s="784"/>
      <c r="AN72" s="788" t="str">
        <f ca="1">IF(IFERROR(INDEX(Административные!$K$26:$L$84,MATCH($F72&amp;"8komm",Административные!$K$26:$K$84,0),2),"")=0,"",IFERROR(INDEX(Административные!$K$26:$L$84,MATCH($F67&amp;"8komm",Административные!$K$26:$K$84,0),2),""))</f>
        <v/>
      </c>
      <c r="AO72" s="784"/>
      <c r="AR72" s="703" t="s">
        <v>1818</v>
      </c>
    </row>
    <row r="73" spans="2:48" ht="14.65" hidden="1" customHeight="1">
      <c r="E73" s="515">
        <v>15</v>
      </c>
      <c r="F73" s="3" cm="1">
        <f t="array" aca="1" ref="F73" ca="1">OFFSET(E73,-1,1)</f>
        <v>0</v>
      </c>
      <c r="G73" s="291" t="s">
        <v>1245</v>
      </c>
      <c r="I73" s="57" t="s">
        <v>1819</v>
      </c>
      <c r="J73" s="57"/>
      <c r="K73" s="57"/>
      <c r="L73" s="57"/>
      <c r="M73" s="57"/>
      <c r="N73" s="57"/>
      <c r="O73" s="57"/>
      <c r="P73" s="57"/>
      <c r="Q73" s="57"/>
      <c r="R73" s="57"/>
      <c r="S73" s="57"/>
      <c r="T73" s="365" t="b" cm="1">
        <f t="array" aca="1" ref="T73" ca="1">T72</f>
        <v>0</v>
      </c>
      <c r="X73" s="1123"/>
      <c r="Z73" s="1184"/>
      <c r="AB73" s="152" t="s">
        <v>1820</v>
      </c>
      <c r="AC73" s="153" t="s">
        <v>1246</v>
      </c>
      <c r="AD73" s="26" t="s">
        <v>804</v>
      </c>
      <c r="AE73" s="190">
        <f ca="1">SUMIFS(Административные!AE$25:AE$84,Административные!$F$25:$F$84,$F73,Административные!$G$25:$G$84,$G73)</f>
        <v>0</v>
      </c>
      <c r="AF73" s="190">
        <f ca="1">SUMIFS(Административные!AF$25:AF$84,Административные!$F$25:$F$84,$F73,Административные!$G$25:$G$84,$G73)</f>
        <v>0</v>
      </c>
      <c r="AG73" s="190">
        <f ca="1">SUMIFS(Административные!AG$25:AG$84,Административные!$F$25:$F$84,$F73,Административные!$G$25:$G$84,$G73)</f>
        <v>0</v>
      </c>
      <c r="AH73" s="190">
        <f t="shared" ca="1" si="3"/>
        <v>0</v>
      </c>
      <c r="AI73" s="190">
        <f ca="1">SUMIFS(Административные!AH$25:AH$84,Административные!$F$25:$F$84,$F73,Административные!$G$25:$G$84,$G73)</f>
        <v>0</v>
      </c>
      <c r="AJ73" s="190">
        <f ca="1">SUMIFS(Административные!AI$25:AI$84,Административные!$F$25:$F$84,$F73,Административные!$G$25:$G$84,$G73)</f>
        <v>0</v>
      </c>
      <c r="AK73" s="190">
        <f ca="1">SUMIFS(Административные!AJ$25:AJ$84,Административные!$F$25:$F$84,$F73,Административные!$G$25:$G$84,$G73)</f>
        <v>0</v>
      </c>
      <c r="AL73" s="190">
        <f t="shared" ca="1" si="4"/>
        <v>0</v>
      </c>
      <c r="AM73" s="784"/>
      <c r="AN73" s="788" t="str">
        <f ca="1">IF(IFERROR(INDEX(Административные!$K$26:$L$84,MATCH($F73&amp;"9komm",Административные!$K$26:$K$84,0),2),"")=0,"",IFERROR(INDEX(Административные!$K$26:$L$84,MATCH($F68&amp;"9komm",Административные!$K$26:$K$84,0),2),""))</f>
        <v/>
      </c>
      <c r="AO73" s="784"/>
      <c r="AR73" s="703" t="s">
        <v>1821</v>
      </c>
    </row>
    <row r="74" spans="2:48" s="434" customFormat="1" ht="14.65" hidden="1" customHeight="1">
      <c r="B74" s="434" t="b">
        <f>STATUS_GO="да"</f>
        <v>0</v>
      </c>
      <c r="E74" s="516">
        <v>15</v>
      </c>
      <c r="F74" s="3" cm="1">
        <f t="array" aca="1" ref="F74" ca="1">OFFSET(E74,-1,1)</f>
        <v>0</v>
      </c>
      <c r="I74" s="173" t="s">
        <v>331</v>
      </c>
      <c r="J74" s="173"/>
      <c r="K74" s="173"/>
      <c r="L74" s="173"/>
      <c r="M74" s="173"/>
      <c r="N74" s="173"/>
      <c r="O74" s="173"/>
      <c r="P74" s="173"/>
      <c r="Q74" s="173"/>
      <c r="R74" s="173"/>
      <c r="S74" s="173"/>
      <c r="T74" s="365" t="b" cm="1">
        <f t="array" aca="1" ref="T74" ca="1">T73</f>
        <v>0</v>
      </c>
      <c r="X74" s="1123"/>
      <c r="Z74" s="1184"/>
      <c r="AB74" s="150" t="s">
        <v>433</v>
      </c>
      <c r="AC74" s="151" t="s">
        <v>1822</v>
      </c>
      <c r="AD74" s="143" t="s">
        <v>804</v>
      </c>
      <c r="AE74" s="145">
        <f ca="1">SUMIFS('Сбытовые расходы ГО'!AE$25:AE$63,'Сбытовые расходы ГО'!$F$25:$F$63,$F74,'Сбытовые расходы ГО'!$G$25:$G$63,"l0")</f>
        <v>0</v>
      </c>
      <c r="AF74" s="145">
        <f ca="1">SUMIFS('Сбытовые расходы ГО'!AF$25:AF$63,'Сбытовые расходы ГО'!$F$25:$F$63,$F74,'Сбытовые расходы ГО'!$G$25:$G$63,"l0")</f>
        <v>0</v>
      </c>
      <c r="AG74" s="145">
        <f ca="1">SUMIFS('Сбытовые расходы ГО'!AG$25:AG$63,'Сбытовые расходы ГО'!$F$25:$F$63,$F74,'Сбытовые расходы ГО'!$G$25:$G$63,"l0")</f>
        <v>0</v>
      </c>
      <c r="AH74" s="145">
        <f t="shared" ca="1" si="3"/>
        <v>0</v>
      </c>
      <c r="AI74" s="145">
        <f ca="1">SUMIFS('Сбытовые расходы ГО'!AH$25:AH$63,'Сбытовые расходы ГО'!$F$25:$F$63,$F74,'Сбытовые расходы ГО'!$G$25:$G$63,"l0")</f>
        <v>0</v>
      </c>
      <c r="AJ74" s="145">
        <f ca="1">SUMIFS('Сбытовые расходы ГО'!AI$25:AI$63,'Сбытовые расходы ГО'!$F$25:$F$63,$F74,'Сбытовые расходы ГО'!$G$25:$G$63,"l0")</f>
        <v>0</v>
      </c>
      <c r="AK74" s="145">
        <f ca="1">SUMIFS('Сбытовые расходы ГО'!AJ$25:AJ$63,'Сбытовые расходы ГО'!$F$25:$F$63,$F74,'Сбытовые расходы ГО'!$G$25:$G$63,"l0")</f>
        <v>0</v>
      </c>
      <c r="AL74" s="145">
        <f t="shared" ca="1" si="4"/>
        <v>0</v>
      </c>
      <c r="AM74" s="786"/>
      <c r="AN74" s="788"/>
      <c r="AO74" s="786"/>
      <c r="AR74" s="704" t="s">
        <v>1823</v>
      </c>
      <c r="AS74" s="704"/>
      <c r="AT74" s="704"/>
      <c r="AU74" s="516"/>
      <c r="AV74" s="516"/>
    </row>
    <row r="75" spans="2:48" s="434" customFormat="1" ht="14.65" hidden="1" customHeight="1">
      <c r="E75" s="516">
        <v>15</v>
      </c>
      <c r="F75" s="3" cm="1">
        <f t="array" aca="1" ref="F75" ca="1">OFFSET(E75,-1,1)</f>
        <v>0</v>
      </c>
      <c r="I75" s="173" t="s">
        <v>330</v>
      </c>
      <c r="J75" s="173"/>
      <c r="K75" s="173"/>
      <c r="L75" s="173"/>
      <c r="M75" s="173"/>
      <c r="N75" s="173"/>
      <c r="O75" s="173"/>
      <c r="P75" s="173"/>
      <c r="Q75" s="173"/>
      <c r="R75" s="173"/>
      <c r="S75" s="173"/>
      <c r="T75" s="365" t="b" cm="1">
        <f t="array" aca="1" ref="T75" ca="1">T74</f>
        <v>0</v>
      </c>
      <c r="X75" s="1123"/>
      <c r="Z75" s="1184"/>
      <c r="AB75" s="150" t="s">
        <v>444</v>
      </c>
      <c r="AC75" s="144" t="s">
        <v>1824</v>
      </c>
      <c r="AD75" s="143" t="s">
        <v>804</v>
      </c>
      <c r="AE75" s="145">
        <f ca="1">SUMIFS(Амортизация!AE$25:AE$174,Амортизация!$F$25:$F$174,$F75,Амортизация!$AC$25:$AC$174,"Сумма амортизационных отчислений")</f>
        <v>0</v>
      </c>
      <c r="AF75" s="145">
        <f ca="1">SUMIFS(Амортизация!AF$25:AF$174,Амортизация!$F$25:$F$174,$F75,Амортизация!$AC$25:$AC$174,"Сумма амортизационных отчислений")</f>
        <v>0</v>
      </c>
      <c r="AG75" s="145">
        <f ca="1">SUMIFS(Амортизация!AG$25:AG$174,Амортизация!$F$25:$F$174,$F75,Амортизация!$AC$25:$AC$174,"Сумма амортизационных отчислений")</f>
        <v>0</v>
      </c>
      <c r="AH75" s="145">
        <f t="shared" ca="1" si="3"/>
        <v>0</v>
      </c>
      <c r="AI75" s="145">
        <f ca="1">SUMIFS(Амортизация!AH$25:AH$174,Амортизация!$F$25:$F$174,$F75,Амортизация!$AC$25:$AC$174,"Сумма амортизационных отчислений")</f>
        <v>0</v>
      </c>
      <c r="AJ75" s="145">
        <f ca="1">SUMIFS(Амортизация!AI$25:AI$174,Амортизация!$F$25:$F$174,$F75,Амортизация!$AC$25:$AC$174,"Сумма амортизационных отчислений")</f>
        <v>0</v>
      </c>
      <c r="AK75" s="145">
        <f ca="1">SUMIFS(Амортизация!AS$25:AS$174,Амортизация!$F$25:$F$174,$F75,Амортизация!$AC$25:$AC$174,"Сумма амортизационных отчислений")</f>
        <v>0</v>
      </c>
      <c r="AL75" s="145">
        <f t="shared" ca="1" si="4"/>
        <v>0</v>
      </c>
      <c r="AM75" s="786"/>
      <c r="AN75" s="788" t="str">
        <f ca="1">IF(IFERROR(INDEX(Амортизация!$K$26:$L$174,MATCH($F75&amp;"komm",Амортизация!$K$26:$K$576,0),2),"")=0,"",IFERROR(INDEX(Амортизация!$K$26:$L$174,MATCH($F75&amp;"komm",Амортизация!$K$26:$K$576,0),2),""))</f>
        <v/>
      </c>
      <c r="AO75" s="786"/>
      <c r="AR75" s="704" t="s">
        <v>1241</v>
      </c>
      <c r="AS75" s="704"/>
      <c r="AT75" s="704"/>
      <c r="AU75" s="516"/>
      <c r="AV75" s="516"/>
    </row>
    <row r="76" spans="2:48" ht="14.65" hidden="1" customHeight="1">
      <c r="E76" s="515">
        <v>15</v>
      </c>
      <c r="F76" s="3" cm="1">
        <f t="array" aca="1" ref="F76" ca="1">OFFSET(E76,-1,1)</f>
        <v>0</v>
      </c>
      <c r="I76" s="57" t="s">
        <v>550</v>
      </c>
      <c r="J76" s="57"/>
      <c r="K76" s="57"/>
      <c r="L76" s="57"/>
      <c r="M76" s="57"/>
      <c r="N76" s="57"/>
      <c r="O76" s="57"/>
      <c r="P76" s="57"/>
      <c r="Q76" s="57"/>
      <c r="R76" s="57"/>
      <c r="S76" s="57"/>
      <c r="T76" s="365" t="b" cm="1">
        <f t="array" aca="1" ref="T76" ca="1">T75</f>
        <v>0</v>
      </c>
      <c r="X76" s="1123"/>
      <c r="Z76" s="1184"/>
      <c r="AB76" s="152" t="s">
        <v>680</v>
      </c>
      <c r="AC76" s="146" t="s">
        <v>1825</v>
      </c>
      <c r="AD76" s="26" t="s">
        <v>804</v>
      </c>
      <c r="AE76" s="787">
        <f ca="1">SUMIFS('ИП + источники'!AF$27:AF$145,'ИП + источники'!$F$27:$F$145,$F76,'ИП + источники'!$AC$27:$AC$145,"Амортизационные отчисления")+SUMIFS('ИП + источники'!AF$27:AF$145,'ИП + источники'!$F$27:$F$145,$F76,'ИП + источники'!$AC$27:$AC$145,"погашение займов и кредитов из амортизации")</f>
        <v>0</v>
      </c>
      <c r="AF76" s="787">
        <f ca="1">SUMIFS('ИП + источники'!AG$27:AG$145,'ИП + источники'!$F$27:$F$145,$F76,'ИП + источники'!$AC$27:$AC$145,"Амортизационные отчисления")+SUMIFS('ИП + источники'!AG$27:AG$145,'ИП + источники'!$F$27:$F$145,$F76,'ИП + источники'!$AC$27:$AC$145,"погашение займов и кредитов из амортизации")</f>
        <v>0</v>
      </c>
      <c r="AG76" s="787">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H76" s="190">
        <f t="shared" ca="1" si="3"/>
        <v>0</v>
      </c>
      <c r="AI76" s="787">
        <f ca="1">SUMIFS('ИП + источники'!AH$27:AH$145,'ИП + источники'!$F$27:$F$145,$F76,'ИП + источники'!$AC$27:$AC$145,"Амортизационные отчисления")+SUMIFS('ИП + источники'!AH$27:AH$145,'ИП + источники'!$F$27:$F$145,$F76,'ИП + источники'!$AC$27:$AC$145,"погашение займов и кредитов из амортизации")</f>
        <v>0</v>
      </c>
      <c r="AJ76" s="787">
        <f ca="1">SUMIFS('ИП + источники'!AI$27:AI$145,'ИП + источники'!$F$27:$F$145,$F76,'ИП + источники'!$AC$27:$AC$145,"Амортизационные отчисления")+SUMIFS('ИП + источники'!AI$27:AI$145,'ИП + источники'!$F$27:$F$145,$F76,'ИП + источники'!$AC$27:$AC$145,"погашение займов и кредитов из амортизации")</f>
        <v>0</v>
      </c>
      <c r="AK76" s="787">
        <f ca="1">SUMIFS('ИП + источники'!AJ$27:AJ$145,'ИП + источники'!$F$27:$F$145,$F76,'ИП + источники'!$AC$27:$AC$145,"Амортизационные отчисления")+SUMIFS('ИП + источники'!AJ$27:AJ$145,'ИП + источники'!$F$27:$F$145,$F76,'ИП + источники'!$AC$27:$AC$145,"погашение займов и кредитов из амортизации")</f>
        <v>0</v>
      </c>
      <c r="AL76" s="190">
        <f t="shared" ca="1" si="4"/>
        <v>0</v>
      </c>
      <c r="AM76" s="784"/>
      <c r="AN76" s="784"/>
      <c r="AO76" s="784"/>
      <c r="AR76" s="703" t="s">
        <v>1826</v>
      </c>
    </row>
    <row r="77" spans="2:48" s="434" customFormat="1" ht="21.95" hidden="1" customHeight="1">
      <c r="E77" s="516">
        <v>22.5</v>
      </c>
      <c r="F77" s="3" cm="1">
        <f t="array" aca="1" ref="F77" ca="1">OFFSET(E77,-1,1)</f>
        <v>0</v>
      </c>
      <c r="I77" s="173" t="s">
        <v>511</v>
      </c>
      <c r="J77" s="173"/>
      <c r="K77" s="173"/>
      <c r="L77" s="173"/>
      <c r="M77" s="173"/>
      <c r="N77" s="173"/>
      <c r="O77" s="173"/>
      <c r="P77" s="173"/>
      <c r="Q77" s="173"/>
      <c r="R77" s="173"/>
      <c r="S77" s="173"/>
      <c r="T77" s="365" t="b" cm="1">
        <f t="array" aca="1" ref="T77" ca="1">T76</f>
        <v>0</v>
      </c>
      <c r="X77" s="1123"/>
      <c r="Z77" s="1184"/>
      <c r="AB77" s="150" t="s">
        <v>447</v>
      </c>
      <c r="AC77" s="144" t="s">
        <v>1827</v>
      </c>
      <c r="AD77" s="143" t="s">
        <v>804</v>
      </c>
      <c r="AE77" s="145">
        <f ca="1">SUMIFS(Аренда!AE$25:AE$57,Аренда!$F$25:$F$57,$F77,Аренда!$G$25:$G$57,"Арендная и концессионная плата, лизинговые платежи")</f>
        <v>0</v>
      </c>
      <c r="AF77" s="145">
        <f ca="1">SUMIFS(Аренда!AF$25:AF$57,Аренда!$F$25:$F$57,$F77,Аренда!$G$25:$G$57,"Арендная и концессионная плата, лизинговые платежи")</f>
        <v>0</v>
      </c>
      <c r="AG77" s="145">
        <f ca="1">SUMIFS(Аренда!AG$25:AG$57,Аренда!$F$25:$F$57,$F77,Аренда!$G$25:$G$57,"Арендная и концессионная плата, лизинговые платежи")</f>
        <v>0</v>
      </c>
      <c r="AH77" s="145">
        <f t="shared" ca="1" si="3"/>
        <v>0</v>
      </c>
      <c r="AI77" s="145">
        <f ca="1">SUMIFS(Аренда!AH$25:AH$57,Аренда!$F$25:$F$57,$F77,Аренда!$G$25:$G$57,"Арендная и концессионная плата, лизинговые платежи")</f>
        <v>0</v>
      </c>
      <c r="AJ77" s="145">
        <f ca="1">SUMIFS(Аренда!AI$25:AI$57,Аренда!$F$25:$F$57,$F77,Аренда!$G$25:$G$57,"Арендная и концессионная плата, лизинговые платежи")</f>
        <v>0</v>
      </c>
      <c r="AK77" s="145">
        <f ca="1">SUMIFS(Аренда!AS$25:AS$57,Аренда!$F$25:$F$57,$F77,Аренда!$G$25:$G$57,"Арендная и концессионная плата, лизинговые платежи")</f>
        <v>0</v>
      </c>
      <c r="AL77" s="145">
        <f t="shared" ca="1" si="4"/>
        <v>0</v>
      </c>
      <c r="AM77" s="786"/>
      <c r="AN77" s="788" t="str">
        <f ca="1">IF(IFERROR(INDEX(Аренда!$K$26:$L$57,MATCH($F77&amp;"komm",Аренда!$K$26:$K$57,0),2),"")=0,"",IFERROR(INDEX(Аренда!$K$26:$L$57,MATCH($F77&amp;"komm",Аренда!$K$26:$K$57,0),2),""))</f>
        <v/>
      </c>
      <c r="AO77" s="786"/>
      <c r="AR77" s="704" t="s">
        <v>1828</v>
      </c>
      <c r="AS77" s="704"/>
      <c r="AT77" s="704"/>
      <c r="AU77" s="516"/>
      <c r="AV77" s="516"/>
    </row>
    <row r="78" spans="2:48" s="434" customFormat="1" ht="14.65" hidden="1" customHeight="1">
      <c r="E78" s="516">
        <v>15</v>
      </c>
      <c r="F78" s="3" cm="1">
        <f t="array" aca="1" ref="F78" ca="1">OFFSET(E78,-1,1)</f>
        <v>0</v>
      </c>
      <c r="I78" s="173" t="s">
        <v>514</v>
      </c>
      <c r="J78" s="173"/>
      <c r="K78" s="173"/>
      <c r="L78" s="173"/>
      <c r="M78" s="173"/>
      <c r="N78" s="173"/>
      <c r="O78" s="173"/>
      <c r="P78" s="173"/>
      <c r="Q78" s="173"/>
      <c r="R78" s="173"/>
      <c r="S78" s="173"/>
      <c r="T78" s="365" t="b" cm="1">
        <f t="array" aca="1" ref="T78" ca="1">T77</f>
        <v>0</v>
      </c>
      <c r="X78" s="1123"/>
      <c r="Z78" s="1184"/>
      <c r="AB78" s="150" t="s">
        <v>578</v>
      </c>
      <c r="AC78" s="144" t="s">
        <v>1829</v>
      </c>
      <c r="AD78" s="143" t="s">
        <v>804</v>
      </c>
      <c r="AE78" s="145">
        <f ca="1">SUMIFS(Налоги!AE$25:AE$69,Налоги!$F$25:$F$69,$F78,Налоги!$AC$25:$AC$69,"Налоги и платежи, относимые на указанный вид деятельности")</f>
        <v>0</v>
      </c>
      <c r="AF78" s="145">
        <f ca="1">SUMIFS(Налоги!AF$25:AF$69,Налоги!$F$25:$F$69,$F78,Налоги!$AC$25:$AC$69,"Налоги и платежи, относимые на указанный вид деятельности")</f>
        <v>0</v>
      </c>
      <c r="AG78" s="145">
        <f ca="1">SUMIFS(Налоги!AG$25:AG$69,Налоги!$F$25:$F$69,$F78,Налоги!$AC$25:$AC$69,"Налоги и платежи, относимые на указанный вид деятельности")</f>
        <v>0</v>
      </c>
      <c r="AH78" s="145">
        <f t="shared" ca="1" si="3"/>
        <v>0</v>
      </c>
      <c r="AI78" s="145">
        <f ca="1">SUMIFS(Налоги!AH$25:AH$69,Налоги!$F$25:$F$69,$F78,Налоги!$AC$25:$AC$69,"Налоги и платежи, относимые на указанный вид деятельности")</f>
        <v>0</v>
      </c>
      <c r="AJ78" s="145">
        <f ca="1">SUMIFS(Налоги!AI$25:AI$69,Налоги!$F$25:$F$69,$F78,Налоги!$AC$25:$AC$69,"Налоги и платежи, относимые на указанный вид деятельности")</f>
        <v>0</v>
      </c>
      <c r="AK78" s="145">
        <f ca="1">SUMIFS(Налоги!AS$25:AS$69,Налоги!$F$25:$F$69,$F78,Налоги!$AC$25:$AC$69,"Налоги и платежи, относимые на указанный вид деятельности")</f>
        <v>0</v>
      </c>
      <c r="AL78" s="145">
        <f t="shared" ca="1" si="4"/>
        <v>0</v>
      </c>
      <c r="AM78" s="786"/>
      <c r="AN78" s="788" t="str">
        <f ca="1">IF(IFERROR(INDEX(Налоги!$K$26:$L$69,MATCH($F78&amp;"komm",Налоги!$K$26:$K$69,0),2),"")=0,"",IFERROR(INDEX(Налоги!$K$26:$L$69,MATCH($F78&amp;"komm",Налоги!$K$26:$K$69,0),2),""))</f>
        <v/>
      </c>
      <c r="AO78" s="786"/>
      <c r="AR78" s="704" t="s">
        <v>1270</v>
      </c>
      <c r="AS78" s="704"/>
      <c r="AT78" s="704"/>
      <c r="AU78" s="516"/>
      <c r="AV78" s="516"/>
    </row>
    <row r="79" spans="2:48" s="434" customFormat="1" ht="14.65" hidden="1" customHeight="1">
      <c r="E79" s="516">
        <v>15</v>
      </c>
      <c r="F79" s="3" cm="1">
        <f t="array" aca="1" ref="F79" ca="1">OFFSET(E79,-1,1)</f>
        <v>0</v>
      </c>
      <c r="I79" s="173" t="s">
        <v>562</v>
      </c>
      <c r="J79" s="173"/>
      <c r="K79" s="173"/>
      <c r="L79" s="173"/>
      <c r="M79" s="173"/>
      <c r="N79" s="173"/>
      <c r="O79" s="173"/>
      <c r="P79" s="173"/>
      <c r="Q79" s="173"/>
      <c r="R79" s="173"/>
      <c r="S79" s="173"/>
      <c r="T79" s="365" t="b" cm="1">
        <f t="array" aca="1" ref="T79" ca="1">T78</f>
        <v>0</v>
      </c>
      <c r="X79" s="1123"/>
      <c r="Z79" s="1184"/>
      <c r="AB79" s="150" t="s">
        <v>586</v>
      </c>
      <c r="AC79" s="144" t="s">
        <v>1830</v>
      </c>
      <c r="AD79" s="166" t="s">
        <v>804</v>
      </c>
      <c r="AE79" s="145">
        <f ca="1">AE80+AE81+AE82</f>
        <v>0</v>
      </c>
      <c r="AF79" s="145">
        <f ca="1">AF80+AF81+AF82</f>
        <v>0</v>
      </c>
      <c r="AG79" s="145">
        <f ca="1">AG80+AG81+AG82</f>
        <v>0</v>
      </c>
      <c r="AH79" s="145">
        <f t="shared" ca="1" si="3"/>
        <v>0</v>
      </c>
      <c r="AI79" s="145">
        <f ca="1">AI80+AI81+AI82</f>
        <v>0</v>
      </c>
      <c r="AJ79" s="145">
        <f ca="1">AJ80+AJ81+AJ82</f>
        <v>0</v>
      </c>
      <c r="AK79" s="145">
        <f ca="1">AK80+AK81+AK82</f>
        <v>0</v>
      </c>
      <c r="AL79" s="145">
        <f t="shared" ca="1" si="4"/>
        <v>0</v>
      </c>
      <c r="AM79" s="786"/>
      <c r="AN79" s="788"/>
      <c r="AO79" s="786"/>
      <c r="AR79" s="704" t="s">
        <v>1509</v>
      </c>
      <c r="AS79" s="704"/>
      <c r="AT79" s="704"/>
      <c r="AU79" s="516"/>
      <c r="AV79" s="516"/>
    </row>
    <row r="80" spans="2:48" ht="14.65" hidden="1" customHeight="1">
      <c r="E80" s="515">
        <v>15</v>
      </c>
      <c r="F80" s="3" cm="1">
        <f t="array" aca="1" ref="F80" ca="1">OFFSET(E80,-1,1)</f>
        <v>0</v>
      </c>
      <c r="I80" s="57" t="s">
        <v>565</v>
      </c>
      <c r="J80" s="57"/>
      <c r="K80" s="57"/>
      <c r="L80" s="57"/>
      <c r="M80" s="57"/>
      <c r="N80" s="57"/>
      <c r="O80" s="57"/>
      <c r="P80" s="57"/>
      <c r="Q80" s="57"/>
      <c r="R80" s="57"/>
      <c r="S80" s="57"/>
      <c r="T80" s="365" t="b" cm="1">
        <f t="array" aca="1" ref="T80" ca="1">T79</f>
        <v>0</v>
      </c>
      <c r="X80" s="1123"/>
      <c r="Z80" s="1184"/>
      <c r="AB80" s="152" t="s">
        <v>590</v>
      </c>
      <c r="AC80" s="146" t="s">
        <v>1831</v>
      </c>
      <c r="AD80" s="26" t="s">
        <v>804</v>
      </c>
      <c r="AE80" s="787">
        <f ca="1">SUMIFS('ИП + источники'!AF$26:AF$145,'ИП + источники'!$F$26:$F$145,$F80,'ИП + источники'!$AC$26:$AC$145,"погашение займов и кредитов из нормативной прибыли")+SUMIFS('ИП + источники'!AF$26:AF$145,'ИП + источники'!$F$26:$F$145,$F80,'ИП + источники'!$AC$26:$AC$145,"уплата процентов по кредитам из нормативной прибыли")</f>
        <v>0</v>
      </c>
      <c r="AF80" s="787">
        <f ca="1">SUMIFS('ИП + источники'!AG$26:AG$145,'ИП + источники'!$F$26:$F$145,$F80,'ИП + источники'!$AC$26:$AC$145,"погашение займов и кредитов из нормативной прибыли")+SUMIFS('ИП + источники'!AG$26:AG$145,'ИП + источники'!$F$26:$F$145,$F80,'ИП + источники'!$AC$26:$AC$145,"уплата процентов по кредитам из нормативной прибыли")</f>
        <v>0</v>
      </c>
      <c r="AG80" s="787">
        <f ca="1">SUMIFS('ИП + источники'!AH$26:AH$145,'ИП + источники'!$F$26:$F$145,$F80,'ИП + источники'!$AC$26:$AC$145,"погашение займов и кредитов из нормативной прибыли")+SUMIFS('ИП + источники'!AH$26:AH$145,'ИП + источники'!$F$26:$F$145,$F80,'ИП + источники'!$AC$26:$AC$145,"уплата процентов по кредитам из нормативной прибыли")</f>
        <v>0</v>
      </c>
      <c r="AH80" s="190">
        <f t="shared" ca="1" si="3"/>
        <v>0</v>
      </c>
      <c r="AI80" s="787">
        <f ca="1">SUMIFS('ИП + источники'!AJ$26:AJ$145,'ИП + источники'!$F$26:$F$145,$F80,'ИП + источники'!$AC$26:$AC$145,"погашение займов и кредитов из нормативной прибыли")+SUMIFS('ИП + источники'!AJ$26:AJ$145,'ИП + источники'!$F$26:$F$145,$F80,'ИП + источники'!$AC$26:$AC$145,"уплата процентов по кредитам из нормативной прибыли")</f>
        <v>0</v>
      </c>
      <c r="AJ80" s="787">
        <f ca="1">SUMIFS('ИП + источники'!AK$26:AK$145,'ИП + источники'!$F$26:$F$145,$F80,'ИП + источники'!$AC$26:$AC$145,"погашение займов и кредитов из нормативной прибыли")+SUMIFS('ИП + источники'!AK$26:AK$145,'ИП + источники'!$F$26:$F$145,$F80,'ИП + источники'!$AC$26:$AC$145,"уплата процентов по кредитам из нормативной прибыли")</f>
        <v>0</v>
      </c>
      <c r="AK80" s="787">
        <f ca="1">SUMIFS('ИП + источники'!AU$26:AU$145,'ИП + источники'!$F$26:$F$145,$F80,'ИП + источники'!$AC$26:$AC$145,"погашение займов и кредитов из нормативной прибыли")+SUMIFS('ИП + источники'!AU$26:AU$145,'ИП + источники'!$F$26:$F$145,$F80,'ИП + источники'!$AC$26:$AC$145,"уплата процентов по кредитам из нормативной прибыли")</f>
        <v>0</v>
      </c>
      <c r="AL80" s="190">
        <f t="shared" ca="1" si="4"/>
        <v>0</v>
      </c>
      <c r="AM80" s="784"/>
      <c r="AN80" s="788" t="str">
        <f ca="1">IF(IFERROR(INDEX('ИП + источники'!$K$57:$L$145,MATCH($F80&amp;"1komm",'ИП + источники'!$K$57:$K$145,0),2),"")=0,"",IFERROR(INDEX('ИП + источники'!$K$57:$L$145,MATCH($F80&amp;"1komm",'ИП + источники'!$K$57:$K$145,0),2),""))</f>
        <v/>
      </c>
      <c r="AO80" s="784"/>
      <c r="AR80" s="703" t="s">
        <v>1262</v>
      </c>
    </row>
    <row r="81" spans="2:48" ht="14.65" hidden="1" customHeight="1">
      <c r="E81" s="515">
        <v>15</v>
      </c>
      <c r="F81" s="3" cm="1">
        <f t="array" aca="1" ref="F81" ca="1">OFFSET(E81,-1,1)</f>
        <v>0</v>
      </c>
      <c r="I81" s="57" t="s">
        <v>569</v>
      </c>
      <c r="J81" s="57"/>
      <c r="K81" s="57"/>
      <c r="L81" s="57"/>
      <c r="M81" s="57"/>
      <c r="N81" s="57"/>
      <c r="O81" s="57"/>
      <c r="P81" s="57"/>
      <c r="Q81" s="57"/>
      <c r="R81" s="57"/>
      <c r="S81" s="57"/>
      <c r="T81" s="365" t="b" cm="1">
        <f t="array" aca="1" ref="T81" ca="1">T80</f>
        <v>0</v>
      </c>
      <c r="X81" s="1123"/>
      <c r="Z81" s="1184"/>
      <c r="AB81" s="152" t="s">
        <v>607</v>
      </c>
      <c r="AC81" s="146" t="s">
        <v>1832</v>
      </c>
      <c r="AD81" s="26" t="s">
        <v>804</v>
      </c>
      <c r="AE81" s="787">
        <f ca="1">SUMIFS('ИП + источники'!AF$27:AF$145,'ИП + источники'!$F$27:$F$145,$F81,'ИП + источники'!$AC$27:$AC$145,"Прибыль на капвложения")</f>
        <v>0</v>
      </c>
      <c r="AF81" s="787">
        <f ca="1">SUMIFS('ИП + источники'!AG$27:AG$145,'ИП + источники'!$F$27:$F$145,$F81,'ИП + источники'!$AC$27:$AC$145,"Прибыль на капвложения")</f>
        <v>0</v>
      </c>
      <c r="AG81" s="787">
        <f ca="1">SUMIFS('ИП + источники'!AH$27:AH$145,'ИП + источники'!$F$27:$F$145,$F81,'ИП + источники'!$AC$27:$AC$145,"Прибыль на капвложения")</f>
        <v>0</v>
      </c>
      <c r="AH81" s="190">
        <f t="shared" ca="1" si="3"/>
        <v>0</v>
      </c>
      <c r="AI81" s="787">
        <f ca="1">SUMIFS('ИП + источники'!AJ$27:AJ$145,'ИП + источники'!$F$27:$F$145,$F81,'ИП + источники'!$AC$27:$AC$145,"Прибыль на капвложения")</f>
        <v>0</v>
      </c>
      <c r="AJ81" s="787">
        <f ca="1">SUMIFS('ИП + источники'!AK$27:AK$145,'ИП + источники'!$F$27:$F$145,$F81,'ИП + источники'!$AC$27:$AC$145,"Прибыль на капвложения")</f>
        <v>0</v>
      </c>
      <c r="AK81" s="787">
        <f ca="1">SUMIFS('ИП + источники'!AU$27:AU$145,'ИП + источники'!$F$27:$F$145,$F81,'ИП + источники'!$AC$27:$AC$145,"Прибыль на капвложения")</f>
        <v>0</v>
      </c>
      <c r="AL81" s="190">
        <f t="shared" ca="1" si="4"/>
        <v>0</v>
      </c>
      <c r="AM81" s="784"/>
      <c r="AN81" s="788" t="str">
        <f ca="1">IF(IFERROR(INDEX('ИП + источники'!$K$57:$L$145,MATCH($F81&amp;"2komm",'ИП + источники'!$K$57:$K$145,0),2),"")=0,"",IFERROR(INDEX('ИП + источники'!$K$57:$L$145,MATCH($F81&amp;"2komm",'ИП + источники'!$K$57:$K$145,0),2),""))</f>
        <v/>
      </c>
      <c r="AO81" s="784"/>
      <c r="AR81" s="703" t="s">
        <v>1833</v>
      </c>
    </row>
    <row r="82" spans="2:48" ht="21.95" hidden="1" customHeight="1">
      <c r="E82" s="515">
        <v>22.5</v>
      </c>
      <c r="F82" s="3" cm="1">
        <f t="array" aca="1" ref="F82" ca="1">OFFSET(E82,-1,1)</f>
        <v>0</v>
      </c>
      <c r="I82" s="57" t="s">
        <v>573</v>
      </c>
      <c r="J82" s="57"/>
      <c r="K82" s="57"/>
      <c r="L82" s="57"/>
      <c r="M82" s="57"/>
      <c r="N82" s="57"/>
      <c r="O82" s="57"/>
      <c r="P82" s="57"/>
      <c r="Q82" s="57"/>
      <c r="R82" s="57"/>
      <c r="S82" s="57"/>
      <c r="T82" s="365" t="b" cm="1">
        <f t="array" aca="1" ref="T82" ca="1">T81</f>
        <v>0</v>
      </c>
      <c r="X82" s="1123"/>
      <c r="Z82" s="1184"/>
      <c r="AB82" s="152" t="s">
        <v>619</v>
      </c>
      <c r="AC82" s="146" t="s">
        <v>1834</v>
      </c>
      <c r="AD82" s="26" t="s">
        <v>804</v>
      </c>
      <c r="AE82" s="787"/>
      <c r="AF82" s="787"/>
      <c r="AG82" s="787"/>
      <c r="AH82" s="190"/>
      <c r="AI82" s="787"/>
      <c r="AJ82" s="787"/>
      <c r="AK82" s="787"/>
      <c r="AL82" s="190">
        <f t="shared" si="4"/>
        <v>0</v>
      </c>
      <c r="AM82" s="784"/>
      <c r="AN82" s="784"/>
      <c r="AO82" s="784"/>
      <c r="AR82" s="703" t="s">
        <v>1835</v>
      </c>
    </row>
    <row r="83" spans="2:48" s="434" customFormat="1" ht="21.95" hidden="1" customHeight="1">
      <c r="B83" s="434" t="b">
        <f>STATUS_GO="да"</f>
        <v>0</v>
      </c>
      <c r="E83" s="516">
        <v>22.5</v>
      </c>
      <c r="F83" s="3" cm="1">
        <f t="array" aca="1" ref="F83" ca="1">OFFSET(E83,-1,1)</f>
        <v>0</v>
      </c>
      <c r="I83" s="173" t="s">
        <v>577</v>
      </c>
      <c r="J83" s="173"/>
      <c r="K83" s="173"/>
      <c r="L83" s="173"/>
      <c r="M83" s="173"/>
      <c r="N83" s="173"/>
      <c r="O83" s="173"/>
      <c r="P83" s="173"/>
      <c r="Q83" s="173"/>
      <c r="R83" s="173"/>
      <c r="S83" s="173"/>
      <c r="T83" s="365" t="b" cm="1">
        <f t="array" aca="1" ref="T83" ca="1">T82</f>
        <v>0</v>
      </c>
      <c r="X83" s="1123"/>
      <c r="Z83" s="1184"/>
      <c r="AB83" s="150" t="s">
        <v>744</v>
      </c>
      <c r="AC83" s="151" t="s">
        <v>1836</v>
      </c>
      <c r="AD83" s="143" t="s">
        <v>804</v>
      </c>
      <c r="AE83" s="783"/>
      <c r="AF83" s="783"/>
      <c r="AG83" s="783"/>
      <c r="AH83" s="145">
        <f>AG83-AF83</f>
        <v>0</v>
      </c>
      <c r="AI83" s="783"/>
      <c r="AJ83" s="783"/>
      <c r="AK83" s="783"/>
      <c r="AL83" s="145">
        <f t="shared" si="4"/>
        <v>0</v>
      </c>
      <c r="AM83" s="786"/>
      <c r="AN83" s="786"/>
      <c r="AO83" s="786"/>
      <c r="AR83" s="704" t="s">
        <v>1837</v>
      </c>
      <c r="AS83" s="704"/>
      <c r="AT83" s="704"/>
      <c r="AU83" s="516"/>
      <c r="AV83" s="516"/>
    </row>
    <row r="84" spans="2:48" ht="14.65" hidden="1" customHeight="1">
      <c r="E84" s="515">
        <v>15</v>
      </c>
      <c r="F84" s="3" cm="1">
        <f t="array" aca="1" ref="F84" ca="1">OFFSET(E84,-1,1)</f>
        <v>0</v>
      </c>
      <c r="I84" s="57" t="s">
        <v>585</v>
      </c>
      <c r="J84" s="57"/>
      <c r="K84" s="57"/>
      <c r="L84" s="57"/>
      <c r="M84" s="57"/>
      <c r="N84" s="57"/>
      <c r="O84" s="57"/>
      <c r="P84" s="57"/>
      <c r="Q84" s="57"/>
      <c r="R84" s="57"/>
      <c r="S84" s="57"/>
      <c r="T84" s="365" t="b" cm="1">
        <f t="array" aca="1" ref="T84" ca="1">T83</f>
        <v>0</v>
      </c>
      <c r="X84" s="1123"/>
      <c r="Z84" s="1184"/>
      <c r="AB84" s="152" t="s">
        <v>747</v>
      </c>
      <c r="AC84" s="358" t="s">
        <v>1464</v>
      </c>
      <c r="AD84" s="26" t="s">
        <v>804</v>
      </c>
      <c r="AE84" s="787"/>
      <c r="AF84" s="787"/>
      <c r="AG84" s="787"/>
      <c r="AH84" s="190"/>
      <c r="AI84" s="148"/>
      <c r="AJ84" s="148"/>
      <c r="AK84" s="148"/>
      <c r="AL84" s="190">
        <f t="shared" si="4"/>
        <v>0</v>
      </c>
      <c r="AM84" s="784"/>
      <c r="AN84" s="784"/>
      <c r="AO84" s="784"/>
      <c r="AR84" s="703" t="s">
        <v>1838</v>
      </c>
    </row>
    <row r="85" spans="2:48" ht="101.25" hidden="1" customHeight="1">
      <c r="E85" s="515">
        <v>0</v>
      </c>
      <c r="F85" s="3" cm="1">
        <f t="array" aca="1" ref="F85" ca="1">OFFSET(E85,-1,1)</f>
        <v>0</v>
      </c>
      <c r="H85" s="57" t="b">
        <f>ISERR(SEARCH("Водоснабжение",AB27))</f>
        <v>1</v>
      </c>
      <c r="I85" s="57" t="s">
        <v>743</v>
      </c>
      <c r="J85" s="57"/>
      <c r="K85" s="57"/>
      <c r="L85" s="57"/>
      <c r="M85" s="57"/>
      <c r="N85" s="57"/>
      <c r="O85" s="57"/>
      <c r="P85" s="57"/>
      <c r="Q85" s="57"/>
      <c r="R85" s="57"/>
      <c r="S85" s="57"/>
      <c r="T85" s="365" t="b" cm="1">
        <f t="array" aca="1" ref="T85" ca="1">T84</f>
        <v>0</v>
      </c>
      <c r="X85" s="1123"/>
      <c r="Z85" s="1184"/>
      <c r="AB85" s="152" t="s">
        <v>1049</v>
      </c>
      <c r="AC85" s="358" t="s">
        <v>1839</v>
      </c>
      <c r="AD85" s="28" t="s">
        <v>804</v>
      </c>
      <c r="AE85" s="787"/>
      <c r="AF85" s="787"/>
      <c r="AG85" s="787"/>
      <c r="AH85" s="190">
        <f t="shared" ref="AH85:AH100" si="5">AG85-AF85</f>
        <v>0</v>
      </c>
      <c r="AI85" s="787"/>
      <c r="AJ85" s="787"/>
      <c r="AK85" s="787">
        <f ca="1">IFERROR(SUMIFS('Плата за негативное возд'!$AL$25:$AL$35,'Плата за негативное возд'!$F$25:$F$35,F85,'Плата за негативное возд'!$G$25:$G$35,"1"),0)</f>
        <v>0</v>
      </c>
      <c r="AL85" s="190">
        <f t="shared" si="4"/>
        <v>0</v>
      </c>
      <c r="AM85" s="784"/>
      <c r="AN85" s="784"/>
      <c r="AO85" s="784"/>
      <c r="AR85" s="703" t="s">
        <v>1366</v>
      </c>
    </row>
    <row r="86" spans="2:48" ht="67.5" hidden="1" customHeight="1">
      <c r="E86" s="515">
        <v>0</v>
      </c>
      <c r="F86" s="3" cm="1">
        <f t="array" aca="1" ref="F86" ca="1">OFFSET(E86,-1,1)</f>
        <v>0</v>
      </c>
      <c r="H86" s="57" t="b">
        <f>ISERR(SEARCH("Водоснабжение",AB27))</f>
        <v>1</v>
      </c>
      <c r="I86" s="57" t="s">
        <v>746</v>
      </c>
      <c r="J86" s="57"/>
      <c r="K86" s="57"/>
      <c r="L86" s="57"/>
      <c r="M86" s="57"/>
      <c r="N86" s="57"/>
      <c r="O86" s="57"/>
      <c r="P86" s="57"/>
      <c r="Q86" s="57"/>
      <c r="R86" s="57"/>
      <c r="S86" s="57"/>
      <c r="T86" s="365" t="b" cm="1">
        <f t="array" aca="1" ref="T86" ca="1">T85</f>
        <v>0</v>
      </c>
      <c r="X86" s="1123"/>
      <c r="Z86" s="1184"/>
      <c r="AB86" s="152" t="s">
        <v>1840</v>
      </c>
      <c r="AC86" s="358" t="s">
        <v>1841</v>
      </c>
      <c r="AD86" s="28" t="s">
        <v>804</v>
      </c>
      <c r="AE86" s="787"/>
      <c r="AF86" s="787"/>
      <c r="AG86" s="787"/>
      <c r="AH86" s="190">
        <f t="shared" si="5"/>
        <v>0</v>
      </c>
      <c r="AI86" s="787"/>
      <c r="AJ86" s="787"/>
      <c r="AK86" s="787">
        <f ca="1">IFERROR(SUMIFS('Плата за негативное возд'!$AL$25:$AL$35,'Плата за негативное возд'!$F$25:$F$35,F86,'Плата за негативное возд'!$G$25:$G$35,"2"),0)</f>
        <v>0</v>
      </c>
      <c r="AL86" s="190">
        <f t="shared" si="4"/>
        <v>0</v>
      </c>
      <c r="AM86" s="784"/>
      <c r="AN86" s="784"/>
      <c r="AO86" s="784"/>
      <c r="AR86" s="703" t="s">
        <v>1370</v>
      </c>
    </row>
    <row r="87" spans="2:48" ht="14.65" hidden="1" customHeight="1">
      <c r="E87" s="515">
        <v>15</v>
      </c>
      <c r="F87" s="3" cm="1">
        <f t="array" aca="1" ref="F87" ca="1">OFFSET(E87,-1,1)</f>
        <v>0</v>
      </c>
      <c r="I87" s="57" t="s">
        <v>782</v>
      </c>
      <c r="J87" s="57"/>
      <c r="K87" s="57"/>
      <c r="L87" s="57"/>
      <c r="M87" s="57"/>
      <c r="N87" s="57"/>
      <c r="O87" s="57"/>
      <c r="P87" s="57"/>
      <c r="Q87" s="57"/>
      <c r="R87" s="57"/>
      <c r="S87" s="57"/>
      <c r="T87" s="365" t="b" cm="1">
        <f t="array" aca="1" ref="T87" ca="1">T86</f>
        <v>0</v>
      </c>
      <c r="X87" s="1123"/>
      <c r="Z87" s="1184"/>
      <c r="AB87" s="152" t="s">
        <v>1842</v>
      </c>
      <c r="AC87" s="259" t="s">
        <v>1843</v>
      </c>
      <c r="AD87" s="26" t="s">
        <v>804</v>
      </c>
      <c r="AE87" s="787"/>
      <c r="AF87" s="787"/>
      <c r="AG87" s="787"/>
      <c r="AH87" s="190">
        <f t="shared" si="5"/>
        <v>0</v>
      </c>
      <c r="AI87" s="787"/>
      <c r="AJ87" s="787"/>
      <c r="AK87" s="787"/>
      <c r="AL87" s="190">
        <f t="shared" si="4"/>
        <v>0</v>
      </c>
      <c r="AM87" s="784"/>
      <c r="AN87" s="784"/>
      <c r="AO87" s="784"/>
      <c r="AR87" s="703" t="s">
        <v>1247</v>
      </c>
    </row>
    <row r="88" spans="2:48" s="434" customFormat="1" ht="21.95" hidden="1" customHeight="1">
      <c r="E88" s="516">
        <v>22.5</v>
      </c>
      <c r="F88" s="3" cm="1">
        <f t="array" aca="1" ref="F88" ca="1">OFFSET(E88,-1,1)</f>
        <v>0</v>
      </c>
      <c r="I88" s="173" t="s">
        <v>783</v>
      </c>
      <c r="J88" s="173"/>
      <c r="K88" s="173"/>
      <c r="L88" s="173"/>
      <c r="M88" s="173"/>
      <c r="N88" s="173"/>
      <c r="O88" s="173"/>
      <c r="P88" s="173"/>
      <c r="Q88" s="173"/>
      <c r="R88" s="173"/>
      <c r="S88" s="173"/>
      <c r="T88" s="365" t="b" cm="1">
        <f t="array" aca="1" ref="T88" ca="1">T87</f>
        <v>0</v>
      </c>
      <c r="X88" s="1123"/>
      <c r="Z88" s="1184"/>
      <c r="AB88" s="150" t="s">
        <v>258</v>
      </c>
      <c r="AC88" s="144" t="s">
        <v>1844</v>
      </c>
      <c r="AD88" s="143" t="s">
        <v>804</v>
      </c>
      <c r="AE88" s="145">
        <f>AE89+AE90</f>
        <v>0</v>
      </c>
      <c r="AF88" s="145">
        <f>AF89+AF90</f>
        <v>0</v>
      </c>
      <c r="AG88" s="145">
        <f>AG89+AG90</f>
        <v>0</v>
      </c>
      <c r="AH88" s="145">
        <f t="shared" si="5"/>
        <v>0</v>
      </c>
      <c r="AI88" s="145">
        <f>AI89+AI90</f>
        <v>0</v>
      </c>
      <c r="AJ88" s="145">
        <f>AJ89+AJ90</f>
        <v>0</v>
      </c>
      <c r="AK88" s="145">
        <f>AK89+AK90</f>
        <v>0</v>
      </c>
      <c r="AL88" s="145">
        <f t="shared" si="4"/>
        <v>0</v>
      </c>
      <c r="AM88" s="786"/>
      <c r="AN88" s="786"/>
      <c r="AO88" s="786"/>
      <c r="AR88" s="704" t="s">
        <v>1547</v>
      </c>
      <c r="AS88" s="704"/>
      <c r="AT88" s="704"/>
      <c r="AU88" s="516"/>
      <c r="AV88" s="516"/>
    </row>
    <row r="89" spans="2:48" ht="21.95" hidden="1" customHeight="1">
      <c r="E89" s="515">
        <v>22.5</v>
      </c>
      <c r="F89" s="3" cm="1">
        <f t="array" aca="1" ref="F89" ca="1">OFFSET(E89,-1,1)</f>
        <v>0</v>
      </c>
      <c r="I89" s="57" t="s">
        <v>1845</v>
      </c>
      <c r="J89" s="57"/>
      <c r="K89" s="57"/>
      <c r="L89" s="57"/>
      <c r="M89" s="57"/>
      <c r="N89" s="57"/>
      <c r="O89" s="57"/>
      <c r="P89" s="57"/>
      <c r="Q89" s="57"/>
      <c r="R89" s="57"/>
      <c r="S89" s="57"/>
      <c r="T89" s="365" t="b" cm="1">
        <f t="array" aca="1" ref="T89" ca="1">T88</f>
        <v>0</v>
      </c>
      <c r="X89" s="1123"/>
      <c r="Z89" s="1184"/>
      <c r="AB89" s="152" t="s">
        <v>1846</v>
      </c>
      <c r="AC89" s="560" t="s">
        <v>1548</v>
      </c>
      <c r="AD89" s="26" t="s">
        <v>804</v>
      </c>
      <c r="AE89" s="787"/>
      <c r="AF89" s="787"/>
      <c r="AG89" s="787"/>
      <c r="AH89" s="190">
        <f t="shared" si="5"/>
        <v>0</v>
      </c>
      <c r="AI89" s="787"/>
      <c r="AJ89" s="787"/>
      <c r="AK89" s="787"/>
      <c r="AL89" s="190">
        <f t="shared" si="4"/>
        <v>0</v>
      </c>
      <c r="AM89" s="784"/>
      <c r="AN89" s="784"/>
      <c r="AO89" s="784"/>
      <c r="AR89" s="703" t="s">
        <v>1586</v>
      </c>
    </row>
    <row r="90" spans="2:48" ht="21.95" hidden="1" customHeight="1">
      <c r="E90" s="515">
        <v>22.5</v>
      </c>
      <c r="F90" s="3" cm="1">
        <f t="array" aca="1" ref="F90" ca="1">OFFSET(E90,-1,1)</f>
        <v>0</v>
      </c>
      <c r="I90" s="57" t="s">
        <v>1847</v>
      </c>
      <c r="J90" s="57"/>
      <c r="K90" s="57"/>
      <c r="L90" s="57"/>
      <c r="M90" s="57"/>
      <c r="N90" s="57"/>
      <c r="O90" s="57"/>
      <c r="P90" s="57"/>
      <c r="Q90" s="57"/>
      <c r="R90" s="57"/>
      <c r="S90" s="57"/>
      <c r="T90" s="365" t="b" cm="1">
        <f t="array" aca="1" ref="T90" ca="1">T89</f>
        <v>0</v>
      </c>
      <c r="X90" s="1123"/>
      <c r="Z90" s="1184"/>
      <c r="AB90" s="152" t="s">
        <v>1848</v>
      </c>
      <c r="AC90" s="560" t="s">
        <v>1550</v>
      </c>
      <c r="AD90" s="26" t="s">
        <v>804</v>
      </c>
      <c r="AE90" s="787"/>
      <c r="AF90" s="787"/>
      <c r="AG90" s="787"/>
      <c r="AH90" s="190">
        <f t="shared" si="5"/>
        <v>0</v>
      </c>
      <c r="AI90" s="787"/>
      <c r="AJ90" s="787"/>
      <c r="AK90" s="787"/>
      <c r="AL90" s="190">
        <f t="shared" si="4"/>
        <v>0</v>
      </c>
      <c r="AM90" s="784"/>
      <c r="AN90" s="784"/>
      <c r="AO90" s="784"/>
      <c r="AR90" s="703" t="s">
        <v>1849</v>
      </c>
    </row>
    <row r="91" spans="2:48" ht="14.65" hidden="1" customHeight="1">
      <c r="E91" s="515">
        <v>15</v>
      </c>
      <c r="F91" s="3" cm="1">
        <f t="array" aca="1" ref="F91" ca="1">OFFSET(E91,-1,1)</f>
        <v>0</v>
      </c>
      <c r="I91" s="57" t="s">
        <v>1850</v>
      </c>
      <c r="J91" s="57"/>
      <c r="K91" s="57"/>
      <c r="L91" s="57"/>
      <c r="M91" s="57"/>
      <c r="N91" s="57"/>
      <c r="O91" s="57"/>
      <c r="P91" s="57"/>
      <c r="Q91" s="57"/>
      <c r="R91" s="57"/>
      <c r="S91" s="57"/>
      <c r="T91" s="365" t="b" cm="1">
        <f t="array" aca="1" ref="T91" ca="1">T90</f>
        <v>0</v>
      </c>
      <c r="X91" s="1123"/>
      <c r="Z91" s="1184"/>
      <c r="AB91" s="561" t="s">
        <v>336</v>
      </c>
      <c r="AC91" s="567" t="s">
        <v>1552</v>
      </c>
      <c r="AD91" s="26" t="s">
        <v>804</v>
      </c>
      <c r="AE91" s="787"/>
      <c r="AF91" s="787"/>
      <c r="AG91" s="787"/>
      <c r="AH91" s="190">
        <f t="shared" si="5"/>
        <v>0</v>
      </c>
      <c r="AI91" s="787"/>
      <c r="AJ91" s="787"/>
      <c r="AK91" s="787"/>
      <c r="AL91" s="190">
        <f t="shared" si="4"/>
        <v>0</v>
      </c>
      <c r="AM91" s="784"/>
      <c r="AN91" s="784"/>
      <c r="AO91" s="784"/>
      <c r="AR91" s="703" t="s">
        <v>1553</v>
      </c>
    </row>
    <row r="92" spans="2:48" ht="14.65" hidden="1" customHeight="1">
      <c r="E92" s="515">
        <v>15</v>
      </c>
      <c r="F92" s="3" cm="1">
        <f t="array" aca="1" ref="F92" ca="1">OFFSET(E92,-1,1)</f>
        <v>0</v>
      </c>
      <c r="I92" s="57" t="s">
        <v>1851</v>
      </c>
      <c r="J92" s="57"/>
      <c r="K92" s="57"/>
      <c r="L92" s="57"/>
      <c r="M92" s="57"/>
      <c r="N92" s="57"/>
      <c r="O92" s="57"/>
      <c r="P92" s="57"/>
      <c r="Q92" s="57"/>
      <c r="R92" s="57"/>
      <c r="S92" s="57"/>
      <c r="T92" s="365" t="b" cm="1">
        <f t="array" aca="1" ref="T92" ca="1">T91</f>
        <v>0</v>
      </c>
      <c r="X92" s="1123"/>
      <c r="Z92" s="1184"/>
      <c r="AB92" s="561" t="s">
        <v>1852</v>
      </c>
      <c r="AC92" s="567" t="s">
        <v>1554</v>
      </c>
      <c r="AD92" s="26" t="s">
        <v>804</v>
      </c>
      <c r="AE92" s="787"/>
      <c r="AF92" s="787"/>
      <c r="AG92" s="787"/>
      <c r="AH92" s="190">
        <f t="shared" si="5"/>
        <v>0</v>
      </c>
      <c r="AI92" s="787"/>
      <c r="AJ92" s="787"/>
      <c r="AK92" s="787"/>
      <c r="AL92" s="190">
        <f t="shared" si="4"/>
        <v>0</v>
      </c>
      <c r="AM92" s="784"/>
      <c r="AN92" s="784"/>
      <c r="AO92" s="784"/>
      <c r="AR92" s="703" t="s">
        <v>1555</v>
      </c>
    </row>
    <row r="93" spans="2:48" s="434" customFormat="1" ht="14.65" hidden="1" customHeight="1">
      <c r="E93" s="516">
        <v>15</v>
      </c>
      <c r="F93" s="3" cm="1">
        <f t="array" aca="1" ref="F93" ca="1">OFFSET(E93,-1,1)</f>
        <v>0</v>
      </c>
      <c r="I93" s="173" t="s">
        <v>1853</v>
      </c>
      <c r="J93" s="173"/>
      <c r="K93" s="173"/>
      <c r="L93" s="173"/>
      <c r="M93" s="173"/>
      <c r="N93" s="173"/>
      <c r="O93" s="173"/>
      <c r="P93" s="173"/>
      <c r="Q93" s="173"/>
      <c r="R93" s="173"/>
      <c r="S93" s="173"/>
      <c r="T93" s="365" t="b" cm="1">
        <f t="array" aca="1" ref="T93" ca="1">T92</f>
        <v>0</v>
      </c>
      <c r="X93" s="1123"/>
      <c r="Z93" s="1184"/>
      <c r="AB93" s="150" t="s">
        <v>1854</v>
      </c>
      <c r="AC93" s="144" t="s">
        <v>1855</v>
      </c>
      <c r="AD93" s="143" t="s">
        <v>804</v>
      </c>
      <c r="AE93" s="145">
        <f ca="1">AE28+AE56+AE61+AE74+AE75+AE77+AE78+AE79+AE83+AE84-AE85-AE86+AE87-AE88+AE91+AE92</f>
        <v>0</v>
      </c>
      <c r="AF93" s="145">
        <f ca="1">AF28+AF56+AF61+AF74+AF75+AF77+AF78+AF79+AF83+AF84-AF85-AF86+AF87-AF88+AF91+AF92</f>
        <v>0</v>
      </c>
      <c r="AG93" s="145">
        <f ca="1">AG28+AG56+AG61+AG74+AG75+AG77+AG78+AG79+AG83+AG84-AG85-AG86+AG87-AG88+AG91+AG92</f>
        <v>0</v>
      </c>
      <c r="AH93" s="145">
        <f t="shared" ca="1" si="5"/>
        <v>0</v>
      </c>
      <c r="AI93" s="145">
        <f ca="1">AI28+AI56+AI61+AI74+AI75+AI77+AI78+AI79+AI83+AI84-AI85-AI86+AI87-AI88+AI91+AI92</f>
        <v>0</v>
      </c>
      <c r="AJ93" s="145">
        <f ca="1">AJ28+AJ56+AJ61+AJ74+AJ75+AJ77+AJ78+AJ79+AJ83+AJ84-AJ85-AJ86+AJ87-AJ88+AJ91+AJ92</f>
        <v>0</v>
      </c>
      <c r="AK93" s="145">
        <f ca="1">AK28+AK56+AK61+AK74+AK75+AK77+AK78+AK79+AK83+AK84-AK85-AK86+AK87-AK88+AK91+AK92</f>
        <v>0</v>
      </c>
      <c r="AL93" s="145">
        <f t="shared" ca="1" si="4"/>
        <v>0</v>
      </c>
      <c r="AM93" s="786"/>
      <c r="AN93" s="786"/>
      <c r="AO93" s="786"/>
      <c r="AR93" s="704" t="s">
        <v>1856</v>
      </c>
      <c r="AS93" s="704"/>
      <c r="AT93" s="704"/>
      <c r="AU93" s="516"/>
      <c r="AV93" s="516"/>
    </row>
    <row r="94" spans="2:48" ht="15" hidden="1" customHeight="1">
      <c r="B94" s="291" t="b">
        <f>G27="двухставочный"</f>
        <v>0</v>
      </c>
      <c r="E94" s="515">
        <v>0</v>
      </c>
      <c r="F94" s="3" cm="1">
        <f t="array" aca="1" ref="F94" ca="1">OFFSET(E94,-1,1)</f>
        <v>0</v>
      </c>
      <c r="I94" s="57" t="s">
        <v>1857</v>
      </c>
      <c r="J94" s="57"/>
      <c r="K94" s="57"/>
      <c r="L94" s="57"/>
      <c r="M94" s="57"/>
      <c r="N94" s="57"/>
      <c r="O94" s="57"/>
      <c r="P94" s="57"/>
      <c r="Q94" s="57"/>
      <c r="R94" s="57"/>
      <c r="S94" s="57"/>
      <c r="T94" s="365" t="b" cm="1">
        <f t="array" aca="1" ref="T94" ca="1">T93</f>
        <v>0</v>
      </c>
      <c r="X94" s="1123"/>
      <c r="Z94" s="1184"/>
      <c r="AB94" s="152" t="s">
        <v>1858</v>
      </c>
      <c r="AC94" s="560" t="s">
        <v>1859</v>
      </c>
      <c r="AD94" s="26" t="s">
        <v>804</v>
      </c>
      <c r="AE94" s="787"/>
      <c r="AF94" s="787"/>
      <c r="AG94" s="787"/>
      <c r="AH94" s="190">
        <f t="shared" si="5"/>
        <v>0</v>
      </c>
      <c r="AI94" s="787"/>
      <c r="AJ94" s="787"/>
      <c r="AK94" s="787"/>
      <c r="AL94" s="190">
        <f t="shared" si="4"/>
        <v>0</v>
      </c>
      <c r="AM94" s="784"/>
      <c r="AN94" s="784"/>
      <c r="AO94" s="784"/>
      <c r="AR94" s="703" t="s">
        <v>1860</v>
      </c>
    </row>
    <row r="95" spans="2:48" ht="15" hidden="1" customHeight="1">
      <c r="B95" s="291" t="b">
        <f>G27="двухставочный"</f>
        <v>0</v>
      </c>
      <c r="E95" s="515">
        <v>0</v>
      </c>
      <c r="F95" s="3" cm="1">
        <f t="array" aca="1" ref="F95" ca="1">OFFSET(E95,-1,1)</f>
        <v>0</v>
      </c>
      <c r="I95" s="57" t="s">
        <v>1861</v>
      </c>
      <c r="J95" s="57"/>
      <c r="K95" s="57"/>
      <c r="L95" s="57"/>
      <c r="M95" s="57"/>
      <c r="N95" s="57"/>
      <c r="O95" s="57"/>
      <c r="P95" s="57"/>
      <c r="Q95" s="57"/>
      <c r="R95" s="57"/>
      <c r="S95" s="57"/>
      <c r="T95" s="365" t="b" cm="1">
        <f t="array" aca="1" ref="T95" ca="1">T94</f>
        <v>0</v>
      </c>
      <c r="X95" s="1123"/>
      <c r="Z95" s="1184"/>
      <c r="AB95" s="152" t="s">
        <v>1862</v>
      </c>
      <c r="AC95" s="560" t="s">
        <v>1863</v>
      </c>
      <c r="AD95" s="26" t="s">
        <v>804</v>
      </c>
      <c r="AE95" s="787"/>
      <c r="AF95" s="787"/>
      <c r="AG95" s="787"/>
      <c r="AH95" s="190">
        <f t="shared" si="5"/>
        <v>0</v>
      </c>
      <c r="AI95" s="787"/>
      <c r="AJ95" s="787"/>
      <c r="AK95" s="787"/>
      <c r="AL95" s="190">
        <f t="shared" si="4"/>
        <v>0</v>
      </c>
      <c r="AM95" s="784"/>
      <c r="AN95" s="784"/>
      <c r="AO95" s="784"/>
      <c r="AR95" s="703" t="s">
        <v>1864</v>
      </c>
    </row>
    <row r="96" spans="2:48" s="434" customFormat="1" ht="14.65" hidden="1" customHeight="1">
      <c r="E96" s="516">
        <v>15</v>
      </c>
      <c r="F96" s="3" cm="1">
        <f t="array" aca="1" ref="F96" ca="1">OFFSET(E96,-1,1)</f>
        <v>0</v>
      </c>
      <c r="G96" s="91" t="s">
        <v>1633</v>
      </c>
      <c r="I96" s="173" t="s">
        <v>1865</v>
      </c>
      <c r="J96" s="173"/>
      <c r="K96" s="173"/>
      <c r="L96" s="173"/>
      <c r="M96" s="173"/>
      <c r="N96" s="173"/>
      <c r="O96" s="173"/>
      <c r="P96" s="173"/>
      <c r="Q96" s="173"/>
      <c r="R96" s="173"/>
      <c r="S96" s="173"/>
      <c r="T96" s="365" t="b" cm="1">
        <f t="array" aca="1" ref="T96" ca="1">T95</f>
        <v>0</v>
      </c>
      <c r="X96" s="1123"/>
      <c r="Z96" s="1184"/>
      <c r="AB96" s="150" t="s">
        <v>1866</v>
      </c>
      <c r="AC96" s="144" t="s">
        <v>1867</v>
      </c>
      <c r="AD96" s="143" t="s">
        <v>534</v>
      </c>
      <c r="AE96" s="562">
        <f ca="1">SUMIFS(Баланс!AE$26:AE$300,Баланс!$F$26:$F$300,$F96,Баланс!$G$26:$G$300,"ПО")</f>
        <v>0</v>
      </c>
      <c r="AF96" s="562">
        <f ca="1">SUMIFS(Баланс!AF$26:AF$300,Баланс!$F$26:$F$300,$F96,Баланс!$G$26:$G$300,"ПО")</f>
        <v>0</v>
      </c>
      <c r="AG96" s="562">
        <f ca="1">SUMIFS(Баланс!AG$26:AG$300,Баланс!$F$26:$F$300,$F96,Баланс!$G$26:$G$300,"ПО")</f>
        <v>0</v>
      </c>
      <c r="AH96" s="562">
        <f t="shared" ca="1" si="5"/>
        <v>0</v>
      </c>
      <c r="AI96" s="562">
        <f ca="1">SUMIFS(Баланс!AH$26:AH$300,Баланс!$F$26:$F$300,$F96,Баланс!$G$26:$G$300,"ПО")</f>
        <v>0</v>
      </c>
      <c r="AJ96" s="562">
        <f ca="1">SUMIFS(Баланс!AI$26:AI$300,Баланс!$F$26:$F$300,$F96,Баланс!$G$26:$G$300,"ПО")</f>
        <v>0</v>
      </c>
      <c r="AK96" s="562">
        <f ca="1">SUMIFS(Баланс!AS$26:AS$300,Баланс!$F$26:$F$300,$F96,Баланс!$G$26:$G$300,"ПО")</f>
        <v>0</v>
      </c>
      <c r="AL96" s="148"/>
      <c r="AM96" s="786"/>
      <c r="AN96" s="786"/>
      <c r="AO96" s="786"/>
      <c r="AR96" s="704" t="s">
        <v>1868</v>
      </c>
      <c r="AS96" s="704"/>
      <c r="AT96" s="704"/>
      <c r="AU96" s="516"/>
      <c r="AV96" s="516"/>
    </row>
    <row r="97" spans="5:48" ht="14.65" hidden="1" customHeight="1">
      <c r="E97" s="515">
        <v>15</v>
      </c>
      <c r="F97" s="3" cm="1">
        <f t="array" aca="1" ref="F97" ca="1">OFFSET(E97,-1,1)</f>
        <v>0</v>
      </c>
      <c r="G97" s="91" t="s">
        <v>1660</v>
      </c>
      <c r="I97" s="57" t="s">
        <v>1869</v>
      </c>
      <c r="J97" s="57"/>
      <c r="K97" s="57"/>
      <c r="L97" s="57"/>
      <c r="M97" s="57"/>
      <c r="N97" s="57"/>
      <c r="O97" s="57"/>
      <c r="P97" s="57"/>
      <c r="Q97" s="57"/>
      <c r="R97" s="57"/>
      <c r="S97" s="57"/>
      <c r="T97" s="365" t="b" cm="1">
        <f t="array" aca="1" ref="T97" ca="1">T96</f>
        <v>0</v>
      </c>
      <c r="X97" s="1123"/>
      <c r="Z97" s="1184"/>
      <c r="AB97" s="152" t="s">
        <v>1870</v>
      </c>
      <c r="AC97" s="146" t="s">
        <v>1871</v>
      </c>
      <c r="AD97" s="26" t="s">
        <v>534</v>
      </c>
      <c r="AE97" s="785">
        <f ca="1">IF(AE$24="2026 год",AE96/12*9,AE96/2)</f>
        <v>0</v>
      </c>
      <c r="AF97" s="785">
        <f ca="1">IF(AF$24="2026 год",AF96/12*9,AF96/2)</f>
        <v>0</v>
      </c>
      <c r="AG97" s="785">
        <f ca="1">IF(AG$24="2026 год",AG96/12*9,AG96/2)</f>
        <v>0</v>
      </c>
      <c r="AH97" s="568">
        <f t="shared" ca="1" si="5"/>
        <v>0</v>
      </c>
      <c r="AI97" s="785">
        <f ca="1">IF(AI$24="2026 год",AI96/12*9,AI96/2)</f>
        <v>0</v>
      </c>
      <c r="AJ97" s="785">
        <f ca="1">IF(AJ$24="2026 год",AJ96/12*9,AJ96/2)</f>
        <v>0</v>
      </c>
      <c r="AK97" s="785">
        <f ca="1">IF(AK$24="2026 год",AK96/12*9,AK96/2)</f>
        <v>0</v>
      </c>
      <c r="AL97" s="552"/>
      <c r="AM97" s="784"/>
      <c r="AN97" s="784"/>
      <c r="AO97" s="784"/>
      <c r="AR97" s="703" t="s">
        <v>1872</v>
      </c>
    </row>
    <row r="98" spans="5:48" ht="14.65" hidden="1" customHeight="1">
      <c r="E98" s="515">
        <v>15</v>
      </c>
      <c r="F98" s="3" cm="1">
        <f t="array" aca="1" ref="F98" ca="1">OFFSET(E98,-1,1)</f>
        <v>0</v>
      </c>
      <c r="G98" s="91" t="s">
        <v>1621</v>
      </c>
      <c r="I98" s="57" t="s">
        <v>1873</v>
      </c>
      <c r="J98" s="57"/>
      <c r="K98" s="57"/>
      <c r="L98" s="57"/>
      <c r="M98" s="57"/>
      <c r="N98" s="57"/>
      <c r="O98" s="57"/>
      <c r="P98" s="57"/>
      <c r="Q98" s="57"/>
      <c r="R98" s="57"/>
      <c r="S98" s="57"/>
      <c r="T98" s="365" t="b" cm="1">
        <f t="array" aca="1" ref="T98" ca="1">T97</f>
        <v>0</v>
      </c>
      <c r="X98" s="1123"/>
      <c r="Z98" s="1184"/>
      <c r="AB98" s="152" t="s">
        <v>1874</v>
      </c>
      <c r="AC98" s="146" t="s">
        <v>1875</v>
      </c>
      <c r="AD98" s="26" t="s">
        <v>1624</v>
      </c>
      <c r="AE98" s="787"/>
      <c r="AF98" s="787"/>
      <c r="AG98" s="787"/>
      <c r="AH98" s="190">
        <f t="shared" si="5"/>
        <v>0</v>
      </c>
      <c r="AI98" s="787"/>
      <c r="AJ98" s="787"/>
      <c r="AK98" s="787"/>
      <c r="AL98" s="552"/>
      <c r="AM98" s="784"/>
      <c r="AN98" s="784"/>
      <c r="AO98" s="784"/>
      <c r="AR98" s="703" t="s">
        <v>1876</v>
      </c>
    </row>
    <row r="99" spans="5:48" ht="14.65" hidden="1" customHeight="1">
      <c r="E99" s="515">
        <v>15</v>
      </c>
      <c r="F99" s="3" cm="1">
        <f t="array" aca="1" ref="F99" ca="1">OFFSET(E99,-1,1)</f>
        <v>0</v>
      </c>
      <c r="G99" s="91" t="s">
        <v>1673</v>
      </c>
      <c r="I99" s="57" t="s">
        <v>1877</v>
      </c>
      <c r="J99" s="57"/>
      <c r="K99" s="57"/>
      <c r="L99" s="57"/>
      <c r="M99" s="57"/>
      <c r="N99" s="57"/>
      <c r="O99" s="57"/>
      <c r="P99" s="57"/>
      <c r="Q99" s="57"/>
      <c r="R99" s="57"/>
      <c r="S99" s="57"/>
      <c r="T99" s="365" t="b" cm="1">
        <f t="array" aca="1" ref="T99" ca="1">T98</f>
        <v>0</v>
      </c>
      <c r="X99" s="1123"/>
      <c r="Z99" s="1184"/>
      <c r="AB99" s="152" t="s">
        <v>1878</v>
      </c>
      <c r="AC99" s="146" t="s">
        <v>1879</v>
      </c>
      <c r="AD99" s="26" t="s">
        <v>534</v>
      </c>
      <c r="AE99" s="568">
        <f ca="1">AE96-AE97</f>
        <v>0</v>
      </c>
      <c r="AF99" s="568">
        <f ca="1">AF96-AF97</f>
        <v>0</v>
      </c>
      <c r="AG99" s="568">
        <f ca="1">AG96-AG97</f>
        <v>0</v>
      </c>
      <c r="AH99" s="568">
        <f t="shared" ca="1" si="5"/>
        <v>0</v>
      </c>
      <c r="AI99" s="568">
        <f ca="1">AI96-AI97</f>
        <v>0</v>
      </c>
      <c r="AJ99" s="568">
        <f ca="1">AJ96-AJ97</f>
        <v>0</v>
      </c>
      <c r="AK99" s="568">
        <f ca="1">AK96-AK97</f>
        <v>0</v>
      </c>
      <c r="AL99" s="552"/>
      <c r="AM99" s="784"/>
      <c r="AN99" s="784"/>
      <c r="AO99" s="784"/>
      <c r="AR99" s="703" t="s">
        <v>1880</v>
      </c>
    </row>
    <row r="100" spans="5:48" ht="14.65" hidden="1" customHeight="1">
      <c r="E100" s="515">
        <v>15</v>
      </c>
      <c r="F100" s="3" cm="1">
        <f t="array" aca="1" ref="F100" ca="1">OFFSET(E100,-1,1)</f>
        <v>0</v>
      </c>
      <c r="G100" s="91" t="s">
        <v>1626</v>
      </c>
      <c r="I100" s="57" t="s">
        <v>1881</v>
      </c>
      <c r="J100" s="57"/>
      <c r="K100" s="57"/>
      <c r="L100" s="57"/>
      <c r="M100" s="57"/>
      <c r="N100" s="57"/>
      <c r="O100" s="57"/>
      <c r="P100" s="57"/>
      <c r="Q100" s="57"/>
      <c r="R100" s="57"/>
      <c r="S100" s="57"/>
      <c r="T100" s="365" t="b" cm="1">
        <f t="array" aca="1" ref="T100" ca="1">T99</f>
        <v>0</v>
      </c>
      <c r="X100" s="1123"/>
      <c r="Z100" s="1184"/>
      <c r="AB100" s="152" t="s">
        <v>1882</v>
      </c>
      <c r="AC100" s="146" t="s">
        <v>1883</v>
      </c>
      <c r="AD100" s="26" t="s">
        <v>1624</v>
      </c>
      <c r="AE100" s="787">
        <f ca="1">IF(AE99=0,0,(AE93-AE97*AE98)/AE99)</f>
        <v>0</v>
      </c>
      <c r="AF100" s="787">
        <f ca="1">IF(AF99=0,0,(AF93-AF97*AF98)/AF99)</f>
        <v>0</v>
      </c>
      <c r="AG100" s="787">
        <f ca="1">IF(AG99=0,0,(AG93-AG97*AG98)/AG99)</f>
        <v>0</v>
      </c>
      <c r="AH100" s="190">
        <f t="shared" ca="1" si="5"/>
        <v>0</v>
      </c>
      <c r="AI100" s="787">
        <f ca="1">IF(AI99=0,0,(AI93-AI97*AI98)/AI99)</f>
        <v>0</v>
      </c>
      <c r="AJ100" s="787">
        <f ca="1">IF(AJ99=0,0,(AJ93-AJ97*AJ98)/AJ99)</f>
        <v>0</v>
      </c>
      <c r="AK100" s="787">
        <f ca="1">IF(AK99=0,0,(AK93-AK97*AK98)/AK99)</f>
        <v>0</v>
      </c>
      <c r="AL100" s="552"/>
      <c r="AM100" s="784"/>
      <c r="AN100" s="784"/>
      <c r="AO100" s="784"/>
      <c r="AR100" s="703" t="s">
        <v>1884</v>
      </c>
    </row>
    <row r="101" spans="5:48" ht="14.65" hidden="1" customHeight="1">
      <c r="E101" s="515">
        <v>15</v>
      </c>
      <c r="F101" s="3" cm="1">
        <f t="array" aca="1" ref="F101" ca="1">OFFSET(E101,-1,1)</f>
        <v>0</v>
      </c>
      <c r="G101" s="91"/>
      <c r="I101" s="57" t="s">
        <v>1885</v>
      </c>
      <c r="J101" s="57"/>
      <c r="K101" s="57"/>
      <c r="L101" s="57"/>
      <c r="M101" s="57"/>
      <c r="N101" s="57"/>
      <c r="O101" s="57"/>
      <c r="P101" s="57"/>
      <c r="Q101" s="57"/>
      <c r="R101" s="57"/>
      <c r="S101" s="57"/>
      <c r="T101" s="365" t="b" cm="1">
        <f t="array" aca="1" ref="T101" ca="1">T100</f>
        <v>0</v>
      </c>
      <c r="X101" s="1123"/>
      <c r="Z101" s="1184"/>
      <c r="AB101" s="152" t="s">
        <v>1886</v>
      </c>
      <c r="AC101" s="146" t="s">
        <v>1887</v>
      </c>
      <c r="AD101" s="26" t="s">
        <v>456</v>
      </c>
      <c r="AE101" s="190">
        <f>IF(AE98=0,0,AE100/AE98*100)</f>
        <v>0</v>
      </c>
      <c r="AF101" s="190">
        <f>IF(AF98=0,0,AF100/AF98*100)</f>
        <v>0</v>
      </c>
      <c r="AG101" s="190">
        <f>IF(AG98=0,0,AG100/AG98*100)</f>
        <v>0</v>
      </c>
      <c r="AH101" s="552"/>
      <c r="AI101" s="190">
        <f>IF(AI98=0,0,AI100/AI98*100)</f>
        <v>0</v>
      </c>
      <c r="AJ101" s="190">
        <f>IF(AJ98=0,0,AJ100/AJ98*100)</f>
        <v>0</v>
      </c>
      <c r="AK101" s="190">
        <f>IF(AK98=0,0,AK100/AK98*100)</f>
        <v>0</v>
      </c>
      <c r="AL101" s="552"/>
      <c r="AM101" s="784"/>
      <c r="AN101" s="784"/>
      <c r="AO101" s="784"/>
      <c r="AR101" s="703" t="s">
        <v>1888</v>
      </c>
    </row>
    <row r="102" spans="5:48" ht="14.65" hidden="1" customHeight="1">
      <c r="E102" s="515">
        <v>15</v>
      </c>
      <c r="F102" s="3" cm="1">
        <f t="array" aca="1" ref="F102" ca="1">OFFSET(E102,-1,1)</f>
        <v>0</v>
      </c>
      <c r="G102" s="91"/>
      <c r="I102" s="57" t="s">
        <v>1889</v>
      </c>
      <c r="J102" s="57"/>
      <c r="K102" s="57"/>
      <c r="L102" s="57"/>
      <c r="M102" s="57"/>
      <c r="N102" s="57"/>
      <c r="O102" s="57"/>
      <c r="P102" s="57"/>
      <c r="Q102" s="57"/>
      <c r="R102" s="57"/>
      <c r="S102" s="57"/>
      <c r="T102" s="365" t="b" cm="1">
        <f t="array" aca="1" ref="T102" ca="1">T101</f>
        <v>0</v>
      </c>
      <c r="X102" s="1123"/>
      <c r="Z102" s="1184"/>
      <c r="AB102" s="152" t="s">
        <v>1890</v>
      </c>
      <c r="AC102" s="146" t="s">
        <v>1891</v>
      </c>
      <c r="AD102" s="26" t="s">
        <v>1624</v>
      </c>
      <c r="AE102" s="787">
        <f ca="1">IF(AE96=0,0,AE93/AE96)</f>
        <v>0</v>
      </c>
      <c r="AF102" s="787">
        <f ca="1">IF(AF96=0,0,AF93/AF96)</f>
        <v>0</v>
      </c>
      <c r="AG102" s="787">
        <f ca="1">IF(AG96=0,0,AG93/AG96)</f>
        <v>0</v>
      </c>
      <c r="AH102" s="190">
        <f ca="1">AG102-AF102</f>
        <v>0</v>
      </c>
      <c r="AI102" s="787">
        <f ca="1">IF(AI96=0,0,AI93/AI96)</f>
        <v>0</v>
      </c>
      <c r="AJ102" s="787">
        <f ca="1">IF(AJ96=0,0,AJ93/AJ96)</f>
        <v>0</v>
      </c>
      <c r="AK102" s="787">
        <f ca="1">IF(AK96=0,0,AK93/AK96)</f>
        <v>0</v>
      </c>
      <c r="AL102" s="552"/>
      <c r="AM102" s="784"/>
      <c r="AN102" s="784"/>
      <c r="AO102" s="784"/>
      <c r="AR102" s="703" t="s">
        <v>1892</v>
      </c>
    </row>
    <row r="103" spans="5:48" s="434" customFormat="1" ht="14.65" hidden="1" customHeight="1">
      <c r="E103" s="516">
        <v>15</v>
      </c>
      <c r="F103" s="3" cm="1">
        <f t="array" aca="1" ref="F103" ca="1">OFFSET(E103,-1,1)</f>
        <v>0</v>
      </c>
      <c r="G103" s="95"/>
      <c r="I103" s="173" t="s">
        <v>1893</v>
      </c>
      <c r="J103" s="173"/>
      <c r="K103" s="173"/>
      <c r="L103" s="173"/>
      <c r="M103" s="173"/>
      <c r="N103" s="173"/>
      <c r="O103" s="173"/>
      <c r="P103" s="173"/>
      <c r="Q103" s="173"/>
      <c r="R103" s="173"/>
      <c r="S103" s="173"/>
      <c r="T103" s="365" t="b" cm="1">
        <f t="array" aca="1" ref="T103" ca="1">T102</f>
        <v>0</v>
      </c>
      <c r="X103" s="1123"/>
      <c r="Z103" s="1184"/>
      <c r="AB103" s="150" t="s">
        <v>1894</v>
      </c>
      <c r="AC103" s="144" t="s">
        <v>1895</v>
      </c>
      <c r="AD103" s="143" t="s">
        <v>804</v>
      </c>
      <c r="AE103" s="783">
        <f ca="1">IF(AE96=0,0,AE93/AE96*AE104)</f>
        <v>0</v>
      </c>
      <c r="AF103" s="783">
        <f ca="1">IF(AF96=0,0,AF93/AF96*AF104)</f>
        <v>0</v>
      </c>
      <c r="AG103" s="783">
        <f ca="1">IF(AG96=0,0,AG93/AG96*AG104)</f>
        <v>0</v>
      </c>
      <c r="AH103" s="145">
        <f ca="1">AH105*AH106+AH107*AH108</f>
        <v>0</v>
      </c>
      <c r="AI103" s="783">
        <f ca="1">IF(AI96=0,0,AI93/AI96*AI104)</f>
        <v>0</v>
      </c>
      <c r="AJ103" s="783">
        <f ca="1">IF(AJ96=0,0,AJ93/AJ96*AJ104)</f>
        <v>0</v>
      </c>
      <c r="AK103" s="783">
        <f ca="1">IF(AK96=0,0,AK93/AK96*AK104)</f>
        <v>0</v>
      </c>
      <c r="AL103" s="145">
        <f ca="1">IF(AI103=0,0,(AK103-AI103)/AI103*100)</f>
        <v>0</v>
      </c>
      <c r="AM103" s="786"/>
      <c r="AN103" s="786"/>
      <c r="AO103" s="786"/>
      <c r="AR103" s="704" t="s">
        <v>1896</v>
      </c>
      <c r="AS103" s="704"/>
      <c r="AT103" s="704"/>
      <c r="AU103" s="516"/>
      <c r="AV103" s="516"/>
    </row>
    <row r="104" spans="5:48" s="434" customFormat="1" ht="14.65" hidden="1" customHeight="1">
      <c r="E104" s="516">
        <v>15</v>
      </c>
      <c r="F104" s="3" cm="1">
        <f t="array" aca="1" ref="F104" ca="1">OFFSET(E104,-1,1)</f>
        <v>0</v>
      </c>
      <c r="G104" s="91" t="s">
        <v>1646</v>
      </c>
      <c r="I104" s="173" t="s">
        <v>1897</v>
      </c>
      <c r="J104" s="173"/>
      <c r="K104" s="173"/>
      <c r="L104" s="173"/>
      <c r="M104" s="173"/>
      <c r="N104" s="173"/>
      <c r="O104" s="173"/>
      <c r="P104" s="173"/>
      <c r="Q104" s="173"/>
      <c r="R104" s="173"/>
      <c r="S104" s="173"/>
      <c r="T104" s="365" t="b" cm="1">
        <f t="array" aca="1" ref="T104" ca="1">T103</f>
        <v>0</v>
      </c>
      <c r="X104" s="1123"/>
      <c r="Z104" s="1184"/>
      <c r="AB104" s="150" t="s">
        <v>1898</v>
      </c>
      <c r="AC104" s="144" t="s">
        <v>1899</v>
      </c>
      <c r="AD104" s="143" t="s">
        <v>534</v>
      </c>
      <c r="AE104" s="562">
        <f ca="1">SUMIFS(Баланс!AE$26:AE$300,Баланс!$F$26:$F$300,$F104,Баланс!$G$26:$G$300,"население")</f>
        <v>0</v>
      </c>
      <c r="AF104" s="562">
        <f ca="1">SUMIFS(Баланс!AF$26:AF$300,Баланс!$F$26:$F$300,$F104,Баланс!$G$26:$G$300,"население")</f>
        <v>0</v>
      </c>
      <c r="AG104" s="562">
        <f ca="1">SUMIFS(Баланс!AG$26:AG$300,Баланс!$F$26:$F$300,$F104,Баланс!$G$26:$G$300,"население")</f>
        <v>0</v>
      </c>
      <c r="AH104" s="562">
        <f t="shared" ref="AH104:AH111" ca="1" si="6">AG104-AF104</f>
        <v>0</v>
      </c>
      <c r="AI104" s="562">
        <f ca="1">SUMIFS(Баланс!AH$26:AH$300,Баланс!$F$26:$F$300,$F104,Баланс!$G$26:$G$300,"население")</f>
        <v>0</v>
      </c>
      <c r="AJ104" s="562">
        <f ca="1">SUMIFS(Баланс!AI$26:AI$300,Баланс!$F$26:$F$300,$F104,Баланс!$G$26:$G$300,"население")</f>
        <v>0</v>
      </c>
      <c r="AK104" s="562">
        <f ca="1">SUMIFS(Баланс!AS$26:AS$300,Баланс!$F$26:$F$300,$F104,Баланс!$G$26:$G$300,"население")</f>
        <v>0</v>
      </c>
      <c r="AL104" s="148"/>
      <c r="AM104" s="786"/>
      <c r="AN104" s="786"/>
      <c r="AO104" s="786"/>
      <c r="AR104" s="704" t="s">
        <v>1900</v>
      </c>
      <c r="AS104" s="704"/>
      <c r="AT104" s="704"/>
      <c r="AU104" s="516"/>
      <c r="AV104" s="516"/>
    </row>
    <row r="105" spans="5:48" ht="14.65" hidden="1" customHeight="1">
      <c r="E105" s="515">
        <v>15</v>
      </c>
      <c r="F105" s="3" cm="1">
        <f t="array" aca="1" ref="F105" ca="1">OFFSET(E105,-1,1)</f>
        <v>0</v>
      </c>
      <c r="G105" s="91" t="s">
        <v>1680</v>
      </c>
      <c r="I105" s="57" t="s">
        <v>1901</v>
      </c>
      <c r="J105" s="57"/>
      <c r="K105" s="57"/>
      <c r="L105" s="57"/>
      <c r="M105" s="57"/>
      <c r="N105" s="57"/>
      <c r="O105" s="57"/>
      <c r="P105" s="57"/>
      <c r="Q105" s="57"/>
      <c r="R105" s="57"/>
      <c r="S105" s="57"/>
      <c r="T105" s="365" t="b" cm="1">
        <f t="array" aca="1" ref="T105" ca="1">T104</f>
        <v>0</v>
      </c>
      <c r="X105" s="1123"/>
      <c r="Z105" s="1184"/>
      <c r="AB105" s="152" t="s">
        <v>1902</v>
      </c>
      <c r="AC105" s="146" t="s">
        <v>1903</v>
      </c>
      <c r="AD105" s="26" t="s">
        <v>534</v>
      </c>
      <c r="AE105" s="785">
        <f ca="1">IF(AE$24="2026 год",AE104/12*9,AE104/2)</f>
        <v>0</v>
      </c>
      <c r="AF105" s="785">
        <f ca="1">IF(AF$24="2026 год",AF104/12*9,AF104/2)</f>
        <v>0</v>
      </c>
      <c r="AG105" s="785">
        <f ca="1">IF(AG$24="2026 год",AG104/12*9,AG104/2)</f>
        <v>0</v>
      </c>
      <c r="AH105" s="568">
        <f t="shared" ca="1" si="6"/>
        <v>0</v>
      </c>
      <c r="AI105" s="785">
        <f ca="1">IF(AI$24="2026 год",AI104/12*9,AI104/2)</f>
        <v>0</v>
      </c>
      <c r="AJ105" s="785">
        <f ca="1">IF(AJ$24="2026 год",AJ104/12*9,AJ104/2)</f>
        <v>0</v>
      </c>
      <c r="AK105" s="785">
        <f ca="1">IF(AK$24="2026 год",AK104/12*9,AK104/2)</f>
        <v>0</v>
      </c>
      <c r="AL105" s="552"/>
      <c r="AM105" s="784"/>
      <c r="AN105" s="784"/>
      <c r="AO105" s="784"/>
      <c r="AR105" s="703" t="s">
        <v>1904</v>
      </c>
    </row>
    <row r="106" spans="5:48" ht="14.65" hidden="1" customHeight="1">
      <c r="E106" s="515">
        <v>15</v>
      </c>
      <c r="F106" s="3" cm="1">
        <f t="array" aca="1" ref="F106" ca="1">OFFSET(E106,-1,1)</f>
        <v>0</v>
      </c>
      <c r="G106" s="91" t="s">
        <v>1636</v>
      </c>
      <c r="I106" s="57" t="s">
        <v>1905</v>
      </c>
      <c r="J106" s="57"/>
      <c r="K106" s="57"/>
      <c r="L106" s="57"/>
      <c r="M106" s="57"/>
      <c r="N106" s="57"/>
      <c r="O106" s="57"/>
      <c r="P106" s="57"/>
      <c r="Q106" s="57"/>
      <c r="R106" s="57"/>
      <c r="S106" s="57"/>
      <c r="T106" s="365" t="b" cm="1">
        <f t="array" aca="1" ref="T106" ca="1">T105</f>
        <v>0</v>
      </c>
      <c r="X106" s="1123"/>
      <c r="Z106" s="1184"/>
      <c r="AB106" s="152" t="s">
        <v>1906</v>
      </c>
      <c r="AC106" s="146" t="s">
        <v>1907</v>
      </c>
      <c r="AD106" s="26" t="s">
        <v>1624</v>
      </c>
      <c r="AE106" s="787">
        <f ca="1">IF(AE104=0,0,AE98*(1+Сценарии!AE$26/100))</f>
        <v>0</v>
      </c>
      <c r="AF106" s="787">
        <f ca="1">IF(AF104=0,0,AF98*(1+Сценарии!AF$26/100))</f>
        <v>0</v>
      </c>
      <c r="AG106" s="787">
        <f ca="1">IF(AG104=0,0,AG98*(1+Сценарии!AG$26/100))</f>
        <v>0</v>
      </c>
      <c r="AH106" s="190">
        <f t="shared" ca="1" si="6"/>
        <v>0</v>
      </c>
      <c r="AI106" s="787">
        <f ca="1">IF(AI104=0,0,AI98*(1+Сценарии!AI$26/100))</f>
        <v>0</v>
      </c>
      <c r="AJ106" s="787">
        <f ca="1">IF(AJ104=0,0,AJ98*(1+Сценарии!AJ$26/100))</f>
        <v>0</v>
      </c>
      <c r="AK106" s="787">
        <f ca="1">IF(AK104=0,0,AK98*(1+Сценарии!AK$26/100))</f>
        <v>0</v>
      </c>
      <c r="AL106" s="552"/>
      <c r="AM106" s="784"/>
      <c r="AN106" s="784"/>
      <c r="AO106" s="784"/>
      <c r="AR106" s="703" t="s">
        <v>1908</v>
      </c>
    </row>
    <row r="107" spans="5:48" ht="14.65" hidden="1" customHeight="1">
      <c r="E107" s="515">
        <v>15</v>
      </c>
      <c r="F107" s="3" cm="1">
        <f t="array" aca="1" ref="F107" ca="1">OFFSET(E107,-1,1)</f>
        <v>0</v>
      </c>
      <c r="G107" s="91" t="s">
        <v>1687</v>
      </c>
      <c r="I107" s="57" t="s">
        <v>1909</v>
      </c>
      <c r="J107" s="57"/>
      <c r="K107" s="57"/>
      <c r="L107" s="57"/>
      <c r="M107" s="57"/>
      <c r="N107" s="57"/>
      <c r="O107" s="57"/>
      <c r="P107" s="57"/>
      <c r="Q107" s="57"/>
      <c r="R107" s="57"/>
      <c r="S107" s="57"/>
      <c r="T107" s="365" t="b" cm="1">
        <f t="array" aca="1" ref="T107" ca="1">T106</f>
        <v>0</v>
      </c>
      <c r="X107" s="1123"/>
      <c r="Z107" s="1184"/>
      <c r="AB107" s="152" t="s">
        <v>1910</v>
      </c>
      <c r="AC107" s="146" t="s">
        <v>1879</v>
      </c>
      <c r="AD107" s="26" t="s">
        <v>534</v>
      </c>
      <c r="AE107" s="568">
        <f ca="1">AE104-AE105</f>
        <v>0</v>
      </c>
      <c r="AF107" s="568">
        <f ca="1">AF104-AF105</f>
        <v>0</v>
      </c>
      <c r="AG107" s="568">
        <f ca="1">AG104-AG105</f>
        <v>0</v>
      </c>
      <c r="AH107" s="568">
        <f t="shared" ca="1" si="6"/>
        <v>0</v>
      </c>
      <c r="AI107" s="568">
        <f ca="1">AI104-AI105</f>
        <v>0</v>
      </c>
      <c r="AJ107" s="568">
        <f ca="1">AJ104-AJ105</f>
        <v>0</v>
      </c>
      <c r="AK107" s="568">
        <f ca="1">AK104-AK105</f>
        <v>0</v>
      </c>
      <c r="AL107" s="552"/>
      <c r="AM107" s="784"/>
      <c r="AN107" s="784"/>
      <c r="AO107" s="784"/>
      <c r="AR107" s="703" t="s">
        <v>1911</v>
      </c>
    </row>
    <row r="108" spans="5:48" ht="14.65" hidden="1" customHeight="1">
      <c r="E108" s="515">
        <v>15</v>
      </c>
      <c r="F108" s="3" cm="1">
        <f t="array" aca="1" ref="F108" ca="1">OFFSET(E108,-1,1)</f>
        <v>0</v>
      </c>
      <c r="G108" s="91" t="s">
        <v>1640</v>
      </c>
      <c r="I108" s="57" t="s">
        <v>1912</v>
      </c>
      <c r="J108" s="57"/>
      <c r="K108" s="57"/>
      <c r="L108" s="57"/>
      <c r="M108" s="57"/>
      <c r="N108" s="57"/>
      <c r="O108" s="57"/>
      <c r="P108" s="57"/>
      <c r="Q108" s="57"/>
      <c r="R108" s="57"/>
      <c r="S108" s="57"/>
      <c r="T108" s="365" t="b" cm="1">
        <f t="array" aca="1" ref="T108" ca="1">T107</f>
        <v>0</v>
      </c>
      <c r="X108" s="1123"/>
      <c r="Z108" s="1184"/>
      <c r="AB108" s="152" t="s">
        <v>1913</v>
      </c>
      <c r="AC108" s="146" t="s">
        <v>1914</v>
      </c>
      <c r="AD108" s="26" t="s">
        <v>1624</v>
      </c>
      <c r="AE108" s="787">
        <f ca="1">IF(AE104=0,0,AE100*(1+Сценарии!AE$26/100))</f>
        <v>0</v>
      </c>
      <c r="AF108" s="787">
        <f ca="1">IF(AF104=0,0,AF100*(1+Сценарии!AF$26/100))</f>
        <v>0</v>
      </c>
      <c r="AG108" s="787">
        <f ca="1">IF(AG104=0,0,AG100*(1+Сценарии!AG$26/100))</f>
        <v>0</v>
      </c>
      <c r="AH108" s="190">
        <f t="shared" ca="1" si="6"/>
        <v>0</v>
      </c>
      <c r="AI108" s="787">
        <f ca="1">IF(AI104=0,0,AI100*(1+Сценарии!AI$26/100))</f>
        <v>0</v>
      </c>
      <c r="AJ108" s="787">
        <f ca="1">IF(AJ104=0,0,AJ100*(1+Сценарии!AJ$26/100))</f>
        <v>0</v>
      </c>
      <c r="AK108" s="787">
        <f ca="1">IF(AK104=0,0,AK100*(1+Сценарии!AK$26/100))</f>
        <v>0</v>
      </c>
      <c r="AL108" s="552"/>
      <c r="AM108" s="784"/>
      <c r="AN108" s="784"/>
      <c r="AO108" s="784"/>
      <c r="AR108" s="703" t="s">
        <v>1915</v>
      </c>
    </row>
    <row r="109" spans="5:48" ht="14.65" hidden="1" customHeight="1">
      <c r="E109" s="515">
        <v>15</v>
      </c>
      <c r="F109" s="3" cm="1">
        <f t="array" aca="1" ref="F109" ca="1">OFFSET(E109,-1,1)</f>
        <v>0</v>
      </c>
      <c r="G109" s="91"/>
      <c r="I109" s="57"/>
      <c r="J109" s="57"/>
      <c r="K109" s="57"/>
      <c r="L109" s="57"/>
      <c r="M109" s="57"/>
      <c r="N109" s="57"/>
      <c r="O109" s="57"/>
      <c r="P109" s="57"/>
      <c r="Q109" s="57"/>
      <c r="R109" s="57"/>
      <c r="S109" s="57"/>
      <c r="T109" s="365" t="b" cm="1">
        <f t="array" aca="1" ref="T109" ca="1">T108</f>
        <v>0</v>
      </c>
      <c r="X109" s="1123"/>
      <c r="Z109" s="1184"/>
      <c r="AB109" s="150" t="s">
        <v>1916</v>
      </c>
      <c r="AC109" s="144" t="s">
        <v>1917</v>
      </c>
      <c r="AD109" s="143" t="s">
        <v>804</v>
      </c>
      <c r="AE109" s="787"/>
      <c r="AF109" s="787"/>
      <c r="AG109" s="787"/>
      <c r="AH109" s="190">
        <f t="shared" si="6"/>
        <v>0</v>
      </c>
      <c r="AI109" s="787"/>
      <c r="AJ109" s="787"/>
      <c r="AK109" s="787"/>
      <c r="AL109" s="552"/>
      <c r="AM109" s="784"/>
      <c r="AN109" s="784"/>
      <c r="AO109" s="784"/>
      <c r="AR109" s="703" t="s">
        <v>1918</v>
      </c>
    </row>
    <row r="110" spans="5:48" ht="21.95" hidden="1" customHeight="1">
      <c r="E110" s="515">
        <v>22.5</v>
      </c>
      <c r="F110" s="3" cm="1">
        <f t="array" aca="1" ref="F110" ca="1">OFFSET(E110,-1,1)</f>
        <v>0</v>
      </c>
      <c r="G110" s="91"/>
      <c r="I110" s="57"/>
      <c r="J110" s="57"/>
      <c r="K110" s="57"/>
      <c r="L110" s="57"/>
      <c r="M110" s="57"/>
      <c r="N110" s="57"/>
      <c r="O110" s="57"/>
      <c r="P110" s="57"/>
      <c r="Q110" s="57"/>
      <c r="R110" s="57"/>
      <c r="S110" s="57"/>
      <c r="T110" s="365" t="b" cm="1">
        <f t="array" aca="1" ref="T110" ca="1">T109</f>
        <v>0</v>
      </c>
      <c r="X110" s="1123"/>
      <c r="Z110" s="1184"/>
      <c r="AB110" s="152" t="s">
        <v>1919</v>
      </c>
      <c r="AC110" s="146" t="s">
        <v>1920</v>
      </c>
      <c r="AD110" s="26" t="s">
        <v>804</v>
      </c>
      <c r="AE110" s="787"/>
      <c r="AF110" s="787"/>
      <c r="AG110" s="787"/>
      <c r="AH110" s="190">
        <f t="shared" si="6"/>
        <v>0</v>
      </c>
      <c r="AI110" s="787"/>
      <c r="AJ110" s="787"/>
      <c r="AK110" s="787"/>
      <c r="AL110" s="552"/>
      <c r="AM110" s="784"/>
      <c r="AN110" s="784"/>
      <c r="AO110" s="784"/>
      <c r="AR110" s="703" t="s">
        <v>1921</v>
      </c>
    </row>
    <row r="111" spans="5:48" ht="70.150000000000006" hidden="1" customHeight="1">
      <c r="E111" s="515">
        <v>72</v>
      </c>
      <c r="F111" s="3" cm="1">
        <f t="array" aca="1" ref="F111" ca="1">OFFSET(E111,-1,1)</f>
        <v>0</v>
      </c>
      <c r="G111" s="91"/>
      <c r="I111" s="57"/>
      <c r="J111" s="57"/>
      <c r="K111" s="57"/>
      <c r="L111" s="57"/>
      <c r="M111" s="57"/>
      <c r="N111" s="57"/>
      <c r="O111" s="57"/>
      <c r="P111" s="57"/>
      <c r="Q111" s="57"/>
      <c r="R111" s="57"/>
      <c r="S111" s="57"/>
      <c r="T111" s="365" t="b" cm="1">
        <f t="array" aca="1" ref="T111" ca="1">T110</f>
        <v>0</v>
      </c>
      <c r="X111" s="1123"/>
      <c r="Z111" s="1184"/>
      <c r="AB111" s="152" t="s">
        <v>1922</v>
      </c>
      <c r="AC111" s="146" t="s">
        <v>1923</v>
      </c>
      <c r="AD111" s="26" t="s">
        <v>804</v>
      </c>
      <c r="AE111" s="787"/>
      <c r="AF111" s="787"/>
      <c r="AG111" s="787"/>
      <c r="AH111" s="190">
        <f t="shared" si="6"/>
        <v>0</v>
      </c>
      <c r="AI111" s="787"/>
      <c r="AJ111" s="787"/>
      <c r="AK111" s="787"/>
      <c r="AL111" s="552"/>
      <c r="AM111" s="784"/>
      <c r="AN111" s="784"/>
      <c r="AO111" s="784"/>
      <c r="AR111" s="703" t="s">
        <v>1924</v>
      </c>
    </row>
    <row r="112" spans="5:48" ht="14.25" customHeight="1">
      <c r="E112" s="515">
        <v>15</v>
      </c>
      <c r="F112" s="36" t="str" cm="1">
        <f t="array" ref="F112">X112</f>
        <v>1</v>
      </c>
      <c r="G112" s="36" t="str" cm="1">
        <f t="array" ref="G112">INDEX('Общие сведения'!$AK$179:$AK$222,MATCH($X112,'Общие сведения'!$Z$179:$Z$222,0))</f>
        <v>одноставочный</v>
      </c>
      <c r="T112" s="365" t="b">
        <f>X112&gt;0</f>
        <v>1</v>
      </c>
      <c r="V112" s="291" t="str" cm="1">
        <f t="array" ref="V112">ТМ!$AD$92</f>
        <v>Тариф 1 (Водоснабжение) - тариф на питьевую воду (Доп. признак не требуется)</v>
      </c>
      <c r="X112" s="1123" t="s">
        <v>275</v>
      </c>
      <c r="Z112" s="1184"/>
      <c r="AB112" s="116" t="str" cm="1">
        <f t="array" ref="AB112">ТМ!$AD$92</f>
        <v>Тариф 1 (Водоснабжение) - тариф на питьевую воду (Доп. признак не требуется)</v>
      </c>
      <c r="AC112" s="184"/>
      <c r="AD112" s="184"/>
      <c r="AE112" s="184"/>
      <c r="AF112" s="184"/>
      <c r="AG112" s="184"/>
      <c r="AH112" s="184"/>
      <c r="AI112" s="184"/>
      <c r="AJ112" s="184"/>
      <c r="AK112" s="184"/>
      <c r="AL112" s="184"/>
      <c r="AM112" s="184"/>
      <c r="AN112" s="184"/>
      <c r="AO112" s="184"/>
    </row>
    <row r="113" spans="1:48" ht="14.25" customHeight="1">
      <c r="E113" s="515">
        <v>15</v>
      </c>
      <c r="F113" s="3" t="str" cm="1">
        <f t="array" aca="1" ref="F113" ca="1">OFFSET(E113,-1,1)</f>
        <v>1</v>
      </c>
      <c r="I113" s="57" t="s">
        <v>327</v>
      </c>
      <c r="J113" s="57"/>
      <c r="K113" s="57"/>
      <c r="L113" s="57"/>
      <c r="M113" s="57"/>
      <c r="N113" s="57"/>
      <c r="O113" s="57"/>
      <c r="P113" s="57"/>
      <c r="Q113" s="57"/>
      <c r="R113" s="57"/>
      <c r="S113" s="57"/>
      <c r="T113" s="365" t="b" cm="1">
        <f t="array" ref="T113">T112</f>
        <v>1</v>
      </c>
      <c r="X113" s="1123"/>
      <c r="Z113" s="1184"/>
      <c r="AB113" s="179" t="s">
        <v>275</v>
      </c>
      <c r="AC113" s="151" t="s">
        <v>1721</v>
      </c>
      <c r="AD113" s="28" t="s">
        <v>804</v>
      </c>
      <c r="AE113" s="145">
        <f ca="1">AE114+AE118+AE128+AE129+AE132+AE133+AE134</f>
        <v>10588.43735495072</v>
      </c>
      <c r="AF113" s="145">
        <f ca="1">AF114+AF118+AF128+AF129+AF132+AF133+AF134</f>
        <v>11945.530759999998</v>
      </c>
      <c r="AG113" s="145">
        <f ca="1">AG114+AG118+AG128+AG129+AG132+AG133+AG134</f>
        <v>11665.750759999999</v>
      </c>
      <c r="AH113" s="145">
        <f t="shared" ref="AH113:AH139" ca="1" si="7">AG113-AF113</f>
        <v>-279.77999999999884</v>
      </c>
      <c r="AI113" s="145">
        <f ca="1">AI114+AI118+AI128+AI129+AI132+AI133+AI134</f>
        <v>11440.5984118299</v>
      </c>
      <c r="AJ113" s="145">
        <f ca="1">AJ114+AJ118+AJ128+AJ129+AJ132+AJ133+AJ134</f>
        <v>14181.965800000002</v>
      </c>
      <c r="AK113" s="145">
        <f ca="1">AK114+AK118+AK128+AK129+AK132+AK133+AK134</f>
        <v>13779.603299999999</v>
      </c>
      <c r="AL113" s="190">
        <f t="shared" ref="AL113:AL139" ca="1" si="8">IF(AI113=0,0,(AK113-AI113)/AI113*100)</f>
        <v>20.44477748429227</v>
      </c>
      <c r="AM113" s="215"/>
      <c r="AN113" s="610"/>
      <c r="AO113" s="215"/>
      <c r="AR113" s="703" t="s">
        <v>516</v>
      </c>
    </row>
    <row r="114" spans="1:48" s="948" customFormat="1" ht="21.75" customHeight="1">
      <c r="A114" s="434"/>
      <c r="B114" s="434"/>
      <c r="C114" s="434"/>
      <c r="D114" s="434"/>
      <c r="E114" s="516">
        <v>22.5</v>
      </c>
      <c r="F114" s="3" t="str" cm="1">
        <f t="array" aca="1" ref="F114" ca="1">OFFSET(E114,-1,1)</f>
        <v>1</v>
      </c>
      <c r="G114" s="434"/>
      <c r="H114" s="434"/>
      <c r="I114" s="173" t="s">
        <v>461</v>
      </c>
      <c r="J114" s="173"/>
      <c r="K114" s="173"/>
      <c r="L114" s="173"/>
      <c r="M114" s="173"/>
      <c r="N114" s="173"/>
      <c r="O114" s="173"/>
      <c r="P114" s="173"/>
      <c r="Q114" s="173"/>
      <c r="R114" s="173"/>
      <c r="S114" s="173"/>
      <c r="T114" s="365" t="b" cm="1">
        <f t="array" ref="T114">T113</f>
        <v>1</v>
      </c>
      <c r="U114" s="434"/>
      <c r="V114" s="434"/>
      <c r="W114" s="434"/>
      <c r="X114" s="1123"/>
      <c r="Y114" s="434"/>
      <c r="Z114" s="1184"/>
      <c r="AA114" s="434"/>
      <c r="AB114" s="150" t="s">
        <v>897</v>
      </c>
      <c r="AC114" s="276" t="s">
        <v>1722</v>
      </c>
      <c r="AD114" s="166" t="s">
        <v>804</v>
      </c>
      <c r="AE114" s="145">
        <f ca="1">SUM(AE115:AE117)</f>
        <v>164.85367654550001</v>
      </c>
      <c r="AF114" s="145">
        <f ca="1">SUM(AF115:AF117)</f>
        <v>174.23</v>
      </c>
      <c r="AG114" s="145">
        <f ca="1">SUM(AG115:AG117)</f>
        <v>174.23</v>
      </c>
      <c r="AH114" s="145">
        <f t="shared" ca="1" si="7"/>
        <v>0</v>
      </c>
      <c r="AI114" s="145">
        <f ca="1">SUM(AI115:AI117)</f>
        <v>184.2570761982</v>
      </c>
      <c r="AJ114" s="145">
        <f ca="1">SUM(AJ115:AJ117)</f>
        <v>201.27</v>
      </c>
      <c r="AK114" s="145">
        <f ca="1">SUM(AK115:AK117)</f>
        <v>180.65</v>
      </c>
      <c r="AL114" s="145">
        <f t="shared" ca="1" si="8"/>
        <v>-1.9576323865684069</v>
      </c>
      <c r="AM114" s="566"/>
      <c r="AN114" s="566"/>
      <c r="AO114" s="566"/>
      <c r="AP114" s="434"/>
      <c r="AQ114" s="434"/>
      <c r="AR114" s="704" t="s">
        <v>1723</v>
      </c>
      <c r="AS114" s="704"/>
      <c r="AT114" s="704"/>
      <c r="AU114" s="516"/>
      <c r="AV114" s="516"/>
    </row>
    <row r="115" spans="1:48" ht="14.25" customHeight="1">
      <c r="E115" s="515">
        <v>15</v>
      </c>
      <c r="F115" s="3" t="str" cm="1">
        <f t="array" aca="1" ref="F115" ca="1">OFFSET(E115,-1,1)</f>
        <v>1</v>
      </c>
      <c r="I115" s="57" t="s">
        <v>1004</v>
      </c>
      <c r="J115" s="57"/>
      <c r="K115" s="57"/>
      <c r="L115" s="57"/>
      <c r="M115" s="57"/>
      <c r="N115" s="57"/>
      <c r="O115" s="57"/>
      <c r="P115" s="57"/>
      <c r="Q115" s="57"/>
      <c r="R115" s="57"/>
      <c r="S115" s="57"/>
      <c r="T115" s="365" t="b" cm="1">
        <f t="array" ref="T115">T114</f>
        <v>1</v>
      </c>
      <c r="X115" s="1123"/>
      <c r="Z115" s="1184"/>
      <c r="AB115" s="152" t="s">
        <v>1005</v>
      </c>
      <c r="AC115" s="153" t="s">
        <v>1724</v>
      </c>
      <c r="AD115" s="28" t="s">
        <v>804</v>
      </c>
      <c r="AE115" s="190">
        <f ca="1">SUMIFS('Сырье и материалы'!AE$25:AE$96,'Сырье и материалы'!$F$25:$F$96,$F115,'Сырье и материалы'!$I$25:$I$96,"Реагенты")</f>
        <v>164.85367654550001</v>
      </c>
      <c r="AF115" s="190">
        <f ca="1">SUMIFS('Сырье и материалы'!AF$25:AF$96,'Сырье и материалы'!$F$25:$F$96,$F115,'Сырье и материалы'!$I$25:$I$96,"Реагенты")</f>
        <v>174.23</v>
      </c>
      <c r="AG115" s="190">
        <f ca="1">SUMIFS('Сырье и материалы'!AG$25:AG$96,'Сырье и материалы'!$F$25:$F$96,$F115,'Сырье и материалы'!$I$25:$I$96,"Реагенты")</f>
        <v>174.23</v>
      </c>
      <c r="AH115" s="190">
        <f t="shared" ca="1" si="7"/>
        <v>0</v>
      </c>
      <c r="AI115" s="190">
        <f ca="1">SUMIFS('Сырье и материалы'!AH$25:AH$96,'Сырье и материалы'!$F$25:$F$96,$F115,'Сырье и материалы'!$I$25:$I$96,"Реагенты")</f>
        <v>184.2570761982</v>
      </c>
      <c r="AJ115" s="190">
        <f ca="1">SUMIFS('Сырье и материалы'!AI$25:AI$96,'Сырье и материалы'!$F$25:$F$96,$F115,'Сырье и материалы'!$I$25:$I$96,"Реагенты")</f>
        <v>201.27</v>
      </c>
      <c r="AK115" s="190">
        <f ca="1">SUMIFS('Сырье и материалы'!AS$25:AS$96,'Сырье и материалы'!$F$25:$F$96,$F115,'Сырье и материалы'!$I$25:$I$96,"Реагенты")</f>
        <v>180.65</v>
      </c>
      <c r="AL115" s="190">
        <f t="shared" ca="1" si="8"/>
        <v>-1.9576323865684069</v>
      </c>
      <c r="AM115" s="215"/>
      <c r="AN115" s="610" t="str">
        <f ca="1">IF(IFERROR(INDEX('Сырье и материалы'!$K$26:$L$96,MATCH($F115&amp;"komm",'Сырье и материалы'!$K$26:$K$96,0),2),"")=0,"",IFERROR(INDEX('Сырье и материалы'!$K$26:$L$96,MATCH($F115&amp;"komm",'Сырье и материалы'!$K$26:$K$96,0),2),""))</f>
        <v>п.п. 10 п. 49 Методических указаний 1746-э.</v>
      </c>
      <c r="AO115" s="215"/>
      <c r="AR115" s="703" t="s">
        <v>1725</v>
      </c>
    </row>
    <row r="116" spans="1:48" ht="14.25" customHeight="1">
      <c r="E116" s="515">
        <v>15</v>
      </c>
      <c r="F116" s="3" t="str" cm="1">
        <f t="array" aca="1" ref="F116" ca="1">OFFSET(E116,-1,1)</f>
        <v>1</v>
      </c>
      <c r="I116" s="57" t="s">
        <v>1008</v>
      </c>
      <c r="J116" s="57"/>
      <c r="K116" s="57"/>
      <c r="L116" s="57"/>
      <c r="M116" s="57"/>
      <c r="N116" s="57"/>
      <c r="O116" s="57"/>
      <c r="P116" s="57"/>
      <c r="Q116" s="57"/>
      <c r="R116" s="57"/>
      <c r="S116" s="57"/>
      <c r="T116" s="365" t="b" cm="1">
        <f t="array" ref="T116">T115</f>
        <v>1</v>
      </c>
      <c r="X116" s="1123"/>
      <c r="Z116" s="1184"/>
      <c r="AB116" s="152" t="s">
        <v>1009</v>
      </c>
      <c r="AC116" s="153" t="s">
        <v>1726</v>
      </c>
      <c r="AD116" s="28" t="s">
        <v>804</v>
      </c>
      <c r="AE116" s="190">
        <f ca="1">SUMIFS('Сырье и материалы'!AE$25:AE$96,'Сырье и материалы'!$F$25:$F$96,$F116,'Сырье и материалы'!$I$25:$I$96,"Горюче-смазочные материалы")</f>
        <v>0</v>
      </c>
      <c r="AF116" s="190">
        <f ca="1">SUMIFS('Сырье и материалы'!AF$25:AF$96,'Сырье и материалы'!$F$25:$F$96,$F116,'Сырье и материалы'!$I$25:$I$96,"Горюче-смазочные материалы")</f>
        <v>0</v>
      </c>
      <c r="AG116" s="190">
        <f ca="1">SUMIFS('Сырье и материалы'!AG$25:AG$96,'Сырье и материалы'!$F$25:$F$96,$F116,'Сырье и материалы'!$I$25:$I$96,"Горюче-смазочные материалы")</f>
        <v>0</v>
      </c>
      <c r="AH116" s="190">
        <f t="shared" ca="1" si="7"/>
        <v>0</v>
      </c>
      <c r="AI116" s="190">
        <f ca="1">SUMIFS('Сырье и материалы'!AH$25:AH$96,'Сырье и материалы'!$F$25:$F$96,$F116,'Сырье и материалы'!$I$25:$I$96,"Горюче-смазочные материалы")</f>
        <v>0</v>
      </c>
      <c r="AJ116" s="190">
        <f ca="1">SUMIFS('Сырье и материалы'!AI$25:AI$96,'Сырье и материалы'!$F$25:$F$96,$F116,'Сырье и материалы'!$I$25:$I$96,"Горюче-смазочные материалы")</f>
        <v>0</v>
      </c>
      <c r="AK116" s="190">
        <f ca="1">SUMIFS('Сырье и материалы'!AS$25:AS$96,'Сырье и материалы'!$F$25:$F$96,$F116,'Сырье и материалы'!$I$25:$I$96,"Горюче-смазочные материалы")</f>
        <v>0</v>
      </c>
      <c r="AL116" s="190">
        <f t="shared" ca="1" si="8"/>
        <v>0</v>
      </c>
      <c r="AM116" s="215"/>
      <c r="AN116" s="215"/>
      <c r="AO116" s="215"/>
      <c r="AR116" s="703" t="s">
        <v>1727</v>
      </c>
    </row>
    <row r="117" spans="1:48" ht="14.25" customHeight="1">
      <c r="E117" s="515">
        <v>15</v>
      </c>
      <c r="F117" s="3" t="str" cm="1">
        <f t="array" aca="1" ref="F117" ca="1">OFFSET(E117,-1,1)</f>
        <v>1</v>
      </c>
      <c r="I117" s="57" t="s">
        <v>1311</v>
      </c>
      <c r="J117" s="57"/>
      <c r="K117" s="57"/>
      <c r="L117" s="57"/>
      <c r="M117" s="57"/>
      <c r="N117" s="57"/>
      <c r="O117" s="57"/>
      <c r="P117" s="57"/>
      <c r="Q117" s="57"/>
      <c r="R117" s="57"/>
      <c r="S117" s="57"/>
      <c r="T117" s="365" t="b" cm="1">
        <f t="array" ref="T117">T116</f>
        <v>1</v>
      </c>
      <c r="X117" s="1123"/>
      <c r="Z117" s="1184"/>
      <c r="AB117" s="152" t="s">
        <v>1312</v>
      </c>
      <c r="AC117" s="153" t="s">
        <v>1728</v>
      </c>
      <c r="AD117" s="28" t="s">
        <v>804</v>
      </c>
      <c r="AE117" s="190">
        <f ca="1">SUMIFS('Сырье и материалы'!AE$25:AE$96,'Сырье и материалы'!$F$25:$F$96,$F117,'Сырье и материалы'!$I$25:$I$96,"Материалы")</f>
        <v>0</v>
      </c>
      <c r="AF117" s="190">
        <f ca="1">SUMIFS('Сырье и материалы'!AF$25:AF$96,'Сырье и материалы'!$F$25:$F$96,$F117,'Сырье и материалы'!$I$25:$I$96,"Материалы")</f>
        <v>0</v>
      </c>
      <c r="AG117" s="190">
        <f ca="1">SUMIFS('Сырье и материалы'!AG$25:AG$96,'Сырье и материалы'!$F$25:$F$96,$F117,'Сырье и материалы'!$I$25:$I$96,"Материалы")</f>
        <v>0</v>
      </c>
      <c r="AH117" s="190">
        <f t="shared" ca="1" si="7"/>
        <v>0</v>
      </c>
      <c r="AI117" s="190">
        <f ca="1">SUMIFS('Сырье и материалы'!AH$25:AH$96,'Сырье и материалы'!$F$25:$F$96,$F117,'Сырье и материалы'!$I$25:$I$96,"Материалы")</f>
        <v>0</v>
      </c>
      <c r="AJ117" s="190">
        <f ca="1">SUMIFS('Сырье и материалы'!AI$25:AI$96,'Сырье и материалы'!$F$25:$F$96,$F117,'Сырье и материалы'!$I$25:$I$96,"Материалы")</f>
        <v>0</v>
      </c>
      <c r="AK117" s="190">
        <f ca="1">SUMIFS('Сырье и материалы'!AS$25:AS$96,'Сырье и материалы'!$F$25:$F$96,$F117,'Сырье и материалы'!$I$25:$I$96,"Материалы")</f>
        <v>0</v>
      </c>
      <c r="AL117" s="190">
        <f t="shared" ca="1" si="8"/>
        <v>0</v>
      </c>
      <c r="AM117" s="215"/>
      <c r="AN117" s="215"/>
      <c r="AO117" s="215"/>
      <c r="AR117" s="703" t="s">
        <v>1729</v>
      </c>
    </row>
    <row r="118" spans="1:48" s="948" customFormat="1" ht="21.75" customHeight="1">
      <c r="A118" s="434"/>
      <c r="B118" s="434"/>
      <c r="C118" s="434"/>
      <c r="D118" s="434"/>
      <c r="E118" s="516">
        <v>22.5</v>
      </c>
      <c r="F118" s="3" t="str" cm="1">
        <f t="array" aca="1" ref="F118" ca="1">OFFSET(E118,-1,1)</f>
        <v>1</v>
      </c>
      <c r="G118" s="434"/>
      <c r="H118" s="434"/>
      <c r="I118" s="173" t="s">
        <v>465</v>
      </c>
      <c r="J118" s="173"/>
      <c r="K118" s="173"/>
      <c r="L118" s="173"/>
      <c r="M118" s="173"/>
      <c r="N118" s="173"/>
      <c r="O118" s="173"/>
      <c r="P118" s="173"/>
      <c r="Q118" s="173"/>
      <c r="R118" s="173"/>
      <c r="S118" s="173"/>
      <c r="T118" s="365" t="b" cm="1">
        <f t="array" ref="T118">T117</f>
        <v>1</v>
      </c>
      <c r="U118" s="434"/>
      <c r="V118" s="434"/>
      <c r="W118" s="434"/>
      <c r="X118" s="1123"/>
      <c r="Y118" s="434"/>
      <c r="Z118" s="1184"/>
      <c r="AA118" s="434"/>
      <c r="AB118" s="150" t="s">
        <v>900</v>
      </c>
      <c r="AC118" s="276" t="s">
        <v>1730</v>
      </c>
      <c r="AD118" s="166" t="s">
        <v>804</v>
      </c>
      <c r="AE118" s="145">
        <f ca="1">SUM(AE119:AE127)</f>
        <v>10423.583678405221</v>
      </c>
      <c r="AF118" s="145">
        <f ca="1">SUM(AF119:AF127)</f>
        <v>11771.300759999998</v>
      </c>
      <c r="AG118" s="145">
        <f ca="1">SUM(AG119:AG127)</f>
        <v>11491.520759999999</v>
      </c>
      <c r="AH118" s="145">
        <f t="shared" ca="1" si="7"/>
        <v>-279.77999999999884</v>
      </c>
      <c r="AI118" s="145">
        <f ca="1">SUM(AI119:AI127)</f>
        <v>11256.3413356317</v>
      </c>
      <c r="AJ118" s="145">
        <f ca="1">SUM(AJ119:AJ127)</f>
        <v>13980.695800000001</v>
      </c>
      <c r="AK118" s="145">
        <f ca="1">SUM(AK119:AK127)</f>
        <v>13598.953299999999</v>
      </c>
      <c r="AL118" s="145">
        <f t="shared" ca="1" si="8"/>
        <v>20.811486561382189</v>
      </c>
      <c r="AM118" s="566"/>
      <c r="AN118" s="566"/>
      <c r="AO118" s="566"/>
      <c r="AP118" s="434"/>
      <c r="AQ118" s="434"/>
      <c r="AR118" s="704" t="s">
        <v>1731</v>
      </c>
      <c r="AS118" s="704"/>
      <c r="AT118" s="704"/>
      <c r="AU118" s="516"/>
      <c r="AV118" s="516"/>
    </row>
    <row r="119" spans="1:48" ht="14.25" customHeight="1">
      <c r="E119" s="515">
        <v>15</v>
      </c>
      <c r="F119" s="3" t="str" cm="1">
        <f t="array" aca="1" ref="F119" ca="1">OFFSET(E119,-1,1)</f>
        <v>1</v>
      </c>
      <c r="I119" s="57" t="s">
        <v>1336</v>
      </c>
      <c r="J119" s="57"/>
      <c r="K119" s="57"/>
      <c r="L119" s="57"/>
      <c r="M119" s="57"/>
      <c r="N119" s="57"/>
      <c r="O119" s="57"/>
      <c r="P119" s="57"/>
      <c r="Q119" s="57"/>
      <c r="R119" s="57"/>
      <c r="S119" s="57"/>
      <c r="T119" s="365" t="b" cm="1">
        <f t="array" ref="T119">T118</f>
        <v>1</v>
      </c>
      <c r="X119" s="1123"/>
      <c r="Z119" s="1184"/>
      <c r="AB119" s="152" t="s">
        <v>1337</v>
      </c>
      <c r="AC119" s="153" t="s">
        <v>1732</v>
      </c>
      <c r="AD119" s="28" t="s">
        <v>804</v>
      </c>
      <c r="AE119" s="190">
        <f ca="1">SUMIFS(ЭЭ!AE$25:AE$109,ЭЭ!$F$25:$F$109,$F119,ЭЭ!$AC$25:$AC$109,"Всего по тарифу")</f>
        <v>7312.7743869921005</v>
      </c>
      <c r="AF119" s="190">
        <f ca="1">SUMIFS(ЭЭ!AF$25:AF$109,ЭЭ!$F$25:$F$109,$F119,ЭЭ!$AC$25:$AC$109,"Всего по тарифу")</f>
        <v>8020.5199999999995</v>
      </c>
      <c r="AG119" s="190">
        <f ca="1">SUMIFS(ЭЭ!AG$25:AG$109,ЭЭ!$F$25:$F$109,$F119,ЭЭ!$AC$25:$AC$109,"Всего по тарифу")</f>
        <v>7740.74</v>
      </c>
      <c r="AH119" s="190">
        <f t="shared" ca="1" si="7"/>
        <v>-279.77999999999975</v>
      </c>
      <c r="AI119" s="190">
        <f ca="1">SUMIFS(ЭЭ!AH$25:AH$109,ЭЭ!$F$25:$F$109,$F119,ЭЭ!$AC$25:$AC$109,"Всего по тарифу")</f>
        <v>7643.4825164316999</v>
      </c>
      <c r="AJ119" s="190">
        <f ca="1">SUMIFS(ЭЭ!AI$25:AI$109,ЭЭ!$F$25:$F$109,$F119,ЭЭ!$AC$25:$AC$109,"Всего по тарифу")</f>
        <v>9416.4500000000007</v>
      </c>
      <c r="AK119" s="190">
        <f ca="1">SUMIFS(ЭЭ!AS$25:AS$109,ЭЭ!$F$25:$F$109,$F119,ЭЭ!$AC$25:$AC$109,"Всего по тарифу")</f>
        <v>9292.8333000000002</v>
      </c>
      <c r="AL119" s="190">
        <f t="shared" ca="1" si="8"/>
        <v>21.578524972387676</v>
      </c>
      <c r="AM119" s="215"/>
      <c r="AN119" s="610" t="str">
        <f ca="1">IF(IFERROR(INDEX(ЭЭ!$K$26:$L$109,MATCH($F119&amp;"komm",ЭЭ!$K$26:$K$109,0),2),"")=0,"",IFERROR(INDEX(ЭЭ!$K$26:$L$109,MATCH($F119&amp;"komm",ЭЭ!$K$26:$K$109,0),2),""))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AO119" s="215"/>
      <c r="AR119" s="703" t="s">
        <v>1733</v>
      </c>
    </row>
    <row r="120" spans="1:48" ht="14.25" customHeight="1">
      <c r="E120" s="515">
        <v>15</v>
      </c>
      <c r="F120" s="3" t="str" cm="1">
        <f t="array" aca="1" ref="F120" ca="1">OFFSET(E120,-1,1)</f>
        <v>1</v>
      </c>
      <c r="G120" s="291" t="s">
        <v>1106</v>
      </c>
      <c r="I120" s="57" t="s">
        <v>1339</v>
      </c>
      <c r="J120" s="57"/>
      <c r="K120" s="57"/>
      <c r="L120" s="57"/>
      <c r="M120" s="57"/>
      <c r="N120" s="57"/>
      <c r="O120" s="57"/>
      <c r="P120" s="57"/>
      <c r="Q120" s="57"/>
      <c r="R120" s="57"/>
      <c r="S120" s="57"/>
      <c r="T120" s="365" t="b" cm="1">
        <f t="array" ref="T120">T119</f>
        <v>1</v>
      </c>
      <c r="X120" s="1123"/>
      <c r="Z120" s="1184"/>
      <c r="AB120" s="152" t="s">
        <v>1340</v>
      </c>
      <c r="AC120" s="153" t="s">
        <v>1734</v>
      </c>
      <c r="AD120" s="28" t="s">
        <v>804</v>
      </c>
      <c r="AE120" s="190">
        <f ca="1">SUMIFS(Покупка!AE$25:AE$254,Покупка!$F$25:$F$254,$F120,Покупка!$AC$25:$AC$254,$G120)</f>
        <v>294.14821341312</v>
      </c>
      <c r="AF120" s="190">
        <f ca="1">SUMIFS(Покупка!AF$25:AF$254,Покупка!$F$25:$F$254,$F120,Покупка!$AC$25:$AC$254,$G120)</f>
        <v>563.56075999999996</v>
      </c>
      <c r="AG120" s="190">
        <f ca="1">SUMIFS(Покупка!AG$25:AG$254,Покупка!$F$25:$F$254,$F120,Покупка!$AC$25:$AC$254,$G120)</f>
        <v>563.56075999999996</v>
      </c>
      <c r="AH120" s="190">
        <f t="shared" ca="1" si="7"/>
        <v>0</v>
      </c>
      <c r="AI120" s="190">
        <f ca="1">SUMIFS(Покупка!AH$25:AH$254,Покупка!$F$25:$F$254,$F120,Покупка!$AC$25:$AC$254,$G120)</f>
        <v>259.85000000000002</v>
      </c>
      <c r="AJ120" s="190">
        <f ca="1">SUMIFS(Покупка!AI$25:AI$254,Покупка!$F$25:$F$254,$F120,Покупка!$AC$25:$AC$254,$G120)</f>
        <v>897.78579999999999</v>
      </c>
      <c r="AK120" s="190">
        <f ca="1">SUMIFS(Покупка!AS$25:AS$254,Покупка!$F$25:$F$254,$F120,Покупка!$AC$25:$AC$254,$G120)</f>
        <v>753.56</v>
      </c>
      <c r="AL120" s="190">
        <f t="shared" ca="1" si="8"/>
        <v>189.99807581296898</v>
      </c>
      <c r="AM120" s="215"/>
      <c r="AN120" s="610" t="str">
        <f ca="1">IF(IFERROR(INDEX(Покупка!$K$26:$L$254,MATCH($F120&amp;"6komm",Покупка!$K$26:$K$254,0),2),"")=0,"",IFERROR(INDEX(Покупка!$K$26:$L$254,MATCH($F120&amp;"6komm",Покупка!$K$26:$K$254,0),2),""))</f>
        <v>рассчитаны по фактическому расходу Гкалл 2024 года, тарифы с 01.01 по 30.09 на уровне декабря 2025 года (пост. от 09.12.2025 № 403), тарифы с 01.10. по 31.12. с применением ИПЦ Минэкономразвития России на 2026 год 105,1%.</v>
      </c>
      <c r="AO120" s="215"/>
      <c r="AR120" s="703" t="s">
        <v>1107</v>
      </c>
    </row>
    <row r="121" spans="1:48" ht="14.25" customHeight="1">
      <c r="E121" s="515">
        <v>15</v>
      </c>
      <c r="F121" s="3" t="str" cm="1">
        <f t="array" aca="1" ref="F121" ca="1">OFFSET(E121,-1,1)</f>
        <v>1</v>
      </c>
      <c r="G121" s="291" t="s">
        <v>1128</v>
      </c>
      <c r="I121" s="57" t="s">
        <v>1343</v>
      </c>
      <c r="J121" s="57"/>
      <c r="K121" s="57"/>
      <c r="L121" s="57"/>
      <c r="M121" s="57"/>
      <c r="N121" s="57"/>
      <c r="O121" s="57"/>
      <c r="P121" s="57"/>
      <c r="Q121" s="57"/>
      <c r="R121" s="57"/>
      <c r="S121" s="57"/>
      <c r="T121" s="365" t="b" cm="1">
        <f t="array" ref="T121">T120</f>
        <v>1</v>
      </c>
      <c r="X121" s="1123"/>
      <c r="Z121" s="1184"/>
      <c r="AB121" s="152" t="s">
        <v>1344</v>
      </c>
      <c r="AC121" s="153" t="s">
        <v>1735</v>
      </c>
      <c r="AD121" s="28" t="s">
        <v>804</v>
      </c>
      <c r="AE121" s="190">
        <f ca="1">SUMIFS(Покупка!AE$25:AE$254,Покупка!$F$25:$F$254,$F121,Покупка!$AC$25:$AC$254,$G121)</f>
        <v>0</v>
      </c>
      <c r="AF121" s="190">
        <f ca="1">SUMIFS(Покупка!AF$25:AF$254,Покупка!$F$25:$F$254,$F121,Покупка!$AC$25:$AC$254,$G121)</f>
        <v>0</v>
      </c>
      <c r="AG121" s="190">
        <f ca="1">SUMIFS(Покупка!AG$25:AG$254,Покупка!$F$25:$F$254,$F121,Покупка!$AC$25:$AC$254,$G121)</f>
        <v>0</v>
      </c>
      <c r="AH121" s="190">
        <f t="shared" ca="1" si="7"/>
        <v>0</v>
      </c>
      <c r="AI121" s="190">
        <f ca="1">SUMIFS(Покупка!AH$25:AH$254,Покупка!$F$25:$F$254,$F121,Покупка!$AC$25:$AC$254,$G121)</f>
        <v>0</v>
      </c>
      <c r="AJ121" s="190">
        <f ca="1">SUMIFS(Покупка!AI$25:AI$254,Покупка!$F$25:$F$254,$F121,Покупка!$AC$25:$AC$254,$G121)</f>
        <v>0</v>
      </c>
      <c r="AK121" s="190">
        <f ca="1">SUMIFS(Покупка!AS$25:AS$254,Покупка!$F$25:$F$254,$F121,Покупка!$AC$25:$AC$254,$G121)</f>
        <v>0</v>
      </c>
      <c r="AL121" s="190">
        <f t="shared" ca="1" si="8"/>
        <v>0</v>
      </c>
      <c r="AM121" s="215"/>
      <c r="AN121" s="610" t="str">
        <f ca="1">IF(IFERROR(INDEX(Покупка!$K$26:$L$254,MATCH($F121&amp;"7komm",Покупка!$K$26:$K$254,0),2),"")=0,"",IFERROR(INDEX(Покупка!$K$26:$L$254,MATCH($F121&amp;"7komm",Покупка!$K$26:$K$254,0),2),""))</f>
        <v/>
      </c>
      <c r="AO121" s="215"/>
      <c r="AR121" s="703" t="s">
        <v>1129</v>
      </c>
    </row>
    <row r="122" spans="1:48" ht="14.25" customHeight="1">
      <c r="E122" s="515">
        <v>15</v>
      </c>
      <c r="F122" s="3" t="str" cm="1">
        <f t="array" aca="1" ref="F122" ca="1">OFFSET(E122,-1,1)</f>
        <v>1</v>
      </c>
      <c r="G122" s="291" t="s">
        <v>1140</v>
      </c>
      <c r="I122" s="57" t="s">
        <v>1502</v>
      </c>
      <c r="J122" s="57"/>
      <c r="K122" s="57"/>
      <c r="L122" s="57"/>
      <c r="M122" s="57"/>
      <c r="N122" s="57"/>
      <c r="O122" s="57"/>
      <c r="P122" s="57"/>
      <c r="Q122" s="57"/>
      <c r="R122" s="57"/>
      <c r="S122" s="57"/>
      <c r="T122" s="365" t="b" cm="1">
        <f t="array" ref="T122">T121</f>
        <v>1</v>
      </c>
      <c r="X122" s="1123"/>
      <c r="Z122" s="1184"/>
      <c r="AB122" s="152" t="s">
        <v>1736</v>
      </c>
      <c r="AC122" s="153" t="s">
        <v>1737</v>
      </c>
      <c r="AD122" s="28" t="s">
        <v>804</v>
      </c>
      <c r="AE122" s="190">
        <f ca="1">SUMIFS(Покупка!AE$25:AE$254,Покупка!$F$25:$F$254,$F122,Покупка!$AC$25:$AC$254,$G122)</f>
        <v>0</v>
      </c>
      <c r="AF122" s="190">
        <f ca="1">SUMIFS(Покупка!AF$25:AF$254,Покупка!$F$25:$F$254,$F122,Покупка!$AC$25:$AC$254,$G122)</f>
        <v>0</v>
      </c>
      <c r="AG122" s="190">
        <f ca="1">SUMIFS(Покупка!AG$25:AG$254,Покупка!$F$25:$F$254,$F122,Покупка!$AC$25:$AC$254,$G122)</f>
        <v>0</v>
      </c>
      <c r="AH122" s="190">
        <f t="shared" ca="1" si="7"/>
        <v>0</v>
      </c>
      <c r="AI122" s="190">
        <f ca="1">SUMIFS(Покупка!AH$25:AH$254,Покупка!$F$25:$F$254,$F122,Покупка!$AC$25:$AC$254,$G122)</f>
        <v>0</v>
      </c>
      <c r="AJ122" s="190">
        <f ca="1">SUMIFS(Покупка!AI$25:AI$254,Покупка!$F$25:$F$254,$F122,Покупка!$AC$25:$AC$254,$G122)</f>
        <v>0</v>
      </c>
      <c r="AK122" s="190">
        <f ca="1">SUMIFS(Покупка!AS$25:AS$254,Покупка!$F$25:$F$254,$F122,Покупка!$AC$25:$AC$254,$G122)</f>
        <v>0</v>
      </c>
      <c r="AL122" s="190">
        <f t="shared" ca="1" si="8"/>
        <v>0</v>
      </c>
      <c r="AM122" s="215"/>
      <c r="AN122" s="610" t="str">
        <f ca="1">IF(IFERROR(INDEX(Покупка!$K$26:$L$254,MATCH($F122&amp;"9komm",Покупка!$K$26:$K$254,0),2),"")=0,"",IFERROR(INDEX(Покупка!$K$26:$L$254,MATCH($F122&amp;"9komm",Покупка!$K$26:$K$254,0),2),""))</f>
        <v/>
      </c>
      <c r="AO122" s="215"/>
      <c r="AR122" s="703" t="s">
        <v>1141</v>
      </c>
    </row>
    <row r="123" spans="1:48" ht="14.25" customHeight="1">
      <c r="E123" s="515">
        <v>15</v>
      </c>
      <c r="F123" s="3" t="str" cm="1">
        <f t="array" aca="1" ref="F123" ca="1">OFFSET(E123,-1,1)</f>
        <v>1</v>
      </c>
      <c r="G123" s="291" t="s">
        <v>1067</v>
      </c>
      <c r="I123" s="57" t="s">
        <v>1506</v>
      </c>
      <c r="J123" s="57"/>
      <c r="K123" s="57"/>
      <c r="L123" s="57"/>
      <c r="M123" s="57"/>
      <c r="N123" s="57"/>
      <c r="O123" s="57"/>
      <c r="P123" s="57"/>
      <c r="Q123" s="57"/>
      <c r="R123" s="57"/>
      <c r="S123" s="57"/>
      <c r="T123" s="365" t="b" cm="1">
        <f t="array" ref="T123">T122</f>
        <v>1</v>
      </c>
      <c r="X123" s="1123"/>
      <c r="Z123" s="1184"/>
      <c r="AB123" s="152" t="s">
        <v>1738</v>
      </c>
      <c r="AC123" s="153" t="s">
        <v>1739</v>
      </c>
      <c r="AD123" s="28" t="s">
        <v>804</v>
      </c>
      <c r="AE123" s="190">
        <f ca="1">SUMIFS(Покупка!AE$25:AE$254,Покупка!$F$25:$F$254,$F123,Покупка!$AC$25:$AC$254,$G123)</f>
        <v>2816.6610780000001</v>
      </c>
      <c r="AF123" s="190">
        <f ca="1">SUMIFS(Покупка!AF$25:AF$254,Покупка!$F$25:$F$254,$F123,Покупка!$AC$25:$AC$254,$G123)</f>
        <v>3187.22</v>
      </c>
      <c r="AG123" s="190">
        <f ca="1">SUMIFS(Покупка!AG$25:AG$254,Покупка!$F$25:$F$254,$F123,Покупка!$AC$25:$AC$254,$G123)</f>
        <v>3187.22</v>
      </c>
      <c r="AH123" s="190">
        <f t="shared" ca="1" si="7"/>
        <v>0</v>
      </c>
      <c r="AI123" s="190">
        <f ca="1">SUMIFS(Покупка!AH$25:AH$254,Покупка!$F$25:$F$254,$F123,Покупка!$AC$25:$AC$254,$G123)</f>
        <v>3353.0088191999998</v>
      </c>
      <c r="AJ123" s="190">
        <f ca="1">SUMIFS(Покупка!AI$25:AI$254,Покупка!$F$25:$F$254,$F123,Покупка!$AC$25:$AC$254,$G123)</f>
        <v>3666.46</v>
      </c>
      <c r="AK123" s="190">
        <f ca="1">SUMIFS(Покупка!AS$25:AS$254,Покупка!$F$25:$F$254,$F123,Покупка!$AC$25:$AC$254,$G123)</f>
        <v>3552.56</v>
      </c>
      <c r="AL123" s="190">
        <f t="shared" ca="1" si="8"/>
        <v>5.9514063803629176</v>
      </c>
      <c r="AM123" s="215"/>
      <c r="AN123" s="610" t="str">
        <f ca="1">IF(IFERROR(INDEX(Покупка!$K$26:$L$254,MATCH($F123&amp;"1komm",Покупка!$K$26:$K$254,0),2),"")=0,"",IFERROR(INDEX(Покупка!$K$26:$L$254,MATCH($F123&amp;"1komm",Покупка!$K$26:$K$254,0),2),""))</f>
        <v/>
      </c>
      <c r="AO123" s="215"/>
      <c r="AR123" s="703" t="s">
        <v>1740</v>
      </c>
    </row>
    <row r="124" spans="1:48" ht="14.25" customHeight="1">
      <c r="E124" s="515">
        <v>15</v>
      </c>
      <c r="F124" s="3" t="str" cm="1">
        <f t="array" aca="1" ref="F124" ca="1">OFFSET(E124,-1,1)</f>
        <v>1</v>
      </c>
      <c r="G124" s="291" t="s">
        <v>1080</v>
      </c>
      <c r="I124" s="57" t="s">
        <v>1511</v>
      </c>
      <c r="J124" s="57"/>
      <c r="K124" s="57"/>
      <c r="L124" s="57"/>
      <c r="M124" s="57"/>
      <c r="N124" s="57"/>
      <c r="O124" s="57"/>
      <c r="P124" s="57"/>
      <c r="Q124" s="57"/>
      <c r="R124" s="57"/>
      <c r="S124" s="57"/>
      <c r="T124" s="365" t="b" cm="1">
        <f t="array" ref="T124">T123</f>
        <v>1</v>
      </c>
      <c r="X124" s="1123"/>
      <c r="Z124" s="1184"/>
      <c r="AB124" s="152" t="s">
        <v>1741</v>
      </c>
      <c r="AC124" s="153" t="s">
        <v>1742</v>
      </c>
      <c r="AD124" s="28" t="s">
        <v>804</v>
      </c>
      <c r="AE124" s="190">
        <f ca="1">SUMIFS(Покупка!AE$25:AE$254,Покупка!$F$25:$F$254,$F124,Покупка!$AC$25:$AC$254,$G124)</f>
        <v>0</v>
      </c>
      <c r="AF124" s="190">
        <f ca="1">SUMIFS(Покупка!AF$25:AF$254,Покупка!$F$25:$F$254,$F124,Покупка!$AC$25:$AC$254,$G124)</f>
        <v>0</v>
      </c>
      <c r="AG124" s="190">
        <f ca="1">SUMIFS(Покупка!AG$25:AG$254,Покупка!$F$25:$F$254,$F124,Покупка!$AC$25:$AC$254,$G124)</f>
        <v>0</v>
      </c>
      <c r="AH124" s="190">
        <f t="shared" ca="1" si="7"/>
        <v>0</v>
      </c>
      <c r="AI124" s="190">
        <f ca="1">SUMIFS(Покупка!AH$25:AH$254,Покупка!$F$25:$F$254,$F124,Покупка!$AC$25:$AC$254,$G124)</f>
        <v>0</v>
      </c>
      <c r="AJ124" s="190">
        <f ca="1">SUMIFS(Покупка!AI$25:AI$254,Покупка!$F$25:$F$254,$F124,Покупка!$AC$25:$AC$254,$G124)</f>
        <v>0</v>
      </c>
      <c r="AK124" s="190">
        <f ca="1">SUMIFS(Покупка!AS$25:AS$254,Покупка!$F$25:$F$254,$F124,Покупка!$AC$25:$AC$254,$G124)</f>
        <v>0</v>
      </c>
      <c r="AL124" s="190">
        <f t="shared" ca="1" si="8"/>
        <v>0</v>
      </c>
      <c r="AM124" s="215"/>
      <c r="AN124" s="610" t="str">
        <f ca="1">IF(IFERROR(INDEX(Покупка!$K$26:$L$254,MATCH($F124&amp;"2komm",Покупка!$K$26:$K$254,0),2),"")=0,"",IFERROR(INDEX(Покупка!$K$26:$L$254,MATCH($F124&amp;"2komm",Покупка!$K$26:$K$254,0),2),""))</f>
        <v/>
      </c>
      <c r="AO124" s="215"/>
      <c r="AR124" s="703" t="s">
        <v>1743</v>
      </c>
    </row>
    <row r="125" spans="1:48" ht="14.25" customHeight="1">
      <c r="E125" s="515">
        <v>15</v>
      </c>
      <c r="F125" s="3" t="str" cm="1">
        <f t="array" aca="1" ref="F125" ca="1">OFFSET(E125,-1,1)</f>
        <v>1</v>
      </c>
      <c r="G125" s="291" t="s">
        <v>1086</v>
      </c>
      <c r="I125" s="57" t="s">
        <v>1520</v>
      </c>
      <c r="J125" s="57"/>
      <c r="K125" s="57"/>
      <c r="L125" s="57"/>
      <c r="M125" s="57"/>
      <c r="N125" s="57"/>
      <c r="O125" s="57"/>
      <c r="P125" s="57"/>
      <c r="Q125" s="57"/>
      <c r="R125" s="57"/>
      <c r="S125" s="57"/>
      <c r="T125" s="365" t="b" cm="1">
        <f t="array" ref="T125">T124</f>
        <v>1</v>
      </c>
      <c r="X125" s="1123"/>
      <c r="Z125" s="1184"/>
      <c r="AB125" s="152" t="s">
        <v>1744</v>
      </c>
      <c r="AC125" s="153" t="s">
        <v>1745</v>
      </c>
      <c r="AD125" s="28" t="s">
        <v>804</v>
      </c>
      <c r="AE125" s="190">
        <f ca="1">SUMIFS(Покупка!AE$25:AE$254,Покупка!$F$25:$F$254,$F125,Покупка!$AC$25:$AC$254,$G125)</f>
        <v>0</v>
      </c>
      <c r="AF125" s="190">
        <f ca="1">SUMIFS(Покупка!AF$25:AF$254,Покупка!$F$25:$F$254,$F125,Покупка!$AC$25:$AC$254,$G125)</f>
        <v>0</v>
      </c>
      <c r="AG125" s="190">
        <f ca="1">SUMIFS(Покупка!AG$25:AG$254,Покупка!$F$25:$F$254,$F125,Покупка!$AC$25:$AC$254,$G125)</f>
        <v>0</v>
      </c>
      <c r="AH125" s="190">
        <f t="shared" ca="1" si="7"/>
        <v>0</v>
      </c>
      <c r="AI125" s="190">
        <f ca="1">SUMIFS(Покупка!AH$25:AH$254,Покупка!$F$25:$F$254,$F125,Покупка!$AC$25:$AC$254,$G125)</f>
        <v>0</v>
      </c>
      <c r="AJ125" s="190">
        <f ca="1">SUMIFS(Покупка!AI$25:AI$254,Покупка!$F$25:$F$254,$F125,Покупка!$AC$25:$AC$254,$G125)</f>
        <v>0</v>
      </c>
      <c r="AK125" s="190">
        <f ca="1">SUMIFS(Покупка!AS$25:AS$254,Покупка!$F$25:$F$254,$F125,Покупка!$AC$25:$AC$254,$G125)</f>
        <v>0</v>
      </c>
      <c r="AL125" s="190">
        <f t="shared" ca="1" si="8"/>
        <v>0</v>
      </c>
      <c r="AM125" s="215"/>
      <c r="AN125" s="610" t="str">
        <f ca="1">IF(IFERROR(INDEX(Покупка!$K$26:$L$254,MATCH($F125&amp;"3komm",Покупка!$K$26:$K$254,0),2),"")=0,"",IFERROR(INDEX(Покупка!$K$26:$L$254,MATCH($F125&amp;"3komm",Покупка!$K$26:$K$254,0),2),""))</f>
        <v/>
      </c>
      <c r="AO125" s="215"/>
      <c r="AR125" s="703" t="s">
        <v>1746</v>
      </c>
    </row>
    <row r="126" spans="1:48" ht="14.25" customHeight="1">
      <c r="E126" s="515">
        <v>15</v>
      </c>
      <c r="F126" s="3" t="str" cm="1">
        <f t="array" aca="1" ref="F126" ca="1">OFFSET(E126,-1,1)</f>
        <v>1</v>
      </c>
      <c r="G126" s="291" t="s">
        <v>1092</v>
      </c>
      <c r="I126" s="57" t="s">
        <v>1525</v>
      </c>
      <c r="J126" s="57"/>
      <c r="K126" s="57"/>
      <c r="L126" s="57"/>
      <c r="M126" s="57"/>
      <c r="N126" s="57"/>
      <c r="O126" s="57"/>
      <c r="P126" s="57"/>
      <c r="Q126" s="57"/>
      <c r="R126" s="57"/>
      <c r="S126" s="57"/>
      <c r="T126" s="365" t="b" cm="1">
        <f t="array" ref="T126">T125</f>
        <v>1</v>
      </c>
      <c r="X126" s="1123"/>
      <c r="Z126" s="1184"/>
      <c r="AB126" s="152" t="s">
        <v>1747</v>
      </c>
      <c r="AC126" s="153" t="s">
        <v>1748</v>
      </c>
      <c r="AD126" s="28" t="s">
        <v>804</v>
      </c>
      <c r="AE126" s="190">
        <f ca="1">SUMIFS(Покупка!AE$25:AE$254,Покупка!$F$25:$F$254,$F126,Покупка!$AC$25:$AC$254,$G126)</f>
        <v>0</v>
      </c>
      <c r="AF126" s="190">
        <f ca="1">SUMIFS(Покупка!AF$25:AF$254,Покупка!$F$25:$F$254,$F126,Покупка!$AC$25:$AC$254,$G126)</f>
        <v>0</v>
      </c>
      <c r="AG126" s="190">
        <f ca="1">SUMIFS(Покупка!AG$25:AG$254,Покупка!$F$25:$F$254,$F126,Покупка!$AC$25:$AC$254,$G126)</f>
        <v>0</v>
      </c>
      <c r="AH126" s="190">
        <f t="shared" ca="1" si="7"/>
        <v>0</v>
      </c>
      <c r="AI126" s="190">
        <f ca="1">SUMIFS(Покупка!AH$25:AH$254,Покупка!$F$25:$F$254,$F126,Покупка!$AC$25:$AC$254,$G126)</f>
        <v>0</v>
      </c>
      <c r="AJ126" s="190">
        <f ca="1">SUMIFS(Покупка!AI$25:AI$254,Покупка!$F$25:$F$254,$F126,Покупка!$AC$25:$AC$254,$G126)</f>
        <v>0</v>
      </c>
      <c r="AK126" s="190">
        <f ca="1">SUMIFS(Покупка!AS$25:AS$254,Покупка!$F$25:$F$254,$F126,Покупка!$AC$25:$AC$254,$G126)</f>
        <v>0</v>
      </c>
      <c r="AL126" s="190">
        <f t="shared" ca="1" si="8"/>
        <v>0</v>
      </c>
      <c r="AM126" s="215"/>
      <c r="AN126" s="610" t="str">
        <f ca="1">IF(IFERROR(INDEX(Покупка!$K$26:$L$254,MATCH($F126&amp;"4komm",Покупка!$K$26:$K$254,0),2),"")=0,"",IFERROR(INDEX(Покупка!$K$26:$L$254,MATCH($F126&amp;"4komm",Покупка!$K$26:$K$254,0),2),""))</f>
        <v/>
      </c>
      <c r="AO126" s="215"/>
      <c r="AR126" s="703" t="s">
        <v>1749</v>
      </c>
    </row>
    <row r="127" spans="1:48" ht="14.25" customHeight="1">
      <c r="E127" s="515">
        <v>15</v>
      </c>
      <c r="F127" s="3" t="str" cm="1">
        <f t="array" aca="1" ref="F127" ca="1">OFFSET(E127,-1,1)</f>
        <v>1</v>
      </c>
      <c r="G127" s="291" t="s">
        <v>1099</v>
      </c>
      <c r="I127" s="57" t="s">
        <v>1535</v>
      </c>
      <c r="J127" s="57"/>
      <c r="K127" s="57"/>
      <c r="L127" s="57"/>
      <c r="M127" s="57"/>
      <c r="N127" s="57"/>
      <c r="O127" s="57"/>
      <c r="P127" s="57"/>
      <c r="Q127" s="57"/>
      <c r="R127" s="57"/>
      <c r="S127" s="57"/>
      <c r="T127" s="365" t="b" cm="1">
        <f t="array" ref="T127">T126</f>
        <v>1</v>
      </c>
      <c r="X127" s="1123"/>
      <c r="Z127" s="1184"/>
      <c r="AB127" s="152" t="s">
        <v>1750</v>
      </c>
      <c r="AC127" s="153" t="s">
        <v>1751</v>
      </c>
      <c r="AD127" s="28" t="s">
        <v>804</v>
      </c>
      <c r="AE127" s="190">
        <f ca="1">SUMIFS(Покупка!AE$25:AE$254,Покупка!$F$25:$F$254,$F127,Покупка!$AC$25:$AC$254,$G127)</f>
        <v>0</v>
      </c>
      <c r="AF127" s="190">
        <f ca="1">SUMIFS(Покупка!AF$25:AF$254,Покупка!$F$25:$F$254,$F127,Покупка!$AC$25:$AC$254,$G127)</f>
        <v>0</v>
      </c>
      <c r="AG127" s="190">
        <f ca="1">SUMIFS(Покупка!AG$25:AG$254,Покупка!$F$25:$F$254,$F127,Покупка!$AC$25:$AC$254,$G127)</f>
        <v>0</v>
      </c>
      <c r="AH127" s="190">
        <f t="shared" ca="1" si="7"/>
        <v>0</v>
      </c>
      <c r="AI127" s="190">
        <f ca="1">SUMIFS(Покупка!AH$25:AH$254,Покупка!$F$25:$F$254,$F127,Покупка!$AC$25:$AC$254,$G127)</f>
        <v>0</v>
      </c>
      <c r="AJ127" s="190">
        <f ca="1">SUMIFS(Покупка!AI$25:AI$254,Покупка!$F$25:$F$254,$F127,Покупка!$AC$25:$AC$254,$G127)</f>
        <v>0</v>
      </c>
      <c r="AK127" s="190">
        <f ca="1">SUMIFS(Покупка!AS$25:AS$254,Покупка!$F$25:$F$254,$F127,Покупка!$AC$25:$AC$254,$G127)</f>
        <v>0</v>
      </c>
      <c r="AL127" s="190">
        <f t="shared" ca="1" si="8"/>
        <v>0</v>
      </c>
      <c r="AM127" s="215"/>
      <c r="AN127" s="610" t="str">
        <f ca="1">IF(IFERROR(INDEX(Покупка!$K$26:$L$254,MATCH($F127&amp;"5komm",Покупка!$K$26:$K$254,0),2),"")=0,"",IFERROR(INDEX(Покупка!$K$26:$L$254,MATCH($F127&amp;"5komm",Покупка!$K$26:$K$254,0),2),""))</f>
        <v/>
      </c>
      <c r="AO127" s="215"/>
      <c r="AR127" s="703" t="s">
        <v>1752</v>
      </c>
    </row>
    <row r="128" spans="1:48" s="948" customFormat="1" ht="43.5" customHeight="1">
      <c r="A128" s="434"/>
      <c r="B128" s="434"/>
      <c r="C128" s="434"/>
      <c r="D128" s="434"/>
      <c r="E128" s="516">
        <v>45</v>
      </c>
      <c r="F128" s="3" t="str" cm="1">
        <f t="array" aca="1" ref="F128" ca="1">OFFSET(E128,-1,1)</f>
        <v>1</v>
      </c>
      <c r="G128" s="434"/>
      <c r="H128" s="434"/>
      <c r="I128" s="173" t="s">
        <v>468</v>
      </c>
      <c r="J128" s="173"/>
      <c r="K128" s="173"/>
      <c r="L128" s="173"/>
      <c r="M128" s="173"/>
      <c r="N128" s="173"/>
      <c r="O128" s="173"/>
      <c r="P128" s="173"/>
      <c r="Q128" s="173"/>
      <c r="R128" s="173"/>
      <c r="S128" s="173"/>
      <c r="T128" s="365" t="b" cm="1">
        <f t="array" ref="T128">T127</f>
        <v>1</v>
      </c>
      <c r="U128" s="434"/>
      <c r="V128" s="434"/>
      <c r="W128" s="434"/>
      <c r="X128" s="1123"/>
      <c r="Y128" s="434"/>
      <c r="Z128" s="1184"/>
      <c r="AA128" s="434"/>
      <c r="AB128" s="150" t="s">
        <v>903</v>
      </c>
      <c r="AC128" s="276" t="s">
        <v>1753</v>
      </c>
      <c r="AD128" s="166" t="s">
        <v>804</v>
      </c>
      <c r="AE128" s="157"/>
      <c r="AF128" s="157"/>
      <c r="AG128" s="157"/>
      <c r="AH128" s="145">
        <f t="shared" si="7"/>
        <v>0</v>
      </c>
      <c r="AI128" s="157"/>
      <c r="AJ128" s="157"/>
      <c r="AK128" s="157"/>
      <c r="AL128" s="145">
        <f t="shared" si="8"/>
        <v>0</v>
      </c>
      <c r="AM128" s="566"/>
      <c r="AN128" s="566"/>
      <c r="AO128" s="566"/>
      <c r="AP128" s="434"/>
      <c r="AQ128" s="434"/>
      <c r="AR128" s="704" t="s">
        <v>1754</v>
      </c>
      <c r="AS128" s="704"/>
      <c r="AT128" s="704"/>
      <c r="AU128" s="516"/>
      <c r="AV128" s="516"/>
    </row>
    <row r="129" spans="1:48" s="948" customFormat="1" ht="43.5" customHeight="1">
      <c r="A129" s="434"/>
      <c r="B129" s="434"/>
      <c r="C129" s="434"/>
      <c r="D129" s="434"/>
      <c r="E129" s="516">
        <v>45</v>
      </c>
      <c r="F129" s="3" t="str" cm="1">
        <f t="array" aca="1" ref="F129" ca="1">OFFSET(E129,-1,1)</f>
        <v>1</v>
      </c>
      <c r="G129" s="434"/>
      <c r="H129" s="434"/>
      <c r="I129" s="173" t="s">
        <v>472</v>
      </c>
      <c r="J129" s="173"/>
      <c r="K129" s="173"/>
      <c r="L129" s="173"/>
      <c r="M129" s="173"/>
      <c r="N129" s="173"/>
      <c r="O129" s="173"/>
      <c r="P129" s="173"/>
      <c r="Q129" s="173"/>
      <c r="R129" s="173"/>
      <c r="S129" s="173"/>
      <c r="T129" s="365" t="b" cm="1">
        <f t="array" ref="T129">T128</f>
        <v>1</v>
      </c>
      <c r="U129" s="434"/>
      <c r="V129" s="434"/>
      <c r="W129" s="434"/>
      <c r="X129" s="1123"/>
      <c r="Y129" s="434"/>
      <c r="Z129" s="1184"/>
      <c r="AA129" s="434"/>
      <c r="AB129" s="150" t="s">
        <v>906</v>
      </c>
      <c r="AC129" s="276" t="s">
        <v>1755</v>
      </c>
      <c r="AD129" s="166" t="s">
        <v>804</v>
      </c>
      <c r="AE129" s="145">
        <f ca="1">AE130+AE131</f>
        <v>0</v>
      </c>
      <c r="AF129" s="145">
        <f ca="1">AF130+AF131</f>
        <v>0</v>
      </c>
      <c r="AG129" s="145">
        <f ca="1">AG130+AG131</f>
        <v>0</v>
      </c>
      <c r="AH129" s="145">
        <f t="shared" ca="1" si="7"/>
        <v>0</v>
      </c>
      <c r="AI129" s="145">
        <f ca="1">AI130+AI131</f>
        <v>0</v>
      </c>
      <c r="AJ129" s="145">
        <f ca="1">AJ130+AJ131</f>
        <v>0</v>
      </c>
      <c r="AK129" s="145">
        <f ca="1">AK130+AK131</f>
        <v>0</v>
      </c>
      <c r="AL129" s="145">
        <f t="shared" ca="1" si="8"/>
        <v>0</v>
      </c>
      <c r="AM129" s="566"/>
      <c r="AN129" s="566"/>
      <c r="AO129" s="566"/>
      <c r="AP129" s="434"/>
      <c r="AQ129" s="434"/>
      <c r="AR129" s="704" t="s">
        <v>1756</v>
      </c>
      <c r="AS129" s="704"/>
      <c r="AT129" s="704"/>
      <c r="AU129" s="516"/>
      <c r="AV129" s="516"/>
    </row>
    <row r="130" spans="1:48" ht="14.25" customHeight="1">
      <c r="E130" s="515">
        <v>15</v>
      </c>
      <c r="F130" s="3" t="str" cm="1">
        <f t="array" aca="1" ref="F130" ca="1">OFFSET(E130,-1,1)</f>
        <v>1</v>
      </c>
      <c r="G130" s="266" t="s">
        <v>1156</v>
      </c>
      <c r="I130" s="57" t="s">
        <v>1363</v>
      </c>
      <c r="J130" s="57"/>
      <c r="K130" s="57"/>
      <c r="L130" s="57"/>
      <c r="M130" s="57"/>
      <c r="N130" s="57"/>
      <c r="O130" s="57"/>
      <c r="P130" s="173"/>
      <c r="Q130" s="57"/>
      <c r="R130" s="57"/>
      <c r="S130" s="57"/>
      <c r="T130" s="365" t="b" cm="1">
        <f t="array" ref="T130">T129</f>
        <v>1</v>
      </c>
      <c r="X130" s="1123"/>
      <c r="Z130" s="1184"/>
      <c r="AB130" s="152" t="s">
        <v>1021</v>
      </c>
      <c r="AC130" s="153" t="s">
        <v>1757</v>
      </c>
      <c r="AD130" s="28" t="s">
        <v>804</v>
      </c>
      <c r="AE130" s="190">
        <f ca="1">SUMIFS(ФОТ!AE$25:AE$102,ФОТ!$F$25:$F$102,$F130,ФОТ!$G$25:$G$102,$G130)</f>
        <v>0</v>
      </c>
      <c r="AF130" s="190">
        <f ca="1">SUMIFS(ФОТ!AF$25:AF$102,ФОТ!$F$25:$F$102,$F130,ФОТ!$G$25:$G$102,$G130)</f>
        <v>0</v>
      </c>
      <c r="AG130" s="190">
        <f ca="1">SUMIFS(ФОТ!AG$25:AG$102,ФОТ!$F$25:$F$102,$F130,ФОТ!$G$25:$G$102,$G130)</f>
        <v>0</v>
      </c>
      <c r="AH130" s="190">
        <f t="shared" ca="1" si="7"/>
        <v>0</v>
      </c>
      <c r="AI130" s="190">
        <f ca="1">SUMIFS(ФОТ!AH$25:AH$102,ФОТ!$F$25:$F$102,$F130,ФОТ!$G$25:$G$102,$G130)</f>
        <v>0</v>
      </c>
      <c r="AJ130" s="190">
        <f ca="1">SUMIFS(ФОТ!AI$25:AI$102,ФОТ!$F$25:$F$102,$F130,ФОТ!$G$25:$G$102,$G130)</f>
        <v>0</v>
      </c>
      <c r="AK130" s="190">
        <f ca="1">SUMIFS(ФОТ!AJ$25:AJ$102,ФОТ!$F$25:$F$102,$F130,ФОТ!$G$25:$G$102,$G130)</f>
        <v>0</v>
      </c>
      <c r="AL130" s="190">
        <f t="shared" ca="1" si="8"/>
        <v>0</v>
      </c>
      <c r="AM130" s="215"/>
      <c r="AN130" s="610" t="str">
        <f ca="1">IF(IFERROR(INDEX(ФОТ!$K$26:$L$102,MATCH($F130&amp;"1komm",ФОТ!$K$26:$K$102,0),2),"")=0,"",IFERROR(INDEX(ФОТ!$K$26:$L$102,MATCH($F130&amp;"1komm",ФОТ!$K$26:$K$102,0),2),""))</f>
        <v/>
      </c>
      <c r="AO130" s="215"/>
      <c r="AR130" s="703" t="s">
        <v>1758</v>
      </c>
    </row>
    <row r="131" spans="1:48" ht="21.75" customHeight="1">
      <c r="E131" s="515">
        <v>22.5</v>
      </c>
      <c r="F131" s="3" t="str" cm="1">
        <f t="array" aca="1" ref="F131" ca="1">OFFSET(E131,-1,1)</f>
        <v>1</v>
      </c>
      <c r="G131" s="266" t="s">
        <v>1168</v>
      </c>
      <c r="I131" s="57" t="s">
        <v>1364</v>
      </c>
      <c r="J131" s="57"/>
      <c r="K131" s="57"/>
      <c r="L131" s="57"/>
      <c r="M131" s="57"/>
      <c r="N131" s="57"/>
      <c r="O131" s="57"/>
      <c r="P131" s="173"/>
      <c r="Q131" s="57"/>
      <c r="R131" s="57"/>
      <c r="S131" s="57"/>
      <c r="T131" s="365" t="b" cm="1">
        <f t="array" ref="T131">T130</f>
        <v>1</v>
      </c>
      <c r="X131" s="1123"/>
      <c r="Z131" s="1184"/>
      <c r="AB131" s="152" t="s">
        <v>1024</v>
      </c>
      <c r="AC131" s="153" t="s">
        <v>1759</v>
      </c>
      <c r="AD131" s="28" t="s">
        <v>804</v>
      </c>
      <c r="AE131" s="190">
        <f ca="1">SUMIFS(ФОТ!AE$25:AE$102,ФОТ!$F$25:$F$102,$F131,ФОТ!$G$25:$G$102,$G131)</f>
        <v>0</v>
      </c>
      <c r="AF131" s="190">
        <f ca="1">SUMIFS(ФОТ!AF$25:AF$102,ФОТ!$F$25:$F$102,$F131,ФОТ!$G$25:$G$102,$G131)</f>
        <v>0</v>
      </c>
      <c r="AG131" s="190">
        <f ca="1">SUMIFS(ФОТ!AG$25:AG$102,ФОТ!$F$25:$F$102,$F131,ФОТ!$G$25:$G$102,$G131)</f>
        <v>0</v>
      </c>
      <c r="AH131" s="190">
        <f t="shared" ca="1" si="7"/>
        <v>0</v>
      </c>
      <c r="AI131" s="190">
        <f ca="1">SUMIFS(ФОТ!AH$25:AH$102,ФОТ!$F$25:$F$102,$F131,ФОТ!$G$25:$G$102,$G131)</f>
        <v>0</v>
      </c>
      <c r="AJ131" s="190">
        <f ca="1">SUMIFS(ФОТ!AI$25:AI$102,ФОТ!$F$25:$F$102,$F131,ФОТ!$G$25:$G$102,$G131)</f>
        <v>0</v>
      </c>
      <c r="AK131" s="190">
        <f ca="1">SUMIFS(ФОТ!AJ$25:AJ$102,ФОТ!$F$25:$F$102,$F131,ФОТ!$G$25:$G$102,$G131)</f>
        <v>0</v>
      </c>
      <c r="AL131" s="190">
        <f t="shared" ca="1" si="8"/>
        <v>0</v>
      </c>
      <c r="AM131" s="215"/>
      <c r="AN131" s="610" t="str">
        <f ca="1">IF(IFERROR(INDEX(ФОТ!$K$26:$L$102,MATCH($F131&amp;"2komm",ФОТ!$K$26:$K$102,0),2),"")=0,"",IFERROR(INDEX(ФОТ!$K$26:$L$102,MATCH($F131&amp;"2komm",ФОТ!$K$26:$K$102,0),2),""))</f>
        <v/>
      </c>
      <c r="AO131" s="215"/>
      <c r="AR131" s="703" t="s">
        <v>1760</v>
      </c>
    </row>
    <row r="132" spans="1:48" s="948" customFormat="1" ht="14.25" customHeight="1">
      <c r="A132" s="434"/>
      <c r="B132" s="434"/>
      <c r="C132" s="434"/>
      <c r="D132" s="434"/>
      <c r="E132" s="516">
        <v>15</v>
      </c>
      <c r="F132" s="3" t="str" cm="1">
        <f t="array" aca="1" ref="F132" ca="1">OFFSET(E132,-1,1)</f>
        <v>1</v>
      </c>
      <c r="G132" s="434"/>
      <c r="H132" s="434"/>
      <c r="I132" s="173" t="s">
        <v>909</v>
      </c>
      <c r="J132" s="173"/>
      <c r="K132" s="173"/>
      <c r="L132" s="173"/>
      <c r="M132" s="173"/>
      <c r="N132" s="173"/>
      <c r="O132" s="173"/>
      <c r="P132" s="173"/>
      <c r="Q132" s="173"/>
      <c r="R132" s="173"/>
      <c r="S132" s="173"/>
      <c r="T132" s="365" t="b" cm="1">
        <f t="array" ref="T132">T131</f>
        <v>1</v>
      </c>
      <c r="U132" s="434"/>
      <c r="V132" s="434"/>
      <c r="W132" s="434"/>
      <c r="X132" s="1123"/>
      <c r="Y132" s="434"/>
      <c r="Z132" s="1184"/>
      <c r="AA132" s="434"/>
      <c r="AB132" s="150" t="s">
        <v>910</v>
      </c>
      <c r="AC132" s="276" t="s">
        <v>1761</v>
      </c>
      <c r="AD132" s="166" t="s">
        <v>804</v>
      </c>
      <c r="AE132" s="157"/>
      <c r="AF132" s="157"/>
      <c r="AG132" s="157"/>
      <c r="AH132" s="145">
        <f t="shared" si="7"/>
        <v>0</v>
      </c>
      <c r="AI132" s="157"/>
      <c r="AJ132" s="157"/>
      <c r="AK132" s="157"/>
      <c r="AL132" s="145">
        <f t="shared" si="8"/>
        <v>0</v>
      </c>
      <c r="AM132" s="566"/>
      <c r="AN132" s="566"/>
      <c r="AO132" s="566"/>
      <c r="AP132" s="434"/>
      <c r="AQ132" s="434"/>
      <c r="AR132" s="704" t="s">
        <v>1342</v>
      </c>
      <c r="AS132" s="704"/>
      <c r="AT132" s="704"/>
      <c r="AU132" s="516"/>
      <c r="AV132" s="516"/>
    </row>
    <row r="133" spans="1:48" s="948" customFormat="1" ht="14.25" customHeight="1">
      <c r="A133" s="434"/>
      <c r="B133" s="434"/>
      <c r="C133" s="434"/>
      <c r="D133" s="434"/>
      <c r="E133" s="516">
        <v>15</v>
      </c>
      <c r="F133" s="3" t="str" cm="1">
        <f t="array" aca="1" ref="F133" ca="1">OFFSET(E133,-1,1)</f>
        <v>1</v>
      </c>
      <c r="G133" s="434"/>
      <c r="H133" s="434"/>
      <c r="I133" s="173" t="s">
        <v>1762</v>
      </c>
      <c r="J133" s="173"/>
      <c r="K133" s="173"/>
      <c r="L133" s="173"/>
      <c r="M133" s="173"/>
      <c r="N133" s="173"/>
      <c r="O133" s="173"/>
      <c r="P133" s="173"/>
      <c r="Q133" s="173"/>
      <c r="R133" s="173"/>
      <c r="S133" s="173"/>
      <c r="T133" s="365" t="b" cm="1">
        <f t="array" ref="T133">T132</f>
        <v>1</v>
      </c>
      <c r="U133" s="434"/>
      <c r="V133" s="434"/>
      <c r="W133" s="434"/>
      <c r="X133" s="1123"/>
      <c r="Y133" s="434"/>
      <c r="Z133" s="1184"/>
      <c r="AA133" s="434"/>
      <c r="AB133" s="150" t="s">
        <v>1763</v>
      </c>
      <c r="AC133" s="276" t="s">
        <v>1764</v>
      </c>
      <c r="AD133" s="166" t="s">
        <v>804</v>
      </c>
      <c r="AE133" s="157"/>
      <c r="AF133" s="157"/>
      <c r="AG133" s="157"/>
      <c r="AH133" s="145">
        <f t="shared" si="7"/>
        <v>0</v>
      </c>
      <c r="AI133" s="157"/>
      <c r="AJ133" s="157"/>
      <c r="AK133" s="157"/>
      <c r="AL133" s="145">
        <f t="shared" si="8"/>
        <v>0</v>
      </c>
      <c r="AM133" s="566"/>
      <c r="AN133" s="566"/>
      <c r="AO133" s="566"/>
      <c r="AP133" s="434"/>
      <c r="AQ133" s="434"/>
      <c r="AR133" s="704" t="s">
        <v>1765</v>
      </c>
      <c r="AS133" s="704"/>
      <c r="AT133" s="704"/>
      <c r="AU133" s="516"/>
      <c r="AV133" s="516"/>
    </row>
    <row r="134" spans="1:48" s="948" customFormat="1" ht="14.25" customHeight="1">
      <c r="A134" s="434"/>
      <c r="B134" s="434"/>
      <c r="C134" s="434"/>
      <c r="D134" s="434"/>
      <c r="E134" s="516">
        <v>15</v>
      </c>
      <c r="F134" s="3" t="str" cm="1">
        <f t="array" aca="1" ref="F134" ca="1">OFFSET(E134,-1,1)</f>
        <v>1</v>
      </c>
      <c r="G134" s="434"/>
      <c r="H134" s="434"/>
      <c r="I134" s="173" t="s">
        <v>1766</v>
      </c>
      <c r="J134" s="173"/>
      <c r="K134" s="173"/>
      <c r="L134" s="173"/>
      <c r="M134" s="173"/>
      <c r="N134" s="173"/>
      <c r="O134" s="173"/>
      <c r="P134" s="173"/>
      <c r="Q134" s="173"/>
      <c r="R134" s="173"/>
      <c r="S134" s="173"/>
      <c r="T134" s="365" t="b" cm="1">
        <f t="array" ref="T134">T133</f>
        <v>1</v>
      </c>
      <c r="U134" s="434"/>
      <c r="V134" s="434"/>
      <c r="W134" s="434"/>
      <c r="X134" s="1123"/>
      <c r="Y134" s="434"/>
      <c r="Z134" s="1184"/>
      <c r="AA134" s="434"/>
      <c r="AB134" s="150" t="s">
        <v>1767</v>
      </c>
      <c r="AC134" s="276" t="s">
        <v>1768</v>
      </c>
      <c r="AD134" s="166" t="s">
        <v>804</v>
      </c>
      <c r="AE134" s="145">
        <f>SUM(AE135:AE140)</f>
        <v>0</v>
      </c>
      <c r="AF134" s="145">
        <f>SUM(AF135:AF140)</f>
        <v>0</v>
      </c>
      <c r="AG134" s="145">
        <f>SUM(AG135:AG140)</f>
        <v>0</v>
      </c>
      <c r="AH134" s="145">
        <f t="shared" si="7"/>
        <v>0</v>
      </c>
      <c r="AI134" s="145">
        <f>SUM(AI135:AI140)</f>
        <v>0</v>
      </c>
      <c r="AJ134" s="145">
        <f>SUM(AJ135:AJ140)</f>
        <v>0</v>
      </c>
      <c r="AK134" s="145">
        <f>SUM(AK135:AK140)</f>
        <v>0</v>
      </c>
      <c r="AL134" s="145">
        <f t="shared" si="8"/>
        <v>0</v>
      </c>
      <c r="AM134" s="566"/>
      <c r="AN134" s="566"/>
      <c r="AO134" s="566"/>
      <c r="AP134" s="434"/>
      <c r="AQ134" s="434"/>
      <c r="AR134" s="704" t="s">
        <v>1769</v>
      </c>
      <c r="AS134" s="704"/>
      <c r="AT134" s="704"/>
      <c r="AU134" s="516"/>
      <c r="AV134" s="516"/>
    </row>
    <row r="135" spans="1:48" ht="14.25" customHeight="1">
      <c r="E135" s="515">
        <v>15</v>
      </c>
      <c r="F135" s="3" t="str" cm="1">
        <f t="array" aca="1" ref="F135" ca="1">OFFSET(E135,-1,1)</f>
        <v>1</v>
      </c>
      <c r="I135" s="57" t="s">
        <v>1766</v>
      </c>
      <c r="J135" s="291" t="s">
        <v>1770</v>
      </c>
      <c r="L135" s="57"/>
      <c r="M135" s="57"/>
      <c r="N135" s="57"/>
      <c r="O135" s="57"/>
      <c r="P135" s="57"/>
      <c r="Q135" s="57"/>
      <c r="R135" s="57"/>
      <c r="S135" s="57"/>
      <c r="T135" s="365" t="b" cm="1">
        <f t="array" ref="T135">T134</f>
        <v>1</v>
      </c>
      <c r="X135" s="1123"/>
      <c r="Z135" s="1184"/>
      <c r="AB135" s="152" t="s">
        <v>1771</v>
      </c>
      <c r="AC135" s="153" t="s">
        <v>1772</v>
      </c>
      <c r="AD135" s="28" t="s">
        <v>804</v>
      </c>
      <c r="AE135" s="147"/>
      <c r="AF135" s="147"/>
      <c r="AG135" s="147"/>
      <c r="AH135" s="190">
        <f t="shared" si="7"/>
        <v>0</v>
      </c>
      <c r="AI135" s="147"/>
      <c r="AJ135" s="147"/>
      <c r="AK135" s="147"/>
      <c r="AL135" s="190">
        <f t="shared" si="8"/>
        <v>0</v>
      </c>
      <c r="AM135" s="215"/>
      <c r="AN135" s="215"/>
      <c r="AO135" s="215"/>
      <c r="AR135" s="703" t="s">
        <v>1773</v>
      </c>
    </row>
    <row r="136" spans="1:48" ht="14.25" customHeight="1">
      <c r="E136" s="515">
        <v>15</v>
      </c>
      <c r="F136" s="3" t="str" cm="1">
        <f t="array" aca="1" ref="F136" ca="1">OFFSET(E136,-1,1)</f>
        <v>1</v>
      </c>
      <c r="I136" s="57" t="s">
        <v>1766</v>
      </c>
      <c r="J136" s="291" t="s">
        <v>1774</v>
      </c>
      <c r="L136" s="57"/>
      <c r="M136" s="57"/>
      <c r="N136" s="57"/>
      <c r="O136" s="57"/>
      <c r="P136" s="57"/>
      <c r="Q136" s="57"/>
      <c r="R136" s="57"/>
      <c r="S136" s="57"/>
      <c r="T136" s="365" t="b" cm="1">
        <f t="array" ref="T136">T135</f>
        <v>1</v>
      </c>
      <c r="X136" s="1123"/>
      <c r="Z136" s="1184"/>
      <c r="AB136" s="152" t="s">
        <v>1775</v>
      </c>
      <c r="AC136" s="153" t="s">
        <v>1776</v>
      </c>
      <c r="AD136" s="28" t="s">
        <v>804</v>
      </c>
      <c r="AE136" s="147"/>
      <c r="AF136" s="147"/>
      <c r="AG136" s="147"/>
      <c r="AH136" s="190">
        <f t="shared" si="7"/>
        <v>0</v>
      </c>
      <c r="AI136" s="147"/>
      <c r="AJ136" s="147"/>
      <c r="AK136" s="147"/>
      <c r="AL136" s="190">
        <f t="shared" si="8"/>
        <v>0</v>
      </c>
      <c r="AM136" s="215"/>
      <c r="AN136" s="215"/>
      <c r="AO136" s="215"/>
      <c r="AR136" s="703" t="s">
        <v>1777</v>
      </c>
    </row>
    <row r="137" spans="1:48" ht="14.25" customHeight="1">
      <c r="E137" s="515">
        <v>15</v>
      </c>
      <c r="F137" s="3" t="str" cm="1">
        <f t="array" aca="1" ref="F137" ca="1">OFFSET(E137,-1,1)</f>
        <v>1</v>
      </c>
      <c r="I137" s="57" t="s">
        <v>1766</v>
      </c>
      <c r="J137" s="291" t="s">
        <v>1778</v>
      </c>
      <c r="L137" s="57"/>
      <c r="M137" s="57"/>
      <c r="N137" s="57"/>
      <c r="O137" s="57"/>
      <c r="P137" s="57"/>
      <c r="Q137" s="57"/>
      <c r="R137" s="57"/>
      <c r="S137" s="57"/>
      <c r="T137" s="365" t="b" cm="1">
        <f t="array" ref="T137">T136</f>
        <v>1</v>
      </c>
      <c r="X137" s="1123"/>
      <c r="Z137" s="1184"/>
      <c r="AB137" s="152" t="s">
        <v>1779</v>
      </c>
      <c r="AC137" s="153" t="s">
        <v>1780</v>
      </c>
      <c r="AD137" s="28" t="s">
        <v>804</v>
      </c>
      <c r="AE137" s="147"/>
      <c r="AF137" s="147"/>
      <c r="AG137" s="147"/>
      <c r="AH137" s="190">
        <f t="shared" si="7"/>
        <v>0</v>
      </c>
      <c r="AI137" s="147"/>
      <c r="AJ137" s="147"/>
      <c r="AK137" s="147"/>
      <c r="AL137" s="190">
        <f t="shared" si="8"/>
        <v>0</v>
      </c>
      <c r="AM137" s="215"/>
      <c r="AN137" s="215"/>
      <c r="AO137" s="215"/>
      <c r="AR137" s="703" t="s">
        <v>1781</v>
      </c>
    </row>
    <row r="138" spans="1:48" ht="14.25" customHeight="1">
      <c r="E138" s="515">
        <v>15</v>
      </c>
      <c r="F138" s="3" t="str" cm="1">
        <f t="array" aca="1" ref="F138" ca="1">OFFSET(E138,-1,1)</f>
        <v>1</v>
      </c>
      <c r="I138" s="57" t="s">
        <v>1766</v>
      </c>
      <c r="J138" s="291" t="s">
        <v>1782</v>
      </c>
      <c r="L138" s="57"/>
      <c r="M138" s="57"/>
      <c r="N138" s="57"/>
      <c r="O138" s="57"/>
      <c r="P138" s="57"/>
      <c r="Q138" s="57"/>
      <c r="R138" s="57"/>
      <c r="S138" s="57"/>
      <c r="T138" s="365" t="b" cm="1">
        <f t="array" ref="T138">T137</f>
        <v>1</v>
      </c>
      <c r="X138" s="1123"/>
      <c r="Z138" s="1184"/>
      <c r="AB138" s="152" t="s">
        <v>1783</v>
      </c>
      <c r="AC138" s="153" t="s">
        <v>1784</v>
      </c>
      <c r="AD138" s="28" t="s">
        <v>804</v>
      </c>
      <c r="AE138" s="147"/>
      <c r="AF138" s="147"/>
      <c r="AG138" s="147"/>
      <c r="AH138" s="190">
        <f t="shared" si="7"/>
        <v>0</v>
      </c>
      <c r="AI138" s="147"/>
      <c r="AJ138" s="147"/>
      <c r="AK138" s="147"/>
      <c r="AL138" s="190">
        <f t="shared" si="8"/>
        <v>0</v>
      </c>
      <c r="AM138" s="215"/>
      <c r="AN138" s="215"/>
      <c r="AO138" s="215"/>
      <c r="AR138" s="703" t="s">
        <v>1785</v>
      </c>
    </row>
    <row r="139" spans="1:48" ht="14.25" hidden="1" customHeight="1">
      <c r="E139" s="515">
        <v>15</v>
      </c>
      <c r="F139" s="3" t="str" cm="1">
        <f t="array" aca="1" ref="F139" ca="1">OFFSET(E139,-1,1)</f>
        <v>1</v>
      </c>
      <c r="I139" s="57" t="s">
        <v>1766</v>
      </c>
      <c r="J139" s="291" cm="1">
        <f t="array" ref="J139">AC139</f>
        <v>0</v>
      </c>
      <c r="L139" s="57"/>
      <c r="M139" s="57"/>
      <c r="N139" s="57"/>
      <c r="O139" s="57"/>
      <c r="P139" s="57"/>
      <c r="Q139" s="57"/>
      <c r="R139" s="57"/>
      <c r="S139" s="57"/>
      <c r="T139" s="365" t="b">
        <f ca="1">AND(F139&gt;0,Y139&gt;4)</f>
        <v>0</v>
      </c>
      <c r="W139" s="528" t="s">
        <v>173</v>
      </c>
      <c r="X139" s="1123"/>
      <c r="Y139" s="291">
        <v>4</v>
      </c>
      <c r="Z139" s="1184"/>
      <c r="AA139" s="493" t="s">
        <v>174</v>
      </c>
      <c r="AB139" s="511" t="str">
        <f>"1.7."&amp;Y139</f>
        <v>1.7.4</v>
      </c>
      <c r="AC139" s="789"/>
      <c r="AD139" s="28" t="s">
        <v>804</v>
      </c>
      <c r="AE139" s="787"/>
      <c r="AF139" s="787"/>
      <c r="AG139" s="787"/>
      <c r="AH139" s="190">
        <f t="shared" si="7"/>
        <v>0</v>
      </c>
      <c r="AI139" s="787"/>
      <c r="AJ139" s="787"/>
      <c r="AK139" s="787"/>
      <c r="AL139" s="190">
        <f t="shared" si="8"/>
        <v>0</v>
      </c>
      <c r="AM139" s="784"/>
      <c r="AN139" s="784"/>
      <c r="AO139" s="784"/>
      <c r="AR139" s="703" t="s">
        <v>1786</v>
      </c>
      <c r="AS139" s="703" t="s">
        <v>1142</v>
      </c>
      <c r="AT139" s="703" cm="1">
        <f t="array" ref="AT139">AC139</f>
        <v>0</v>
      </c>
      <c r="AV139" s="515" t="b">
        <v>1</v>
      </c>
    </row>
    <row r="140" spans="1:48" ht="14.25" customHeight="1">
      <c r="E140" s="515">
        <v>15</v>
      </c>
      <c r="F140" s="3" t="str" cm="1">
        <f t="array" aca="1" ref="F140" ca="1">OFFSET(E140,-1,1)</f>
        <v>1</v>
      </c>
      <c r="I140" s="36"/>
      <c r="J140" s="36" t="s">
        <v>1787</v>
      </c>
      <c r="K140" s="36"/>
      <c r="L140" s="36"/>
      <c r="M140" s="36"/>
      <c r="N140" s="36"/>
      <c r="O140" s="36"/>
      <c r="P140" s="36"/>
      <c r="Q140" s="36"/>
      <c r="R140" s="36"/>
      <c r="S140" s="36"/>
      <c r="T140" s="365" t="b">
        <f ca="1">F140&gt;0</f>
        <v>1</v>
      </c>
      <c r="W140" s="517" t="s">
        <v>392</v>
      </c>
      <c r="X140" s="1123"/>
      <c r="Z140" s="1184"/>
      <c r="AB140" s="556"/>
      <c r="AC140" s="191" t="s">
        <v>177</v>
      </c>
      <c r="AD140" s="557"/>
      <c r="AE140" s="557"/>
      <c r="AF140" s="557"/>
      <c r="AG140" s="557"/>
      <c r="AH140" s="557"/>
      <c r="AI140" s="557"/>
      <c r="AJ140" s="557"/>
      <c r="AK140" s="557"/>
      <c r="AL140" s="557"/>
      <c r="AM140" s="557"/>
      <c r="AN140" s="557"/>
      <c r="AO140" s="558"/>
      <c r="AU140" s="515" t="s">
        <v>1142</v>
      </c>
    </row>
    <row r="141" spans="1:48" s="948" customFormat="1" ht="14.25" customHeight="1">
      <c r="A141" s="434"/>
      <c r="B141" s="434"/>
      <c r="C141" s="434"/>
      <c r="D141" s="434"/>
      <c r="E141" s="516">
        <v>15</v>
      </c>
      <c r="F141" s="3" t="str" cm="1">
        <f t="array" aca="1" ref="F141" ca="1">OFFSET(E141,-1,1)</f>
        <v>1</v>
      </c>
      <c r="G141" s="434"/>
      <c r="H141" s="434"/>
      <c r="I141" s="173" t="s">
        <v>328</v>
      </c>
      <c r="J141" s="173"/>
      <c r="K141" s="173"/>
      <c r="L141" s="173"/>
      <c r="M141" s="173"/>
      <c r="N141" s="173"/>
      <c r="O141" s="173"/>
      <c r="P141" s="173"/>
      <c r="Q141" s="173"/>
      <c r="R141" s="173"/>
      <c r="S141" s="173"/>
      <c r="T141" s="365" t="b" cm="1">
        <f t="array" aca="1" ref="T141" ca="1">T140</f>
        <v>1</v>
      </c>
      <c r="U141" s="434"/>
      <c r="V141" s="434"/>
      <c r="W141" s="434"/>
      <c r="X141" s="1123"/>
      <c r="Y141" s="434"/>
      <c r="Z141" s="1184"/>
      <c r="AA141" s="434"/>
      <c r="AB141" s="150" t="s">
        <v>285</v>
      </c>
      <c r="AC141" s="151" t="s">
        <v>1788</v>
      </c>
      <c r="AD141" s="143" t="s">
        <v>804</v>
      </c>
      <c r="AE141" s="145">
        <f ca="1">AE142+AE143</f>
        <v>0</v>
      </c>
      <c r="AF141" s="145">
        <f ca="1">AF142+AF143</f>
        <v>0</v>
      </c>
      <c r="AG141" s="145">
        <f ca="1">AG142+AG143</f>
        <v>0</v>
      </c>
      <c r="AH141" s="145">
        <f t="shared" ref="AH141:AH166" ca="1" si="9">AG141-AF141</f>
        <v>0</v>
      </c>
      <c r="AI141" s="145">
        <f ca="1">AI142+AI143</f>
        <v>0</v>
      </c>
      <c r="AJ141" s="145">
        <f ca="1">AJ142+AJ143</f>
        <v>0</v>
      </c>
      <c r="AK141" s="145">
        <f ca="1">AK142+AK143</f>
        <v>0</v>
      </c>
      <c r="AL141" s="145">
        <f t="shared" ref="AL141:AL180" ca="1" si="10">IF(AI141=0,0,(AK141-AI141)/AI141*100)</f>
        <v>0</v>
      </c>
      <c r="AM141" s="566"/>
      <c r="AN141" s="566"/>
      <c r="AO141" s="566"/>
      <c r="AP141" s="434"/>
      <c r="AQ141" s="434"/>
      <c r="AR141" s="704" t="s">
        <v>1789</v>
      </c>
      <c r="AS141" s="704"/>
      <c r="AT141" s="704"/>
      <c r="AU141" s="516"/>
      <c r="AV141" s="516"/>
    </row>
    <row r="142" spans="1:48" ht="32.25" customHeight="1">
      <c r="E142" s="515">
        <v>33.75</v>
      </c>
      <c r="F142" s="3" t="str" cm="1">
        <f t="array" aca="1" ref="F142" ca="1">OFFSET(E142,-1,1)</f>
        <v>1</v>
      </c>
      <c r="I142" s="57" t="s">
        <v>479</v>
      </c>
      <c r="J142" s="57"/>
      <c r="K142" s="57"/>
      <c r="L142" s="57"/>
      <c r="M142" s="57"/>
      <c r="N142" s="57"/>
      <c r="O142" s="57"/>
      <c r="P142" s="57"/>
      <c r="Q142" s="57"/>
      <c r="R142" s="57"/>
      <c r="S142" s="57"/>
      <c r="T142" s="365" t="b" cm="1">
        <f t="array" aca="1" ref="T142" ca="1">T141</f>
        <v>1</v>
      </c>
      <c r="X142" s="1123"/>
      <c r="Z142" s="1184"/>
      <c r="AB142" s="152" t="s">
        <v>537</v>
      </c>
      <c r="AC142" s="146" t="s">
        <v>1790</v>
      </c>
      <c r="AD142" s="26" t="s">
        <v>804</v>
      </c>
      <c r="AE142" s="147"/>
      <c r="AF142" s="147"/>
      <c r="AG142" s="147"/>
      <c r="AH142" s="190">
        <f t="shared" si="9"/>
        <v>0</v>
      </c>
      <c r="AI142" s="147"/>
      <c r="AJ142" s="147"/>
      <c r="AK142" s="147"/>
      <c r="AL142" s="190">
        <f t="shared" si="10"/>
        <v>0</v>
      </c>
      <c r="AM142" s="215"/>
      <c r="AN142" s="215"/>
      <c r="AO142" s="215"/>
      <c r="AR142" s="703" t="s">
        <v>1791</v>
      </c>
    </row>
    <row r="143" spans="1:48" ht="34.5" customHeight="1">
      <c r="E143" s="515">
        <v>36</v>
      </c>
      <c r="F143" s="3" t="str" cm="1">
        <f t="array" aca="1" ref="F143" ca="1">OFFSET(E143,-1,1)</f>
        <v>1</v>
      </c>
      <c r="I143" s="57" t="s">
        <v>482</v>
      </c>
      <c r="J143" s="57"/>
      <c r="K143" s="57"/>
      <c r="L143" s="57"/>
      <c r="M143" s="57"/>
      <c r="N143" s="57"/>
      <c r="O143" s="57"/>
      <c r="P143" s="57"/>
      <c r="Q143" s="57"/>
      <c r="R143" s="57"/>
      <c r="S143" s="57"/>
      <c r="T143" s="365" t="b" cm="1">
        <f t="array" aca="1" ref="T143" ca="1">T142</f>
        <v>1</v>
      </c>
      <c r="X143" s="1123"/>
      <c r="Z143" s="1184"/>
      <c r="AB143" s="152" t="s">
        <v>541</v>
      </c>
      <c r="AC143" s="146" t="s">
        <v>1792</v>
      </c>
      <c r="AD143" s="26" t="s">
        <v>804</v>
      </c>
      <c r="AE143" s="190">
        <f ca="1">AE144+AE145</f>
        <v>0</v>
      </c>
      <c r="AF143" s="190">
        <f ca="1">AF144+AF145</f>
        <v>0</v>
      </c>
      <c r="AG143" s="190">
        <f ca="1">AG144+AG145</f>
        <v>0</v>
      </c>
      <c r="AH143" s="190">
        <f t="shared" ca="1" si="9"/>
        <v>0</v>
      </c>
      <c r="AI143" s="190">
        <f ca="1">AI144+AI145</f>
        <v>0</v>
      </c>
      <c r="AJ143" s="190">
        <f ca="1">AJ144+AJ145</f>
        <v>0</v>
      </c>
      <c r="AK143" s="190">
        <f ca="1">AK144+AK145</f>
        <v>0</v>
      </c>
      <c r="AL143" s="190">
        <f t="shared" ca="1" si="10"/>
        <v>0</v>
      </c>
      <c r="AM143" s="215"/>
      <c r="AN143" s="215"/>
      <c r="AO143" s="215"/>
      <c r="AR143" s="703" t="s">
        <v>1793</v>
      </c>
    </row>
    <row r="144" spans="1:48" ht="14.25" customHeight="1">
      <c r="E144" s="515">
        <v>15</v>
      </c>
      <c r="F144" s="3" t="str" cm="1">
        <f t="array" aca="1" ref="F144" ca="1">OFFSET(E144,-1,1)</f>
        <v>1</v>
      </c>
      <c r="G144" s="291" t="s">
        <v>1171</v>
      </c>
      <c r="I144" s="57" t="s">
        <v>1794</v>
      </c>
      <c r="J144" s="57"/>
      <c r="K144" s="57"/>
      <c r="L144" s="57"/>
      <c r="M144" s="57"/>
      <c r="N144" s="57"/>
      <c r="O144" s="57"/>
      <c r="P144" s="57"/>
      <c r="Q144" s="57"/>
      <c r="R144" s="57"/>
      <c r="S144" s="57"/>
      <c r="T144" s="365" t="b" cm="1">
        <f t="array" aca="1" ref="T144" ca="1">T143</f>
        <v>1</v>
      </c>
      <c r="X144" s="1123"/>
      <c r="Z144" s="1184"/>
      <c r="AB144" s="152" t="s">
        <v>493</v>
      </c>
      <c r="AC144" s="153" t="s">
        <v>1795</v>
      </c>
      <c r="AD144" s="26" t="s">
        <v>804</v>
      </c>
      <c r="AE144" s="190">
        <f ca="1">SUMIFS(ФОТ!AE$25:AE$102,ФОТ!$F$25:$F$102,$F144,ФОТ!$G$25:$G$102,$G144)</f>
        <v>0</v>
      </c>
      <c r="AF144" s="190">
        <f ca="1">SUMIFS(ФОТ!AF$25:AF$102,ФОТ!$F$25:$F$102,$F144,ФОТ!$G$25:$G$102,$G144)</f>
        <v>0</v>
      </c>
      <c r="AG144" s="190">
        <f ca="1">SUMIFS(ФОТ!AG$25:AG$102,ФОТ!$F$25:$F$102,$F144,ФОТ!$G$25:$G$102,$G144)</f>
        <v>0</v>
      </c>
      <c r="AH144" s="190">
        <f t="shared" ca="1" si="9"/>
        <v>0</v>
      </c>
      <c r="AI144" s="190">
        <f ca="1">SUMIFS(ФОТ!AH$25:AH$102,ФОТ!$F$25:$F$102,$F144,ФОТ!$G$25:$G$102,$G144)</f>
        <v>0</v>
      </c>
      <c r="AJ144" s="190">
        <f ca="1">SUMIFS(ФОТ!AI$25:AI$102,ФОТ!$F$25:$F$102,$F144,ФОТ!$G$25:$G$102,$G144)</f>
        <v>0</v>
      </c>
      <c r="AK144" s="190">
        <f ca="1">SUMIFS(ФОТ!AJ$25:AJ$102,ФОТ!$F$25:$F$102,$F144,ФОТ!$G$25:$G$102,$G144)</f>
        <v>0</v>
      </c>
      <c r="AL144" s="190">
        <f t="shared" ca="1" si="10"/>
        <v>0</v>
      </c>
      <c r="AM144" s="215"/>
      <c r="AN144" s="610" t="str">
        <f ca="1">IF(IFERROR(INDEX(ФОТ!$K$26:$L$102,MATCH($F144&amp;"3komm",ФОТ!$K$26:$K$102,0),2),"")=0,"",IFERROR(INDEX(ФОТ!$K$26:$L$102,MATCH($F144&amp;"3komm",ФОТ!$K$26:$K$102,0),2),""))</f>
        <v/>
      </c>
      <c r="AO144" s="215"/>
      <c r="AR144" s="703" t="s">
        <v>1796</v>
      </c>
    </row>
    <row r="145" spans="1:48" ht="21.75" customHeight="1">
      <c r="E145" s="515">
        <v>22.5</v>
      </c>
      <c r="F145" s="3" t="str" cm="1">
        <f t="array" aca="1" ref="F145" ca="1">OFFSET(E145,-1,1)</f>
        <v>1</v>
      </c>
      <c r="G145" s="291" t="s">
        <v>1176</v>
      </c>
      <c r="I145" s="57" t="s">
        <v>1797</v>
      </c>
      <c r="J145" s="57"/>
      <c r="K145" s="57"/>
      <c r="L145" s="57"/>
      <c r="M145" s="57"/>
      <c r="N145" s="57"/>
      <c r="O145" s="57"/>
      <c r="P145" s="57"/>
      <c r="Q145" s="57"/>
      <c r="R145" s="57"/>
      <c r="S145" s="57"/>
      <c r="T145" s="365" t="b" cm="1">
        <f t="array" aca="1" ref="T145" ca="1">T144</f>
        <v>1</v>
      </c>
      <c r="X145" s="1123"/>
      <c r="Z145" s="1184"/>
      <c r="AB145" s="152" t="s">
        <v>1438</v>
      </c>
      <c r="AC145" s="153" t="s">
        <v>1798</v>
      </c>
      <c r="AD145" s="26" t="s">
        <v>804</v>
      </c>
      <c r="AE145" s="190">
        <f ca="1">SUMIFS(ФОТ!AE$25:AE$102,ФОТ!$F$25:$F$102,$F145,ФОТ!$G$25:$G$102,$G145)</f>
        <v>0</v>
      </c>
      <c r="AF145" s="190">
        <f ca="1">SUMIFS(ФОТ!AF$25:AF$102,ФОТ!$F$25:$F$102,$F145,ФОТ!$G$25:$G$102,$G145)</f>
        <v>0</v>
      </c>
      <c r="AG145" s="190">
        <f ca="1">SUMIFS(ФОТ!AG$25:AG$102,ФОТ!$F$25:$F$102,$F145,ФОТ!$G$25:$G$102,$G145)</f>
        <v>0</v>
      </c>
      <c r="AH145" s="190">
        <f t="shared" ca="1" si="9"/>
        <v>0</v>
      </c>
      <c r="AI145" s="190">
        <f ca="1">SUMIFS(ФОТ!AH$25:AH$102,ФОТ!$F$25:$F$102,$F145,ФОТ!$G$25:$G$102,$G145)</f>
        <v>0</v>
      </c>
      <c r="AJ145" s="190">
        <f ca="1">SUMIFS(ФОТ!AI$25:AI$102,ФОТ!$F$25:$F$102,$F145,ФОТ!$G$25:$G$102,$G145)</f>
        <v>0</v>
      </c>
      <c r="AK145" s="190">
        <f ca="1">SUMIFS(ФОТ!AJ$25:AJ$102,ФОТ!$F$25:$F$102,$F145,ФОТ!$G$25:$G$102,$G145)</f>
        <v>0</v>
      </c>
      <c r="AL145" s="190">
        <f t="shared" ca="1" si="10"/>
        <v>0</v>
      </c>
      <c r="AM145" s="215"/>
      <c r="AN145" s="610" t="str">
        <f ca="1">IF(IFERROR(INDEX(ФОТ!$K$26:$L$102,MATCH($F145&amp;"4komm",ФОТ!$K$26:$K$102,0),2),"")=0,"",IFERROR(INDEX(ФОТ!$K$26:$L$102,MATCH($F145&amp;"4komm",ФОТ!$K$26:$K$102,0),2),""))</f>
        <v/>
      </c>
      <c r="AO145" s="215"/>
      <c r="AR145" s="703" t="s">
        <v>1799</v>
      </c>
    </row>
    <row r="146" spans="1:48" s="948" customFormat="1" ht="14.25" customHeight="1">
      <c r="A146" s="434"/>
      <c r="B146" s="434"/>
      <c r="C146" s="434"/>
      <c r="D146" s="434"/>
      <c r="E146" s="516">
        <v>15</v>
      </c>
      <c r="F146" s="3" t="str" cm="1">
        <f t="array" aca="1" ref="F146" ca="1">OFFSET(E146,-1,1)</f>
        <v>1</v>
      </c>
      <c r="G146" s="434"/>
      <c r="H146" s="434"/>
      <c r="I146" s="173" t="s">
        <v>329</v>
      </c>
      <c r="J146" s="173"/>
      <c r="K146" s="173"/>
      <c r="L146" s="173"/>
      <c r="M146" s="173"/>
      <c r="N146" s="173"/>
      <c r="O146" s="173"/>
      <c r="P146" s="173"/>
      <c r="Q146" s="173"/>
      <c r="R146" s="173"/>
      <c r="S146" s="173"/>
      <c r="T146" s="365" t="b" cm="1">
        <f t="array" aca="1" ref="T146" ca="1">T145</f>
        <v>1</v>
      </c>
      <c r="U146" s="434"/>
      <c r="V146" s="434"/>
      <c r="W146" s="434"/>
      <c r="X146" s="1123"/>
      <c r="Y146" s="434"/>
      <c r="Z146" s="1184"/>
      <c r="AA146" s="434"/>
      <c r="AB146" s="150" t="s">
        <v>325</v>
      </c>
      <c r="AC146" s="151" t="s">
        <v>1800</v>
      </c>
      <c r="AD146" s="143" t="s">
        <v>804</v>
      </c>
      <c r="AE146" s="145">
        <f ca="1">AE147+AE148+AE151+AE152+AE153+AE154+AE155</f>
        <v>0</v>
      </c>
      <c r="AF146" s="145">
        <f ca="1">AF147+AF148+AF151+AF152+AF153+AF154+AF155</f>
        <v>0</v>
      </c>
      <c r="AG146" s="145">
        <f ca="1">AG147+AG148+AG151+AG152+AG153+AG154+AG155</f>
        <v>0</v>
      </c>
      <c r="AH146" s="145">
        <f t="shared" ca="1" si="9"/>
        <v>0</v>
      </c>
      <c r="AI146" s="145">
        <f ca="1">AI147+AI148+AI151+AI152+AI153+AI154+AI155</f>
        <v>0</v>
      </c>
      <c r="AJ146" s="145">
        <f ca="1">AJ147+AJ148+AJ151+AJ152+AJ153+AJ154+AJ155</f>
        <v>0</v>
      </c>
      <c r="AK146" s="145">
        <f ca="1">AK147+AK148+AK151+AK152+AK153+AK154+AK155</f>
        <v>0</v>
      </c>
      <c r="AL146" s="145">
        <f t="shared" ca="1" si="10"/>
        <v>0</v>
      </c>
      <c r="AM146" s="566"/>
      <c r="AN146" s="566"/>
      <c r="AO146" s="566"/>
      <c r="AP146" s="434"/>
      <c r="AQ146" s="434"/>
      <c r="AR146" s="704" t="s">
        <v>1801</v>
      </c>
      <c r="AS146" s="704"/>
      <c r="AT146" s="704"/>
      <c r="AU146" s="516"/>
      <c r="AV146" s="516"/>
    </row>
    <row r="147" spans="1:48" ht="21.75" customHeight="1">
      <c r="E147" s="515">
        <v>22.5</v>
      </c>
      <c r="F147" s="3" t="str" cm="1">
        <f t="array" aca="1" ref="F147" ca="1">OFFSET(E147,-1,1)</f>
        <v>1</v>
      </c>
      <c r="G147" s="291" t="s">
        <v>1197</v>
      </c>
      <c r="I147" s="57" t="s">
        <v>927</v>
      </c>
      <c r="J147" s="57"/>
      <c r="K147" s="57"/>
      <c r="L147" s="57"/>
      <c r="M147" s="57"/>
      <c r="N147" s="57"/>
      <c r="O147" s="57"/>
      <c r="P147" s="57"/>
      <c r="Q147" s="57"/>
      <c r="R147" s="57"/>
      <c r="S147" s="57"/>
      <c r="T147" s="365" t="b" cm="1">
        <f t="array" aca="1" ref="T147" ca="1">T146</f>
        <v>1</v>
      </c>
      <c r="X147" s="1123"/>
      <c r="Z147" s="1184"/>
      <c r="AB147" s="152" t="s">
        <v>551</v>
      </c>
      <c r="AC147" s="146" t="s">
        <v>1802</v>
      </c>
      <c r="AD147" s="26" t="s">
        <v>804</v>
      </c>
      <c r="AE147" s="190">
        <f ca="1">SUMIFS(Административные!AE$25:AE$84,Административные!$F$25:$F$84,$F147,Административные!$G$25:$G$84,$G147)</f>
        <v>0</v>
      </c>
      <c r="AF147" s="190">
        <f ca="1">SUMIFS(Административные!AF$25:AF$84,Административные!$F$25:$F$84,$F147,Административные!$G$25:$G$84,$G147)</f>
        <v>0</v>
      </c>
      <c r="AG147" s="190">
        <f ca="1">SUMIFS(Административные!AG$25:AG$84,Административные!$F$25:$F$84,$F147,Административные!$G$25:$G$84,$G147)</f>
        <v>0</v>
      </c>
      <c r="AH147" s="190">
        <f t="shared" ca="1" si="9"/>
        <v>0</v>
      </c>
      <c r="AI147" s="190">
        <f ca="1">SUMIFS(Административные!AH$25:AH$84,Административные!$F$25:$F$84,$F147,Административные!$G$25:$G$84,$G147)</f>
        <v>0</v>
      </c>
      <c r="AJ147" s="190">
        <f ca="1">SUMIFS(Административные!AI$25:AI$84,Административные!$F$25:$F$84,$F147,Административные!$G$25:$G$84,$G147)</f>
        <v>0</v>
      </c>
      <c r="AK147" s="190">
        <f ca="1">SUMIFS(Административные!AJ$25:AJ$84,Административные!$F$25:$F$84,$F147,Административные!$G$25:$G$84,$G147)</f>
        <v>0</v>
      </c>
      <c r="AL147" s="190">
        <f t="shared" ca="1" si="10"/>
        <v>0</v>
      </c>
      <c r="AM147" s="215"/>
      <c r="AN147" s="610" t="str">
        <f ca="1">IF(IFERROR(INDEX(Административные!$K$26:$L$84,MATCH($F147&amp;"17komm",Административные!$K$26:$K$84,0),2),"")=0,"",IFERROR(INDEX(Административные!$K$26:$L$84,MATCH($F147&amp;"17komm",Административные!$K$26:$K$84,0),2),""))</f>
        <v/>
      </c>
      <c r="AO147" s="215"/>
      <c r="AR147" s="703" t="s">
        <v>1199</v>
      </c>
    </row>
    <row r="148" spans="1:48" ht="32.25" customHeight="1">
      <c r="E148" s="515">
        <v>33.75</v>
      </c>
      <c r="F148" s="3" t="str" cm="1">
        <f t="array" aca="1" ref="F148" ca="1">OFFSET(E148,-1,1)</f>
        <v>1</v>
      </c>
      <c r="I148" s="57" t="s">
        <v>929</v>
      </c>
      <c r="J148" s="57"/>
      <c r="K148" s="57"/>
      <c r="L148" s="57"/>
      <c r="M148" s="57"/>
      <c r="N148" s="57"/>
      <c r="O148" s="57"/>
      <c r="P148" s="57"/>
      <c r="Q148" s="57"/>
      <c r="R148" s="57"/>
      <c r="S148" s="57"/>
      <c r="T148" s="365" t="b" cm="1">
        <f t="array" aca="1" ref="T148" ca="1">T147</f>
        <v>1</v>
      </c>
      <c r="X148" s="1123"/>
      <c r="Z148" s="1184"/>
      <c r="AB148" s="152" t="s">
        <v>555</v>
      </c>
      <c r="AC148" s="146" t="s">
        <v>1803</v>
      </c>
      <c r="AD148" s="26" t="s">
        <v>804</v>
      </c>
      <c r="AE148" s="190">
        <f ca="1">AE149+AE150</f>
        <v>0</v>
      </c>
      <c r="AF148" s="190">
        <f ca="1">AF149+AF150</f>
        <v>0</v>
      </c>
      <c r="AG148" s="190">
        <f ca="1">AG149+AG150</f>
        <v>0</v>
      </c>
      <c r="AH148" s="190">
        <f t="shared" ca="1" si="9"/>
        <v>0</v>
      </c>
      <c r="AI148" s="190">
        <f ca="1">AI149+AI150</f>
        <v>0</v>
      </c>
      <c r="AJ148" s="190">
        <f ca="1">AJ149+AJ150</f>
        <v>0</v>
      </c>
      <c r="AK148" s="190">
        <f ca="1">AK149+AK150</f>
        <v>0</v>
      </c>
      <c r="AL148" s="190">
        <f t="shared" ca="1" si="10"/>
        <v>0</v>
      </c>
      <c r="AM148" s="215"/>
      <c r="AN148" s="215"/>
      <c r="AO148" s="215"/>
      <c r="AR148" s="703" t="s">
        <v>1804</v>
      </c>
    </row>
    <row r="149" spans="1:48" ht="21.75" customHeight="1">
      <c r="E149" s="515">
        <v>22.5</v>
      </c>
      <c r="F149" s="3" t="str" cm="1">
        <f t="array" aca="1" ref="F149" ca="1">OFFSET(E149,-1,1)</f>
        <v>1</v>
      </c>
      <c r="G149" s="388" t="s">
        <v>1179</v>
      </c>
      <c r="I149" s="57" t="s">
        <v>497</v>
      </c>
      <c r="J149" s="57"/>
      <c r="K149" s="57"/>
      <c r="L149" s="57"/>
      <c r="M149" s="57"/>
      <c r="N149" s="57"/>
      <c r="O149" s="57"/>
      <c r="P149" s="57"/>
      <c r="Q149" s="57"/>
      <c r="R149" s="57"/>
      <c r="S149" s="57"/>
      <c r="T149" s="365" t="b" cm="1">
        <f t="array" aca="1" ref="T149" ca="1">T148</f>
        <v>1</v>
      </c>
      <c r="X149" s="1123"/>
      <c r="Z149" s="1184"/>
      <c r="AB149" s="152" t="s">
        <v>765</v>
      </c>
      <c r="AC149" s="153" t="s">
        <v>1805</v>
      </c>
      <c r="AD149" s="26" t="s">
        <v>804</v>
      </c>
      <c r="AE149" s="190">
        <f ca="1">SUMIFS(ФОТ!AE$25:AE$102,ФОТ!$F$25:$F$102,$F149,ФОТ!$G$25:$G$102,$G149)</f>
        <v>0</v>
      </c>
      <c r="AF149" s="190">
        <f ca="1">SUMIFS(ФОТ!AF$25:AF$102,ФОТ!$F$25:$F$102,$F149,ФОТ!$G$25:$G$102,$G149)</f>
        <v>0</v>
      </c>
      <c r="AG149" s="190">
        <f ca="1">SUMIFS(ФОТ!AG$25:AG$102,ФОТ!$F$25:$F$102,$F149,ФОТ!$G$25:$G$102,$G149)</f>
        <v>0</v>
      </c>
      <c r="AH149" s="190">
        <f t="shared" ca="1" si="9"/>
        <v>0</v>
      </c>
      <c r="AI149" s="190">
        <f ca="1">SUMIFS(ФОТ!AH$25:AH$102,ФОТ!$F$25:$F$102,$F149,ФОТ!$G$25:$G$102,$G149)</f>
        <v>0</v>
      </c>
      <c r="AJ149" s="190">
        <f ca="1">SUMIFS(ФОТ!AI$25:AI$102,ФОТ!$F$25:$F$102,$F149,ФОТ!$G$25:$G$102,$G149)</f>
        <v>0</v>
      </c>
      <c r="AK149" s="190">
        <f ca="1">SUMIFS(ФОТ!AJ$25:AJ$102,ФОТ!$F$25:$F$102,$F149,ФОТ!$G$25:$G$102,$G149)</f>
        <v>0</v>
      </c>
      <c r="AL149" s="190">
        <f t="shared" ca="1" si="10"/>
        <v>0</v>
      </c>
      <c r="AM149" s="215"/>
      <c r="AN149" s="610" t="str">
        <f ca="1">IF(IFERROR(INDEX(ФОТ!$K$26:$L$102,MATCH($F149&amp;"5komm",ФОТ!$K$26:$K$102,0),2),"")=0,"",IFERROR(INDEX(ФОТ!$K$26:$L$102,MATCH($F149&amp;"5komm",ФОТ!$K$26:$K$102,0),2),""))</f>
        <v/>
      </c>
      <c r="AO149" s="215"/>
      <c r="AR149" s="703" t="s">
        <v>1196</v>
      </c>
    </row>
    <row r="150" spans="1:48" ht="32.25" customHeight="1">
      <c r="E150" s="515">
        <v>33.75</v>
      </c>
      <c r="F150" s="3" t="str" cm="1">
        <f t="array" aca="1" ref="F150" ca="1">OFFSET(E150,-1,1)</f>
        <v>1</v>
      </c>
      <c r="G150" s="388" t="s">
        <v>1184</v>
      </c>
      <c r="I150" s="57" t="s">
        <v>502</v>
      </c>
      <c r="J150" s="57"/>
      <c r="K150" s="57"/>
      <c r="L150" s="57"/>
      <c r="M150" s="57"/>
      <c r="N150" s="57"/>
      <c r="O150" s="57"/>
      <c r="P150" s="57"/>
      <c r="Q150" s="57"/>
      <c r="R150" s="57"/>
      <c r="S150" s="57"/>
      <c r="T150" s="365" t="b" cm="1">
        <f t="array" aca="1" ref="T150" ca="1">T149</f>
        <v>1</v>
      </c>
      <c r="X150" s="1123"/>
      <c r="Z150" s="1184"/>
      <c r="AB150" s="152" t="s">
        <v>768</v>
      </c>
      <c r="AC150" s="153" t="s">
        <v>1806</v>
      </c>
      <c r="AD150" s="26" t="s">
        <v>804</v>
      </c>
      <c r="AE150" s="190">
        <f ca="1">SUMIFS(ФОТ!AE$25:AE$102,ФОТ!$F$25:$F$102,$F150,ФОТ!$G$25:$G$102,$G150)</f>
        <v>0</v>
      </c>
      <c r="AF150" s="190">
        <f ca="1">SUMIFS(ФОТ!AF$25:AF$102,ФОТ!$F$25:$F$102,$F150,ФОТ!$G$25:$G$102,$G150)</f>
        <v>0</v>
      </c>
      <c r="AG150" s="190">
        <f ca="1">SUMIFS(ФОТ!AG$25:AG$102,ФОТ!$F$25:$F$102,$F150,ФОТ!$G$25:$G$102,$G150)</f>
        <v>0</v>
      </c>
      <c r="AH150" s="190">
        <f t="shared" ca="1" si="9"/>
        <v>0</v>
      </c>
      <c r="AI150" s="190">
        <f ca="1">SUMIFS(ФОТ!AH$25:AH$102,ФОТ!$F$25:$F$102,$F150,ФОТ!$G$25:$G$102,$G150)</f>
        <v>0</v>
      </c>
      <c r="AJ150" s="190">
        <f ca="1">SUMIFS(ФОТ!AI$25:AI$102,ФОТ!$F$25:$F$102,$F150,ФОТ!$G$25:$G$102,$G150)</f>
        <v>0</v>
      </c>
      <c r="AK150" s="190">
        <f ca="1">SUMIFS(ФОТ!AJ$25:AJ$102,ФОТ!$F$25:$F$102,$F150,ФОТ!$G$25:$G$102,$G150)</f>
        <v>0</v>
      </c>
      <c r="AL150" s="190">
        <f t="shared" ca="1" si="10"/>
        <v>0</v>
      </c>
      <c r="AM150" s="215"/>
      <c r="AN150" s="610" t="str">
        <f ca="1">IF(IFERROR(INDEX(ФОТ!$K$26:$L$102,MATCH($F150&amp;"6komm",ФОТ!$K$26:$K$102,0),2),"")=0,"",IFERROR(INDEX(ФОТ!$K$26:$L$102,MATCH($F150&amp;"6komm",ФОТ!$K$26:$K$102,0),2),""))</f>
        <v/>
      </c>
      <c r="AO150" s="215"/>
      <c r="AR150" s="703" t="s">
        <v>1807</v>
      </c>
    </row>
    <row r="151" spans="1:48" ht="32.25" customHeight="1">
      <c r="E151" s="515">
        <v>33.75</v>
      </c>
      <c r="F151" s="3" t="str" cm="1">
        <f t="array" aca="1" ref="F151" ca="1">OFFSET(E151,-1,1)</f>
        <v>1</v>
      </c>
      <c r="G151" s="291" t="s">
        <v>1225</v>
      </c>
      <c r="I151" s="57" t="s">
        <v>931</v>
      </c>
      <c r="J151" s="57"/>
      <c r="K151" s="57"/>
      <c r="L151" s="57"/>
      <c r="M151" s="57"/>
      <c r="N151" s="57"/>
      <c r="O151" s="57"/>
      <c r="P151" s="57"/>
      <c r="Q151" s="57"/>
      <c r="R151" s="57"/>
      <c r="S151" s="57"/>
      <c r="T151" s="365" t="b" cm="1">
        <f t="array" aca="1" ref="T151" ca="1">T150</f>
        <v>1</v>
      </c>
      <c r="X151" s="1123"/>
      <c r="Z151" s="1184"/>
      <c r="AB151" s="152" t="s">
        <v>771</v>
      </c>
      <c r="AC151" s="146" t="s">
        <v>1808</v>
      </c>
      <c r="AD151" s="26" t="s">
        <v>804</v>
      </c>
      <c r="AE151" s="190">
        <f ca="1">SUMIFS(Административные!AE$25:AE$84,Административные!$F$25:$F$84,$F151,Административные!$G$25:$G$84,$G151)</f>
        <v>0</v>
      </c>
      <c r="AF151" s="190">
        <f ca="1">SUMIFS(Административные!AF$25:AF$84,Административные!$F$25:$F$84,$F151,Административные!$G$25:$G$84,$G151)</f>
        <v>0</v>
      </c>
      <c r="AG151" s="190">
        <f ca="1">SUMIFS(Административные!AG$25:AG$84,Административные!$F$25:$F$84,$F151,Административные!$G$25:$G$84,$G151)</f>
        <v>0</v>
      </c>
      <c r="AH151" s="190">
        <f t="shared" ca="1" si="9"/>
        <v>0</v>
      </c>
      <c r="AI151" s="190">
        <f ca="1">SUMIFS(Административные!AH$25:AH$84,Административные!$F$25:$F$84,$F151,Административные!$G$25:$G$84,$G151)</f>
        <v>0</v>
      </c>
      <c r="AJ151" s="190">
        <f ca="1">SUMIFS(Административные!AI$25:AI$84,Административные!$F$25:$F$84,$F151,Административные!$G$25:$G$84,$G151)</f>
        <v>0</v>
      </c>
      <c r="AK151" s="190">
        <f ca="1">SUMIFS(Административные!AJ$25:AJ$84,Административные!$F$25:$F$84,$F151,Административные!$G$25:$G$84,$G151)</f>
        <v>0</v>
      </c>
      <c r="AL151" s="190">
        <f t="shared" ca="1" si="10"/>
        <v>0</v>
      </c>
      <c r="AM151" s="215"/>
      <c r="AN151" s="610" t="str">
        <f ca="1">IF(IFERROR(INDEX(Административные!$K$26:$L$84,MATCH($F151&amp;"2komm",Административные!$K$26:$K$84,0),2),"")=0,"",IFERROR(INDEX(Административные!$K$26:$L$84,MATCH($F151&amp;"2komm",Административные!$K$26:$K$84,0),2),""))</f>
        <v/>
      </c>
      <c r="AO151" s="215"/>
      <c r="AR151" s="703" t="s">
        <v>1227</v>
      </c>
    </row>
    <row r="152" spans="1:48" ht="14.25" customHeight="1">
      <c r="E152" s="515">
        <v>15</v>
      </c>
      <c r="F152" s="3" t="str" cm="1">
        <f t="array" aca="1" ref="F152" ca="1">OFFSET(E152,-1,1)</f>
        <v>1</v>
      </c>
      <c r="G152" s="291" t="s">
        <v>1228</v>
      </c>
      <c r="I152" s="57" t="s">
        <v>933</v>
      </c>
      <c r="J152" s="57"/>
      <c r="K152" s="57"/>
      <c r="L152" s="57"/>
      <c r="M152" s="57"/>
      <c r="N152" s="57"/>
      <c r="O152" s="57"/>
      <c r="P152" s="57"/>
      <c r="Q152" s="57"/>
      <c r="R152" s="57"/>
      <c r="S152" s="57"/>
      <c r="T152" s="365" t="b" cm="1">
        <f t="array" aca="1" ref="T152" ca="1">T151</f>
        <v>1</v>
      </c>
      <c r="X152" s="1123"/>
      <c r="Z152" s="1184"/>
      <c r="AB152" s="152" t="s">
        <v>934</v>
      </c>
      <c r="AC152" s="146" t="s">
        <v>1229</v>
      </c>
      <c r="AD152" s="26" t="s">
        <v>804</v>
      </c>
      <c r="AE152" s="190">
        <f ca="1">SUMIFS(Административные!AE$25:AE$84,Административные!$F$25:$F$84,$F152,Административные!$G$25:$G$84,$G152)</f>
        <v>0</v>
      </c>
      <c r="AF152" s="190">
        <f ca="1">SUMIFS(Административные!AF$25:AF$84,Административные!$F$25:$F$84,$F152,Административные!$G$25:$G$84,$G152)</f>
        <v>0</v>
      </c>
      <c r="AG152" s="190">
        <f ca="1">SUMIFS(Административные!AG$25:AG$84,Административные!$F$25:$F$84,$F152,Административные!$G$25:$G$84,$G152)</f>
        <v>0</v>
      </c>
      <c r="AH152" s="190">
        <f t="shared" ca="1" si="9"/>
        <v>0</v>
      </c>
      <c r="AI152" s="190">
        <f ca="1">SUMIFS(Административные!AH$25:AH$84,Административные!$F$25:$F$84,$F152,Административные!$G$25:$G$84,$G152)</f>
        <v>0</v>
      </c>
      <c r="AJ152" s="190">
        <f ca="1">SUMIFS(Административные!AI$25:AI$84,Административные!$F$25:$F$84,$F152,Административные!$G$25:$G$84,$G152)</f>
        <v>0</v>
      </c>
      <c r="AK152" s="190">
        <f ca="1">SUMIFS(Административные!AJ$25:AJ$84,Административные!$F$25:$F$84,$F152,Административные!$G$25:$G$84,$G152)</f>
        <v>0</v>
      </c>
      <c r="AL152" s="190">
        <f t="shared" ca="1" si="10"/>
        <v>0</v>
      </c>
      <c r="AM152" s="215"/>
      <c r="AN152" s="610" t="str">
        <f ca="1">IF(IFERROR(INDEX(Административные!$K$26:$L$84,MATCH($F152&amp;"3komm",Административные!$K$26:$K$84,0),2),"")=0,"",IFERROR(INDEX(Административные!$K$26:$L$84,MATCH($F152&amp;"3komm",Административные!$K$26:$K$84,0),2),""))</f>
        <v/>
      </c>
      <c r="AO152" s="215"/>
      <c r="AR152" s="703" t="s">
        <v>1230</v>
      </c>
    </row>
    <row r="153" spans="1:48" ht="14.25" customHeight="1">
      <c r="E153" s="515">
        <v>15</v>
      </c>
      <c r="F153" s="3" t="str" cm="1">
        <f t="array" aca="1" ref="F153" ca="1">OFFSET(E153,-1,1)</f>
        <v>1</v>
      </c>
      <c r="G153" s="291" t="s">
        <v>1231</v>
      </c>
      <c r="I153" s="57" t="s">
        <v>936</v>
      </c>
      <c r="J153" s="57"/>
      <c r="K153" s="57"/>
      <c r="L153" s="57"/>
      <c r="M153" s="57"/>
      <c r="N153" s="57"/>
      <c r="O153" s="57"/>
      <c r="P153" s="57"/>
      <c r="Q153" s="57"/>
      <c r="R153" s="57"/>
      <c r="S153" s="57"/>
      <c r="T153" s="365" t="b" cm="1">
        <f t="array" aca="1" ref="T153" ca="1">T152</f>
        <v>1</v>
      </c>
      <c r="X153" s="1123"/>
      <c r="Z153" s="1184"/>
      <c r="AB153" s="152" t="s">
        <v>937</v>
      </c>
      <c r="AC153" s="146" t="s">
        <v>1232</v>
      </c>
      <c r="AD153" s="26" t="s">
        <v>804</v>
      </c>
      <c r="AE153" s="190">
        <f ca="1">SUMIFS(Административные!AE$25:AE$84,Административные!$F$25:$F$84,$F153,Административные!$G$25:$G$84,$G153)</f>
        <v>0</v>
      </c>
      <c r="AF153" s="190">
        <f ca="1">SUMIFS(Административные!AF$25:AF$84,Административные!$F$25:$F$84,$F153,Административные!$G$25:$G$84,$G153)</f>
        <v>0</v>
      </c>
      <c r="AG153" s="190">
        <f ca="1">SUMIFS(Административные!AG$25:AG$84,Административные!$F$25:$F$84,$F153,Административные!$G$25:$G$84,$G153)</f>
        <v>0</v>
      </c>
      <c r="AH153" s="190">
        <f t="shared" ca="1" si="9"/>
        <v>0</v>
      </c>
      <c r="AI153" s="190">
        <f ca="1">SUMIFS(Административные!AH$25:AH$84,Административные!$F$25:$F$84,$F153,Административные!$G$25:$G$84,$G153)</f>
        <v>0</v>
      </c>
      <c r="AJ153" s="190">
        <f ca="1">SUMIFS(Административные!AI$25:AI$84,Административные!$F$25:$F$84,$F153,Административные!$G$25:$G$84,$G153)</f>
        <v>0</v>
      </c>
      <c r="AK153" s="190">
        <f ca="1">SUMIFS(Административные!AJ$25:AJ$84,Административные!$F$25:$F$84,$F153,Административные!$G$25:$G$84,$G153)</f>
        <v>0</v>
      </c>
      <c r="AL153" s="190">
        <f t="shared" ca="1" si="10"/>
        <v>0</v>
      </c>
      <c r="AM153" s="215"/>
      <c r="AN153" s="610" t="str">
        <f ca="1">IF(IFERROR(INDEX(Административные!$K$26:$L$84,MATCH($F153&amp;"4komm",Административные!$K$26:$K$84,0),2),"")=0,"",IFERROR(INDEX(Административные!$K$26:$L$84,MATCH($F153&amp;"4komm",Административные!$K$26:$K$84,0),2),""))</f>
        <v/>
      </c>
      <c r="AO153" s="215"/>
      <c r="AR153" s="703" t="s">
        <v>1233</v>
      </c>
    </row>
    <row r="154" spans="1:48" ht="14.25" customHeight="1">
      <c r="E154" s="515">
        <v>15</v>
      </c>
      <c r="F154" s="3" t="str" cm="1">
        <f t="array" aca="1" ref="F154" ca="1">OFFSET(E154,-1,1)</f>
        <v>1</v>
      </c>
      <c r="G154" s="291" t="s">
        <v>1234</v>
      </c>
      <c r="I154" s="57" t="s">
        <v>1216</v>
      </c>
      <c r="J154" s="57"/>
      <c r="K154" s="57"/>
      <c r="L154" s="57"/>
      <c r="M154" s="57"/>
      <c r="N154" s="57"/>
      <c r="O154" s="57"/>
      <c r="P154" s="57"/>
      <c r="Q154" s="57"/>
      <c r="R154" s="57"/>
      <c r="S154" s="57"/>
      <c r="T154" s="365" t="b" cm="1">
        <f t="array" aca="1" ref="T154" ca="1">T153</f>
        <v>1</v>
      </c>
      <c r="X154" s="1123"/>
      <c r="Z154" s="1184"/>
      <c r="AB154" s="152" t="s">
        <v>1217</v>
      </c>
      <c r="AC154" s="146" t="s">
        <v>1235</v>
      </c>
      <c r="AD154" s="26" t="s">
        <v>804</v>
      </c>
      <c r="AE154" s="190">
        <f ca="1">SUMIFS(Административные!AE$25:AE$84,Административные!$F$25:$F$84,$F154,Административные!$G$25:$G$84,$G154)</f>
        <v>0</v>
      </c>
      <c r="AF154" s="190">
        <f ca="1">SUMIFS(Административные!AF$25:AF$84,Административные!$F$25:$F$84,$F154,Административные!$G$25:$G$84,$G154)</f>
        <v>0</v>
      </c>
      <c r="AG154" s="190">
        <f ca="1">SUMIFS(Административные!AG$25:AG$84,Административные!$F$25:$F$84,$F154,Административные!$G$25:$G$84,$G154)</f>
        <v>0</v>
      </c>
      <c r="AH154" s="190">
        <f t="shared" ca="1" si="9"/>
        <v>0</v>
      </c>
      <c r="AI154" s="190">
        <f ca="1">SUMIFS(Административные!AH$25:AH$84,Административные!$F$25:$F$84,$F154,Административные!$G$25:$G$84,$G154)</f>
        <v>0</v>
      </c>
      <c r="AJ154" s="190">
        <f ca="1">SUMIFS(Административные!AI$25:AI$84,Административные!$F$25:$F$84,$F154,Административные!$G$25:$G$84,$G154)</f>
        <v>0</v>
      </c>
      <c r="AK154" s="190">
        <f ca="1">SUMIFS(Административные!AJ$25:AJ$84,Административные!$F$25:$F$84,$F154,Административные!$G$25:$G$84,$G154)</f>
        <v>0</v>
      </c>
      <c r="AL154" s="190">
        <f t="shared" ca="1" si="10"/>
        <v>0</v>
      </c>
      <c r="AM154" s="215"/>
      <c r="AN154" s="610" t="str">
        <f ca="1">IF(IFERROR(INDEX(Административные!$K$26:$L$84,MATCH($F150&amp;"5komm",Административные!$K$26:$K$84,0),2),"")=0,"",IFERROR(INDEX(Административные!$K$26:$L$84,MATCH($F150&amp;"5komm",Административные!$K$26:$K$84,0),2),""))</f>
        <v/>
      </c>
      <c r="AO154" s="215"/>
      <c r="AR154" s="703" t="s">
        <v>1809</v>
      </c>
    </row>
    <row r="155" spans="1:48" ht="14.25" customHeight="1">
      <c r="E155" s="515">
        <v>15</v>
      </c>
      <c r="F155" s="3" t="str" cm="1">
        <f t="array" aca="1" ref="F155" ca="1">OFFSET(E155,-1,1)</f>
        <v>1</v>
      </c>
      <c r="G155" s="291" t="s">
        <v>1237</v>
      </c>
      <c r="I155" s="57" t="s">
        <v>1221</v>
      </c>
      <c r="J155" s="57"/>
      <c r="K155" s="57"/>
      <c r="L155" s="57"/>
      <c r="M155" s="57"/>
      <c r="N155" s="57"/>
      <c r="O155" s="57"/>
      <c r="P155" s="57"/>
      <c r="Q155" s="57"/>
      <c r="R155" s="57"/>
      <c r="S155" s="57"/>
      <c r="T155" s="365" t="b" cm="1">
        <f t="array" aca="1" ref="T155" ca="1">T154</f>
        <v>1</v>
      </c>
      <c r="X155" s="1123"/>
      <c r="Z155" s="1184"/>
      <c r="AB155" s="152" t="s">
        <v>1222</v>
      </c>
      <c r="AC155" s="146" t="s">
        <v>1810</v>
      </c>
      <c r="AD155" s="26" t="s">
        <v>804</v>
      </c>
      <c r="AE155" s="190">
        <f ca="1">SUMIFS(Административные!AE$25:AE$84,Административные!$F$25:$F$84,$F155,Административные!$G$25:$G$84,$G155)</f>
        <v>0</v>
      </c>
      <c r="AF155" s="190">
        <f ca="1">SUMIFS(Административные!AF$25:AF$84,Административные!$F$25:$F$84,$F155,Административные!$G$25:$G$84,$G155)</f>
        <v>0</v>
      </c>
      <c r="AG155" s="190">
        <f ca="1">SUMIFS(Административные!AG$25:AG$84,Административные!$F$25:$F$84,$F155,Административные!$G$25:$G$84,$G155)</f>
        <v>0</v>
      </c>
      <c r="AH155" s="190">
        <f t="shared" ca="1" si="9"/>
        <v>0</v>
      </c>
      <c r="AI155" s="190">
        <f ca="1">SUMIFS(Административные!AH$25:AH$84,Административные!$F$25:$F$84,$F155,Административные!$G$25:$G$84,$G155)</f>
        <v>0</v>
      </c>
      <c r="AJ155" s="190">
        <f ca="1">SUMIFS(Административные!AI$25:AI$84,Административные!$F$25:$F$84,$F155,Административные!$G$25:$G$84,$G155)</f>
        <v>0</v>
      </c>
      <c r="AK155" s="190">
        <f ca="1">SUMIFS(Административные!AJ$25:AJ$84,Административные!$F$25:$F$84,$F155,Административные!$G$25:$G$84,$G155)</f>
        <v>0</v>
      </c>
      <c r="AL155" s="190">
        <f t="shared" ca="1" si="10"/>
        <v>0</v>
      </c>
      <c r="AM155" s="215"/>
      <c r="AN155" s="610" t="str">
        <f ca="1">IF(IFERROR(INDEX(Административные!$K$26:$L$84,MATCH($F155&amp;"6komm",Административные!$K$26:$K$84,0),2),"")=0,"",IFERROR(INDEX(Административные!$K$26:$L$84,MATCH($F150&amp;"6komm",Административные!$K$26:$K$84,0),2),""))</f>
        <v/>
      </c>
      <c r="AO155" s="215"/>
      <c r="AR155" s="703" t="s">
        <v>1811</v>
      </c>
    </row>
    <row r="156" spans="1:48" ht="14.25" customHeight="1">
      <c r="E156" s="515">
        <v>15</v>
      </c>
      <c r="F156" s="3" t="str" cm="1">
        <f t="array" aca="1" ref="F156" ca="1">OFFSET(E156,-1,1)</f>
        <v>1</v>
      </c>
      <c r="G156" s="291" t="s">
        <v>1239</v>
      </c>
      <c r="I156" s="57" t="s">
        <v>1812</v>
      </c>
      <c r="J156" s="57"/>
      <c r="K156" s="57"/>
      <c r="L156" s="57"/>
      <c r="M156" s="57"/>
      <c r="N156" s="57"/>
      <c r="O156" s="57"/>
      <c r="P156" s="57"/>
      <c r="Q156" s="57"/>
      <c r="R156" s="57"/>
      <c r="S156" s="57"/>
      <c r="T156" s="365" t="b" cm="1">
        <f t="array" aca="1" ref="T156" ca="1">T155</f>
        <v>1</v>
      </c>
      <c r="X156" s="1123"/>
      <c r="Z156" s="1184"/>
      <c r="AB156" s="152" t="s">
        <v>1813</v>
      </c>
      <c r="AC156" s="153" t="s">
        <v>1814</v>
      </c>
      <c r="AD156" s="26" t="s">
        <v>804</v>
      </c>
      <c r="AE156" s="190">
        <f ca="1">SUMIFS(Административные!AE$25:AE$84,Административные!$F$25:$F$84,$F156,Административные!$G$25:$G$84,$G156)</f>
        <v>0</v>
      </c>
      <c r="AF156" s="190">
        <f ca="1">SUMIFS(Административные!AF$25:AF$84,Административные!$F$25:$F$84,$F156,Административные!$G$25:$G$84,$G156)</f>
        <v>0</v>
      </c>
      <c r="AG156" s="190">
        <f ca="1">SUMIFS(Административные!AG$25:AG$84,Административные!$F$25:$F$84,$F156,Административные!$G$25:$G$84,$G156)</f>
        <v>0</v>
      </c>
      <c r="AH156" s="190">
        <f t="shared" ca="1" si="9"/>
        <v>0</v>
      </c>
      <c r="AI156" s="190">
        <f ca="1">SUMIFS(Административные!AH$25:AH$84,Административные!$F$25:$F$84,$F156,Административные!$G$25:$G$84,$G156)</f>
        <v>0</v>
      </c>
      <c r="AJ156" s="190">
        <f ca="1">SUMIFS(Административные!AI$25:AI$84,Административные!$F$25:$F$84,$F156,Административные!$G$25:$G$84,$G156)</f>
        <v>0</v>
      </c>
      <c r="AK156" s="190">
        <f ca="1">SUMIFS(Административные!AJ$25:AJ$84,Административные!$F$25:$F$84,$F156,Административные!$G$25:$G$84,$G156)</f>
        <v>0</v>
      </c>
      <c r="AL156" s="190">
        <f t="shared" ca="1" si="10"/>
        <v>0</v>
      </c>
      <c r="AM156" s="215"/>
      <c r="AN156" s="610" t="str">
        <f ca="1">IF(IFERROR(INDEX(Административные!$K$26:$L$84,MATCH($F156&amp;"7komm",Административные!$K$26:$K$84,0),2),"")=0,"",IFERROR(INDEX(Административные!$K$26:$L$84,MATCH($F151&amp;"7komm",Административные!$K$26:$K$84,0),2),""))</f>
        <v/>
      </c>
      <c r="AO156" s="215"/>
      <c r="AR156" s="703" t="s">
        <v>1815</v>
      </c>
    </row>
    <row r="157" spans="1:48" ht="43.5" customHeight="1">
      <c r="E157" s="515">
        <v>45</v>
      </c>
      <c r="F157" s="3" t="str" cm="1">
        <f t="array" aca="1" ref="F157" ca="1">OFFSET(E157,-1,1)</f>
        <v>1</v>
      </c>
      <c r="G157" s="291" t="s">
        <v>1242</v>
      </c>
      <c r="I157" s="57" t="s">
        <v>1816</v>
      </c>
      <c r="J157" s="57"/>
      <c r="K157" s="57"/>
      <c r="L157" s="57"/>
      <c r="M157" s="57"/>
      <c r="N157" s="57"/>
      <c r="O157" s="57"/>
      <c r="P157" s="57"/>
      <c r="Q157" s="57"/>
      <c r="R157" s="57"/>
      <c r="S157" s="57"/>
      <c r="T157" s="365" t="b" cm="1">
        <f t="array" aca="1" ref="T157" ca="1">T156</f>
        <v>1</v>
      </c>
      <c r="X157" s="1123"/>
      <c r="Z157" s="1184"/>
      <c r="AB157" s="152" t="s">
        <v>1817</v>
      </c>
      <c r="AC157" s="146" t="s">
        <v>1243</v>
      </c>
      <c r="AD157" s="26" t="s">
        <v>804</v>
      </c>
      <c r="AE157" s="190">
        <f ca="1">SUMIFS(Административные!AE$25:AE$84,Административные!$F$25:$F$84,$F157,Административные!$G$25:$G$84,$G157)</f>
        <v>0</v>
      </c>
      <c r="AF157" s="190">
        <f ca="1">SUMIFS(Административные!AF$25:AF$84,Административные!$F$25:$F$84,$F157,Административные!$G$25:$G$84,$G157)</f>
        <v>0</v>
      </c>
      <c r="AG157" s="190">
        <f ca="1">SUMIFS(Административные!AG$25:AG$84,Административные!$F$25:$F$84,$F157,Административные!$G$25:$G$84,$G157)</f>
        <v>0</v>
      </c>
      <c r="AH157" s="190">
        <f t="shared" ca="1" si="9"/>
        <v>0</v>
      </c>
      <c r="AI157" s="190">
        <f ca="1">SUMIFS(Административные!AH$25:AH$84,Административные!$F$25:$F$84,$F157,Административные!$G$25:$G$84,$G157)</f>
        <v>0</v>
      </c>
      <c r="AJ157" s="190">
        <f ca="1">SUMIFS(Административные!AI$25:AI$84,Административные!$F$25:$F$84,$F157,Административные!$G$25:$G$84,$G157)</f>
        <v>0</v>
      </c>
      <c r="AK157" s="190">
        <f ca="1">SUMIFS(Административные!AJ$25:AJ$84,Административные!$F$25:$F$84,$F157,Административные!$G$25:$G$84,$G157)</f>
        <v>0</v>
      </c>
      <c r="AL157" s="190">
        <f t="shared" ca="1" si="10"/>
        <v>0</v>
      </c>
      <c r="AM157" s="215"/>
      <c r="AN157" s="610" t="str">
        <f ca="1">IF(IFERROR(INDEX(Административные!$K$26:$L$84,MATCH($F157&amp;"8komm",Административные!$K$26:$K$84,0),2),"")=0,"",IFERROR(INDEX(Административные!$K$26:$L$84,MATCH($F152&amp;"8komm",Административные!$K$26:$K$84,0),2),""))</f>
        <v/>
      </c>
      <c r="AO157" s="215"/>
      <c r="AR157" s="703" t="s">
        <v>1818</v>
      </c>
    </row>
    <row r="158" spans="1:48" ht="14.25" customHeight="1">
      <c r="E158" s="515">
        <v>15</v>
      </c>
      <c r="F158" s="3" t="str" cm="1">
        <f t="array" aca="1" ref="F158" ca="1">OFFSET(E158,-1,1)</f>
        <v>1</v>
      </c>
      <c r="G158" s="291" t="s">
        <v>1245</v>
      </c>
      <c r="I158" s="57" t="s">
        <v>1819</v>
      </c>
      <c r="J158" s="57"/>
      <c r="K158" s="57"/>
      <c r="L158" s="57"/>
      <c r="M158" s="57"/>
      <c r="N158" s="57"/>
      <c r="O158" s="57"/>
      <c r="P158" s="57"/>
      <c r="Q158" s="57"/>
      <c r="R158" s="57"/>
      <c r="S158" s="57"/>
      <c r="T158" s="365" t="b" cm="1">
        <f t="array" aca="1" ref="T158" ca="1">T157</f>
        <v>1</v>
      </c>
      <c r="X158" s="1123"/>
      <c r="Z158" s="1184"/>
      <c r="AB158" s="152" t="s">
        <v>1820</v>
      </c>
      <c r="AC158" s="153" t="s">
        <v>1246</v>
      </c>
      <c r="AD158" s="26" t="s">
        <v>804</v>
      </c>
      <c r="AE158" s="190">
        <f ca="1">SUMIFS(Административные!AE$25:AE$84,Административные!$F$25:$F$84,$F158,Административные!$G$25:$G$84,$G158)</f>
        <v>0</v>
      </c>
      <c r="AF158" s="190">
        <f ca="1">SUMIFS(Административные!AF$25:AF$84,Административные!$F$25:$F$84,$F158,Административные!$G$25:$G$84,$G158)</f>
        <v>0</v>
      </c>
      <c r="AG158" s="190">
        <f ca="1">SUMIFS(Административные!AG$25:AG$84,Административные!$F$25:$F$84,$F158,Административные!$G$25:$G$84,$G158)</f>
        <v>0</v>
      </c>
      <c r="AH158" s="190">
        <f t="shared" ca="1" si="9"/>
        <v>0</v>
      </c>
      <c r="AI158" s="190">
        <f ca="1">SUMIFS(Административные!AH$25:AH$84,Административные!$F$25:$F$84,$F158,Административные!$G$25:$G$84,$G158)</f>
        <v>0</v>
      </c>
      <c r="AJ158" s="190">
        <f ca="1">SUMIFS(Административные!AI$25:AI$84,Административные!$F$25:$F$84,$F158,Административные!$G$25:$G$84,$G158)</f>
        <v>0</v>
      </c>
      <c r="AK158" s="190">
        <f ca="1">SUMIFS(Административные!AJ$25:AJ$84,Административные!$F$25:$F$84,$F158,Административные!$G$25:$G$84,$G158)</f>
        <v>0</v>
      </c>
      <c r="AL158" s="190">
        <f t="shared" ca="1" si="10"/>
        <v>0</v>
      </c>
      <c r="AM158" s="215"/>
      <c r="AN158" s="610" t="str">
        <f ca="1">IF(IFERROR(INDEX(Административные!$K$26:$L$84,MATCH($F158&amp;"9komm",Административные!$K$26:$K$84,0),2),"")=0,"",IFERROR(INDEX(Административные!$K$26:$L$84,MATCH($F153&amp;"9komm",Административные!$K$26:$K$84,0),2),""))</f>
        <v/>
      </c>
      <c r="AO158" s="215"/>
      <c r="AR158" s="703" t="s">
        <v>1821</v>
      </c>
    </row>
    <row r="159" spans="1:48" s="948" customFormat="1" ht="14.25" customHeight="1">
      <c r="A159" s="434"/>
      <c r="B159" s="434" t="b">
        <f>STATUS_GO="да"</f>
        <v>0</v>
      </c>
      <c r="C159" s="434"/>
      <c r="D159" s="434"/>
      <c r="E159" s="516">
        <v>15</v>
      </c>
      <c r="F159" s="3" t="str" cm="1">
        <f t="array" aca="1" ref="F159" ca="1">OFFSET(E159,-1,1)</f>
        <v>1</v>
      </c>
      <c r="G159" s="434"/>
      <c r="H159" s="434"/>
      <c r="I159" s="173" t="s">
        <v>331</v>
      </c>
      <c r="J159" s="173"/>
      <c r="K159" s="173"/>
      <c r="L159" s="173"/>
      <c r="M159" s="173"/>
      <c r="N159" s="173"/>
      <c r="O159" s="173"/>
      <c r="P159" s="173"/>
      <c r="Q159" s="173"/>
      <c r="R159" s="173"/>
      <c r="S159" s="173"/>
      <c r="T159" s="365" t="b" cm="1">
        <f t="array" aca="1" ref="T159" ca="1">T158</f>
        <v>1</v>
      </c>
      <c r="U159" s="434"/>
      <c r="V159" s="434"/>
      <c r="W159" s="434"/>
      <c r="X159" s="1123"/>
      <c r="Y159" s="434"/>
      <c r="Z159" s="1184"/>
      <c r="AA159" s="434"/>
      <c r="AB159" s="150" t="s">
        <v>433</v>
      </c>
      <c r="AC159" s="151" t="s">
        <v>1822</v>
      </c>
      <c r="AD159" s="143" t="s">
        <v>804</v>
      </c>
      <c r="AE159" s="145">
        <f ca="1">SUMIFS('Сбытовые расходы ГО'!AE$25:AE$63,'Сбытовые расходы ГО'!$F$25:$F$63,$F159,'Сбытовые расходы ГО'!$G$25:$G$63,"l0")</f>
        <v>0</v>
      </c>
      <c r="AF159" s="145">
        <f ca="1">SUMIFS('Сбытовые расходы ГО'!AF$25:AF$63,'Сбытовые расходы ГО'!$F$25:$F$63,$F159,'Сбытовые расходы ГО'!$G$25:$G$63,"l0")</f>
        <v>0</v>
      </c>
      <c r="AG159" s="145">
        <f ca="1">SUMIFS('Сбытовые расходы ГО'!AG$25:AG$63,'Сбытовые расходы ГО'!$F$25:$F$63,$F159,'Сбытовые расходы ГО'!$G$25:$G$63,"l0")</f>
        <v>0</v>
      </c>
      <c r="AH159" s="145">
        <f t="shared" ca="1" si="9"/>
        <v>0</v>
      </c>
      <c r="AI159" s="145">
        <f ca="1">SUMIFS('Сбытовые расходы ГО'!AH$25:AH$63,'Сбытовые расходы ГО'!$F$25:$F$63,$F159,'Сбытовые расходы ГО'!$G$25:$G$63,"l0")</f>
        <v>0</v>
      </c>
      <c r="AJ159" s="145">
        <f ca="1">SUMIFS('Сбытовые расходы ГО'!AI$25:AI$63,'Сбытовые расходы ГО'!$F$25:$F$63,$F159,'Сбытовые расходы ГО'!$G$25:$G$63,"l0")</f>
        <v>0</v>
      </c>
      <c r="AK159" s="145">
        <f ca="1">SUMIFS('Сбытовые расходы ГО'!AJ$25:AJ$63,'Сбытовые расходы ГО'!$F$25:$F$63,$F159,'Сбытовые расходы ГО'!$G$25:$G$63,"l0")</f>
        <v>0</v>
      </c>
      <c r="AL159" s="145">
        <f t="shared" ca="1" si="10"/>
        <v>0</v>
      </c>
      <c r="AM159" s="566"/>
      <c r="AN159" s="610"/>
      <c r="AO159" s="566"/>
      <c r="AP159" s="434"/>
      <c r="AQ159" s="434"/>
      <c r="AR159" s="704" t="s">
        <v>1823</v>
      </c>
      <c r="AS159" s="704"/>
      <c r="AT159" s="704"/>
      <c r="AU159" s="516"/>
      <c r="AV159" s="516"/>
    </row>
    <row r="160" spans="1:48" s="948" customFormat="1" ht="14.25" customHeight="1">
      <c r="A160" s="434"/>
      <c r="B160" s="434"/>
      <c r="C160" s="434"/>
      <c r="D160" s="434"/>
      <c r="E160" s="516">
        <v>15</v>
      </c>
      <c r="F160" s="3" t="str" cm="1">
        <f t="array" aca="1" ref="F160" ca="1">OFFSET(E160,-1,1)</f>
        <v>1</v>
      </c>
      <c r="G160" s="434"/>
      <c r="H160" s="434"/>
      <c r="I160" s="173" t="s">
        <v>330</v>
      </c>
      <c r="J160" s="173"/>
      <c r="K160" s="173"/>
      <c r="L160" s="173"/>
      <c r="M160" s="173"/>
      <c r="N160" s="173"/>
      <c r="O160" s="173"/>
      <c r="P160" s="173"/>
      <c r="Q160" s="173"/>
      <c r="R160" s="173"/>
      <c r="S160" s="173"/>
      <c r="T160" s="365" t="b" cm="1">
        <f t="array" aca="1" ref="T160" ca="1">T159</f>
        <v>1</v>
      </c>
      <c r="U160" s="434"/>
      <c r="V160" s="434"/>
      <c r="W160" s="434"/>
      <c r="X160" s="1123"/>
      <c r="Y160" s="434"/>
      <c r="Z160" s="1184"/>
      <c r="AA160" s="434"/>
      <c r="AB160" s="150" t="s">
        <v>444</v>
      </c>
      <c r="AC160" s="144" t="s">
        <v>1824</v>
      </c>
      <c r="AD160" s="143" t="s">
        <v>804</v>
      </c>
      <c r="AE160" s="145">
        <f ca="1">SUMIFS(Амортизация!AE$25:AE$174,Амортизация!$F$25:$F$174,$F160,Амортизация!$AC$25:$AC$174,"Сумма амортизационных отчислений")</f>
        <v>424.93</v>
      </c>
      <c r="AF160" s="145">
        <f ca="1">SUMIFS(Амортизация!AF$25:AF$174,Амортизация!$F$25:$F$174,$F160,Амортизация!$AC$25:$AC$174,"Сумма амортизационных отчислений")</f>
        <v>533.19000000000005</v>
      </c>
      <c r="AG160" s="145">
        <f ca="1">SUMIFS(Амортизация!AG$25:AG$174,Амортизация!$F$25:$F$174,$F160,Амортизация!$AC$25:$AC$174,"Сумма амортизационных отчислений")</f>
        <v>533.19000000000005</v>
      </c>
      <c r="AH160" s="145">
        <f t="shared" ca="1" si="9"/>
        <v>0</v>
      </c>
      <c r="AI160" s="145">
        <f ca="1">SUMIFS(Амортизация!AH$25:AH$174,Амортизация!$F$25:$F$174,$F160,Амортизация!$AC$25:$AC$174,"Сумма амортизационных отчислений")</f>
        <v>400.83</v>
      </c>
      <c r="AJ160" s="145">
        <f ca="1">SUMIFS(Амортизация!AI$25:AI$174,Амортизация!$F$25:$F$174,$F160,Амортизация!$AC$25:$AC$174,"Сумма амортизационных отчислений")</f>
        <v>229.66</v>
      </c>
      <c r="AK160" s="145">
        <f ca="1">SUMIFS(Амортизация!AS$25:AS$174,Амортизация!$F$25:$F$174,$F160,Амортизация!$AC$25:$AC$174,"Сумма амортизационных отчислений")</f>
        <v>229.66</v>
      </c>
      <c r="AL160" s="145">
        <f t="shared" ca="1" si="10"/>
        <v>-42.703889429433922</v>
      </c>
      <c r="AM160" s="566"/>
      <c r="AN160" s="610" t="str">
        <f ca="1">IF(IFERROR(INDEX(Амортизация!$K$26:$L$174,MATCH($F160&amp;"komm",Амортизация!$K$26:$K$576,0),2),"")=0,"",IFERROR(INDEX(Амортизация!$K$26:$L$174,MATCH($F160&amp;"komm",Амортизация!$K$26:$K$576,0),2),""))</f>
        <v/>
      </c>
      <c r="AO160" s="566"/>
      <c r="AP160" s="434"/>
      <c r="AQ160" s="434"/>
      <c r="AR160" s="704" t="s">
        <v>1241</v>
      </c>
      <c r="AS160" s="704"/>
      <c r="AT160" s="704"/>
      <c r="AU160" s="516"/>
      <c r="AV160" s="516"/>
    </row>
    <row r="161" spans="1:48" ht="14.25" customHeight="1">
      <c r="E161" s="515">
        <v>15</v>
      </c>
      <c r="F161" s="3" t="str" cm="1">
        <f t="array" aca="1" ref="F161" ca="1">OFFSET(E161,-1,1)</f>
        <v>1</v>
      </c>
      <c r="I161" s="57" t="s">
        <v>550</v>
      </c>
      <c r="J161" s="57"/>
      <c r="K161" s="57"/>
      <c r="L161" s="57"/>
      <c r="M161" s="57"/>
      <c r="N161" s="57"/>
      <c r="O161" s="57"/>
      <c r="P161" s="57"/>
      <c r="Q161" s="57"/>
      <c r="R161" s="57"/>
      <c r="S161" s="57"/>
      <c r="T161" s="365" t="b" cm="1">
        <f t="array" aca="1" ref="T161" ca="1">T160</f>
        <v>1</v>
      </c>
      <c r="X161" s="1123"/>
      <c r="Z161" s="1184"/>
      <c r="AB161" s="152" t="s">
        <v>680</v>
      </c>
      <c r="AC161" s="146" t="s">
        <v>1825</v>
      </c>
      <c r="AD161" s="26" t="s">
        <v>804</v>
      </c>
      <c r="AE161" s="147">
        <f ca="1">SUMIFS('ИП + источники'!AF$27:AF$145,'ИП + источники'!$F$27:$F$145,$F161,'ИП + источники'!$AC$27:$AC$145,"Амортизационные отчисления")+SUMIFS('ИП + источники'!AF$27:AF$145,'ИП + источники'!$F$27:$F$145,$F161,'ИП + источники'!$AC$27:$AC$145,"погашение займов и кредитов из амортизации")</f>
        <v>0</v>
      </c>
      <c r="AF161" s="147">
        <f ca="1">SUMIFS('ИП + источники'!AG$27:AG$145,'ИП + источники'!$F$27:$F$145,$F161,'ИП + источники'!$AC$27:$AC$145,"Амортизационные отчисления")+SUMIFS('ИП + источники'!AG$27:AG$145,'ИП + источники'!$F$27:$F$145,$F161,'ИП + источники'!$AC$27:$AC$145,"погашение займов и кредитов из амортизации")</f>
        <v>0</v>
      </c>
      <c r="AG161" s="147">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H161" s="190">
        <f t="shared" ca="1" si="9"/>
        <v>0</v>
      </c>
      <c r="AI161" s="147">
        <f ca="1">SUMIFS('ИП + источники'!AH$27:AH$145,'ИП + источники'!$F$27:$F$145,$F161,'ИП + источники'!$AC$27:$AC$145,"Амортизационные отчисления")+SUMIFS('ИП + источники'!AH$27:AH$145,'ИП + источники'!$F$27:$F$145,$F161,'ИП + источники'!$AC$27:$AC$145,"погашение займов и кредитов из амортизации")</f>
        <v>0</v>
      </c>
      <c r="AJ161" s="147">
        <f ca="1">SUMIFS('ИП + источники'!AI$27:AI$145,'ИП + источники'!$F$27:$F$145,$F161,'ИП + источники'!$AC$27:$AC$145,"Амортизационные отчисления")+SUMIFS('ИП + источники'!AI$27:AI$145,'ИП + источники'!$F$27:$F$145,$F161,'ИП + источники'!$AC$27:$AC$145,"погашение займов и кредитов из амортизации")</f>
        <v>0</v>
      </c>
      <c r="AK161" s="147">
        <f ca="1">SUMIFS('ИП + источники'!AJ$27:AJ$145,'ИП + источники'!$F$27:$F$145,$F161,'ИП + источники'!$AC$27:$AC$145,"Амортизационные отчисления")+SUMIFS('ИП + источники'!AJ$27:AJ$145,'ИП + источники'!$F$27:$F$145,$F161,'ИП + источники'!$AC$27:$AC$145,"погашение займов и кредитов из амортизации")</f>
        <v>0</v>
      </c>
      <c r="AL161" s="190">
        <f t="shared" ca="1" si="10"/>
        <v>0</v>
      </c>
      <c r="AM161" s="215"/>
      <c r="AN161" s="215"/>
      <c r="AO161" s="215"/>
      <c r="AR161" s="703" t="s">
        <v>1826</v>
      </c>
    </row>
    <row r="162" spans="1:48" s="948" customFormat="1" ht="21.75" customHeight="1">
      <c r="A162" s="434"/>
      <c r="B162" s="434"/>
      <c r="C162" s="434"/>
      <c r="D162" s="434"/>
      <c r="E162" s="516">
        <v>22.5</v>
      </c>
      <c r="F162" s="3" t="str" cm="1">
        <f t="array" aca="1" ref="F162" ca="1">OFFSET(E162,-1,1)</f>
        <v>1</v>
      </c>
      <c r="G162" s="434"/>
      <c r="H162" s="434"/>
      <c r="I162" s="173" t="s">
        <v>511</v>
      </c>
      <c r="J162" s="173"/>
      <c r="K162" s="173"/>
      <c r="L162" s="173"/>
      <c r="M162" s="173"/>
      <c r="N162" s="173"/>
      <c r="O162" s="173"/>
      <c r="P162" s="173"/>
      <c r="Q162" s="173"/>
      <c r="R162" s="173"/>
      <c r="S162" s="173"/>
      <c r="T162" s="365" t="b" cm="1">
        <f t="array" aca="1" ref="T162" ca="1">T161</f>
        <v>1</v>
      </c>
      <c r="U162" s="434"/>
      <c r="V162" s="434"/>
      <c r="W162" s="434"/>
      <c r="X162" s="1123"/>
      <c r="Y162" s="434"/>
      <c r="Z162" s="1184"/>
      <c r="AA162" s="434"/>
      <c r="AB162" s="150" t="s">
        <v>447</v>
      </c>
      <c r="AC162" s="144" t="s">
        <v>1827</v>
      </c>
      <c r="AD162" s="143" t="s">
        <v>804</v>
      </c>
      <c r="AE162" s="145">
        <f ca="1">SUMIFS(Аренда!AE$25:AE$57,Аренда!$F$25:$F$57,$F162,Аренда!$G$25:$G$57,"Арендная и концессионная плата, лизинговые платежи")</f>
        <v>127.74816432</v>
      </c>
      <c r="AF162" s="145">
        <f ca="1">SUMIFS(Аренда!AF$25:AF$57,Аренда!$F$25:$F$57,$F162,Аренда!$G$25:$G$57,"Арендная и концессионная плата, лизинговые платежи")</f>
        <v>555.94000000000005</v>
      </c>
      <c r="AG162" s="145">
        <f ca="1">SUMIFS(Аренда!AG$25:AG$57,Аренда!$F$25:$F$57,$F162,Аренда!$G$25:$G$57,"Арендная и концессионная плата, лизинговые платежи")</f>
        <v>127.75</v>
      </c>
      <c r="AH162" s="145">
        <f t="shared" ca="1" si="9"/>
        <v>-428.19000000000005</v>
      </c>
      <c r="AI162" s="145">
        <f ca="1">SUMIFS(Аренда!AH$25:AH$57,Аренда!$F$25:$F$57,$F162,Аренда!$G$25:$G$57,"Арендная и концессионная плата, лизинговые платежи")</f>
        <v>330.38816431999999</v>
      </c>
      <c r="AJ162" s="145">
        <f ca="1">SUMIFS(Аренда!AI$25:AI$57,Аренда!$F$25:$F$57,$F162,Аренда!$G$25:$G$57,"Арендная и концессионная плата, лизинговые платежи")</f>
        <v>555.94000000000005</v>
      </c>
      <c r="AK162" s="145">
        <f ca="1">SUMIFS(Аренда!AS$25:AS$57,Аренда!$F$25:$F$57,$F162,Аренда!$G$25:$G$57,"Арендная и концессионная плата, лизинговые платежи")</f>
        <v>127.75</v>
      </c>
      <c r="AL162" s="145">
        <f t="shared" ca="1" si="10"/>
        <v>-61.333360635683441</v>
      </c>
      <c r="AM162" s="566"/>
      <c r="AN162" s="610" t="str">
        <f ca="1">IF(IFERROR(INDEX(Аренда!$K$26:$L$57,MATCH($F162&amp;"komm",Аренда!$K$26:$K$57,0),2),"")=0,"",IFERROR(INDEX(Аренда!$K$26:$L$57,MATCH($F162&amp;"komm",Аренда!$K$26:$K$57,0),2),""))</f>
        <v/>
      </c>
      <c r="AO162" s="566"/>
      <c r="AP162" s="434"/>
      <c r="AQ162" s="434"/>
      <c r="AR162" s="704" t="s">
        <v>1828</v>
      </c>
      <c r="AS162" s="704"/>
      <c r="AT162" s="704"/>
      <c r="AU162" s="516"/>
      <c r="AV162" s="516"/>
    </row>
    <row r="163" spans="1:48" s="948" customFormat="1" ht="14.25" customHeight="1">
      <c r="A163" s="434"/>
      <c r="B163" s="434"/>
      <c r="C163" s="434"/>
      <c r="D163" s="434"/>
      <c r="E163" s="516">
        <v>15</v>
      </c>
      <c r="F163" s="3" t="str" cm="1">
        <f t="array" aca="1" ref="F163" ca="1">OFFSET(E163,-1,1)</f>
        <v>1</v>
      </c>
      <c r="G163" s="434"/>
      <c r="H163" s="434"/>
      <c r="I163" s="173" t="s">
        <v>514</v>
      </c>
      <c r="J163" s="173"/>
      <c r="K163" s="173"/>
      <c r="L163" s="173"/>
      <c r="M163" s="173"/>
      <c r="N163" s="173"/>
      <c r="O163" s="173"/>
      <c r="P163" s="173"/>
      <c r="Q163" s="173"/>
      <c r="R163" s="173"/>
      <c r="S163" s="173"/>
      <c r="T163" s="365" t="b" cm="1">
        <f t="array" aca="1" ref="T163" ca="1">T162</f>
        <v>1</v>
      </c>
      <c r="U163" s="434"/>
      <c r="V163" s="434"/>
      <c r="W163" s="434"/>
      <c r="X163" s="1123"/>
      <c r="Y163" s="434"/>
      <c r="Z163" s="1184"/>
      <c r="AA163" s="434"/>
      <c r="AB163" s="150" t="s">
        <v>578</v>
      </c>
      <c r="AC163" s="144" t="s">
        <v>1829</v>
      </c>
      <c r="AD163" s="143" t="s">
        <v>804</v>
      </c>
      <c r="AE163" s="145">
        <f ca="1">SUMIFS(Налоги!AE$25:AE$69,Налоги!$F$25:$F$69,$F163,Налоги!$AC$25:$AC$69,"Налоги и платежи, относимые на указанный вид деятельности")</f>
        <v>802.33002467979998</v>
      </c>
      <c r="AF163" s="145">
        <f ca="1">SUMIFS(Налоги!AF$25:AF$69,Налоги!$F$25:$F$69,$F163,Налоги!$AC$25:$AC$69,"Налоги и платежи, относимые на указанный вид деятельности")</f>
        <v>862.56</v>
      </c>
      <c r="AG163" s="145">
        <f ca="1">SUMIFS(Налоги!AG$25:AG$69,Налоги!$F$25:$F$69,$F163,Налоги!$AC$25:$AC$69,"Налоги и платежи, относимые на указанный вид деятельности")</f>
        <v>840.05</v>
      </c>
      <c r="AH163" s="145">
        <f t="shared" ca="1" si="9"/>
        <v>-22.509999999999991</v>
      </c>
      <c r="AI163" s="145">
        <f ca="1">SUMIFS(Налоги!AH$25:AH$69,Налоги!$F$25:$F$69,$F163,Налоги!$AC$25:$AC$69,"Налоги и платежи, относимые на указанный вид деятельности")</f>
        <v>908.82600000000002</v>
      </c>
      <c r="AJ163" s="145">
        <f ca="1">SUMIFS(Налоги!AI$25:AI$69,Налоги!$F$25:$F$69,$F163,Налоги!$AC$25:$AC$69,"Налоги и платежи, относимые на указанный вид деятельности")</f>
        <v>1363.12</v>
      </c>
      <c r="AK163" s="145">
        <f ca="1">SUMIFS(Налоги!AS$25:AS$69,Налоги!$F$25:$F$69,$F163,Налоги!$AC$25:$AC$69,"Налоги и платежи, относимые на указанный вид деятельности")</f>
        <v>949.77</v>
      </c>
      <c r="AL163" s="145">
        <f t="shared" ca="1" si="10"/>
        <v>4.5051528015263607</v>
      </c>
      <c r="AM163" s="566"/>
      <c r="AN163" s="610" t="str">
        <f ca="1">IF(IFERROR(INDEX(Налоги!$K$26:$L$69,MATCH($F163&amp;"komm",Налоги!$K$26:$K$69,0),2),"")=0,"",IFERROR(INDEX(Налоги!$K$26:$L$69,MATCH($F163&amp;"komm",Налоги!$K$26:$K$69,0),2),""))</f>
        <v>В соответствии с п.п.2 п. 49 Методических указаний 1746-э.</v>
      </c>
      <c r="AO163" s="566"/>
      <c r="AP163" s="434"/>
      <c r="AQ163" s="434"/>
      <c r="AR163" s="704" t="s">
        <v>1270</v>
      </c>
      <c r="AS163" s="704"/>
      <c r="AT163" s="704"/>
      <c r="AU163" s="516"/>
      <c r="AV163" s="516"/>
    </row>
    <row r="164" spans="1:48" s="948" customFormat="1" ht="14.25" customHeight="1">
      <c r="A164" s="434"/>
      <c r="B164" s="434"/>
      <c r="C164" s="434"/>
      <c r="D164" s="434"/>
      <c r="E164" s="516">
        <v>15</v>
      </c>
      <c r="F164" s="3" t="str" cm="1">
        <f t="array" aca="1" ref="F164" ca="1">OFFSET(E164,-1,1)</f>
        <v>1</v>
      </c>
      <c r="G164" s="434"/>
      <c r="H164" s="434"/>
      <c r="I164" s="173" t="s">
        <v>562</v>
      </c>
      <c r="J164" s="173"/>
      <c r="K164" s="173"/>
      <c r="L164" s="173"/>
      <c r="M164" s="173"/>
      <c r="N164" s="173"/>
      <c r="O164" s="173"/>
      <c r="P164" s="173"/>
      <c r="Q164" s="173"/>
      <c r="R164" s="173"/>
      <c r="S164" s="173"/>
      <c r="T164" s="365" t="b" cm="1">
        <f t="array" aca="1" ref="T164" ca="1">T163</f>
        <v>1</v>
      </c>
      <c r="U164" s="434"/>
      <c r="V164" s="434"/>
      <c r="W164" s="434"/>
      <c r="X164" s="1123"/>
      <c r="Y164" s="434"/>
      <c r="Z164" s="1184"/>
      <c r="AA164" s="434"/>
      <c r="AB164" s="150" t="s">
        <v>586</v>
      </c>
      <c r="AC164" s="144" t="s">
        <v>1830</v>
      </c>
      <c r="AD164" s="166" t="s">
        <v>804</v>
      </c>
      <c r="AE164" s="145">
        <f ca="1">AE165+AE166+AE167</f>
        <v>0</v>
      </c>
      <c r="AF164" s="145">
        <f ca="1">AF165+AF166+AF167</f>
        <v>0</v>
      </c>
      <c r="AG164" s="145">
        <f ca="1">AG165+AG166+AG167</f>
        <v>0</v>
      </c>
      <c r="AH164" s="145">
        <f t="shared" ca="1" si="9"/>
        <v>0</v>
      </c>
      <c r="AI164" s="145">
        <f ca="1">AI165+AI166+AI167</f>
        <v>0</v>
      </c>
      <c r="AJ164" s="145">
        <f ca="1">AJ165+AJ166+AJ167</f>
        <v>0</v>
      </c>
      <c r="AK164" s="145">
        <f ca="1">AK165+AK166+AK167</f>
        <v>0</v>
      </c>
      <c r="AL164" s="145">
        <f t="shared" ca="1" si="10"/>
        <v>0</v>
      </c>
      <c r="AM164" s="566"/>
      <c r="AN164" s="610"/>
      <c r="AO164" s="566"/>
      <c r="AP164" s="434"/>
      <c r="AQ164" s="434"/>
      <c r="AR164" s="704" t="s">
        <v>1509</v>
      </c>
      <c r="AS164" s="704"/>
      <c r="AT164" s="704"/>
      <c r="AU164" s="516"/>
      <c r="AV164" s="516"/>
    </row>
    <row r="165" spans="1:48" ht="14.25" customHeight="1">
      <c r="E165" s="515">
        <v>15</v>
      </c>
      <c r="F165" s="3" t="str" cm="1">
        <f t="array" aca="1" ref="F165" ca="1">OFFSET(E165,-1,1)</f>
        <v>1</v>
      </c>
      <c r="I165" s="57" t="s">
        <v>565</v>
      </c>
      <c r="J165" s="57"/>
      <c r="K165" s="57"/>
      <c r="L165" s="57"/>
      <c r="M165" s="57"/>
      <c r="N165" s="57"/>
      <c r="O165" s="57"/>
      <c r="P165" s="57"/>
      <c r="Q165" s="57"/>
      <c r="R165" s="57"/>
      <c r="S165" s="57"/>
      <c r="T165" s="365" t="b" cm="1">
        <f t="array" aca="1" ref="T165" ca="1">T164</f>
        <v>1</v>
      </c>
      <c r="X165" s="1123"/>
      <c r="Z165" s="1184"/>
      <c r="AB165" s="152" t="s">
        <v>590</v>
      </c>
      <c r="AC165" s="146" t="s">
        <v>1831</v>
      </c>
      <c r="AD165" s="26" t="s">
        <v>804</v>
      </c>
      <c r="AE165" s="147">
        <f ca="1">SUMIFS('ИП + источники'!AF$26:AF$145,'ИП + источники'!$F$26:$F$145,$F165,'ИП + источники'!$AC$26:$AC$145,"погашение займов и кредитов из нормативной прибыли")+SUMIFS('ИП + источники'!AF$26:AF$145,'ИП + источники'!$F$26:$F$145,$F165,'ИП + источники'!$AC$26:$AC$145,"уплата процентов по кредитам из нормативной прибыли")</f>
        <v>0</v>
      </c>
      <c r="AF165" s="147">
        <f ca="1">SUMIFS('ИП + источники'!AG$26:AG$145,'ИП + источники'!$F$26:$F$145,$F165,'ИП + источники'!$AC$26:$AC$145,"погашение займов и кредитов из нормативной прибыли")+SUMIFS('ИП + источники'!AG$26:AG$145,'ИП + источники'!$F$26:$F$145,$F165,'ИП + источники'!$AC$26:$AC$145,"уплата процентов по кредитам из нормативной прибыли")</f>
        <v>0</v>
      </c>
      <c r="AG165" s="147">
        <f ca="1">SUMIFS('ИП + источники'!AH$26:AH$145,'ИП + источники'!$F$26:$F$145,$F165,'ИП + источники'!$AC$26:$AC$145,"погашение займов и кредитов из нормативной прибыли")+SUMIFS('ИП + источники'!AH$26:AH$145,'ИП + источники'!$F$26:$F$145,$F165,'ИП + источники'!$AC$26:$AC$145,"уплата процентов по кредитам из нормативной прибыли")</f>
        <v>0</v>
      </c>
      <c r="AH165" s="190">
        <f t="shared" ca="1" si="9"/>
        <v>0</v>
      </c>
      <c r="AI165" s="147">
        <f ca="1">SUMIFS('ИП + источники'!AJ$26:AJ$145,'ИП + источники'!$F$26:$F$145,$F165,'ИП + источники'!$AC$26:$AC$145,"погашение займов и кредитов из нормативной прибыли")+SUMIFS('ИП + источники'!AJ$26:AJ$145,'ИП + источники'!$F$26:$F$145,$F165,'ИП + источники'!$AC$26:$AC$145,"уплата процентов по кредитам из нормативной прибыли")</f>
        <v>0</v>
      </c>
      <c r="AJ165" s="147">
        <f ca="1">SUMIFS('ИП + источники'!AK$26:AK$145,'ИП + источники'!$F$26:$F$145,$F165,'ИП + источники'!$AC$26:$AC$145,"погашение займов и кредитов из нормативной прибыли")+SUMIFS('ИП + источники'!AK$26:AK$145,'ИП + источники'!$F$26:$F$145,$F165,'ИП + источники'!$AC$26:$AC$145,"уплата процентов по кредитам из нормативной прибыли")</f>
        <v>0</v>
      </c>
      <c r="AK165" s="147">
        <f ca="1">SUMIFS('ИП + источники'!AU$26:AU$145,'ИП + источники'!$F$26:$F$145,$F165,'ИП + источники'!$AC$26:$AC$145,"погашение займов и кредитов из нормативной прибыли")+SUMIFS('ИП + источники'!AU$26:AU$145,'ИП + источники'!$F$26:$F$145,$F165,'ИП + источники'!$AC$26:$AC$145,"уплата процентов по кредитам из нормативной прибыли")</f>
        <v>0</v>
      </c>
      <c r="AL165" s="190">
        <f t="shared" ca="1" si="10"/>
        <v>0</v>
      </c>
      <c r="AM165" s="215"/>
      <c r="AN165" s="610" t="str">
        <f ca="1">IF(IFERROR(INDEX('ИП + источники'!$K$57:$L$145,MATCH($F165&amp;"1komm",'ИП + источники'!$K$57:$K$145,0),2),"")=0,"",IFERROR(INDEX('ИП + источники'!$K$57:$L$145,MATCH($F165&amp;"1komm",'ИП + источники'!$K$57:$K$145,0),2),""))</f>
        <v/>
      </c>
      <c r="AO165" s="215"/>
      <c r="AR165" s="703" t="s">
        <v>1262</v>
      </c>
    </row>
    <row r="166" spans="1:48" ht="14.25" customHeight="1">
      <c r="E166" s="515">
        <v>15</v>
      </c>
      <c r="F166" s="3" t="str" cm="1">
        <f t="array" aca="1" ref="F166" ca="1">OFFSET(E166,-1,1)</f>
        <v>1</v>
      </c>
      <c r="I166" s="57" t="s">
        <v>569</v>
      </c>
      <c r="J166" s="57"/>
      <c r="K166" s="57"/>
      <c r="L166" s="57"/>
      <c r="M166" s="57"/>
      <c r="N166" s="57"/>
      <c r="O166" s="57"/>
      <c r="P166" s="57"/>
      <c r="Q166" s="57"/>
      <c r="R166" s="57"/>
      <c r="S166" s="57"/>
      <c r="T166" s="365" t="b" cm="1">
        <f t="array" aca="1" ref="T166" ca="1">T165</f>
        <v>1</v>
      </c>
      <c r="X166" s="1123"/>
      <c r="Z166" s="1184"/>
      <c r="AB166" s="152" t="s">
        <v>607</v>
      </c>
      <c r="AC166" s="146" t="s">
        <v>1832</v>
      </c>
      <c r="AD166" s="26" t="s">
        <v>804</v>
      </c>
      <c r="AE166" s="147">
        <f ca="1">SUMIFS('ИП + источники'!AF$27:AF$145,'ИП + источники'!$F$27:$F$145,$F166,'ИП + источники'!$AC$27:$AC$145,"Прибыль на капвложения")</f>
        <v>0</v>
      </c>
      <c r="AF166" s="147">
        <f ca="1">SUMIFS('ИП + источники'!AG$27:AG$145,'ИП + источники'!$F$27:$F$145,$F166,'ИП + источники'!$AC$27:$AC$145,"Прибыль на капвложения")</f>
        <v>0</v>
      </c>
      <c r="AG166" s="147">
        <f ca="1">SUMIFS('ИП + источники'!AH$27:AH$145,'ИП + источники'!$F$27:$F$145,$F166,'ИП + источники'!$AC$27:$AC$145,"Прибыль на капвложения")</f>
        <v>0</v>
      </c>
      <c r="AH166" s="190">
        <f t="shared" ca="1" si="9"/>
        <v>0</v>
      </c>
      <c r="AI166" s="147">
        <f ca="1">SUMIFS('ИП + источники'!AJ$27:AJ$145,'ИП + источники'!$F$27:$F$145,$F166,'ИП + источники'!$AC$27:$AC$145,"Прибыль на капвложения")</f>
        <v>0</v>
      </c>
      <c r="AJ166" s="147">
        <f ca="1">SUMIFS('ИП + источники'!AK$27:AK$145,'ИП + источники'!$F$27:$F$145,$F166,'ИП + источники'!$AC$27:$AC$145,"Прибыль на капвложения")</f>
        <v>0</v>
      </c>
      <c r="AK166" s="147">
        <f ca="1">SUMIFS('ИП + источники'!AU$27:AU$145,'ИП + источники'!$F$27:$F$145,$F166,'ИП + источники'!$AC$27:$AC$145,"Прибыль на капвложения")</f>
        <v>0</v>
      </c>
      <c r="AL166" s="190">
        <f t="shared" ca="1" si="10"/>
        <v>0</v>
      </c>
      <c r="AM166" s="215"/>
      <c r="AN166" s="610" t="str">
        <f ca="1">IF(IFERROR(INDEX('ИП + источники'!$K$57:$L$145,MATCH($F166&amp;"2komm",'ИП + источники'!$K$57:$K$145,0),2),"")=0,"",IFERROR(INDEX('ИП + источники'!$K$57:$L$145,MATCH($F166&amp;"2komm",'ИП + источники'!$K$57:$K$145,0),2),""))</f>
        <v/>
      </c>
      <c r="AO166" s="215"/>
      <c r="AR166" s="703" t="s">
        <v>1833</v>
      </c>
    </row>
    <row r="167" spans="1:48" ht="21.75" customHeight="1">
      <c r="E167" s="515">
        <v>22.5</v>
      </c>
      <c r="F167" s="3" t="str" cm="1">
        <f t="array" aca="1" ref="F167" ca="1">OFFSET(E167,-1,1)</f>
        <v>1</v>
      </c>
      <c r="I167" s="57" t="s">
        <v>573</v>
      </c>
      <c r="J167" s="57"/>
      <c r="K167" s="57"/>
      <c r="L167" s="57"/>
      <c r="M167" s="57"/>
      <c r="N167" s="57"/>
      <c r="O167" s="57"/>
      <c r="P167" s="57"/>
      <c r="Q167" s="57"/>
      <c r="R167" s="57"/>
      <c r="S167" s="57"/>
      <c r="T167" s="365" t="b" cm="1">
        <f t="array" aca="1" ref="T167" ca="1">T166</f>
        <v>1</v>
      </c>
      <c r="X167" s="1123"/>
      <c r="Z167" s="1184"/>
      <c r="AB167" s="152" t="s">
        <v>619</v>
      </c>
      <c r="AC167" s="146" t="s">
        <v>1834</v>
      </c>
      <c r="AD167" s="26" t="s">
        <v>804</v>
      </c>
      <c r="AE167" s="147"/>
      <c r="AF167" s="147"/>
      <c r="AG167" s="147"/>
      <c r="AH167" s="190"/>
      <c r="AI167" s="147"/>
      <c r="AJ167" s="147"/>
      <c r="AK167" s="147"/>
      <c r="AL167" s="190">
        <f t="shared" si="10"/>
        <v>0</v>
      </c>
      <c r="AM167" s="215"/>
      <c r="AN167" s="215"/>
      <c r="AO167" s="215"/>
      <c r="AR167" s="703" t="s">
        <v>1835</v>
      </c>
    </row>
    <row r="168" spans="1:48" s="948" customFormat="1" ht="21.75" customHeight="1">
      <c r="A168" s="434"/>
      <c r="B168" s="434" t="b">
        <f>STATUS_GO="да"</f>
        <v>0</v>
      </c>
      <c r="C168" s="434"/>
      <c r="D168" s="434"/>
      <c r="E168" s="516">
        <v>22.5</v>
      </c>
      <c r="F168" s="3" t="str" cm="1">
        <f t="array" aca="1" ref="F168" ca="1">OFFSET(E168,-1,1)</f>
        <v>1</v>
      </c>
      <c r="G168" s="434"/>
      <c r="H168" s="434"/>
      <c r="I168" s="173" t="s">
        <v>577</v>
      </c>
      <c r="J168" s="173"/>
      <c r="K168" s="173"/>
      <c r="L168" s="173"/>
      <c r="M168" s="173"/>
      <c r="N168" s="173"/>
      <c r="O168" s="173"/>
      <c r="P168" s="173"/>
      <c r="Q168" s="173"/>
      <c r="R168" s="173"/>
      <c r="S168" s="173"/>
      <c r="T168" s="365" t="b" cm="1">
        <f t="array" aca="1" ref="T168" ca="1">T167</f>
        <v>1</v>
      </c>
      <c r="U168" s="434"/>
      <c r="V168" s="434"/>
      <c r="W168" s="434"/>
      <c r="X168" s="1123"/>
      <c r="Y168" s="434"/>
      <c r="Z168" s="1184"/>
      <c r="AA168" s="434"/>
      <c r="AB168" s="150" t="s">
        <v>744</v>
      </c>
      <c r="AC168" s="151" t="s">
        <v>1836</v>
      </c>
      <c r="AD168" s="143" t="s">
        <v>804</v>
      </c>
      <c r="AE168" s="157"/>
      <c r="AF168" s="157"/>
      <c r="AG168" s="157"/>
      <c r="AH168" s="145">
        <f>AG168-AF168</f>
        <v>0</v>
      </c>
      <c r="AI168" s="157"/>
      <c r="AJ168" s="157"/>
      <c r="AK168" s="157"/>
      <c r="AL168" s="145">
        <f t="shared" si="10"/>
        <v>0</v>
      </c>
      <c r="AM168" s="566"/>
      <c r="AN168" s="566"/>
      <c r="AO168" s="566"/>
      <c r="AP168" s="434"/>
      <c r="AQ168" s="434"/>
      <c r="AR168" s="704" t="s">
        <v>1837</v>
      </c>
      <c r="AS168" s="704"/>
      <c r="AT168" s="704"/>
      <c r="AU168" s="516"/>
      <c r="AV168" s="516"/>
    </row>
    <row r="169" spans="1:48" ht="14.25" customHeight="1">
      <c r="E169" s="515">
        <v>15</v>
      </c>
      <c r="F169" s="3" t="str" cm="1">
        <f t="array" aca="1" ref="F169" ca="1">OFFSET(E169,-1,1)</f>
        <v>1</v>
      </c>
      <c r="I169" s="57" t="s">
        <v>585</v>
      </c>
      <c r="J169" s="57"/>
      <c r="K169" s="57"/>
      <c r="L169" s="57"/>
      <c r="M169" s="57"/>
      <c r="N169" s="57"/>
      <c r="O169" s="57"/>
      <c r="P169" s="57"/>
      <c r="Q169" s="57"/>
      <c r="R169" s="57"/>
      <c r="S169" s="57"/>
      <c r="T169" s="365" t="b" cm="1">
        <f t="array" aca="1" ref="T169" ca="1">T168</f>
        <v>1</v>
      </c>
      <c r="X169" s="1123"/>
      <c r="Z169" s="1184"/>
      <c r="AB169" s="152" t="s">
        <v>747</v>
      </c>
      <c r="AC169" s="358" t="s">
        <v>1464</v>
      </c>
      <c r="AD169" s="26" t="s">
        <v>804</v>
      </c>
      <c r="AE169" s="147"/>
      <c r="AF169" s="147"/>
      <c r="AG169" s="147"/>
      <c r="AH169" s="190"/>
      <c r="AI169" s="148"/>
      <c r="AJ169" s="148"/>
      <c r="AK169" s="148"/>
      <c r="AL169" s="190">
        <f t="shared" si="10"/>
        <v>0</v>
      </c>
      <c r="AM169" s="215"/>
      <c r="AN169" s="215"/>
      <c r="AO169" s="215"/>
      <c r="AR169" s="703" t="s">
        <v>1838</v>
      </c>
    </row>
    <row r="170" spans="1:48" ht="101.25" hidden="1" customHeight="1">
      <c r="E170" s="515">
        <v>0</v>
      </c>
      <c r="F170" s="3" t="str" cm="1">
        <f t="array" aca="1" ref="F170" ca="1">OFFSET(E170,-1,1)</f>
        <v>1</v>
      </c>
      <c r="H170" s="57" t="b">
        <f>ISERR(SEARCH("Водоснабжение",AB112))</f>
        <v>0</v>
      </c>
      <c r="I170" s="57" t="s">
        <v>743</v>
      </c>
      <c r="J170" s="57"/>
      <c r="K170" s="57"/>
      <c r="L170" s="57"/>
      <c r="M170" s="57"/>
      <c r="N170" s="57"/>
      <c r="O170" s="57"/>
      <c r="P170" s="57"/>
      <c r="Q170" s="57"/>
      <c r="R170" s="57"/>
      <c r="S170" s="57"/>
      <c r="T170" s="365" t="b" cm="1">
        <f t="array" aca="1" ref="T170" ca="1">T169</f>
        <v>1</v>
      </c>
      <c r="X170" s="1123"/>
      <c r="Z170" s="1184"/>
      <c r="AB170" s="152" t="s">
        <v>1049</v>
      </c>
      <c r="AC170" s="358" t="s">
        <v>1839</v>
      </c>
      <c r="AD170" s="28" t="s">
        <v>804</v>
      </c>
      <c r="AE170" s="787"/>
      <c r="AF170" s="787"/>
      <c r="AG170" s="787"/>
      <c r="AH170" s="190">
        <f t="shared" ref="AH170:AH185" si="11">AG170-AF170</f>
        <v>0</v>
      </c>
      <c r="AI170" s="787"/>
      <c r="AJ170" s="787"/>
      <c r="AK170" s="787">
        <f ca="1">IFERROR(SUMIFS('Плата за негативное возд'!$AL$25:$AL$35,'Плата за негативное возд'!$F$25:$F$35,F170,'Плата за негативное возд'!$G$25:$G$35,"1"),0)</f>
        <v>0</v>
      </c>
      <c r="AL170" s="190">
        <f t="shared" si="10"/>
        <v>0</v>
      </c>
      <c r="AM170" s="784"/>
      <c r="AN170" s="784"/>
      <c r="AO170" s="784"/>
      <c r="AR170" s="703" t="s">
        <v>1366</v>
      </c>
    </row>
    <row r="171" spans="1:48" ht="67.5" hidden="1" customHeight="1">
      <c r="E171" s="515">
        <v>0</v>
      </c>
      <c r="F171" s="3" t="str" cm="1">
        <f t="array" aca="1" ref="F171" ca="1">OFFSET(E171,-1,1)</f>
        <v>1</v>
      </c>
      <c r="H171" s="57" t="b">
        <f>ISERR(SEARCH("Водоснабжение",AB112))</f>
        <v>0</v>
      </c>
      <c r="I171" s="57" t="s">
        <v>746</v>
      </c>
      <c r="J171" s="57"/>
      <c r="K171" s="57"/>
      <c r="L171" s="57"/>
      <c r="M171" s="57"/>
      <c r="N171" s="57"/>
      <c r="O171" s="57"/>
      <c r="P171" s="57"/>
      <c r="Q171" s="57"/>
      <c r="R171" s="57"/>
      <c r="S171" s="57"/>
      <c r="T171" s="365" t="b" cm="1">
        <f t="array" aca="1" ref="T171" ca="1">T170</f>
        <v>1</v>
      </c>
      <c r="X171" s="1123"/>
      <c r="Z171" s="1184"/>
      <c r="AB171" s="152" t="s">
        <v>1840</v>
      </c>
      <c r="AC171" s="358" t="s">
        <v>1841</v>
      </c>
      <c r="AD171" s="28" t="s">
        <v>804</v>
      </c>
      <c r="AE171" s="787"/>
      <c r="AF171" s="787"/>
      <c r="AG171" s="787"/>
      <c r="AH171" s="190">
        <f t="shared" si="11"/>
        <v>0</v>
      </c>
      <c r="AI171" s="787"/>
      <c r="AJ171" s="787"/>
      <c r="AK171" s="787">
        <f ca="1">IFERROR(SUMIFS('Плата за негативное возд'!$AL$25:$AL$35,'Плата за негативное возд'!$F$25:$F$35,F171,'Плата за негативное возд'!$G$25:$G$35,"2"),0)</f>
        <v>0</v>
      </c>
      <c r="AL171" s="190">
        <f t="shared" si="10"/>
        <v>0</v>
      </c>
      <c r="AM171" s="784"/>
      <c r="AN171" s="784"/>
      <c r="AO171" s="784"/>
      <c r="AR171" s="703" t="s">
        <v>1370</v>
      </c>
    </row>
    <row r="172" spans="1:48" ht="14.25" customHeight="1">
      <c r="E172" s="515">
        <v>15</v>
      </c>
      <c r="F172" s="3" t="str" cm="1">
        <f t="array" aca="1" ref="F172" ca="1">OFFSET(E172,-1,1)</f>
        <v>1</v>
      </c>
      <c r="I172" s="57" t="s">
        <v>782</v>
      </c>
      <c r="J172" s="57"/>
      <c r="K172" s="57"/>
      <c r="L172" s="57"/>
      <c r="M172" s="57"/>
      <c r="N172" s="57"/>
      <c r="O172" s="57"/>
      <c r="P172" s="57"/>
      <c r="Q172" s="57"/>
      <c r="R172" s="57"/>
      <c r="S172" s="57"/>
      <c r="T172" s="365" t="b" cm="1">
        <f t="array" aca="1" ref="T172" ca="1">T171</f>
        <v>1</v>
      </c>
      <c r="X172" s="1123"/>
      <c r="Z172" s="1184"/>
      <c r="AB172" s="152" t="s">
        <v>1842</v>
      </c>
      <c r="AC172" s="259" t="s">
        <v>1843</v>
      </c>
      <c r="AD172" s="26" t="s">
        <v>804</v>
      </c>
      <c r="AE172" s="147"/>
      <c r="AF172" s="147"/>
      <c r="AG172" s="147"/>
      <c r="AH172" s="190">
        <f t="shared" si="11"/>
        <v>0</v>
      </c>
      <c r="AI172" s="147"/>
      <c r="AJ172" s="147"/>
      <c r="AK172" s="147"/>
      <c r="AL172" s="190">
        <f t="shared" si="10"/>
        <v>0</v>
      </c>
      <c r="AM172" s="215"/>
      <c r="AN172" s="215"/>
      <c r="AO172" s="215"/>
      <c r="AR172" s="703" t="s">
        <v>1247</v>
      </c>
    </row>
    <row r="173" spans="1:48" s="948" customFormat="1" ht="21.75" customHeight="1">
      <c r="A173" s="434"/>
      <c r="B173" s="434"/>
      <c r="C173" s="434"/>
      <c r="D173" s="434"/>
      <c r="E173" s="516">
        <v>22.5</v>
      </c>
      <c r="F173" s="3" t="str" cm="1">
        <f t="array" aca="1" ref="F173" ca="1">OFFSET(E173,-1,1)</f>
        <v>1</v>
      </c>
      <c r="G173" s="434"/>
      <c r="H173" s="434"/>
      <c r="I173" s="173" t="s">
        <v>783</v>
      </c>
      <c r="J173" s="173"/>
      <c r="K173" s="173"/>
      <c r="L173" s="173"/>
      <c r="M173" s="173"/>
      <c r="N173" s="173"/>
      <c r="O173" s="173"/>
      <c r="P173" s="173"/>
      <c r="Q173" s="173"/>
      <c r="R173" s="173"/>
      <c r="S173" s="173"/>
      <c r="T173" s="365" t="b" cm="1">
        <f t="array" aca="1" ref="T173" ca="1">T172</f>
        <v>1</v>
      </c>
      <c r="U173" s="434"/>
      <c r="V173" s="434"/>
      <c r="W173" s="434"/>
      <c r="X173" s="1123"/>
      <c r="Y173" s="434"/>
      <c r="Z173" s="1184"/>
      <c r="AA173" s="434"/>
      <c r="AB173" s="150" t="s">
        <v>258</v>
      </c>
      <c r="AC173" s="144" t="s">
        <v>1844</v>
      </c>
      <c r="AD173" s="143" t="s">
        <v>804</v>
      </c>
      <c r="AE173" s="145">
        <f>AE174+AE175</f>
        <v>0</v>
      </c>
      <c r="AF173" s="145">
        <f>AF174+AF175</f>
        <v>0</v>
      </c>
      <c r="AG173" s="145">
        <f>AG174+AG175</f>
        <v>0</v>
      </c>
      <c r="AH173" s="145">
        <f t="shared" si="11"/>
        <v>0</v>
      </c>
      <c r="AI173" s="145">
        <f>AI174+AI175</f>
        <v>0</v>
      </c>
      <c r="AJ173" s="145">
        <f>AJ174+AJ175</f>
        <v>0</v>
      </c>
      <c r="AK173" s="145">
        <f>AK174+AK175</f>
        <v>0</v>
      </c>
      <c r="AL173" s="145">
        <f t="shared" si="10"/>
        <v>0</v>
      </c>
      <c r="AM173" s="566"/>
      <c r="AN173" s="566"/>
      <c r="AO173" s="566"/>
      <c r="AP173" s="434"/>
      <c r="AQ173" s="434"/>
      <c r="AR173" s="704" t="s">
        <v>1547</v>
      </c>
      <c r="AS173" s="704"/>
      <c r="AT173" s="704"/>
      <c r="AU173" s="516"/>
      <c r="AV173" s="516"/>
    </row>
    <row r="174" spans="1:48" ht="21.75" customHeight="1">
      <c r="E174" s="515">
        <v>22.5</v>
      </c>
      <c r="F174" s="3" t="str" cm="1">
        <f t="array" aca="1" ref="F174" ca="1">OFFSET(E174,-1,1)</f>
        <v>1</v>
      </c>
      <c r="I174" s="57" t="s">
        <v>1845</v>
      </c>
      <c r="J174" s="57"/>
      <c r="K174" s="57"/>
      <c r="L174" s="57"/>
      <c r="M174" s="57"/>
      <c r="N174" s="57"/>
      <c r="O174" s="57"/>
      <c r="P174" s="57"/>
      <c r="Q174" s="57"/>
      <c r="R174" s="57"/>
      <c r="S174" s="57"/>
      <c r="T174" s="365" t="b" cm="1">
        <f t="array" aca="1" ref="T174" ca="1">T173</f>
        <v>1</v>
      </c>
      <c r="X174" s="1123"/>
      <c r="Z174" s="1184"/>
      <c r="AB174" s="152" t="s">
        <v>1846</v>
      </c>
      <c r="AC174" s="560" t="s">
        <v>1548</v>
      </c>
      <c r="AD174" s="26" t="s">
        <v>804</v>
      </c>
      <c r="AE174" s="147"/>
      <c r="AF174" s="147"/>
      <c r="AG174" s="147"/>
      <c r="AH174" s="190">
        <f t="shared" si="11"/>
        <v>0</v>
      </c>
      <c r="AI174" s="147"/>
      <c r="AJ174" s="147"/>
      <c r="AK174" s="147"/>
      <c r="AL174" s="190">
        <f t="shared" si="10"/>
        <v>0</v>
      </c>
      <c r="AM174" s="215"/>
      <c r="AN174" s="215"/>
      <c r="AO174" s="215"/>
      <c r="AR174" s="703" t="s">
        <v>1586</v>
      </c>
    </row>
    <row r="175" spans="1:48" ht="21.75" customHeight="1">
      <c r="E175" s="515">
        <v>22.5</v>
      </c>
      <c r="F175" s="3" t="str" cm="1">
        <f t="array" aca="1" ref="F175" ca="1">OFFSET(E175,-1,1)</f>
        <v>1</v>
      </c>
      <c r="I175" s="57" t="s">
        <v>1847</v>
      </c>
      <c r="J175" s="57"/>
      <c r="K175" s="57"/>
      <c r="L175" s="57"/>
      <c r="M175" s="57"/>
      <c r="N175" s="57"/>
      <c r="O175" s="57"/>
      <c r="P175" s="57"/>
      <c r="Q175" s="57"/>
      <c r="R175" s="57"/>
      <c r="S175" s="57"/>
      <c r="T175" s="365" t="b" cm="1">
        <f t="array" aca="1" ref="T175" ca="1">T174</f>
        <v>1</v>
      </c>
      <c r="X175" s="1123"/>
      <c r="Z175" s="1184"/>
      <c r="AB175" s="152" t="s">
        <v>1848</v>
      </c>
      <c r="AC175" s="560" t="s">
        <v>1550</v>
      </c>
      <c r="AD175" s="26" t="s">
        <v>804</v>
      </c>
      <c r="AE175" s="147"/>
      <c r="AF175" s="147"/>
      <c r="AG175" s="147"/>
      <c r="AH175" s="190">
        <f t="shared" si="11"/>
        <v>0</v>
      </c>
      <c r="AI175" s="147"/>
      <c r="AJ175" s="147"/>
      <c r="AK175" s="147"/>
      <c r="AL175" s="190">
        <f t="shared" si="10"/>
        <v>0</v>
      </c>
      <c r="AM175" s="215"/>
      <c r="AN175" s="215"/>
      <c r="AO175" s="215"/>
      <c r="AR175" s="703" t="s">
        <v>1849</v>
      </c>
    </row>
    <row r="176" spans="1:48" ht="14.25" customHeight="1">
      <c r="E176" s="515">
        <v>15</v>
      </c>
      <c r="F176" s="3" t="str" cm="1">
        <f t="array" aca="1" ref="F176" ca="1">OFFSET(E176,-1,1)</f>
        <v>1</v>
      </c>
      <c r="I176" s="57" t="s">
        <v>1850</v>
      </c>
      <c r="J176" s="57"/>
      <c r="K176" s="57"/>
      <c r="L176" s="57"/>
      <c r="M176" s="57"/>
      <c r="N176" s="57"/>
      <c r="O176" s="57"/>
      <c r="P176" s="57"/>
      <c r="Q176" s="57"/>
      <c r="R176" s="57"/>
      <c r="S176" s="57"/>
      <c r="T176" s="365" t="b" cm="1">
        <f t="array" aca="1" ref="T176" ca="1">T175</f>
        <v>1</v>
      </c>
      <c r="X176" s="1123"/>
      <c r="Z176" s="1184"/>
      <c r="AB176" s="561" t="s">
        <v>336</v>
      </c>
      <c r="AC176" s="567" t="s">
        <v>1552</v>
      </c>
      <c r="AD176" s="26" t="s">
        <v>804</v>
      </c>
      <c r="AE176" s="147"/>
      <c r="AF176" s="147"/>
      <c r="AG176" s="147"/>
      <c r="AH176" s="190">
        <f t="shared" si="11"/>
        <v>0</v>
      </c>
      <c r="AI176" s="147"/>
      <c r="AJ176" s="147"/>
      <c r="AK176" s="147"/>
      <c r="AL176" s="190">
        <f t="shared" si="10"/>
        <v>0</v>
      </c>
      <c r="AM176" s="215"/>
      <c r="AN176" s="215"/>
      <c r="AO176" s="215"/>
      <c r="AR176" s="703" t="s">
        <v>1553</v>
      </c>
    </row>
    <row r="177" spans="1:48" ht="14.25" customHeight="1">
      <c r="E177" s="515">
        <v>15</v>
      </c>
      <c r="F177" s="3" t="str" cm="1">
        <f t="array" aca="1" ref="F177" ca="1">OFFSET(E177,-1,1)</f>
        <v>1</v>
      </c>
      <c r="I177" s="57" t="s">
        <v>1851</v>
      </c>
      <c r="J177" s="57"/>
      <c r="K177" s="57"/>
      <c r="L177" s="57"/>
      <c r="M177" s="57"/>
      <c r="N177" s="57"/>
      <c r="O177" s="57"/>
      <c r="P177" s="57"/>
      <c r="Q177" s="57"/>
      <c r="R177" s="57"/>
      <c r="S177" s="57"/>
      <c r="T177" s="365" t="b" cm="1">
        <f t="array" aca="1" ref="T177" ca="1">T176</f>
        <v>1</v>
      </c>
      <c r="X177" s="1123"/>
      <c r="Z177" s="1184"/>
      <c r="AB177" s="561" t="s">
        <v>1852</v>
      </c>
      <c r="AC177" s="567" t="s">
        <v>1554</v>
      </c>
      <c r="AD177" s="26" t="s">
        <v>804</v>
      </c>
      <c r="AE177" s="147"/>
      <c r="AF177" s="147"/>
      <c r="AG177" s="147"/>
      <c r="AH177" s="190">
        <f t="shared" si="11"/>
        <v>0</v>
      </c>
      <c r="AI177" s="147"/>
      <c r="AJ177" s="147"/>
      <c r="AK177" s="147"/>
      <c r="AL177" s="190">
        <f t="shared" si="10"/>
        <v>0</v>
      </c>
      <c r="AM177" s="215"/>
      <c r="AN177" s="215"/>
      <c r="AO177" s="215"/>
      <c r="AR177" s="703" t="s">
        <v>1555</v>
      </c>
    </row>
    <row r="178" spans="1:48" s="948" customFormat="1" ht="14.25" customHeight="1">
      <c r="A178" s="434"/>
      <c r="B178" s="434"/>
      <c r="C178" s="434"/>
      <c r="D178" s="434"/>
      <c r="E178" s="516">
        <v>15</v>
      </c>
      <c r="F178" s="3" t="str" cm="1">
        <f t="array" aca="1" ref="F178" ca="1">OFFSET(E178,-1,1)</f>
        <v>1</v>
      </c>
      <c r="G178" s="434"/>
      <c r="H178" s="434"/>
      <c r="I178" s="173" t="s">
        <v>1853</v>
      </c>
      <c r="J178" s="173"/>
      <c r="K178" s="173"/>
      <c r="L178" s="173"/>
      <c r="M178" s="173"/>
      <c r="N178" s="173"/>
      <c r="O178" s="173"/>
      <c r="P178" s="173"/>
      <c r="Q178" s="173"/>
      <c r="R178" s="173"/>
      <c r="S178" s="173"/>
      <c r="T178" s="365" t="b" cm="1">
        <f t="array" aca="1" ref="T178" ca="1">T177</f>
        <v>1</v>
      </c>
      <c r="U178" s="434"/>
      <c r="V178" s="434"/>
      <c r="W178" s="434"/>
      <c r="X178" s="1123"/>
      <c r="Y178" s="434"/>
      <c r="Z178" s="1184"/>
      <c r="AA178" s="434"/>
      <c r="AB178" s="150" t="s">
        <v>1854</v>
      </c>
      <c r="AC178" s="144" t="s">
        <v>1855</v>
      </c>
      <c r="AD178" s="143" t="s">
        <v>804</v>
      </c>
      <c r="AE178" s="145">
        <f ca="1">AE113+AE141+AE146+AE159+AE160+AE162+AE163+AE164+AE168+AE169-AE170-AE171+AE172-AE173+AE176+AE177</f>
        <v>11943.445543950522</v>
      </c>
      <c r="AF178" s="145">
        <f ca="1">AF113+AF141+AF146+AF159+AF160+AF162+AF163+AF164+AF168+AF169-AF170-AF171+AF172-AF173+AF176+AF177</f>
        <v>13897.220759999998</v>
      </c>
      <c r="AG178" s="145">
        <f ca="1">AG113+AG141+AG146+AG159+AG160+AG162+AG163+AG164+AG168+AG169-AG170-AG171+AG172-AG173+AG176+AG177</f>
        <v>13166.740759999999</v>
      </c>
      <c r="AH178" s="145">
        <f t="shared" ca="1" si="11"/>
        <v>-730.47999999999956</v>
      </c>
      <c r="AI178" s="145">
        <f ca="1">AI113+AI141+AI146+AI159+AI160+AI162+AI163+AI164+AI168+AI169-AI170-AI171+AI172-AI173+AI176+AI177</f>
        <v>13080.642576149901</v>
      </c>
      <c r="AJ178" s="145">
        <f ca="1">AJ113+AJ141+AJ146+AJ159+AJ160+AJ162+AJ163+AJ164+AJ168+AJ169-AJ170-AJ171+AJ172-AJ173+AJ176+AJ177</f>
        <v>16330.685800000003</v>
      </c>
      <c r="AK178" s="145">
        <f ca="1">AK113+AK141+AK146+AK159+AK160+AK162+AK163+AK164+AK168+AK169-AK170-AK171+AK172-AK173+AK176+AK177</f>
        <v>15086.783299999999</v>
      </c>
      <c r="AL178" s="145">
        <f t="shared" ca="1" si="10"/>
        <v>15.336713866854822</v>
      </c>
      <c r="AM178" s="566"/>
      <c r="AN178" s="566"/>
      <c r="AO178" s="566"/>
      <c r="AP178" s="434"/>
      <c r="AQ178" s="434"/>
      <c r="AR178" s="704" t="s">
        <v>1856</v>
      </c>
      <c r="AS178" s="704"/>
      <c r="AT178" s="704"/>
      <c r="AU178" s="516"/>
      <c r="AV178" s="516"/>
    </row>
    <row r="179" spans="1:48" ht="15" hidden="1" customHeight="1">
      <c r="B179" s="291" t="b">
        <f>G112="двухставочный"</f>
        <v>0</v>
      </c>
      <c r="E179" s="515">
        <v>0</v>
      </c>
      <c r="F179" s="3" t="str" cm="1">
        <f t="array" aca="1" ref="F179" ca="1">OFFSET(E179,-1,1)</f>
        <v>1</v>
      </c>
      <c r="I179" s="57" t="s">
        <v>1857</v>
      </c>
      <c r="J179" s="57"/>
      <c r="K179" s="57"/>
      <c r="L179" s="57"/>
      <c r="M179" s="57"/>
      <c r="N179" s="57"/>
      <c r="O179" s="57"/>
      <c r="P179" s="57"/>
      <c r="Q179" s="57"/>
      <c r="R179" s="57"/>
      <c r="S179" s="57"/>
      <c r="T179" s="365" t="b" cm="1">
        <f t="array" aca="1" ref="T179" ca="1">T178</f>
        <v>1</v>
      </c>
      <c r="X179" s="1123"/>
      <c r="Z179" s="1184"/>
      <c r="AB179" s="152" t="s">
        <v>1858</v>
      </c>
      <c r="AC179" s="560" t="s">
        <v>1859</v>
      </c>
      <c r="AD179" s="26" t="s">
        <v>804</v>
      </c>
      <c r="AE179" s="787"/>
      <c r="AF179" s="787"/>
      <c r="AG179" s="787"/>
      <c r="AH179" s="190">
        <f t="shared" si="11"/>
        <v>0</v>
      </c>
      <c r="AI179" s="787"/>
      <c r="AJ179" s="787"/>
      <c r="AK179" s="787"/>
      <c r="AL179" s="190">
        <f t="shared" si="10"/>
        <v>0</v>
      </c>
      <c r="AM179" s="784"/>
      <c r="AN179" s="784"/>
      <c r="AO179" s="784"/>
      <c r="AR179" s="703" t="s">
        <v>1860</v>
      </c>
    </row>
    <row r="180" spans="1:48" ht="15" hidden="1" customHeight="1">
      <c r="B180" s="291" t="b">
        <f>G112="двухставочный"</f>
        <v>0</v>
      </c>
      <c r="E180" s="515">
        <v>0</v>
      </c>
      <c r="F180" s="3" t="str" cm="1">
        <f t="array" aca="1" ref="F180" ca="1">OFFSET(E180,-1,1)</f>
        <v>1</v>
      </c>
      <c r="I180" s="57" t="s">
        <v>1861</v>
      </c>
      <c r="J180" s="57"/>
      <c r="K180" s="57"/>
      <c r="L180" s="57"/>
      <c r="M180" s="57"/>
      <c r="N180" s="57"/>
      <c r="O180" s="57"/>
      <c r="P180" s="57"/>
      <c r="Q180" s="57"/>
      <c r="R180" s="57"/>
      <c r="S180" s="57"/>
      <c r="T180" s="365" t="b" cm="1">
        <f t="array" aca="1" ref="T180" ca="1">T179</f>
        <v>1</v>
      </c>
      <c r="X180" s="1123"/>
      <c r="Z180" s="1184"/>
      <c r="AB180" s="152" t="s">
        <v>1862</v>
      </c>
      <c r="AC180" s="560" t="s">
        <v>1863</v>
      </c>
      <c r="AD180" s="26" t="s">
        <v>804</v>
      </c>
      <c r="AE180" s="787"/>
      <c r="AF180" s="787"/>
      <c r="AG180" s="787"/>
      <c r="AH180" s="190">
        <f t="shared" si="11"/>
        <v>0</v>
      </c>
      <c r="AI180" s="787"/>
      <c r="AJ180" s="787"/>
      <c r="AK180" s="787"/>
      <c r="AL180" s="190">
        <f t="shared" si="10"/>
        <v>0</v>
      </c>
      <c r="AM180" s="784"/>
      <c r="AN180" s="784"/>
      <c r="AO180" s="784"/>
      <c r="AR180" s="703" t="s">
        <v>1864</v>
      </c>
    </row>
    <row r="181" spans="1:48" s="948" customFormat="1" ht="14.25" customHeight="1">
      <c r="A181" s="434"/>
      <c r="B181" s="434"/>
      <c r="C181" s="434"/>
      <c r="D181" s="434"/>
      <c r="E181" s="516">
        <v>15</v>
      </c>
      <c r="F181" s="3" t="str" cm="1">
        <f t="array" aca="1" ref="F181" ca="1">OFFSET(E181,-1,1)</f>
        <v>1</v>
      </c>
      <c r="G181" s="91" t="s">
        <v>1633</v>
      </c>
      <c r="H181" s="434"/>
      <c r="I181" s="173" t="s">
        <v>1865</v>
      </c>
      <c r="J181" s="173"/>
      <c r="K181" s="173"/>
      <c r="L181" s="173"/>
      <c r="M181" s="173"/>
      <c r="N181" s="173"/>
      <c r="O181" s="173"/>
      <c r="P181" s="173"/>
      <c r="Q181" s="173"/>
      <c r="R181" s="173"/>
      <c r="S181" s="173"/>
      <c r="T181" s="365" t="b" cm="1">
        <f t="array" aca="1" ref="T181" ca="1">T180</f>
        <v>1</v>
      </c>
      <c r="U181" s="434"/>
      <c r="V181" s="434"/>
      <c r="W181" s="434"/>
      <c r="X181" s="1123"/>
      <c r="Y181" s="434"/>
      <c r="Z181" s="1184"/>
      <c r="AA181" s="434"/>
      <c r="AB181" s="150" t="s">
        <v>1866</v>
      </c>
      <c r="AC181" s="144" t="s">
        <v>1867</v>
      </c>
      <c r="AD181" s="143" t="s">
        <v>534</v>
      </c>
      <c r="AE181" s="562">
        <f ca="1">SUMIFS(Баланс!AE$26:AE$300,Баланс!$F$26:$F$300,$F181,Баланс!$G$26:$G$300,"ПО")</f>
        <v>976.59204435740003</v>
      </c>
      <c r="AF181" s="562">
        <f ca="1">SUMIFS(Баланс!AF$26:AF$300,Баланс!$F$26:$F$300,$F181,Баланс!$G$26:$G$300,"ПО")</f>
        <v>961.84399999999994</v>
      </c>
      <c r="AG181" s="562">
        <f ca="1">SUMIFS(Баланс!AG$26:AG$300,Баланс!$F$26:$F$300,$F181,Баланс!$G$26:$G$300,"ПО")</f>
        <v>961.84399999999994</v>
      </c>
      <c r="AH181" s="562">
        <f t="shared" ca="1" si="11"/>
        <v>0</v>
      </c>
      <c r="AI181" s="562">
        <f ca="1">SUMIFS(Баланс!AH$26:AH$300,Баланс!$F$26:$F$300,$F181,Баланс!$G$26:$G$300,"ПО")</f>
        <v>973.04300000000001</v>
      </c>
      <c r="AJ181" s="562">
        <f ca="1">SUMIFS(Баланс!AI$26:AI$300,Баланс!$F$26:$F$300,$F181,Баланс!$G$26:$G$300,"ПО")</f>
        <v>960.18599999999992</v>
      </c>
      <c r="AK181" s="562">
        <f ca="1">SUMIFS(Баланс!AS$26:AS$300,Баланс!$F$26:$F$300,$F181,Баланс!$G$26:$G$300,"ПО")</f>
        <v>961.84399999999994</v>
      </c>
      <c r="AL181" s="148"/>
      <c r="AM181" s="566"/>
      <c r="AN181" s="566"/>
      <c r="AO181" s="566"/>
      <c r="AP181" s="434"/>
      <c r="AQ181" s="434"/>
      <c r="AR181" s="704" t="s">
        <v>1868</v>
      </c>
      <c r="AS181" s="704"/>
      <c r="AT181" s="704"/>
      <c r="AU181" s="516"/>
      <c r="AV181" s="516"/>
    </row>
    <row r="182" spans="1:48" ht="14.25" customHeight="1">
      <c r="E182" s="515">
        <v>15</v>
      </c>
      <c r="F182" s="3" t="str" cm="1">
        <f t="array" aca="1" ref="F182" ca="1">OFFSET(E182,-1,1)</f>
        <v>1</v>
      </c>
      <c r="G182" s="91" t="s">
        <v>1660</v>
      </c>
      <c r="I182" s="57" t="s">
        <v>1869</v>
      </c>
      <c r="J182" s="57"/>
      <c r="K182" s="57"/>
      <c r="L182" s="57"/>
      <c r="M182" s="57"/>
      <c r="N182" s="57"/>
      <c r="O182" s="57"/>
      <c r="P182" s="57"/>
      <c r="Q182" s="57"/>
      <c r="R182" s="57"/>
      <c r="S182" s="57"/>
      <c r="T182" s="365" t="b" cm="1">
        <f t="array" aca="1" ref="T182" ca="1">T181</f>
        <v>1</v>
      </c>
      <c r="X182" s="1123"/>
      <c r="Z182" s="1184"/>
      <c r="AB182" s="152" t="s">
        <v>1870</v>
      </c>
      <c r="AC182" s="146" t="s">
        <v>1871</v>
      </c>
      <c r="AD182" s="26" t="s">
        <v>534</v>
      </c>
      <c r="AE182" s="455">
        <f ca="1">IF(AE$24="2026 год",AE181/12*9,AE181/2)</f>
        <v>488.29602217870001</v>
      </c>
      <c r="AF182" s="455">
        <f ca="1">IF(AF$24="2026 год",AF181/12*9,AF181/2)</f>
        <v>480.92199999999997</v>
      </c>
      <c r="AG182" s="455">
        <f ca="1">IF(AG$24="2026 год",AG181/12*9,AG181/2)</f>
        <v>480.92199999999997</v>
      </c>
      <c r="AH182" s="568">
        <f t="shared" ca="1" si="11"/>
        <v>0</v>
      </c>
      <c r="AI182" s="455">
        <f ca="1">IF(AI$24="2026 год",AI181/12*9,AI181/2)</f>
        <v>486.5215</v>
      </c>
      <c r="AJ182" s="455">
        <f ca="1">IF(AJ$24="2026 год",AJ181/12*9,AJ181/2)</f>
        <v>720.13949999999988</v>
      </c>
      <c r="AK182" s="455">
        <f ca="1">IF(AK$24="2026 год",AK181/12*9,AK181/2)</f>
        <v>721.38300000000004</v>
      </c>
      <c r="AL182" s="552"/>
      <c r="AM182" s="215"/>
      <c r="AN182" s="215"/>
      <c r="AO182" s="215"/>
      <c r="AR182" s="703" t="s">
        <v>1872</v>
      </c>
    </row>
    <row r="183" spans="1:48" ht="14.25" customHeight="1">
      <c r="E183" s="515">
        <v>15</v>
      </c>
      <c r="F183" s="3" t="str" cm="1">
        <f t="array" aca="1" ref="F183" ca="1">OFFSET(E183,-1,1)</f>
        <v>1</v>
      </c>
      <c r="G183" s="91" t="s">
        <v>1621</v>
      </c>
      <c r="I183" s="57" t="s">
        <v>1873</v>
      </c>
      <c r="J183" s="57"/>
      <c r="K183" s="57"/>
      <c r="L183" s="57"/>
      <c r="M183" s="57"/>
      <c r="N183" s="57"/>
      <c r="O183" s="57"/>
      <c r="P183" s="57"/>
      <c r="Q183" s="57"/>
      <c r="R183" s="57"/>
      <c r="S183" s="57"/>
      <c r="T183" s="365" t="b" cm="1">
        <f t="array" aca="1" ref="T183" ca="1">T182</f>
        <v>1</v>
      </c>
      <c r="X183" s="1123"/>
      <c r="Z183" s="1184"/>
      <c r="AB183" s="152" t="s">
        <v>1874</v>
      </c>
      <c r="AC183" s="146" t="s">
        <v>1875</v>
      </c>
      <c r="AD183" s="26" t="s">
        <v>1624</v>
      </c>
      <c r="AE183" s="147"/>
      <c r="AF183" s="147"/>
      <c r="AG183" s="147"/>
      <c r="AH183" s="190">
        <f t="shared" si="11"/>
        <v>0</v>
      </c>
      <c r="AI183" s="147"/>
      <c r="AJ183" s="147"/>
      <c r="AK183" s="147"/>
      <c r="AL183" s="552"/>
      <c r="AM183" s="215"/>
      <c r="AN183" s="215"/>
      <c r="AO183" s="215"/>
      <c r="AR183" s="703" t="s">
        <v>1876</v>
      </c>
    </row>
    <row r="184" spans="1:48" ht="14.25" customHeight="1">
      <c r="E184" s="515">
        <v>15</v>
      </c>
      <c r="F184" s="3" t="str" cm="1">
        <f t="array" aca="1" ref="F184" ca="1">OFFSET(E184,-1,1)</f>
        <v>1</v>
      </c>
      <c r="G184" s="91" t="s">
        <v>1673</v>
      </c>
      <c r="I184" s="57" t="s">
        <v>1877</v>
      </c>
      <c r="J184" s="57"/>
      <c r="K184" s="57"/>
      <c r="L184" s="57"/>
      <c r="M184" s="57"/>
      <c r="N184" s="57"/>
      <c r="O184" s="57"/>
      <c r="P184" s="57"/>
      <c r="Q184" s="57"/>
      <c r="R184" s="57"/>
      <c r="S184" s="57"/>
      <c r="T184" s="365" t="b" cm="1">
        <f t="array" aca="1" ref="T184" ca="1">T183</f>
        <v>1</v>
      </c>
      <c r="X184" s="1123"/>
      <c r="Z184" s="1184"/>
      <c r="AB184" s="152" t="s">
        <v>1878</v>
      </c>
      <c r="AC184" s="146" t="s">
        <v>1879</v>
      </c>
      <c r="AD184" s="26" t="s">
        <v>534</v>
      </c>
      <c r="AE184" s="568">
        <f ca="1">AE181-AE182</f>
        <v>488.29602217870001</v>
      </c>
      <c r="AF184" s="568">
        <f ca="1">AF181-AF182</f>
        <v>480.92199999999997</v>
      </c>
      <c r="AG184" s="568">
        <f ca="1">AG181-AG182</f>
        <v>480.92199999999997</v>
      </c>
      <c r="AH184" s="568">
        <f t="shared" ca="1" si="11"/>
        <v>0</v>
      </c>
      <c r="AI184" s="568">
        <f ca="1">AI181-AI182</f>
        <v>486.5215</v>
      </c>
      <c r="AJ184" s="568">
        <f ca="1">AJ181-AJ182</f>
        <v>240.04650000000004</v>
      </c>
      <c r="AK184" s="568">
        <f ca="1">AK181-AK182</f>
        <v>240.4609999999999</v>
      </c>
      <c r="AL184" s="552"/>
      <c r="AM184" s="215"/>
      <c r="AN184" s="215"/>
      <c r="AO184" s="215"/>
      <c r="AR184" s="703" t="s">
        <v>1880</v>
      </c>
    </row>
    <row r="185" spans="1:48" ht="14.25" customHeight="1">
      <c r="E185" s="515">
        <v>15</v>
      </c>
      <c r="F185" s="3" t="str" cm="1">
        <f t="array" aca="1" ref="F185" ca="1">OFFSET(E185,-1,1)</f>
        <v>1</v>
      </c>
      <c r="G185" s="91" t="s">
        <v>1626</v>
      </c>
      <c r="I185" s="57" t="s">
        <v>1881</v>
      </c>
      <c r="J185" s="57"/>
      <c r="K185" s="57"/>
      <c r="L185" s="57"/>
      <c r="M185" s="57"/>
      <c r="N185" s="57"/>
      <c r="O185" s="57"/>
      <c r="P185" s="57"/>
      <c r="Q185" s="57"/>
      <c r="R185" s="57"/>
      <c r="S185" s="57"/>
      <c r="T185" s="365" t="b" cm="1">
        <f t="array" aca="1" ref="T185" ca="1">T184</f>
        <v>1</v>
      </c>
      <c r="X185" s="1123"/>
      <c r="Z185" s="1184"/>
      <c r="AB185" s="152" t="s">
        <v>1882</v>
      </c>
      <c r="AC185" s="146" t="s">
        <v>1883</v>
      </c>
      <c r="AD185" s="26" t="s">
        <v>1624</v>
      </c>
      <c r="AE185" s="147">
        <f ca="1">IF(AE184=0,0,(AE178-AE182*AE183)/AE184)</f>
        <v>24.459436492357131</v>
      </c>
      <c r="AF185" s="147">
        <f ca="1">IF(AF184=0,0,(AF178-AF182*AF183)/AF184)</f>
        <v>28.897036858367883</v>
      </c>
      <c r="AG185" s="147">
        <f ca="1">IF(AG184=0,0,(AG178-AG182*AG183)/AG184)</f>
        <v>27.378121109036393</v>
      </c>
      <c r="AH185" s="190">
        <f t="shared" ca="1" si="11"/>
        <v>-1.5189157493314909</v>
      </c>
      <c r="AI185" s="147">
        <f ca="1">IF(AI184=0,0,(AI178-AI182*AI183)/AI184)</f>
        <v>26.886052468698509</v>
      </c>
      <c r="AJ185" s="147">
        <f ca="1">IF(AJ184=0,0,(AJ178-AJ182*AJ183)/AJ184)</f>
        <v>68.031343093942212</v>
      </c>
      <c r="AK185" s="147">
        <f ca="1">IF(AK184=0,0,(AK178-AK182*AK183)/AK184)</f>
        <v>62.741081921808551</v>
      </c>
      <c r="AL185" s="552"/>
      <c r="AM185" s="215"/>
      <c r="AN185" s="215"/>
      <c r="AO185" s="215"/>
      <c r="AR185" s="703" t="s">
        <v>1884</v>
      </c>
    </row>
    <row r="186" spans="1:48" ht="14.25" customHeight="1">
      <c r="E186" s="515">
        <v>15</v>
      </c>
      <c r="F186" s="3" t="str" cm="1">
        <f t="array" aca="1" ref="F186" ca="1">OFFSET(E186,-1,1)</f>
        <v>1</v>
      </c>
      <c r="G186" s="91"/>
      <c r="I186" s="57" t="s">
        <v>1885</v>
      </c>
      <c r="J186" s="57"/>
      <c r="K186" s="57"/>
      <c r="L186" s="57"/>
      <c r="M186" s="57"/>
      <c r="N186" s="57"/>
      <c r="O186" s="57"/>
      <c r="P186" s="57"/>
      <c r="Q186" s="57"/>
      <c r="R186" s="57"/>
      <c r="S186" s="57"/>
      <c r="T186" s="365" t="b" cm="1">
        <f t="array" aca="1" ref="T186" ca="1">T185</f>
        <v>1</v>
      </c>
      <c r="X186" s="1123"/>
      <c r="Z186" s="1184"/>
      <c r="AB186" s="152" t="s">
        <v>1886</v>
      </c>
      <c r="AC186" s="146" t="s">
        <v>1887</v>
      </c>
      <c r="AD186" s="26" t="s">
        <v>456</v>
      </c>
      <c r="AE186" s="190">
        <f>IF(AE183=0,0,AE185/AE183*100)</f>
        <v>0</v>
      </c>
      <c r="AF186" s="190">
        <f>IF(AF183=0,0,AF185/AF183*100)</f>
        <v>0</v>
      </c>
      <c r="AG186" s="190">
        <f>IF(AG183=0,0,AG185/AG183*100)</f>
        <v>0</v>
      </c>
      <c r="AH186" s="552"/>
      <c r="AI186" s="190">
        <f>IF(AI183=0,0,AI185/AI183*100)</f>
        <v>0</v>
      </c>
      <c r="AJ186" s="190">
        <f>IF(AJ183=0,0,AJ185/AJ183*100)</f>
        <v>0</v>
      </c>
      <c r="AK186" s="190">
        <f>IF(AK183=0,0,AK185/AK183*100)</f>
        <v>0</v>
      </c>
      <c r="AL186" s="552"/>
      <c r="AM186" s="215"/>
      <c r="AN186" s="215"/>
      <c r="AO186" s="215"/>
      <c r="AR186" s="703" t="s">
        <v>1888</v>
      </c>
    </row>
    <row r="187" spans="1:48" ht="14.25" customHeight="1">
      <c r="E187" s="515">
        <v>15</v>
      </c>
      <c r="F187" s="3" t="str" cm="1">
        <f t="array" aca="1" ref="F187" ca="1">OFFSET(E187,-1,1)</f>
        <v>1</v>
      </c>
      <c r="G187" s="91"/>
      <c r="I187" s="57" t="s">
        <v>1889</v>
      </c>
      <c r="J187" s="57"/>
      <c r="K187" s="57"/>
      <c r="L187" s="57"/>
      <c r="M187" s="57"/>
      <c r="N187" s="57"/>
      <c r="O187" s="57"/>
      <c r="P187" s="57"/>
      <c r="Q187" s="57"/>
      <c r="R187" s="57"/>
      <c r="S187" s="57"/>
      <c r="T187" s="365" t="b" cm="1">
        <f t="array" aca="1" ref="T187" ca="1">T186</f>
        <v>1</v>
      </c>
      <c r="X187" s="1123"/>
      <c r="Z187" s="1184"/>
      <c r="AB187" s="152" t="s">
        <v>1890</v>
      </c>
      <c r="AC187" s="146" t="s">
        <v>1891</v>
      </c>
      <c r="AD187" s="26" t="s">
        <v>1624</v>
      </c>
      <c r="AE187" s="147">
        <f ca="1">IF(AE181=0,0,AE178/AE181)</f>
        <v>12.229718246178566</v>
      </c>
      <c r="AF187" s="147">
        <f ca="1">IF(AF181=0,0,AF178/AF181)</f>
        <v>14.448518429183942</v>
      </c>
      <c r="AG187" s="147">
        <f ca="1">IF(AG181=0,0,AG178/AG181)</f>
        <v>13.689060554518196</v>
      </c>
      <c r="AH187" s="190">
        <f ca="1">AG187-AF187</f>
        <v>-0.75945787466574544</v>
      </c>
      <c r="AI187" s="147">
        <f ca="1">IF(AI181=0,0,AI178/AI181)</f>
        <v>13.443026234349254</v>
      </c>
      <c r="AJ187" s="147">
        <f ca="1">IF(AJ181=0,0,AJ178/AJ181)</f>
        <v>17.007835773485557</v>
      </c>
      <c r="AK187" s="147">
        <f ca="1">IF(AK181=0,0,AK178/AK181)</f>
        <v>15.685270480452132</v>
      </c>
      <c r="AL187" s="552"/>
      <c r="AM187" s="215"/>
      <c r="AN187" s="215"/>
      <c r="AO187" s="215"/>
      <c r="AR187" s="703" t="s">
        <v>1892</v>
      </c>
    </row>
    <row r="188" spans="1:48" s="948" customFormat="1" ht="14.25" customHeight="1">
      <c r="A188" s="434"/>
      <c r="B188" s="434"/>
      <c r="C188" s="434"/>
      <c r="D188" s="434"/>
      <c r="E188" s="516">
        <v>15</v>
      </c>
      <c r="F188" s="3" t="str" cm="1">
        <f t="array" aca="1" ref="F188" ca="1">OFFSET(E188,-1,1)</f>
        <v>1</v>
      </c>
      <c r="G188" s="95"/>
      <c r="H188" s="434"/>
      <c r="I188" s="173" t="s">
        <v>1893</v>
      </c>
      <c r="J188" s="173"/>
      <c r="K188" s="173"/>
      <c r="L188" s="173"/>
      <c r="M188" s="173"/>
      <c r="N188" s="173"/>
      <c r="O188" s="173"/>
      <c r="P188" s="173"/>
      <c r="Q188" s="173"/>
      <c r="R188" s="173"/>
      <c r="S188" s="173"/>
      <c r="T188" s="365" t="b" cm="1">
        <f t="array" aca="1" ref="T188" ca="1">T187</f>
        <v>1</v>
      </c>
      <c r="U188" s="434"/>
      <c r="V188" s="434"/>
      <c r="W188" s="434"/>
      <c r="X188" s="1123"/>
      <c r="Y188" s="434"/>
      <c r="Z188" s="1184"/>
      <c r="AA188" s="434"/>
      <c r="AB188" s="150" t="s">
        <v>1894</v>
      </c>
      <c r="AC188" s="144" t="s">
        <v>1895</v>
      </c>
      <c r="AD188" s="143" t="s">
        <v>804</v>
      </c>
      <c r="AE188" s="157">
        <f ca="1">IF(AE181=0,0,AE178/AE181*AE189)</f>
        <v>6505.2953570758755</v>
      </c>
      <c r="AF188" s="157">
        <f ca="1">IF(AF181=0,0,AF178/AF181*AF189)</f>
        <v>7635.7096738998416</v>
      </c>
      <c r="AG188" s="157">
        <f ca="1">IF(AG181=0,0,AG178/AG181*AG189)</f>
        <v>7234.3536546701125</v>
      </c>
      <c r="AH188" s="145">
        <f ca="1">AH190*AH191+AH192*AH193</f>
        <v>0</v>
      </c>
      <c r="AI188" s="157">
        <f ca="1">IF(AI181=0,0,AI178/AI181*AI189)</f>
        <v>7265.7540342722568</v>
      </c>
      <c r="AJ188" s="157">
        <f ca="1">IF(AJ181=0,0,AJ178/AJ181*AJ189)</f>
        <v>8996.0396148485816</v>
      </c>
      <c r="AK188" s="157">
        <f ca="1">IF(AK181=0,0,AK178/AK181*AK189)</f>
        <v>8289.3046876979006</v>
      </c>
      <c r="AL188" s="145">
        <f ca="1">IF(AI188=0,0,(AK188-AI188)/AI188*100)</f>
        <v>14.087328701158865</v>
      </c>
      <c r="AM188" s="566"/>
      <c r="AN188" s="566"/>
      <c r="AO188" s="566"/>
      <c r="AP188" s="434"/>
      <c r="AQ188" s="434"/>
      <c r="AR188" s="704" t="s">
        <v>1896</v>
      </c>
      <c r="AS188" s="704"/>
      <c r="AT188" s="704"/>
      <c r="AU188" s="516"/>
      <c r="AV188" s="516"/>
    </row>
    <row r="189" spans="1:48" s="948" customFormat="1" ht="14.25" customHeight="1">
      <c r="A189" s="434"/>
      <c r="B189" s="434"/>
      <c r="C189" s="434"/>
      <c r="D189" s="434"/>
      <c r="E189" s="516">
        <v>15</v>
      </c>
      <c r="F189" s="3" t="str" cm="1">
        <f t="array" aca="1" ref="F189" ca="1">OFFSET(E189,-1,1)</f>
        <v>1</v>
      </c>
      <c r="G189" s="91" t="s">
        <v>1646</v>
      </c>
      <c r="H189" s="434"/>
      <c r="I189" s="173" t="s">
        <v>1897</v>
      </c>
      <c r="J189" s="173"/>
      <c r="K189" s="173"/>
      <c r="L189" s="173"/>
      <c r="M189" s="173"/>
      <c r="N189" s="173"/>
      <c r="O189" s="173"/>
      <c r="P189" s="173"/>
      <c r="Q189" s="173"/>
      <c r="R189" s="173"/>
      <c r="S189" s="173"/>
      <c r="T189" s="365" t="b" cm="1">
        <f t="array" aca="1" ref="T189" ca="1">T188</f>
        <v>1</v>
      </c>
      <c r="U189" s="434"/>
      <c r="V189" s="434"/>
      <c r="W189" s="434"/>
      <c r="X189" s="1123"/>
      <c r="Y189" s="434"/>
      <c r="Z189" s="1184"/>
      <c r="AA189" s="434"/>
      <c r="AB189" s="150" t="s">
        <v>1898</v>
      </c>
      <c r="AC189" s="144" t="s">
        <v>1899</v>
      </c>
      <c r="AD189" s="143" t="s">
        <v>534</v>
      </c>
      <c r="AE189" s="562">
        <f ca="1">SUMIFS(Баланс!AE$26:AE$300,Баланс!$F$26:$F$300,$F189,Баланс!$G$26:$G$300,"население")</f>
        <v>531.92520270110003</v>
      </c>
      <c r="AF189" s="562">
        <f ca="1">SUMIFS(Баланс!AF$26:AF$300,Баланс!$F$26:$F$300,$F189,Баланс!$G$26:$G$300,"население")</f>
        <v>528.47699999999998</v>
      </c>
      <c r="AG189" s="562">
        <f ca="1">SUMIFS(Баланс!AG$26:AG$300,Баланс!$F$26:$F$300,$F189,Баланс!$G$26:$G$300,"население")</f>
        <v>528.47699999999998</v>
      </c>
      <c r="AH189" s="562">
        <f t="shared" ref="AH189:AH196" ca="1" si="12">AG189-AF189</f>
        <v>0</v>
      </c>
      <c r="AI189" s="562">
        <f ca="1">SUMIFS(Баланс!AH$26:AH$300,Баланс!$F$26:$F$300,$F189,Баланс!$G$26:$G$300,"население")</f>
        <v>540.48500000000001</v>
      </c>
      <c r="AJ189" s="562">
        <f ca="1">SUMIFS(Баланс!AI$26:AI$300,Баланс!$F$26:$F$300,$F189,Баланс!$G$26:$G$300,"население")</f>
        <v>528.93499999999995</v>
      </c>
      <c r="AK189" s="562">
        <f ca="1">SUMIFS(Баланс!AS$26:AS$300,Баланс!$F$26:$F$300,$F189,Баланс!$G$26:$G$300,"население")</f>
        <v>528.47699999999998</v>
      </c>
      <c r="AL189" s="148"/>
      <c r="AM189" s="566"/>
      <c r="AN189" s="566"/>
      <c r="AO189" s="566"/>
      <c r="AP189" s="434"/>
      <c r="AQ189" s="434"/>
      <c r="AR189" s="704" t="s">
        <v>1900</v>
      </c>
      <c r="AS189" s="704"/>
      <c r="AT189" s="704"/>
      <c r="AU189" s="516"/>
      <c r="AV189" s="516"/>
    </row>
    <row r="190" spans="1:48" ht="14.25" customHeight="1">
      <c r="E190" s="515">
        <v>15</v>
      </c>
      <c r="F190" s="3" t="str" cm="1">
        <f t="array" aca="1" ref="F190" ca="1">OFFSET(E190,-1,1)</f>
        <v>1</v>
      </c>
      <c r="G190" s="91" t="s">
        <v>1680</v>
      </c>
      <c r="I190" s="57" t="s">
        <v>1901</v>
      </c>
      <c r="J190" s="57"/>
      <c r="K190" s="57"/>
      <c r="L190" s="57"/>
      <c r="M190" s="57"/>
      <c r="N190" s="57"/>
      <c r="O190" s="57"/>
      <c r="P190" s="57"/>
      <c r="Q190" s="57"/>
      <c r="R190" s="57"/>
      <c r="S190" s="57"/>
      <c r="T190" s="365" t="b" cm="1">
        <f t="array" aca="1" ref="T190" ca="1">T189</f>
        <v>1</v>
      </c>
      <c r="X190" s="1123"/>
      <c r="Z190" s="1184"/>
      <c r="AB190" s="152" t="s">
        <v>1902</v>
      </c>
      <c r="AC190" s="146" t="s">
        <v>1903</v>
      </c>
      <c r="AD190" s="26" t="s">
        <v>534</v>
      </c>
      <c r="AE190" s="455">
        <f ca="1">IF(AE$24="2026 год",AE189/12*9,AE189/2)</f>
        <v>265.96260135055002</v>
      </c>
      <c r="AF190" s="455">
        <f ca="1">IF(AF$24="2026 год",AF189/12*9,AF189/2)</f>
        <v>264.23849999999999</v>
      </c>
      <c r="AG190" s="455">
        <f ca="1">IF(AG$24="2026 год",AG189/12*9,AG189/2)</f>
        <v>264.23849999999999</v>
      </c>
      <c r="AH190" s="568">
        <f t="shared" ca="1" si="12"/>
        <v>0</v>
      </c>
      <c r="AI190" s="455">
        <f ca="1">IF(AI$24="2026 год",AI189/12*9,AI189/2)</f>
        <v>270.24250000000001</v>
      </c>
      <c r="AJ190" s="455">
        <f ca="1">IF(AJ$24="2026 год",AJ189/12*9,AJ189/2)</f>
        <v>396.70124999999996</v>
      </c>
      <c r="AK190" s="455">
        <f ca="1">IF(AK$24="2026 год",AK189/12*9,AK189/2)</f>
        <v>396.35775000000001</v>
      </c>
      <c r="AL190" s="552"/>
      <c r="AM190" s="215"/>
      <c r="AN190" s="215"/>
      <c r="AO190" s="215"/>
      <c r="AR190" s="703" t="s">
        <v>1904</v>
      </c>
    </row>
    <row r="191" spans="1:48" ht="14.25" customHeight="1">
      <c r="E191" s="515">
        <v>15</v>
      </c>
      <c r="F191" s="3" t="str" cm="1">
        <f t="array" aca="1" ref="F191" ca="1">OFFSET(E191,-1,1)</f>
        <v>1</v>
      </c>
      <c r="G191" s="91" t="s">
        <v>1636</v>
      </c>
      <c r="I191" s="57" t="s">
        <v>1905</v>
      </c>
      <c r="J191" s="57"/>
      <c r="K191" s="57"/>
      <c r="L191" s="57"/>
      <c r="M191" s="57"/>
      <c r="N191" s="57"/>
      <c r="O191" s="57"/>
      <c r="P191" s="57"/>
      <c r="Q191" s="57"/>
      <c r="R191" s="57"/>
      <c r="S191" s="57"/>
      <c r="T191" s="365" t="b" cm="1">
        <f t="array" aca="1" ref="T191" ca="1">T190</f>
        <v>1</v>
      </c>
      <c r="X191" s="1123"/>
      <c r="Z191" s="1184"/>
      <c r="AB191" s="152" t="s">
        <v>1906</v>
      </c>
      <c r="AC191" s="146" t="s">
        <v>1907</v>
      </c>
      <c r="AD191" s="26" t="s">
        <v>1624</v>
      </c>
      <c r="AE191" s="147">
        <f ca="1">IF(AE189=0,0,AE183*(1+Сценарии!AE$26/100))</f>
        <v>0</v>
      </c>
      <c r="AF191" s="147">
        <f ca="1">IF(AF189=0,0,AF183*(1+Сценарии!AF$26/100))</f>
        <v>0</v>
      </c>
      <c r="AG191" s="147">
        <f ca="1">IF(AG189=0,0,AG183*(1+Сценарии!AG$26/100))</f>
        <v>0</v>
      </c>
      <c r="AH191" s="190">
        <f t="shared" ca="1" si="12"/>
        <v>0</v>
      </c>
      <c r="AI191" s="147">
        <f ca="1">IF(AI189=0,0,AI183*(1+Сценарии!AI$26/100))</f>
        <v>0</v>
      </c>
      <c r="AJ191" s="147">
        <f ca="1">IF(AJ189=0,0,AJ183*(1+Сценарии!AJ$26/100))</f>
        <v>0</v>
      </c>
      <c r="AK191" s="147">
        <f ca="1">IF(AK189=0,0,AK183*(1+Сценарии!AK$26/100))</f>
        <v>0</v>
      </c>
      <c r="AL191" s="552"/>
      <c r="AM191" s="215"/>
      <c r="AN191" s="215"/>
      <c r="AO191" s="215"/>
      <c r="AR191" s="703" t="s">
        <v>1908</v>
      </c>
    </row>
    <row r="192" spans="1:48" ht="14.25" customHeight="1">
      <c r="E192" s="515">
        <v>15</v>
      </c>
      <c r="F192" s="3" t="str" cm="1">
        <f t="array" aca="1" ref="F192" ca="1">OFFSET(E192,-1,1)</f>
        <v>1</v>
      </c>
      <c r="G192" s="91" t="s">
        <v>1687</v>
      </c>
      <c r="I192" s="57" t="s">
        <v>1909</v>
      </c>
      <c r="J192" s="57"/>
      <c r="K192" s="57"/>
      <c r="L192" s="57"/>
      <c r="M192" s="57"/>
      <c r="N192" s="57"/>
      <c r="O192" s="57"/>
      <c r="P192" s="57"/>
      <c r="Q192" s="57"/>
      <c r="R192" s="57"/>
      <c r="S192" s="57"/>
      <c r="T192" s="365" t="b" cm="1">
        <f t="array" aca="1" ref="T192" ca="1">T191</f>
        <v>1</v>
      </c>
      <c r="X192" s="1123"/>
      <c r="Z192" s="1184"/>
      <c r="AB192" s="152" t="s">
        <v>1910</v>
      </c>
      <c r="AC192" s="146" t="s">
        <v>1879</v>
      </c>
      <c r="AD192" s="26" t="s">
        <v>534</v>
      </c>
      <c r="AE192" s="568">
        <f ca="1">AE189-AE190</f>
        <v>265.96260135055002</v>
      </c>
      <c r="AF192" s="568">
        <f ca="1">AF189-AF190</f>
        <v>264.23849999999999</v>
      </c>
      <c r="AG192" s="568">
        <f ca="1">AG189-AG190</f>
        <v>264.23849999999999</v>
      </c>
      <c r="AH192" s="568">
        <f t="shared" ca="1" si="12"/>
        <v>0</v>
      </c>
      <c r="AI192" s="568">
        <f ca="1">AI189-AI190</f>
        <v>270.24250000000001</v>
      </c>
      <c r="AJ192" s="568">
        <f ca="1">AJ189-AJ190</f>
        <v>132.23374999999999</v>
      </c>
      <c r="AK192" s="568">
        <f ca="1">AK189-AK190</f>
        <v>132.11924999999997</v>
      </c>
      <c r="AL192" s="552"/>
      <c r="AM192" s="215"/>
      <c r="AN192" s="215"/>
      <c r="AO192" s="215"/>
      <c r="AR192" s="703" t="s">
        <v>1911</v>
      </c>
    </row>
    <row r="193" spans="1:48" ht="14.25" customHeight="1">
      <c r="E193" s="515">
        <v>15</v>
      </c>
      <c r="F193" s="3" t="str" cm="1">
        <f t="array" aca="1" ref="F193" ca="1">OFFSET(E193,-1,1)</f>
        <v>1</v>
      </c>
      <c r="G193" s="91" t="s">
        <v>1640</v>
      </c>
      <c r="I193" s="57" t="s">
        <v>1912</v>
      </c>
      <c r="J193" s="57"/>
      <c r="K193" s="57"/>
      <c r="L193" s="57"/>
      <c r="M193" s="57"/>
      <c r="N193" s="57"/>
      <c r="O193" s="57"/>
      <c r="P193" s="57"/>
      <c r="Q193" s="57"/>
      <c r="R193" s="57"/>
      <c r="S193" s="57"/>
      <c r="T193" s="365" t="b" cm="1">
        <f t="array" aca="1" ref="T193" ca="1">T192</f>
        <v>1</v>
      </c>
      <c r="X193" s="1123"/>
      <c r="Z193" s="1184"/>
      <c r="AB193" s="152" t="s">
        <v>1913</v>
      </c>
      <c r="AC193" s="146" t="s">
        <v>1914</v>
      </c>
      <c r="AD193" s="26" t="s">
        <v>1624</v>
      </c>
      <c r="AE193" s="147">
        <f ca="1">IF(AE189=0,0,AE185*(1+Сценарии!AE$26/100))</f>
        <v>24.459436492357131</v>
      </c>
      <c r="AF193" s="147">
        <f ca="1">IF(AF189=0,0,AF185*(1+Сценарии!AF$26/100))</f>
        <v>28.897036858367883</v>
      </c>
      <c r="AG193" s="147">
        <f ca="1">IF(AG189=0,0,AG185*(1+Сценарии!AG$26/100))</f>
        <v>27.378121109036393</v>
      </c>
      <c r="AH193" s="190">
        <f t="shared" ca="1" si="12"/>
        <v>-1.5189157493314909</v>
      </c>
      <c r="AI193" s="147">
        <f ca="1">IF(AI189=0,0,AI185*(1+Сценарии!AI$26/100))</f>
        <v>28.230355092133436</v>
      </c>
      <c r="AJ193" s="147">
        <f ca="1">IF(AJ189=0,0,AJ185*(1+Сценарии!AJ$26/100))</f>
        <v>68.031343093942212</v>
      </c>
      <c r="AK193" s="147">
        <f ca="1">IF(AK189=0,0,AK185*(1+Сценарии!AK$26/100))</f>
        <v>65.878136017898981</v>
      </c>
      <c r="AL193" s="552"/>
      <c r="AM193" s="215"/>
      <c r="AN193" s="215"/>
      <c r="AO193" s="215"/>
      <c r="AR193" s="703" t="s">
        <v>1915</v>
      </c>
    </row>
    <row r="194" spans="1:48" ht="14.25" customHeight="1">
      <c r="E194" s="515">
        <v>15</v>
      </c>
      <c r="F194" s="3" t="str" cm="1">
        <f t="array" aca="1" ref="F194" ca="1">OFFSET(E194,-1,1)</f>
        <v>1</v>
      </c>
      <c r="G194" s="91"/>
      <c r="I194" s="57"/>
      <c r="J194" s="57"/>
      <c r="K194" s="57"/>
      <c r="L194" s="57"/>
      <c r="M194" s="57"/>
      <c r="N194" s="57"/>
      <c r="O194" s="57"/>
      <c r="P194" s="57"/>
      <c r="Q194" s="57"/>
      <c r="R194" s="57"/>
      <c r="S194" s="57"/>
      <c r="T194" s="365" t="b" cm="1">
        <f t="array" aca="1" ref="T194" ca="1">T193</f>
        <v>1</v>
      </c>
      <c r="X194" s="1123"/>
      <c r="Z194" s="1184"/>
      <c r="AB194" s="150" t="s">
        <v>1916</v>
      </c>
      <c r="AC194" s="144" t="s">
        <v>1917</v>
      </c>
      <c r="AD194" s="143" t="s">
        <v>804</v>
      </c>
      <c r="AE194" s="147"/>
      <c r="AF194" s="147"/>
      <c r="AG194" s="147"/>
      <c r="AH194" s="190">
        <f t="shared" si="12"/>
        <v>0</v>
      </c>
      <c r="AI194" s="147"/>
      <c r="AJ194" s="147"/>
      <c r="AK194" s="147"/>
      <c r="AL194" s="552"/>
      <c r="AM194" s="215"/>
      <c r="AN194" s="215"/>
      <c r="AO194" s="215"/>
      <c r="AR194" s="703" t="s">
        <v>1918</v>
      </c>
    </row>
    <row r="195" spans="1:48" ht="21.75" customHeight="1">
      <c r="E195" s="515">
        <v>22.5</v>
      </c>
      <c r="F195" s="3" t="str" cm="1">
        <f t="array" aca="1" ref="F195" ca="1">OFFSET(E195,-1,1)</f>
        <v>1</v>
      </c>
      <c r="G195" s="91"/>
      <c r="I195" s="57"/>
      <c r="J195" s="57"/>
      <c r="K195" s="57"/>
      <c r="L195" s="57"/>
      <c r="M195" s="57"/>
      <c r="N195" s="57"/>
      <c r="O195" s="57"/>
      <c r="P195" s="57"/>
      <c r="Q195" s="57"/>
      <c r="R195" s="57"/>
      <c r="S195" s="57"/>
      <c r="T195" s="365" t="b" cm="1">
        <f t="array" aca="1" ref="T195" ca="1">T194</f>
        <v>1</v>
      </c>
      <c r="X195" s="1123"/>
      <c r="Z195" s="1184"/>
      <c r="AB195" s="152" t="s">
        <v>1919</v>
      </c>
      <c r="AC195" s="146" t="s">
        <v>1920</v>
      </c>
      <c r="AD195" s="26" t="s">
        <v>804</v>
      </c>
      <c r="AE195" s="147"/>
      <c r="AF195" s="147"/>
      <c r="AG195" s="147"/>
      <c r="AH195" s="190">
        <f t="shared" si="12"/>
        <v>0</v>
      </c>
      <c r="AI195" s="147"/>
      <c r="AJ195" s="147"/>
      <c r="AK195" s="147"/>
      <c r="AL195" s="552"/>
      <c r="AM195" s="215"/>
      <c r="AN195" s="215"/>
      <c r="AO195" s="215"/>
      <c r="AR195" s="703" t="s">
        <v>1921</v>
      </c>
    </row>
    <row r="196" spans="1:48" ht="69.75" customHeight="1">
      <c r="E196" s="515">
        <v>72</v>
      </c>
      <c r="F196" s="3" t="str" cm="1">
        <f t="array" aca="1" ref="F196" ca="1">OFFSET(E196,-1,1)</f>
        <v>1</v>
      </c>
      <c r="G196" s="91"/>
      <c r="I196" s="57"/>
      <c r="J196" s="57"/>
      <c r="K196" s="57"/>
      <c r="L196" s="57"/>
      <c r="M196" s="57"/>
      <c r="N196" s="57"/>
      <c r="O196" s="57"/>
      <c r="P196" s="57"/>
      <c r="Q196" s="57"/>
      <c r="R196" s="57"/>
      <c r="S196" s="57"/>
      <c r="T196" s="365" t="b" cm="1">
        <f t="array" aca="1" ref="T196" ca="1">T195</f>
        <v>1</v>
      </c>
      <c r="X196" s="1123"/>
      <c r="Z196" s="1184"/>
      <c r="AB196" s="152" t="s">
        <v>1922</v>
      </c>
      <c r="AC196" s="146" t="s">
        <v>1923</v>
      </c>
      <c r="AD196" s="26" t="s">
        <v>804</v>
      </c>
      <c r="AE196" s="147"/>
      <c r="AF196" s="147"/>
      <c r="AG196" s="147"/>
      <c r="AH196" s="190">
        <f t="shared" si="12"/>
        <v>0</v>
      </c>
      <c r="AI196" s="147"/>
      <c r="AJ196" s="147"/>
      <c r="AK196" s="147"/>
      <c r="AL196" s="552"/>
      <c r="AM196" s="215"/>
      <c r="AN196" s="215"/>
      <c r="AO196" s="215"/>
      <c r="AR196" s="703" t="s">
        <v>1924</v>
      </c>
    </row>
    <row r="197" spans="1:48" ht="14.25" customHeight="1">
      <c r="E197" s="515">
        <v>15</v>
      </c>
      <c r="F197" s="36" t="str" cm="1">
        <f t="array" ref="F197">X197</f>
        <v>2</v>
      </c>
      <c r="G197" s="36" t="str" cm="1">
        <f t="array" ref="G197">INDEX('Общие сведения'!$AK$179:$AK$222,MATCH($X197,'Общие сведения'!$Z$179:$Z$222,0))</f>
        <v>одноставочный</v>
      </c>
      <c r="T197" s="365" t="b">
        <f>X197&gt;0</f>
        <v>1</v>
      </c>
      <c r="V197" s="291" t="str" cm="1">
        <f t="array" ref="V197">ТМ!$AD$155</f>
        <v>Тариф 2 (Водоотведение) - тариф на водоотведение (Доп. признак не требуется)</v>
      </c>
      <c r="X197" s="1123" t="s">
        <v>285</v>
      </c>
      <c r="Z197" s="1184"/>
      <c r="AB197" s="116" t="str" cm="1">
        <f t="array" ref="AB197">ТМ!$AD$155</f>
        <v>Тариф 2 (Водоотведение) - тариф на водоотведение (Доп. признак не требуется)</v>
      </c>
      <c r="AC197" s="184"/>
      <c r="AD197" s="184"/>
      <c r="AE197" s="184"/>
      <c r="AF197" s="184"/>
      <c r="AG197" s="184"/>
      <c r="AH197" s="184"/>
      <c r="AI197" s="184"/>
      <c r="AJ197" s="184"/>
      <c r="AK197" s="184"/>
      <c r="AL197" s="184"/>
      <c r="AM197" s="184"/>
      <c r="AN197" s="184"/>
      <c r="AO197" s="184"/>
    </row>
    <row r="198" spans="1:48" ht="14.25" customHeight="1">
      <c r="E198" s="515">
        <v>15</v>
      </c>
      <c r="F198" s="3" t="str" cm="1">
        <f t="array" aca="1" ref="F198" ca="1">OFFSET(E198,-1,1)</f>
        <v>2</v>
      </c>
      <c r="I198" s="57" t="s">
        <v>327</v>
      </c>
      <c r="J198" s="57"/>
      <c r="K198" s="57"/>
      <c r="L198" s="57"/>
      <c r="M198" s="57"/>
      <c r="N198" s="57"/>
      <c r="O198" s="57"/>
      <c r="P198" s="57"/>
      <c r="Q198" s="57"/>
      <c r="R198" s="57"/>
      <c r="S198" s="57"/>
      <c r="T198" s="365" t="b" cm="1">
        <f t="array" ref="T198">T197</f>
        <v>1</v>
      </c>
      <c r="X198" s="1123"/>
      <c r="Z198" s="1184"/>
      <c r="AB198" s="179" t="s">
        <v>275</v>
      </c>
      <c r="AC198" s="151" t="s">
        <v>1721</v>
      </c>
      <c r="AD198" s="28" t="s">
        <v>804</v>
      </c>
      <c r="AE198" s="145">
        <f ca="1">AE199+AE203+AE213+AE214+AE217+AE218+AE219</f>
        <v>4759.6975699293798</v>
      </c>
      <c r="AF198" s="145">
        <f ca="1">AF199+AF203+AF213+AF214+AF217+AF218+AF219</f>
        <v>4203.9154600000002</v>
      </c>
      <c r="AG198" s="145">
        <f ca="1">AG199+AG203+AG213+AG214+AG217+AG218+AG219</f>
        <v>4203.9154600000002</v>
      </c>
      <c r="AH198" s="145">
        <f t="shared" ref="AH198:AH224" ca="1" si="13">AG198-AF198</f>
        <v>0</v>
      </c>
      <c r="AI198" s="145">
        <f ca="1">AI199+AI203+AI213+AI214+AI217+AI218+AI219</f>
        <v>4863.6395536017999</v>
      </c>
      <c r="AJ198" s="145">
        <f ca="1">AJ199+AJ203+AJ213+AJ214+AJ217+AJ218+AJ219</f>
        <v>5440.6101999999992</v>
      </c>
      <c r="AK198" s="145">
        <f ca="1">AK199+AK203+AK213+AK214+AK217+AK218+AK219</f>
        <v>6059.4182499999997</v>
      </c>
      <c r="AL198" s="190">
        <f t="shared" ref="AL198:AL224" ca="1" si="14">IF(AI198=0,0,(AK198-AI198)/AI198*100)</f>
        <v>24.586087912552198</v>
      </c>
      <c r="AM198" s="215"/>
      <c r="AN198" s="610"/>
      <c r="AO198" s="215"/>
      <c r="AR198" s="703" t="s">
        <v>516</v>
      </c>
    </row>
    <row r="199" spans="1:48" s="948" customFormat="1" ht="21.75" customHeight="1">
      <c r="A199" s="434"/>
      <c r="B199" s="434"/>
      <c r="C199" s="434"/>
      <c r="D199" s="434"/>
      <c r="E199" s="516">
        <v>22.5</v>
      </c>
      <c r="F199" s="3" t="str" cm="1">
        <f t="array" aca="1" ref="F199" ca="1">OFFSET(E199,-1,1)</f>
        <v>2</v>
      </c>
      <c r="G199" s="434"/>
      <c r="H199" s="434"/>
      <c r="I199" s="173" t="s">
        <v>461</v>
      </c>
      <c r="J199" s="173"/>
      <c r="K199" s="173"/>
      <c r="L199" s="173"/>
      <c r="M199" s="173"/>
      <c r="N199" s="173"/>
      <c r="O199" s="173"/>
      <c r="P199" s="173"/>
      <c r="Q199" s="173"/>
      <c r="R199" s="173"/>
      <c r="S199" s="173"/>
      <c r="T199" s="365" t="b" cm="1">
        <f t="array" ref="T199">T198</f>
        <v>1</v>
      </c>
      <c r="U199" s="434"/>
      <c r="V199" s="434"/>
      <c r="W199" s="434"/>
      <c r="X199" s="1123"/>
      <c r="Y199" s="434"/>
      <c r="Z199" s="1184"/>
      <c r="AA199" s="434"/>
      <c r="AB199" s="150" t="s">
        <v>897</v>
      </c>
      <c r="AC199" s="276" t="s">
        <v>1722</v>
      </c>
      <c r="AD199" s="166" t="s">
        <v>804</v>
      </c>
      <c r="AE199" s="145">
        <f ca="1">SUM(AE200:AE202)</f>
        <v>155.17450814470001</v>
      </c>
      <c r="AF199" s="145">
        <f ca="1">SUM(AF200:AF202)</f>
        <v>93.92</v>
      </c>
      <c r="AG199" s="145">
        <f ca="1">SUM(AG200:AG202)</f>
        <v>93.92</v>
      </c>
      <c r="AH199" s="145">
        <f t="shared" ca="1" si="13"/>
        <v>0</v>
      </c>
      <c r="AI199" s="145">
        <f ca="1">SUM(AI200:AI202)</f>
        <v>153.09607500000001</v>
      </c>
      <c r="AJ199" s="145">
        <f ca="1">SUM(AJ200:AJ202)</f>
        <v>160.47999999999999</v>
      </c>
      <c r="AK199" s="145">
        <f ca="1">SUM(AK200:AK202)</f>
        <v>118.08</v>
      </c>
      <c r="AL199" s="145">
        <f t="shared" ca="1" si="14"/>
        <v>-22.871961283135452</v>
      </c>
      <c r="AM199" s="566"/>
      <c r="AN199" s="566"/>
      <c r="AO199" s="566"/>
      <c r="AP199" s="434"/>
      <c r="AQ199" s="434"/>
      <c r="AR199" s="704" t="s">
        <v>1723</v>
      </c>
      <c r="AS199" s="704"/>
      <c r="AT199" s="704"/>
      <c r="AU199" s="516"/>
      <c r="AV199" s="516"/>
    </row>
    <row r="200" spans="1:48" ht="14.25" customHeight="1">
      <c r="E200" s="515">
        <v>15</v>
      </c>
      <c r="F200" s="3" t="str" cm="1">
        <f t="array" aca="1" ref="F200" ca="1">OFFSET(E200,-1,1)</f>
        <v>2</v>
      </c>
      <c r="I200" s="57" t="s">
        <v>1004</v>
      </c>
      <c r="J200" s="57"/>
      <c r="K200" s="57"/>
      <c r="L200" s="57"/>
      <c r="M200" s="57"/>
      <c r="N200" s="57"/>
      <c r="O200" s="57"/>
      <c r="P200" s="57"/>
      <c r="Q200" s="57"/>
      <c r="R200" s="57"/>
      <c r="S200" s="57"/>
      <c r="T200" s="365" t="b" cm="1">
        <f t="array" ref="T200">T199</f>
        <v>1</v>
      </c>
      <c r="X200" s="1123"/>
      <c r="Z200" s="1184"/>
      <c r="AB200" s="152" t="s">
        <v>1005</v>
      </c>
      <c r="AC200" s="153" t="s">
        <v>1724</v>
      </c>
      <c r="AD200" s="28" t="s">
        <v>804</v>
      </c>
      <c r="AE200" s="190">
        <f ca="1">SUMIFS('Сырье и материалы'!AE$25:AE$96,'Сырье и материалы'!$F$25:$F$96,$F200,'Сырье и материалы'!$I$25:$I$96,"Реагенты")</f>
        <v>155.17450814470001</v>
      </c>
      <c r="AF200" s="190">
        <f ca="1">SUMIFS('Сырье и материалы'!AF$25:AF$96,'Сырье и материалы'!$F$25:$F$96,$F200,'Сырье и материалы'!$I$25:$I$96,"Реагенты")</f>
        <v>93.92</v>
      </c>
      <c r="AG200" s="190">
        <f ca="1">SUMIFS('Сырье и материалы'!AG$25:AG$96,'Сырье и материалы'!$F$25:$F$96,$F200,'Сырье и материалы'!$I$25:$I$96,"Реагенты")</f>
        <v>93.92</v>
      </c>
      <c r="AH200" s="190">
        <f t="shared" ca="1" si="13"/>
        <v>0</v>
      </c>
      <c r="AI200" s="190">
        <f ca="1">SUMIFS('Сырье и материалы'!AH$25:AH$96,'Сырье и материалы'!$F$25:$F$96,$F200,'Сырье и материалы'!$I$25:$I$96,"Реагенты")</f>
        <v>153.09607500000001</v>
      </c>
      <c r="AJ200" s="190">
        <f ca="1">SUMIFS('Сырье и материалы'!AI$25:AI$96,'Сырье и материалы'!$F$25:$F$96,$F200,'Сырье и материалы'!$I$25:$I$96,"Реагенты")</f>
        <v>160.47999999999999</v>
      </c>
      <c r="AK200" s="190">
        <f ca="1">SUMIFS('Сырье и материалы'!AS$25:AS$96,'Сырье и материалы'!$F$25:$F$96,$F200,'Сырье и материалы'!$I$25:$I$96,"Реагенты")</f>
        <v>118.08</v>
      </c>
      <c r="AL200" s="190">
        <f t="shared" ca="1" si="14"/>
        <v>-22.871961283135452</v>
      </c>
      <c r="AM200" s="215"/>
      <c r="AN200" s="610" t="str">
        <f ca="1">IF(IFERROR(INDEX('Сырье и материалы'!$K$26:$L$96,MATCH($F200&amp;"komm",'Сырье и материалы'!$K$26:$K$96,0),2),"")=0,"",IFERROR(INDEX('Сырье и материалы'!$K$26:$L$96,MATCH($F200&amp;"komm",'Сырье и материалы'!$K$26:$K$96,0),2),""))</f>
        <v>п.п. 10 п. 49 Методических указаний 1746-э.</v>
      </c>
      <c r="AO200" s="215"/>
      <c r="AR200" s="703" t="s">
        <v>1725</v>
      </c>
    </row>
    <row r="201" spans="1:48" ht="14.25" customHeight="1">
      <c r="E201" s="515">
        <v>15</v>
      </c>
      <c r="F201" s="3" t="str" cm="1">
        <f t="array" aca="1" ref="F201" ca="1">OFFSET(E201,-1,1)</f>
        <v>2</v>
      </c>
      <c r="I201" s="57" t="s">
        <v>1008</v>
      </c>
      <c r="J201" s="57"/>
      <c r="K201" s="57"/>
      <c r="L201" s="57"/>
      <c r="M201" s="57"/>
      <c r="N201" s="57"/>
      <c r="O201" s="57"/>
      <c r="P201" s="57"/>
      <c r="Q201" s="57"/>
      <c r="R201" s="57"/>
      <c r="S201" s="57"/>
      <c r="T201" s="365" t="b" cm="1">
        <f t="array" ref="T201">T200</f>
        <v>1</v>
      </c>
      <c r="X201" s="1123"/>
      <c r="Z201" s="1184"/>
      <c r="AB201" s="152" t="s">
        <v>1009</v>
      </c>
      <c r="AC201" s="153" t="s">
        <v>1726</v>
      </c>
      <c r="AD201" s="28" t="s">
        <v>804</v>
      </c>
      <c r="AE201" s="190">
        <f ca="1">SUMIFS('Сырье и материалы'!AE$25:AE$96,'Сырье и материалы'!$F$25:$F$96,$F201,'Сырье и материалы'!$I$25:$I$96,"Горюче-смазочные материалы")</f>
        <v>0</v>
      </c>
      <c r="AF201" s="190">
        <f ca="1">SUMIFS('Сырье и материалы'!AF$25:AF$96,'Сырье и материалы'!$F$25:$F$96,$F201,'Сырье и материалы'!$I$25:$I$96,"Горюче-смазочные материалы")</f>
        <v>0</v>
      </c>
      <c r="AG201" s="190">
        <f ca="1">SUMIFS('Сырье и материалы'!AG$25:AG$96,'Сырье и материалы'!$F$25:$F$96,$F201,'Сырье и материалы'!$I$25:$I$96,"Горюче-смазочные материалы")</f>
        <v>0</v>
      </c>
      <c r="AH201" s="190">
        <f t="shared" ca="1" si="13"/>
        <v>0</v>
      </c>
      <c r="AI201" s="190">
        <f ca="1">SUMIFS('Сырье и материалы'!AH$25:AH$96,'Сырье и материалы'!$F$25:$F$96,$F201,'Сырье и материалы'!$I$25:$I$96,"Горюче-смазочные материалы")</f>
        <v>0</v>
      </c>
      <c r="AJ201" s="190">
        <f ca="1">SUMIFS('Сырье и материалы'!AI$25:AI$96,'Сырье и материалы'!$F$25:$F$96,$F201,'Сырье и материалы'!$I$25:$I$96,"Горюче-смазочные материалы")</f>
        <v>0</v>
      </c>
      <c r="AK201" s="190">
        <f ca="1">SUMIFS('Сырье и материалы'!AS$25:AS$96,'Сырье и материалы'!$F$25:$F$96,$F201,'Сырье и материалы'!$I$25:$I$96,"Горюче-смазочные материалы")</f>
        <v>0</v>
      </c>
      <c r="AL201" s="190">
        <f t="shared" ca="1" si="14"/>
        <v>0</v>
      </c>
      <c r="AM201" s="215"/>
      <c r="AN201" s="215"/>
      <c r="AO201" s="215"/>
      <c r="AR201" s="703" t="s">
        <v>1727</v>
      </c>
    </row>
    <row r="202" spans="1:48" ht="14.25" customHeight="1">
      <c r="E202" s="515">
        <v>15</v>
      </c>
      <c r="F202" s="3" t="str" cm="1">
        <f t="array" aca="1" ref="F202" ca="1">OFFSET(E202,-1,1)</f>
        <v>2</v>
      </c>
      <c r="I202" s="57" t="s">
        <v>1311</v>
      </c>
      <c r="J202" s="57"/>
      <c r="K202" s="57"/>
      <c r="L202" s="57"/>
      <c r="M202" s="57"/>
      <c r="N202" s="57"/>
      <c r="O202" s="57"/>
      <c r="P202" s="57"/>
      <c r="Q202" s="57"/>
      <c r="R202" s="57"/>
      <c r="S202" s="57"/>
      <c r="T202" s="365" t="b" cm="1">
        <f t="array" ref="T202">T201</f>
        <v>1</v>
      </c>
      <c r="X202" s="1123"/>
      <c r="Z202" s="1184"/>
      <c r="AB202" s="152" t="s">
        <v>1312</v>
      </c>
      <c r="AC202" s="153" t="s">
        <v>1728</v>
      </c>
      <c r="AD202" s="28" t="s">
        <v>804</v>
      </c>
      <c r="AE202" s="190">
        <f ca="1">SUMIFS('Сырье и материалы'!AE$25:AE$96,'Сырье и материалы'!$F$25:$F$96,$F202,'Сырье и материалы'!$I$25:$I$96,"Материалы")</f>
        <v>0</v>
      </c>
      <c r="AF202" s="190">
        <f ca="1">SUMIFS('Сырье и материалы'!AF$25:AF$96,'Сырье и материалы'!$F$25:$F$96,$F202,'Сырье и материалы'!$I$25:$I$96,"Материалы")</f>
        <v>0</v>
      </c>
      <c r="AG202" s="190">
        <f ca="1">SUMIFS('Сырье и материалы'!AG$25:AG$96,'Сырье и материалы'!$F$25:$F$96,$F202,'Сырье и материалы'!$I$25:$I$96,"Материалы")</f>
        <v>0</v>
      </c>
      <c r="AH202" s="190">
        <f t="shared" ca="1" si="13"/>
        <v>0</v>
      </c>
      <c r="AI202" s="190">
        <f ca="1">SUMIFS('Сырье и материалы'!AH$25:AH$96,'Сырье и материалы'!$F$25:$F$96,$F202,'Сырье и материалы'!$I$25:$I$96,"Материалы")</f>
        <v>0</v>
      </c>
      <c r="AJ202" s="190">
        <f ca="1">SUMIFS('Сырье и материалы'!AI$25:AI$96,'Сырье и материалы'!$F$25:$F$96,$F202,'Сырье и материалы'!$I$25:$I$96,"Материалы")</f>
        <v>0</v>
      </c>
      <c r="AK202" s="190">
        <f ca="1">SUMIFS('Сырье и материалы'!AS$25:AS$96,'Сырье и материалы'!$F$25:$F$96,$F202,'Сырье и материалы'!$I$25:$I$96,"Материалы")</f>
        <v>0</v>
      </c>
      <c r="AL202" s="190">
        <f t="shared" ca="1" si="14"/>
        <v>0</v>
      </c>
      <c r="AM202" s="215"/>
      <c r="AN202" s="215"/>
      <c r="AO202" s="215"/>
      <c r="AR202" s="703" t="s">
        <v>1729</v>
      </c>
    </row>
    <row r="203" spans="1:48" s="948" customFormat="1" ht="21.75" customHeight="1">
      <c r="A203" s="434"/>
      <c r="B203" s="434"/>
      <c r="C203" s="434"/>
      <c r="D203" s="434"/>
      <c r="E203" s="516">
        <v>22.5</v>
      </c>
      <c r="F203" s="3" t="str" cm="1">
        <f t="array" aca="1" ref="F203" ca="1">OFFSET(E203,-1,1)</f>
        <v>2</v>
      </c>
      <c r="G203" s="434"/>
      <c r="H203" s="434"/>
      <c r="I203" s="173" t="s">
        <v>465</v>
      </c>
      <c r="J203" s="173"/>
      <c r="K203" s="173"/>
      <c r="L203" s="173"/>
      <c r="M203" s="173"/>
      <c r="N203" s="173"/>
      <c r="O203" s="173"/>
      <c r="P203" s="173"/>
      <c r="Q203" s="173"/>
      <c r="R203" s="173"/>
      <c r="S203" s="173"/>
      <c r="T203" s="365" t="b" cm="1">
        <f t="array" ref="T203">T202</f>
        <v>1</v>
      </c>
      <c r="U203" s="434"/>
      <c r="V203" s="434"/>
      <c r="W203" s="434"/>
      <c r="X203" s="1123"/>
      <c r="Y203" s="434"/>
      <c r="Z203" s="1184"/>
      <c r="AA203" s="434"/>
      <c r="AB203" s="150" t="s">
        <v>900</v>
      </c>
      <c r="AC203" s="276" t="s">
        <v>1730</v>
      </c>
      <c r="AD203" s="166" t="s">
        <v>804</v>
      </c>
      <c r="AE203" s="145">
        <f ca="1">SUM(AE204:AE212)</f>
        <v>4604.5230617846801</v>
      </c>
      <c r="AF203" s="145">
        <f ca="1">SUM(AF204:AF212)</f>
        <v>4109.9954600000001</v>
      </c>
      <c r="AG203" s="145">
        <f ca="1">SUM(AG204:AG212)</f>
        <v>4109.9954600000001</v>
      </c>
      <c r="AH203" s="145">
        <f t="shared" ca="1" si="13"/>
        <v>0</v>
      </c>
      <c r="AI203" s="145">
        <f ca="1">SUM(AI204:AI212)</f>
        <v>4710.5434786017995</v>
      </c>
      <c r="AJ203" s="145">
        <f ca="1">SUM(AJ204:AJ212)</f>
        <v>5280.1301999999996</v>
      </c>
      <c r="AK203" s="145">
        <f ca="1">SUM(AK204:AK212)</f>
        <v>5941.3382499999998</v>
      </c>
      <c r="AL203" s="145">
        <f t="shared" ca="1" si="14"/>
        <v>26.128508886272488</v>
      </c>
      <c r="AM203" s="566"/>
      <c r="AN203" s="566"/>
      <c r="AO203" s="566"/>
      <c r="AP203" s="434"/>
      <c r="AQ203" s="434"/>
      <c r="AR203" s="704" t="s">
        <v>1731</v>
      </c>
      <c r="AS203" s="704"/>
      <c r="AT203" s="704"/>
      <c r="AU203" s="516"/>
      <c r="AV203" s="516"/>
    </row>
    <row r="204" spans="1:48" ht="14.25" customHeight="1">
      <c r="E204" s="515">
        <v>15</v>
      </c>
      <c r="F204" s="3" t="str" cm="1">
        <f t="array" aca="1" ref="F204" ca="1">OFFSET(E204,-1,1)</f>
        <v>2</v>
      </c>
      <c r="I204" s="57" t="s">
        <v>1336</v>
      </c>
      <c r="J204" s="57"/>
      <c r="K204" s="57"/>
      <c r="L204" s="57"/>
      <c r="M204" s="57"/>
      <c r="N204" s="57"/>
      <c r="O204" s="57"/>
      <c r="P204" s="57"/>
      <c r="Q204" s="57"/>
      <c r="R204" s="57"/>
      <c r="S204" s="57"/>
      <c r="T204" s="365" t="b" cm="1">
        <f t="array" ref="T204">T203</f>
        <v>1</v>
      </c>
      <c r="X204" s="1123"/>
      <c r="Z204" s="1184"/>
      <c r="AB204" s="152" t="s">
        <v>1337</v>
      </c>
      <c r="AC204" s="153" t="s">
        <v>1732</v>
      </c>
      <c r="AD204" s="28" t="s">
        <v>804</v>
      </c>
      <c r="AE204" s="190">
        <f ca="1">SUMIFS(ЭЭ!AE$25:AE$109,ЭЭ!$F$25:$F$109,$F204,ЭЭ!$AC$25:$AC$109,"Всего по тарифу")</f>
        <v>3604.1134688361999</v>
      </c>
      <c r="AF204" s="190">
        <f ca="1">SUMIFS(ЭЭ!AF$25:AF$109,ЭЭ!$F$25:$F$109,$F204,ЭЭ!$AC$25:$AC$109,"Всего по тарифу")</f>
        <v>3180.1200000000003</v>
      </c>
      <c r="AG204" s="190">
        <f ca="1">SUMIFS(ЭЭ!AG$25:AG$109,ЭЭ!$F$25:$F$109,$F204,ЭЭ!$AC$25:$AC$109,"Всего по тарифу")</f>
        <v>3180.1200000000003</v>
      </c>
      <c r="AH204" s="190">
        <f t="shared" ca="1" si="13"/>
        <v>0</v>
      </c>
      <c r="AI204" s="190">
        <f ca="1">SUMIFS(ЭЭ!AH$25:AH$109,ЭЭ!$F$25:$F$109,$F204,ЭЭ!$AC$25:$AC$109,"Всего по тарифу")</f>
        <v>3797.2434786017998</v>
      </c>
      <c r="AJ204" s="190">
        <f ca="1">SUMIFS(ЭЭ!AI$25:AI$109,ЭЭ!$F$25:$F$109,$F204,ЭЭ!$AC$25:$AC$109,"Всего по тарифу")</f>
        <v>4189.45</v>
      </c>
      <c r="AK204" s="190">
        <f ca="1">SUMIFS(ЭЭ!AS$25:AS$109,ЭЭ!$F$25:$F$109,$F204,ЭЭ!$AC$25:$AC$109,"Всего по тарифу")</f>
        <v>4687.99</v>
      </c>
      <c r="AL204" s="190">
        <f t="shared" ca="1" si="14"/>
        <v>23.457714166018814</v>
      </c>
      <c r="AM204" s="215"/>
      <c r="AN204" s="610" t="str">
        <f ca="1">IF(IFERROR(INDEX(ЭЭ!$K$26:$L$109,MATCH($F204&amp;"komm",ЭЭ!$K$26:$K$109,0),2),"")=0,"",IFERROR(INDEX(ЭЭ!$K$26:$L$109,MATCH($F204&amp;"komm",ЭЭ!$K$26:$K$109,0),2),""))</f>
        <v>В соответствии с п. 95 Методических указаний № 1746-э расходы на приобретение энергетических ресурсов, определяемые на основе фактических значений параметров расчета тарифов взамен прогнозных.</v>
      </c>
      <c r="AO204" s="215"/>
      <c r="AR204" s="703" t="s">
        <v>1733</v>
      </c>
    </row>
    <row r="205" spans="1:48" ht="14.25" customHeight="1">
      <c r="E205" s="515">
        <v>15</v>
      </c>
      <c r="F205" s="3" t="str" cm="1">
        <f t="array" aca="1" ref="F205" ca="1">OFFSET(E205,-1,1)</f>
        <v>2</v>
      </c>
      <c r="G205" s="291" t="s">
        <v>1106</v>
      </c>
      <c r="I205" s="57" t="s">
        <v>1339</v>
      </c>
      <c r="J205" s="57"/>
      <c r="K205" s="57"/>
      <c r="L205" s="57"/>
      <c r="M205" s="57"/>
      <c r="N205" s="57"/>
      <c r="O205" s="57"/>
      <c r="P205" s="57"/>
      <c r="Q205" s="57"/>
      <c r="R205" s="57"/>
      <c r="S205" s="57"/>
      <c r="T205" s="365" t="b" cm="1">
        <f t="array" ref="T205">T204</f>
        <v>1</v>
      </c>
      <c r="X205" s="1123"/>
      <c r="Z205" s="1184"/>
      <c r="AB205" s="152" t="s">
        <v>1340</v>
      </c>
      <c r="AC205" s="153" t="s">
        <v>1734</v>
      </c>
      <c r="AD205" s="28" t="s">
        <v>804</v>
      </c>
      <c r="AE205" s="190">
        <f ca="1">SUMIFS(Покупка!AE$25:AE$254,Покупка!$F$25:$F$254,$F205,Покупка!$AC$25:$AC$254,$G205)</f>
        <v>1000.4095929484801</v>
      </c>
      <c r="AF205" s="190">
        <f ca="1">SUMIFS(Покупка!AF$25:AF$254,Покупка!$F$25:$F$254,$F205,Покупка!$AC$25:$AC$254,$G205)</f>
        <v>929.87545999999998</v>
      </c>
      <c r="AG205" s="190">
        <f ca="1">SUMIFS(Покупка!AG$25:AG$254,Покупка!$F$25:$F$254,$F205,Покупка!$AC$25:$AC$254,$G205)</f>
        <v>929.87545999999998</v>
      </c>
      <c r="AH205" s="190">
        <f t="shared" ca="1" si="13"/>
        <v>0</v>
      </c>
      <c r="AI205" s="190">
        <f ca="1">SUMIFS(Покупка!AH$25:AH$254,Покупка!$F$25:$F$254,$F205,Покупка!$AC$25:$AC$254,$G205)</f>
        <v>913.3</v>
      </c>
      <c r="AJ205" s="190">
        <f ca="1">SUMIFS(Покупка!AI$25:AI$254,Покупка!$F$25:$F$254,$F205,Покупка!$AC$25:$AC$254,$G205)</f>
        <v>1090.6802</v>
      </c>
      <c r="AK205" s="190">
        <f ca="1">SUMIFS(Покупка!AS$25:AS$254,Покупка!$F$25:$F$254,$F205,Покупка!$AC$25:$AC$254,$G205)</f>
        <v>1253.34825</v>
      </c>
      <c r="AL205" s="190">
        <f t="shared" ca="1" si="14"/>
        <v>37.232919084638134</v>
      </c>
      <c r="AM205" s="215"/>
      <c r="AN205" s="610" t="str">
        <f ca="1">IF(IFERROR(INDEX(Покупка!$K$26:$L$254,MATCH($F205&amp;"6komm",Покупка!$K$26:$K$254,0),2),"")=0,"",IFERROR(INDEX(Покупка!$K$26:$L$254,MATCH($F205&amp;"6komm",Покупка!$K$26:$K$254,0),2),""))</f>
        <v>рассчитаны по фактическому расходу Гкалл 2024 года, тарифы с 01.01 по 30.09 на уровне декабря 2025 года (пост. от 09.12.2025 № 403), тарифы с 01.10. по 31.12. с применением ИПЦ Минэкономразвития России на 2026 год 105,1%.</v>
      </c>
      <c r="AO205" s="215"/>
      <c r="AR205" s="703" t="s">
        <v>1107</v>
      </c>
    </row>
    <row r="206" spans="1:48" ht="14.25" customHeight="1">
      <c r="E206" s="515">
        <v>15</v>
      </c>
      <c r="F206" s="3" t="str" cm="1">
        <f t="array" aca="1" ref="F206" ca="1">OFFSET(E206,-1,1)</f>
        <v>2</v>
      </c>
      <c r="G206" s="291" t="s">
        <v>1128</v>
      </c>
      <c r="I206" s="57" t="s">
        <v>1343</v>
      </c>
      <c r="J206" s="57"/>
      <c r="K206" s="57"/>
      <c r="L206" s="57"/>
      <c r="M206" s="57"/>
      <c r="N206" s="57"/>
      <c r="O206" s="57"/>
      <c r="P206" s="57"/>
      <c r="Q206" s="57"/>
      <c r="R206" s="57"/>
      <c r="S206" s="57"/>
      <c r="T206" s="365" t="b" cm="1">
        <f t="array" ref="T206">T205</f>
        <v>1</v>
      </c>
      <c r="X206" s="1123"/>
      <c r="Z206" s="1184"/>
      <c r="AB206" s="152" t="s">
        <v>1344</v>
      </c>
      <c r="AC206" s="153" t="s">
        <v>1735</v>
      </c>
      <c r="AD206" s="28" t="s">
        <v>804</v>
      </c>
      <c r="AE206" s="190">
        <f ca="1">SUMIFS(Покупка!AE$25:AE$254,Покупка!$F$25:$F$254,$F206,Покупка!$AC$25:$AC$254,$G206)</f>
        <v>0</v>
      </c>
      <c r="AF206" s="190">
        <f ca="1">SUMIFS(Покупка!AF$25:AF$254,Покупка!$F$25:$F$254,$F206,Покупка!$AC$25:$AC$254,$G206)</f>
        <v>0</v>
      </c>
      <c r="AG206" s="190">
        <f ca="1">SUMIFS(Покупка!AG$25:AG$254,Покупка!$F$25:$F$254,$F206,Покупка!$AC$25:$AC$254,$G206)</f>
        <v>0</v>
      </c>
      <c r="AH206" s="190">
        <f t="shared" ca="1" si="13"/>
        <v>0</v>
      </c>
      <c r="AI206" s="190">
        <f ca="1">SUMIFS(Покупка!AH$25:AH$254,Покупка!$F$25:$F$254,$F206,Покупка!$AC$25:$AC$254,$G206)</f>
        <v>0</v>
      </c>
      <c r="AJ206" s="190">
        <f ca="1">SUMIFS(Покупка!AI$25:AI$254,Покупка!$F$25:$F$254,$F206,Покупка!$AC$25:$AC$254,$G206)</f>
        <v>0</v>
      </c>
      <c r="AK206" s="190">
        <f ca="1">SUMIFS(Покупка!AS$25:AS$254,Покупка!$F$25:$F$254,$F206,Покупка!$AC$25:$AC$254,$G206)</f>
        <v>0</v>
      </c>
      <c r="AL206" s="190">
        <f t="shared" ca="1" si="14"/>
        <v>0</v>
      </c>
      <c r="AM206" s="215"/>
      <c r="AN206" s="610" t="str">
        <f ca="1">IF(IFERROR(INDEX(Покупка!$K$26:$L$254,MATCH($F206&amp;"7komm",Покупка!$K$26:$K$254,0),2),"")=0,"",IFERROR(INDEX(Покупка!$K$26:$L$254,MATCH($F206&amp;"7komm",Покупка!$K$26:$K$254,0),2),""))</f>
        <v/>
      </c>
      <c r="AO206" s="215"/>
      <c r="AR206" s="703" t="s">
        <v>1129</v>
      </c>
    </row>
    <row r="207" spans="1:48" ht="14.25" customHeight="1">
      <c r="E207" s="515">
        <v>15</v>
      </c>
      <c r="F207" s="3" t="str" cm="1">
        <f t="array" aca="1" ref="F207" ca="1">OFFSET(E207,-1,1)</f>
        <v>2</v>
      </c>
      <c r="G207" s="291" t="s">
        <v>1140</v>
      </c>
      <c r="I207" s="57" t="s">
        <v>1502</v>
      </c>
      <c r="J207" s="57"/>
      <c r="K207" s="57"/>
      <c r="L207" s="57"/>
      <c r="M207" s="57"/>
      <c r="N207" s="57"/>
      <c r="O207" s="57"/>
      <c r="P207" s="57"/>
      <c r="Q207" s="57"/>
      <c r="R207" s="57"/>
      <c r="S207" s="57"/>
      <c r="T207" s="365" t="b" cm="1">
        <f t="array" ref="T207">T206</f>
        <v>1</v>
      </c>
      <c r="X207" s="1123"/>
      <c r="Z207" s="1184"/>
      <c r="AB207" s="152" t="s">
        <v>1736</v>
      </c>
      <c r="AC207" s="153" t="s">
        <v>1737</v>
      </c>
      <c r="AD207" s="28" t="s">
        <v>804</v>
      </c>
      <c r="AE207" s="190">
        <f ca="1">SUMIFS(Покупка!AE$25:AE$254,Покупка!$F$25:$F$254,$F207,Покупка!$AC$25:$AC$254,$G207)</f>
        <v>0</v>
      </c>
      <c r="AF207" s="190">
        <f ca="1">SUMIFS(Покупка!AF$25:AF$254,Покупка!$F$25:$F$254,$F207,Покупка!$AC$25:$AC$254,$G207)</f>
        <v>0</v>
      </c>
      <c r="AG207" s="190">
        <f ca="1">SUMIFS(Покупка!AG$25:AG$254,Покупка!$F$25:$F$254,$F207,Покупка!$AC$25:$AC$254,$G207)</f>
        <v>0</v>
      </c>
      <c r="AH207" s="190">
        <f t="shared" ca="1" si="13"/>
        <v>0</v>
      </c>
      <c r="AI207" s="190">
        <f ca="1">SUMIFS(Покупка!AH$25:AH$254,Покупка!$F$25:$F$254,$F207,Покупка!$AC$25:$AC$254,$G207)</f>
        <v>0</v>
      </c>
      <c r="AJ207" s="190">
        <f ca="1">SUMIFS(Покупка!AI$25:AI$254,Покупка!$F$25:$F$254,$F207,Покупка!$AC$25:$AC$254,$G207)</f>
        <v>0</v>
      </c>
      <c r="AK207" s="190">
        <f ca="1">SUMIFS(Покупка!AS$25:AS$254,Покупка!$F$25:$F$254,$F207,Покупка!$AC$25:$AC$254,$G207)</f>
        <v>0</v>
      </c>
      <c r="AL207" s="190">
        <f t="shared" ca="1" si="14"/>
        <v>0</v>
      </c>
      <c r="AM207" s="215"/>
      <c r="AN207" s="610" t="str">
        <f ca="1">IF(IFERROR(INDEX(Покупка!$K$26:$L$254,MATCH($F207&amp;"9komm",Покупка!$K$26:$K$254,0),2),"")=0,"",IFERROR(INDEX(Покупка!$K$26:$L$254,MATCH($F207&amp;"9komm",Покупка!$K$26:$K$254,0),2),""))</f>
        <v/>
      </c>
      <c r="AO207" s="215"/>
      <c r="AR207" s="703" t="s">
        <v>1141</v>
      </c>
    </row>
    <row r="208" spans="1:48" ht="14.25" customHeight="1">
      <c r="E208" s="515">
        <v>15</v>
      </c>
      <c r="F208" s="3" t="str" cm="1">
        <f t="array" aca="1" ref="F208" ca="1">OFFSET(E208,-1,1)</f>
        <v>2</v>
      </c>
      <c r="G208" s="291" t="s">
        <v>1067</v>
      </c>
      <c r="I208" s="57" t="s">
        <v>1506</v>
      </c>
      <c r="J208" s="57"/>
      <c r="K208" s="57"/>
      <c r="L208" s="57"/>
      <c r="M208" s="57"/>
      <c r="N208" s="57"/>
      <c r="O208" s="57"/>
      <c r="P208" s="57"/>
      <c r="Q208" s="57"/>
      <c r="R208" s="57"/>
      <c r="S208" s="57"/>
      <c r="T208" s="365" t="b" cm="1">
        <f t="array" ref="T208">T207</f>
        <v>1</v>
      </c>
      <c r="X208" s="1123"/>
      <c r="Z208" s="1184"/>
      <c r="AB208" s="152" t="s">
        <v>1738</v>
      </c>
      <c r="AC208" s="153" t="s">
        <v>1739</v>
      </c>
      <c r="AD208" s="28" t="s">
        <v>804</v>
      </c>
      <c r="AE208" s="190">
        <f ca="1">SUMIFS(Покупка!AE$25:AE$254,Покупка!$F$25:$F$254,$F208,Покупка!$AC$25:$AC$254,$G208)</f>
        <v>0</v>
      </c>
      <c r="AF208" s="190">
        <f ca="1">SUMIFS(Покупка!AF$25:AF$254,Покупка!$F$25:$F$254,$F208,Покупка!$AC$25:$AC$254,$G208)</f>
        <v>0</v>
      </c>
      <c r="AG208" s="190">
        <f ca="1">SUMIFS(Покупка!AG$25:AG$254,Покупка!$F$25:$F$254,$F208,Покупка!$AC$25:$AC$254,$G208)</f>
        <v>0</v>
      </c>
      <c r="AH208" s="190">
        <f t="shared" ca="1" si="13"/>
        <v>0</v>
      </c>
      <c r="AI208" s="190">
        <f ca="1">SUMIFS(Покупка!AH$25:AH$254,Покупка!$F$25:$F$254,$F208,Покупка!$AC$25:$AC$254,$G208)</f>
        <v>0</v>
      </c>
      <c r="AJ208" s="190">
        <f ca="1">SUMIFS(Покупка!AI$25:AI$254,Покупка!$F$25:$F$254,$F208,Покупка!$AC$25:$AC$254,$G208)</f>
        <v>0</v>
      </c>
      <c r="AK208" s="190">
        <f ca="1">SUMIFS(Покупка!AS$25:AS$254,Покупка!$F$25:$F$254,$F208,Покупка!$AC$25:$AC$254,$G208)</f>
        <v>0</v>
      </c>
      <c r="AL208" s="190">
        <f t="shared" ca="1" si="14"/>
        <v>0</v>
      </c>
      <c r="AM208" s="215"/>
      <c r="AN208" s="610" t="str">
        <f ca="1">IF(IFERROR(INDEX(Покупка!$K$26:$L$254,MATCH($F208&amp;"1komm",Покупка!$K$26:$K$254,0),2),"")=0,"",IFERROR(INDEX(Покупка!$K$26:$L$254,MATCH($F208&amp;"1komm",Покупка!$K$26:$K$254,0),2),""))</f>
        <v/>
      </c>
      <c r="AO208" s="215"/>
      <c r="AR208" s="703" t="s">
        <v>1740</v>
      </c>
    </row>
    <row r="209" spans="1:48" ht="14.25" customHeight="1">
      <c r="E209" s="515">
        <v>15</v>
      </c>
      <c r="F209" s="3" t="str" cm="1">
        <f t="array" aca="1" ref="F209" ca="1">OFFSET(E209,-1,1)</f>
        <v>2</v>
      </c>
      <c r="G209" s="291" t="s">
        <v>1080</v>
      </c>
      <c r="I209" s="57" t="s">
        <v>1511</v>
      </c>
      <c r="J209" s="57"/>
      <c r="K209" s="57"/>
      <c r="L209" s="57"/>
      <c r="M209" s="57"/>
      <c r="N209" s="57"/>
      <c r="O209" s="57"/>
      <c r="P209" s="57"/>
      <c r="Q209" s="57"/>
      <c r="R209" s="57"/>
      <c r="S209" s="57"/>
      <c r="T209" s="365" t="b" cm="1">
        <f t="array" ref="T209">T208</f>
        <v>1</v>
      </c>
      <c r="X209" s="1123"/>
      <c r="Z209" s="1184"/>
      <c r="AB209" s="152" t="s">
        <v>1741</v>
      </c>
      <c r="AC209" s="153" t="s">
        <v>1742</v>
      </c>
      <c r="AD209" s="28" t="s">
        <v>804</v>
      </c>
      <c r="AE209" s="190">
        <f ca="1">SUMIFS(Покупка!AE$25:AE$254,Покупка!$F$25:$F$254,$F209,Покупка!$AC$25:$AC$254,$G209)</f>
        <v>0</v>
      </c>
      <c r="AF209" s="190">
        <f ca="1">SUMIFS(Покупка!AF$25:AF$254,Покупка!$F$25:$F$254,$F209,Покупка!$AC$25:$AC$254,$G209)</f>
        <v>0</v>
      </c>
      <c r="AG209" s="190">
        <f ca="1">SUMIFS(Покупка!AG$25:AG$254,Покупка!$F$25:$F$254,$F209,Покупка!$AC$25:$AC$254,$G209)</f>
        <v>0</v>
      </c>
      <c r="AH209" s="190">
        <f t="shared" ca="1" si="13"/>
        <v>0</v>
      </c>
      <c r="AI209" s="190">
        <f ca="1">SUMIFS(Покупка!AH$25:AH$254,Покупка!$F$25:$F$254,$F209,Покупка!$AC$25:$AC$254,$G209)</f>
        <v>0</v>
      </c>
      <c r="AJ209" s="190">
        <f ca="1">SUMIFS(Покупка!AI$25:AI$254,Покупка!$F$25:$F$254,$F209,Покупка!$AC$25:$AC$254,$G209)</f>
        <v>0</v>
      </c>
      <c r="AK209" s="190">
        <f ca="1">SUMIFS(Покупка!AS$25:AS$254,Покупка!$F$25:$F$254,$F209,Покупка!$AC$25:$AC$254,$G209)</f>
        <v>0</v>
      </c>
      <c r="AL209" s="190">
        <f t="shared" ca="1" si="14"/>
        <v>0</v>
      </c>
      <c r="AM209" s="215"/>
      <c r="AN209" s="610" t="str">
        <f ca="1">IF(IFERROR(INDEX(Покупка!$K$26:$L$254,MATCH($F209&amp;"2komm",Покупка!$K$26:$K$254,0),2),"")=0,"",IFERROR(INDEX(Покупка!$K$26:$L$254,MATCH($F209&amp;"2komm",Покупка!$K$26:$K$254,0),2),""))</f>
        <v/>
      </c>
      <c r="AO209" s="215"/>
      <c r="AR209" s="703" t="s">
        <v>1743</v>
      </c>
    </row>
    <row r="210" spans="1:48" ht="14.25" customHeight="1">
      <c r="E210" s="515">
        <v>15</v>
      </c>
      <c r="F210" s="3" t="str" cm="1">
        <f t="array" aca="1" ref="F210" ca="1">OFFSET(E210,-1,1)</f>
        <v>2</v>
      </c>
      <c r="G210" s="291" t="s">
        <v>1086</v>
      </c>
      <c r="I210" s="57" t="s">
        <v>1520</v>
      </c>
      <c r="J210" s="57"/>
      <c r="K210" s="57"/>
      <c r="L210" s="57"/>
      <c r="M210" s="57"/>
      <c r="N210" s="57"/>
      <c r="O210" s="57"/>
      <c r="P210" s="57"/>
      <c r="Q210" s="57"/>
      <c r="R210" s="57"/>
      <c r="S210" s="57"/>
      <c r="T210" s="365" t="b" cm="1">
        <f t="array" ref="T210">T209</f>
        <v>1</v>
      </c>
      <c r="X210" s="1123"/>
      <c r="Z210" s="1184"/>
      <c r="AB210" s="152" t="s">
        <v>1744</v>
      </c>
      <c r="AC210" s="153" t="s">
        <v>1745</v>
      </c>
      <c r="AD210" s="28" t="s">
        <v>804</v>
      </c>
      <c r="AE210" s="190">
        <f ca="1">SUMIFS(Покупка!AE$25:AE$254,Покупка!$F$25:$F$254,$F210,Покупка!$AC$25:$AC$254,$G210)</f>
        <v>0</v>
      </c>
      <c r="AF210" s="190">
        <f ca="1">SUMIFS(Покупка!AF$25:AF$254,Покупка!$F$25:$F$254,$F210,Покупка!$AC$25:$AC$254,$G210)</f>
        <v>0</v>
      </c>
      <c r="AG210" s="190">
        <f ca="1">SUMIFS(Покупка!AG$25:AG$254,Покупка!$F$25:$F$254,$F210,Покупка!$AC$25:$AC$254,$G210)</f>
        <v>0</v>
      </c>
      <c r="AH210" s="190">
        <f t="shared" ca="1" si="13"/>
        <v>0</v>
      </c>
      <c r="AI210" s="190">
        <f ca="1">SUMIFS(Покупка!AH$25:AH$254,Покупка!$F$25:$F$254,$F210,Покупка!$AC$25:$AC$254,$G210)</f>
        <v>0</v>
      </c>
      <c r="AJ210" s="190">
        <f ca="1">SUMIFS(Покупка!AI$25:AI$254,Покупка!$F$25:$F$254,$F210,Покупка!$AC$25:$AC$254,$G210)</f>
        <v>0</v>
      </c>
      <c r="AK210" s="190">
        <f ca="1">SUMIFS(Покупка!AS$25:AS$254,Покупка!$F$25:$F$254,$F210,Покупка!$AC$25:$AC$254,$G210)</f>
        <v>0</v>
      </c>
      <c r="AL210" s="190">
        <f t="shared" ca="1" si="14"/>
        <v>0</v>
      </c>
      <c r="AM210" s="215"/>
      <c r="AN210" s="610" t="str">
        <f ca="1">IF(IFERROR(INDEX(Покупка!$K$26:$L$254,MATCH($F210&amp;"3komm",Покупка!$K$26:$K$254,0),2),"")=0,"",IFERROR(INDEX(Покупка!$K$26:$L$254,MATCH($F210&amp;"3komm",Покупка!$K$26:$K$254,0),2),""))</f>
        <v/>
      </c>
      <c r="AO210" s="215"/>
      <c r="AR210" s="703" t="s">
        <v>1746</v>
      </c>
    </row>
    <row r="211" spans="1:48" ht="14.25" customHeight="1">
      <c r="E211" s="515">
        <v>15</v>
      </c>
      <c r="F211" s="3" t="str" cm="1">
        <f t="array" aca="1" ref="F211" ca="1">OFFSET(E211,-1,1)</f>
        <v>2</v>
      </c>
      <c r="G211" s="291" t="s">
        <v>1092</v>
      </c>
      <c r="I211" s="57" t="s">
        <v>1525</v>
      </c>
      <c r="J211" s="57"/>
      <c r="K211" s="57"/>
      <c r="L211" s="57"/>
      <c r="M211" s="57"/>
      <c r="N211" s="57"/>
      <c r="O211" s="57"/>
      <c r="P211" s="57"/>
      <c r="Q211" s="57"/>
      <c r="R211" s="57"/>
      <c r="S211" s="57"/>
      <c r="T211" s="365" t="b" cm="1">
        <f t="array" ref="T211">T210</f>
        <v>1</v>
      </c>
      <c r="X211" s="1123"/>
      <c r="Z211" s="1184"/>
      <c r="AB211" s="152" t="s">
        <v>1747</v>
      </c>
      <c r="AC211" s="153" t="s">
        <v>1748</v>
      </c>
      <c r="AD211" s="28" t="s">
        <v>804</v>
      </c>
      <c r="AE211" s="190">
        <f ca="1">SUMIFS(Покупка!AE$25:AE$254,Покупка!$F$25:$F$254,$F211,Покупка!$AC$25:$AC$254,$G211)</f>
        <v>0</v>
      </c>
      <c r="AF211" s="190">
        <f ca="1">SUMIFS(Покупка!AF$25:AF$254,Покупка!$F$25:$F$254,$F211,Покупка!$AC$25:$AC$254,$G211)</f>
        <v>0</v>
      </c>
      <c r="AG211" s="190">
        <f ca="1">SUMIFS(Покупка!AG$25:AG$254,Покупка!$F$25:$F$254,$F211,Покупка!$AC$25:$AC$254,$G211)</f>
        <v>0</v>
      </c>
      <c r="AH211" s="190">
        <f t="shared" ca="1" si="13"/>
        <v>0</v>
      </c>
      <c r="AI211" s="190">
        <f ca="1">SUMIFS(Покупка!AH$25:AH$254,Покупка!$F$25:$F$254,$F211,Покупка!$AC$25:$AC$254,$G211)</f>
        <v>0</v>
      </c>
      <c r="AJ211" s="190">
        <f ca="1">SUMIFS(Покупка!AI$25:AI$254,Покупка!$F$25:$F$254,$F211,Покупка!$AC$25:$AC$254,$G211)</f>
        <v>0</v>
      </c>
      <c r="AK211" s="190">
        <f ca="1">SUMIFS(Покупка!AS$25:AS$254,Покупка!$F$25:$F$254,$F211,Покупка!$AC$25:$AC$254,$G211)</f>
        <v>0</v>
      </c>
      <c r="AL211" s="190">
        <f t="shared" ca="1" si="14"/>
        <v>0</v>
      </c>
      <c r="AM211" s="215"/>
      <c r="AN211" s="610" t="str">
        <f ca="1">IF(IFERROR(INDEX(Покупка!$K$26:$L$254,MATCH($F211&amp;"4komm",Покупка!$K$26:$K$254,0),2),"")=0,"",IFERROR(INDEX(Покупка!$K$26:$L$254,MATCH($F211&amp;"4komm",Покупка!$K$26:$K$254,0),2),""))</f>
        <v/>
      </c>
      <c r="AO211" s="215"/>
      <c r="AR211" s="703" t="s">
        <v>1749</v>
      </c>
    </row>
    <row r="212" spans="1:48" ht="14.25" customHeight="1">
      <c r="E212" s="515">
        <v>15</v>
      </c>
      <c r="F212" s="3" t="str" cm="1">
        <f t="array" aca="1" ref="F212" ca="1">OFFSET(E212,-1,1)</f>
        <v>2</v>
      </c>
      <c r="G212" s="291" t="s">
        <v>1099</v>
      </c>
      <c r="I212" s="57" t="s">
        <v>1535</v>
      </c>
      <c r="J212" s="57"/>
      <c r="K212" s="57"/>
      <c r="L212" s="57"/>
      <c r="M212" s="57"/>
      <c r="N212" s="57"/>
      <c r="O212" s="57"/>
      <c r="P212" s="57"/>
      <c r="Q212" s="57"/>
      <c r="R212" s="57"/>
      <c r="S212" s="57"/>
      <c r="T212" s="365" t="b" cm="1">
        <f t="array" ref="T212">T211</f>
        <v>1</v>
      </c>
      <c r="X212" s="1123"/>
      <c r="Z212" s="1184"/>
      <c r="AB212" s="152" t="s">
        <v>1750</v>
      </c>
      <c r="AC212" s="153" t="s">
        <v>1751</v>
      </c>
      <c r="AD212" s="28" t="s">
        <v>804</v>
      </c>
      <c r="AE212" s="190">
        <f ca="1">SUMIFS(Покупка!AE$25:AE$254,Покупка!$F$25:$F$254,$F212,Покупка!$AC$25:$AC$254,$G212)</f>
        <v>0</v>
      </c>
      <c r="AF212" s="190">
        <f ca="1">SUMIFS(Покупка!AF$25:AF$254,Покупка!$F$25:$F$254,$F212,Покупка!$AC$25:$AC$254,$G212)</f>
        <v>0</v>
      </c>
      <c r="AG212" s="190">
        <f ca="1">SUMIFS(Покупка!AG$25:AG$254,Покупка!$F$25:$F$254,$F212,Покупка!$AC$25:$AC$254,$G212)</f>
        <v>0</v>
      </c>
      <c r="AH212" s="190">
        <f t="shared" ca="1" si="13"/>
        <v>0</v>
      </c>
      <c r="AI212" s="190">
        <f ca="1">SUMIFS(Покупка!AH$25:AH$254,Покупка!$F$25:$F$254,$F212,Покупка!$AC$25:$AC$254,$G212)</f>
        <v>0</v>
      </c>
      <c r="AJ212" s="190">
        <f ca="1">SUMIFS(Покупка!AI$25:AI$254,Покупка!$F$25:$F$254,$F212,Покупка!$AC$25:$AC$254,$G212)</f>
        <v>0</v>
      </c>
      <c r="AK212" s="190">
        <f ca="1">SUMIFS(Покупка!AS$25:AS$254,Покупка!$F$25:$F$254,$F212,Покупка!$AC$25:$AC$254,$G212)</f>
        <v>0</v>
      </c>
      <c r="AL212" s="190">
        <f t="shared" ca="1" si="14"/>
        <v>0</v>
      </c>
      <c r="AM212" s="215"/>
      <c r="AN212" s="610" t="str">
        <f ca="1">IF(IFERROR(INDEX(Покупка!$K$26:$L$254,MATCH($F212&amp;"5komm",Покупка!$K$26:$K$254,0),2),"")=0,"",IFERROR(INDEX(Покупка!$K$26:$L$254,MATCH($F212&amp;"5komm",Покупка!$K$26:$K$254,0),2),""))</f>
        <v/>
      </c>
      <c r="AO212" s="215"/>
      <c r="AR212" s="703" t="s">
        <v>1752</v>
      </c>
    </row>
    <row r="213" spans="1:48" s="948" customFormat="1" ht="43.5" customHeight="1">
      <c r="A213" s="434"/>
      <c r="B213" s="434"/>
      <c r="C213" s="434"/>
      <c r="D213" s="434"/>
      <c r="E213" s="516">
        <v>45</v>
      </c>
      <c r="F213" s="3" t="str" cm="1">
        <f t="array" aca="1" ref="F213" ca="1">OFFSET(E213,-1,1)</f>
        <v>2</v>
      </c>
      <c r="G213" s="434"/>
      <c r="H213" s="434"/>
      <c r="I213" s="173" t="s">
        <v>468</v>
      </c>
      <c r="J213" s="173"/>
      <c r="K213" s="173"/>
      <c r="L213" s="173"/>
      <c r="M213" s="173"/>
      <c r="N213" s="173"/>
      <c r="O213" s="173"/>
      <c r="P213" s="173"/>
      <c r="Q213" s="173"/>
      <c r="R213" s="173"/>
      <c r="S213" s="173"/>
      <c r="T213" s="365" t="b" cm="1">
        <f t="array" ref="T213">T212</f>
        <v>1</v>
      </c>
      <c r="U213" s="434"/>
      <c r="V213" s="434"/>
      <c r="W213" s="434"/>
      <c r="X213" s="1123"/>
      <c r="Y213" s="434"/>
      <c r="Z213" s="1184"/>
      <c r="AA213" s="434"/>
      <c r="AB213" s="150" t="s">
        <v>903</v>
      </c>
      <c r="AC213" s="276" t="s">
        <v>1753</v>
      </c>
      <c r="AD213" s="166" t="s">
        <v>804</v>
      </c>
      <c r="AE213" s="157"/>
      <c r="AF213" s="157"/>
      <c r="AG213" s="157"/>
      <c r="AH213" s="145">
        <f t="shared" si="13"/>
        <v>0</v>
      </c>
      <c r="AI213" s="157"/>
      <c r="AJ213" s="157"/>
      <c r="AK213" s="157"/>
      <c r="AL213" s="145">
        <f t="shared" si="14"/>
        <v>0</v>
      </c>
      <c r="AM213" s="566"/>
      <c r="AN213" s="566"/>
      <c r="AO213" s="566"/>
      <c r="AP213" s="434"/>
      <c r="AQ213" s="434"/>
      <c r="AR213" s="704" t="s">
        <v>1754</v>
      </c>
      <c r="AS213" s="704"/>
      <c r="AT213" s="704"/>
      <c r="AU213" s="516"/>
      <c r="AV213" s="516"/>
    </row>
    <row r="214" spans="1:48" s="948" customFormat="1" ht="43.5" customHeight="1">
      <c r="A214" s="434"/>
      <c r="B214" s="434"/>
      <c r="C214" s="434"/>
      <c r="D214" s="434"/>
      <c r="E214" s="516">
        <v>45</v>
      </c>
      <c r="F214" s="3" t="str" cm="1">
        <f t="array" aca="1" ref="F214" ca="1">OFFSET(E214,-1,1)</f>
        <v>2</v>
      </c>
      <c r="G214" s="434"/>
      <c r="H214" s="434"/>
      <c r="I214" s="173" t="s">
        <v>472</v>
      </c>
      <c r="J214" s="173"/>
      <c r="K214" s="173"/>
      <c r="L214" s="173"/>
      <c r="M214" s="173"/>
      <c r="N214" s="173"/>
      <c r="O214" s="173"/>
      <c r="P214" s="173"/>
      <c r="Q214" s="173"/>
      <c r="R214" s="173"/>
      <c r="S214" s="173"/>
      <c r="T214" s="365" t="b" cm="1">
        <f t="array" ref="T214">T213</f>
        <v>1</v>
      </c>
      <c r="U214" s="434"/>
      <c r="V214" s="434"/>
      <c r="W214" s="434"/>
      <c r="X214" s="1123"/>
      <c r="Y214" s="434"/>
      <c r="Z214" s="1184"/>
      <c r="AA214" s="434"/>
      <c r="AB214" s="150" t="s">
        <v>906</v>
      </c>
      <c r="AC214" s="276" t="s">
        <v>1755</v>
      </c>
      <c r="AD214" s="166" t="s">
        <v>804</v>
      </c>
      <c r="AE214" s="145">
        <f ca="1">AE215+AE216</f>
        <v>0</v>
      </c>
      <c r="AF214" s="145">
        <f ca="1">AF215+AF216</f>
        <v>0</v>
      </c>
      <c r="AG214" s="145">
        <f ca="1">AG215+AG216</f>
        <v>0</v>
      </c>
      <c r="AH214" s="145">
        <f t="shared" ca="1" si="13"/>
        <v>0</v>
      </c>
      <c r="AI214" s="145">
        <f ca="1">AI215+AI216</f>
        <v>0</v>
      </c>
      <c r="AJ214" s="145">
        <f ca="1">AJ215+AJ216</f>
        <v>0</v>
      </c>
      <c r="AK214" s="145">
        <f ca="1">AK215+AK216</f>
        <v>0</v>
      </c>
      <c r="AL214" s="145">
        <f t="shared" ca="1" si="14"/>
        <v>0</v>
      </c>
      <c r="AM214" s="566"/>
      <c r="AN214" s="566"/>
      <c r="AO214" s="566"/>
      <c r="AP214" s="434"/>
      <c r="AQ214" s="434"/>
      <c r="AR214" s="704" t="s">
        <v>1756</v>
      </c>
      <c r="AS214" s="704"/>
      <c r="AT214" s="704"/>
      <c r="AU214" s="516"/>
      <c r="AV214" s="516"/>
    </row>
    <row r="215" spans="1:48" ht="14.25" customHeight="1">
      <c r="E215" s="515">
        <v>15</v>
      </c>
      <c r="F215" s="3" t="str" cm="1">
        <f t="array" aca="1" ref="F215" ca="1">OFFSET(E215,-1,1)</f>
        <v>2</v>
      </c>
      <c r="G215" s="266" t="s">
        <v>1156</v>
      </c>
      <c r="I215" s="57" t="s">
        <v>1363</v>
      </c>
      <c r="J215" s="57"/>
      <c r="K215" s="57"/>
      <c r="L215" s="57"/>
      <c r="M215" s="57"/>
      <c r="N215" s="57"/>
      <c r="O215" s="57"/>
      <c r="P215" s="173"/>
      <c r="Q215" s="57"/>
      <c r="R215" s="57"/>
      <c r="S215" s="57"/>
      <c r="T215" s="365" t="b" cm="1">
        <f t="array" ref="T215">T214</f>
        <v>1</v>
      </c>
      <c r="X215" s="1123"/>
      <c r="Z215" s="1184"/>
      <c r="AB215" s="152" t="s">
        <v>1021</v>
      </c>
      <c r="AC215" s="153" t="s">
        <v>1757</v>
      </c>
      <c r="AD215" s="28" t="s">
        <v>804</v>
      </c>
      <c r="AE215" s="190">
        <f ca="1">SUMIFS(ФОТ!AE$25:AE$102,ФОТ!$F$25:$F$102,$F215,ФОТ!$G$25:$G$102,$G215)</f>
        <v>0</v>
      </c>
      <c r="AF215" s="190">
        <f ca="1">SUMIFS(ФОТ!AF$25:AF$102,ФОТ!$F$25:$F$102,$F215,ФОТ!$G$25:$G$102,$G215)</f>
        <v>0</v>
      </c>
      <c r="AG215" s="190">
        <f ca="1">SUMIFS(ФОТ!AG$25:AG$102,ФОТ!$F$25:$F$102,$F215,ФОТ!$G$25:$G$102,$G215)</f>
        <v>0</v>
      </c>
      <c r="AH215" s="190">
        <f t="shared" ca="1" si="13"/>
        <v>0</v>
      </c>
      <c r="AI215" s="190">
        <f ca="1">SUMIFS(ФОТ!AH$25:AH$102,ФОТ!$F$25:$F$102,$F215,ФОТ!$G$25:$G$102,$G215)</f>
        <v>0</v>
      </c>
      <c r="AJ215" s="190">
        <f ca="1">SUMIFS(ФОТ!AI$25:AI$102,ФОТ!$F$25:$F$102,$F215,ФОТ!$G$25:$G$102,$G215)</f>
        <v>0</v>
      </c>
      <c r="AK215" s="190">
        <f ca="1">SUMIFS(ФОТ!AJ$25:AJ$102,ФОТ!$F$25:$F$102,$F215,ФОТ!$G$25:$G$102,$G215)</f>
        <v>0</v>
      </c>
      <c r="AL215" s="190">
        <f t="shared" ca="1" si="14"/>
        <v>0</v>
      </c>
      <c r="AM215" s="215"/>
      <c r="AN215" s="610" t="str">
        <f ca="1">IF(IFERROR(INDEX(ФОТ!$K$26:$L$102,MATCH($F215&amp;"1komm",ФОТ!$K$26:$K$102,0),2),"")=0,"",IFERROR(INDEX(ФОТ!$K$26:$L$102,MATCH($F215&amp;"1komm",ФОТ!$K$26:$K$102,0),2),""))</f>
        <v/>
      </c>
      <c r="AO215" s="215"/>
      <c r="AR215" s="703" t="s">
        <v>1758</v>
      </c>
    </row>
    <row r="216" spans="1:48" ht="21.75" customHeight="1">
      <c r="E216" s="515">
        <v>22.5</v>
      </c>
      <c r="F216" s="3" t="str" cm="1">
        <f t="array" aca="1" ref="F216" ca="1">OFFSET(E216,-1,1)</f>
        <v>2</v>
      </c>
      <c r="G216" s="266" t="s">
        <v>1168</v>
      </c>
      <c r="I216" s="57" t="s">
        <v>1364</v>
      </c>
      <c r="J216" s="57"/>
      <c r="K216" s="57"/>
      <c r="L216" s="57"/>
      <c r="M216" s="57"/>
      <c r="N216" s="57"/>
      <c r="O216" s="57"/>
      <c r="P216" s="173"/>
      <c r="Q216" s="57"/>
      <c r="R216" s="57"/>
      <c r="S216" s="57"/>
      <c r="T216" s="365" t="b" cm="1">
        <f t="array" ref="T216">T215</f>
        <v>1</v>
      </c>
      <c r="X216" s="1123"/>
      <c r="Z216" s="1184"/>
      <c r="AB216" s="152" t="s">
        <v>1024</v>
      </c>
      <c r="AC216" s="153" t="s">
        <v>1759</v>
      </c>
      <c r="AD216" s="28" t="s">
        <v>804</v>
      </c>
      <c r="AE216" s="190">
        <f ca="1">SUMIFS(ФОТ!AE$25:AE$102,ФОТ!$F$25:$F$102,$F216,ФОТ!$G$25:$G$102,$G216)</f>
        <v>0</v>
      </c>
      <c r="AF216" s="190">
        <f ca="1">SUMIFS(ФОТ!AF$25:AF$102,ФОТ!$F$25:$F$102,$F216,ФОТ!$G$25:$G$102,$G216)</f>
        <v>0</v>
      </c>
      <c r="AG216" s="190">
        <f ca="1">SUMIFS(ФОТ!AG$25:AG$102,ФОТ!$F$25:$F$102,$F216,ФОТ!$G$25:$G$102,$G216)</f>
        <v>0</v>
      </c>
      <c r="AH216" s="190">
        <f t="shared" ca="1" si="13"/>
        <v>0</v>
      </c>
      <c r="AI216" s="190">
        <f ca="1">SUMIFS(ФОТ!AH$25:AH$102,ФОТ!$F$25:$F$102,$F216,ФОТ!$G$25:$G$102,$G216)</f>
        <v>0</v>
      </c>
      <c r="AJ216" s="190">
        <f ca="1">SUMIFS(ФОТ!AI$25:AI$102,ФОТ!$F$25:$F$102,$F216,ФОТ!$G$25:$G$102,$G216)</f>
        <v>0</v>
      </c>
      <c r="AK216" s="190">
        <f ca="1">SUMIFS(ФОТ!AJ$25:AJ$102,ФОТ!$F$25:$F$102,$F216,ФОТ!$G$25:$G$102,$G216)</f>
        <v>0</v>
      </c>
      <c r="AL216" s="190">
        <f t="shared" ca="1" si="14"/>
        <v>0</v>
      </c>
      <c r="AM216" s="215"/>
      <c r="AN216" s="610" t="str">
        <f ca="1">IF(IFERROR(INDEX(ФОТ!$K$26:$L$102,MATCH($F216&amp;"2komm",ФОТ!$K$26:$K$102,0),2),"")=0,"",IFERROR(INDEX(ФОТ!$K$26:$L$102,MATCH($F216&amp;"2komm",ФОТ!$K$26:$K$102,0),2),""))</f>
        <v/>
      </c>
      <c r="AO216" s="215"/>
      <c r="AR216" s="703" t="s">
        <v>1760</v>
      </c>
    </row>
    <row r="217" spans="1:48" s="948" customFormat="1" ht="14.25" customHeight="1">
      <c r="A217" s="434"/>
      <c r="B217" s="434"/>
      <c r="C217" s="434"/>
      <c r="D217" s="434"/>
      <c r="E217" s="516">
        <v>15</v>
      </c>
      <c r="F217" s="3" t="str" cm="1">
        <f t="array" aca="1" ref="F217" ca="1">OFFSET(E217,-1,1)</f>
        <v>2</v>
      </c>
      <c r="G217" s="434"/>
      <c r="H217" s="434"/>
      <c r="I217" s="173" t="s">
        <v>909</v>
      </c>
      <c r="J217" s="173"/>
      <c r="K217" s="173"/>
      <c r="L217" s="173"/>
      <c r="M217" s="173"/>
      <c r="N217" s="173"/>
      <c r="O217" s="173"/>
      <c r="P217" s="173"/>
      <c r="Q217" s="173"/>
      <c r="R217" s="173"/>
      <c r="S217" s="173"/>
      <c r="T217" s="365" t="b" cm="1">
        <f t="array" ref="T217">T216</f>
        <v>1</v>
      </c>
      <c r="U217" s="434"/>
      <c r="V217" s="434"/>
      <c r="W217" s="434"/>
      <c r="X217" s="1123"/>
      <c r="Y217" s="434"/>
      <c r="Z217" s="1184"/>
      <c r="AA217" s="434"/>
      <c r="AB217" s="150" t="s">
        <v>910</v>
      </c>
      <c r="AC217" s="276" t="s">
        <v>1761</v>
      </c>
      <c r="AD217" s="166" t="s">
        <v>804</v>
      </c>
      <c r="AE217" s="157"/>
      <c r="AF217" s="157"/>
      <c r="AG217" s="157"/>
      <c r="AH217" s="145">
        <f t="shared" si="13"/>
        <v>0</v>
      </c>
      <c r="AI217" s="157"/>
      <c r="AJ217" s="157"/>
      <c r="AK217" s="157"/>
      <c r="AL217" s="145">
        <f t="shared" si="14"/>
        <v>0</v>
      </c>
      <c r="AM217" s="566"/>
      <c r="AN217" s="566"/>
      <c r="AO217" s="566"/>
      <c r="AP217" s="434"/>
      <c r="AQ217" s="434"/>
      <c r="AR217" s="704" t="s">
        <v>1342</v>
      </c>
      <c r="AS217" s="704"/>
      <c r="AT217" s="704"/>
      <c r="AU217" s="516"/>
      <c r="AV217" s="516"/>
    </row>
    <row r="218" spans="1:48" s="948" customFormat="1" ht="14.25" customHeight="1">
      <c r="A218" s="434"/>
      <c r="B218" s="434"/>
      <c r="C218" s="434"/>
      <c r="D218" s="434"/>
      <c r="E218" s="516">
        <v>15</v>
      </c>
      <c r="F218" s="3" t="str" cm="1">
        <f t="array" aca="1" ref="F218" ca="1">OFFSET(E218,-1,1)</f>
        <v>2</v>
      </c>
      <c r="G218" s="434"/>
      <c r="H218" s="434"/>
      <c r="I218" s="173" t="s">
        <v>1762</v>
      </c>
      <c r="J218" s="173"/>
      <c r="K218" s="173"/>
      <c r="L218" s="173"/>
      <c r="M218" s="173"/>
      <c r="N218" s="173"/>
      <c r="O218" s="173"/>
      <c r="P218" s="173"/>
      <c r="Q218" s="173"/>
      <c r="R218" s="173"/>
      <c r="S218" s="173"/>
      <c r="T218" s="365" t="b" cm="1">
        <f t="array" ref="T218">T217</f>
        <v>1</v>
      </c>
      <c r="U218" s="434"/>
      <c r="V218" s="434"/>
      <c r="W218" s="434"/>
      <c r="X218" s="1123"/>
      <c r="Y218" s="434"/>
      <c r="Z218" s="1184"/>
      <c r="AA218" s="434"/>
      <c r="AB218" s="150" t="s">
        <v>1763</v>
      </c>
      <c r="AC218" s="276" t="s">
        <v>1764</v>
      </c>
      <c r="AD218" s="166" t="s">
        <v>804</v>
      </c>
      <c r="AE218" s="157"/>
      <c r="AF218" s="157"/>
      <c r="AG218" s="157"/>
      <c r="AH218" s="145">
        <f t="shared" si="13"/>
        <v>0</v>
      </c>
      <c r="AI218" s="157"/>
      <c r="AJ218" s="157"/>
      <c r="AK218" s="157"/>
      <c r="AL218" s="145">
        <f t="shared" si="14"/>
        <v>0</v>
      </c>
      <c r="AM218" s="566"/>
      <c r="AN218" s="566"/>
      <c r="AO218" s="566"/>
      <c r="AP218" s="434"/>
      <c r="AQ218" s="434"/>
      <c r="AR218" s="704" t="s">
        <v>1765</v>
      </c>
      <c r="AS218" s="704"/>
      <c r="AT218" s="704"/>
      <c r="AU218" s="516"/>
      <c r="AV218" s="516"/>
    </row>
    <row r="219" spans="1:48" s="948" customFormat="1" ht="14.25" customHeight="1">
      <c r="A219" s="434"/>
      <c r="B219" s="434"/>
      <c r="C219" s="434"/>
      <c r="D219" s="434"/>
      <c r="E219" s="516">
        <v>15</v>
      </c>
      <c r="F219" s="3" t="str" cm="1">
        <f t="array" aca="1" ref="F219" ca="1">OFFSET(E219,-1,1)</f>
        <v>2</v>
      </c>
      <c r="G219" s="434"/>
      <c r="H219" s="434"/>
      <c r="I219" s="173" t="s">
        <v>1766</v>
      </c>
      <c r="J219" s="173"/>
      <c r="K219" s="173"/>
      <c r="L219" s="173"/>
      <c r="M219" s="173"/>
      <c r="N219" s="173"/>
      <c r="O219" s="173"/>
      <c r="P219" s="173"/>
      <c r="Q219" s="173"/>
      <c r="R219" s="173"/>
      <c r="S219" s="173"/>
      <c r="T219" s="365" t="b" cm="1">
        <f t="array" ref="T219">T218</f>
        <v>1</v>
      </c>
      <c r="U219" s="434"/>
      <c r="V219" s="434"/>
      <c r="W219" s="434"/>
      <c r="X219" s="1123"/>
      <c r="Y219" s="434"/>
      <c r="Z219" s="1184"/>
      <c r="AA219" s="434"/>
      <c r="AB219" s="150" t="s">
        <v>1767</v>
      </c>
      <c r="AC219" s="276" t="s">
        <v>1768</v>
      </c>
      <c r="AD219" s="166" t="s">
        <v>804</v>
      </c>
      <c r="AE219" s="145">
        <f>SUM(AE220:AE225)</f>
        <v>0</v>
      </c>
      <c r="AF219" s="145">
        <f>SUM(AF220:AF225)</f>
        <v>0</v>
      </c>
      <c r="AG219" s="145">
        <f>SUM(AG220:AG225)</f>
        <v>0</v>
      </c>
      <c r="AH219" s="145">
        <f t="shared" si="13"/>
        <v>0</v>
      </c>
      <c r="AI219" s="145">
        <f>SUM(AI220:AI225)</f>
        <v>0</v>
      </c>
      <c r="AJ219" s="145">
        <f>SUM(AJ220:AJ225)</f>
        <v>0</v>
      </c>
      <c r="AK219" s="145">
        <f>SUM(AK220:AK225)</f>
        <v>0</v>
      </c>
      <c r="AL219" s="145">
        <f t="shared" si="14"/>
        <v>0</v>
      </c>
      <c r="AM219" s="566"/>
      <c r="AN219" s="566"/>
      <c r="AO219" s="566"/>
      <c r="AP219" s="434"/>
      <c r="AQ219" s="434"/>
      <c r="AR219" s="704" t="s">
        <v>1769</v>
      </c>
      <c r="AS219" s="704"/>
      <c r="AT219" s="704"/>
      <c r="AU219" s="516"/>
      <c r="AV219" s="516"/>
    </row>
    <row r="220" spans="1:48" ht="14.25" customHeight="1">
      <c r="E220" s="515">
        <v>15</v>
      </c>
      <c r="F220" s="3" t="str" cm="1">
        <f t="array" aca="1" ref="F220" ca="1">OFFSET(E220,-1,1)</f>
        <v>2</v>
      </c>
      <c r="I220" s="57" t="s">
        <v>1766</v>
      </c>
      <c r="J220" s="291" t="s">
        <v>1770</v>
      </c>
      <c r="L220" s="57"/>
      <c r="M220" s="57"/>
      <c r="N220" s="57"/>
      <c r="O220" s="57"/>
      <c r="P220" s="57"/>
      <c r="Q220" s="57"/>
      <c r="R220" s="57"/>
      <c r="S220" s="57"/>
      <c r="T220" s="365" t="b" cm="1">
        <f t="array" ref="T220">T219</f>
        <v>1</v>
      </c>
      <c r="X220" s="1123"/>
      <c r="Z220" s="1184"/>
      <c r="AB220" s="152" t="s">
        <v>1771</v>
      </c>
      <c r="AC220" s="153" t="s">
        <v>1772</v>
      </c>
      <c r="AD220" s="28" t="s">
        <v>804</v>
      </c>
      <c r="AE220" s="147"/>
      <c r="AF220" s="147"/>
      <c r="AG220" s="147"/>
      <c r="AH220" s="190">
        <f t="shared" si="13"/>
        <v>0</v>
      </c>
      <c r="AI220" s="147"/>
      <c r="AJ220" s="147"/>
      <c r="AK220" s="147"/>
      <c r="AL220" s="190">
        <f t="shared" si="14"/>
        <v>0</v>
      </c>
      <c r="AM220" s="215"/>
      <c r="AN220" s="215"/>
      <c r="AO220" s="215"/>
      <c r="AR220" s="703" t="s">
        <v>1773</v>
      </c>
    </row>
    <row r="221" spans="1:48" ht="14.25" customHeight="1">
      <c r="E221" s="515">
        <v>15</v>
      </c>
      <c r="F221" s="3" t="str" cm="1">
        <f t="array" aca="1" ref="F221" ca="1">OFFSET(E221,-1,1)</f>
        <v>2</v>
      </c>
      <c r="I221" s="57" t="s">
        <v>1766</v>
      </c>
      <c r="J221" s="291" t="s">
        <v>1774</v>
      </c>
      <c r="L221" s="57"/>
      <c r="M221" s="57"/>
      <c r="N221" s="57"/>
      <c r="O221" s="57"/>
      <c r="P221" s="57"/>
      <c r="Q221" s="57"/>
      <c r="R221" s="57"/>
      <c r="S221" s="57"/>
      <c r="T221" s="365" t="b" cm="1">
        <f t="array" ref="T221">T220</f>
        <v>1</v>
      </c>
      <c r="X221" s="1123"/>
      <c r="Z221" s="1184"/>
      <c r="AB221" s="152" t="s">
        <v>1775</v>
      </c>
      <c r="AC221" s="153" t="s">
        <v>1776</v>
      </c>
      <c r="AD221" s="28" t="s">
        <v>804</v>
      </c>
      <c r="AE221" s="147"/>
      <c r="AF221" s="147"/>
      <c r="AG221" s="147"/>
      <c r="AH221" s="190">
        <f t="shared" si="13"/>
        <v>0</v>
      </c>
      <c r="AI221" s="147"/>
      <c r="AJ221" s="147"/>
      <c r="AK221" s="147"/>
      <c r="AL221" s="190">
        <f t="shared" si="14"/>
        <v>0</v>
      </c>
      <c r="AM221" s="215"/>
      <c r="AN221" s="215"/>
      <c r="AO221" s="215"/>
      <c r="AR221" s="703" t="s">
        <v>1777</v>
      </c>
    </row>
    <row r="222" spans="1:48" ht="14.25" customHeight="1">
      <c r="E222" s="515">
        <v>15</v>
      </c>
      <c r="F222" s="3" t="str" cm="1">
        <f t="array" aca="1" ref="F222" ca="1">OFFSET(E222,-1,1)</f>
        <v>2</v>
      </c>
      <c r="I222" s="57" t="s">
        <v>1766</v>
      </c>
      <c r="J222" s="291" t="s">
        <v>1778</v>
      </c>
      <c r="L222" s="57"/>
      <c r="M222" s="57"/>
      <c r="N222" s="57"/>
      <c r="O222" s="57"/>
      <c r="P222" s="57"/>
      <c r="Q222" s="57"/>
      <c r="R222" s="57"/>
      <c r="S222" s="57"/>
      <c r="T222" s="365" t="b" cm="1">
        <f t="array" ref="T222">T221</f>
        <v>1</v>
      </c>
      <c r="X222" s="1123"/>
      <c r="Z222" s="1184"/>
      <c r="AB222" s="152" t="s">
        <v>1779</v>
      </c>
      <c r="AC222" s="153" t="s">
        <v>1780</v>
      </c>
      <c r="AD222" s="28" t="s">
        <v>804</v>
      </c>
      <c r="AE222" s="147"/>
      <c r="AF222" s="147"/>
      <c r="AG222" s="147"/>
      <c r="AH222" s="190">
        <f t="shared" si="13"/>
        <v>0</v>
      </c>
      <c r="AI222" s="147"/>
      <c r="AJ222" s="147"/>
      <c r="AK222" s="147"/>
      <c r="AL222" s="190">
        <f t="shared" si="14"/>
        <v>0</v>
      </c>
      <c r="AM222" s="215"/>
      <c r="AN222" s="215"/>
      <c r="AO222" s="215"/>
      <c r="AR222" s="703" t="s">
        <v>1781</v>
      </c>
    </row>
    <row r="223" spans="1:48" ht="14.25" customHeight="1">
      <c r="E223" s="515">
        <v>15</v>
      </c>
      <c r="F223" s="3" t="str" cm="1">
        <f t="array" aca="1" ref="F223" ca="1">OFFSET(E223,-1,1)</f>
        <v>2</v>
      </c>
      <c r="I223" s="57" t="s">
        <v>1766</v>
      </c>
      <c r="J223" s="291" t="s">
        <v>1782</v>
      </c>
      <c r="L223" s="57"/>
      <c r="M223" s="57"/>
      <c r="N223" s="57"/>
      <c r="O223" s="57"/>
      <c r="P223" s="57"/>
      <c r="Q223" s="57"/>
      <c r="R223" s="57"/>
      <c r="S223" s="57"/>
      <c r="T223" s="365" t="b" cm="1">
        <f t="array" ref="T223">T222</f>
        <v>1</v>
      </c>
      <c r="X223" s="1123"/>
      <c r="Z223" s="1184"/>
      <c r="AB223" s="152" t="s">
        <v>1783</v>
      </c>
      <c r="AC223" s="153" t="s">
        <v>1784</v>
      </c>
      <c r="AD223" s="28" t="s">
        <v>804</v>
      </c>
      <c r="AE223" s="147"/>
      <c r="AF223" s="147"/>
      <c r="AG223" s="147"/>
      <c r="AH223" s="190">
        <f t="shared" si="13"/>
        <v>0</v>
      </c>
      <c r="AI223" s="147"/>
      <c r="AJ223" s="147"/>
      <c r="AK223" s="147"/>
      <c r="AL223" s="190">
        <f t="shared" si="14"/>
        <v>0</v>
      </c>
      <c r="AM223" s="215"/>
      <c r="AN223" s="215"/>
      <c r="AO223" s="215"/>
      <c r="AR223" s="703" t="s">
        <v>1785</v>
      </c>
    </row>
    <row r="224" spans="1:48" ht="14.25" hidden="1" customHeight="1">
      <c r="E224" s="515">
        <v>15</v>
      </c>
      <c r="F224" s="3" t="str" cm="1">
        <f t="array" aca="1" ref="F224" ca="1">OFFSET(E224,-1,1)</f>
        <v>2</v>
      </c>
      <c r="I224" s="57" t="s">
        <v>1766</v>
      </c>
      <c r="J224" s="291" cm="1">
        <f t="array" ref="J224">AC224</f>
        <v>0</v>
      </c>
      <c r="L224" s="57"/>
      <c r="M224" s="57"/>
      <c r="N224" s="57"/>
      <c r="O224" s="57"/>
      <c r="P224" s="57"/>
      <c r="Q224" s="57"/>
      <c r="R224" s="57"/>
      <c r="S224" s="57"/>
      <c r="T224" s="365" t="b">
        <f ca="1">AND(F224&gt;0,Y224&gt;4)</f>
        <v>0</v>
      </c>
      <c r="W224" s="528" t="s">
        <v>173</v>
      </c>
      <c r="X224" s="1123"/>
      <c r="Y224" s="291">
        <v>4</v>
      </c>
      <c r="Z224" s="1184"/>
      <c r="AA224" s="493" t="s">
        <v>174</v>
      </c>
      <c r="AB224" s="511" t="str">
        <f>"1.7."&amp;Y224</f>
        <v>1.7.4</v>
      </c>
      <c r="AC224" s="789"/>
      <c r="AD224" s="28" t="s">
        <v>804</v>
      </c>
      <c r="AE224" s="787"/>
      <c r="AF224" s="787"/>
      <c r="AG224" s="787"/>
      <c r="AH224" s="190">
        <f t="shared" si="13"/>
        <v>0</v>
      </c>
      <c r="AI224" s="787"/>
      <c r="AJ224" s="787"/>
      <c r="AK224" s="787"/>
      <c r="AL224" s="190">
        <f t="shared" si="14"/>
        <v>0</v>
      </c>
      <c r="AM224" s="784"/>
      <c r="AN224" s="784"/>
      <c r="AO224" s="784"/>
      <c r="AR224" s="703" t="s">
        <v>1786</v>
      </c>
      <c r="AS224" s="703" t="s">
        <v>1142</v>
      </c>
      <c r="AT224" s="703" cm="1">
        <f t="array" ref="AT224">AC224</f>
        <v>0</v>
      </c>
      <c r="AV224" s="515" t="b">
        <v>1</v>
      </c>
    </row>
    <row r="225" spans="1:48" ht="14.25" customHeight="1">
      <c r="E225" s="515">
        <v>15</v>
      </c>
      <c r="F225" s="3" t="str" cm="1">
        <f t="array" aca="1" ref="F225" ca="1">OFFSET(E225,-1,1)</f>
        <v>2</v>
      </c>
      <c r="I225" s="36"/>
      <c r="J225" s="36" t="s">
        <v>1787</v>
      </c>
      <c r="K225" s="36"/>
      <c r="L225" s="36"/>
      <c r="M225" s="36"/>
      <c r="N225" s="36"/>
      <c r="O225" s="36"/>
      <c r="P225" s="36"/>
      <c r="Q225" s="36"/>
      <c r="R225" s="36"/>
      <c r="S225" s="36"/>
      <c r="T225" s="365" t="b">
        <f ca="1">F225&gt;0</f>
        <v>1</v>
      </c>
      <c r="W225" s="517" t="s">
        <v>392</v>
      </c>
      <c r="X225" s="1123"/>
      <c r="Z225" s="1184"/>
      <c r="AB225" s="556"/>
      <c r="AC225" s="191" t="s">
        <v>177</v>
      </c>
      <c r="AD225" s="557"/>
      <c r="AE225" s="557"/>
      <c r="AF225" s="557"/>
      <c r="AG225" s="557"/>
      <c r="AH225" s="557"/>
      <c r="AI225" s="557"/>
      <c r="AJ225" s="557"/>
      <c r="AK225" s="557"/>
      <c r="AL225" s="557"/>
      <c r="AM225" s="557"/>
      <c r="AN225" s="557"/>
      <c r="AO225" s="558"/>
      <c r="AU225" s="515" t="s">
        <v>1142</v>
      </c>
    </row>
    <row r="226" spans="1:48" s="948" customFormat="1" ht="14.25" customHeight="1">
      <c r="A226" s="434"/>
      <c r="B226" s="434"/>
      <c r="C226" s="434"/>
      <c r="D226" s="434"/>
      <c r="E226" s="516">
        <v>15</v>
      </c>
      <c r="F226" s="3" t="str" cm="1">
        <f t="array" aca="1" ref="F226" ca="1">OFFSET(E226,-1,1)</f>
        <v>2</v>
      </c>
      <c r="G226" s="434"/>
      <c r="H226" s="434"/>
      <c r="I226" s="173" t="s">
        <v>328</v>
      </c>
      <c r="J226" s="173"/>
      <c r="K226" s="173"/>
      <c r="L226" s="173"/>
      <c r="M226" s="173"/>
      <c r="N226" s="173"/>
      <c r="O226" s="173"/>
      <c r="P226" s="173"/>
      <c r="Q226" s="173"/>
      <c r="R226" s="173"/>
      <c r="S226" s="173"/>
      <c r="T226" s="365" t="b" cm="1">
        <f t="array" aca="1" ref="T226" ca="1">T225</f>
        <v>1</v>
      </c>
      <c r="U226" s="434"/>
      <c r="V226" s="434"/>
      <c r="W226" s="434"/>
      <c r="X226" s="1123"/>
      <c r="Y226" s="434"/>
      <c r="Z226" s="1184"/>
      <c r="AA226" s="434"/>
      <c r="AB226" s="150" t="s">
        <v>285</v>
      </c>
      <c r="AC226" s="151" t="s">
        <v>1788</v>
      </c>
      <c r="AD226" s="143" t="s">
        <v>804</v>
      </c>
      <c r="AE226" s="145">
        <f ca="1">AE227+AE228</f>
        <v>0</v>
      </c>
      <c r="AF226" s="145">
        <f ca="1">AF227+AF228</f>
        <v>0</v>
      </c>
      <c r="AG226" s="145">
        <f ca="1">AG227+AG228</f>
        <v>0</v>
      </c>
      <c r="AH226" s="145">
        <f t="shared" ref="AH226:AH251" ca="1" si="15">AG226-AF226</f>
        <v>0</v>
      </c>
      <c r="AI226" s="145">
        <f ca="1">AI227+AI228</f>
        <v>0</v>
      </c>
      <c r="AJ226" s="145">
        <f ca="1">AJ227+AJ228</f>
        <v>0</v>
      </c>
      <c r="AK226" s="145">
        <f ca="1">AK227+AK228</f>
        <v>0</v>
      </c>
      <c r="AL226" s="145">
        <f t="shared" ref="AL226:AL265" ca="1" si="16">IF(AI226=0,0,(AK226-AI226)/AI226*100)</f>
        <v>0</v>
      </c>
      <c r="AM226" s="566"/>
      <c r="AN226" s="566"/>
      <c r="AO226" s="566"/>
      <c r="AP226" s="434"/>
      <c r="AQ226" s="434"/>
      <c r="AR226" s="704" t="s">
        <v>1789</v>
      </c>
      <c r="AS226" s="704"/>
      <c r="AT226" s="704"/>
      <c r="AU226" s="516"/>
      <c r="AV226" s="516"/>
    </row>
    <row r="227" spans="1:48" ht="32.25" customHeight="1">
      <c r="E227" s="515">
        <v>33.75</v>
      </c>
      <c r="F227" s="3" t="str" cm="1">
        <f t="array" aca="1" ref="F227" ca="1">OFFSET(E227,-1,1)</f>
        <v>2</v>
      </c>
      <c r="I227" s="57" t="s">
        <v>479</v>
      </c>
      <c r="J227" s="57"/>
      <c r="K227" s="57"/>
      <c r="L227" s="57"/>
      <c r="M227" s="57"/>
      <c r="N227" s="57"/>
      <c r="O227" s="57"/>
      <c r="P227" s="57"/>
      <c r="Q227" s="57"/>
      <c r="R227" s="57"/>
      <c r="S227" s="57"/>
      <c r="T227" s="365" t="b" cm="1">
        <f t="array" aca="1" ref="T227" ca="1">T226</f>
        <v>1</v>
      </c>
      <c r="X227" s="1123"/>
      <c r="Z227" s="1184"/>
      <c r="AB227" s="152" t="s">
        <v>537</v>
      </c>
      <c r="AC227" s="146" t="s">
        <v>1790</v>
      </c>
      <c r="AD227" s="26" t="s">
        <v>804</v>
      </c>
      <c r="AE227" s="147"/>
      <c r="AF227" s="147"/>
      <c r="AG227" s="147"/>
      <c r="AH227" s="190">
        <f t="shared" si="15"/>
        <v>0</v>
      </c>
      <c r="AI227" s="147"/>
      <c r="AJ227" s="147"/>
      <c r="AK227" s="147"/>
      <c r="AL227" s="190">
        <f t="shared" si="16"/>
        <v>0</v>
      </c>
      <c r="AM227" s="215"/>
      <c r="AN227" s="215"/>
      <c r="AO227" s="215"/>
      <c r="AR227" s="703" t="s">
        <v>1791</v>
      </c>
    </row>
    <row r="228" spans="1:48" ht="34.5" customHeight="1">
      <c r="E228" s="515">
        <v>36</v>
      </c>
      <c r="F228" s="3" t="str" cm="1">
        <f t="array" aca="1" ref="F228" ca="1">OFFSET(E228,-1,1)</f>
        <v>2</v>
      </c>
      <c r="I228" s="57" t="s">
        <v>482</v>
      </c>
      <c r="J228" s="57"/>
      <c r="K228" s="57"/>
      <c r="L228" s="57"/>
      <c r="M228" s="57"/>
      <c r="N228" s="57"/>
      <c r="O228" s="57"/>
      <c r="P228" s="57"/>
      <c r="Q228" s="57"/>
      <c r="R228" s="57"/>
      <c r="S228" s="57"/>
      <c r="T228" s="365" t="b" cm="1">
        <f t="array" aca="1" ref="T228" ca="1">T227</f>
        <v>1</v>
      </c>
      <c r="X228" s="1123"/>
      <c r="Z228" s="1184"/>
      <c r="AB228" s="152" t="s">
        <v>541</v>
      </c>
      <c r="AC228" s="146" t="s">
        <v>1792</v>
      </c>
      <c r="AD228" s="26" t="s">
        <v>804</v>
      </c>
      <c r="AE228" s="190">
        <f ca="1">AE229+AE230</f>
        <v>0</v>
      </c>
      <c r="AF228" s="190">
        <f ca="1">AF229+AF230</f>
        <v>0</v>
      </c>
      <c r="AG228" s="190">
        <f ca="1">AG229+AG230</f>
        <v>0</v>
      </c>
      <c r="AH228" s="190">
        <f t="shared" ca="1" si="15"/>
        <v>0</v>
      </c>
      <c r="AI228" s="190">
        <f ca="1">AI229+AI230</f>
        <v>0</v>
      </c>
      <c r="AJ228" s="190">
        <f ca="1">AJ229+AJ230</f>
        <v>0</v>
      </c>
      <c r="AK228" s="190">
        <f ca="1">AK229+AK230</f>
        <v>0</v>
      </c>
      <c r="AL228" s="190">
        <f t="shared" ca="1" si="16"/>
        <v>0</v>
      </c>
      <c r="AM228" s="215"/>
      <c r="AN228" s="215"/>
      <c r="AO228" s="215"/>
      <c r="AR228" s="703" t="s">
        <v>1793</v>
      </c>
    </row>
    <row r="229" spans="1:48" ht="14.25" customHeight="1">
      <c r="E229" s="515">
        <v>15</v>
      </c>
      <c r="F229" s="3" t="str" cm="1">
        <f t="array" aca="1" ref="F229" ca="1">OFFSET(E229,-1,1)</f>
        <v>2</v>
      </c>
      <c r="G229" s="291" t="s">
        <v>1171</v>
      </c>
      <c r="I229" s="57" t="s">
        <v>1794</v>
      </c>
      <c r="J229" s="57"/>
      <c r="K229" s="57"/>
      <c r="L229" s="57"/>
      <c r="M229" s="57"/>
      <c r="N229" s="57"/>
      <c r="O229" s="57"/>
      <c r="P229" s="57"/>
      <c r="Q229" s="57"/>
      <c r="R229" s="57"/>
      <c r="S229" s="57"/>
      <c r="T229" s="365" t="b" cm="1">
        <f t="array" aca="1" ref="T229" ca="1">T228</f>
        <v>1</v>
      </c>
      <c r="X229" s="1123"/>
      <c r="Z229" s="1184"/>
      <c r="AB229" s="152" t="s">
        <v>493</v>
      </c>
      <c r="AC229" s="153" t="s">
        <v>1795</v>
      </c>
      <c r="AD229" s="26" t="s">
        <v>804</v>
      </c>
      <c r="AE229" s="190">
        <f ca="1">SUMIFS(ФОТ!AE$25:AE$102,ФОТ!$F$25:$F$102,$F229,ФОТ!$G$25:$G$102,$G229)</f>
        <v>0</v>
      </c>
      <c r="AF229" s="190">
        <f ca="1">SUMIFS(ФОТ!AF$25:AF$102,ФОТ!$F$25:$F$102,$F229,ФОТ!$G$25:$G$102,$G229)</f>
        <v>0</v>
      </c>
      <c r="AG229" s="190">
        <f ca="1">SUMIFS(ФОТ!AG$25:AG$102,ФОТ!$F$25:$F$102,$F229,ФОТ!$G$25:$G$102,$G229)</f>
        <v>0</v>
      </c>
      <c r="AH229" s="190">
        <f t="shared" ca="1" si="15"/>
        <v>0</v>
      </c>
      <c r="AI229" s="190">
        <f ca="1">SUMIFS(ФОТ!AH$25:AH$102,ФОТ!$F$25:$F$102,$F229,ФОТ!$G$25:$G$102,$G229)</f>
        <v>0</v>
      </c>
      <c r="AJ229" s="190">
        <f ca="1">SUMIFS(ФОТ!AI$25:AI$102,ФОТ!$F$25:$F$102,$F229,ФОТ!$G$25:$G$102,$G229)</f>
        <v>0</v>
      </c>
      <c r="AK229" s="190">
        <f ca="1">SUMIFS(ФОТ!AJ$25:AJ$102,ФОТ!$F$25:$F$102,$F229,ФОТ!$G$25:$G$102,$G229)</f>
        <v>0</v>
      </c>
      <c r="AL229" s="190">
        <f t="shared" ca="1" si="16"/>
        <v>0</v>
      </c>
      <c r="AM229" s="215"/>
      <c r="AN229" s="610" t="str">
        <f ca="1">IF(IFERROR(INDEX(ФОТ!$K$26:$L$102,MATCH($F229&amp;"3komm",ФОТ!$K$26:$K$102,0),2),"")=0,"",IFERROR(INDEX(ФОТ!$K$26:$L$102,MATCH($F229&amp;"3komm",ФОТ!$K$26:$K$102,0),2),""))</f>
        <v/>
      </c>
      <c r="AO229" s="215"/>
      <c r="AR229" s="703" t="s">
        <v>1796</v>
      </c>
    </row>
    <row r="230" spans="1:48" ht="21.75" customHeight="1">
      <c r="E230" s="515">
        <v>22.5</v>
      </c>
      <c r="F230" s="3" t="str" cm="1">
        <f t="array" aca="1" ref="F230" ca="1">OFFSET(E230,-1,1)</f>
        <v>2</v>
      </c>
      <c r="G230" s="291" t="s">
        <v>1176</v>
      </c>
      <c r="I230" s="57" t="s">
        <v>1797</v>
      </c>
      <c r="J230" s="57"/>
      <c r="K230" s="57"/>
      <c r="L230" s="57"/>
      <c r="M230" s="57"/>
      <c r="N230" s="57"/>
      <c r="O230" s="57"/>
      <c r="P230" s="57"/>
      <c r="Q230" s="57"/>
      <c r="R230" s="57"/>
      <c r="S230" s="57"/>
      <c r="T230" s="365" t="b" cm="1">
        <f t="array" aca="1" ref="T230" ca="1">T229</f>
        <v>1</v>
      </c>
      <c r="X230" s="1123"/>
      <c r="Z230" s="1184"/>
      <c r="AB230" s="152" t="s">
        <v>1438</v>
      </c>
      <c r="AC230" s="153" t="s">
        <v>1798</v>
      </c>
      <c r="AD230" s="26" t="s">
        <v>804</v>
      </c>
      <c r="AE230" s="190">
        <f ca="1">SUMIFS(ФОТ!AE$25:AE$102,ФОТ!$F$25:$F$102,$F230,ФОТ!$G$25:$G$102,$G230)</f>
        <v>0</v>
      </c>
      <c r="AF230" s="190">
        <f ca="1">SUMIFS(ФОТ!AF$25:AF$102,ФОТ!$F$25:$F$102,$F230,ФОТ!$G$25:$G$102,$G230)</f>
        <v>0</v>
      </c>
      <c r="AG230" s="190">
        <f ca="1">SUMIFS(ФОТ!AG$25:AG$102,ФОТ!$F$25:$F$102,$F230,ФОТ!$G$25:$G$102,$G230)</f>
        <v>0</v>
      </c>
      <c r="AH230" s="190">
        <f t="shared" ca="1" si="15"/>
        <v>0</v>
      </c>
      <c r="AI230" s="190">
        <f ca="1">SUMIFS(ФОТ!AH$25:AH$102,ФОТ!$F$25:$F$102,$F230,ФОТ!$G$25:$G$102,$G230)</f>
        <v>0</v>
      </c>
      <c r="AJ230" s="190">
        <f ca="1">SUMIFS(ФОТ!AI$25:AI$102,ФОТ!$F$25:$F$102,$F230,ФОТ!$G$25:$G$102,$G230)</f>
        <v>0</v>
      </c>
      <c r="AK230" s="190">
        <f ca="1">SUMIFS(ФОТ!AJ$25:AJ$102,ФОТ!$F$25:$F$102,$F230,ФОТ!$G$25:$G$102,$G230)</f>
        <v>0</v>
      </c>
      <c r="AL230" s="190">
        <f t="shared" ca="1" si="16"/>
        <v>0</v>
      </c>
      <c r="AM230" s="215"/>
      <c r="AN230" s="610" t="str">
        <f ca="1">IF(IFERROR(INDEX(ФОТ!$K$26:$L$102,MATCH($F230&amp;"4komm",ФОТ!$K$26:$K$102,0),2),"")=0,"",IFERROR(INDEX(ФОТ!$K$26:$L$102,MATCH($F230&amp;"4komm",ФОТ!$K$26:$K$102,0),2),""))</f>
        <v/>
      </c>
      <c r="AO230" s="215"/>
      <c r="AR230" s="703" t="s">
        <v>1799</v>
      </c>
    </row>
    <row r="231" spans="1:48" s="948" customFormat="1" ht="14.25" customHeight="1">
      <c r="A231" s="434"/>
      <c r="B231" s="434"/>
      <c r="C231" s="434"/>
      <c r="D231" s="434"/>
      <c r="E231" s="516">
        <v>15</v>
      </c>
      <c r="F231" s="3" t="str" cm="1">
        <f t="array" aca="1" ref="F231" ca="1">OFFSET(E231,-1,1)</f>
        <v>2</v>
      </c>
      <c r="G231" s="434"/>
      <c r="H231" s="434"/>
      <c r="I231" s="173" t="s">
        <v>329</v>
      </c>
      <c r="J231" s="173"/>
      <c r="K231" s="173"/>
      <c r="L231" s="173"/>
      <c r="M231" s="173"/>
      <c r="N231" s="173"/>
      <c r="O231" s="173"/>
      <c r="P231" s="173"/>
      <c r="Q231" s="173"/>
      <c r="R231" s="173"/>
      <c r="S231" s="173"/>
      <c r="T231" s="365" t="b" cm="1">
        <f t="array" aca="1" ref="T231" ca="1">T230</f>
        <v>1</v>
      </c>
      <c r="U231" s="434"/>
      <c r="V231" s="434"/>
      <c r="W231" s="434"/>
      <c r="X231" s="1123"/>
      <c r="Y231" s="434"/>
      <c r="Z231" s="1184"/>
      <c r="AA231" s="434"/>
      <c r="AB231" s="150" t="s">
        <v>325</v>
      </c>
      <c r="AC231" s="151" t="s">
        <v>1800</v>
      </c>
      <c r="AD231" s="143" t="s">
        <v>804</v>
      </c>
      <c r="AE231" s="145">
        <f ca="1">AE232+AE233+AE236+AE237+AE238+AE239+AE240</f>
        <v>0</v>
      </c>
      <c r="AF231" s="145">
        <f ca="1">AF232+AF233+AF236+AF237+AF238+AF239+AF240</f>
        <v>0</v>
      </c>
      <c r="AG231" s="145">
        <f ca="1">AG232+AG233+AG236+AG237+AG238+AG239+AG240</f>
        <v>0</v>
      </c>
      <c r="AH231" s="145">
        <f t="shared" ca="1" si="15"/>
        <v>0</v>
      </c>
      <c r="AI231" s="145">
        <f ca="1">AI232+AI233+AI236+AI237+AI238+AI239+AI240</f>
        <v>0</v>
      </c>
      <c r="AJ231" s="145">
        <f ca="1">AJ232+AJ233+AJ236+AJ237+AJ238+AJ239+AJ240</f>
        <v>0</v>
      </c>
      <c r="AK231" s="145">
        <f ca="1">AK232+AK233+AK236+AK237+AK238+AK239+AK240</f>
        <v>0</v>
      </c>
      <c r="AL231" s="145">
        <f t="shared" ca="1" si="16"/>
        <v>0</v>
      </c>
      <c r="AM231" s="566"/>
      <c r="AN231" s="566"/>
      <c r="AO231" s="566"/>
      <c r="AP231" s="434"/>
      <c r="AQ231" s="434"/>
      <c r="AR231" s="704" t="s">
        <v>1801</v>
      </c>
      <c r="AS231" s="704"/>
      <c r="AT231" s="704"/>
      <c r="AU231" s="516"/>
      <c r="AV231" s="516"/>
    </row>
    <row r="232" spans="1:48" ht="21.75" customHeight="1">
      <c r="E232" s="515">
        <v>22.5</v>
      </c>
      <c r="F232" s="3" t="str" cm="1">
        <f t="array" aca="1" ref="F232" ca="1">OFFSET(E232,-1,1)</f>
        <v>2</v>
      </c>
      <c r="G232" s="291" t="s">
        <v>1197</v>
      </c>
      <c r="I232" s="57" t="s">
        <v>927</v>
      </c>
      <c r="J232" s="57"/>
      <c r="K232" s="57"/>
      <c r="L232" s="57"/>
      <c r="M232" s="57"/>
      <c r="N232" s="57"/>
      <c r="O232" s="57"/>
      <c r="P232" s="57"/>
      <c r="Q232" s="57"/>
      <c r="R232" s="57"/>
      <c r="S232" s="57"/>
      <c r="T232" s="365" t="b" cm="1">
        <f t="array" aca="1" ref="T232" ca="1">T231</f>
        <v>1</v>
      </c>
      <c r="X232" s="1123"/>
      <c r="Z232" s="1184"/>
      <c r="AB232" s="152" t="s">
        <v>551</v>
      </c>
      <c r="AC232" s="146" t="s">
        <v>1802</v>
      </c>
      <c r="AD232" s="26" t="s">
        <v>804</v>
      </c>
      <c r="AE232" s="190">
        <f ca="1">SUMIFS(Административные!AE$25:AE$84,Административные!$F$25:$F$84,$F232,Административные!$G$25:$G$84,$G232)</f>
        <v>0</v>
      </c>
      <c r="AF232" s="190">
        <f ca="1">SUMIFS(Административные!AF$25:AF$84,Административные!$F$25:$F$84,$F232,Административные!$G$25:$G$84,$G232)</f>
        <v>0</v>
      </c>
      <c r="AG232" s="190">
        <f ca="1">SUMIFS(Административные!AG$25:AG$84,Административные!$F$25:$F$84,$F232,Административные!$G$25:$G$84,$G232)</f>
        <v>0</v>
      </c>
      <c r="AH232" s="190">
        <f t="shared" ca="1" si="15"/>
        <v>0</v>
      </c>
      <c r="AI232" s="190">
        <f ca="1">SUMIFS(Административные!AH$25:AH$84,Административные!$F$25:$F$84,$F232,Административные!$G$25:$G$84,$G232)</f>
        <v>0</v>
      </c>
      <c r="AJ232" s="190">
        <f ca="1">SUMIFS(Административные!AI$25:AI$84,Административные!$F$25:$F$84,$F232,Административные!$G$25:$G$84,$G232)</f>
        <v>0</v>
      </c>
      <c r="AK232" s="190">
        <f ca="1">SUMIFS(Административные!AJ$25:AJ$84,Административные!$F$25:$F$84,$F232,Административные!$G$25:$G$84,$G232)</f>
        <v>0</v>
      </c>
      <c r="AL232" s="190">
        <f t="shared" ca="1" si="16"/>
        <v>0</v>
      </c>
      <c r="AM232" s="215"/>
      <c r="AN232" s="610" t="str">
        <f ca="1">IF(IFERROR(INDEX(Административные!$K$26:$L$84,MATCH($F232&amp;"17komm",Административные!$K$26:$K$84,0),2),"")=0,"",IFERROR(INDEX(Административные!$K$26:$L$84,MATCH($F232&amp;"17komm",Административные!$K$26:$K$84,0),2),""))</f>
        <v/>
      </c>
      <c r="AO232" s="215"/>
      <c r="AR232" s="703" t="s">
        <v>1199</v>
      </c>
    </row>
    <row r="233" spans="1:48" ht="32.25" customHeight="1">
      <c r="E233" s="515">
        <v>33.75</v>
      </c>
      <c r="F233" s="3" t="str" cm="1">
        <f t="array" aca="1" ref="F233" ca="1">OFFSET(E233,-1,1)</f>
        <v>2</v>
      </c>
      <c r="I233" s="57" t="s">
        <v>929</v>
      </c>
      <c r="J233" s="57"/>
      <c r="K233" s="57"/>
      <c r="L233" s="57"/>
      <c r="M233" s="57"/>
      <c r="N233" s="57"/>
      <c r="O233" s="57"/>
      <c r="P233" s="57"/>
      <c r="Q233" s="57"/>
      <c r="R233" s="57"/>
      <c r="S233" s="57"/>
      <c r="T233" s="365" t="b" cm="1">
        <f t="array" aca="1" ref="T233" ca="1">T232</f>
        <v>1</v>
      </c>
      <c r="X233" s="1123"/>
      <c r="Z233" s="1184"/>
      <c r="AB233" s="152" t="s">
        <v>555</v>
      </c>
      <c r="AC233" s="146" t="s">
        <v>1803</v>
      </c>
      <c r="AD233" s="26" t="s">
        <v>804</v>
      </c>
      <c r="AE233" s="190">
        <f ca="1">AE234+AE235</f>
        <v>0</v>
      </c>
      <c r="AF233" s="190">
        <f ca="1">AF234+AF235</f>
        <v>0</v>
      </c>
      <c r="AG233" s="190">
        <f ca="1">AG234+AG235</f>
        <v>0</v>
      </c>
      <c r="AH233" s="190">
        <f t="shared" ca="1" si="15"/>
        <v>0</v>
      </c>
      <c r="AI233" s="190">
        <f ca="1">AI234+AI235</f>
        <v>0</v>
      </c>
      <c r="AJ233" s="190">
        <f ca="1">AJ234+AJ235</f>
        <v>0</v>
      </c>
      <c r="AK233" s="190">
        <f ca="1">AK234+AK235</f>
        <v>0</v>
      </c>
      <c r="AL233" s="190">
        <f t="shared" ca="1" si="16"/>
        <v>0</v>
      </c>
      <c r="AM233" s="215"/>
      <c r="AN233" s="215"/>
      <c r="AO233" s="215"/>
      <c r="AR233" s="703" t="s">
        <v>1804</v>
      </c>
    </row>
    <row r="234" spans="1:48" ht="21.75" customHeight="1">
      <c r="E234" s="515">
        <v>22.5</v>
      </c>
      <c r="F234" s="3" t="str" cm="1">
        <f t="array" aca="1" ref="F234" ca="1">OFFSET(E234,-1,1)</f>
        <v>2</v>
      </c>
      <c r="G234" s="388" t="s">
        <v>1179</v>
      </c>
      <c r="I234" s="57" t="s">
        <v>497</v>
      </c>
      <c r="J234" s="57"/>
      <c r="K234" s="57"/>
      <c r="L234" s="57"/>
      <c r="M234" s="57"/>
      <c r="N234" s="57"/>
      <c r="O234" s="57"/>
      <c r="P234" s="57"/>
      <c r="Q234" s="57"/>
      <c r="R234" s="57"/>
      <c r="S234" s="57"/>
      <c r="T234" s="365" t="b" cm="1">
        <f t="array" aca="1" ref="T234" ca="1">T233</f>
        <v>1</v>
      </c>
      <c r="X234" s="1123"/>
      <c r="Z234" s="1184"/>
      <c r="AB234" s="152" t="s">
        <v>765</v>
      </c>
      <c r="AC234" s="153" t="s">
        <v>1805</v>
      </c>
      <c r="AD234" s="26" t="s">
        <v>804</v>
      </c>
      <c r="AE234" s="190">
        <f ca="1">SUMIFS(ФОТ!AE$25:AE$102,ФОТ!$F$25:$F$102,$F234,ФОТ!$G$25:$G$102,$G234)</f>
        <v>0</v>
      </c>
      <c r="AF234" s="190">
        <f ca="1">SUMIFS(ФОТ!AF$25:AF$102,ФОТ!$F$25:$F$102,$F234,ФОТ!$G$25:$G$102,$G234)</f>
        <v>0</v>
      </c>
      <c r="AG234" s="190">
        <f ca="1">SUMIFS(ФОТ!AG$25:AG$102,ФОТ!$F$25:$F$102,$F234,ФОТ!$G$25:$G$102,$G234)</f>
        <v>0</v>
      </c>
      <c r="AH234" s="190">
        <f t="shared" ca="1" si="15"/>
        <v>0</v>
      </c>
      <c r="AI234" s="190">
        <f ca="1">SUMIFS(ФОТ!AH$25:AH$102,ФОТ!$F$25:$F$102,$F234,ФОТ!$G$25:$G$102,$G234)</f>
        <v>0</v>
      </c>
      <c r="AJ234" s="190">
        <f ca="1">SUMIFS(ФОТ!AI$25:AI$102,ФОТ!$F$25:$F$102,$F234,ФОТ!$G$25:$G$102,$G234)</f>
        <v>0</v>
      </c>
      <c r="AK234" s="190">
        <f ca="1">SUMIFS(ФОТ!AJ$25:AJ$102,ФОТ!$F$25:$F$102,$F234,ФОТ!$G$25:$G$102,$G234)</f>
        <v>0</v>
      </c>
      <c r="AL234" s="190">
        <f t="shared" ca="1" si="16"/>
        <v>0</v>
      </c>
      <c r="AM234" s="215"/>
      <c r="AN234" s="610" t="str">
        <f ca="1">IF(IFERROR(INDEX(ФОТ!$K$26:$L$102,MATCH($F234&amp;"5komm",ФОТ!$K$26:$K$102,0),2),"")=0,"",IFERROR(INDEX(ФОТ!$K$26:$L$102,MATCH($F234&amp;"5komm",ФОТ!$K$26:$K$102,0),2),""))</f>
        <v/>
      </c>
      <c r="AO234" s="215"/>
      <c r="AR234" s="703" t="s">
        <v>1196</v>
      </c>
    </row>
    <row r="235" spans="1:48" ht="32.25" customHeight="1">
      <c r="E235" s="515">
        <v>33.75</v>
      </c>
      <c r="F235" s="3" t="str" cm="1">
        <f t="array" aca="1" ref="F235" ca="1">OFFSET(E235,-1,1)</f>
        <v>2</v>
      </c>
      <c r="G235" s="388" t="s">
        <v>1184</v>
      </c>
      <c r="I235" s="57" t="s">
        <v>502</v>
      </c>
      <c r="J235" s="57"/>
      <c r="K235" s="57"/>
      <c r="L235" s="57"/>
      <c r="M235" s="57"/>
      <c r="N235" s="57"/>
      <c r="O235" s="57"/>
      <c r="P235" s="57"/>
      <c r="Q235" s="57"/>
      <c r="R235" s="57"/>
      <c r="S235" s="57"/>
      <c r="T235" s="365" t="b" cm="1">
        <f t="array" aca="1" ref="T235" ca="1">T234</f>
        <v>1</v>
      </c>
      <c r="X235" s="1123"/>
      <c r="Z235" s="1184"/>
      <c r="AB235" s="152" t="s">
        <v>768</v>
      </c>
      <c r="AC235" s="153" t="s">
        <v>1806</v>
      </c>
      <c r="AD235" s="26" t="s">
        <v>804</v>
      </c>
      <c r="AE235" s="190">
        <f ca="1">SUMIFS(ФОТ!AE$25:AE$102,ФОТ!$F$25:$F$102,$F235,ФОТ!$G$25:$G$102,$G235)</f>
        <v>0</v>
      </c>
      <c r="AF235" s="190">
        <f ca="1">SUMIFS(ФОТ!AF$25:AF$102,ФОТ!$F$25:$F$102,$F235,ФОТ!$G$25:$G$102,$G235)</f>
        <v>0</v>
      </c>
      <c r="AG235" s="190">
        <f ca="1">SUMIFS(ФОТ!AG$25:AG$102,ФОТ!$F$25:$F$102,$F235,ФОТ!$G$25:$G$102,$G235)</f>
        <v>0</v>
      </c>
      <c r="AH235" s="190">
        <f t="shared" ca="1" si="15"/>
        <v>0</v>
      </c>
      <c r="AI235" s="190">
        <f ca="1">SUMIFS(ФОТ!AH$25:AH$102,ФОТ!$F$25:$F$102,$F235,ФОТ!$G$25:$G$102,$G235)</f>
        <v>0</v>
      </c>
      <c r="AJ235" s="190">
        <f ca="1">SUMIFS(ФОТ!AI$25:AI$102,ФОТ!$F$25:$F$102,$F235,ФОТ!$G$25:$G$102,$G235)</f>
        <v>0</v>
      </c>
      <c r="AK235" s="190">
        <f ca="1">SUMIFS(ФОТ!AJ$25:AJ$102,ФОТ!$F$25:$F$102,$F235,ФОТ!$G$25:$G$102,$G235)</f>
        <v>0</v>
      </c>
      <c r="AL235" s="190">
        <f t="shared" ca="1" si="16"/>
        <v>0</v>
      </c>
      <c r="AM235" s="215"/>
      <c r="AN235" s="610" t="str">
        <f ca="1">IF(IFERROR(INDEX(ФОТ!$K$26:$L$102,MATCH($F235&amp;"6komm",ФОТ!$K$26:$K$102,0),2),"")=0,"",IFERROR(INDEX(ФОТ!$K$26:$L$102,MATCH($F235&amp;"6komm",ФОТ!$K$26:$K$102,0),2),""))</f>
        <v/>
      </c>
      <c r="AO235" s="215"/>
      <c r="AR235" s="703" t="s">
        <v>1807</v>
      </c>
    </row>
    <row r="236" spans="1:48" ht="32.25" customHeight="1">
      <c r="E236" s="515">
        <v>33.75</v>
      </c>
      <c r="F236" s="3" t="str" cm="1">
        <f t="array" aca="1" ref="F236" ca="1">OFFSET(E236,-1,1)</f>
        <v>2</v>
      </c>
      <c r="G236" s="291" t="s">
        <v>1225</v>
      </c>
      <c r="I236" s="57" t="s">
        <v>931</v>
      </c>
      <c r="J236" s="57"/>
      <c r="K236" s="57"/>
      <c r="L236" s="57"/>
      <c r="M236" s="57"/>
      <c r="N236" s="57"/>
      <c r="O236" s="57"/>
      <c r="P236" s="57"/>
      <c r="Q236" s="57"/>
      <c r="R236" s="57"/>
      <c r="S236" s="57"/>
      <c r="T236" s="365" t="b" cm="1">
        <f t="array" aca="1" ref="T236" ca="1">T235</f>
        <v>1</v>
      </c>
      <c r="X236" s="1123"/>
      <c r="Z236" s="1184"/>
      <c r="AB236" s="152" t="s">
        <v>771</v>
      </c>
      <c r="AC236" s="146" t="s">
        <v>1808</v>
      </c>
      <c r="AD236" s="26" t="s">
        <v>804</v>
      </c>
      <c r="AE236" s="190">
        <f ca="1">SUMIFS(Административные!AE$25:AE$84,Административные!$F$25:$F$84,$F236,Административные!$G$25:$G$84,$G236)</f>
        <v>0</v>
      </c>
      <c r="AF236" s="190">
        <f ca="1">SUMIFS(Административные!AF$25:AF$84,Административные!$F$25:$F$84,$F236,Административные!$G$25:$G$84,$G236)</f>
        <v>0</v>
      </c>
      <c r="AG236" s="190">
        <f ca="1">SUMIFS(Административные!AG$25:AG$84,Административные!$F$25:$F$84,$F236,Административные!$G$25:$G$84,$G236)</f>
        <v>0</v>
      </c>
      <c r="AH236" s="190">
        <f t="shared" ca="1" si="15"/>
        <v>0</v>
      </c>
      <c r="AI236" s="190">
        <f ca="1">SUMIFS(Административные!AH$25:AH$84,Административные!$F$25:$F$84,$F236,Административные!$G$25:$G$84,$G236)</f>
        <v>0</v>
      </c>
      <c r="AJ236" s="190">
        <f ca="1">SUMIFS(Административные!AI$25:AI$84,Административные!$F$25:$F$84,$F236,Административные!$G$25:$G$84,$G236)</f>
        <v>0</v>
      </c>
      <c r="AK236" s="190">
        <f ca="1">SUMIFS(Административные!AJ$25:AJ$84,Административные!$F$25:$F$84,$F236,Административные!$G$25:$G$84,$G236)</f>
        <v>0</v>
      </c>
      <c r="AL236" s="190">
        <f t="shared" ca="1" si="16"/>
        <v>0</v>
      </c>
      <c r="AM236" s="215"/>
      <c r="AN236" s="610" t="str">
        <f ca="1">IF(IFERROR(INDEX(Административные!$K$26:$L$84,MATCH($F236&amp;"2komm",Административные!$K$26:$K$84,0),2),"")=0,"",IFERROR(INDEX(Административные!$K$26:$L$84,MATCH($F236&amp;"2komm",Административные!$K$26:$K$84,0),2),""))</f>
        <v/>
      </c>
      <c r="AO236" s="215"/>
      <c r="AR236" s="703" t="s">
        <v>1227</v>
      </c>
    </row>
    <row r="237" spans="1:48" ht="14.25" customHeight="1">
      <c r="E237" s="515">
        <v>15</v>
      </c>
      <c r="F237" s="3" t="str" cm="1">
        <f t="array" aca="1" ref="F237" ca="1">OFFSET(E237,-1,1)</f>
        <v>2</v>
      </c>
      <c r="G237" s="291" t="s">
        <v>1228</v>
      </c>
      <c r="I237" s="57" t="s">
        <v>933</v>
      </c>
      <c r="J237" s="57"/>
      <c r="K237" s="57"/>
      <c r="L237" s="57"/>
      <c r="M237" s="57"/>
      <c r="N237" s="57"/>
      <c r="O237" s="57"/>
      <c r="P237" s="57"/>
      <c r="Q237" s="57"/>
      <c r="R237" s="57"/>
      <c r="S237" s="57"/>
      <c r="T237" s="365" t="b" cm="1">
        <f t="array" aca="1" ref="T237" ca="1">T236</f>
        <v>1</v>
      </c>
      <c r="X237" s="1123"/>
      <c r="Z237" s="1184"/>
      <c r="AB237" s="152" t="s">
        <v>934</v>
      </c>
      <c r="AC237" s="146" t="s">
        <v>1229</v>
      </c>
      <c r="AD237" s="26" t="s">
        <v>804</v>
      </c>
      <c r="AE237" s="190">
        <f ca="1">SUMIFS(Административные!AE$25:AE$84,Административные!$F$25:$F$84,$F237,Административные!$G$25:$G$84,$G237)</f>
        <v>0</v>
      </c>
      <c r="AF237" s="190">
        <f ca="1">SUMIFS(Административные!AF$25:AF$84,Административные!$F$25:$F$84,$F237,Административные!$G$25:$G$84,$G237)</f>
        <v>0</v>
      </c>
      <c r="AG237" s="190">
        <f ca="1">SUMIFS(Административные!AG$25:AG$84,Административные!$F$25:$F$84,$F237,Административные!$G$25:$G$84,$G237)</f>
        <v>0</v>
      </c>
      <c r="AH237" s="190">
        <f t="shared" ca="1" si="15"/>
        <v>0</v>
      </c>
      <c r="AI237" s="190">
        <f ca="1">SUMIFS(Административные!AH$25:AH$84,Административные!$F$25:$F$84,$F237,Административные!$G$25:$G$84,$G237)</f>
        <v>0</v>
      </c>
      <c r="AJ237" s="190">
        <f ca="1">SUMIFS(Административные!AI$25:AI$84,Административные!$F$25:$F$84,$F237,Административные!$G$25:$G$84,$G237)</f>
        <v>0</v>
      </c>
      <c r="AK237" s="190">
        <f ca="1">SUMIFS(Административные!AJ$25:AJ$84,Административные!$F$25:$F$84,$F237,Административные!$G$25:$G$84,$G237)</f>
        <v>0</v>
      </c>
      <c r="AL237" s="190">
        <f t="shared" ca="1" si="16"/>
        <v>0</v>
      </c>
      <c r="AM237" s="215"/>
      <c r="AN237" s="610" t="str">
        <f ca="1">IF(IFERROR(INDEX(Административные!$K$26:$L$84,MATCH($F237&amp;"3komm",Административные!$K$26:$K$84,0),2),"")=0,"",IFERROR(INDEX(Административные!$K$26:$L$84,MATCH($F237&amp;"3komm",Административные!$K$26:$K$84,0),2),""))</f>
        <v/>
      </c>
      <c r="AO237" s="215"/>
      <c r="AR237" s="703" t="s">
        <v>1230</v>
      </c>
    </row>
    <row r="238" spans="1:48" ht="14.25" customHeight="1">
      <c r="E238" s="515">
        <v>15</v>
      </c>
      <c r="F238" s="3" t="str" cm="1">
        <f t="array" aca="1" ref="F238" ca="1">OFFSET(E238,-1,1)</f>
        <v>2</v>
      </c>
      <c r="G238" s="291" t="s">
        <v>1231</v>
      </c>
      <c r="I238" s="57" t="s">
        <v>936</v>
      </c>
      <c r="J238" s="57"/>
      <c r="K238" s="57"/>
      <c r="L238" s="57"/>
      <c r="M238" s="57"/>
      <c r="N238" s="57"/>
      <c r="O238" s="57"/>
      <c r="P238" s="57"/>
      <c r="Q238" s="57"/>
      <c r="R238" s="57"/>
      <c r="S238" s="57"/>
      <c r="T238" s="365" t="b" cm="1">
        <f t="array" aca="1" ref="T238" ca="1">T237</f>
        <v>1</v>
      </c>
      <c r="X238" s="1123"/>
      <c r="Z238" s="1184"/>
      <c r="AB238" s="152" t="s">
        <v>937</v>
      </c>
      <c r="AC238" s="146" t="s">
        <v>1232</v>
      </c>
      <c r="AD238" s="26" t="s">
        <v>804</v>
      </c>
      <c r="AE238" s="190">
        <f ca="1">SUMIFS(Административные!AE$25:AE$84,Административные!$F$25:$F$84,$F238,Административные!$G$25:$G$84,$G238)</f>
        <v>0</v>
      </c>
      <c r="AF238" s="190">
        <f ca="1">SUMIFS(Административные!AF$25:AF$84,Административные!$F$25:$F$84,$F238,Административные!$G$25:$G$84,$G238)</f>
        <v>0</v>
      </c>
      <c r="AG238" s="190">
        <f ca="1">SUMIFS(Административные!AG$25:AG$84,Административные!$F$25:$F$84,$F238,Административные!$G$25:$G$84,$G238)</f>
        <v>0</v>
      </c>
      <c r="AH238" s="190">
        <f t="shared" ca="1" si="15"/>
        <v>0</v>
      </c>
      <c r="AI238" s="190">
        <f ca="1">SUMIFS(Административные!AH$25:AH$84,Административные!$F$25:$F$84,$F238,Административные!$G$25:$G$84,$G238)</f>
        <v>0</v>
      </c>
      <c r="AJ238" s="190">
        <f ca="1">SUMIFS(Административные!AI$25:AI$84,Административные!$F$25:$F$84,$F238,Административные!$G$25:$G$84,$G238)</f>
        <v>0</v>
      </c>
      <c r="AK238" s="190">
        <f ca="1">SUMIFS(Административные!AJ$25:AJ$84,Административные!$F$25:$F$84,$F238,Административные!$G$25:$G$84,$G238)</f>
        <v>0</v>
      </c>
      <c r="AL238" s="190">
        <f t="shared" ca="1" si="16"/>
        <v>0</v>
      </c>
      <c r="AM238" s="215"/>
      <c r="AN238" s="610" t="str">
        <f ca="1">IF(IFERROR(INDEX(Административные!$K$26:$L$84,MATCH($F238&amp;"4komm",Административные!$K$26:$K$84,0),2),"")=0,"",IFERROR(INDEX(Административные!$K$26:$L$84,MATCH($F238&amp;"4komm",Административные!$K$26:$K$84,0),2),""))</f>
        <v/>
      </c>
      <c r="AO238" s="215"/>
      <c r="AR238" s="703" t="s">
        <v>1233</v>
      </c>
    </row>
    <row r="239" spans="1:48" ht="14.25" customHeight="1">
      <c r="E239" s="515">
        <v>15</v>
      </c>
      <c r="F239" s="3" t="str" cm="1">
        <f t="array" aca="1" ref="F239" ca="1">OFFSET(E239,-1,1)</f>
        <v>2</v>
      </c>
      <c r="G239" s="291" t="s">
        <v>1234</v>
      </c>
      <c r="I239" s="57" t="s">
        <v>1216</v>
      </c>
      <c r="J239" s="57"/>
      <c r="K239" s="57"/>
      <c r="L239" s="57"/>
      <c r="M239" s="57"/>
      <c r="N239" s="57"/>
      <c r="O239" s="57"/>
      <c r="P239" s="57"/>
      <c r="Q239" s="57"/>
      <c r="R239" s="57"/>
      <c r="S239" s="57"/>
      <c r="T239" s="365" t="b" cm="1">
        <f t="array" aca="1" ref="T239" ca="1">T238</f>
        <v>1</v>
      </c>
      <c r="X239" s="1123"/>
      <c r="Z239" s="1184"/>
      <c r="AB239" s="152" t="s">
        <v>1217</v>
      </c>
      <c r="AC239" s="146" t="s">
        <v>1235</v>
      </c>
      <c r="AD239" s="26" t="s">
        <v>804</v>
      </c>
      <c r="AE239" s="190">
        <f ca="1">SUMIFS(Административные!AE$25:AE$84,Административные!$F$25:$F$84,$F239,Административные!$G$25:$G$84,$G239)</f>
        <v>0</v>
      </c>
      <c r="AF239" s="190">
        <f ca="1">SUMIFS(Административные!AF$25:AF$84,Административные!$F$25:$F$84,$F239,Административные!$G$25:$G$84,$G239)</f>
        <v>0</v>
      </c>
      <c r="AG239" s="190">
        <f ca="1">SUMIFS(Административные!AG$25:AG$84,Административные!$F$25:$F$84,$F239,Административные!$G$25:$G$84,$G239)</f>
        <v>0</v>
      </c>
      <c r="AH239" s="190">
        <f t="shared" ca="1" si="15"/>
        <v>0</v>
      </c>
      <c r="AI239" s="190">
        <f ca="1">SUMIFS(Административные!AH$25:AH$84,Административные!$F$25:$F$84,$F239,Административные!$G$25:$G$84,$G239)</f>
        <v>0</v>
      </c>
      <c r="AJ239" s="190">
        <f ca="1">SUMIFS(Административные!AI$25:AI$84,Административные!$F$25:$F$84,$F239,Административные!$G$25:$G$84,$G239)</f>
        <v>0</v>
      </c>
      <c r="AK239" s="190">
        <f ca="1">SUMIFS(Административные!AJ$25:AJ$84,Административные!$F$25:$F$84,$F239,Административные!$G$25:$G$84,$G239)</f>
        <v>0</v>
      </c>
      <c r="AL239" s="190">
        <f t="shared" ca="1" si="16"/>
        <v>0</v>
      </c>
      <c r="AM239" s="215"/>
      <c r="AN239" s="610" t="str">
        <f ca="1">IF(IFERROR(INDEX(Административные!$K$26:$L$84,MATCH($F235&amp;"5komm",Административные!$K$26:$K$84,0),2),"")=0,"",IFERROR(INDEX(Административные!$K$26:$L$84,MATCH($F235&amp;"5komm",Административные!$K$26:$K$84,0),2),""))</f>
        <v/>
      </c>
      <c r="AO239" s="215"/>
      <c r="AR239" s="703" t="s">
        <v>1809</v>
      </c>
    </row>
    <row r="240" spans="1:48" ht="14.25" customHeight="1">
      <c r="E240" s="515">
        <v>15</v>
      </c>
      <c r="F240" s="3" t="str" cm="1">
        <f t="array" aca="1" ref="F240" ca="1">OFFSET(E240,-1,1)</f>
        <v>2</v>
      </c>
      <c r="G240" s="291" t="s">
        <v>1237</v>
      </c>
      <c r="I240" s="57" t="s">
        <v>1221</v>
      </c>
      <c r="J240" s="57"/>
      <c r="K240" s="57"/>
      <c r="L240" s="57"/>
      <c r="M240" s="57"/>
      <c r="N240" s="57"/>
      <c r="O240" s="57"/>
      <c r="P240" s="57"/>
      <c r="Q240" s="57"/>
      <c r="R240" s="57"/>
      <c r="S240" s="57"/>
      <c r="T240" s="365" t="b" cm="1">
        <f t="array" aca="1" ref="T240" ca="1">T239</f>
        <v>1</v>
      </c>
      <c r="X240" s="1123"/>
      <c r="Z240" s="1184"/>
      <c r="AB240" s="152" t="s">
        <v>1222</v>
      </c>
      <c r="AC240" s="146" t="s">
        <v>1810</v>
      </c>
      <c r="AD240" s="26" t="s">
        <v>804</v>
      </c>
      <c r="AE240" s="190">
        <f ca="1">SUMIFS(Административные!AE$25:AE$84,Административные!$F$25:$F$84,$F240,Административные!$G$25:$G$84,$G240)</f>
        <v>0</v>
      </c>
      <c r="AF240" s="190">
        <f ca="1">SUMIFS(Административные!AF$25:AF$84,Административные!$F$25:$F$84,$F240,Административные!$G$25:$G$84,$G240)</f>
        <v>0</v>
      </c>
      <c r="AG240" s="190">
        <f ca="1">SUMIFS(Административные!AG$25:AG$84,Административные!$F$25:$F$84,$F240,Административные!$G$25:$G$84,$G240)</f>
        <v>0</v>
      </c>
      <c r="AH240" s="190">
        <f t="shared" ca="1" si="15"/>
        <v>0</v>
      </c>
      <c r="AI240" s="190">
        <f ca="1">SUMIFS(Административные!AH$25:AH$84,Административные!$F$25:$F$84,$F240,Административные!$G$25:$G$84,$G240)</f>
        <v>0</v>
      </c>
      <c r="AJ240" s="190">
        <f ca="1">SUMIFS(Административные!AI$25:AI$84,Административные!$F$25:$F$84,$F240,Административные!$G$25:$G$84,$G240)</f>
        <v>0</v>
      </c>
      <c r="AK240" s="190">
        <f ca="1">SUMIFS(Административные!AJ$25:AJ$84,Административные!$F$25:$F$84,$F240,Административные!$G$25:$G$84,$G240)</f>
        <v>0</v>
      </c>
      <c r="AL240" s="190">
        <f t="shared" ca="1" si="16"/>
        <v>0</v>
      </c>
      <c r="AM240" s="215"/>
      <c r="AN240" s="610" t="str">
        <f ca="1">IF(IFERROR(INDEX(Административные!$K$26:$L$84,MATCH($F240&amp;"6komm",Административные!$K$26:$K$84,0),2),"")=0,"",IFERROR(INDEX(Административные!$K$26:$L$84,MATCH($F235&amp;"6komm",Административные!$K$26:$K$84,0),2),""))</f>
        <v/>
      </c>
      <c r="AO240" s="215"/>
      <c r="AR240" s="703" t="s">
        <v>1811</v>
      </c>
    </row>
    <row r="241" spans="1:48" ht="14.25" customHeight="1">
      <c r="E241" s="515">
        <v>15</v>
      </c>
      <c r="F241" s="3" t="str" cm="1">
        <f t="array" aca="1" ref="F241" ca="1">OFFSET(E241,-1,1)</f>
        <v>2</v>
      </c>
      <c r="G241" s="291" t="s">
        <v>1239</v>
      </c>
      <c r="I241" s="57" t="s">
        <v>1812</v>
      </c>
      <c r="J241" s="57"/>
      <c r="K241" s="57"/>
      <c r="L241" s="57"/>
      <c r="M241" s="57"/>
      <c r="N241" s="57"/>
      <c r="O241" s="57"/>
      <c r="P241" s="57"/>
      <c r="Q241" s="57"/>
      <c r="R241" s="57"/>
      <c r="S241" s="57"/>
      <c r="T241" s="365" t="b" cm="1">
        <f t="array" aca="1" ref="T241" ca="1">T240</f>
        <v>1</v>
      </c>
      <c r="X241" s="1123"/>
      <c r="Z241" s="1184"/>
      <c r="AB241" s="152" t="s">
        <v>1813</v>
      </c>
      <c r="AC241" s="153" t="s">
        <v>1814</v>
      </c>
      <c r="AD241" s="26" t="s">
        <v>804</v>
      </c>
      <c r="AE241" s="190">
        <f ca="1">SUMIFS(Административные!AE$25:AE$84,Административные!$F$25:$F$84,$F241,Административные!$G$25:$G$84,$G241)</f>
        <v>0</v>
      </c>
      <c r="AF241" s="190">
        <f ca="1">SUMIFS(Административные!AF$25:AF$84,Административные!$F$25:$F$84,$F241,Административные!$G$25:$G$84,$G241)</f>
        <v>0</v>
      </c>
      <c r="AG241" s="190">
        <f ca="1">SUMIFS(Административные!AG$25:AG$84,Административные!$F$25:$F$84,$F241,Административные!$G$25:$G$84,$G241)</f>
        <v>0</v>
      </c>
      <c r="AH241" s="190">
        <f t="shared" ca="1" si="15"/>
        <v>0</v>
      </c>
      <c r="AI241" s="190">
        <f ca="1">SUMIFS(Административные!AH$25:AH$84,Административные!$F$25:$F$84,$F241,Административные!$G$25:$G$84,$G241)</f>
        <v>0</v>
      </c>
      <c r="AJ241" s="190">
        <f ca="1">SUMIFS(Административные!AI$25:AI$84,Административные!$F$25:$F$84,$F241,Административные!$G$25:$G$84,$G241)</f>
        <v>0</v>
      </c>
      <c r="AK241" s="190">
        <f ca="1">SUMIFS(Административные!AJ$25:AJ$84,Административные!$F$25:$F$84,$F241,Административные!$G$25:$G$84,$G241)</f>
        <v>0</v>
      </c>
      <c r="AL241" s="190">
        <f t="shared" ca="1" si="16"/>
        <v>0</v>
      </c>
      <c r="AM241" s="215"/>
      <c r="AN241" s="610" t="str">
        <f ca="1">IF(IFERROR(INDEX(Административные!$K$26:$L$84,MATCH($F241&amp;"7komm",Административные!$K$26:$K$84,0),2),"")=0,"",IFERROR(INDEX(Административные!$K$26:$L$84,MATCH($F236&amp;"7komm",Административные!$K$26:$K$84,0),2),""))</f>
        <v/>
      </c>
      <c r="AO241" s="215"/>
      <c r="AR241" s="703" t="s">
        <v>1815</v>
      </c>
    </row>
    <row r="242" spans="1:48" ht="43.5" customHeight="1">
      <c r="E242" s="515">
        <v>45</v>
      </c>
      <c r="F242" s="3" t="str" cm="1">
        <f t="array" aca="1" ref="F242" ca="1">OFFSET(E242,-1,1)</f>
        <v>2</v>
      </c>
      <c r="G242" s="291" t="s">
        <v>1242</v>
      </c>
      <c r="I242" s="57" t="s">
        <v>1816</v>
      </c>
      <c r="J242" s="57"/>
      <c r="K242" s="57"/>
      <c r="L242" s="57"/>
      <c r="M242" s="57"/>
      <c r="N242" s="57"/>
      <c r="O242" s="57"/>
      <c r="P242" s="57"/>
      <c r="Q242" s="57"/>
      <c r="R242" s="57"/>
      <c r="S242" s="57"/>
      <c r="T242" s="365" t="b" cm="1">
        <f t="array" aca="1" ref="T242" ca="1">T241</f>
        <v>1</v>
      </c>
      <c r="X242" s="1123"/>
      <c r="Z242" s="1184"/>
      <c r="AB242" s="152" t="s">
        <v>1817</v>
      </c>
      <c r="AC242" s="146" t="s">
        <v>1243</v>
      </c>
      <c r="AD242" s="26" t="s">
        <v>804</v>
      </c>
      <c r="AE242" s="190">
        <f ca="1">SUMIFS(Административные!AE$25:AE$84,Административные!$F$25:$F$84,$F242,Административные!$G$25:$G$84,$G242)</f>
        <v>0</v>
      </c>
      <c r="AF242" s="190">
        <f ca="1">SUMIFS(Административные!AF$25:AF$84,Административные!$F$25:$F$84,$F242,Административные!$G$25:$G$84,$G242)</f>
        <v>0</v>
      </c>
      <c r="AG242" s="190">
        <f ca="1">SUMIFS(Административные!AG$25:AG$84,Административные!$F$25:$F$84,$F242,Административные!$G$25:$G$84,$G242)</f>
        <v>0</v>
      </c>
      <c r="AH242" s="190">
        <f t="shared" ca="1" si="15"/>
        <v>0</v>
      </c>
      <c r="AI242" s="190">
        <f ca="1">SUMIFS(Административные!AH$25:AH$84,Административные!$F$25:$F$84,$F242,Административные!$G$25:$G$84,$G242)</f>
        <v>0</v>
      </c>
      <c r="AJ242" s="190">
        <f ca="1">SUMIFS(Административные!AI$25:AI$84,Административные!$F$25:$F$84,$F242,Административные!$G$25:$G$84,$G242)</f>
        <v>0</v>
      </c>
      <c r="AK242" s="190">
        <f ca="1">SUMIFS(Административные!AJ$25:AJ$84,Административные!$F$25:$F$84,$F242,Административные!$G$25:$G$84,$G242)</f>
        <v>0</v>
      </c>
      <c r="AL242" s="190">
        <f t="shared" ca="1" si="16"/>
        <v>0</v>
      </c>
      <c r="AM242" s="215"/>
      <c r="AN242" s="610" t="str">
        <f ca="1">IF(IFERROR(INDEX(Административные!$K$26:$L$84,MATCH($F242&amp;"8komm",Административные!$K$26:$K$84,0),2),"")=0,"",IFERROR(INDEX(Административные!$K$26:$L$84,MATCH($F237&amp;"8komm",Административные!$K$26:$K$84,0),2),""))</f>
        <v/>
      </c>
      <c r="AO242" s="215"/>
      <c r="AR242" s="703" t="s">
        <v>1818</v>
      </c>
    </row>
    <row r="243" spans="1:48" ht="14.25" customHeight="1">
      <c r="E243" s="515">
        <v>15</v>
      </c>
      <c r="F243" s="3" t="str" cm="1">
        <f t="array" aca="1" ref="F243" ca="1">OFFSET(E243,-1,1)</f>
        <v>2</v>
      </c>
      <c r="G243" s="291" t="s">
        <v>1245</v>
      </c>
      <c r="I243" s="57" t="s">
        <v>1819</v>
      </c>
      <c r="J243" s="57"/>
      <c r="K243" s="57"/>
      <c r="L243" s="57"/>
      <c r="M243" s="57"/>
      <c r="N243" s="57"/>
      <c r="O243" s="57"/>
      <c r="P243" s="57"/>
      <c r="Q243" s="57"/>
      <c r="R243" s="57"/>
      <c r="S243" s="57"/>
      <c r="T243" s="365" t="b" cm="1">
        <f t="array" aca="1" ref="T243" ca="1">T242</f>
        <v>1</v>
      </c>
      <c r="X243" s="1123"/>
      <c r="Z243" s="1184"/>
      <c r="AB243" s="152" t="s">
        <v>1820</v>
      </c>
      <c r="AC243" s="153" t="s">
        <v>1246</v>
      </c>
      <c r="AD243" s="26" t="s">
        <v>804</v>
      </c>
      <c r="AE243" s="190">
        <f ca="1">SUMIFS(Административные!AE$25:AE$84,Административные!$F$25:$F$84,$F243,Административные!$G$25:$G$84,$G243)</f>
        <v>0</v>
      </c>
      <c r="AF243" s="190">
        <f ca="1">SUMIFS(Административные!AF$25:AF$84,Административные!$F$25:$F$84,$F243,Административные!$G$25:$G$84,$G243)</f>
        <v>0</v>
      </c>
      <c r="AG243" s="190">
        <f ca="1">SUMIFS(Административные!AG$25:AG$84,Административные!$F$25:$F$84,$F243,Административные!$G$25:$G$84,$G243)</f>
        <v>0</v>
      </c>
      <c r="AH243" s="190">
        <f t="shared" ca="1" si="15"/>
        <v>0</v>
      </c>
      <c r="AI243" s="190">
        <f ca="1">SUMIFS(Административные!AH$25:AH$84,Административные!$F$25:$F$84,$F243,Административные!$G$25:$G$84,$G243)</f>
        <v>0</v>
      </c>
      <c r="AJ243" s="190">
        <f ca="1">SUMIFS(Административные!AI$25:AI$84,Административные!$F$25:$F$84,$F243,Административные!$G$25:$G$84,$G243)</f>
        <v>0</v>
      </c>
      <c r="AK243" s="190">
        <f ca="1">SUMIFS(Административные!AJ$25:AJ$84,Административные!$F$25:$F$84,$F243,Административные!$G$25:$G$84,$G243)</f>
        <v>0</v>
      </c>
      <c r="AL243" s="190">
        <f t="shared" ca="1" si="16"/>
        <v>0</v>
      </c>
      <c r="AM243" s="215"/>
      <c r="AN243" s="610" t="str">
        <f ca="1">IF(IFERROR(INDEX(Административные!$K$26:$L$84,MATCH($F243&amp;"9komm",Административные!$K$26:$K$84,0),2),"")=0,"",IFERROR(INDEX(Административные!$K$26:$L$84,MATCH($F238&amp;"9komm",Административные!$K$26:$K$84,0),2),""))</f>
        <v/>
      </c>
      <c r="AO243" s="215"/>
      <c r="AR243" s="703" t="s">
        <v>1821</v>
      </c>
    </row>
    <row r="244" spans="1:48" s="948" customFormat="1" ht="14.25" customHeight="1">
      <c r="A244" s="434"/>
      <c r="B244" s="434" t="b">
        <f>STATUS_GO="да"</f>
        <v>0</v>
      </c>
      <c r="C244" s="434"/>
      <c r="D244" s="434"/>
      <c r="E244" s="516">
        <v>15</v>
      </c>
      <c r="F244" s="3" t="str" cm="1">
        <f t="array" aca="1" ref="F244" ca="1">OFFSET(E244,-1,1)</f>
        <v>2</v>
      </c>
      <c r="G244" s="434"/>
      <c r="H244" s="434"/>
      <c r="I244" s="173" t="s">
        <v>331</v>
      </c>
      <c r="J244" s="173"/>
      <c r="K244" s="173"/>
      <c r="L244" s="173"/>
      <c r="M244" s="173"/>
      <c r="N244" s="173"/>
      <c r="O244" s="173"/>
      <c r="P244" s="173"/>
      <c r="Q244" s="173"/>
      <c r="R244" s="173"/>
      <c r="S244" s="173"/>
      <c r="T244" s="365" t="b" cm="1">
        <f t="array" aca="1" ref="T244" ca="1">T243</f>
        <v>1</v>
      </c>
      <c r="U244" s="434"/>
      <c r="V244" s="434"/>
      <c r="W244" s="434"/>
      <c r="X244" s="1123"/>
      <c r="Y244" s="434"/>
      <c r="Z244" s="1184"/>
      <c r="AA244" s="434"/>
      <c r="AB244" s="150" t="s">
        <v>433</v>
      </c>
      <c r="AC244" s="151" t="s">
        <v>1822</v>
      </c>
      <c r="AD244" s="143" t="s">
        <v>804</v>
      </c>
      <c r="AE244" s="145">
        <f ca="1">SUMIFS('Сбытовые расходы ГО'!AE$25:AE$63,'Сбытовые расходы ГО'!$F$25:$F$63,$F244,'Сбытовые расходы ГО'!$G$25:$G$63,"l0")</f>
        <v>0</v>
      </c>
      <c r="AF244" s="145">
        <f ca="1">SUMIFS('Сбытовые расходы ГО'!AF$25:AF$63,'Сбытовые расходы ГО'!$F$25:$F$63,$F244,'Сбытовые расходы ГО'!$G$25:$G$63,"l0")</f>
        <v>0</v>
      </c>
      <c r="AG244" s="145">
        <f ca="1">SUMIFS('Сбытовые расходы ГО'!AG$25:AG$63,'Сбытовые расходы ГО'!$F$25:$F$63,$F244,'Сбытовые расходы ГО'!$G$25:$G$63,"l0")</f>
        <v>0</v>
      </c>
      <c r="AH244" s="145">
        <f t="shared" ca="1" si="15"/>
        <v>0</v>
      </c>
      <c r="AI244" s="145">
        <f ca="1">SUMIFS('Сбытовые расходы ГО'!AH$25:AH$63,'Сбытовые расходы ГО'!$F$25:$F$63,$F244,'Сбытовые расходы ГО'!$G$25:$G$63,"l0")</f>
        <v>0</v>
      </c>
      <c r="AJ244" s="145">
        <f ca="1">SUMIFS('Сбытовые расходы ГО'!AI$25:AI$63,'Сбытовые расходы ГО'!$F$25:$F$63,$F244,'Сбытовые расходы ГО'!$G$25:$G$63,"l0")</f>
        <v>0</v>
      </c>
      <c r="AK244" s="145">
        <f ca="1">SUMIFS('Сбытовые расходы ГО'!AJ$25:AJ$63,'Сбытовые расходы ГО'!$F$25:$F$63,$F244,'Сбытовые расходы ГО'!$G$25:$G$63,"l0")</f>
        <v>0</v>
      </c>
      <c r="AL244" s="145">
        <f t="shared" ca="1" si="16"/>
        <v>0</v>
      </c>
      <c r="AM244" s="566"/>
      <c r="AN244" s="610"/>
      <c r="AO244" s="566"/>
      <c r="AP244" s="434"/>
      <c r="AQ244" s="434"/>
      <c r="AR244" s="704" t="s">
        <v>1823</v>
      </c>
      <c r="AS244" s="704"/>
      <c r="AT244" s="704"/>
      <c r="AU244" s="516"/>
      <c r="AV244" s="516"/>
    </row>
    <row r="245" spans="1:48" s="948" customFormat="1" ht="14.25" customHeight="1">
      <c r="A245" s="434"/>
      <c r="B245" s="434"/>
      <c r="C245" s="434"/>
      <c r="D245" s="434"/>
      <c r="E245" s="516">
        <v>15</v>
      </c>
      <c r="F245" s="3" t="str" cm="1">
        <f t="array" aca="1" ref="F245" ca="1">OFFSET(E245,-1,1)</f>
        <v>2</v>
      </c>
      <c r="G245" s="434"/>
      <c r="H245" s="434"/>
      <c r="I245" s="173" t="s">
        <v>330</v>
      </c>
      <c r="J245" s="173"/>
      <c r="K245" s="173"/>
      <c r="L245" s="173"/>
      <c r="M245" s="173"/>
      <c r="N245" s="173"/>
      <c r="O245" s="173"/>
      <c r="P245" s="173"/>
      <c r="Q245" s="173"/>
      <c r="R245" s="173"/>
      <c r="S245" s="173"/>
      <c r="T245" s="365" t="b" cm="1">
        <f t="array" aca="1" ref="T245" ca="1">T244</f>
        <v>1</v>
      </c>
      <c r="U245" s="434"/>
      <c r="V245" s="434"/>
      <c r="W245" s="434"/>
      <c r="X245" s="1123"/>
      <c r="Y245" s="434"/>
      <c r="Z245" s="1184"/>
      <c r="AA245" s="434"/>
      <c r="AB245" s="150" t="s">
        <v>444</v>
      </c>
      <c r="AC245" s="144" t="s">
        <v>1824</v>
      </c>
      <c r="AD245" s="143" t="s">
        <v>804</v>
      </c>
      <c r="AE245" s="145">
        <f ca="1">SUMIFS(Амортизация!AE$25:AE$174,Амортизация!$F$25:$F$174,$F245,Амортизация!$AC$25:$AC$174,"Сумма амортизационных отчислений")</f>
        <v>173.9360804762</v>
      </c>
      <c r="AF245" s="145">
        <f ca="1">SUMIFS(Амортизация!AF$25:AF$174,Амортизация!$F$25:$F$174,$F245,Амортизация!$AC$25:$AC$174,"Сумма амортизационных отчислений")</f>
        <v>406.04</v>
      </c>
      <c r="AG245" s="145">
        <f ca="1">SUMIFS(Амортизация!AG$25:AG$174,Амортизация!$F$25:$F$174,$F245,Амортизация!$AC$25:$AC$174,"Сумма амортизационных отчислений")</f>
        <v>398.82</v>
      </c>
      <c r="AH245" s="145">
        <f t="shared" ca="1" si="15"/>
        <v>-7.2200000000000273</v>
      </c>
      <c r="AI245" s="145">
        <f ca="1">SUMIFS(Амортизация!AH$25:AH$174,Амортизация!$F$25:$F$174,$F245,Амортизация!$AC$25:$AC$174,"Сумма амортизационных отчислений")</f>
        <v>257.45</v>
      </c>
      <c r="AJ245" s="145">
        <f ca="1">SUMIFS(Амортизация!AI$25:AI$174,Амортизация!$F$25:$F$174,$F245,Амортизация!$AC$25:$AC$174,"Сумма амортизационных отчислений")</f>
        <v>260.14</v>
      </c>
      <c r="AK245" s="145">
        <f ca="1">SUMIFS(Амортизация!AS$25:AS$174,Амортизация!$F$25:$F$174,$F245,Амортизация!$AC$25:$AC$174,"Сумма амортизационных отчислений")</f>
        <v>260.14</v>
      </c>
      <c r="AL245" s="145">
        <f t="shared" ca="1" si="16"/>
        <v>1.0448630802097485</v>
      </c>
      <c r="AM245" s="566"/>
      <c r="AN245" s="610" t="str">
        <f ca="1">IF(IFERROR(INDEX(Амортизация!$K$26:$L$174,MATCH($F245&amp;"komm",Амортизация!$K$26:$K$576,0),2),"")=0,"",IFERROR(INDEX(Амортизация!$K$26:$L$174,MATCH($F245&amp;"komm",Амортизация!$K$26:$K$576,0),2),""))</f>
        <v/>
      </c>
      <c r="AO245" s="566"/>
      <c r="AP245" s="434"/>
      <c r="AQ245" s="434"/>
      <c r="AR245" s="704" t="s">
        <v>1241</v>
      </c>
      <c r="AS245" s="704"/>
      <c r="AT245" s="704"/>
      <c r="AU245" s="516"/>
      <c r="AV245" s="516"/>
    </row>
    <row r="246" spans="1:48" ht="14.25" customHeight="1">
      <c r="E246" s="515">
        <v>15</v>
      </c>
      <c r="F246" s="3" t="str" cm="1">
        <f t="array" aca="1" ref="F246" ca="1">OFFSET(E246,-1,1)</f>
        <v>2</v>
      </c>
      <c r="I246" s="57" t="s">
        <v>550</v>
      </c>
      <c r="J246" s="57"/>
      <c r="K246" s="57"/>
      <c r="L246" s="57"/>
      <c r="M246" s="57"/>
      <c r="N246" s="57"/>
      <c r="O246" s="57"/>
      <c r="P246" s="57"/>
      <c r="Q246" s="57"/>
      <c r="R246" s="57"/>
      <c r="S246" s="57"/>
      <c r="T246" s="365" t="b" cm="1">
        <f t="array" aca="1" ref="T246" ca="1">T245</f>
        <v>1</v>
      </c>
      <c r="X246" s="1123"/>
      <c r="Z246" s="1184"/>
      <c r="AB246" s="152" t="s">
        <v>680</v>
      </c>
      <c r="AC246" s="146" t="s">
        <v>1825</v>
      </c>
      <c r="AD246" s="26" t="s">
        <v>804</v>
      </c>
      <c r="AE246" s="147">
        <f ca="1">SUMIFS('ИП + источники'!AF$27:AF$145,'ИП + источники'!$F$27:$F$145,$F246,'ИП + источники'!$AC$27:$AC$145,"Амортизационные отчисления")+SUMIFS('ИП + источники'!AF$27:AF$145,'ИП + источники'!$F$27:$F$145,$F246,'ИП + источники'!$AC$27:$AC$145,"погашение займов и кредитов из амортизации")</f>
        <v>0</v>
      </c>
      <c r="AF246" s="147">
        <f ca="1">SUMIFS('ИП + источники'!AG$27:AG$145,'ИП + источники'!$F$27:$F$145,$F246,'ИП + источники'!$AC$27:$AC$145,"Амортизационные отчисления")+SUMIFS('ИП + источники'!AG$27:AG$145,'ИП + источники'!$F$27:$F$145,$F246,'ИП + источники'!$AC$27:$AC$145,"погашение займов и кредитов из амортизации")</f>
        <v>0</v>
      </c>
      <c r="AG246" s="147">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H246" s="190">
        <f t="shared" ca="1" si="15"/>
        <v>0</v>
      </c>
      <c r="AI246" s="147">
        <f ca="1">SUMIFS('ИП + источники'!AH$27:AH$145,'ИП + источники'!$F$27:$F$145,$F246,'ИП + источники'!$AC$27:$AC$145,"Амортизационные отчисления")+SUMIFS('ИП + источники'!AH$27:AH$145,'ИП + источники'!$F$27:$F$145,$F246,'ИП + источники'!$AC$27:$AC$145,"погашение займов и кредитов из амортизации")</f>
        <v>0</v>
      </c>
      <c r="AJ246" s="147">
        <f ca="1">SUMIFS('ИП + источники'!AI$27:AI$145,'ИП + источники'!$F$27:$F$145,$F246,'ИП + источники'!$AC$27:$AC$145,"Амортизационные отчисления")+SUMIFS('ИП + источники'!AI$27:AI$145,'ИП + источники'!$F$27:$F$145,$F246,'ИП + источники'!$AC$27:$AC$145,"погашение займов и кредитов из амортизации")</f>
        <v>0</v>
      </c>
      <c r="AK246" s="147">
        <f ca="1">SUMIFS('ИП + источники'!AJ$27:AJ$145,'ИП + источники'!$F$27:$F$145,$F246,'ИП + источники'!$AC$27:$AC$145,"Амортизационные отчисления")+SUMIFS('ИП + источники'!AJ$27:AJ$145,'ИП + источники'!$F$27:$F$145,$F246,'ИП + источники'!$AC$27:$AC$145,"погашение займов и кредитов из амортизации")</f>
        <v>0</v>
      </c>
      <c r="AL246" s="190">
        <f t="shared" ca="1" si="16"/>
        <v>0</v>
      </c>
      <c r="AM246" s="215"/>
      <c r="AN246" s="215"/>
      <c r="AO246" s="215"/>
      <c r="AR246" s="703" t="s">
        <v>1826</v>
      </c>
    </row>
    <row r="247" spans="1:48" s="948" customFormat="1" ht="21.75" customHeight="1">
      <c r="A247" s="434"/>
      <c r="B247" s="434"/>
      <c r="C247" s="434"/>
      <c r="D247" s="434"/>
      <c r="E247" s="516">
        <v>22.5</v>
      </c>
      <c r="F247" s="3" t="str" cm="1">
        <f t="array" aca="1" ref="F247" ca="1">OFFSET(E247,-1,1)</f>
        <v>2</v>
      </c>
      <c r="G247" s="434"/>
      <c r="H247" s="434"/>
      <c r="I247" s="173" t="s">
        <v>511</v>
      </c>
      <c r="J247" s="173"/>
      <c r="K247" s="173"/>
      <c r="L247" s="173"/>
      <c r="M247" s="173"/>
      <c r="N247" s="173"/>
      <c r="O247" s="173"/>
      <c r="P247" s="173"/>
      <c r="Q247" s="173"/>
      <c r="R247" s="173"/>
      <c r="S247" s="173"/>
      <c r="T247" s="365" t="b" cm="1">
        <f t="array" aca="1" ref="T247" ca="1">T246</f>
        <v>1</v>
      </c>
      <c r="U247" s="434"/>
      <c r="V247" s="434"/>
      <c r="W247" s="434"/>
      <c r="X247" s="1123"/>
      <c r="Y247" s="434"/>
      <c r="Z247" s="1184"/>
      <c r="AA247" s="434"/>
      <c r="AB247" s="150" t="s">
        <v>447</v>
      </c>
      <c r="AC247" s="144" t="s">
        <v>1827</v>
      </c>
      <c r="AD247" s="143" t="s">
        <v>804</v>
      </c>
      <c r="AE247" s="145">
        <f ca="1">SUMIFS(Аренда!AE$25:AE$57,Аренда!$F$25:$F$57,$F247,Аренда!$G$25:$G$57,"Арендная и концессионная плата, лизинговые платежи")</f>
        <v>2.4919409899999998</v>
      </c>
      <c r="AF247" s="145">
        <f ca="1">SUMIFS(Аренда!AF$25:AF$57,Аренда!$F$25:$F$57,$F247,Аренда!$G$25:$G$57,"Арендная и концессионная плата, лизинговые платежи")</f>
        <v>486.13</v>
      </c>
      <c r="AG247" s="145">
        <f ca="1">SUMIFS(Аренда!AG$25:AG$57,Аренда!$F$25:$F$57,$F247,Аренда!$G$25:$G$57,"Арендная и концессионная плата, лизинговые платежи")</f>
        <v>2.4900000000000002</v>
      </c>
      <c r="AH247" s="145">
        <f t="shared" ca="1" si="15"/>
        <v>-483.64</v>
      </c>
      <c r="AI247" s="145">
        <f ca="1">SUMIFS(Аренда!AH$25:AH$57,Аренда!$F$25:$F$57,$F247,Аренда!$G$25:$G$57,"Арендная и концессионная плата, лизинговые платежи")</f>
        <v>237.72194098999998</v>
      </c>
      <c r="AJ247" s="145">
        <f ca="1">SUMIFS(Аренда!AI$25:AI$57,Аренда!$F$25:$F$57,$F247,Аренда!$G$25:$G$57,"Арендная и концессионная плата, лизинговые платежи")</f>
        <v>486.13</v>
      </c>
      <c r="AK247" s="145">
        <f ca="1">SUMIFS(Аренда!AS$25:AS$57,Аренда!$F$25:$F$57,$F247,Аренда!$G$25:$G$57,"Арендная и концессионная плата, лизинговые платежи")</f>
        <v>2.4900000000000002</v>
      </c>
      <c r="AL247" s="145">
        <f t="shared" ca="1" si="16"/>
        <v>-98.952557769960009</v>
      </c>
      <c r="AM247" s="566"/>
      <c r="AN247" s="610" t="str">
        <f ca="1">IF(IFERROR(INDEX(Аренда!$K$26:$L$57,MATCH($F247&amp;"komm",Аренда!$K$26:$K$57,0),2),"")=0,"",IFERROR(INDEX(Аренда!$K$26:$L$57,MATCH($F247&amp;"komm",Аренда!$K$26:$K$57,0),2),""))</f>
        <v/>
      </c>
      <c r="AO247" s="566"/>
      <c r="AP247" s="434"/>
      <c r="AQ247" s="434"/>
      <c r="AR247" s="704" t="s">
        <v>1828</v>
      </c>
      <c r="AS247" s="704"/>
      <c r="AT247" s="704"/>
      <c r="AU247" s="516"/>
      <c r="AV247" s="516"/>
    </row>
    <row r="248" spans="1:48" s="948" customFormat="1" ht="14.25" customHeight="1">
      <c r="A248" s="434"/>
      <c r="B248" s="434"/>
      <c r="C248" s="434"/>
      <c r="D248" s="434"/>
      <c r="E248" s="516">
        <v>15</v>
      </c>
      <c r="F248" s="3" t="str" cm="1">
        <f t="array" aca="1" ref="F248" ca="1">OFFSET(E248,-1,1)</f>
        <v>2</v>
      </c>
      <c r="G248" s="434"/>
      <c r="H248" s="434"/>
      <c r="I248" s="173" t="s">
        <v>514</v>
      </c>
      <c r="J248" s="173"/>
      <c r="K248" s="173"/>
      <c r="L248" s="173"/>
      <c r="M248" s="173"/>
      <c r="N248" s="173"/>
      <c r="O248" s="173"/>
      <c r="P248" s="173"/>
      <c r="Q248" s="173"/>
      <c r="R248" s="173"/>
      <c r="S248" s="173"/>
      <c r="T248" s="365" t="b" cm="1">
        <f t="array" aca="1" ref="T248" ca="1">T247</f>
        <v>1</v>
      </c>
      <c r="U248" s="434"/>
      <c r="V248" s="434"/>
      <c r="W248" s="434"/>
      <c r="X248" s="1123"/>
      <c r="Y248" s="434"/>
      <c r="Z248" s="1184"/>
      <c r="AA248" s="434"/>
      <c r="AB248" s="150" t="s">
        <v>578</v>
      </c>
      <c r="AC248" s="144" t="s">
        <v>1829</v>
      </c>
      <c r="AD248" s="143" t="s">
        <v>804</v>
      </c>
      <c r="AE248" s="145">
        <f ca="1">SUMIFS(Налоги!AE$25:AE$69,Налоги!$F$25:$F$69,$F248,Налоги!$AC$25:$AC$69,"Налоги и платежи, относимые на указанный вид деятельности")</f>
        <v>344.50103579249998</v>
      </c>
      <c r="AF248" s="145">
        <f ca="1">SUMIFS(Налоги!AF$25:AF$69,Налоги!$F$25:$F$69,$F248,Налоги!$AC$25:$AC$69,"Налоги и платежи, относимые на указанный вид деятельности")</f>
        <v>422.54</v>
      </c>
      <c r="AG248" s="145">
        <f ca="1">SUMIFS(Налоги!AG$25:AG$69,Налоги!$F$25:$F$69,$F248,Налоги!$AC$25:$AC$69,"Налоги и платежи, относимые на указанный вид деятельности")</f>
        <v>335.32</v>
      </c>
      <c r="AH248" s="145">
        <f t="shared" ca="1" si="15"/>
        <v>-87.220000000000027</v>
      </c>
      <c r="AI248" s="145">
        <f ca="1">SUMIFS(Налоги!AH$25:AH$69,Налоги!$F$25:$F$69,$F248,Налоги!$AC$25:$AC$69,"Налоги и платежи, относимые на указанный вид деятельности")</f>
        <v>384.89527767999999</v>
      </c>
      <c r="AJ248" s="145">
        <f ca="1">SUMIFS(Налоги!AI$25:AI$69,Налоги!$F$25:$F$69,$F248,Налоги!$AC$25:$AC$69,"Налоги и платежи, относимые на указанный вид деятельности")</f>
        <v>705.6</v>
      </c>
      <c r="AK248" s="145">
        <f ca="1">SUMIFS(Налоги!AS$25:AS$69,Налоги!$F$25:$F$69,$F248,Налоги!$AC$25:$AC$69,"Налоги и платежи, относимые на указанный вид деятельности")</f>
        <v>405.06</v>
      </c>
      <c r="AL248" s="145">
        <f t="shared" ca="1" si="16"/>
        <v>5.2390152567070105</v>
      </c>
      <c r="AM248" s="566"/>
      <c r="AN248" s="610" t="str">
        <f ca="1">IF(IFERROR(INDEX(Налоги!$K$26:$L$69,MATCH($F248&amp;"komm",Налоги!$K$26:$K$69,0),2),"")=0,"",IFERROR(INDEX(Налоги!$K$26:$L$69,MATCH($F248&amp;"komm",Налоги!$K$26:$K$69,0),2),""))</f>
        <v>В соответствии с п.п.2 п. 49 Методических указаний 1746-э.</v>
      </c>
      <c r="AO248" s="566"/>
      <c r="AP248" s="434"/>
      <c r="AQ248" s="434"/>
      <c r="AR248" s="704" t="s">
        <v>1270</v>
      </c>
      <c r="AS248" s="704"/>
      <c r="AT248" s="704"/>
      <c r="AU248" s="516"/>
      <c r="AV248" s="516"/>
    </row>
    <row r="249" spans="1:48" s="948" customFormat="1" ht="14.25" customHeight="1">
      <c r="A249" s="434"/>
      <c r="B249" s="434"/>
      <c r="C249" s="434"/>
      <c r="D249" s="434"/>
      <c r="E249" s="516">
        <v>15</v>
      </c>
      <c r="F249" s="3" t="str" cm="1">
        <f t="array" aca="1" ref="F249" ca="1">OFFSET(E249,-1,1)</f>
        <v>2</v>
      </c>
      <c r="G249" s="434"/>
      <c r="H249" s="434"/>
      <c r="I249" s="173" t="s">
        <v>562</v>
      </c>
      <c r="J249" s="173"/>
      <c r="K249" s="173"/>
      <c r="L249" s="173"/>
      <c r="M249" s="173"/>
      <c r="N249" s="173"/>
      <c r="O249" s="173"/>
      <c r="P249" s="173"/>
      <c r="Q249" s="173"/>
      <c r="R249" s="173"/>
      <c r="S249" s="173"/>
      <c r="T249" s="365" t="b" cm="1">
        <f t="array" aca="1" ref="T249" ca="1">T248</f>
        <v>1</v>
      </c>
      <c r="U249" s="434"/>
      <c r="V249" s="434"/>
      <c r="W249" s="434"/>
      <c r="X249" s="1123"/>
      <c r="Y249" s="434"/>
      <c r="Z249" s="1184"/>
      <c r="AA249" s="434"/>
      <c r="AB249" s="150" t="s">
        <v>586</v>
      </c>
      <c r="AC249" s="144" t="s">
        <v>1830</v>
      </c>
      <c r="AD249" s="166" t="s">
        <v>804</v>
      </c>
      <c r="AE249" s="145">
        <f ca="1">AE250+AE251+AE252</f>
        <v>0</v>
      </c>
      <c r="AF249" s="145">
        <f ca="1">AF250+AF251+AF252</f>
        <v>0</v>
      </c>
      <c r="AG249" s="145">
        <f ca="1">AG250+AG251+AG252</f>
        <v>0</v>
      </c>
      <c r="AH249" s="145">
        <f t="shared" ca="1" si="15"/>
        <v>0</v>
      </c>
      <c r="AI249" s="145">
        <f ca="1">AI250+AI251+AI252</f>
        <v>0</v>
      </c>
      <c r="AJ249" s="145">
        <f ca="1">AJ250+AJ251+AJ252</f>
        <v>0</v>
      </c>
      <c r="AK249" s="145">
        <f ca="1">AK250+AK251+AK252</f>
        <v>0</v>
      </c>
      <c r="AL249" s="145">
        <f t="shared" ca="1" si="16"/>
        <v>0</v>
      </c>
      <c r="AM249" s="566"/>
      <c r="AN249" s="610"/>
      <c r="AO249" s="566"/>
      <c r="AP249" s="434"/>
      <c r="AQ249" s="434"/>
      <c r="AR249" s="704" t="s">
        <v>1509</v>
      </c>
      <c r="AS249" s="704"/>
      <c r="AT249" s="704"/>
      <c r="AU249" s="516"/>
      <c r="AV249" s="516"/>
    </row>
    <row r="250" spans="1:48" ht="14.25" customHeight="1">
      <c r="E250" s="515">
        <v>15</v>
      </c>
      <c r="F250" s="3" t="str" cm="1">
        <f t="array" aca="1" ref="F250" ca="1">OFFSET(E250,-1,1)</f>
        <v>2</v>
      </c>
      <c r="I250" s="57" t="s">
        <v>565</v>
      </c>
      <c r="J250" s="57"/>
      <c r="K250" s="57"/>
      <c r="L250" s="57"/>
      <c r="M250" s="57"/>
      <c r="N250" s="57"/>
      <c r="O250" s="57"/>
      <c r="P250" s="57"/>
      <c r="Q250" s="57"/>
      <c r="R250" s="57"/>
      <c r="S250" s="57"/>
      <c r="T250" s="365" t="b" cm="1">
        <f t="array" aca="1" ref="T250" ca="1">T249</f>
        <v>1</v>
      </c>
      <c r="X250" s="1123"/>
      <c r="Z250" s="1184"/>
      <c r="AB250" s="152" t="s">
        <v>590</v>
      </c>
      <c r="AC250" s="146" t="s">
        <v>1831</v>
      </c>
      <c r="AD250" s="26" t="s">
        <v>804</v>
      </c>
      <c r="AE250" s="147">
        <f ca="1">SUMIFS('ИП + источники'!AF$26:AF$145,'ИП + источники'!$F$26:$F$145,$F250,'ИП + источники'!$AC$26:$AC$145,"погашение займов и кредитов из нормативной прибыли")+SUMIFS('ИП + источники'!AF$26:AF$145,'ИП + источники'!$F$26:$F$145,$F250,'ИП + источники'!$AC$26:$AC$145,"уплата процентов по кредитам из нормативной прибыли")</f>
        <v>0</v>
      </c>
      <c r="AF250" s="147">
        <f ca="1">SUMIFS('ИП + источники'!AG$26:AG$145,'ИП + источники'!$F$26:$F$145,$F250,'ИП + источники'!$AC$26:$AC$145,"погашение займов и кредитов из нормативной прибыли")+SUMIFS('ИП + источники'!AG$26:AG$145,'ИП + источники'!$F$26:$F$145,$F250,'ИП + источники'!$AC$26:$AC$145,"уплата процентов по кредитам из нормативной прибыли")</f>
        <v>0</v>
      </c>
      <c r="AG250" s="147">
        <f ca="1">SUMIFS('ИП + источники'!AH$26:AH$145,'ИП + источники'!$F$26:$F$145,$F250,'ИП + источники'!$AC$26:$AC$145,"погашение займов и кредитов из нормативной прибыли")+SUMIFS('ИП + источники'!AH$26:AH$145,'ИП + источники'!$F$26:$F$145,$F250,'ИП + источники'!$AC$26:$AC$145,"уплата процентов по кредитам из нормативной прибыли")</f>
        <v>0</v>
      </c>
      <c r="AH250" s="190">
        <f t="shared" ca="1" si="15"/>
        <v>0</v>
      </c>
      <c r="AI250" s="147">
        <f ca="1">SUMIFS('ИП + источники'!AJ$26:AJ$145,'ИП + источники'!$F$26:$F$145,$F250,'ИП + источники'!$AC$26:$AC$145,"погашение займов и кредитов из нормативной прибыли")+SUMIFS('ИП + источники'!AJ$26:AJ$145,'ИП + источники'!$F$26:$F$145,$F250,'ИП + источники'!$AC$26:$AC$145,"уплата процентов по кредитам из нормативной прибыли")</f>
        <v>0</v>
      </c>
      <c r="AJ250" s="147">
        <f ca="1">SUMIFS('ИП + источники'!AK$26:AK$145,'ИП + источники'!$F$26:$F$145,$F250,'ИП + источники'!$AC$26:$AC$145,"погашение займов и кредитов из нормативной прибыли")+SUMIFS('ИП + источники'!AK$26:AK$145,'ИП + источники'!$F$26:$F$145,$F250,'ИП + источники'!$AC$26:$AC$145,"уплата процентов по кредитам из нормативной прибыли")</f>
        <v>0</v>
      </c>
      <c r="AK250" s="147">
        <f ca="1">SUMIFS('ИП + источники'!AU$26:AU$145,'ИП + источники'!$F$26:$F$145,$F250,'ИП + источники'!$AC$26:$AC$145,"погашение займов и кредитов из нормативной прибыли")+SUMIFS('ИП + источники'!AU$26:AU$145,'ИП + источники'!$F$26:$F$145,$F250,'ИП + источники'!$AC$26:$AC$145,"уплата процентов по кредитам из нормативной прибыли")</f>
        <v>0</v>
      </c>
      <c r="AL250" s="190">
        <f t="shared" ca="1" si="16"/>
        <v>0</v>
      </c>
      <c r="AM250" s="215"/>
      <c r="AN250" s="610" t="str">
        <f ca="1">IF(IFERROR(INDEX('ИП + источники'!$K$57:$L$145,MATCH($F250&amp;"1komm",'ИП + источники'!$K$57:$K$145,0),2),"")=0,"",IFERROR(INDEX('ИП + источники'!$K$57:$L$145,MATCH($F250&amp;"1komm",'ИП + источники'!$K$57:$K$145,0),2),""))</f>
        <v/>
      </c>
      <c r="AO250" s="215"/>
      <c r="AR250" s="703" t="s">
        <v>1262</v>
      </c>
    </row>
    <row r="251" spans="1:48" ht="14.25" customHeight="1">
      <c r="E251" s="515">
        <v>15</v>
      </c>
      <c r="F251" s="3" t="str" cm="1">
        <f t="array" aca="1" ref="F251" ca="1">OFFSET(E251,-1,1)</f>
        <v>2</v>
      </c>
      <c r="I251" s="57" t="s">
        <v>569</v>
      </c>
      <c r="J251" s="57"/>
      <c r="K251" s="57"/>
      <c r="L251" s="57"/>
      <c r="M251" s="57"/>
      <c r="N251" s="57"/>
      <c r="O251" s="57"/>
      <c r="P251" s="57"/>
      <c r="Q251" s="57"/>
      <c r="R251" s="57"/>
      <c r="S251" s="57"/>
      <c r="T251" s="365" t="b" cm="1">
        <f t="array" aca="1" ref="T251" ca="1">T250</f>
        <v>1</v>
      </c>
      <c r="X251" s="1123"/>
      <c r="Z251" s="1184"/>
      <c r="AB251" s="152" t="s">
        <v>607</v>
      </c>
      <c r="AC251" s="146" t="s">
        <v>1832</v>
      </c>
      <c r="AD251" s="26" t="s">
        <v>804</v>
      </c>
      <c r="AE251" s="147">
        <f ca="1">SUMIFS('ИП + источники'!AF$27:AF$145,'ИП + источники'!$F$27:$F$145,$F251,'ИП + источники'!$AC$27:$AC$145,"Прибыль на капвложения")</f>
        <v>0</v>
      </c>
      <c r="AF251" s="147">
        <f ca="1">SUMIFS('ИП + источники'!AG$27:AG$145,'ИП + источники'!$F$27:$F$145,$F251,'ИП + источники'!$AC$27:$AC$145,"Прибыль на капвложения")</f>
        <v>0</v>
      </c>
      <c r="AG251" s="147">
        <f ca="1">SUMIFS('ИП + источники'!AH$27:AH$145,'ИП + источники'!$F$27:$F$145,$F251,'ИП + источники'!$AC$27:$AC$145,"Прибыль на капвложения")</f>
        <v>0</v>
      </c>
      <c r="AH251" s="190">
        <f t="shared" ca="1" si="15"/>
        <v>0</v>
      </c>
      <c r="AI251" s="147">
        <f ca="1">SUMIFS('ИП + источники'!AJ$27:AJ$145,'ИП + источники'!$F$27:$F$145,$F251,'ИП + источники'!$AC$27:$AC$145,"Прибыль на капвложения")</f>
        <v>0</v>
      </c>
      <c r="AJ251" s="147">
        <f ca="1">SUMIFS('ИП + источники'!AK$27:AK$145,'ИП + источники'!$F$27:$F$145,$F251,'ИП + источники'!$AC$27:$AC$145,"Прибыль на капвложения")</f>
        <v>0</v>
      </c>
      <c r="AK251" s="147">
        <f ca="1">SUMIFS('ИП + источники'!AU$27:AU$145,'ИП + источники'!$F$27:$F$145,$F251,'ИП + источники'!$AC$27:$AC$145,"Прибыль на капвложения")</f>
        <v>0</v>
      </c>
      <c r="AL251" s="190">
        <f t="shared" ca="1" si="16"/>
        <v>0</v>
      </c>
      <c r="AM251" s="215"/>
      <c r="AN251" s="610" t="str">
        <f ca="1">IF(IFERROR(INDEX('ИП + источники'!$K$57:$L$145,MATCH($F251&amp;"2komm",'ИП + источники'!$K$57:$K$145,0),2),"")=0,"",IFERROR(INDEX('ИП + источники'!$K$57:$L$145,MATCH($F251&amp;"2komm",'ИП + источники'!$K$57:$K$145,0),2),""))</f>
        <v/>
      </c>
      <c r="AO251" s="215"/>
      <c r="AR251" s="703" t="s">
        <v>1833</v>
      </c>
    </row>
    <row r="252" spans="1:48" ht="21.75" customHeight="1">
      <c r="E252" s="515">
        <v>22.5</v>
      </c>
      <c r="F252" s="3" t="str" cm="1">
        <f t="array" aca="1" ref="F252" ca="1">OFFSET(E252,-1,1)</f>
        <v>2</v>
      </c>
      <c r="I252" s="57" t="s">
        <v>573</v>
      </c>
      <c r="J252" s="57"/>
      <c r="K252" s="57"/>
      <c r="L252" s="57"/>
      <c r="M252" s="57"/>
      <c r="N252" s="57"/>
      <c r="O252" s="57"/>
      <c r="P252" s="57"/>
      <c r="Q252" s="57"/>
      <c r="R252" s="57"/>
      <c r="S252" s="57"/>
      <c r="T252" s="365" t="b" cm="1">
        <f t="array" aca="1" ref="T252" ca="1">T251</f>
        <v>1</v>
      </c>
      <c r="X252" s="1123"/>
      <c r="Z252" s="1184"/>
      <c r="AB252" s="152" t="s">
        <v>619</v>
      </c>
      <c r="AC252" s="146" t="s">
        <v>1834</v>
      </c>
      <c r="AD252" s="26" t="s">
        <v>804</v>
      </c>
      <c r="AE252" s="147"/>
      <c r="AF252" s="147"/>
      <c r="AG252" s="147"/>
      <c r="AH252" s="190"/>
      <c r="AI252" s="147"/>
      <c r="AJ252" s="147"/>
      <c r="AK252" s="147"/>
      <c r="AL252" s="190">
        <f t="shared" si="16"/>
        <v>0</v>
      </c>
      <c r="AM252" s="215"/>
      <c r="AN252" s="215"/>
      <c r="AO252" s="215"/>
      <c r="AR252" s="703" t="s">
        <v>1835</v>
      </c>
    </row>
    <row r="253" spans="1:48" s="948" customFormat="1" ht="21.75" customHeight="1">
      <c r="A253" s="434"/>
      <c r="B253" s="434" t="b">
        <f>STATUS_GO="да"</f>
        <v>0</v>
      </c>
      <c r="C253" s="434"/>
      <c r="D253" s="434"/>
      <c r="E253" s="516">
        <v>22.5</v>
      </c>
      <c r="F253" s="3" t="str" cm="1">
        <f t="array" aca="1" ref="F253" ca="1">OFFSET(E253,-1,1)</f>
        <v>2</v>
      </c>
      <c r="G253" s="434"/>
      <c r="H253" s="434"/>
      <c r="I253" s="173" t="s">
        <v>577</v>
      </c>
      <c r="J253" s="173"/>
      <c r="K253" s="173"/>
      <c r="L253" s="173"/>
      <c r="M253" s="173"/>
      <c r="N253" s="173"/>
      <c r="O253" s="173"/>
      <c r="P253" s="173"/>
      <c r="Q253" s="173"/>
      <c r="R253" s="173"/>
      <c r="S253" s="173"/>
      <c r="T253" s="365" t="b" cm="1">
        <f t="array" aca="1" ref="T253" ca="1">T252</f>
        <v>1</v>
      </c>
      <c r="U253" s="434"/>
      <c r="V253" s="434"/>
      <c r="W253" s="434"/>
      <c r="X253" s="1123"/>
      <c r="Y253" s="434"/>
      <c r="Z253" s="1184"/>
      <c r="AA253" s="434"/>
      <c r="AB253" s="150" t="s">
        <v>744</v>
      </c>
      <c r="AC253" s="151" t="s">
        <v>1836</v>
      </c>
      <c r="AD253" s="143" t="s">
        <v>804</v>
      </c>
      <c r="AE253" s="157"/>
      <c r="AF253" s="157"/>
      <c r="AG253" s="157"/>
      <c r="AH253" s="145">
        <f>AG253-AF253</f>
        <v>0</v>
      </c>
      <c r="AI253" s="157"/>
      <c r="AJ253" s="157"/>
      <c r="AK253" s="157"/>
      <c r="AL253" s="145">
        <f t="shared" si="16"/>
        <v>0</v>
      </c>
      <c r="AM253" s="566"/>
      <c r="AN253" s="566"/>
      <c r="AO253" s="566"/>
      <c r="AP253" s="434"/>
      <c r="AQ253" s="434"/>
      <c r="AR253" s="704" t="s">
        <v>1837</v>
      </c>
      <c r="AS253" s="704"/>
      <c r="AT253" s="704"/>
      <c r="AU253" s="516"/>
      <c r="AV253" s="516"/>
    </row>
    <row r="254" spans="1:48" ht="14.25" customHeight="1">
      <c r="E254" s="515">
        <v>15</v>
      </c>
      <c r="F254" s="3" t="str" cm="1">
        <f t="array" aca="1" ref="F254" ca="1">OFFSET(E254,-1,1)</f>
        <v>2</v>
      </c>
      <c r="I254" s="57" t="s">
        <v>585</v>
      </c>
      <c r="J254" s="57"/>
      <c r="K254" s="57"/>
      <c r="L254" s="57"/>
      <c r="M254" s="57"/>
      <c r="N254" s="57"/>
      <c r="O254" s="57"/>
      <c r="P254" s="57"/>
      <c r="Q254" s="57"/>
      <c r="R254" s="57"/>
      <c r="S254" s="57"/>
      <c r="T254" s="365" t="b" cm="1">
        <f t="array" aca="1" ref="T254" ca="1">T253</f>
        <v>1</v>
      </c>
      <c r="X254" s="1123"/>
      <c r="Z254" s="1184"/>
      <c r="AB254" s="152" t="s">
        <v>747</v>
      </c>
      <c r="AC254" s="358" t="s">
        <v>1464</v>
      </c>
      <c r="AD254" s="26" t="s">
        <v>804</v>
      </c>
      <c r="AE254" s="147"/>
      <c r="AF254" s="147"/>
      <c r="AG254" s="147"/>
      <c r="AH254" s="190"/>
      <c r="AI254" s="148"/>
      <c r="AJ254" s="148"/>
      <c r="AK254" s="148"/>
      <c r="AL254" s="190">
        <f t="shared" si="16"/>
        <v>0</v>
      </c>
      <c r="AM254" s="215"/>
      <c r="AN254" s="215"/>
      <c r="AO254" s="215"/>
      <c r="AR254" s="703" t="s">
        <v>1838</v>
      </c>
    </row>
    <row r="255" spans="1:48" ht="101.25" hidden="1" customHeight="1">
      <c r="E255" s="515">
        <v>0</v>
      </c>
      <c r="F255" s="3" t="str" cm="1">
        <f t="array" aca="1" ref="F255" ca="1">OFFSET(E255,-1,1)</f>
        <v>2</v>
      </c>
      <c r="H255" s="57" t="b">
        <f>ISERR(SEARCH("Водоснабжение",AB197))</f>
        <v>1</v>
      </c>
      <c r="I255" s="57" t="s">
        <v>743</v>
      </c>
      <c r="J255" s="57"/>
      <c r="K255" s="57"/>
      <c r="L255" s="57"/>
      <c r="M255" s="57"/>
      <c r="N255" s="57"/>
      <c r="O255" s="57"/>
      <c r="P255" s="57"/>
      <c r="Q255" s="57"/>
      <c r="R255" s="57"/>
      <c r="S255" s="57"/>
      <c r="T255" s="365" t="b" cm="1">
        <f t="array" aca="1" ref="T255" ca="1">T254</f>
        <v>1</v>
      </c>
      <c r="X255" s="1123"/>
      <c r="Z255" s="1184"/>
      <c r="AB255" s="152" t="s">
        <v>1049</v>
      </c>
      <c r="AC255" s="358" t="s">
        <v>1839</v>
      </c>
      <c r="AD255" s="28" t="s">
        <v>804</v>
      </c>
      <c r="AE255" s="787"/>
      <c r="AF255" s="787"/>
      <c r="AG255" s="787"/>
      <c r="AH255" s="190">
        <f t="shared" ref="AH255:AH270" si="17">AG255-AF255</f>
        <v>0</v>
      </c>
      <c r="AI255" s="787"/>
      <c r="AJ255" s="787"/>
      <c r="AK255" s="787">
        <f ca="1">IFERROR(SUMIFS('Плата за негативное возд'!$AL$25:$AL$35,'Плата за негативное возд'!$F$25:$F$35,F255,'Плата за негативное возд'!$G$25:$G$35,"1"),0)</f>
        <v>0</v>
      </c>
      <c r="AL255" s="190">
        <f t="shared" si="16"/>
        <v>0</v>
      </c>
      <c r="AM255" s="784"/>
      <c r="AN255" s="784"/>
      <c r="AO255" s="784"/>
      <c r="AR255" s="703" t="s">
        <v>1366</v>
      </c>
    </row>
    <row r="256" spans="1:48" ht="67.5" hidden="1" customHeight="1">
      <c r="E256" s="515">
        <v>0</v>
      </c>
      <c r="F256" s="3" t="str" cm="1">
        <f t="array" aca="1" ref="F256" ca="1">OFFSET(E256,-1,1)</f>
        <v>2</v>
      </c>
      <c r="H256" s="57" t="b">
        <f>ISERR(SEARCH("Водоснабжение",AB197))</f>
        <v>1</v>
      </c>
      <c r="I256" s="57" t="s">
        <v>746</v>
      </c>
      <c r="J256" s="57"/>
      <c r="K256" s="57"/>
      <c r="L256" s="57"/>
      <c r="M256" s="57"/>
      <c r="N256" s="57"/>
      <c r="O256" s="57"/>
      <c r="P256" s="57"/>
      <c r="Q256" s="57"/>
      <c r="R256" s="57"/>
      <c r="S256" s="57"/>
      <c r="T256" s="365" t="b" cm="1">
        <f t="array" aca="1" ref="T256" ca="1">T255</f>
        <v>1</v>
      </c>
      <c r="X256" s="1123"/>
      <c r="Z256" s="1184"/>
      <c r="AB256" s="152" t="s">
        <v>1840</v>
      </c>
      <c r="AC256" s="358" t="s">
        <v>1841</v>
      </c>
      <c r="AD256" s="28" t="s">
        <v>804</v>
      </c>
      <c r="AE256" s="787"/>
      <c r="AF256" s="787"/>
      <c r="AG256" s="787"/>
      <c r="AH256" s="190">
        <f t="shared" si="17"/>
        <v>0</v>
      </c>
      <c r="AI256" s="787"/>
      <c r="AJ256" s="787"/>
      <c r="AK256" s="787">
        <f ca="1">IFERROR(SUMIFS('Плата за негативное возд'!$AL$25:$AL$35,'Плата за негативное возд'!$F$25:$F$35,F256,'Плата за негативное возд'!$G$25:$G$35,"2"),0)</f>
        <v>0</v>
      </c>
      <c r="AL256" s="190">
        <f t="shared" si="16"/>
        <v>0</v>
      </c>
      <c r="AM256" s="784"/>
      <c r="AN256" s="784"/>
      <c r="AO256" s="784"/>
      <c r="AR256" s="703" t="s">
        <v>1370</v>
      </c>
    </row>
    <row r="257" spans="1:48" ht="14.25" customHeight="1">
      <c r="E257" s="515">
        <v>15</v>
      </c>
      <c r="F257" s="3" t="str" cm="1">
        <f t="array" aca="1" ref="F257" ca="1">OFFSET(E257,-1,1)</f>
        <v>2</v>
      </c>
      <c r="I257" s="57" t="s">
        <v>782</v>
      </c>
      <c r="J257" s="57"/>
      <c r="K257" s="57"/>
      <c r="L257" s="57"/>
      <c r="M257" s="57"/>
      <c r="N257" s="57"/>
      <c r="O257" s="57"/>
      <c r="P257" s="57"/>
      <c r="Q257" s="57"/>
      <c r="R257" s="57"/>
      <c r="S257" s="57"/>
      <c r="T257" s="365" t="b" cm="1">
        <f t="array" aca="1" ref="T257" ca="1">T256</f>
        <v>1</v>
      </c>
      <c r="X257" s="1123"/>
      <c r="Z257" s="1184"/>
      <c r="AB257" s="152" t="s">
        <v>1842</v>
      </c>
      <c r="AC257" s="259" t="s">
        <v>1843</v>
      </c>
      <c r="AD257" s="26" t="s">
        <v>804</v>
      </c>
      <c r="AE257" s="147"/>
      <c r="AF257" s="147"/>
      <c r="AG257" s="147"/>
      <c r="AH257" s="190">
        <f t="shared" si="17"/>
        <v>0</v>
      </c>
      <c r="AI257" s="147"/>
      <c r="AJ257" s="147"/>
      <c r="AK257" s="147"/>
      <c r="AL257" s="190">
        <f t="shared" si="16"/>
        <v>0</v>
      </c>
      <c r="AM257" s="215"/>
      <c r="AN257" s="215"/>
      <c r="AO257" s="215"/>
      <c r="AR257" s="703" t="s">
        <v>1247</v>
      </c>
    </row>
    <row r="258" spans="1:48" s="948" customFormat="1" ht="21.75" customHeight="1">
      <c r="A258" s="434"/>
      <c r="B258" s="434"/>
      <c r="C258" s="434"/>
      <c r="D258" s="434"/>
      <c r="E258" s="516">
        <v>22.5</v>
      </c>
      <c r="F258" s="3" t="str" cm="1">
        <f t="array" aca="1" ref="F258" ca="1">OFFSET(E258,-1,1)</f>
        <v>2</v>
      </c>
      <c r="G258" s="434"/>
      <c r="H258" s="434"/>
      <c r="I258" s="173" t="s">
        <v>783</v>
      </c>
      <c r="J258" s="173"/>
      <c r="K258" s="173"/>
      <c r="L258" s="173"/>
      <c r="M258" s="173"/>
      <c r="N258" s="173"/>
      <c r="O258" s="173"/>
      <c r="P258" s="173"/>
      <c r="Q258" s="173"/>
      <c r="R258" s="173"/>
      <c r="S258" s="173"/>
      <c r="T258" s="365" t="b" cm="1">
        <f t="array" aca="1" ref="T258" ca="1">T257</f>
        <v>1</v>
      </c>
      <c r="U258" s="434"/>
      <c r="V258" s="434"/>
      <c r="W258" s="434"/>
      <c r="X258" s="1123"/>
      <c r="Y258" s="434"/>
      <c r="Z258" s="1184"/>
      <c r="AA258" s="434"/>
      <c r="AB258" s="150" t="s">
        <v>258</v>
      </c>
      <c r="AC258" s="144" t="s">
        <v>1844</v>
      </c>
      <c r="AD258" s="143" t="s">
        <v>804</v>
      </c>
      <c r="AE258" s="145">
        <f>AE259+AE260</f>
        <v>0</v>
      </c>
      <c r="AF258" s="145">
        <f>AF259+AF260</f>
        <v>0</v>
      </c>
      <c r="AG258" s="145">
        <f>AG259+AG260</f>
        <v>0</v>
      </c>
      <c r="AH258" s="145">
        <f t="shared" si="17"/>
        <v>0</v>
      </c>
      <c r="AI258" s="145">
        <f>AI259+AI260</f>
        <v>0</v>
      </c>
      <c r="AJ258" s="145">
        <f>AJ259+AJ260</f>
        <v>0</v>
      </c>
      <c r="AK258" s="145">
        <f>AK259+AK260</f>
        <v>0</v>
      </c>
      <c r="AL258" s="145">
        <f t="shared" si="16"/>
        <v>0</v>
      </c>
      <c r="AM258" s="566"/>
      <c r="AN258" s="566"/>
      <c r="AO258" s="566"/>
      <c r="AP258" s="434"/>
      <c r="AQ258" s="434"/>
      <c r="AR258" s="704" t="s">
        <v>1547</v>
      </c>
      <c r="AS258" s="704"/>
      <c r="AT258" s="704"/>
      <c r="AU258" s="516"/>
      <c r="AV258" s="516"/>
    </row>
    <row r="259" spans="1:48" ht="21.75" customHeight="1">
      <c r="E259" s="515">
        <v>22.5</v>
      </c>
      <c r="F259" s="3" t="str" cm="1">
        <f t="array" aca="1" ref="F259" ca="1">OFFSET(E259,-1,1)</f>
        <v>2</v>
      </c>
      <c r="I259" s="57" t="s">
        <v>1845</v>
      </c>
      <c r="J259" s="57"/>
      <c r="K259" s="57"/>
      <c r="L259" s="57"/>
      <c r="M259" s="57"/>
      <c r="N259" s="57"/>
      <c r="O259" s="57"/>
      <c r="P259" s="57"/>
      <c r="Q259" s="57"/>
      <c r="R259" s="57"/>
      <c r="S259" s="57"/>
      <c r="T259" s="365" t="b" cm="1">
        <f t="array" aca="1" ref="T259" ca="1">T258</f>
        <v>1</v>
      </c>
      <c r="X259" s="1123"/>
      <c r="Z259" s="1184"/>
      <c r="AB259" s="152" t="s">
        <v>1846</v>
      </c>
      <c r="AC259" s="560" t="s">
        <v>1548</v>
      </c>
      <c r="AD259" s="26" t="s">
        <v>804</v>
      </c>
      <c r="AE259" s="147"/>
      <c r="AF259" s="147"/>
      <c r="AG259" s="147"/>
      <c r="AH259" s="190">
        <f t="shared" si="17"/>
        <v>0</v>
      </c>
      <c r="AI259" s="147"/>
      <c r="AJ259" s="147"/>
      <c r="AK259" s="147"/>
      <c r="AL259" s="190">
        <f t="shared" si="16"/>
        <v>0</v>
      </c>
      <c r="AM259" s="215"/>
      <c r="AN259" s="215"/>
      <c r="AO259" s="215"/>
      <c r="AR259" s="703" t="s">
        <v>1586</v>
      </c>
    </row>
    <row r="260" spans="1:48" ht="21.75" customHeight="1">
      <c r="E260" s="515">
        <v>22.5</v>
      </c>
      <c r="F260" s="3" t="str" cm="1">
        <f t="array" aca="1" ref="F260" ca="1">OFFSET(E260,-1,1)</f>
        <v>2</v>
      </c>
      <c r="I260" s="57" t="s">
        <v>1847</v>
      </c>
      <c r="J260" s="57"/>
      <c r="K260" s="57"/>
      <c r="L260" s="57"/>
      <c r="M260" s="57"/>
      <c r="N260" s="57"/>
      <c r="O260" s="57"/>
      <c r="P260" s="57"/>
      <c r="Q260" s="57"/>
      <c r="R260" s="57"/>
      <c r="S260" s="57"/>
      <c r="T260" s="365" t="b" cm="1">
        <f t="array" aca="1" ref="T260" ca="1">T259</f>
        <v>1</v>
      </c>
      <c r="X260" s="1123"/>
      <c r="Z260" s="1184"/>
      <c r="AB260" s="152" t="s">
        <v>1848</v>
      </c>
      <c r="AC260" s="560" t="s">
        <v>1550</v>
      </c>
      <c r="AD260" s="26" t="s">
        <v>804</v>
      </c>
      <c r="AE260" s="147"/>
      <c r="AF260" s="147"/>
      <c r="AG260" s="147"/>
      <c r="AH260" s="190">
        <f t="shared" si="17"/>
        <v>0</v>
      </c>
      <c r="AI260" s="147"/>
      <c r="AJ260" s="147"/>
      <c r="AK260" s="147"/>
      <c r="AL260" s="190">
        <f t="shared" si="16"/>
        <v>0</v>
      </c>
      <c r="AM260" s="215"/>
      <c r="AN260" s="215"/>
      <c r="AO260" s="215"/>
      <c r="AR260" s="703" t="s">
        <v>1849</v>
      </c>
    </row>
    <row r="261" spans="1:48" ht="14.25" customHeight="1">
      <c r="E261" s="515">
        <v>15</v>
      </c>
      <c r="F261" s="3" t="str" cm="1">
        <f t="array" aca="1" ref="F261" ca="1">OFFSET(E261,-1,1)</f>
        <v>2</v>
      </c>
      <c r="I261" s="57" t="s">
        <v>1850</v>
      </c>
      <c r="J261" s="57"/>
      <c r="K261" s="57"/>
      <c r="L261" s="57"/>
      <c r="M261" s="57"/>
      <c r="N261" s="57"/>
      <c r="O261" s="57"/>
      <c r="P261" s="57"/>
      <c r="Q261" s="57"/>
      <c r="R261" s="57"/>
      <c r="S261" s="57"/>
      <c r="T261" s="365" t="b" cm="1">
        <f t="array" aca="1" ref="T261" ca="1">T260</f>
        <v>1</v>
      </c>
      <c r="X261" s="1123"/>
      <c r="Z261" s="1184"/>
      <c r="AB261" s="561" t="s">
        <v>336</v>
      </c>
      <c r="AC261" s="567" t="s">
        <v>1552</v>
      </c>
      <c r="AD261" s="26" t="s">
        <v>804</v>
      </c>
      <c r="AE261" s="147"/>
      <c r="AF261" s="147"/>
      <c r="AG261" s="147"/>
      <c r="AH261" s="190">
        <f t="shared" si="17"/>
        <v>0</v>
      </c>
      <c r="AI261" s="147"/>
      <c r="AJ261" s="147"/>
      <c r="AK261" s="147"/>
      <c r="AL261" s="190">
        <f t="shared" si="16"/>
        <v>0</v>
      </c>
      <c r="AM261" s="215"/>
      <c r="AN261" s="215"/>
      <c r="AO261" s="215"/>
      <c r="AR261" s="703" t="s">
        <v>1553</v>
      </c>
    </row>
    <row r="262" spans="1:48" ht="14.25" customHeight="1">
      <c r="E262" s="515">
        <v>15</v>
      </c>
      <c r="F262" s="3" t="str" cm="1">
        <f t="array" aca="1" ref="F262" ca="1">OFFSET(E262,-1,1)</f>
        <v>2</v>
      </c>
      <c r="I262" s="57" t="s">
        <v>1851</v>
      </c>
      <c r="J262" s="57"/>
      <c r="K262" s="57"/>
      <c r="L262" s="57"/>
      <c r="M262" s="57"/>
      <c r="N262" s="57"/>
      <c r="O262" s="57"/>
      <c r="P262" s="57"/>
      <c r="Q262" s="57"/>
      <c r="R262" s="57"/>
      <c r="S262" s="57"/>
      <c r="T262" s="365" t="b" cm="1">
        <f t="array" aca="1" ref="T262" ca="1">T261</f>
        <v>1</v>
      </c>
      <c r="X262" s="1123"/>
      <c r="Z262" s="1184"/>
      <c r="AB262" s="561" t="s">
        <v>1852</v>
      </c>
      <c r="AC262" s="567" t="s">
        <v>1554</v>
      </c>
      <c r="AD262" s="26" t="s">
        <v>804</v>
      </c>
      <c r="AE262" s="147"/>
      <c r="AF262" s="147"/>
      <c r="AG262" s="147"/>
      <c r="AH262" s="190">
        <f t="shared" si="17"/>
        <v>0</v>
      </c>
      <c r="AI262" s="147"/>
      <c r="AJ262" s="147"/>
      <c r="AK262" s="147"/>
      <c r="AL262" s="190">
        <f t="shared" si="16"/>
        <v>0</v>
      </c>
      <c r="AM262" s="215"/>
      <c r="AN262" s="215"/>
      <c r="AO262" s="215"/>
      <c r="AR262" s="703" t="s">
        <v>1555</v>
      </c>
    </row>
    <row r="263" spans="1:48" s="948" customFormat="1" ht="14.25" customHeight="1">
      <c r="A263" s="434"/>
      <c r="B263" s="434"/>
      <c r="C263" s="434"/>
      <c r="D263" s="434"/>
      <c r="E263" s="516">
        <v>15</v>
      </c>
      <c r="F263" s="3" t="str" cm="1">
        <f t="array" aca="1" ref="F263" ca="1">OFFSET(E263,-1,1)</f>
        <v>2</v>
      </c>
      <c r="G263" s="434"/>
      <c r="H263" s="434"/>
      <c r="I263" s="173" t="s">
        <v>1853</v>
      </c>
      <c r="J263" s="173"/>
      <c r="K263" s="173"/>
      <c r="L263" s="173"/>
      <c r="M263" s="173"/>
      <c r="N263" s="173"/>
      <c r="O263" s="173"/>
      <c r="P263" s="173"/>
      <c r="Q263" s="173"/>
      <c r="R263" s="173"/>
      <c r="S263" s="173"/>
      <c r="T263" s="365" t="b" cm="1">
        <f t="array" aca="1" ref="T263" ca="1">T262</f>
        <v>1</v>
      </c>
      <c r="U263" s="434"/>
      <c r="V263" s="434"/>
      <c r="W263" s="434"/>
      <c r="X263" s="1123"/>
      <c r="Y263" s="434"/>
      <c r="Z263" s="1184"/>
      <c r="AA263" s="434"/>
      <c r="AB263" s="150" t="s">
        <v>1854</v>
      </c>
      <c r="AC263" s="144" t="s">
        <v>1855</v>
      </c>
      <c r="AD263" s="143" t="s">
        <v>804</v>
      </c>
      <c r="AE263" s="145">
        <f ca="1">AE198+AE226+AE231+AE244+AE245+AE247+AE248+AE249+AE253+AE254-AE255-AE256+AE257-AE258+AE261+AE262</f>
        <v>5280.6266271880804</v>
      </c>
      <c r="AF263" s="145">
        <f ca="1">AF198+AF226+AF231+AF244+AF245+AF247+AF248+AF249+AF253+AF254-AF255-AF256+AF257-AF258+AF261+AF262</f>
        <v>5518.6254600000002</v>
      </c>
      <c r="AG263" s="145">
        <f ca="1">AG198+AG226+AG231+AG244+AG245+AG247+AG248+AG249+AG253+AG254-AG255-AG256+AG257-AG258+AG261+AG262</f>
        <v>4940.5454599999994</v>
      </c>
      <c r="AH263" s="145">
        <f t="shared" ca="1" si="17"/>
        <v>-578.08000000000084</v>
      </c>
      <c r="AI263" s="145">
        <f ca="1">AI198+AI226+AI231+AI244+AI245+AI247+AI248+AI249+AI253+AI254-AI255-AI256+AI257-AI258+AI261+AI262</f>
        <v>5743.7067722717993</v>
      </c>
      <c r="AJ263" s="145">
        <f ca="1">AJ198+AJ226+AJ231+AJ244+AJ245+AJ247+AJ248+AJ249+AJ253+AJ254-AJ255-AJ256+AJ257-AJ258+AJ261+AJ262</f>
        <v>6892.4802</v>
      </c>
      <c r="AK263" s="145">
        <f ca="1">AK198+AK226+AK231+AK244+AK245+AK247+AK248+AK249+AK253+AK254-AK255-AK256+AK257-AK258+AK261+AK262</f>
        <v>6727.1082500000002</v>
      </c>
      <c r="AL263" s="145">
        <f t="shared" ca="1" si="16"/>
        <v>17.121373299828775</v>
      </c>
      <c r="AM263" s="566"/>
      <c r="AN263" s="566"/>
      <c r="AO263" s="566"/>
      <c r="AP263" s="434"/>
      <c r="AQ263" s="434"/>
      <c r="AR263" s="704" t="s">
        <v>1856</v>
      </c>
      <c r="AS263" s="704"/>
      <c r="AT263" s="704"/>
      <c r="AU263" s="516"/>
      <c r="AV263" s="516"/>
    </row>
    <row r="264" spans="1:48" ht="15" hidden="1" customHeight="1">
      <c r="B264" s="291" t="b">
        <f>G197="двухставочный"</f>
        <v>0</v>
      </c>
      <c r="E264" s="515">
        <v>0</v>
      </c>
      <c r="F264" s="3" t="str" cm="1">
        <f t="array" aca="1" ref="F264" ca="1">OFFSET(E264,-1,1)</f>
        <v>2</v>
      </c>
      <c r="I264" s="57" t="s">
        <v>1857</v>
      </c>
      <c r="J264" s="57"/>
      <c r="K264" s="57"/>
      <c r="L264" s="57"/>
      <c r="M264" s="57"/>
      <c r="N264" s="57"/>
      <c r="O264" s="57"/>
      <c r="P264" s="57"/>
      <c r="Q264" s="57"/>
      <c r="R264" s="57"/>
      <c r="S264" s="57"/>
      <c r="T264" s="365" t="b" cm="1">
        <f t="array" aca="1" ref="T264" ca="1">T263</f>
        <v>1</v>
      </c>
      <c r="X264" s="1123"/>
      <c r="Z264" s="1184"/>
      <c r="AB264" s="152" t="s">
        <v>1858</v>
      </c>
      <c r="AC264" s="560" t="s">
        <v>1859</v>
      </c>
      <c r="AD264" s="26" t="s">
        <v>804</v>
      </c>
      <c r="AE264" s="787"/>
      <c r="AF264" s="787"/>
      <c r="AG264" s="787"/>
      <c r="AH264" s="190">
        <f t="shared" si="17"/>
        <v>0</v>
      </c>
      <c r="AI264" s="787"/>
      <c r="AJ264" s="787"/>
      <c r="AK264" s="787"/>
      <c r="AL264" s="190">
        <f t="shared" si="16"/>
        <v>0</v>
      </c>
      <c r="AM264" s="784"/>
      <c r="AN264" s="784"/>
      <c r="AO264" s="784"/>
      <c r="AR264" s="703" t="s">
        <v>1860</v>
      </c>
    </row>
    <row r="265" spans="1:48" ht="15" hidden="1" customHeight="1">
      <c r="B265" s="291" t="b">
        <f>G197="двухставочный"</f>
        <v>0</v>
      </c>
      <c r="E265" s="515">
        <v>0</v>
      </c>
      <c r="F265" s="3" t="str" cm="1">
        <f t="array" aca="1" ref="F265" ca="1">OFFSET(E265,-1,1)</f>
        <v>2</v>
      </c>
      <c r="I265" s="57" t="s">
        <v>1861</v>
      </c>
      <c r="J265" s="57"/>
      <c r="K265" s="57"/>
      <c r="L265" s="57"/>
      <c r="M265" s="57"/>
      <c r="N265" s="57"/>
      <c r="O265" s="57"/>
      <c r="P265" s="57"/>
      <c r="Q265" s="57"/>
      <c r="R265" s="57"/>
      <c r="S265" s="57"/>
      <c r="T265" s="365" t="b" cm="1">
        <f t="array" aca="1" ref="T265" ca="1">T264</f>
        <v>1</v>
      </c>
      <c r="X265" s="1123"/>
      <c r="Z265" s="1184"/>
      <c r="AB265" s="152" t="s">
        <v>1862</v>
      </c>
      <c r="AC265" s="560" t="s">
        <v>1863</v>
      </c>
      <c r="AD265" s="26" t="s">
        <v>804</v>
      </c>
      <c r="AE265" s="787"/>
      <c r="AF265" s="787"/>
      <c r="AG265" s="787"/>
      <c r="AH265" s="190">
        <f t="shared" si="17"/>
        <v>0</v>
      </c>
      <c r="AI265" s="787"/>
      <c r="AJ265" s="787"/>
      <c r="AK265" s="787"/>
      <c r="AL265" s="190">
        <f t="shared" si="16"/>
        <v>0</v>
      </c>
      <c r="AM265" s="784"/>
      <c r="AN265" s="784"/>
      <c r="AO265" s="784"/>
      <c r="AR265" s="703" t="s">
        <v>1864</v>
      </c>
    </row>
    <row r="266" spans="1:48" s="948" customFormat="1" ht="14.25" customHeight="1">
      <c r="A266" s="434"/>
      <c r="B266" s="434"/>
      <c r="C266" s="434"/>
      <c r="D266" s="434"/>
      <c r="E266" s="516">
        <v>15</v>
      </c>
      <c r="F266" s="3" t="str" cm="1">
        <f t="array" aca="1" ref="F266" ca="1">OFFSET(E266,-1,1)</f>
        <v>2</v>
      </c>
      <c r="G266" s="91" t="s">
        <v>1633</v>
      </c>
      <c r="H266" s="434"/>
      <c r="I266" s="173" t="s">
        <v>1865</v>
      </c>
      <c r="J266" s="173"/>
      <c r="K266" s="173"/>
      <c r="L266" s="173"/>
      <c r="M266" s="173"/>
      <c r="N266" s="173"/>
      <c r="O266" s="173"/>
      <c r="P266" s="173"/>
      <c r="Q266" s="173"/>
      <c r="R266" s="173"/>
      <c r="S266" s="173"/>
      <c r="T266" s="365" t="b" cm="1">
        <f t="array" aca="1" ref="T266" ca="1">T265</f>
        <v>1</v>
      </c>
      <c r="U266" s="434"/>
      <c r="V266" s="434"/>
      <c r="W266" s="434"/>
      <c r="X266" s="1123"/>
      <c r="Y266" s="434"/>
      <c r="Z266" s="1184"/>
      <c r="AA266" s="434"/>
      <c r="AB266" s="150" t="s">
        <v>1866</v>
      </c>
      <c r="AC266" s="144" t="s">
        <v>1867</v>
      </c>
      <c r="AD266" s="143" t="s">
        <v>534</v>
      </c>
      <c r="AE266" s="562">
        <f ca="1">SUMIFS(Баланс!AE$26:AE$300,Баланс!$F$26:$F$300,$F266,Баланс!$G$26:$G$300,"ПО")</f>
        <v>945.83128278079994</v>
      </c>
      <c r="AF266" s="562">
        <f ca="1">SUMIFS(Баланс!AF$26:AF$300,Баланс!$F$26:$F$300,$F266,Баланс!$G$26:$G$300,"ПО")</f>
        <v>948.16300000000001</v>
      </c>
      <c r="AG266" s="562">
        <f ca="1">SUMIFS(Баланс!AG$26:AG$300,Баланс!$F$26:$F$300,$F266,Баланс!$G$26:$G$300,"ПО")</f>
        <v>948.16300000000001</v>
      </c>
      <c r="AH266" s="562">
        <f t="shared" ca="1" si="17"/>
        <v>0</v>
      </c>
      <c r="AI266" s="562">
        <f ca="1">SUMIFS(Баланс!AH$26:AH$300,Баланс!$F$26:$F$300,$F266,Баланс!$G$26:$G$300,"ПО")</f>
        <v>949.96699999999998</v>
      </c>
      <c r="AJ266" s="562">
        <f ca="1">SUMIFS(Баланс!AI$26:AI$300,Баланс!$F$26:$F$300,$F266,Баланс!$G$26:$G$300,"ПО")</f>
        <v>938.9369999999999</v>
      </c>
      <c r="AK266" s="562">
        <f ca="1">SUMIFS(Баланс!AS$26:AS$300,Баланс!$F$26:$F$300,$F266,Баланс!$G$26:$G$300,"ПО")</f>
        <v>948.16300000000001</v>
      </c>
      <c r="AL266" s="148"/>
      <c r="AM266" s="566"/>
      <c r="AN266" s="566"/>
      <c r="AO266" s="566"/>
      <c r="AP266" s="434"/>
      <c r="AQ266" s="434"/>
      <c r="AR266" s="704" t="s">
        <v>1868</v>
      </c>
      <c r="AS266" s="704"/>
      <c r="AT266" s="704"/>
      <c r="AU266" s="516"/>
      <c r="AV266" s="516"/>
    </row>
    <row r="267" spans="1:48" ht="14.25" customHeight="1">
      <c r="E267" s="515">
        <v>15</v>
      </c>
      <c r="F267" s="3" t="str" cm="1">
        <f t="array" aca="1" ref="F267" ca="1">OFFSET(E267,-1,1)</f>
        <v>2</v>
      </c>
      <c r="G267" s="91" t="s">
        <v>1660</v>
      </c>
      <c r="I267" s="57" t="s">
        <v>1869</v>
      </c>
      <c r="J267" s="57"/>
      <c r="K267" s="57"/>
      <c r="L267" s="57"/>
      <c r="M267" s="57"/>
      <c r="N267" s="57"/>
      <c r="O267" s="57"/>
      <c r="P267" s="57"/>
      <c r="Q267" s="57"/>
      <c r="R267" s="57"/>
      <c r="S267" s="57"/>
      <c r="T267" s="365" t="b" cm="1">
        <f t="array" aca="1" ref="T267" ca="1">T266</f>
        <v>1</v>
      </c>
      <c r="X267" s="1123"/>
      <c r="Z267" s="1184"/>
      <c r="AB267" s="152" t="s">
        <v>1870</v>
      </c>
      <c r="AC267" s="146" t="s">
        <v>1871</v>
      </c>
      <c r="AD267" s="26" t="s">
        <v>534</v>
      </c>
      <c r="AE267" s="455">
        <f ca="1">IF(AE$24="2026 год",AE266/12*9,AE266/2)</f>
        <v>472.91564139039997</v>
      </c>
      <c r="AF267" s="455">
        <f ca="1">IF(AF$24="2026 год",AF266/12*9,AF266/2)</f>
        <v>474.08150000000001</v>
      </c>
      <c r="AG267" s="455">
        <f ca="1">IF(AG$24="2026 год",AG266/12*9,AG266/2)</f>
        <v>474.08150000000001</v>
      </c>
      <c r="AH267" s="568">
        <f t="shared" ca="1" si="17"/>
        <v>0</v>
      </c>
      <c r="AI267" s="455">
        <f ca="1">IF(AI$24="2026 год",AI266/12*9,AI266/2)</f>
        <v>474.98349999999999</v>
      </c>
      <c r="AJ267" s="455">
        <f ca="1">IF(AJ$24="2026 год",AJ266/12*9,AJ266/2)</f>
        <v>704.20274999999992</v>
      </c>
      <c r="AK267" s="455">
        <f ca="1">IF(AK$24="2026 год",AK266/12*9,AK266/2)</f>
        <v>711.12225000000001</v>
      </c>
      <c r="AL267" s="552"/>
      <c r="AM267" s="215"/>
      <c r="AN267" s="215"/>
      <c r="AO267" s="215"/>
      <c r="AR267" s="703" t="s">
        <v>1872</v>
      </c>
    </row>
    <row r="268" spans="1:48" ht="14.25" customHeight="1">
      <c r="E268" s="515">
        <v>15</v>
      </c>
      <c r="F268" s="3" t="str" cm="1">
        <f t="array" aca="1" ref="F268" ca="1">OFFSET(E268,-1,1)</f>
        <v>2</v>
      </c>
      <c r="G268" s="91" t="s">
        <v>1621</v>
      </c>
      <c r="I268" s="57" t="s">
        <v>1873</v>
      </c>
      <c r="J268" s="57"/>
      <c r="K268" s="57"/>
      <c r="L268" s="57"/>
      <c r="M268" s="57"/>
      <c r="N268" s="57"/>
      <c r="O268" s="57"/>
      <c r="P268" s="57"/>
      <c r="Q268" s="57"/>
      <c r="R268" s="57"/>
      <c r="S268" s="57"/>
      <c r="T268" s="365" t="b" cm="1">
        <f t="array" aca="1" ref="T268" ca="1">T267</f>
        <v>1</v>
      </c>
      <c r="X268" s="1123"/>
      <c r="Z268" s="1184"/>
      <c r="AB268" s="152" t="s">
        <v>1874</v>
      </c>
      <c r="AC268" s="146" t="s">
        <v>1875</v>
      </c>
      <c r="AD268" s="26" t="s">
        <v>1624</v>
      </c>
      <c r="AE268" s="147"/>
      <c r="AF268" s="147"/>
      <c r="AG268" s="147"/>
      <c r="AH268" s="190">
        <f t="shared" si="17"/>
        <v>0</v>
      </c>
      <c r="AI268" s="147"/>
      <c r="AJ268" s="147"/>
      <c r="AK268" s="147"/>
      <c r="AL268" s="552"/>
      <c r="AM268" s="215"/>
      <c r="AN268" s="215"/>
      <c r="AO268" s="215"/>
      <c r="AR268" s="703" t="s">
        <v>1876</v>
      </c>
    </row>
    <row r="269" spans="1:48" ht="14.25" customHeight="1">
      <c r="E269" s="515">
        <v>15</v>
      </c>
      <c r="F269" s="3" t="str" cm="1">
        <f t="array" aca="1" ref="F269" ca="1">OFFSET(E269,-1,1)</f>
        <v>2</v>
      </c>
      <c r="G269" s="91" t="s">
        <v>1673</v>
      </c>
      <c r="I269" s="57" t="s">
        <v>1877</v>
      </c>
      <c r="J269" s="57"/>
      <c r="K269" s="57"/>
      <c r="L269" s="57"/>
      <c r="M269" s="57"/>
      <c r="N269" s="57"/>
      <c r="O269" s="57"/>
      <c r="P269" s="57"/>
      <c r="Q269" s="57"/>
      <c r="R269" s="57"/>
      <c r="S269" s="57"/>
      <c r="T269" s="365" t="b" cm="1">
        <f t="array" aca="1" ref="T269" ca="1">T268</f>
        <v>1</v>
      </c>
      <c r="X269" s="1123"/>
      <c r="Z269" s="1184"/>
      <c r="AB269" s="152" t="s">
        <v>1878</v>
      </c>
      <c r="AC269" s="146" t="s">
        <v>1879</v>
      </c>
      <c r="AD269" s="26" t="s">
        <v>534</v>
      </c>
      <c r="AE269" s="568">
        <f ca="1">AE266-AE267</f>
        <v>472.91564139039997</v>
      </c>
      <c r="AF269" s="568">
        <f ca="1">AF266-AF267</f>
        <v>474.08150000000001</v>
      </c>
      <c r="AG269" s="568">
        <f ca="1">AG266-AG267</f>
        <v>474.08150000000001</v>
      </c>
      <c r="AH269" s="568">
        <f t="shared" ca="1" si="17"/>
        <v>0</v>
      </c>
      <c r="AI269" s="568">
        <f ca="1">AI266-AI267</f>
        <v>474.98349999999999</v>
      </c>
      <c r="AJ269" s="568">
        <f ca="1">AJ266-AJ267</f>
        <v>234.73424999999997</v>
      </c>
      <c r="AK269" s="568">
        <f ca="1">AK266-AK267</f>
        <v>237.04075</v>
      </c>
      <c r="AL269" s="552"/>
      <c r="AM269" s="215"/>
      <c r="AN269" s="215"/>
      <c r="AO269" s="215"/>
      <c r="AR269" s="703" t="s">
        <v>1880</v>
      </c>
    </row>
    <row r="270" spans="1:48" ht="14.25" customHeight="1">
      <c r="E270" s="515">
        <v>15</v>
      </c>
      <c r="F270" s="3" t="str" cm="1">
        <f t="array" aca="1" ref="F270" ca="1">OFFSET(E270,-1,1)</f>
        <v>2</v>
      </c>
      <c r="G270" s="91" t="s">
        <v>1626</v>
      </c>
      <c r="I270" s="57" t="s">
        <v>1881</v>
      </c>
      <c r="J270" s="57"/>
      <c r="K270" s="57"/>
      <c r="L270" s="57"/>
      <c r="M270" s="57"/>
      <c r="N270" s="57"/>
      <c r="O270" s="57"/>
      <c r="P270" s="57"/>
      <c r="Q270" s="57"/>
      <c r="R270" s="57"/>
      <c r="S270" s="57"/>
      <c r="T270" s="365" t="b" cm="1">
        <f t="array" aca="1" ref="T270" ca="1">T269</f>
        <v>1</v>
      </c>
      <c r="X270" s="1123"/>
      <c r="Z270" s="1184"/>
      <c r="AB270" s="152" t="s">
        <v>1882</v>
      </c>
      <c r="AC270" s="146" t="s">
        <v>1883</v>
      </c>
      <c r="AD270" s="26" t="s">
        <v>1624</v>
      </c>
      <c r="AE270" s="147">
        <f ca="1">IF(AE269=0,0,(AE263-AE267*AE268)/AE269)</f>
        <v>11.166106943857313</v>
      </c>
      <c r="AF270" s="147">
        <f ca="1">IF(AF269=0,0,(AF263-AF267*AF268)/AF269)</f>
        <v>11.640668239532655</v>
      </c>
      <c r="AG270" s="147">
        <f ca="1">IF(AG269=0,0,(AG263-AG267*AG268)/AG269)</f>
        <v>10.421299839795477</v>
      </c>
      <c r="AH270" s="190">
        <f t="shared" ca="1" si="17"/>
        <v>-1.2193683997371778</v>
      </c>
      <c r="AI270" s="147">
        <f ca="1">IF(AI269=0,0,(AI263-AI267*AI268)/AI269)</f>
        <v>12.092434310395623</v>
      </c>
      <c r="AJ270" s="147">
        <f ca="1">IF(AJ269=0,0,(AJ263-AJ267*AJ268)/AJ269)</f>
        <v>29.362908054534014</v>
      </c>
      <c r="AK270" s="147">
        <f ca="1">IF(AK269=0,0,(AK263-AK267*AK268)/AK269)</f>
        <v>28.379543390746107</v>
      </c>
      <c r="AL270" s="552"/>
      <c r="AM270" s="215"/>
      <c r="AN270" s="215"/>
      <c r="AO270" s="215"/>
      <c r="AR270" s="703" t="s">
        <v>1884</v>
      </c>
    </row>
    <row r="271" spans="1:48" ht="14.25" customHeight="1">
      <c r="E271" s="515">
        <v>15</v>
      </c>
      <c r="F271" s="3" t="str" cm="1">
        <f t="array" aca="1" ref="F271" ca="1">OFFSET(E271,-1,1)</f>
        <v>2</v>
      </c>
      <c r="G271" s="91"/>
      <c r="I271" s="57" t="s">
        <v>1885</v>
      </c>
      <c r="J271" s="57"/>
      <c r="K271" s="57"/>
      <c r="L271" s="57"/>
      <c r="M271" s="57"/>
      <c r="N271" s="57"/>
      <c r="O271" s="57"/>
      <c r="P271" s="57"/>
      <c r="Q271" s="57"/>
      <c r="R271" s="57"/>
      <c r="S271" s="57"/>
      <c r="T271" s="365" t="b" cm="1">
        <f t="array" aca="1" ref="T271" ca="1">T270</f>
        <v>1</v>
      </c>
      <c r="X271" s="1123"/>
      <c r="Z271" s="1184"/>
      <c r="AB271" s="152" t="s">
        <v>1886</v>
      </c>
      <c r="AC271" s="146" t="s">
        <v>1887</v>
      </c>
      <c r="AD271" s="26" t="s">
        <v>456</v>
      </c>
      <c r="AE271" s="190">
        <f>IF(AE268=0,0,AE270/AE268*100)</f>
        <v>0</v>
      </c>
      <c r="AF271" s="190">
        <f>IF(AF268=0,0,AF270/AF268*100)</f>
        <v>0</v>
      </c>
      <c r="AG271" s="190">
        <f>IF(AG268=0,0,AG270/AG268*100)</f>
        <v>0</v>
      </c>
      <c r="AH271" s="552"/>
      <c r="AI271" s="190">
        <f>IF(AI268=0,0,AI270/AI268*100)</f>
        <v>0</v>
      </c>
      <c r="AJ271" s="190">
        <f>IF(AJ268=0,0,AJ270/AJ268*100)</f>
        <v>0</v>
      </c>
      <c r="AK271" s="190">
        <f>IF(AK268=0,0,AK270/AK268*100)</f>
        <v>0</v>
      </c>
      <c r="AL271" s="552"/>
      <c r="AM271" s="215"/>
      <c r="AN271" s="215"/>
      <c r="AO271" s="215"/>
      <c r="AR271" s="703" t="s">
        <v>1888</v>
      </c>
    </row>
    <row r="272" spans="1:48" ht="14.25" customHeight="1">
      <c r="E272" s="515">
        <v>15</v>
      </c>
      <c r="F272" s="3" t="str" cm="1">
        <f t="array" aca="1" ref="F272" ca="1">OFFSET(E272,-1,1)</f>
        <v>2</v>
      </c>
      <c r="G272" s="91"/>
      <c r="I272" s="57" t="s">
        <v>1889</v>
      </c>
      <c r="J272" s="57"/>
      <c r="K272" s="57"/>
      <c r="L272" s="57"/>
      <c r="M272" s="57"/>
      <c r="N272" s="57"/>
      <c r="O272" s="57"/>
      <c r="P272" s="57"/>
      <c r="Q272" s="57"/>
      <c r="R272" s="57"/>
      <c r="S272" s="57"/>
      <c r="T272" s="365" t="b" cm="1">
        <f t="array" aca="1" ref="T272" ca="1">T271</f>
        <v>1</v>
      </c>
      <c r="X272" s="1123"/>
      <c r="Z272" s="1184"/>
      <c r="AB272" s="152" t="s">
        <v>1890</v>
      </c>
      <c r="AC272" s="146" t="s">
        <v>1891</v>
      </c>
      <c r="AD272" s="26" t="s">
        <v>1624</v>
      </c>
      <c r="AE272" s="147">
        <f ca="1">IF(AE266=0,0,AE263/AE266)</f>
        <v>5.5830534719286566</v>
      </c>
      <c r="AF272" s="147">
        <f ca="1">IF(AF266=0,0,AF263/AF266)</f>
        <v>5.8203341197663274</v>
      </c>
      <c r="AG272" s="147">
        <f ca="1">IF(AG266=0,0,AG263/AG266)</f>
        <v>5.2106499198977385</v>
      </c>
      <c r="AH272" s="190">
        <f ca="1">AG272-AF272</f>
        <v>-0.60968419986858891</v>
      </c>
      <c r="AI272" s="147">
        <f ca="1">IF(AI266=0,0,AI263/AI266)</f>
        <v>6.0462171551978114</v>
      </c>
      <c r="AJ272" s="147">
        <f ca="1">IF(AJ266=0,0,AJ263/AJ266)</f>
        <v>7.3407270136335034</v>
      </c>
      <c r="AK272" s="147">
        <f ca="1">IF(AK266=0,0,AK263/AK266)</f>
        <v>7.0948858476865269</v>
      </c>
      <c r="AL272" s="552"/>
      <c r="AM272" s="215"/>
      <c r="AN272" s="215"/>
      <c r="AO272" s="215"/>
      <c r="AR272" s="703" t="s">
        <v>1892</v>
      </c>
    </row>
    <row r="273" spans="1:48" s="948" customFormat="1" ht="14.25" customHeight="1">
      <c r="A273" s="434"/>
      <c r="B273" s="434"/>
      <c r="C273" s="434"/>
      <c r="D273" s="434"/>
      <c r="E273" s="516">
        <v>15</v>
      </c>
      <c r="F273" s="3" t="str" cm="1">
        <f t="array" aca="1" ref="F273" ca="1">OFFSET(E273,-1,1)</f>
        <v>2</v>
      </c>
      <c r="G273" s="95"/>
      <c r="H273" s="434"/>
      <c r="I273" s="173" t="s">
        <v>1893</v>
      </c>
      <c r="J273" s="173"/>
      <c r="K273" s="173"/>
      <c r="L273" s="173"/>
      <c r="M273" s="173"/>
      <c r="N273" s="173"/>
      <c r="O273" s="173"/>
      <c r="P273" s="173"/>
      <c r="Q273" s="173"/>
      <c r="R273" s="173"/>
      <c r="S273" s="173"/>
      <c r="T273" s="365" t="b" cm="1">
        <f t="array" aca="1" ref="T273" ca="1">T272</f>
        <v>1</v>
      </c>
      <c r="U273" s="434"/>
      <c r="V273" s="434"/>
      <c r="W273" s="434"/>
      <c r="X273" s="1123"/>
      <c r="Y273" s="434"/>
      <c r="Z273" s="1184"/>
      <c r="AA273" s="434"/>
      <c r="AB273" s="150" t="s">
        <v>1894</v>
      </c>
      <c r="AC273" s="144" t="s">
        <v>1895</v>
      </c>
      <c r="AD273" s="143" t="s">
        <v>804</v>
      </c>
      <c r="AE273" s="157">
        <f ca="1">IF(AE266=0,0,AE263/AE266*AE274)</f>
        <v>3352.3862261870363</v>
      </c>
      <c r="AF273" s="157">
        <f ca="1">IF(AF266=0,0,AF263/AF266*AF274)</f>
        <v>3475.7929499761754</v>
      </c>
      <c r="AG273" s="157">
        <f ca="1">IF(AG266=0,0,AG263/AG266*AG274)</f>
        <v>3111.7011298144516</v>
      </c>
      <c r="AH273" s="145">
        <f ca="1">AH275*AH276+AH277*AH278</f>
        <v>0</v>
      </c>
      <c r="AI273" s="157">
        <f ca="1">IF(AI266=0,0,AI263/AI266*AI274)</f>
        <v>3697.7031642557909</v>
      </c>
      <c r="AJ273" s="157">
        <f ca="1">IF(AJ266=0,0,AJ263/AJ266*AJ274)</f>
        <v>4407.7909204253328</v>
      </c>
      <c r="AK273" s="157">
        <f ca="1">IF(AK266=0,0,AK263/AK266*AK274)</f>
        <v>4236.931025407288</v>
      </c>
      <c r="AL273" s="145">
        <f ca="1">IF(AI273=0,0,(AK273-AI273)/AI273*100)</f>
        <v>14.582778476217234</v>
      </c>
      <c r="AM273" s="566"/>
      <c r="AN273" s="566"/>
      <c r="AO273" s="566"/>
      <c r="AP273" s="434"/>
      <c r="AQ273" s="434"/>
      <c r="AR273" s="704" t="s">
        <v>1896</v>
      </c>
      <c r="AS273" s="704"/>
      <c r="AT273" s="704"/>
      <c r="AU273" s="516"/>
      <c r="AV273" s="516"/>
    </row>
    <row r="274" spans="1:48" s="948" customFormat="1" ht="14.25" customHeight="1">
      <c r="A274" s="434"/>
      <c r="B274" s="434"/>
      <c r="C274" s="434"/>
      <c r="D274" s="434"/>
      <c r="E274" s="516">
        <v>15</v>
      </c>
      <c r="F274" s="3" t="str" cm="1">
        <f t="array" aca="1" ref="F274" ca="1">OFFSET(E274,-1,1)</f>
        <v>2</v>
      </c>
      <c r="G274" s="91" t="s">
        <v>1646</v>
      </c>
      <c r="H274" s="434"/>
      <c r="I274" s="173" t="s">
        <v>1897</v>
      </c>
      <c r="J274" s="173"/>
      <c r="K274" s="173"/>
      <c r="L274" s="173"/>
      <c r="M274" s="173"/>
      <c r="N274" s="173"/>
      <c r="O274" s="173"/>
      <c r="P274" s="173"/>
      <c r="Q274" s="173"/>
      <c r="R274" s="173"/>
      <c r="S274" s="173"/>
      <c r="T274" s="365" t="b" cm="1">
        <f t="array" aca="1" ref="T274" ca="1">T273</f>
        <v>1</v>
      </c>
      <c r="U274" s="434"/>
      <c r="V274" s="434"/>
      <c r="W274" s="434"/>
      <c r="X274" s="1123"/>
      <c r="Y274" s="434"/>
      <c r="Z274" s="1184"/>
      <c r="AA274" s="434"/>
      <c r="AB274" s="150" t="s">
        <v>1898</v>
      </c>
      <c r="AC274" s="144" t="s">
        <v>1899</v>
      </c>
      <c r="AD274" s="143" t="s">
        <v>534</v>
      </c>
      <c r="AE274" s="562">
        <f ca="1">SUMIFS(Баланс!AE$26:AE$300,Баланс!$F$26:$F$300,$F274,Баланс!$G$26:$G$300,"население")</f>
        <v>600.45748138409999</v>
      </c>
      <c r="AF274" s="562">
        <f ca="1">SUMIFS(Баланс!AF$26:AF$300,Баланс!$F$26:$F$300,$F274,Баланс!$G$26:$G$300,"население")</f>
        <v>597.18100000000004</v>
      </c>
      <c r="AG274" s="562">
        <f ca="1">SUMIFS(Баланс!AG$26:AG$300,Баланс!$F$26:$F$300,$F274,Баланс!$G$26:$G$300,"население")</f>
        <v>597.18100000000004</v>
      </c>
      <c r="AH274" s="562">
        <f t="shared" ref="AH274:AH281" ca="1" si="18">AG274-AF274</f>
        <v>0</v>
      </c>
      <c r="AI274" s="562">
        <f ca="1">SUMIFS(Баланс!AH$26:AH$300,Баланс!$F$26:$F$300,$F274,Баланс!$G$26:$G$300,"население")</f>
        <v>611.57299999999998</v>
      </c>
      <c r="AJ274" s="562">
        <f ca="1">SUMIFS(Баланс!AI$26:AI$300,Баланс!$F$26:$F$300,$F274,Баланс!$G$26:$G$300,"население")</f>
        <v>600.45699999999999</v>
      </c>
      <c r="AK274" s="562">
        <f ca="1">SUMIFS(Баланс!AS$26:AS$300,Баланс!$F$26:$F$300,$F274,Баланс!$G$26:$G$300,"население")</f>
        <v>597.18100000000004</v>
      </c>
      <c r="AL274" s="148"/>
      <c r="AM274" s="566"/>
      <c r="AN274" s="566"/>
      <c r="AO274" s="566"/>
      <c r="AP274" s="434"/>
      <c r="AQ274" s="434"/>
      <c r="AR274" s="704" t="s">
        <v>1900</v>
      </c>
      <c r="AS274" s="704"/>
      <c r="AT274" s="704"/>
      <c r="AU274" s="516"/>
      <c r="AV274" s="516"/>
    </row>
    <row r="275" spans="1:48" ht="14.25" customHeight="1">
      <c r="E275" s="515">
        <v>15</v>
      </c>
      <c r="F275" s="3" t="str" cm="1">
        <f t="array" aca="1" ref="F275" ca="1">OFFSET(E275,-1,1)</f>
        <v>2</v>
      </c>
      <c r="G275" s="91" t="s">
        <v>1680</v>
      </c>
      <c r="I275" s="57" t="s">
        <v>1901</v>
      </c>
      <c r="J275" s="57"/>
      <c r="K275" s="57"/>
      <c r="L275" s="57"/>
      <c r="M275" s="57"/>
      <c r="N275" s="57"/>
      <c r="O275" s="57"/>
      <c r="P275" s="57"/>
      <c r="Q275" s="57"/>
      <c r="R275" s="57"/>
      <c r="S275" s="57"/>
      <c r="T275" s="365" t="b" cm="1">
        <f t="array" aca="1" ref="T275" ca="1">T274</f>
        <v>1</v>
      </c>
      <c r="X275" s="1123"/>
      <c r="Z275" s="1184"/>
      <c r="AB275" s="152" t="s">
        <v>1902</v>
      </c>
      <c r="AC275" s="146" t="s">
        <v>1903</v>
      </c>
      <c r="AD275" s="26" t="s">
        <v>534</v>
      </c>
      <c r="AE275" s="455">
        <f ca="1">IF(AE$24="2026 год",AE274/12*9,AE274/2)</f>
        <v>300.22874069205</v>
      </c>
      <c r="AF275" s="455">
        <f ca="1">IF(AF$24="2026 год",AF274/12*9,AF274/2)</f>
        <v>298.59050000000002</v>
      </c>
      <c r="AG275" s="455">
        <f ca="1">IF(AG$24="2026 год",AG274/12*9,AG274/2)</f>
        <v>298.59050000000002</v>
      </c>
      <c r="AH275" s="568">
        <f t="shared" ca="1" si="18"/>
        <v>0</v>
      </c>
      <c r="AI275" s="455">
        <f ca="1">IF(AI$24="2026 год",AI274/12*9,AI274/2)</f>
        <v>305.78649999999999</v>
      </c>
      <c r="AJ275" s="455">
        <f ca="1">IF(AJ$24="2026 год",AJ274/12*9,AJ274/2)</f>
        <v>450.34275000000002</v>
      </c>
      <c r="AK275" s="455">
        <f ca="1">IF(AK$24="2026 год",AK274/12*9,AK274/2)</f>
        <v>447.88575000000003</v>
      </c>
      <c r="AL275" s="552"/>
      <c r="AM275" s="215"/>
      <c r="AN275" s="215"/>
      <c r="AO275" s="215"/>
      <c r="AR275" s="703" t="s">
        <v>1904</v>
      </c>
    </row>
    <row r="276" spans="1:48" ht="14.25" customHeight="1">
      <c r="E276" s="515">
        <v>15</v>
      </c>
      <c r="F276" s="3" t="str" cm="1">
        <f t="array" aca="1" ref="F276" ca="1">OFFSET(E276,-1,1)</f>
        <v>2</v>
      </c>
      <c r="G276" s="91" t="s">
        <v>1636</v>
      </c>
      <c r="I276" s="57" t="s">
        <v>1905</v>
      </c>
      <c r="J276" s="57"/>
      <c r="K276" s="57"/>
      <c r="L276" s="57"/>
      <c r="M276" s="57"/>
      <c r="N276" s="57"/>
      <c r="O276" s="57"/>
      <c r="P276" s="57"/>
      <c r="Q276" s="57"/>
      <c r="R276" s="57"/>
      <c r="S276" s="57"/>
      <c r="T276" s="365" t="b" cm="1">
        <f t="array" aca="1" ref="T276" ca="1">T275</f>
        <v>1</v>
      </c>
      <c r="X276" s="1123"/>
      <c r="Z276" s="1184"/>
      <c r="AB276" s="152" t="s">
        <v>1906</v>
      </c>
      <c r="AC276" s="146" t="s">
        <v>1907</v>
      </c>
      <c r="AD276" s="26" t="s">
        <v>1624</v>
      </c>
      <c r="AE276" s="147">
        <f ca="1">IF(AE274=0,0,AE268*(1+Сценарии!AE$26/100))</f>
        <v>0</v>
      </c>
      <c r="AF276" s="147">
        <f ca="1">IF(AF274=0,0,AF268*(1+Сценарии!AF$26/100))</f>
        <v>0</v>
      </c>
      <c r="AG276" s="147">
        <f ca="1">IF(AG274=0,0,AG268*(1+Сценарии!AG$26/100))</f>
        <v>0</v>
      </c>
      <c r="AH276" s="190">
        <f t="shared" ca="1" si="18"/>
        <v>0</v>
      </c>
      <c r="AI276" s="147">
        <f ca="1">IF(AI274=0,0,AI268*(1+Сценарии!AI$26/100))</f>
        <v>0</v>
      </c>
      <c r="AJ276" s="147">
        <f ca="1">IF(AJ274=0,0,AJ268*(1+Сценарии!AJ$26/100))</f>
        <v>0</v>
      </c>
      <c r="AK276" s="147">
        <f ca="1">IF(AK274=0,0,AK268*(1+Сценарии!AK$26/100))</f>
        <v>0</v>
      </c>
      <c r="AL276" s="552"/>
      <c r="AM276" s="215"/>
      <c r="AN276" s="215"/>
      <c r="AO276" s="215"/>
      <c r="AR276" s="703" t="s">
        <v>1908</v>
      </c>
    </row>
    <row r="277" spans="1:48" ht="14.25" customHeight="1">
      <c r="E277" s="515">
        <v>15</v>
      </c>
      <c r="F277" s="3" t="str" cm="1">
        <f t="array" aca="1" ref="F277" ca="1">OFFSET(E277,-1,1)</f>
        <v>2</v>
      </c>
      <c r="G277" s="91" t="s">
        <v>1687</v>
      </c>
      <c r="I277" s="57" t="s">
        <v>1909</v>
      </c>
      <c r="J277" s="57"/>
      <c r="K277" s="57"/>
      <c r="L277" s="57"/>
      <c r="M277" s="57"/>
      <c r="N277" s="57"/>
      <c r="O277" s="57"/>
      <c r="P277" s="57"/>
      <c r="Q277" s="57"/>
      <c r="R277" s="57"/>
      <c r="S277" s="57"/>
      <c r="T277" s="365" t="b" cm="1">
        <f t="array" aca="1" ref="T277" ca="1">T276</f>
        <v>1</v>
      </c>
      <c r="X277" s="1123"/>
      <c r="Z277" s="1184"/>
      <c r="AB277" s="152" t="s">
        <v>1910</v>
      </c>
      <c r="AC277" s="146" t="s">
        <v>1879</v>
      </c>
      <c r="AD277" s="26" t="s">
        <v>534</v>
      </c>
      <c r="AE277" s="568">
        <f ca="1">AE274-AE275</f>
        <v>300.22874069205</v>
      </c>
      <c r="AF277" s="568">
        <f ca="1">AF274-AF275</f>
        <v>298.59050000000002</v>
      </c>
      <c r="AG277" s="568">
        <f ca="1">AG274-AG275</f>
        <v>298.59050000000002</v>
      </c>
      <c r="AH277" s="568">
        <f t="shared" ca="1" si="18"/>
        <v>0</v>
      </c>
      <c r="AI277" s="568">
        <f ca="1">AI274-AI275</f>
        <v>305.78649999999999</v>
      </c>
      <c r="AJ277" s="568">
        <f ca="1">AJ274-AJ275</f>
        <v>150.11424999999997</v>
      </c>
      <c r="AK277" s="568">
        <f ca="1">AK274-AK275</f>
        <v>149.29525000000001</v>
      </c>
      <c r="AL277" s="552"/>
      <c r="AM277" s="215"/>
      <c r="AN277" s="215"/>
      <c r="AO277" s="215"/>
      <c r="AR277" s="703" t="s">
        <v>1911</v>
      </c>
    </row>
    <row r="278" spans="1:48" ht="14.25" customHeight="1">
      <c r="E278" s="515">
        <v>15</v>
      </c>
      <c r="F278" s="3" t="str" cm="1">
        <f t="array" aca="1" ref="F278" ca="1">OFFSET(E278,-1,1)</f>
        <v>2</v>
      </c>
      <c r="G278" s="91" t="s">
        <v>1640</v>
      </c>
      <c r="I278" s="57" t="s">
        <v>1912</v>
      </c>
      <c r="J278" s="57"/>
      <c r="K278" s="57"/>
      <c r="L278" s="57"/>
      <c r="M278" s="57"/>
      <c r="N278" s="57"/>
      <c r="O278" s="57"/>
      <c r="P278" s="57"/>
      <c r="Q278" s="57"/>
      <c r="R278" s="57"/>
      <c r="S278" s="57"/>
      <c r="T278" s="365" t="b" cm="1">
        <f t="array" aca="1" ref="T278" ca="1">T277</f>
        <v>1</v>
      </c>
      <c r="X278" s="1123"/>
      <c r="Z278" s="1184"/>
      <c r="AB278" s="152" t="s">
        <v>1913</v>
      </c>
      <c r="AC278" s="146" t="s">
        <v>1914</v>
      </c>
      <c r="AD278" s="26" t="s">
        <v>1624</v>
      </c>
      <c r="AE278" s="147">
        <f ca="1">IF(AE274=0,0,AE270*(1+Сценарии!AE$26/100))</f>
        <v>11.166106943857313</v>
      </c>
      <c r="AF278" s="147">
        <f ca="1">IF(AF274=0,0,AF270*(1+Сценарии!AF$26/100))</f>
        <v>11.640668239532655</v>
      </c>
      <c r="AG278" s="147">
        <f ca="1">IF(AG274=0,0,AG270*(1+Сценарии!AG$26/100))</f>
        <v>10.421299839795477</v>
      </c>
      <c r="AH278" s="190">
        <f t="shared" ca="1" si="18"/>
        <v>-1.2193683997371778</v>
      </c>
      <c r="AI278" s="147">
        <f ca="1">IF(AI274=0,0,AI270*(1+Сценарии!AI$26/100))</f>
        <v>12.697056025915405</v>
      </c>
      <c r="AJ278" s="147">
        <f ca="1">IF(AJ274=0,0,AJ270*(1+Сценарии!AJ$26/100))</f>
        <v>29.362908054534014</v>
      </c>
      <c r="AK278" s="147">
        <f ca="1">IF(AK274=0,0,AK270*(1+Сценарии!AK$26/100))</f>
        <v>29.798520560283414</v>
      </c>
      <c r="AL278" s="552"/>
      <c r="AM278" s="215"/>
      <c r="AN278" s="215"/>
      <c r="AO278" s="215"/>
      <c r="AR278" s="703" t="s">
        <v>1915</v>
      </c>
    </row>
    <row r="279" spans="1:48" ht="14.25" customHeight="1">
      <c r="E279" s="515">
        <v>15</v>
      </c>
      <c r="F279" s="3" t="str" cm="1">
        <f t="array" aca="1" ref="F279" ca="1">OFFSET(E279,-1,1)</f>
        <v>2</v>
      </c>
      <c r="G279" s="91"/>
      <c r="I279" s="57"/>
      <c r="J279" s="57"/>
      <c r="K279" s="57"/>
      <c r="L279" s="57"/>
      <c r="M279" s="57"/>
      <c r="N279" s="57"/>
      <c r="O279" s="57"/>
      <c r="P279" s="57"/>
      <c r="Q279" s="57"/>
      <c r="R279" s="57"/>
      <c r="S279" s="57"/>
      <c r="T279" s="365" t="b" cm="1">
        <f t="array" aca="1" ref="T279" ca="1">T278</f>
        <v>1</v>
      </c>
      <c r="X279" s="1123"/>
      <c r="Z279" s="1184"/>
      <c r="AB279" s="150" t="s">
        <v>1916</v>
      </c>
      <c r="AC279" s="144" t="s">
        <v>1917</v>
      </c>
      <c r="AD279" s="143" t="s">
        <v>804</v>
      </c>
      <c r="AE279" s="147"/>
      <c r="AF279" s="147"/>
      <c r="AG279" s="147"/>
      <c r="AH279" s="190">
        <f t="shared" si="18"/>
        <v>0</v>
      </c>
      <c r="AI279" s="147"/>
      <c r="AJ279" s="147"/>
      <c r="AK279" s="147"/>
      <c r="AL279" s="552"/>
      <c r="AM279" s="215"/>
      <c r="AN279" s="215"/>
      <c r="AO279" s="215"/>
      <c r="AR279" s="703" t="s">
        <v>1918</v>
      </c>
    </row>
    <row r="280" spans="1:48" ht="21.75" customHeight="1">
      <c r="E280" s="515">
        <v>22.5</v>
      </c>
      <c r="F280" s="3" t="str" cm="1">
        <f t="array" aca="1" ref="F280" ca="1">OFFSET(E280,-1,1)</f>
        <v>2</v>
      </c>
      <c r="G280" s="91"/>
      <c r="I280" s="57"/>
      <c r="J280" s="57"/>
      <c r="K280" s="57"/>
      <c r="L280" s="57"/>
      <c r="M280" s="57"/>
      <c r="N280" s="57"/>
      <c r="O280" s="57"/>
      <c r="P280" s="57"/>
      <c r="Q280" s="57"/>
      <c r="R280" s="57"/>
      <c r="S280" s="57"/>
      <c r="T280" s="365" t="b" cm="1">
        <f t="array" aca="1" ref="T280" ca="1">T279</f>
        <v>1</v>
      </c>
      <c r="X280" s="1123"/>
      <c r="Z280" s="1184"/>
      <c r="AB280" s="152" t="s">
        <v>1919</v>
      </c>
      <c r="AC280" s="146" t="s">
        <v>1920</v>
      </c>
      <c r="AD280" s="26" t="s">
        <v>804</v>
      </c>
      <c r="AE280" s="147"/>
      <c r="AF280" s="147"/>
      <c r="AG280" s="147"/>
      <c r="AH280" s="190">
        <f t="shared" si="18"/>
        <v>0</v>
      </c>
      <c r="AI280" s="147"/>
      <c r="AJ280" s="147"/>
      <c r="AK280" s="147"/>
      <c r="AL280" s="552"/>
      <c r="AM280" s="215"/>
      <c r="AN280" s="215"/>
      <c r="AO280" s="215"/>
      <c r="AR280" s="703" t="s">
        <v>1921</v>
      </c>
    </row>
    <row r="281" spans="1:48" ht="69.75" customHeight="1">
      <c r="E281" s="515">
        <v>72</v>
      </c>
      <c r="F281" s="3" t="str" cm="1">
        <f t="array" aca="1" ref="F281" ca="1">OFFSET(E281,-1,1)</f>
        <v>2</v>
      </c>
      <c r="G281" s="91"/>
      <c r="I281" s="57"/>
      <c r="J281" s="57"/>
      <c r="K281" s="57"/>
      <c r="L281" s="57"/>
      <c r="M281" s="57"/>
      <c r="N281" s="57"/>
      <c r="O281" s="57"/>
      <c r="P281" s="57"/>
      <c r="Q281" s="57"/>
      <c r="R281" s="57"/>
      <c r="S281" s="57"/>
      <c r="T281" s="365" t="b" cm="1">
        <f t="array" aca="1" ref="T281" ca="1">T280</f>
        <v>1</v>
      </c>
      <c r="X281" s="1123"/>
      <c r="Z281" s="1184"/>
      <c r="AB281" s="152" t="s">
        <v>1922</v>
      </c>
      <c r="AC281" s="146" t="s">
        <v>1923</v>
      </c>
      <c r="AD281" s="26" t="s">
        <v>804</v>
      </c>
      <c r="AE281" s="147"/>
      <c r="AF281" s="147"/>
      <c r="AG281" s="147"/>
      <c r="AH281" s="190">
        <f t="shared" si="18"/>
        <v>0</v>
      </c>
      <c r="AI281" s="147"/>
      <c r="AJ281" s="147"/>
      <c r="AK281" s="147"/>
      <c r="AL281" s="552"/>
      <c r="AM281" s="215"/>
      <c r="AN281" s="215"/>
      <c r="AO281" s="215"/>
      <c r="AR281" s="703" t="s">
        <v>1924</v>
      </c>
    </row>
    <row r="282" spans="1:48" ht="10.7" customHeight="1">
      <c r="E282" s="515">
        <v>11</v>
      </c>
      <c r="U282" s="291" t="s">
        <v>177</v>
      </c>
      <c r="V282" s="524" t="s">
        <v>1925</v>
      </c>
      <c r="AB282" s="435"/>
      <c r="AC282" s="90"/>
      <c r="AD282" s="435"/>
      <c r="AE282" s="91"/>
      <c r="AF282" s="91"/>
      <c r="AG282" s="91"/>
      <c r="AH282" s="91"/>
      <c r="AI282" s="91"/>
      <c r="AJ282" s="91"/>
      <c r="AK282" s="91"/>
      <c r="AL282" s="91"/>
      <c r="AM282" s="91"/>
      <c r="AN282" s="91"/>
      <c r="AO282" s="91"/>
    </row>
    <row r="283" spans="1:48" ht="14.65" customHeight="1">
      <c r="E283" s="515">
        <v>15</v>
      </c>
      <c r="AB283" s="1088" t="s">
        <v>398</v>
      </c>
      <c r="AC283" s="1088"/>
      <c r="AD283" s="1088"/>
      <c r="AE283" s="1088"/>
      <c r="AF283" s="1088"/>
      <c r="AG283" s="1088"/>
      <c r="AH283" s="1088"/>
      <c r="AI283" s="1088"/>
      <c r="AJ283" s="1088"/>
      <c r="AK283" s="1088"/>
      <c r="AL283" s="1088"/>
      <c r="AM283" s="1088"/>
      <c r="AN283" s="1088"/>
      <c r="AO283" s="1088"/>
    </row>
    <row r="284" spans="1:48" ht="14.65" customHeight="1">
      <c r="E284" s="515">
        <v>15</v>
      </c>
      <c r="AA284" s="492"/>
      <c r="AB284" s="1158"/>
      <c r="AC284" s="1164"/>
      <c r="AD284" s="1164"/>
      <c r="AE284" s="1164"/>
      <c r="AF284" s="1164"/>
      <c r="AG284" s="1164"/>
      <c r="AH284" s="1164"/>
      <c r="AI284" s="1164"/>
      <c r="AJ284" s="1164"/>
      <c r="AK284" s="1164"/>
      <c r="AL284" s="1164"/>
      <c r="AM284" s="1164"/>
      <c r="AN284" s="1164"/>
      <c r="AO284" s="1164"/>
    </row>
    <row r="285" spans="1:48" ht="14.65" hidden="1" customHeight="1">
      <c r="E285" s="515">
        <v>15</v>
      </c>
      <c r="T285" s="365" t="b">
        <f>ROW(W285)&gt;ROW(W$285)</f>
        <v>0</v>
      </c>
      <c r="W285" s="528" t="s">
        <v>173</v>
      </c>
      <c r="X285" s="57"/>
      <c r="Y285" s="57"/>
      <c r="Z285" s="57"/>
      <c r="AA285" s="493" t="s">
        <v>174</v>
      </c>
      <c r="AB285" s="1113"/>
      <c r="AC285" s="1114"/>
      <c r="AD285" s="1114"/>
      <c r="AE285" s="1115"/>
      <c r="AF285" s="1115"/>
      <c r="AG285" s="1115"/>
      <c r="AH285" s="1115"/>
      <c r="AI285" s="1115"/>
      <c r="AJ285" s="1114"/>
      <c r="AK285" s="1114"/>
      <c r="AL285" s="1114"/>
      <c r="AM285" s="1114"/>
      <c r="AN285" s="1114"/>
      <c r="AO285" s="1116"/>
    </row>
    <row r="286" spans="1:48" ht="14.65" customHeight="1">
      <c r="E286" s="515">
        <v>15</v>
      </c>
      <c r="W286" s="517" t="s">
        <v>399</v>
      </c>
      <c r="X286" s="57"/>
      <c r="Y286" s="57"/>
      <c r="Z286" s="57"/>
      <c r="AA286" s="57"/>
      <c r="AB286" s="496"/>
      <c r="AC286" s="497" t="s">
        <v>400</v>
      </c>
      <c r="AD286" s="231"/>
      <c r="AE286" s="231"/>
      <c r="AF286" s="231"/>
      <c r="AG286" s="231"/>
      <c r="AH286" s="231"/>
      <c r="AI286" s="231"/>
      <c r="AJ286" s="231"/>
      <c r="AK286" s="231"/>
      <c r="AL286" s="231"/>
      <c r="AM286" s="231"/>
      <c r="AN286" s="231"/>
      <c r="AO286" s="206"/>
    </row>
    <row r="287" spans="1:48" ht="10.7" customHeight="1">
      <c r="E287" s="515">
        <v>11</v>
      </c>
    </row>
  </sheetData>
  <sheetProtection formatColumns="0" formatRows="0" insertRows="0" deleteColumns="0" deleteRows="0" sort="0" autoFilter="0"/>
  <mergeCells count="16">
    <mergeCell ref="X27:X111"/>
    <mergeCell ref="Z27:Z111"/>
    <mergeCell ref="AB285:AO285"/>
    <mergeCell ref="AO24:AO25"/>
    <mergeCell ref="AB283:AO283"/>
    <mergeCell ref="AB284:AO284"/>
    <mergeCell ref="AB24:AB25"/>
    <mergeCell ref="AC24:AC25"/>
    <mergeCell ref="AD24:AD25"/>
    <mergeCell ref="AL24:AL25"/>
    <mergeCell ref="AM24:AM25"/>
    <mergeCell ref="AN24:AN25"/>
    <mergeCell ref="X112:X196"/>
    <mergeCell ref="Z112:Z196"/>
    <mergeCell ref="X197:X281"/>
    <mergeCell ref="Z197:Z281"/>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F105:AF111 AF116:AF118 AF128:AF129 AF143 AF148 AF167:AF177 AF179:AF180 AF182:AF187 AF190:AF196 AF201:AF203 AF213:AF214 AF228 AF233 AF252:AF262 AF264:AF265 AF267:AF272 AF275:AF281 AE105:AE111 AE116:AE118 AE128:AE129 AE143 AE148 AE167:AE177 AE179:AE180 AE182:AE187 AE190:AE196 AE201:AE203 AE213:AE214 AE228 AE233 AE252:AE262 AE264:AE265 AE267:AE272 AE275:AE281 AE31:AG33 AE63:AG63 AI97:AK102 AE97:AG102 AI31:AK33 AE94:AG95 AI94:AK95 AK105:AK111 AK116:AK118 AK128:AK129 AK143 AK148 AK167:AK177 AK179:AK180 AK182:AK187 AK190:AK196 AK201:AK203 AK213:AK214 AK228 AK233 AK252:AK262 AK264:AK265 AK267:AK272 AK275:AK281 AJ105:AJ111 AJ116:AJ118 AJ128:AJ129 AJ143 AJ148 AJ167:AJ177 AJ179:AJ180 AJ182:AJ187 AJ190:AJ196 AJ201:AJ203 AJ213:AJ214 AJ228 AJ233 AJ252:AJ262 AJ264:AJ265 AJ267:AJ272 AJ275:AJ281 AI105:AI111 AI116:AI118 AI128:AI129 AI143 AI148 AI167:AI177 AI179:AI180 AI182:AI187 AI190:AI196 AI201:AI203 AI213:AI214 AI228 AI233 AI252:AI262 AI264:AI265 AI267:AI272 AI275:AI281" xr:uid="{00000000-0002-0000-1B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AM224 AN224 AO224" xr:uid="{00000000-0002-0000-1B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9918-B954-9DF8-ED17-E6D32345AAB8}">
  <sheetPr>
    <tabColor rgb="FF92D050"/>
    <outlinePr summaryBelow="0" summaryRight="0"/>
    <pageSetUpPr fitToPage="1"/>
  </sheetPr>
  <dimension ref="A1:BW46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cols>
    <col min="1" max="1" width="9.5703125" style="91" hidden="1" customWidth="1"/>
    <col min="2" max="2" width="8.5703125" style="341" hidden="1" customWidth="1"/>
    <col min="3" max="4" width="3.5703125" style="91" hidden="1" customWidth="1"/>
    <col min="5" max="5" width="3.5703125" style="518" hidden="1" customWidth="1"/>
    <col min="6" max="6" width="3.5703125" style="91" hidden="1" customWidth="1"/>
    <col min="7" max="7" width="5.42578125" style="91" hidden="1" customWidth="1"/>
    <col min="8" max="8" width="15.42578125" style="91" hidden="1" customWidth="1"/>
    <col min="9" max="10" width="3.5703125" style="91" hidden="1" customWidth="1"/>
    <col min="11" max="11" width="7.28515625" style="91" hidden="1" customWidth="1"/>
    <col min="12" max="12" width="6.5703125" style="91" hidden="1" customWidth="1"/>
    <col min="13" max="18" width="3.5703125" style="91" hidden="1" customWidth="1"/>
    <col min="19" max="19" width="6.7109375" style="91" hidden="1" customWidth="1"/>
    <col min="20" max="20" width="10.42578125" style="91" hidden="1" customWidth="1"/>
    <col min="21" max="21" width="5.85546875" style="91" hidden="1" customWidth="1"/>
    <col min="22" max="23" width="6.140625" style="91" hidden="1" customWidth="1"/>
    <col min="24" max="24" width="5.7109375" style="91" hidden="1" customWidth="1"/>
    <col min="25" max="25" width="5.5703125" style="91" hidden="1" customWidth="1"/>
    <col min="26" max="26" width="5.28515625" style="91" hidden="1" customWidth="1"/>
    <col min="27" max="27" width="3" style="91" customWidth="1"/>
    <col min="28" max="28" width="11" style="435" customWidth="1"/>
    <col min="29" max="29" width="75" style="90" customWidth="1"/>
    <col min="30" max="30" width="12" style="435" customWidth="1"/>
    <col min="31" max="33" width="12.5703125" style="91" customWidth="1"/>
    <col min="34" max="34" width="21" style="91" customWidth="1"/>
    <col min="35" max="36" width="12.5703125" style="91" customWidth="1"/>
    <col min="37" max="45" width="12.5703125" style="91" hidden="1" customWidth="1"/>
    <col min="46" max="46" width="12.5703125" style="91" customWidth="1"/>
    <col min="47" max="55" width="12.5703125" style="91" hidden="1" customWidth="1"/>
    <col min="56" max="56" width="12.5703125" style="91" customWidth="1"/>
    <col min="57" max="65" width="12.5703125" style="91" hidden="1" customWidth="1"/>
    <col min="66" max="67" width="20" style="91" customWidth="1"/>
    <col min="68" max="68" width="42" style="91" customWidth="1"/>
    <col min="69" max="69" width="3" style="91" customWidth="1"/>
    <col min="70" max="70" width="9.140625" style="91" hidden="1"/>
    <col min="71" max="73" width="9.140625" style="705" hidden="1"/>
    <col min="74" max="75" width="9.140625" style="518" hidden="1"/>
  </cols>
  <sheetData>
    <row r="1" spans="1:75" ht="11.25" hidden="1" customHeight="1">
      <c r="E1" s="91"/>
      <c r="F1" s="91" t="s">
        <v>315</v>
      </c>
      <c r="I1" s="91" t="s">
        <v>1926</v>
      </c>
      <c r="J1" s="91" t="s">
        <v>350</v>
      </c>
      <c r="K1" s="91" t="s">
        <v>1927</v>
      </c>
      <c r="L1" s="91" t="s">
        <v>1928</v>
      </c>
      <c r="M1" s="91" t="s">
        <v>1929</v>
      </c>
      <c r="R1" s="23"/>
      <c r="T1" s="365" t="s">
        <v>93</v>
      </c>
      <c r="U1" s="365" t="s">
        <v>98</v>
      </c>
      <c r="V1" s="365" t="s">
        <v>94</v>
      </c>
      <c r="W1" s="365" t="s">
        <v>95</v>
      </c>
      <c r="X1" s="365" t="s">
        <v>96</v>
      </c>
      <c r="Y1" s="367" t="s">
        <v>317</v>
      </c>
      <c r="Z1" s="365" t="s">
        <v>100</v>
      </c>
      <c r="AA1" s="366" t="s">
        <v>97</v>
      </c>
      <c r="AB1" s="327"/>
      <c r="AC1" s="366" t="s">
        <v>99</v>
      </c>
      <c r="AJ1" s="23"/>
      <c r="BS1" s="705" t="s">
        <v>318</v>
      </c>
      <c r="BT1" s="705" t="s">
        <v>319</v>
      </c>
      <c r="BU1" s="705" t="s">
        <v>320</v>
      </c>
      <c r="BV1" s="518" t="s">
        <v>323</v>
      </c>
      <c r="BW1" s="518" t="s">
        <v>324</v>
      </c>
    </row>
    <row r="2" spans="1:75" s="341" customFormat="1" ht="11.25" hidden="1" customHeight="1">
      <c r="B2" s="353" t="s">
        <v>19</v>
      </c>
      <c r="AC2" s="342"/>
      <c r="AF2" s="341" t="b" cm="1">
        <f t="array" ref="AF2">isOrgDeclare</f>
        <v>1</v>
      </c>
      <c r="AH2" s="341" t="b" cm="1">
        <f t="array" ref="AH2">isOrgDeclare</f>
        <v>1</v>
      </c>
      <c r="AJ2" s="354" t="b">
        <f t="shared" ref="AJ2:AS2" si="0">AND(AJ6&lt;=last_year_vis,isOrgDeclare)</f>
        <v>1</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si="0"/>
        <v>0</v>
      </c>
      <c r="AT2" s="354" t="b">
        <f t="shared" ref="AT2:BM2" si="1">AT6&lt;=last_year_vis</f>
        <v>1</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C2" s="354" t="b">
        <f t="shared" si="1"/>
        <v>0</v>
      </c>
      <c r="BD2" s="354" t="b">
        <f t="shared" si="1"/>
        <v>1</v>
      </c>
      <c r="BE2" s="354" t="b">
        <f t="shared" si="1"/>
        <v>0</v>
      </c>
      <c r="BF2" s="354" t="b">
        <f t="shared" si="1"/>
        <v>0</v>
      </c>
      <c r="BG2" s="354" t="b">
        <f t="shared" si="1"/>
        <v>0</v>
      </c>
      <c r="BH2" s="354" t="b">
        <f t="shared" si="1"/>
        <v>0</v>
      </c>
      <c r="BI2" s="354" t="b">
        <f t="shared" si="1"/>
        <v>0</v>
      </c>
      <c r="BJ2" s="354" t="b">
        <f t="shared" si="1"/>
        <v>0</v>
      </c>
      <c r="BK2" s="354" t="b">
        <f t="shared" si="1"/>
        <v>0</v>
      </c>
      <c r="BL2" s="354" t="b">
        <f t="shared" si="1"/>
        <v>0</v>
      </c>
      <c r="BM2" s="354" t="b">
        <f t="shared" si="1"/>
        <v>0</v>
      </c>
      <c r="BS2" s="706"/>
      <c r="BT2" s="706"/>
      <c r="BU2" s="706"/>
      <c r="BV2" s="463"/>
      <c r="BW2" s="463"/>
    </row>
    <row r="3" spans="1:75" ht="11.25" hidden="1" customHeight="1">
      <c r="E3" s="91"/>
    </row>
    <row r="4" spans="1:75" ht="11.25" hidden="1" customHeight="1">
      <c r="E4" s="91"/>
    </row>
    <row r="5" spans="1:75" s="518" customFormat="1" ht="11.25" hidden="1" customHeight="1">
      <c r="A5" s="91"/>
      <c r="B5" s="341"/>
      <c r="C5" s="91"/>
      <c r="D5" s="91"/>
      <c r="E5" s="518" t="s">
        <v>20</v>
      </c>
      <c r="AA5" s="518">
        <v>3</v>
      </c>
      <c r="AB5" s="523">
        <v>11</v>
      </c>
      <c r="AC5" s="519">
        <v>75</v>
      </c>
      <c r="AD5" s="523">
        <v>12</v>
      </c>
      <c r="AE5" s="518">
        <v>12.57</v>
      </c>
      <c r="AF5" s="518">
        <v>12.57</v>
      </c>
      <c r="AG5" s="518">
        <v>12.57</v>
      </c>
      <c r="AH5" s="518">
        <v>21</v>
      </c>
      <c r="AI5" s="518">
        <v>12.57</v>
      </c>
      <c r="AJ5" s="518">
        <v>12.57</v>
      </c>
      <c r="AK5" s="518">
        <v>12.57</v>
      </c>
      <c r="AL5" s="518">
        <v>12.57</v>
      </c>
      <c r="AM5" s="518">
        <v>12.57</v>
      </c>
      <c r="AN5" s="518">
        <v>12.57</v>
      </c>
      <c r="AO5" s="518">
        <v>12.57</v>
      </c>
      <c r="AP5" s="518">
        <v>12.57</v>
      </c>
      <c r="AQ5" s="518">
        <v>12.57</v>
      </c>
      <c r="AR5" s="518">
        <v>12.57</v>
      </c>
      <c r="AS5" s="518">
        <v>12.57</v>
      </c>
      <c r="AT5" s="518">
        <v>12.57</v>
      </c>
      <c r="AU5" s="518">
        <v>12.57</v>
      </c>
      <c r="AV5" s="518">
        <v>12.57</v>
      </c>
      <c r="AW5" s="518">
        <v>12.57</v>
      </c>
      <c r="AX5" s="518">
        <v>12.57</v>
      </c>
      <c r="AY5" s="518">
        <v>12.57</v>
      </c>
      <c r="AZ5" s="518">
        <v>12.57</v>
      </c>
      <c r="BA5" s="518">
        <v>12.57</v>
      </c>
      <c r="BB5" s="518">
        <v>12.57</v>
      </c>
      <c r="BC5" s="518">
        <v>12.57</v>
      </c>
      <c r="BD5" s="518">
        <v>12.57</v>
      </c>
      <c r="BE5" s="518">
        <v>12.57</v>
      </c>
      <c r="BF5" s="518">
        <v>12.57</v>
      </c>
      <c r="BG5" s="518">
        <v>12.57</v>
      </c>
      <c r="BH5" s="518">
        <v>12.57</v>
      </c>
      <c r="BI5" s="518">
        <v>12.57</v>
      </c>
      <c r="BJ5" s="518">
        <v>12.57</v>
      </c>
      <c r="BK5" s="518">
        <v>12.57</v>
      </c>
      <c r="BL5" s="518">
        <v>12.57</v>
      </c>
      <c r="BM5" s="518">
        <v>12.57</v>
      </c>
      <c r="BN5" s="518">
        <v>20</v>
      </c>
      <c r="BO5" s="518">
        <v>20</v>
      </c>
      <c r="BP5" s="518">
        <v>42</v>
      </c>
      <c r="BQ5" s="518">
        <v>3</v>
      </c>
      <c r="BS5" s="705"/>
      <c r="BT5" s="705"/>
      <c r="BU5" s="705"/>
    </row>
    <row r="6" spans="1:75" ht="11.25" hidden="1" customHeight="1">
      <c r="A6" s="91" t="s">
        <v>353</v>
      </c>
      <c r="AE6" s="91">
        <f>god-2</f>
        <v>2024</v>
      </c>
      <c r="AF6" s="91">
        <f>god-2</f>
        <v>2024</v>
      </c>
      <c r="AG6" s="91">
        <f>god-2</f>
        <v>2024</v>
      </c>
      <c r="AH6" s="91">
        <f>god-2</f>
        <v>2024</v>
      </c>
      <c r="AI6" s="36">
        <f>god-1</f>
        <v>2025</v>
      </c>
      <c r="AJ6" s="36" cm="1">
        <f t="array" ref="AJ6">god</f>
        <v>2026</v>
      </c>
      <c r="AK6" s="36">
        <f>god+1</f>
        <v>2027</v>
      </c>
      <c r="AL6" s="36">
        <f>god+2</f>
        <v>2028</v>
      </c>
      <c r="AM6" s="36">
        <f>god+3</f>
        <v>2029</v>
      </c>
      <c r="AN6" s="36">
        <f>god+4</f>
        <v>2030</v>
      </c>
      <c r="AO6" s="36">
        <f>god+5</f>
        <v>2031</v>
      </c>
      <c r="AP6" s="36">
        <f>god+6</f>
        <v>2032</v>
      </c>
      <c r="AQ6" s="36">
        <f>god+7</f>
        <v>2033</v>
      </c>
      <c r="AR6" s="36">
        <f>god+8</f>
        <v>2034</v>
      </c>
      <c r="AS6" s="36">
        <f>god+9</f>
        <v>2035</v>
      </c>
      <c r="AT6" s="36" cm="1">
        <f t="array" ref="AT6">god</f>
        <v>2026</v>
      </c>
      <c r="AU6" s="36">
        <f>god+1</f>
        <v>2027</v>
      </c>
      <c r="AV6" s="36">
        <f>god+2</f>
        <v>2028</v>
      </c>
      <c r="AW6" s="36">
        <f>god+3</f>
        <v>2029</v>
      </c>
      <c r="AX6" s="36">
        <f>god+4</f>
        <v>2030</v>
      </c>
      <c r="AY6" s="36">
        <f>god+5</f>
        <v>2031</v>
      </c>
      <c r="AZ6" s="36">
        <f>god+6</f>
        <v>2032</v>
      </c>
      <c r="BA6" s="36">
        <f>god+7</f>
        <v>2033</v>
      </c>
      <c r="BB6" s="36">
        <f>god+8</f>
        <v>2034</v>
      </c>
      <c r="BC6" s="36">
        <f>god+9</f>
        <v>2035</v>
      </c>
      <c r="BD6" s="36" cm="1">
        <f t="array" ref="BD6">god</f>
        <v>2026</v>
      </c>
      <c r="BE6" s="36">
        <f>god+1</f>
        <v>2027</v>
      </c>
      <c r="BF6" s="36">
        <f>god+2</f>
        <v>2028</v>
      </c>
      <c r="BG6" s="36">
        <f>god+3</f>
        <v>2029</v>
      </c>
      <c r="BH6" s="36">
        <f>god+4</f>
        <v>2030</v>
      </c>
      <c r="BI6" s="36">
        <f>god+5</f>
        <v>2031</v>
      </c>
      <c r="BJ6" s="36">
        <f>god+6</f>
        <v>2032</v>
      </c>
      <c r="BK6" s="36">
        <f>god+7</f>
        <v>2033</v>
      </c>
      <c r="BL6" s="36">
        <f>god+8</f>
        <v>2034</v>
      </c>
      <c r="BM6" s="36">
        <f>god+9</f>
        <v>2035</v>
      </c>
    </row>
    <row r="7" spans="1:75" ht="11.25" hidden="1" customHeight="1">
      <c r="A7" s="91" t="s">
        <v>354</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отклонение факта по данным организации к факту принятому органом регулирования</v>
      </c>
      <c r="AI7" s="36" t="str" cm="1">
        <f t="array" ref="AI7">AI25</f>
        <v>Принято органом регулирования</v>
      </c>
      <c r="AJ7" s="36" t="str" cm="1">
        <f t="array" ref="AJ7">$AJ$25</f>
        <v>Предложение организации</v>
      </c>
      <c r="AK7" s="36" t="str" cm="1">
        <f t="array" ref="AK7">$AJ$25</f>
        <v>Предложение организации</v>
      </c>
      <c r="AL7" s="36" t="str" cm="1">
        <f t="array" ref="AL7">$AJ$25</f>
        <v>Предложение организации</v>
      </c>
      <c r="AM7" s="36" t="str" cm="1">
        <f t="array" ref="AM7">$AJ$25</f>
        <v>Предложение организации</v>
      </c>
      <c r="AN7" s="36" t="str" cm="1">
        <f t="array" ref="AN7">$AJ$25</f>
        <v>Предложение организации</v>
      </c>
      <c r="AO7" s="36" t="str" cm="1">
        <f t="array" ref="AO7">$AJ$25</f>
        <v>Предложение организации</v>
      </c>
      <c r="AP7" s="36" t="str" cm="1">
        <f t="array" ref="AP7">$AJ$25</f>
        <v>Предложение организации</v>
      </c>
      <c r="AQ7" s="36" t="str" cm="1">
        <f t="array" ref="AQ7">$AJ$25</f>
        <v>Предложение организации</v>
      </c>
      <c r="AR7" s="36" t="str" cm="1">
        <f t="array" ref="AR7">$AJ$25</f>
        <v>Предложение организации</v>
      </c>
      <c r="AS7" s="36" t="str" cm="1">
        <f t="array" ref="AS7">$AJ$25</f>
        <v>Предложение организации</v>
      </c>
      <c r="AT7" s="36" t="str" cm="1">
        <f t="array" ref="AT7">$AT$25</f>
        <v>Принято органом регулирования</v>
      </c>
      <c r="AU7" s="36" t="str" cm="1">
        <f t="array" ref="AU7">$AT$25</f>
        <v>Принято органом регулирования</v>
      </c>
      <c r="AV7" s="36" t="str" cm="1">
        <f t="array" ref="AV7">$AT$25</f>
        <v>Принято органом регулирования</v>
      </c>
      <c r="AW7" s="36" t="str" cm="1">
        <f t="array" ref="AW7">$AT$25</f>
        <v>Принято органом регулирования</v>
      </c>
      <c r="AX7" s="36" t="str" cm="1">
        <f t="array" ref="AX7">$AT$25</f>
        <v>Принято органом регулирования</v>
      </c>
      <c r="AY7" s="36" t="str" cm="1">
        <f t="array" ref="AY7">$AT$25</f>
        <v>Принято органом регулирования</v>
      </c>
      <c r="AZ7" s="36" t="str" cm="1">
        <f t="array" ref="AZ7">$AT$25</f>
        <v>Принято органом регулирования</v>
      </c>
      <c r="BA7" s="36" t="str" cm="1">
        <f t="array" ref="BA7">$AT$25</f>
        <v>Принято органом регулирования</v>
      </c>
      <c r="BB7" s="36" t="str" cm="1">
        <f t="array" ref="BB7">$AT$25</f>
        <v>Принято органом регулирования</v>
      </c>
      <c r="BC7" s="36" t="str" cm="1">
        <f t="array" ref="BC7">$AT$25</f>
        <v>Принято органом регулирования</v>
      </c>
      <c r="BD7" s="36"/>
      <c r="BE7" s="36"/>
      <c r="BF7" s="36"/>
      <c r="BG7" s="36"/>
      <c r="BH7" s="36"/>
      <c r="BI7" s="36"/>
      <c r="BJ7" s="36"/>
      <c r="BK7" s="36"/>
      <c r="BL7" s="36"/>
      <c r="BM7" s="36"/>
    </row>
    <row r="8" spans="1:75" ht="11.25" hidden="1" customHeight="1">
      <c r="AE8" s="36" t="str">
        <f t="shared" ref="AE8:BC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2024отклонение факта по данным организации к факту принятому органом регулирования</v>
      </c>
      <c r="AI8" s="36" t="str">
        <f t="shared" si="2"/>
        <v>2025Принято органом регулирования</v>
      </c>
      <c r="AJ8" s="36" t="str">
        <f t="shared" si="2"/>
        <v>2026Предложение организации</v>
      </c>
      <c r="AK8" s="36" t="str">
        <f t="shared" si="2"/>
        <v>2027Предложение организации</v>
      </c>
      <c r="AL8" s="36" t="str">
        <f t="shared" si="2"/>
        <v>2028Предложение организации</v>
      </c>
      <c r="AM8" s="36" t="str">
        <f t="shared" si="2"/>
        <v>2029Предложение организации</v>
      </c>
      <c r="AN8" s="36" t="str">
        <f t="shared" si="2"/>
        <v>2030Предложение организации</v>
      </c>
      <c r="AO8" s="36" t="str">
        <f t="shared" si="2"/>
        <v>2031Предложение организации</v>
      </c>
      <c r="AP8" s="36" t="str">
        <f t="shared" si="2"/>
        <v>2032Предложение организации</v>
      </c>
      <c r="AQ8" s="36" t="str">
        <f t="shared" si="2"/>
        <v>2033Предложение организации</v>
      </c>
      <c r="AR8" s="36" t="str">
        <f t="shared" si="2"/>
        <v>2034Предложение организации</v>
      </c>
      <c r="AS8" s="36" t="str">
        <f t="shared" si="2"/>
        <v>2035Предложение организации</v>
      </c>
      <c r="AT8" s="36" t="str">
        <f t="shared" si="2"/>
        <v>2026Принято органом регулирования</v>
      </c>
      <c r="AU8" s="36" t="str">
        <f t="shared" si="2"/>
        <v>2027Принято органом регулирования</v>
      </c>
      <c r="AV8" s="36" t="str">
        <f t="shared" si="2"/>
        <v>2028Принято органом регулирования</v>
      </c>
      <c r="AW8" s="36" t="str">
        <f t="shared" si="2"/>
        <v>2029Принято органом регулирования</v>
      </c>
      <c r="AX8" s="36" t="str">
        <f t="shared" si="2"/>
        <v>2030Принято органом регулирования</v>
      </c>
      <c r="AY8" s="36" t="str">
        <f t="shared" si="2"/>
        <v>2031Принято органом регулирования</v>
      </c>
      <c r="AZ8" s="36" t="str">
        <f t="shared" si="2"/>
        <v>2032Принято органом регулирования</v>
      </c>
      <c r="BA8" s="36" t="str">
        <f t="shared" si="2"/>
        <v>2033Принято органом регулирования</v>
      </c>
      <c r="BB8" s="36" t="str">
        <f t="shared" si="2"/>
        <v>2034Принято органом регулирования</v>
      </c>
      <c r="BC8" s="36" t="str">
        <f t="shared" si="2"/>
        <v>2035Принято органом регулирования</v>
      </c>
      <c r="BD8" s="36"/>
      <c r="BE8" s="36"/>
      <c r="BF8" s="36"/>
      <c r="BG8" s="36"/>
      <c r="BH8" s="36"/>
      <c r="BI8" s="36"/>
      <c r="BJ8" s="36"/>
      <c r="BK8" s="36"/>
      <c r="BL8" s="36"/>
      <c r="BM8" s="36"/>
    </row>
    <row r="9" spans="1:75" s="705" customFormat="1" ht="11.25" hidden="1" customHeight="1">
      <c r="A9" s="665" t="s">
        <v>358</v>
      </c>
      <c r="B9" s="703"/>
      <c r="C9" s="703"/>
      <c r="D9" s="703"/>
      <c r="E9" s="703"/>
      <c r="F9" s="703"/>
      <c r="G9" s="703"/>
      <c r="H9" s="703"/>
      <c r="I9" s="703"/>
      <c r="J9" s="703"/>
      <c r="K9" s="703"/>
      <c r="L9" s="703"/>
      <c r="M9" s="703"/>
      <c r="N9" s="703"/>
      <c r="O9" s="703"/>
      <c r="P9" s="703"/>
      <c r="Q9" s="703"/>
      <c r="R9" s="703"/>
      <c r="S9" s="703"/>
      <c r="T9" s="703"/>
      <c r="U9" s="703"/>
      <c r="V9" s="703"/>
      <c r="W9" s="703"/>
      <c r="X9" s="703"/>
      <c r="Y9" s="703"/>
      <c r="Z9" s="703"/>
      <c r="AA9" s="703"/>
      <c r="AB9" s="703"/>
      <c r="AC9" s="703"/>
      <c r="AD9" s="703"/>
      <c r="AE9" s="680" cm="1">
        <f t="array" ref="AE9">AE6</f>
        <v>2024</v>
      </c>
      <c r="AF9" s="680" cm="1">
        <f t="array" ref="AF9">AF6</f>
        <v>2024</v>
      </c>
      <c r="AG9" s="680" cm="1">
        <f t="array" ref="AG9">AG6</f>
        <v>2024</v>
      </c>
      <c r="AH9" s="680" cm="1">
        <f t="array" ref="AH9">AH6</f>
        <v>2024</v>
      </c>
      <c r="AI9" s="680" cm="1">
        <f t="array" ref="AI9">AI6</f>
        <v>2025</v>
      </c>
      <c r="AJ9" s="680" cm="1">
        <f t="array" ref="AJ9">AJ6</f>
        <v>2026</v>
      </c>
      <c r="AK9" s="680" cm="1">
        <f t="array" ref="AK9">AK6</f>
        <v>2027</v>
      </c>
      <c r="AL9" s="680" cm="1">
        <f t="array" ref="AL9">AL6</f>
        <v>2028</v>
      </c>
      <c r="AM9" s="680" cm="1">
        <f t="array" ref="AM9">AM6</f>
        <v>2029</v>
      </c>
      <c r="AN9" s="680" cm="1">
        <f t="array" ref="AN9">AN6</f>
        <v>2030</v>
      </c>
      <c r="AO9" s="680" cm="1">
        <f t="array" ref="AO9">AO6</f>
        <v>2031</v>
      </c>
      <c r="AP9" s="680" cm="1">
        <f t="array" ref="AP9">AP6</f>
        <v>2032</v>
      </c>
      <c r="AQ9" s="680" cm="1">
        <f t="array" ref="AQ9">AQ6</f>
        <v>2033</v>
      </c>
      <c r="AR9" s="680" cm="1">
        <f t="array" ref="AR9">AR6</f>
        <v>2034</v>
      </c>
      <c r="AS9" s="680" cm="1">
        <f t="array" ref="AS9">AS6</f>
        <v>2035</v>
      </c>
      <c r="AT9" s="680" cm="1">
        <f t="array" ref="AT9">AT6</f>
        <v>2026</v>
      </c>
      <c r="AU9" s="680" cm="1">
        <f t="array" ref="AU9">AU6</f>
        <v>2027</v>
      </c>
      <c r="AV9" s="680" cm="1">
        <f t="array" ref="AV9">AV6</f>
        <v>2028</v>
      </c>
      <c r="AW9" s="680" cm="1">
        <f t="array" ref="AW9">AW6</f>
        <v>2029</v>
      </c>
      <c r="AX9" s="680" cm="1">
        <f t="array" ref="AX9">AX6</f>
        <v>2030</v>
      </c>
      <c r="AY9" s="680" cm="1">
        <f t="array" ref="AY9">AY6</f>
        <v>2031</v>
      </c>
      <c r="AZ9" s="680" cm="1">
        <f t="array" ref="AZ9">AZ6</f>
        <v>2032</v>
      </c>
      <c r="BA9" s="680" cm="1">
        <f t="array" ref="BA9">BA6</f>
        <v>2033</v>
      </c>
      <c r="BB9" s="680" cm="1">
        <f t="array" ref="BB9">BB6</f>
        <v>2034</v>
      </c>
      <c r="BC9" s="680" cm="1">
        <f t="array" ref="BC9">BC6</f>
        <v>2035</v>
      </c>
      <c r="BD9" s="680" cm="1">
        <f t="array" ref="BD9">BD6</f>
        <v>2026</v>
      </c>
      <c r="BE9" s="680" cm="1">
        <f t="array" ref="BE9">BE6</f>
        <v>2027</v>
      </c>
      <c r="BF9" s="680" cm="1">
        <f t="array" ref="BF9">BF6</f>
        <v>2028</v>
      </c>
      <c r="BG9" s="680" cm="1">
        <f t="array" ref="BG9">BG6</f>
        <v>2029</v>
      </c>
      <c r="BH9" s="680" cm="1">
        <f t="array" ref="BH9">BH6</f>
        <v>2030</v>
      </c>
      <c r="BI9" s="680" cm="1">
        <f t="array" ref="BI9">BI6</f>
        <v>2031</v>
      </c>
      <c r="BJ9" s="680" cm="1">
        <f t="array" ref="BJ9">BJ6</f>
        <v>2032</v>
      </c>
      <c r="BK9" s="680" cm="1">
        <f t="array" ref="BK9">BK6</f>
        <v>2033</v>
      </c>
      <c r="BL9" s="680" cm="1">
        <f t="array" ref="BL9">BL6</f>
        <v>2034</v>
      </c>
      <c r="BM9" s="680" cm="1">
        <f t="array" ref="BM9">BM6</f>
        <v>2035</v>
      </c>
      <c r="BV9" s="518"/>
      <c r="BW9" s="518"/>
    </row>
    <row r="10" spans="1:75" s="705" customFormat="1" ht="11.25" hidden="1" customHeight="1">
      <c r="A10" s="665" t="s">
        <v>359</v>
      </c>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c r="AB10" s="703"/>
      <c r="AC10" s="703"/>
      <c r="AD10" s="703"/>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отклонение факта по данным организации к факту принятому органом регулирования</v>
      </c>
      <c r="AI10" s="680" t="str" cm="1">
        <f t="array" ref="AI10">AI25</f>
        <v>Принято органом регулирования</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Предложение организации</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80" t="str" cm="1">
        <f t="array" ref="BC10">BC25</f>
        <v>Принято органом регулирования</v>
      </c>
      <c r="BD10" s="68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0" cm="1">
        <f t="array" ref="BE10">BE25</f>
        <v>0</v>
      </c>
      <c r="BF10" s="680" cm="1">
        <f t="array" ref="BF10">BF25</f>
        <v>0</v>
      </c>
      <c r="BG10" s="680" cm="1">
        <f t="array" ref="BG10">BG25</f>
        <v>0</v>
      </c>
      <c r="BH10" s="680" cm="1">
        <f t="array" ref="BH10">BH25</f>
        <v>0</v>
      </c>
      <c r="BI10" s="680" cm="1">
        <f t="array" ref="BI10">BI25</f>
        <v>0</v>
      </c>
      <c r="BJ10" s="680" cm="1">
        <f t="array" ref="BJ10">BJ25</f>
        <v>0</v>
      </c>
      <c r="BK10" s="680" cm="1">
        <f t="array" ref="BK10">BK25</f>
        <v>0</v>
      </c>
      <c r="BL10" s="680" cm="1">
        <f t="array" ref="BL10">BL25</f>
        <v>0</v>
      </c>
      <c r="BM10" s="680" cm="1">
        <f t="array" ref="BM10">BM25</f>
        <v>0</v>
      </c>
      <c r="BV10" s="518"/>
      <c r="BW10" s="518"/>
    </row>
    <row r="11" spans="1:75" s="705" customFormat="1" ht="11.25" hidden="1" customHeight="1">
      <c r="A11" s="665" t="s">
        <v>360</v>
      </c>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c r="Z11" s="703"/>
      <c r="AA11" s="703"/>
      <c r="AB11" s="703"/>
      <c r="AC11" s="703"/>
      <c r="AD11" s="703"/>
      <c r="AE11" s="680"/>
      <c r="BN11" s="705" t="str" cm="1">
        <f t="array" ref="BN11">BN24</f>
        <v>Указание на подтверждающие документы / URL-ссылка на копии подтверждающих документов</v>
      </c>
      <c r="BO11" s="705" t="str" cm="1">
        <f t="array" ref="BO11">BO24</f>
        <v>Ссылка на правовую норму (основание для принятия показателя в расчет тарифа)</v>
      </c>
      <c r="BP11" s="705"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18"/>
      <c r="BW11" s="518"/>
    </row>
    <row r="12" spans="1:75" s="705" customFormat="1" ht="11.25" hidden="1" customHeight="1">
      <c r="A12" s="703" t="s">
        <v>333</v>
      </c>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c r="Z12" s="703"/>
      <c r="AA12" s="703"/>
      <c r="AB12" s="703"/>
      <c r="AC12" s="703" t="s">
        <v>320</v>
      </c>
      <c r="AD12" s="703"/>
      <c r="AE12" s="680"/>
      <c r="BV12" s="518"/>
      <c r="BW12" s="518"/>
    </row>
    <row r="13" spans="1:75" ht="11.25" hidden="1" customHeight="1">
      <c r="A13" s="91" t="s">
        <v>1715</v>
      </c>
      <c r="BN13" s="91" t="str" cm="1">
        <f t="array" ref="BN13">BN24</f>
        <v>Указание на подтверждающие документы / URL-ссылка на копии подтверждающих документов</v>
      </c>
      <c r="BO13" s="91" t="str" cm="1">
        <f t="array" ref="BO13">BO24</f>
        <v>Ссылка на правовую норму (основание для принятия показателя в расчет тарифа)</v>
      </c>
      <c r="BP13" s="9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row>
    <row r="15" spans="1:75" ht="11.25" hidden="1" customHeight="1">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row>
    <row r="16" spans="1:75" ht="11.25" hidden="1" customHeight="1">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row>
    <row r="17" spans="1:75" ht="11.25" hidden="1" customHeight="1"/>
    <row r="18" spans="1:75" ht="11.25" hidden="1" customHeight="1">
      <c r="A18" s="91" t="s">
        <v>361</v>
      </c>
      <c r="AC18" s="90" t="s">
        <v>362</v>
      </c>
    </row>
    <row r="19" spans="1:75" ht="11.25" hidden="1" customHeight="1"/>
    <row r="20" spans="1:75" ht="11.25" hidden="1" customHeight="1"/>
    <row r="21" spans="1:75" ht="14.65" customHeight="1">
      <c r="E21" s="518">
        <v>15</v>
      </c>
      <c r="AA21" s="337"/>
      <c r="AB21" s="91"/>
      <c r="AC21" s="3" t="str" cm="1">
        <f t="array" ref="AC21">tpl_title</f>
        <v>Кемеровская область / 2026 / ООО "Энергосервис г. Гурьевска" (ИНН:4202049045, КПП:420201001) / ДПР: 2024-2028</v>
      </c>
      <c r="AD21" s="91"/>
    </row>
    <row r="22" spans="1:75" s="44" customFormat="1" ht="19.5" customHeight="1">
      <c r="B22" s="341"/>
      <c r="E22" s="462">
        <v>20</v>
      </c>
      <c r="AB22" s="238" t="s">
        <v>80</v>
      </c>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S22" s="707"/>
      <c r="BT22" s="707"/>
      <c r="BU22" s="707"/>
      <c r="BV22" s="462"/>
      <c r="BW22" s="462"/>
    </row>
    <row r="23" spans="1:75" s="44" customFormat="1" ht="10.15" customHeight="1">
      <c r="B23" s="341"/>
      <c r="E23" s="462">
        <v>10.5</v>
      </c>
      <c r="AB23" s="654"/>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S23" s="707"/>
      <c r="BT23" s="707"/>
      <c r="BU23" s="707"/>
      <c r="BV23" s="462"/>
      <c r="BW23" s="462"/>
    </row>
    <row r="24" spans="1:75" s="90" customFormat="1" ht="24.2" customHeight="1">
      <c r="B24" s="342"/>
      <c r="E24" s="519">
        <v>24.75</v>
      </c>
      <c r="AB24" s="1091" t="s">
        <v>22</v>
      </c>
      <c r="AC24" s="1091" t="s">
        <v>362</v>
      </c>
      <c r="AD24" s="1091" t="s">
        <v>363</v>
      </c>
      <c r="AE24" s="29" t="str">
        <f>god-2&amp;" год"</f>
        <v>2024 год</v>
      </c>
      <c r="AF24" s="736" t="str">
        <f>god-2&amp;" год"</f>
        <v>2024 год</v>
      </c>
      <c r="AG24" s="29" t="str">
        <f>god-2&amp;" год"</f>
        <v>2024 год</v>
      </c>
      <c r="AH24" s="29" t="str">
        <f>god-2&amp;" год"</f>
        <v>2024 год</v>
      </c>
      <c r="AI24" s="29" t="str">
        <f>god-1&amp;" год"</f>
        <v>2025 год</v>
      </c>
      <c r="AJ24" s="734" t="str">
        <f>god&amp;" год"</f>
        <v>2026 год</v>
      </c>
      <c r="AK24" s="734" t="str">
        <f>god+1&amp;" год"</f>
        <v>2027 год</v>
      </c>
      <c r="AL24" s="734" t="str">
        <f>god+2&amp;" год"</f>
        <v>2028 год</v>
      </c>
      <c r="AM24" s="734" t="str">
        <f>god+3&amp;" год"</f>
        <v>2029 год</v>
      </c>
      <c r="AN24" s="734" t="str">
        <f>god+4&amp;" год"</f>
        <v>2030 год</v>
      </c>
      <c r="AO24" s="734" t="str">
        <f>god+5&amp;" год"</f>
        <v>2031 год</v>
      </c>
      <c r="AP24" s="734" t="str">
        <f>god+6&amp;" год"</f>
        <v>2032 год</v>
      </c>
      <c r="AQ24" s="734" t="str">
        <f>god+7&amp;" год"</f>
        <v>2033 год</v>
      </c>
      <c r="AR24" s="734" t="str">
        <f>god+8&amp;" год"</f>
        <v>2034 год</v>
      </c>
      <c r="AS24" s="734" t="str">
        <f>god+9&amp;" год"</f>
        <v>2035 год</v>
      </c>
      <c r="AT24" s="30" t="str">
        <f>god&amp;" год"</f>
        <v>2026 год</v>
      </c>
      <c r="AU24" s="30" t="str">
        <f>god+1&amp;" год"</f>
        <v>2027 год</v>
      </c>
      <c r="AV24" s="30" t="str">
        <f>god+2&amp;" год"</f>
        <v>2028 год</v>
      </c>
      <c r="AW24" s="30" t="str">
        <f>god+3&amp;" год"</f>
        <v>2029 год</v>
      </c>
      <c r="AX24" s="30" t="str">
        <f>god+4&amp;" год"</f>
        <v>2030 год</v>
      </c>
      <c r="AY24" s="30" t="str">
        <f>god+5&amp;" год"</f>
        <v>2031 год</v>
      </c>
      <c r="AZ24" s="30" t="str">
        <f>god+6&amp;" год"</f>
        <v>2032 год</v>
      </c>
      <c r="BA24" s="30" t="str">
        <f>god+7&amp;" год"</f>
        <v>2033 год</v>
      </c>
      <c r="BB24" s="30" t="str">
        <f>god+8&amp;" год"</f>
        <v>2034 год</v>
      </c>
      <c r="BC24" s="30" t="str">
        <f>god+9&amp;" год"</f>
        <v>2035 год</v>
      </c>
      <c r="BD24" s="30" t="str">
        <f>god&amp;" год"</f>
        <v>2026 год</v>
      </c>
      <c r="BE24" s="30" t="str">
        <f>god+1&amp;" год"</f>
        <v>2027 год</v>
      </c>
      <c r="BF24" s="30" t="str">
        <f>god+2&amp;" год"</f>
        <v>2028 год</v>
      </c>
      <c r="BG24" s="30" t="str">
        <f>god+3&amp;" год"</f>
        <v>2029 год</v>
      </c>
      <c r="BH24" s="30" t="str">
        <f>god+4&amp;" год"</f>
        <v>2030 год</v>
      </c>
      <c r="BI24" s="30" t="str">
        <f>god+5&amp;" год"</f>
        <v>2031 год</v>
      </c>
      <c r="BJ24" s="30" t="str">
        <f>god+6&amp;" год"</f>
        <v>2032 год</v>
      </c>
      <c r="BK24" s="30" t="str">
        <f>god+7&amp;" год"</f>
        <v>2033 год</v>
      </c>
      <c r="BL24" s="30" t="str">
        <f>god+8&amp;" год"</f>
        <v>2034 год</v>
      </c>
      <c r="BM24" s="30" t="str">
        <f>god+9&amp;" год"</f>
        <v>2035 год</v>
      </c>
      <c r="BN24" s="1099" t="s">
        <v>1718</v>
      </c>
      <c r="BO24" s="1099" t="s">
        <v>529</v>
      </c>
      <c r="BP24" s="1099" t="s">
        <v>1719</v>
      </c>
      <c r="BS24" s="708"/>
      <c r="BT24" s="708"/>
      <c r="BU24" s="708"/>
      <c r="BV24" s="519"/>
      <c r="BW24" s="519"/>
    </row>
    <row r="25" spans="1:75" s="90" customFormat="1" ht="48.95" customHeight="1">
      <c r="B25" s="342"/>
      <c r="E25" s="519">
        <v>50.25</v>
      </c>
      <c r="AB25" s="1091"/>
      <c r="AC25" s="1091"/>
      <c r="AD25" s="1091"/>
      <c r="AE25" s="29" t="s">
        <v>355</v>
      </c>
      <c r="AF25" s="736" t="s">
        <v>450</v>
      </c>
      <c r="AG25" s="29" t="s">
        <v>451</v>
      </c>
      <c r="AH25" s="29" t="s">
        <v>1720</v>
      </c>
      <c r="AI25" s="29" t="s">
        <v>355</v>
      </c>
      <c r="AJ25" s="738" t="s">
        <v>356</v>
      </c>
      <c r="AK25" s="738" t="s">
        <v>356</v>
      </c>
      <c r="AL25" s="738" t="s">
        <v>356</v>
      </c>
      <c r="AM25" s="738" t="s">
        <v>356</v>
      </c>
      <c r="AN25" s="738" t="s">
        <v>356</v>
      </c>
      <c r="AO25" s="738" t="s">
        <v>356</v>
      </c>
      <c r="AP25" s="738" t="s">
        <v>356</v>
      </c>
      <c r="AQ25" s="738" t="s">
        <v>356</v>
      </c>
      <c r="AR25" s="738" t="s">
        <v>356</v>
      </c>
      <c r="AS25" s="738" t="s">
        <v>356</v>
      </c>
      <c r="AT25" s="275" t="s">
        <v>355</v>
      </c>
      <c r="AU25" s="275" t="s">
        <v>355</v>
      </c>
      <c r="AV25" s="275" t="s">
        <v>355</v>
      </c>
      <c r="AW25" s="275" t="s">
        <v>355</v>
      </c>
      <c r="AX25" s="275" t="s">
        <v>355</v>
      </c>
      <c r="AY25" s="275" t="s">
        <v>355</v>
      </c>
      <c r="AZ25" s="275" t="s">
        <v>355</v>
      </c>
      <c r="BA25" s="275" t="s">
        <v>355</v>
      </c>
      <c r="BB25" s="275" t="s">
        <v>355</v>
      </c>
      <c r="BC25" s="275" t="s">
        <v>355</v>
      </c>
      <c r="BD25" s="1099" t="s">
        <v>1717</v>
      </c>
      <c r="BE25" s="1099"/>
      <c r="BF25" s="1099"/>
      <c r="BG25" s="1099"/>
      <c r="BH25" s="1099"/>
      <c r="BI25" s="1099"/>
      <c r="BJ25" s="1099"/>
      <c r="BK25" s="1099"/>
      <c r="BL25" s="1099"/>
      <c r="BM25" s="1099"/>
      <c r="BN25" s="1099"/>
      <c r="BO25" s="1099"/>
      <c r="BP25" s="1099"/>
      <c r="BS25" s="708"/>
      <c r="BT25" s="708"/>
      <c r="BU25" s="708"/>
      <c r="BV25" s="519"/>
      <c r="BW25" s="519"/>
    </row>
    <row r="26" spans="1:75" ht="11.25" customHeight="1">
      <c r="A26"/>
      <c r="B26" s="339"/>
      <c r="C26"/>
      <c r="D26"/>
      <c r="E26" s="465" t="s">
        <v>366</v>
      </c>
      <c r="F26" s="105" t="s">
        <v>1930</v>
      </c>
      <c r="G26"/>
      <c r="H26"/>
      <c r="I26"/>
      <c r="J26"/>
      <c r="K26"/>
      <c r="L26"/>
      <c r="M26"/>
      <c r="N26"/>
      <c r="O26"/>
      <c r="P26"/>
      <c r="Q26"/>
      <c r="R26"/>
      <c r="S26"/>
      <c r="T26"/>
      <c r="U26"/>
      <c r="V26"/>
      <c r="W26"/>
      <c r="X26"/>
      <c r="Y26"/>
      <c r="Z26"/>
      <c r="AA26"/>
      <c r="AB26" s="327"/>
      <c r="AC26" s="37"/>
      <c r="AD26" s="37"/>
      <c r="AE26" s="37"/>
      <c r="AF26" s="37"/>
      <c r="AG26"/>
      <c r="AH26"/>
      <c r="AI26"/>
      <c r="AJ26"/>
      <c r="AK26"/>
      <c r="AL26"/>
      <c r="AM26"/>
      <c r="AN26"/>
      <c r="AO26"/>
      <c r="AP26"/>
      <c r="AQ26" s="38"/>
      <c r="AR26"/>
      <c r="AS26"/>
      <c r="AT26"/>
      <c r="AU26"/>
      <c r="AV26"/>
      <c r="AW26"/>
      <c r="AX26"/>
      <c r="AY26"/>
      <c r="AZ26"/>
      <c r="BA26"/>
      <c r="BB26"/>
      <c r="BC26"/>
      <c r="BD26"/>
      <c r="BE26"/>
      <c r="BF26"/>
      <c r="BG26"/>
      <c r="BH26"/>
      <c r="BI26"/>
      <c r="BJ26"/>
      <c r="BK26"/>
      <c r="BL26"/>
      <c r="BM26"/>
      <c r="BN26"/>
      <c r="BO26"/>
      <c r="BP26"/>
      <c r="BQ26"/>
      <c r="BR26"/>
      <c r="BS26" s="670"/>
      <c r="BT26" s="670"/>
      <c r="BU26" s="670"/>
      <c r="BV26" s="465"/>
      <c r="BW26" s="465"/>
    </row>
    <row r="27" spans="1:75" s="57" customFormat="1" ht="14.65" hidden="1" customHeight="1">
      <c r="B27" s="62"/>
      <c r="C27" s="41"/>
      <c r="D27" s="41"/>
      <c r="E27" s="460">
        <v>15</v>
      </c>
      <c r="F27" s="78" cm="1">
        <f t="array" ref="F27">X27</f>
        <v>0</v>
      </c>
      <c r="G27" s="78" cm="1">
        <f t="array" ref="G27">INDEX('Общие сведения'!$AK$179:$AK$222,MATCH($X27,'Общие сведения'!$Z$179:$Z$222,0))</f>
        <v>0</v>
      </c>
      <c r="H27" s="41"/>
      <c r="I27" s="78"/>
      <c r="J27" s="41"/>
      <c r="K27" s="41"/>
      <c r="L27" s="41"/>
      <c r="M27" s="41"/>
      <c r="N27" s="41"/>
      <c r="O27" s="41"/>
      <c r="P27" s="41"/>
      <c r="Q27" s="41"/>
      <c r="R27" s="41"/>
      <c r="S27" s="41" cm="1">
        <f t="array" ref="S27">INDEX('Общие сведения'!$AE$179:$AE$222,MATCH($X27,'Общие сведения'!$Z$179:$Z$222,0))</f>
        <v>0</v>
      </c>
      <c r="T27" s="365" t="b">
        <f>X27&gt;0</f>
        <v>0</v>
      </c>
      <c r="U27" s="41"/>
      <c r="V27" s="41" t="s">
        <v>264</v>
      </c>
      <c r="W27" s="41"/>
      <c r="X27" s="1094">
        <v>0</v>
      </c>
      <c r="Z27" s="1065"/>
      <c r="AB27" s="293" t="str" cm="1">
        <f t="array" ref="AB27">INDEX('Общие сведения'!$AG$179:$AG$222,MATCH($X27,'Общие сведения'!$Z$179:$Z$222,0))</f>
        <v xml:space="preserve">Тариф 0 () - </v>
      </c>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c r="BS27" s="665"/>
      <c r="BT27" s="665"/>
      <c r="BU27" s="665"/>
      <c r="BV27" s="459"/>
      <c r="BW27" s="459"/>
    </row>
    <row r="28" spans="1:75" s="94" customFormat="1" ht="20.45" hidden="1" customHeight="1">
      <c r="B28" s="343"/>
      <c r="C28" s="585"/>
      <c r="D28" s="585"/>
      <c r="E28" s="586">
        <v>21</v>
      </c>
      <c r="F28" s="3" cm="1">
        <f t="array" aca="1" ref="F28" ca="1">OFFSET(E28,-1,1)</f>
        <v>0</v>
      </c>
      <c r="G28" s="585"/>
      <c r="H28" s="49"/>
      <c r="I28" s="49" t="s">
        <v>327</v>
      </c>
      <c r="J28" s="585"/>
      <c r="K28" s="289" t="s">
        <v>327</v>
      </c>
      <c r="L28" s="585"/>
      <c r="M28" s="585"/>
      <c r="N28" s="585"/>
      <c r="O28" s="585"/>
      <c r="P28" s="585"/>
      <c r="Q28" s="585"/>
      <c r="R28" s="585"/>
      <c r="S28" s="585"/>
      <c r="T28" s="365" t="b" cm="1">
        <f t="array" ref="T28">T27</f>
        <v>0</v>
      </c>
      <c r="U28" s="585"/>
      <c r="V28" s="585"/>
      <c r="W28" s="585"/>
      <c r="X28" s="1094"/>
      <c r="Z28" s="1065"/>
      <c r="AB28" s="166" t="s">
        <v>275</v>
      </c>
      <c r="AC28" s="144" t="s">
        <v>1931</v>
      </c>
      <c r="AD28" s="166" t="s">
        <v>804</v>
      </c>
      <c r="AE28" s="145">
        <f ca="1">SUM(AE30,AE47,AE53,AE73,AE74,AE75)</f>
        <v>0</v>
      </c>
      <c r="AF28" s="145">
        <f ca="1">SUM(AF30,AF47,AF53,AF73,AF74,AF75)</f>
        <v>0</v>
      </c>
      <c r="AG28" s="145">
        <f ca="1">SUM(AG30,AG47,AG53,AG73,AG74,AG75)</f>
        <v>0</v>
      </c>
      <c r="AH28" s="145">
        <f t="shared" ref="AH28:AH59" ca="1" si="3">AG28-AF28</f>
        <v>0</v>
      </c>
      <c r="AI28" s="145">
        <f ca="1">SUM(AI30,AI47,AI53,AI73,AI74,AI75)</f>
        <v>0</v>
      </c>
      <c r="AJ28" s="145">
        <f ca="1">SUM(AJ30,AJ47,AJ53,AJ73,AJ74,AJ75)</f>
        <v>0</v>
      </c>
      <c r="AK28" s="783">
        <f t="shared" ref="AK28:AS28" ca="1" si="4">AJ28*AK29</f>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145">
        <f ca="1">SUM(AT30,AT47,AT53,AT73,AT74,AT75)</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145">
        <f t="shared" ref="BD28:BD59" ca="1" si="6">IF(AI28=0,0,(AT28-AI28)/AI28*100)</f>
        <v>0</v>
      </c>
      <c r="BE28" s="145">
        <f t="shared" ref="BE28:BM28" ca="1" si="7">IF(AT28=0,0,(AU28-AT28)/AT28*100)</f>
        <v>0</v>
      </c>
      <c r="BF28" s="145">
        <f t="shared" ca="1" si="7"/>
        <v>0</v>
      </c>
      <c r="BG28" s="145">
        <f t="shared" ca="1" si="7"/>
        <v>0</v>
      </c>
      <c r="BH28" s="145">
        <f t="shared" ca="1" si="7"/>
        <v>0</v>
      </c>
      <c r="BI28" s="145">
        <f t="shared" ca="1" si="7"/>
        <v>0</v>
      </c>
      <c r="BJ28" s="145">
        <f t="shared" ca="1" si="7"/>
        <v>0</v>
      </c>
      <c r="BK28" s="145">
        <f t="shared" ca="1" si="7"/>
        <v>0</v>
      </c>
      <c r="BL28" s="145">
        <f t="shared" ca="1" si="7"/>
        <v>0</v>
      </c>
      <c r="BM28" s="145">
        <f t="shared" ca="1" si="7"/>
        <v>0</v>
      </c>
      <c r="BN28" s="784"/>
      <c r="BO28" s="784"/>
      <c r="BP28" s="784"/>
      <c r="BQ28" s="93"/>
      <c r="BS28" s="709" t="s">
        <v>526</v>
      </c>
      <c r="BT28" s="709"/>
      <c r="BU28" s="709"/>
      <c r="BV28" s="520"/>
      <c r="BW28" s="520"/>
    </row>
    <row r="29" spans="1:75" ht="14.65" hidden="1" customHeight="1">
      <c r="C29" s="44"/>
      <c r="D29" s="44"/>
      <c r="E29" s="462">
        <v>15</v>
      </c>
      <c r="F29" s="3" cm="1">
        <f t="array" aca="1" ref="F29" ca="1">OFFSET(E29,-1,1)</f>
        <v>0</v>
      </c>
      <c r="G29" s="44"/>
      <c r="H29" s="587"/>
      <c r="I29" s="587" t="s">
        <v>461</v>
      </c>
      <c r="J29" s="44"/>
      <c r="K29" s="290" t="s">
        <v>461</v>
      </c>
      <c r="L29" s="44"/>
      <c r="M29" s="44"/>
      <c r="N29" s="44"/>
      <c r="O29" s="44"/>
      <c r="P29" s="44"/>
      <c r="Q29" s="44"/>
      <c r="R29" s="44"/>
      <c r="S29" s="44"/>
      <c r="T29" s="365" t="b" cm="1">
        <f t="array" ref="T29">T28</f>
        <v>0</v>
      </c>
      <c r="U29" s="44"/>
      <c r="V29" s="44"/>
      <c r="W29" s="44"/>
      <c r="X29" s="1094"/>
      <c r="Z29" s="1065"/>
      <c r="AB29" s="26" t="s">
        <v>897</v>
      </c>
      <c r="AC29" s="146" t="s">
        <v>1932</v>
      </c>
      <c r="AD29" s="26"/>
      <c r="AE29" s="785"/>
      <c r="AF29" s="785"/>
      <c r="AG29" s="785"/>
      <c r="AH29" s="568">
        <f t="shared" si="3"/>
        <v>0</v>
      </c>
      <c r="AI29" s="785"/>
      <c r="AJ29" s="785"/>
      <c r="AK29" s="785">
        <f ca="1">SUMIFS(INDEX(Сценарии!$AE$25:$BF$109,,MATCH(AK$8,Сценарии!$AE$8:$BF$8,0)),Сценарии!$F$25:$F$109,$F29,Сценарии!$G$25:$G$109,"ИОР")</f>
        <v>1</v>
      </c>
      <c r="AL29" s="785">
        <f ca="1">SUMIFS(INDEX(Сценарии!$AE$25:$BF$109,,MATCH(AL$8,Сценарии!$AE$8:$BF$8,0)),Сценарии!$F$25:$F$109,$F29,Сценарии!$G$25:$G$109,"ИОР")</f>
        <v>1</v>
      </c>
      <c r="AM29" s="785">
        <f ca="1">SUMIFS(INDEX(Сценарии!$AE$25:$BF$109,,MATCH(AM$8,Сценарии!$AE$8:$BF$8,0)),Сценарии!$F$25:$F$109,$F29,Сценарии!$G$25:$G$109,"ИОР")</f>
        <v>1</v>
      </c>
      <c r="AN29" s="785">
        <f ca="1">SUMIFS(INDEX(Сценарии!$AE$25:$BF$109,,MATCH(AN$8,Сценарии!$AE$8:$BF$8,0)),Сценарии!$F$25:$F$109,$F29,Сценарии!$G$25:$G$109,"ИОР")</f>
        <v>1</v>
      </c>
      <c r="AO29" s="785">
        <f ca="1">SUMIFS(INDEX(Сценарии!$AE$25:$BF$109,,MATCH(AO$8,Сценарии!$AE$8:$BF$8,0)),Сценарии!$F$25:$F$109,$F29,Сценарии!$G$25:$G$109,"ИОР")</f>
        <v>1</v>
      </c>
      <c r="AP29" s="785">
        <f ca="1">SUMIFS(INDEX(Сценарии!$AE$25:$BF$109,,MATCH(AP$8,Сценарии!$AE$8:$BF$8,0)),Сценарии!$F$25:$F$109,$F29,Сценарии!$G$25:$G$109,"ИОР")</f>
        <v>1</v>
      </c>
      <c r="AQ29" s="785">
        <f ca="1">SUMIFS(INDEX(Сценарии!$AE$25:$BF$109,,MATCH(AQ$8,Сценарии!$AE$8:$BF$8,0)),Сценарии!$F$25:$F$109,$F29,Сценарии!$G$25:$G$109,"ИОР")</f>
        <v>1</v>
      </c>
      <c r="AR29" s="785">
        <f ca="1">SUMIFS(INDEX(Сценарии!$AE$25:$BF$109,,MATCH(AR$8,Сценарии!$AE$8:$BF$8,0)),Сценарии!$F$25:$F$109,$F29,Сценарии!$G$25:$G$109,"ИОР")</f>
        <v>1</v>
      </c>
      <c r="AS29" s="785">
        <f ca="1">SUMIFS(INDEX(Сценарии!$AE$25:$BF$109,,MATCH(AS$8,Сценарии!$AE$8:$BF$8,0)),Сценарии!$F$25:$F$109,$F29,Сценарии!$G$25:$G$109,"ИОР")</f>
        <v>1</v>
      </c>
      <c r="AT29" s="785"/>
      <c r="AU29" s="785">
        <f ca="1">SUMIFS(INDEX(Сценарии!$AE$25:$BF$109,,MATCH(AU$8,Сценарии!$AE$8:$BF$8,0)),Сценарии!$F$25:$F$109,$F29,Сценарии!$G$25:$G$109,"ИОР")</f>
        <v>1</v>
      </c>
      <c r="AV29" s="785">
        <f ca="1">SUMIFS(INDEX(Сценарии!$AE$25:$BF$109,,MATCH(AV$8,Сценарии!$AE$8:$BF$8,0)),Сценарии!$F$25:$F$109,$F29,Сценарии!$G$25:$G$109,"ИОР")</f>
        <v>1</v>
      </c>
      <c r="AW29" s="785">
        <f ca="1">SUMIFS(INDEX(Сценарии!$AE$25:$BF$109,,MATCH(AW$8,Сценарии!$AE$8:$BF$8,0)),Сценарии!$F$25:$F$109,$F29,Сценарии!$G$25:$G$109,"ИОР")</f>
        <v>1</v>
      </c>
      <c r="AX29" s="785">
        <f ca="1">SUMIFS(INDEX(Сценарии!$AE$25:$BF$109,,MATCH(AX$8,Сценарии!$AE$8:$BF$8,0)),Сценарии!$F$25:$F$109,$F29,Сценарии!$G$25:$G$109,"ИОР")</f>
        <v>1</v>
      </c>
      <c r="AY29" s="785">
        <f ca="1">SUMIFS(INDEX(Сценарии!$AE$25:$BF$109,,MATCH(AY$8,Сценарии!$AE$8:$BF$8,0)),Сценарии!$F$25:$F$109,$F29,Сценарии!$G$25:$G$109,"ИОР")</f>
        <v>1</v>
      </c>
      <c r="AZ29" s="785">
        <f ca="1">SUMIFS(INDEX(Сценарии!$AE$25:$BF$109,,MATCH(AZ$8,Сценарии!$AE$8:$BF$8,0)),Сценарии!$F$25:$F$109,$F29,Сценарии!$G$25:$G$109,"ИОР")</f>
        <v>1</v>
      </c>
      <c r="BA29" s="785">
        <f ca="1">SUMIFS(INDEX(Сценарии!$AE$25:$BF$109,,MATCH(BA$8,Сценарии!$AE$8:$BF$8,0)),Сценарии!$F$25:$F$109,$F29,Сценарии!$G$25:$G$109,"ИОР")</f>
        <v>1</v>
      </c>
      <c r="BB29" s="785">
        <f ca="1">SUMIFS(INDEX(Сценарии!$AE$25:$BF$109,,MATCH(BB$8,Сценарии!$AE$8:$BF$8,0)),Сценарии!$F$25:$F$109,$F29,Сценарии!$G$25:$G$109,"ИОР")</f>
        <v>1</v>
      </c>
      <c r="BC29" s="785">
        <f ca="1">SUMIFS(INDEX(Сценарии!$AE$25:$BF$109,,MATCH(BC$8,Сценарии!$AE$8:$BF$8,0)),Сценарии!$F$25:$F$109,$F29,Сценарии!$G$25:$G$109,"ИОР")</f>
        <v>1</v>
      </c>
      <c r="BD29" s="190">
        <f t="shared" si="6"/>
        <v>0</v>
      </c>
      <c r="BE29" s="552"/>
      <c r="BF29" s="552"/>
      <c r="BG29" s="552"/>
      <c r="BH29" s="552"/>
      <c r="BI29" s="552"/>
      <c r="BJ29" s="552"/>
      <c r="BK29" s="552"/>
      <c r="BL29" s="552"/>
      <c r="BM29" s="552"/>
      <c r="BN29" s="784"/>
      <c r="BO29" s="784"/>
      <c r="BP29" s="784"/>
      <c r="BS29" s="705" t="s">
        <v>1933</v>
      </c>
    </row>
    <row r="30" spans="1:75" s="93" customFormat="1" ht="20.45" hidden="1" customHeight="1">
      <c r="B30" s="343"/>
      <c r="C30" s="588"/>
      <c r="D30" s="588"/>
      <c r="E30" s="589">
        <v>21</v>
      </c>
      <c r="F30" s="3" cm="1">
        <f t="array" aca="1" ref="F30" ca="1">OFFSET(E30,-1,1)</f>
        <v>0</v>
      </c>
      <c r="G30" s="588"/>
      <c r="H30" s="49"/>
      <c r="I30" s="49" t="s">
        <v>465</v>
      </c>
      <c r="J30" s="588"/>
      <c r="K30" s="289" t="s">
        <v>465</v>
      </c>
      <c r="L30" s="588" t="s">
        <v>327</v>
      </c>
      <c r="M30" s="588"/>
      <c r="N30" s="588"/>
      <c r="O30" s="588"/>
      <c r="P30" s="588"/>
      <c r="Q30" s="588"/>
      <c r="R30" s="588"/>
      <c r="S30" s="588"/>
      <c r="T30" s="365" t="b" cm="1">
        <f t="array" ref="T30">T29</f>
        <v>0</v>
      </c>
      <c r="U30" s="588"/>
      <c r="V30" s="588"/>
      <c r="W30" s="588"/>
      <c r="X30" s="1094"/>
      <c r="Z30" s="1065"/>
      <c r="AB30" s="166" t="s">
        <v>900</v>
      </c>
      <c r="AC30" s="276" t="s">
        <v>1721</v>
      </c>
      <c r="AD30" s="166" t="s">
        <v>804</v>
      </c>
      <c r="AE30" s="145">
        <f ca="1">SUM(AE31,AE34,AE35,AE38,AE39)</f>
        <v>0</v>
      </c>
      <c r="AF30" s="145">
        <f ca="1">SUM(AF31,AF34,AF35,AF38,AF39)</f>
        <v>0</v>
      </c>
      <c r="AG30" s="145">
        <f ca="1">SUM(AG31,AG34,AG35,AG38,AG39)</f>
        <v>0</v>
      </c>
      <c r="AH30" s="145">
        <f t="shared" ca="1" si="3"/>
        <v>0</v>
      </c>
      <c r="AI30" s="145">
        <f ca="1">SUM(AI31,AI34,AI35,AI38,AI39)</f>
        <v>0</v>
      </c>
      <c r="AJ30" s="145">
        <f ca="1">SUM(AJ31,AJ34,AJ35,AJ38,AJ39)</f>
        <v>0</v>
      </c>
      <c r="AK30" s="148"/>
      <c r="AL30" s="148"/>
      <c r="AM30" s="148"/>
      <c r="AN30" s="148"/>
      <c r="AO30" s="148"/>
      <c r="AP30" s="148"/>
      <c r="AQ30" s="148"/>
      <c r="AR30" s="148"/>
      <c r="AS30" s="148"/>
      <c r="AT30" s="145">
        <f ca="1">SUM(AT31,AT34,AT35,AT38,AT39)</f>
        <v>0</v>
      </c>
      <c r="AU30" s="148"/>
      <c r="AV30" s="148"/>
      <c r="AW30" s="148"/>
      <c r="AX30" s="148"/>
      <c r="AY30" s="148"/>
      <c r="AZ30" s="148"/>
      <c r="BA30" s="148"/>
      <c r="BB30" s="148"/>
      <c r="BC30" s="148"/>
      <c r="BD30" s="145">
        <f t="shared" ca="1" si="6"/>
        <v>0</v>
      </c>
      <c r="BE30" s="148"/>
      <c r="BF30" s="148"/>
      <c r="BG30" s="148"/>
      <c r="BH30" s="148"/>
      <c r="BI30" s="148"/>
      <c r="BJ30" s="148"/>
      <c r="BK30" s="148"/>
      <c r="BL30" s="148"/>
      <c r="BM30" s="148"/>
      <c r="BN30" s="786"/>
      <c r="BO30" s="786"/>
      <c r="BP30" s="786"/>
      <c r="BS30" s="703" t="s">
        <v>516</v>
      </c>
      <c r="BT30" s="710"/>
      <c r="BU30" s="710"/>
      <c r="BV30" s="521"/>
      <c r="BW30" s="521"/>
    </row>
    <row r="31" spans="1:75" ht="14.65" hidden="1" customHeight="1">
      <c r="C31" s="44"/>
      <c r="D31" s="44"/>
      <c r="E31" s="462">
        <v>15</v>
      </c>
      <c r="F31" s="3" cm="1">
        <f t="array" aca="1" ref="F31" ca="1">OFFSET(E31,-1,1)</f>
        <v>0</v>
      </c>
      <c r="G31" s="44"/>
      <c r="H31" s="587"/>
      <c r="I31" s="587" t="s">
        <v>1336</v>
      </c>
      <c r="J31" s="44"/>
      <c r="K31" s="290" t="s">
        <v>1336</v>
      </c>
      <c r="L31" s="44" t="s">
        <v>461</v>
      </c>
      <c r="M31" s="44"/>
      <c r="N31" s="44"/>
      <c r="O31" s="44"/>
      <c r="P31" s="44"/>
      <c r="Q31" s="44"/>
      <c r="R31" s="44"/>
      <c r="S31" s="44"/>
      <c r="T31" s="365" t="b" cm="1">
        <f t="array" ref="T31">T30</f>
        <v>0</v>
      </c>
      <c r="U31" s="44"/>
      <c r="V31" s="44"/>
      <c r="W31" s="44"/>
      <c r="X31" s="1094"/>
      <c r="Z31" s="1065"/>
      <c r="AB31" s="26" t="s">
        <v>1337</v>
      </c>
      <c r="AC31" s="153" t="s">
        <v>1934</v>
      </c>
      <c r="AD31" s="28" t="s">
        <v>804</v>
      </c>
      <c r="AE31" s="190">
        <f ca="1">SUM(AE32,AE33)</f>
        <v>0</v>
      </c>
      <c r="AF31" s="190">
        <f ca="1">SUM(AF32,AF33)</f>
        <v>0</v>
      </c>
      <c r="AG31" s="190">
        <f ca="1">SUM(AG32,AG33)</f>
        <v>0</v>
      </c>
      <c r="AH31" s="190">
        <f t="shared" ca="1" si="3"/>
        <v>0</v>
      </c>
      <c r="AI31" s="190">
        <f ca="1">SUM(AI32,AI33)</f>
        <v>0</v>
      </c>
      <c r="AJ31" s="190">
        <f ca="1">SUM(AJ32,AJ33)</f>
        <v>0</v>
      </c>
      <c r="AK31" s="552"/>
      <c r="AL31" s="552"/>
      <c r="AM31" s="552"/>
      <c r="AN31" s="552"/>
      <c r="AO31" s="552"/>
      <c r="AP31" s="552"/>
      <c r="AQ31" s="552"/>
      <c r="AR31" s="552"/>
      <c r="AS31" s="552"/>
      <c r="AT31" s="190">
        <f ca="1">SUM(AT32,AT33)</f>
        <v>0</v>
      </c>
      <c r="AU31" s="552"/>
      <c r="AV31" s="552"/>
      <c r="AW31" s="552"/>
      <c r="AX31" s="552"/>
      <c r="AY31" s="552"/>
      <c r="AZ31" s="552"/>
      <c r="BA31" s="552"/>
      <c r="BB31" s="552"/>
      <c r="BC31" s="552"/>
      <c r="BD31" s="190">
        <f t="shared" ca="1" si="6"/>
        <v>0</v>
      </c>
      <c r="BE31" s="552"/>
      <c r="BF31" s="552"/>
      <c r="BG31" s="552"/>
      <c r="BH31" s="552"/>
      <c r="BI31" s="552"/>
      <c r="BJ31" s="552"/>
      <c r="BK31" s="552"/>
      <c r="BL31" s="552"/>
      <c r="BM31" s="552"/>
      <c r="BN31" s="784"/>
      <c r="BO31" s="784"/>
      <c r="BP31" s="784"/>
      <c r="BQ31" s="47"/>
      <c r="BS31" s="704" t="s">
        <v>1723</v>
      </c>
    </row>
    <row r="32" spans="1:75" ht="14.65" hidden="1" customHeight="1">
      <c r="C32" s="44"/>
      <c r="D32" s="44"/>
      <c r="E32" s="462">
        <v>15</v>
      </c>
      <c r="F32" s="3" cm="1">
        <f t="array" aca="1" ref="F32" ca="1">OFFSET(E32,-1,1)</f>
        <v>0</v>
      </c>
      <c r="G32" s="44"/>
      <c r="H32" s="587"/>
      <c r="I32" s="587" t="s">
        <v>1935</v>
      </c>
      <c r="J32" s="44"/>
      <c r="K32" s="290" t="s">
        <v>1935</v>
      </c>
      <c r="L32" s="44" t="s">
        <v>1008</v>
      </c>
      <c r="M32" s="44"/>
      <c r="N32" s="44"/>
      <c r="O32" s="44"/>
      <c r="P32" s="44"/>
      <c r="Q32" s="44"/>
      <c r="R32" s="44"/>
      <c r="S32" s="44"/>
      <c r="T32" s="365" t="b" cm="1">
        <f t="array" ref="T32">T31</f>
        <v>0</v>
      </c>
      <c r="U32" s="44"/>
      <c r="V32" s="44"/>
      <c r="W32" s="44"/>
      <c r="X32" s="1094"/>
      <c r="Z32" s="1065"/>
      <c r="AB32" s="26" t="s">
        <v>1936</v>
      </c>
      <c r="AC32" s="553" t="s">
        <v>1726</v>
      </c>
      <c r="AD32" s="28" t="s">
        <v>804</v>
      </c>
      <c r="AE32" s="190">
        <f ca="1">SUMIFS('Сырье и материалы'!AE$25:AE$96,'Сырье и материалы'!$F$25:$F$96,$F32,'Сырье и материалы'!$I$25:$I$96,"Горюче-смазочные материалы")</f>
        <v>0</v>
      </c>
      <c r="AF32" s="190">
        <f ca="1">SUMIFS('Сырье и материалы'!AF$25:AF$96,'Сырье и материалы'!$F$25:$F$96,$F32,'Сырье и материалы'!$I$25:$I$96,"Горюче-смазочные материалы")</f>
        <v>0</v>
      </c>
      <c r="AG32" s="190">
        <f ca="1">SUMIFS('Сырье и материалы'!AG$25:AG$96,'Сырье и материалы'!$F$25:$F$96,$F32,'Сырье и материалы'!$I$25:$I$96,"Горюче-смазочные материалы")</f>
        <v>0</v>
      </c>
      <c r="AH32" s="190">
        <f t="shared" ca="1" si="3"/>
        <v>0</v>
      </c>
      <c r="AI32" s="190">
        <f ca="1">SUMIFS('Сырье и материалы'!AH$25:AH$96,'Сырье и материалы'!$F$25:$F$96,$F32,'Сырье и материалы'!$I$25:$I$96,"Горюче-смазочные материалы")</f>
        <v>0</v>
      </c>
      <c r="AJ32" s="190">
        <f ca="1">SUMIFS('Сырье и материалы'!AI$25:AI$96,'Сырье и материалы'!$F$25:$F$96,$F32,'Сырье и материалы'!$I$25:$I$96,"Горюче-смазочные материалы")</f>
        <v>0</v>
      </c>
      <c r="AK32" s="552"/>
      <c r="AL32" s="552"/>
      <c r="AM32" s="552"/>
      <c r="AN32" s="552"/>
      <c r="AO32" s="552"/>
      <c r="AP32" s="552"/>
      <c r="AQ32" s="552"/>
      <c r="AR32" s="552"/>
      <c r="AS32" s="552"/>
      <c r="AT32" s="190">
        <f ca="1">SUMIFS('Сырье и материалы'!AS$25:AS$96,'Сырье и материалы'!$F$25:$F$96,$F32,'Сырье и материалы'!$I$25:$I$96,"Горюче-смазочные материалы")</f>
        <v>0</v>
      </c>
      <c r="AU32" s="552"/>
      <c r="AV32" s="552"/>
      <c r="AW32" s="552"/>
      <c r="AX32" s="552"/>
      <c r="AY32" s="552"/>
      <c r="AZ32" s="552"/>
      <c r="BA32" s="552"/>
      <c r="BB32" s="552"/>
      <c r="BC32" s="552"/>
      <c r="BD32" s="190">
        <f t="shared" ca="1" si="6"/>
        <v>0</v>
      </c>
      <c r="BE32" s="552"/>
      <c r="BF32" s="552"/>
      <c r="BG32" s="552"/>
      <c r="BH32" s="552"/>
      <c r="BI32" s="552"/>
      <c r="BJ32" s="552"/>
      <c r="BK32" s="552"/>
      <c r="BL32" s="552"/>
      <c r="BM32" s="552"/>
      <c r="BN32" s="784"/>
      <c r="BO32" s="784"/>
      <c r="BP32" s="784"/>
      <c r="BS32" s="703" t="s">
        <v>1727</v>
      </c>
    </row>
    <row r="33" spans="2:75" ht="14.65" hidden="1" customHeight="1">
      <c r="C33" s="44"/>
      <c r="D33" s="44"/>
      <c r="E33" s="462">
        <v>15</v>
      </c>
      <c r="F33" s="3" cm="1">
        <f t="array" aca="1" ref="F33" ca="1">OFFSET(E33,-1,1)</f>
        <v>0</v>
      </c>
      <c r="G33" s="44"/>
      <c r="H33" s="587"/>
      <c r="I33" s="587" t="s">
        <v>1937</v>
      </c>
      <c r="J33" s="44"/>
      <c r="K33" s="290" t="s">
        <v>1937</v>
      </c>
      <c r="L33" s="44" t="s">
        <v>1311</v>
      </c>
      <c r="M33" s="44"/>
      <c r="N33" s="44"/>
      <c r="O33" s="44"/>
      <c r="P33" s="44"/>
      <c r="Q33" s="44"/>
      <c r="R33" s="44"/>
      <c r="S33" s="44"/>
      <c r="T33" s="365" t="b" cm="1">
        <f t="array" ref="T33">T32</f>
        <v>0</v>
      </c>
      <c r="U33" s="44"/>
      <c r="V33" s="44"/>
      <c r="W33" s="44"/>
      <c r="X33" s="1094"/>
      <c r="Z33" s="1065"/>
      <c r="AB33" s="26" t="s">
        <v>1938</v>
      </c>
      <c r="AC33" s="553" t="s">
        <v>1728</v>
      </c>
      <c r="AD33" s="28" t="s">
        <v>804</v>
      </c>
      <c r="AE33" s="190">
        <f ca="1">SUMIFS('Сырье и материалы'!AE$25:AE$96,'Сырье и материалы'!$F$25:$F$96,$F33,'Сырье и материалы'!$I$25:$I$96,"Материалы")</f>
        <v>0</v>
      </c>
      <c r="AF33" s="190">
        <f ca="1">SUMIFS('Сырье и материалы'!AF$25:AF$96,'Сырье и материалы'!$F$25:$F$96,$F33,'Сырье и материалы'!$I$25:$I$96,"Материалы")</f>
        <v>0</v>
      </c>
      <c r="AG33" s="190">
        <f ca="1">SUMIFS('Сырье и материалы'!AG$25:AG$96,'Сырье и материалы'!$F$25:$F$96,$F33,'Сырье и материалы'!$I$25:$I$96,"Материалы")</f>
        <v>0</v>
      </c>
      <c r="AH33" s="190">
        <f t="shared" ca="1" si="3"/>
        <v>0</v>
      </c>
      <c r="AI33" s="190">
        <f ca="1">SUMIFS('Сырье и материалы'!AH$25:AH$96,'Сырье и материалы'!$F$25:$F$96,$F33,'Сырье и материалы'!$I$25:$I$96,"Материалы")</f>
        <v>0</v>
      </c>
      <c r="AJ33" s="190">
        <f ca="1">SUMIFS('Сырье и материалы'!AI$25:AI$96,'Сырье и материалы'!$F$25:$F$96,$F33,'Сырье и материалы'!$I$25:$I$96,"Материалы")</f>
        <v>0</v>
      </c>
      <c r="AK33" s="552"/>
      <c r="AL33" s="552"/>
      <c r="AM33" s="552"/>
      <c r="AN33" s="552"/>
      <c r="AO33" s="552"/>
      <c r="AP33" s="552"/>
      <c r="AQ33" s="552"/>
      <c r="AR33" s="552"/>
      <c r="AS33" s="552"/>
      <c r="AT33" s="190">
        <f ca="1">SUMIFS('Сырье и материалы'!AS$25:AS$96,'Сырье и материалы'!$F$25:$F$96,$F33,'Сырье и материалы'!$I$25:$I$96,"Материалы")</f>
        <v>0</v>
      </c>
      <c r="AU33" s="552"/>
      <c r="AV33" s="552"/>
      <c r="AW33" s="552"/>
      <c r="AX33" s="552"/>
      <c r="AY33" s="552"/>
      <c r="AZ33" s="552"/>
      <c r="BA33" s="552"/>
      <c r="BB33" s="552"/>
      <c r="BC33" s="552"/>
      <c r="BD33" s="190">
        <f t="shared" ca="1" si="6"/>
        <v>0</v>
      </c>
      <c r="BE33" s="552"/>
      <c r="BF33" s="552"/>
      <c r="BG33" s="552"/>
      <c r="BH33" s="552"/>
      <c r="BI33" s="552"/>
      <c r="BJ33" s="552"/>
      <c r="BK33" s="552"/>
      <c r="BL33" s="552"/>
      <c r="BM33" s="552"/>
      <c r="BN33" s="784"/>
      <c r="BO33" s="784"/>
      <c r="BP33" s="784"/>
      <c r="BS33" s="703" t="s">
        <v>1729</v>
      </c>
    </row>
    <row r="34" spans="2:75" ht="21.95" hidden="1" customHeight="1">
      <c r="C34" s="44"/>
      <c r="D34" s="44"/>
      <c r="E34" s="462">
        <v>22.5</v>
      </c>
      <c r="F34" s="3" cm="1">
        <f t="array" aca="1" ref="F34" ca="1">OFFSET(E34,-1,1)</f>
        <v>0</v>
      </c>
      <c r="G34" s="44"/>
      <c r="H34" s="587"/>
      <c r="I34" s="587" t="s">
        <v>1339</v>
      </c>
      <c r="J34" s="44"/>
      <c r="K34" s="290" t="s">
        <v>1339</v>
      </c>
      <c r="L34" s="44" t="s">
        <v>468</v>
      </c>
      <c r="M34" s="44"/>
      <c r="N34" s="44"/>
      <c r="O34" s="44"/>
      <c r="P34" s="44"/>
      <c r="Q34" s="44"/>
      <c r="R34" s="44"/>
      <c r="S34" s="44"/>
      <c r="T34" s="365" t="b" cm="1">
        <f t="array" ref="T34">T33</f>
        <v>0</v>
      </c>
      <c r="U34" s="44"/>
      <c r="V34" s="44"/>
      <c r="W34" s="44"/>
      <c r="X34" s="1094"/>
      <c r="Z34" s="1065"/>
      <c r="AB34" s="26" t="s">
        <v>1340</v>
      </c>
      <c r="AC34" s="153" t="s">
        <v>1939</v>
      </c>
      <c r="AD34" s="28" t="s">
        <v>804</v>
      </c>
      <c r="AE34" s="787"/>
      <c r="AF34" s="787"/>
      <c r="AG34" s="787"/>
      <c r="AH34" s="190">
        <f t="shared" si="3"/>
        <v>0</v>
      </c>
      <c r="AI34" s="787"/>
      <c r="AJ34" s="787"/>
      <c r="AK34" s="552"/>
      <c r="AL34" s="552"/>
      <c r="AM34" s="552"/>
      <c r="AN34" s="552"/>
      <c r="AO34" s="552"/>
      <c r="AP34" s="552"/>
      <c r="AQ34" s="552"/>
      <c r="AR34" s="552"/>
      <c r="AS34" s="552"/>
      <c r="AT34" s="787"/>
      <c r="AU34" s="552"/>
      <c r="AV34" s="552"/>
      <c r="AW34" s="552"/>
      <c r="AX34" s="552"/>
      <c r="AY34" s="552"/>
      <c r="AZ34" s="552"/>
      <c r="BA34" s="552"/>
      <c r="BB34" s="552"/>
      <c r="BC34" s="552"/>
      <c r="BD34" s="190">
        <f t="shared" si="6"/>
        <v>0</v>
      </c>
      <c r="BE34" s="552"/>
      <c r="BF34" s="552"/>
      <c r="BG34" s="552"/>
      <c r="BH34" s="552"/>
      <c r="BI34" s="552"/>
      <c r="BJ34" s="552"/>
      <c r="BK34" s="552"/>
      <c r="BL34" s="552"/>
      <c r="BM34" s="552"/>
      <c r="BN34" s="784"/>
      <c r="BO34" s="784"/>
      <c r="BP34" s="784"/>
      <c r="BS34" s="704" t="s">
        <v>1754</v>
      </c>
    </row>
    <row r="35" spans="2:75" ht="21.95" hidden="1" customHeight="1">
      <c r="C35" s="44"/>
      <c r="D35" s="44"/>
      <c r="E35" s="462">
        <v>22.5</v>
      </c>
      <c r="F35" s="3" cm="1">
        <f t="array" aca="1" ref="F35" ca="1">OFFSET(E35,-1,1)</f>
        <v>0</v>
      </c>
      <c r="G35" s="44"/>
      <c r="H35" s="587"/>
      <c r="I35" s="587" t="s">
        <v>1343</v>
      </c>
      <c r="J35" s="44"/>
      <c r="K35" s="290" t="s">
        <v>1343</v>
      </c>
      <c r="L35" s="44" t="s">
        <v>472</v>
      </c>
      <c r="M35" s="44"/>
      <c r="N35" s="44"/>
      <c r="O35" s="44"/>
      <c r="P35" s="44"/>
      <c r="Q35" s="44"/>
      <c r="R35" s="44"/>
      <c r="S35" s="44"/>
      <c r="T35" s="365" t="b" cm="1">
        <f t="array" ref="T35">T34</f>
        <v>0</v>
      </c>
      <c r="U35" s="44"/>
      <c r="V35" s="44"/>
      <c r="W35" s="44"/>
      <c r="X35" s="1094"/>
      <c r="Z35" s="1065"/>
      <c r="AB35" s="26" t="s">
        <v>1344</v>
      </c>
      <c r="AC35" s="153" t="s">
        <v>1940</v>
      </c>
      <c r="AD35" s="28" t="s">
        <v>804</v>
      </c>
      <c r="AE35" s="190">
        <f ca="1">AE36+AE37</f>
        <v>0</v>
      </c>
      <c r="AF35" s="190">
        <f ca="1">AF36+AF37</f>
        <v>0</v>
      </c>
      <c r="AG35" s="190">
        <f ca="1">AG36+AG37</f>
        <v>0</v>
      </c>
      <c r="AH35" s="190">
        <f t="shared" ca="1" si="3"/>
        <v>0</v>
      </c>
      <c r="AI35" s="190">
        <f ca="1">AI36+AI37</f>
        <v>0</v>
      </c>
      <c r="AJ35" s="190">
        <f ca="1">AJ36+AJ37</f>
        <v>0</v>
      </c>
      <c r="AK35" s="552"/>
      <c r="AL35" s="552"/>
      <c r="AM35" s="552"/>
      <c r="AN35" s="552"/>
      <c r="AO35" s="552"/>
      <c r="AP35" s="552"/>
      <c r="AQ35" s="552"/>
      <c r="AR35" s="552"/>
      <c r="AS35" s="552"/>
      <c r="AT35" s="190">
        <f ca="1">AT36+AT37</f>
        <v>0</v>
      </c>
      <c r="AU35" s="552"/>
      <c r="AV35" s="552"/>
      <c r="AW35" s="552"/>
      <c r="AX35" s="552"/>
      <c r="AY35" s="552"/>
      <c r="AZ35" s="552"/>
      <c r="BA35" s="552"/>
      <c r="BB35" s="552"/>
      <c r="BC35" s="552"/>
      <c r="BD35" s="190">
        <f t="shared" ca="1" si="6"/>
        <v>0</v>
      </c>
      <c r="BE35" s="552"/>
      <c r="BF35" s="552"/>
      <c r="BG35" s="552"/>
      <c r="BH35" s="552"/>
      <c r="BI35" s="552"/>
      <c r="BJ35" s="552"/>
      <c r="BK35" s="552"/>
      <c r="BL35" s="552"/>
      <c r="BM35" s="552"/>
      <c r="BN35" s="784"/>
      <c r="BO35" s="784"/>
      <c r="BP35" s="784"/>
      <c r="BS35" s="704" t="s">
        <v>1941</v>
      </c>
    </row>
    <row r="36" spans="2:75" ht="14.65" hidden="1" customHeight="1">
      <c r="C36" s="44"/>
      <c r="D36" s="44"/>
      <c r="E36" s="462">
        <v>15</v>
      </c>
      <c r="F36" s="3" cm="1">
        <f t="array" aca="1" ref="F36" ca="1">OFFSET(E36,-1,1)</f>
        <v>0</v>
      </c>
      <c r="G36" s="280" t="s">
        <v>1156</v>
      </c>
      <c r="H36" s="587"/>
      <c r="I36" s="587" t="s">
        <v>1487</v>
      </c>
      <c r="J36" s="44"/>
      <c r="K36" s="290" t="s">
        <v>1487</v>
      </c>
      <c r="L36" s="44" t="s">
        <v>1363</v>
      </c>
      <c r="M36" s="44"/>
      <c r="N36" s="44"/>
      <c r="O36" s="44"/>
      <c r="P36" s="44"/>
      <c r="Q36" s="44"/>
      <c r="R36" s="44"/>
      <c r="S36" s="44"/>
      <c r="T36" s="365" t="b" cm="1">
        <f t="array" ref="T36">T35</f>
        <v>0</v>
      </c>
      <c r="U36" s="44"/>
      <c r="V36" s="44"/>
      <c r="W36" s="44"/>
      <c r="X36" s="1094"/>
      <c r="Z36" s="1065"/>
      <c r="AB36" s="26" t="s">
        <v>1942</v>
      </c>
      <c r="AC36" s="553" t="s">
        <v>1757</v>
      </c>
      <c r="AD36" s="28" t="s">
        <v>804</v>
      </c>
      <c r="AE36" s="190">
        <f ca="1">SUMIFS(ФОТ!AE$25:AE$102,ФОТ!$F$25:$F$102,$F36,ФОТ!$G$25:$G$102,$G36)</f>
        <v>0</v>
      </c>
      <c r="AF36" s="190">
        <f ca="1">SUMIFS(ФОТ!AF$25:AF$102,ФОТ!$F$25:$F$102,$F36,ФОТ!$G$25:$G$102,$G36)</f>
        <v>0</v>
      </c>
      <c r="AG36" s="190">
        <f ca="1">SUMIFS(ФОТ!AG$25:AG$102,ФОТ!$F$25:$F$102,$F36,ФОТ!$G$25:$G$102,$G36)</f>
        <v>0</v>
      </c>
      <c r="AH36" s="190">
        <f t="shared" ca="1" si="3"/>
        <v>0</v>
      </c>
      <c r="AI36" s="190">
        <f ca="1">SUMIFS(ФОТ!AH$25:AH$102,ФОТ!$F$25:$F$102,$F36,ФОТ!$G$25:$G$102,$G36)</f>
        <v>0</v>
      </c>
      <c r="AJ36" s="190">
        <f ca="1">SUMIFS(ФОТ!AI$25:AI$102,ФОТ!$F$25:$F$102,$F36,ФОТ!$G$25:$G$102,$G36)</f>
        <v>0</v>
      </c>
      <c r="AK36" s="552"/>
      <c r="AL36" s="552"/>
      <c r="AM36" s="552"/>
      <c r="AN36" s="552"/>
      <c r="AO36" s="552"/>
      <c r="AP36" s="552"/>
      <c r="AQ36" s="552"/>
      <c r="AR36" s="552"/>
      <c r="AS36" s="552"/>
      <c r="AT36" s="190">
        <f ca="1">SUMIFS(ФОТ!AJ$25:AJ$102,ФОТ!$F$25:$F$102,$F36,ФОТ!$G$25:$G$102,$G36)</f>
        <v>0</v>
      </c>
      <c r="AU36" s="552"/>
      <c r="AV36" s="552"/>
      <c r="AW36" s="552"/>
      <c r="AX36" s="552"/>
      <c r="AY36" s="552"/>
      <c r="AZ36" s="552"/>
      <c r="BA36" s="552"/>
      <c r="BB36" s="552"/>
      <c r="BC36" s="552"/>
      <c r="BD36" s="190">
        <f t="shared" ca="1" si="6"/>
        <v>0</v>
      </c>
      <c r="BE36" s="552"/>
      <c r="BF36" s="552"/>
      <c r="BG36" s="552"/>
      <c r="BH36" s="552"/>
      <c r="BI36" s="552"/>
      <c r="BJ36" s="552"/>
      <c r="BK36" s="552"/>
      <c r="BL36" s="552"/>
      <c r="BM36" s="552"/>
      <c r="BN36" s="784"/>
      <c r="BO36" s="788" t="str">
        <f ca="1">IF(IFERROR(INDEX(ФОТ!$K$26:$L$102,MATCH($F36&amp;"1komm",ФОТ!$K$26:$K$102,0),2),"")=0,"",IFERROR(INDEX(ФОТ!$K$26:$L$102,MATCH($F36&amp;"1komm",ФОТ!$K$26:$K$102,0),2),""))</f>
        <v/>
      </c>
      <c r="BP36" s="784"/>
      <c r="BS36" s="703" t="s">
        <v>1758</v>
      </c>
    </row>
    <row r="37" spans="2:75" ht="21.95" hidden="1" customHeight="1">
      <c r="C37" s="44"/>
      <c r="D37" s="44"/>
      <c r="E37" s="462">
        <v>22.5</v>
      </c>
      <c r="F37" s="3" cm="1">
        <f t="array" aca="1" ref="F37" ca="1">OFFSET(E37,-1,1)</f>
        <v>0</v>
      </c>
      <c r="G37" s="280" t="s">
        <v>1168</v>
      </c>
      <c r="H37" s="587"/>
      <c r="I37" s="587" t="s">
        <v>1491</v>
      </c>
      <c r="J37" s="44"/>
      <c r="K37" s="290" t="s">
        <v>1491</v>
      </c>
      <c r="L37" s="44" t="s">
        <v>1364</v>
      </c>
      <c r="M37" s="44"/>
      <c r="N37" s="44"/>
      <c r="O37" s="44"/>
      <c r="P37" s="44"/>
      <c r="Q37" s="44"/>
      <c r="R37" s="44"/>
      <c r="S37" s="44"/>
      <c r="T37" s="365" t="b" cm="1">
        <f t="array" ref="T37">T36</f>
        <v>0</v>
      </c>
      <c r="U37" s="44"/>
      <c r="V37" s="44"/>
      <c r="W37" s="44"/>
      <c r="X37" s="1094"/>
      <c r="Z37" s="1065"/>
      <c r="AB37" s="26" t="s">
        <v>1943</v>
      </c>
      <c r="AC37" s="553" t="s">
        <v>1944</v>
      </c>
      <c r="AD37" s="28" t="s">
        <v>804</v>
      </c>
      <c r="AE37" s="190">
        <f ca="1">SUMIFS(ФОТ!AE$25:AE$102,ФОТ!$F$25:$F$102,$F37,ФОТ!$G$25:$G$102,$G37)</f>
        <v>0</v>
      </c>
      <c r="AF37" s="190">
        <f ca="1">SUMIFS(ФОТ!AF$25:AF$102,ФОТ!$F$25:$F$102,$F37,ФОТ!$G$25:$G$102,$G37)</f>
        <v>0</v>
      </c>
      <c r="AG37" s="190">
        <f ca="1">SUMIFS(ФОТ!AG$25:AG$102,ФОТ!$F$25:$F$102,$F37,ФОТ!$G$25:$G$102,$G37)</f>
        <v>0</v>
      </c>
      <c r="AH37" s="190">
        <f t="shared" ca="1" si="3"/>
        <v>0</v>
      </c>
      <c r="AI37" s="190">
        <f ca="1">SUMIFS(ФОТ!AH$25:AH$102,ФОТ!$F$25:$F$102,$F37,ФОТ!$G$25:$G$102,$G37)</f>
        <v>0</v>
      </c>
      <c r="AJ37" s="190">
        <f ca="1">SUMIFS(ФОТ!AI$25:AI$102,ФОТ!$F$25:$F$102,$F37,ФОТ!$G$25:$G$102,$G37)</f>
        <v>0</v>
      </c>
      <c r="AK37" s="552"/>
      <c r="AL37" s="552"/>
      <c r="AM37" s="552"/>
      <c r="AN37" s="552"/>
      <c r="AO37" s="552"/>
      <c r="AP37" s="552"/>
      <c r="AQ37" s="552"/>
      <c r="AR37" s="552"/>
      <c r="AS37" s="552"/>
      <c r="AT37" s="190">
        <f ca="1">SUMIFS(ФОТ!AJ$25:AJ$102,ФОТ!$F$25:$F$102,$F37,ФОТ!$G$25:$G$102,$G37)</f>
        <v>0</v>
      </c>
      <c r="AU37" s="552"/>
      <c r="AV37" s="552"/>
      <c r="AW37" s="552"/>
      <c r="AX37" s="552"/>
      <c r="AY37" s="552"/>
      <c r="AZ37" s="552"/>
      <c r="BA37" s="552"/>
      <c r="BB37" s="552"/>
      <c r="BC37" s="552"/>
      <c r="BD37" s="190">
        <f t="shared" ca="1" si="6"/>
        <v>0</v>
      </c>
      <c r="BE37" s="552"/>
      <c r="BF37" s="552"/>
      <c r="BG37" s="552"/>
      <c r="BH37" s="552"/>
      <c r="BI37" s="552"/>
      <c r="BJ37" s="552"/>
      <c r="BK37" s="552"/>
      <c r="BL37" s="552"/>
      <c r="BM37" s="552"/>
      <c r="BN37" s="784"/>
      <c r="BO37" s="788" t="str">
        <f ca="1">IF(IFERROR(INDEX(ФОТ!$K$26:$L$102,MATCH($F37&amp;"2komm",ФОТ!$K$26:$K$102,0),2),"")=0,"",IFERROR(INDEX(ФОТ!$K$26:$L$102,MATCH($F37&amp;"2komm",ФОТ!$K$26:$K$102,0),2),""))</f>
        <v/>
      </c>
      <c r="BP37" s="784"/>
      <c r="BS37" s="703" t="s">
        <v>1760</v>
      </c>
    </row>
    <row r="38" spans="2:75" ht="14.65" hidden="1" customHeight="1">
      <c r="C38" s="44"/>
      <c r="D38" s="44"/>
      <c r="E38" s="462">
        <v>15</v>
      </c>
      <c r="F38" s="3" cm="1">
        <f t="array" aca="1" ref="F38" ca="1">OFFSET(E38,-1,1)</f>
        <v>0</v>
      </c>
      <c r="G38" s="44"/>
      <c r="H38" s="587"/>
      <c r="I38" s="587" t="s">
        <v>1502</v>
      </c>
      <c r="J38" s="44"/>
      <c r="K38" s="290" t="s">
        <v>1502</v>
      </c>
      <c r="L38" s="44" t="s">
        <v>1762</v>
      </c>
      <c r="M38" s="44"/>
      <c r="N38" s="44"/>
      <c r="O38" s="44"/>
      <c r="P38" s="44"/>
      <c r="Q38" s="44"/>
      <c r="R38" s="44"/>
      <c r="S38" s="44"/>
      <c r="T38" s="365" t="b" cm="1">
        <f t="array" ref="T38">T37</f>
        <v>0</v>
      </c>
      <c r="U38" s="44"/>
      <c r="V38" s="44"/>
      <c r="W38" s="44"/>
      <c r="X38" s="1094"/>
      <c r="Z38" s="1065"/>
      <c r="AB38" s="26" t="s">
        <v>1736</v>
      </c>
      <c r="AC38" s="153" t="s">
        <v>1945</v>
      </c>
      <c r="AD38" s="28" t="s">
        <v>804</v>
      </c>
      <c r="AE38" s="787"/>
      <c r="AF38" s="787"/>
      <c r="AG38" s="787"/>
      <c r="AH38" s="190">
        <f t="shared" si="3"/>
        <v>0</v>
      </c>
      <c r="AI38" s="787"/>
      <c r="AJ38" s="787"/>
      <c r="AK38" s="552"/>
      <c r="AL38" s="552"/>
      <c r="AM38" s="552"/>
      <c r="AN38" s="552"/>
      <c r="AO38" s="552"/>
      <c r="AP38" s="552"/>
      <c r="AQ38" s="552"/>
      <c r="AR38" s="552"/>
      <c r="AS38" s="552"/>
      <c r="AT38" s="787"/>
      <c r="AU38" s="552"/>
      <c r="AV38" s="552"/>
      <c r="AW38" s="552"/>
      <c r="AX38" s="552"/>
      <c r="AY38" s="552"/>
      <c r="AZ38" s="552"/>
      <c r="BA38" s="552"/>
      <c r="BB38" s="552"/>
      <c r="BC38" s="552"/>
      <c r="BD38" s="190">
        <f t="shared" si="6"/>
        <v>0</v>
      </c>
      <c r="BE38" s="552"/>
      <c r="BF38" s="552"/>
      <c r="BG38" s="552"/>
      <c r="BH38" s="552"/>
      <c r="BI38" s="552"/>
      <c r="BJ38" s="552"/>
      <c r="BK38" s="552"/>
      <c r="BL38" s="552"/>
      <c r="BM38" s="552"/>
      <c r="BN38" s="784"/>
      <c r="BO38" s="784"/>
      <c r="BP38" s="784"/>
      <c r="BS38" s="704" t="s">
        <v>1765</v>
      </c>
    </row>
    <row r="39" spans="2:75" ht="14.65" hidden="1" customHeight="1">
      <c r="C39" s="44"/>
      <c r="D39" s="44"/>
      <c r="E39" s="462">
        <v>15</v>
      </c>
      <c r="F39" s="3" cm="1">
        <f t="array" aca="1" ref="F39" ca="1">OFFSET(E39,-1,1)</f>
        <v>0</v>
      </c>
      <c r="G39" s="44"/>
      <c r="H39" s="587"/>
      <c r="I39" s="587" t="s">
        <v>1506</v>
      </c>
      <c r="J39" s="44"/>
      <c r="K39" s="290" t="s">
        <v>1506</v>
      </c>
      <c r="L39" s="44" t="s">
        <v>1766</v>
      </c>
      <c r="N39" s="44"/>
      <c r="O39" s="44"/>
      <c r="P39" s="44"/>
      <c r="Q39" s="44"/>
      <c r="R39" s="44"/>
      <c r="S39" s="44"/>
      <c r="T39" s="365" t="b" cm="1">
        <f t="array" ref="T39">T38</f>
        <v>0</v>
      </c>
      <c r="U39" s="44"/>
      <c r="V39" s="44"/>
      <c r="W39" s="44"/>
      <c r="X39" s="1094"/>
      <c r="Z39" s="1065"/>
      <c r="AB39" s="26" t="s">
        <v>1738</v>
      </c>
      <c r="AC39" s="153" t="s">
        <v>1946</v>
      </c>
      <c r="AD39" s="26" t="s">
        <v>804</v>
      </c>
      <c r="AE39" s="190">
        <f>SUM(AE40:AE46)</f>
        <v>0</v>
      </c>
      <c r="AF39" s="190">
        <f>SUM(AF40:AF46)</f>
        <v>0</v>
      </c>
      <c r="AG39" s="190">
        <f>SUM(AG40:AG46)</f>
        <v>0</v>
      </c>
      <c r="AH39" s="190">
        <f t="shared" si="3"/>
        <v>0</v>
      </c>
      <c r="AI39" s="190">
        <f>SUM(AI40:AI46)</f>
        <v>0</v>
      </c>
      <c r="AJ39" s="190">
        <f>SUM(AJ40:AJ46)</f>
        <v>0</v>
      </c>
      <c r="AK39" s="552"/>
      <c r="AL39" s="552"/>
      <c r="AM39" s="552"/>
      <c r="AN39" s="552"/>
      <c r="AO39" s="552"/>
      <c r="AP39" s="552"/>
      <c r="AQ39" s="552"/>
      <c r="AR39" s="552"/>
      <c r="AS39" s="552"/>
      <c r="AT39" s="190">
        <f>SUM(AT40:AT46)</f>
        <v>0</v>
      </c>
      <c r="AU39" s="552"/>
      <c r="AV39" s="552"/>
      <c r="AW39" s="552"/>
      <c r="AX39" s="552"/>
      <c r="AY39" s="552"/>
      <c r="AZ39" s="552"/>
      <c r="BA39" s="552"/>
      <c r="BB39" s="552"/>
      <c r="BC39" s="552"/>
      <c r="BD39" s="190">
        <f t="shared" si="6"/>
        <v>0</v>
      </c>
      <c r="BE39" s="552"/>
      <c r="BF39" s="552"/>
      <c r="BG39" s="552"/>
      <c r="BH39" s="552"/>
      <c r="BI39" s="552"/>
      <c r="BJ39" s="552"/>
      <c r="BK39" s="552"/>
      <c r="BL39" s="552"/>
      <c r="BM39" s="552"/>
      <c r="BN39" s="784"/>
      <c r="BO39" s="784"/>
      <c r="BP39" s="784"/>
      <c r="BS39" s="704" t="s">
        <v>1947</v>
      </c>
    </row>
    <row r="40" spans="2:75" ht="14.65" hidden="1" customHeight="1">
      <c r="C40" s="44"/>
      <c r="D40" s="44"/>
      <c r="E40" s="462">
        <v>15</v>
      </c>
      <c r="F40" s="3" cm="1">
        <f t="array" aca="1" ref="F40" ca="1">OFFSET(E40,-1,1)</f>
        <v>0</v>
      </c>
      <c r="G40" s="44"/>
      <c r="H40" s="587"/>
      <c r="I40" s="587" t="s">
        <v>1948</v>
      </c>
      <c r="J40" s="44"/>
      <c r="K40" s="290" t="s">
        <v>1948</v>
      </c>
      <c r="L40" s="44" t="s">
        <v>1766</v>
      </c>
      <c r="M40" s="44" t="s">
        <v>1774</v>
      </c>
      <c r="N40" s="44"/>
      <c r="O40" s="44"/>
      <c r="P40" s="44"/>
      <c r="Q40" s="44"/>
      <c r="R40" s="44"/>
      <c r="S40" s="44"/>
      <c r="T40" s="365" t="b" cm="1">
        <f t="array" ref="T40">T39</f>
        <v>0</v>
      </c>
      <c r="U40" s="44"/>
      <c r="V40" s="44"/>
      <c r="W40" s="44"/>
      <c r="X40" s="1094"/>
      <c r="Z40" s="1065"/>
      <c r="AB40" s="26" t="s">
        <v>1949</v>
      </c>
      <c r="AC40" s="553" t="s">
        <v>1950</v>
      </c>
      <c r="AD40" s="26" t="s">
        <v>804</v>
      </c>
      <c r="AE40" s="787"/>
      <c r="AF40" s="787"/>
      <c r="AG40" s="787"/>
      <c r="AH40" s="190">
        <f t="shared" si="3"/>
        <v>0</v>
      </c>
      <c r="AI40" s="787"/>
      <c r="AJ40" s="787"/>
      <c r="AK40" s="552"/>
      <c r="AL40" s="552"/>
      <c r="AM40" s="552"/>
      <c r="AN40" s="552"/>
      <c r="AO40" s="552"/>
      <c r="AP40" s="552"/>
      <c r="AQ40" s="552"/>
      <c r="AR40" s="552"/>
      <c r="AS40" s="552"/>
      <c r="AT40" s="787"/>
      <c r="AU40" s="552"/>
      <c r="AV40" s="552"/>
      <c r="AW40" s="552"/>
      <c r="AX40" s="552"/>
      <c r="AY40" s="552"/>
      <c r="AZ40" s="552"/>
      <c r="BA40" s="552"/>
      <c r="BB40" s="552"/>
      <c r="BC40" s="552"/>
      <c r="BD40" s="190">
        <f t="shared" si="6"/>
        <v>0</v>
      </c>
      <c r="BE40" s="552"/>
      <c r="BF40" s="552"/>
      <c r="BG40" s="552"/>
      <c r="BH40" s="552"/>
      <c r="BI40" s="552"/>
      <c r="BJ40" s="552"/>
      <c r="BK40" s="552"/>
      <c r="BL40" s="552"/>
      <c r="BM40" s="552"/>
      <c r="BN40" s="784"/>
      <c r="BO40" s="784"/>
      <c r="BP40" s="784"/>
      <c r="BS40" s="703" t="s">
        <v>1777</v>
      </c>
    </row>
    <row r="41" spans="2:75" ht="21.95" hidden="1" customHeight="1">
      <c r="C41" s="44"/>
      <c r="D41" s="44"/>
      <c r="E41" s="462">
        <v>22.5</v>
      </c>
      <c r="F41" s="3" cm="1">
        <f t="array" aca="1" ref="F41" ca="1">OFFSET(E41,-1,1)</f>
        <v>0</v>
      </c>
      <c r="G41" s="44"/>
      <c r="H41" s="587"/>
      <c r="I41" s="587" t="s">
        <v>1951</v>
      </c>
      <c r="J41" s="44"/>
      <c r="K41" s="290" t="s">
        <v>1951</v>
      </c>
      <c r="L41" s="44" t="s">
        <v>1766</v>
      </c>
      <c r="M41" s="44" t="s">
        <v>1770</v>
      </c>
      <c r="N41" s="44"/>
      <c r="O41" s="44"/>
      <c r="P41" s="44"/>
      <c r="Q41" s="44"/>
      <c r="R41" s="44"/>
      <c r="S41" s="44"/>
      <c r="T41" s="365" t="b" cm="1">
        <f t="array" ref="T41">T40</f>
        <v>0</v>
      </c>
      <c r="U41" s="44"/>
      <c r="V41" s="44"/>
      <c r="W41" s="44"/>
      <c r="X41" s="1094"/>
      <c r="Z41" s="1065"/>
      <c r="AB41" s="26" t="s">
        <v>1952</v>
      </c>
      <c r="AC41" s="553" t="s">
        <v>1953</v>
      </c>
      <c r="AD41" s="26" t="s">
        <v>804</v>
      </c>
      <c r="AE41" s="787"/>
      <c r="AF41" s="787"/>
      <c r="AG41" s="787"/>
      <c r="AH41" s="190">
        <f t="shared" si="3"/>
        <v>0</v>
      </c>
      <c r="AI41" s="787"/>
      <c r="AJ41" s="787"/>
      <c r="AK41" s="552"/>
      <c r="AL41" s="552"/>
      <c r="AM41" s="552"/>
      <c r="AN41" s="552"/>
      <c r="AO41" s="552"/>
      <c r="AP41" s="552"/>
      <c r="AQ41" s="552"/>
      <c r="AR41" s="552"/>
      <c r="AS41" s="552"/>
      <c r="AT41" s="787"/>
      <c r="AU41" s="552"/>
      <c r="AV41" s="552"/>
      <c r="AW41" s="552"/>
      <c r="AX41" s="552"/>
      <c r="AY41" s="552"/>
      <c r="AZ41" s="552"/>
      <c r="BA41" s="552"/>
      <c r="BB41" s="552"/>
      <c r="BC41" s="552"/>
      <c r="BD41" s="190">
        <f t="shared" si="6"/>
        <v>0</v>
      </c>
      <c r="BE41" s="552"/>
      <c r="BF41" s="552"/>
      <c r="BG41" s="552"/>
      <c r="BH41" s="552"/>
      <c r="BI41" s="552"/>
      <c r="BJ41" s="552"/>
      <c r="BK41" s="552"/>
      <c r="BL41" s="552"/>
      <c r="BM41" s="552"/>
      <c r="BN41" s="784"/>
      <c r="BO41" s="784"/>
      <c r="BP41" s="784"/>
      <c r="BS41" s="705" t="s">
        <v>1954</v>
      </c>
    </row>
    <row r="42" spans="2:75" ht="21.95" hidden="1" customHeight="1">
      <c r="C42" s="44"/>
      <c r="D42" s="44"/>
      <c r="E42" s="462">
        <v>22.5</v>
      </c>
      <c r="F42" s="3" cm="1">
        <f t="array" aca="1" ref="F42" ca="1">OFFSET(E42,-1,1)</f>
        <v>0</v>
      </c>
      <c r="G42" s="44"/>
      <c r="H42" s="587"/>
      <c r="I42" s="587" t="s">
        <v>1955</v>
      </c>
      <c r="J42" s="44"/>
      <c r="K42" s="290" t="s">
        <v>1955</v>
      </c>
      <c r="N42" s="44"/>
      <c r="O42" s="44"/>
      <c r="P42" s="44"/>
      <c r="Q42" s="44"/>
      <c r="R42" s="44"/>
      <c r="S42" s="44"/>
      <c r="T42" s="365" t="b" cm="1">
        <f t="array" ref="T42">T41</f>
        <v>0</v>
      </c>
      <c r="U42" s="44"/>
      <c r="V42" s="44"/>
      <c r="W42" s="44"/>
      <c r="X42" s="1094"/>
      <c r="Z42" s="1065"/>
      <c r="AB42" s="26" t="s">
        <v>1956</v>
      </c>
      <c r="AC42" s="554" t="s">
        <v>1957</v>
      </c>
      <c r="AD42" s="26" t="s">
        <v>804</v>
      </c>
      <c r="AE42" s="787"/>
      <c r="AF42" s="787"/>
      <c r="AG42" s="787"/>
      <c r="AH42" s="190">
        <f t="shared" si="3"/>
        <v>0</v>
      </c>
      <c r="AI42" s="787"/>
      <c r="AJ42" s="787"/>
      <c r="AK42" s="552"/>
      <c r="AL42" s="552"/>
      <c r="AM42" s="552"/>
      <c r="AN42" s="552"/>
      <c r="AO42" s="552"/>
      <c r="AP42" s="552"/>
      <c r="AQ42" s="552"/>
      <c r="AR42" s="552"/>
      <c r="AS42" s="552"/>
      <c r="AT42" s="787"/>
      <c r="AU42" s="552"/>
      <c r="AV42" s="552"/>
      <c r="AW42" s="552"/>
      <c r="AX42" s="552"/>
      <c r="AY42" s="552"/>
      <c r="AZ42" s="552"/>
      <c r="BA42" s="552"/>
      <c r="BB42" s="552"/>
      <c r="BC42" s="552"/>
      <c r="BD42" s="190">
        <f t="shared" si="6"/>
        <v>0</v>
      </c>
      <c r="BE42" s="552"/>
      <c r="BF42" s="552"/>
      <c r="BG42" s="552"/>
      <c r="BH42" s="552"/>
      <c r="BI42" s="552"/>
      <c r="BJ42" s="552"/>
      <c r="BK42" s="552"/>
      <c r="BL42" s="552"/>
      <c r="BM42" s="552"/>
      <c r="BN42" s="784"/>
      <c r="BO42" s="784"/>
      <c r="BP42" s="784"/>
      <c r="BS42" s="705" t="s">
        <v>1958</v>
      </c>
    </row>
    <row r="43" spans="2:75" ht="21.95" hidden="1" customHeight="1">
      <c r="C43" s="44"/>
      <c r="D43" s="44"/>
      <c r="E43" s="462">
        <v>22.5</v>
      </c>
      <c r="F43" s="3" cm="1">
        <f t="array" aca="1" ref="F43" ca="1">OFFSET(E43,-1,1)</f>
        <v>0</v>
      </c>
      <c r="G43" s="44"/>
      <c r="H43" s="587"/>
      <c r="I43" s="587" t="s">
        <v>1959</v>
      </c>
      <c r="J43" s="44"/>
      <c r="K43" s="290" t="s">
        <v>1959</v>
      </c>
      <c r="L43" s="44"/>
      <c r="N43" s="44"/>
      <c r="O43" s="44"/>
      <c r="P43" s="44"/>
      <c r="Q43" s="44"/>
      <c r="R43" s="44"/>
      <c r="S43" s="44"/>
      <c r="T43" s="365" t="b" cm="1">
        <f t="array" ref="T43">T42</f>
        <v>0</v>
      </c>
      <c r="U43" s="44"/>
      <c r="V43" s="44"/>
      <c r="W43" s="44"/>
      <c r="X43" s="1094"/>
      <c r="Z43" s="1065"/>
      <c r="AB43" s="26" t="s">
        <v>1960</v>
      </c>
      <c r="AC43" s="554" t="s">
        <v>1961</v>
      </c>
      <c r="AD43" s="26" t="s">
        <v>804</v>
      </c>
      <c r="AE43" s="787"/>
      <c r="AF43" s="787"/>
      <c r="AG43" s="787"/>
      <c r="AH43" s="190">
        <f t="shared" si="3"/>
        <v>0</v>
      </c>
      <c r="AI43" s="787"/>
      <c r="AJ43" s="787"/>
      <c r="AK43" s="552"/>
      <c r="AL43" s="552"/>
      <c r="AM43" s="552"/>
      <c r="AN43" s="552"/>
      <c r="AO43" s="552"/>
      <c r="AP43" s="552"/>
      <c r="AQ43" s="552"/>
      <c r="AR43" s="552"/>
      <c r="AS43" s="552"/>
      <c r="AT43" s="787"/>
      <c r="AU43" s="552"/>
      <c r="AV43" s="552"/>
      <c r="AW43" s="552"/>
      <c r="AX43" s="552"/>
      <c r="AY43" s="552"/>
      <c r="AZ43" s="552"/>
      <c r="BA43" s="552"/>
      <c r="BB43" s="552"/>
      <c r="BC43" s="552"/>
      <c r="BD43" s="190">
        <f t="shared" si="6"/>
        <v>0</v>
      </c>
      <c r="BE43" s="552"/>
      <c r="BF43" s="552"/>
      <c r="BG43" s="552"/>
      <c r="BH43" s="552"/>
      <c r="BI43" s="552"/>
      <c r="BJ43" s="552"/>
      <c r="BK43" s="552"/>
      <c r="BL43" s="552"/>
      <c r="BM43" s="552"/>
      <c r="BN43" s="784"/>
      <c r="BO43" s="784"/>
      <c r="BP43" s="784"/>
      <c r="BS43" s="705" t="s">
        <v>1962</v>
      </c>
    </row>
    <row r="44" spans="2:75" ht="43.9" hidden="1" customHeight="1">
      <c r="C44" s="44"/>
      <c r="D44" s="44"/>
      <c r="E44" s="462">
        <v>45</v>
      </c>
      <c r="F44" s="3" cm="1">
        <f t="array" aca="1" ref="F44" ca="1">OFFSET(E44,-1,1)</f>
        <v>0</v>
      </c>
      <c r="G44" s="44"/>
      <c r="H44" s="587"/>
      <c r="I44" s="587" t="s">
        <v>1963</v>
      </c>
      <c r="J44" s="44"/>
      <c r="K44" s="290" t="s">
        <v>1963</v>
      </c>
      <c r="L44" s="44" t="s">
        <v>1766</v>
      </c>
      <c r="M44" s="44" t="s">
        <v>1778</v>
      </c>
      <c r="N44" s="44"/>
      <c r="O44" s="44"/>
      <c r="P44" s="44"/>
      <c r="Q44" s="44"/>
      <c r="R44" s="44"/>
      <c r="S44" s="44"/>
      <c r="T44" s="365" t="b" cm="1">
        <f t="array" ref="T44">T43</f>
        <v>0</v>
      </c>
      <c r="U44" s="44"/>
      <c r="V44" s="44"/>
      <c r="W44" s="44"/>
      <c r="X44" s="1094"/>
      <c r="Z44" s="1065"/>
      <c r="AB44" s="26" t="s">
        <v>1964</v>
      </c>
      <c r="AC44" s="553" t="s">
        <v>1965</v>
      </c>
      <c r="AD44" s="26" t="s">
        <v>804</v>
      </c>
      <c r="AE44" s="787"/>
      <c r="AF44" s="787"/>
      <c r="AG44" s="787"/>
      <c r="AH44" s="190">
        <f t="shared" si="3"/>
        <v>0</v>
      </c>
      <c r="AI44" s="787"/>
      <c r="AJ44" s="787"/>
      <c r="AK44" s="552"/>
      <c r="AL44" s="552"/>
      <c r="AM44" s="552"/>
      <c r="AN44" s="552"/>
      <c r="AO44" s="552"/>
      <c r="AP44" s="552"/>
      <c r="AQ44" s="552"/>
      <c r="AR44" s="552"/>
      <c r="AS44" s="552"/>
      <c r="AT44" s="787"/>
      <c r="AU44" s="552"/>
      <c r="AV44" s="552"/>
      <c r="AW44" s="552"/>
      <c r="AX44" s="552"/>
      <c r="AY44" s="552"/>
      <c r="AZ44" s="552"/>
      <c r="BA44" s="552"/>
      <c r="BB44" s="552"/>
      <c r="BC44" s="552"/>
      <c r="BD44" s="190">
        <f t="shared" si="6"/>
        <v>0</v>
      </c>
      <c r="BE44" s="552"/>
      <c r="BF44" s="552"/>
      <c r="BG44" s="552"/>
      <c r="BH44" s="552"/>
      <c r="BI44" s="552"/>
      <c r="BJ44" s="552"/>
      <c r="BK44" s="552"/>
      <c r="BL44" s="552"/>
      <c r="BM44" s="552"/>
      <c r="BN44" s="784"/>
      <c r="BO44" s="784"/>
      <c r="BP44" s="784"/>
      <c r="BS44" s="705" t="s">
        <v>1781</v>
      </c>
    </row>
    <row r="45" spans="2:75" ht="14.65" hidden="1" customHeight="1">
      <c r="C45" s="44"/>
      <c r="D45" s="44"/>
      <c r="E45" s="462">
        <v>15</v>
      </c>
      <c r="F45" s="3" cm="1">
        <f t="array" aca="1" ref="F45" ca="1">OFFSET(E45,-1,1)</f>
        <v>0</v>
      </c>
      <c r="G45" s="44"/>
      <c r="H45" s="587"/>
      <c r="I45" s="587" t="s">
        <v>1966</v>
      </c>
      <c r="J45" s="44"/>
      <c r="K45" s="290" t="s">
        <v>1966</v>
      </c>
      <c r="L45" s="44" t="s">
        <v>1766</v>
      </c>
      <c r="M45" s="44" t="s">
        <v>1782</v>
      </c>
      <c r="N45" s="44"/>
      <c r="O45" s="44"/>
      <c r="P45" s="44"/>
      <c r="Q45" s="44"/>
      <c r="R45" s="44"/>
      <c r="S45" s="44"/>
      <c r="T45" s="365" t="b" cm="1">
        <f t="array" ref="T45">T44</f>
        <v>0</v>
      </c>
      <c r="U45" s="44"/>
      <c r="V45" s="44"/>
      <c r="W45" s="44"/>
      <c r="X45" s="1094"/>
      <c r="Z45" s="1065"/>
      <c r="AB45" s="26" t="s">
        <v>1967</v>
      </c>
      <c r="AC45" s="553" t="s">
        <v>1784</v>
      </c>
      <c r="AD45" s="26" t="s">
        <v>804</v>
      </c>
      <c r="AE45" s="787"/>
      <c r="AF45" s="787"/>
      <c r="AG45" s="787"/>
      <c r="AH45" s="190">
        <f t="shared" si="3"/>
        <v>0</v>
      </c>
      <c r="AI45" s="787"/>
      <c r="AJ45" s="787"/>
      <c r="AK45" s="552"/>
      <c r="AL45" s="552"/>
      <c r="AM45" s="552"/>
      <c r="AN45" s="552"/>
      <c r="AO45" s="552"/>
      <c r="AP45" s="552"/>
      <c r="AQ45" s="552"/>
      <c r="AR45" s="552"/>
      <c r="AS45" s="552"/>
      <c r="AT45" s="787"/>
      <c r="AU45" s="552"/>
      <c r="AV45" s="552"/>
      <c r="AW45" s="552"/>
      <c r="AX45" s="552"/>
      <c r="AY45" s="552"/>
      <c r="AZ45" s="552"/>
      <c r="BA45" s="552"/>
      <c r="BB45" s="552"/>
      <c r="BC45" s="552"/>
      <c r="BD45" s="190">
        <f t="shared" si="6"/>
        <v>0</v>
      </c>
      <c r="BE45" s="552"/>
      <c r="BF45" s="552"/>
      <c r="BG45" s="552"/>
      <c r="BH45" s="552"/>
      <c r="BI45" s="552"/>
      <c r="BJ45" s="552"/>
      <c r="BK45" s="552"/>
      <c r="BL45" s="552"/>
      <c r="BM45" s="552"/>
      <c r="BN45" s="784"/>
      <c r="BO45" s="784"/>
      <c r="BP45" s="784"/>
      <c r="BS45" s="705" t="s">
        <v>1785</v>
      </c>
    </row>
    <row r="46" spans="2:75" ht="14.65" hidden="1" customHeight="1">
      <c r="C46" s="44"/>
      <c r="D46" s="44"/>
      <c r="E46" s="462">
        <v>15</v>
      </c>
      <c r="F46" s="3" cm="1">
        <f t="array" aca="1" ref="F46" ca="1">OFFSET(E46,-1,1)</f>
        <v>0</v>
      </c>
      <c r="G46" s="44"/>
      <c r="H46" s="587"/>
      <c r="I46" s="587" t="s">
        <v>1968</v>
      </c>
      <c r="J46" s="44"/>
      <c r="K46" s="290" t="s">
        <v>1968</v>
      </c>
      <c r="L46" s="44"/>
      <c r="M46" s="44"/>
      <c r="N46" s="44"/>
      <c r="O46" s="44"/>
      <c r="P46" s="44"/>
      <c r="Q46" s="44"/>
      <c r="R46" s="44"/>
      <c r="S46" s="44"/>
      <c r="T46" s="365" t="b" cm="1">
        <f t="array" ref="T46">T45</f>
        <v>0</v>
      </c>
      <c r="U46" s="44"/>
      <c r="V46" s="44"/>
      <c r="W46" s="44"/>
      <c r="X46" s="1094"/>
      <c r="Z46" s="1065"/>
      <c r="AB46" s="26" t="s">
        <v>1969</v>
      </c>
      <c r="AC46" s="553" t="s">
        <v>1970</v>
      </c>
      <c r="AD46" s="26" t="s">
        <v>804</v>
      </c>
      <c r="AE46" s="787"/>
      <c r="AF46" s="787"/>
      <c r="AG46" s="787"/>
      <c r="AH46" s="190">
        <f t="shared" si="3"/>
        <v>0</v>
      </c>
      <c r="AI46" s="787"/>
      <c r="AJ46" s="787"/>
      <c r="AK46" s="552"/>
      <c r="AL46" s="552"/>
      <c r="AM46" s="552"/>
      <c r="AN46" s="552"/>
      <c r="AO46" s="552"/>
      <c r="AP46" s="552"/>
      <c r="AQ46" s="552"/>
      <c r="AR46" s="552"/>
      <c r="AS46" s="552"/>
      <c r="AT46" s="787"/>
      <c r="AU46" s="552"/>
      <c r="AV46" s="552"/>
      <c r="AW46" s="552"/>
      <c r="AX46" s="552"/>
      <c r="AY46" s="552"/>
      <c r="AZ46" s="552"/>
      <c r="BA46" s="552"/>
      <c r="BB46" s="552"/>
      <c r="BC46" s="552"/>
      <c r="BD46" s="190">
        <f t="shared" si="6"/>
        <v>0</v>
      </c>
      <c r="BE46" s="552"/>
      <c r="BF46" s="552"/>
      <c r="BG46" s="552"/>
      <c r="BH46" s="552"/>
      <c r="BI46" s="552"/>
      <c r="BJ46" s="552"/>
      <c r="BK46" s="552"/>
      <c r="BL46" s="552"/>
      <c r="BM46" s="552"/>
      <c r="BN46" s="784"/>
      <c r="BO46" s="784"/>
      <c r="BP46" s="784"/>
      <c r="BS46" s="705" t="s">
        <v>1769</v>
      </c>
    </row>
    <row r="47" spans="2:75" s="95" customFormat="1" ht="20.45" hidden="1" customHeight="1">
      <c r="B47" s="344"/>
      <c r="C47" s="46"/>
      <c r="D47" s="46"/>
      <c r="E47" s="569">
        <v>21</v>
      </c>
      <c r="F47" s="3" cm="1">
        <f t="array" aca="1" ref="F47" ca="1">OFFSET(E47,-1,1)</f>
        <v>0</v>
      </c>
      <c r="G47" s="46"/>
      <c r="H47" s="587"/>
      <c r="I47" s="587" t="s">
        <v>468</v>
      </c>
      <c r="J47" s="46"/>
      <c r="K47" s="290" t="s">
        <v>468</v>
      </c>
      <c r="L47" s="46"/>
      <c r="M47" s="46"/>
      <c r="N47" s="46"/>
      <c r="O47" s="46"/>
      <c r="P47" s="46"/>
      <c r="Q47" s="46"/>
      <c r="R47" s="46"/>
      <c r="S47" s="46"/>
      <c r="T47" s="365" t="b" cm="1">
        <f t="array" ref="T47">T46</f>
        <v>0</v>
      </c>
      <c r="U47" s="46"/>
      <c r="V47" s="46"/>
      <c r="W47" s="46"/>
      <c r="X47" s="1094"/>
      <c r="Z47" s="1065"/>
      <c r="AB47" s="143" t="s">
        <v>903</v>
      </c>
      <c r="AC47" s="276" t="s">
        <v>1788</v>
      </c>
      <c r="AD47" s="143" t="s">
        <v>804</v>
      </c>
      <c r="AE47" s="145">
        <f ca="1">AE48+AE49+AE50</f>
        <v>0</v>
      </c>
      <c r="AF47" s="145">
        <f ca="1">AF48+AF49+AF50</f>
        <v>0</v>
      </c>
      <c r="AG47" s="145">
        <f ca="1">AG48+AG49+AG50</f>
        <v>0</v>
      </c>
      <c r="AH47" s="145">
        <f t="shared" ca="1" si="3"/>
        <v>0</v>
      </c>
      <c r="AI47" s="145">
        <f ca="1">AI48+AI49+AI50</f>
        <v>0</v>
      </c>
      <c r="AJ47" s="145">
        <f ca="1">AJ48+AJ49+AJ50</f>
        <v>0</v>
      </c>
      <c r="AK47" s="148"/>
      <c r="AL47" s="148"/>
      <c r="AM47" s="148"/>
      <c r="AN47" s="148"/>
      <c r="AO47" s="148"/>
      <c r="AP47" s="148"/>
      <c r="AQ47" s="148"/>
      <c r="AR47" s="148"/>
      <c r="AS47" s="148"/>
      <c r="AT47" s="145">
        <f ca="1">AT48+AT49+AT50</f>
        <v>0</v>
      </c>
      <c r="AU47" s="148"/>
      <c r="AV47" s="148"/>
      <c r="AW47" s="148"/>
      <c r="AX47" s="148"/>
      <c r="AY47" s="148"/>
      <c r="AZ47" s="148"/>
      <c r="BA47" s="148"/>
      <c r="BB47" s="148"/>
      <c r="BC47" s="148"/>
      <c r="BD47" s="145">
        <f t="shared" ca="1" si="6"/>
        <v>0</v>
      </c>
      <c r="BE47" s="148"/>
      <c r="BF47" s="148"/>
      <c r="BG47" s="148"/>
      <c r="BH47" s="148"/>
      <c r="BI47" s="148"/>
      <c r="BJ47" s="148"/>
      <c r="BK47" s="148"/>
      <c r="BL47" s="148"/>
      <c r="BM47" s="148"/>
      <c r="BN47" s="786"/>
      <c r="BO47" s="786"/>
      <c r="BP47" s="786"/>
      <c r="BS47" s="704" t="s">
        <v>1789</v>
      </c>
      <c r="BT47" s="711"/>
      <c r="BU47" s="711"/>
      <c r="BV47" s="522"/>
      <c r="BW47" s="522"/>
    </row>
    <row r="48" spans="2:75" ht="21.95" hidden="1" customHeight="1">
      <c r="C48" s="44"/>
      <c r="D48" s="44"/>
      <c r="E48" s="462">
        <v>22.5</v>
      </c>
      <c r="F48" s="3" cm="1">
        <f t="array" aca="1" ref="F48" ca="1">OFFSET(E48,-1,1)</f>
        <v>0</v>
      </c>
      <c r="G48" s="44"/>
      <c r="H48" s="587"/>
      <c r="I48" s="587" t="s">
        <v>1349</v>
      </c>
      <c r="J48" s="44"/>
      <c r="K48" s="290" t="s">
        <v>1349</v>
      </c>
      <c r="L48" s="44"/>
      <c r="M48" s="44"/>
      <c r="N48" s="44"/>
      <c r="O48" s="44"/>
      <c r="P48" s="44"/>
      <c r="Q48" s="44"/>
      <c r="R48" s="44"/>
      <c r="S48" s="44"/>
      <c r="T48" s="365" t="b" cm="1">
        <f t="array" ref="T48">T47</f>
        <v>0</v>
      </c>
      <c r="U48" s="44"/>
      <c r="V48" s="44"/>
      <c r="W48" s="44"/>
      <c r="X48" s="1094"/>
      <c r="Z48" s="1065"/>
      <c r="AB48" s="26" t="s">
        <v>1350</v>
      </c>
      <c r="AC48" s="153" t="s">
        <v>1971</v>
      </c>
      <c r="AD48" s="26" t="s">
        <v>804</v>
      </c>
      <c r="AE48" s="787"/>
      <c r="AF48" s="787"/>
      <c r="AG48" s="787"/>
      <c r="AH48" s="190">
        <f t="shared" si="3"/>
        <v>0</v>
      </c>
      <c r="AI48" s="787"/>
      <c r="AJ48" s="787"/>
      <c r="AK48" s="552"/>
      <c r="AL48" s="552"/>
      <c r="AM48" s="552"/>
      <c r="AN48" s="552"/>
      <c r="AO48" s="552"/>
      <c r="AP48" s="552"/>
      <c r="AQ48" s="552"/>
      <c r="AR48" s="552"/>
      <c r="AS48" s="552"/>
      <c r="AT48" s="787"/>
      <c r="AU48" s="552"/>
      <c r="AV48" s="552"/>
      <c r="AW48" s="552"/>
      <c r="AX48" s="552"/>
      <c r="AY48" s="552"/>
      <c r="AZ48" s="552"/>
      <c r="BA48" s="552"/>
      <c r="BB48" s="552"/>
      <c r="BC48" s="552"/>
      <c r="BD48" s="190">
        <f t="shared" si="6"/>
        <v>0</v>
      </c>
      <c r="BE48" s="552"/>
      <c r="BF48" s="552"/>
      <c r="BG48" s="552"/>
      <c r="BH48" s="552"/>
      <c r="BI48" s="552"/>
      <c r="BJ48" s="552"/>
      <c r="BK48" s="552"/>
      <c r="BL48" s="552"/>
      <c r="BM48" s="552"/>
      <c r="BN48" s="784"/>
      <c r="BO48" s="784"/>
      <c r="BP48" s="784"/>
      <c r="BS48" s="703" t="s">
        <v>1791</v>
      </c>
    </row>
    <row r="49" spans="2:75" ht="21.95" hidden="1" customHeight="1">
      <c r="C49" s="44"/>
      <c r="D49" s="44"/>
      <c r="E49" s="462">
        <v>22.5</v>
      </c>
      <c r="F49" s="3" cm="1">
        <f t="array" aca="1" ref="F49" ca="1">OFFSET(E49,-1,1)</f>
        <v>0</v>
      </c>
      <c r="G49" s="44"/>
      <c r="H49" s="587"/>
      <c r="I49" s="587" t="s">
        <v>1353</v>
      </c>
      <c r="J49" s="44"/>
      <c r="K49" s="290" t="s">
        <v>1353</v>
      </c>
      <c r="L49" s="44"/>
      <c r="M49" s="44"/>
      <c r="N49" s="44"/>
      <c r="O49" s="44"/>
      <c r="P49" s="44"/>
      <c r="Q49" s="44"/>
      <c r="R49" s="44"/>
      <c r="S49" s="44"/>
      <c r="T49" s="365" t="b" cm="1">
        <f t="array" ref="T49">T48</f>
        <v>0</v>
      </c>
      <c r="U49" s="44"/>
      <c r="V49" s="44"/>
      <c r="W49" s="44"/>
      <c r="X49" s="1094"/>
      <c r="Z49" s="1065"/>
      <c r="AB49" s="26" t="s">
        <v>1354</v>
      </c>
      <c r="AC49" s="153" t="s">
        <v>1972</v>
      </c>
      <c r="AD49" s="26" t="s">
        <v>804</v>
      </c>
      <c r="AE49" s="787"/>
      <c r="AF49" s="787"/>
      <c r="AG49" s="787"/>
      <c r="AH49" s="190">
        <f t="shared" si="3"/>
        <v>0</v>
      </c>
      <c r="AI49" s="787"/>
      <c r="AJ49" s="787"/>
      <c r="AK49" s="552"/>
      <c r="AL49" s="552"/>
      <c r="AM49" s="552"/>
      <c r="AN49" s="552"/>
      <c r="AO49" s="552"/>
      <c r="AP49" s="552"/>
      <c r="AQ49" s="552"/>
      <c r="AR49" s="552"/>
      <c r="AS49" s="552"/>
      <c r="AT49" s="787"/>
      <c r="AU49" s="552"/>
      <c r="AV49" s="552"/>
      <c r="AW49" s="552"/>
      <c r="AX49" s="552"/>
      <c r="AY49" s="552"/>
      <c r="AZ49" s="552"/>
      <c r="BA49" s="552"/>
      <c r="BB49" s="552"/>
      <c r="BC49" s="552"/>
      <c r="BD49" s="190">
        <f t="shared" si="6"/>
        <v>0</v>
      </c>
      <c r="BE49" s="552"/>
      <c r="BF49" s="552"/>
      <c r="BG49" s="552"/>
      <c r="BH49" s="552"/>
      <c r="BI49" s="552"/>
      <c r="BJ49" s="552"/>
      <c r="BK49" s="552"/>
      <c r="BL49" s="552"/>
      <c r="BM49" s="552"/>
      <c r="BN49" s="784"/>
      <c r="BO49" s="784"/>
      <c r="BP49" s="784"/>
      <c r="BS49" s="705" t="s">
        <v>1973</v>
      </c>
    </row>
    <row r="50" spans="2:75" ht="21.95" hidden="1" customHeight="1">
      <c r="C50" s="44"/>
      <c r="D50" s="44"/>
      <c r="E50" s="462">
        <v>22.5</v>
      </c>
      <c r="F50" s="3" cm="1">
        <f t="array" aca="1" ref="F50" ca="1">OFFSET(E50,-1,1)</f>
        <v>0</v>
      </c>
      <c r="G50" s="44"/>
      <c r="H50" s="587"/>
      <c r="I50" s="587" t="s">
        <v>1357</v>
      </c>
      <c r="J50" s="44"/>
      <c r="K50" s="290" t="s">
        <v>1357</v>
      </c>
      <c r="L50" s="44" t="s">
        <v>482</v>
      </c>
      <c r="M50" s="44"/>
      <c r="N50" s="44"/>
      <c r="O50" s="44"/>
      <c r="P50" s="44"/>
      <c r="Q50" s="44"/>
      <c r="R50" s="44"/>
      <c r="S50" s="44"/>
      <c r="T50" s="365" t="b" cm="1">
        <f t="array" ref="T50">T49</f>
        <v>0</v>
      </c>
      <c r="U50" s="44"/>
      <c r="V50" s="44"/>
      <c r="W50" s="44"/>
      <c r="X50" s="1094"/>
      <c r="Z50" s="1065"/>
      <c r="AB50" s="26" t="s">
        <v>1358</v>
      </c>
      <c r="AC50" s="153" t="s">
        <v>1974</v>
      </c>
      <c r="AD50" s="26" t="s">
        <v>804</v>
      </c>
      <c r="AE50" s="190">
        <f ca="1">AE51+AE52</f>
        <v>0</v>
      </c>
      <c r="AF50" s="190">
        <f ca="1">AF51+AF52</f>
        <v>0</v>
      </c>
      <c r="AG50" s="190">
        <f ca="1">AG51+AG52</f>
        <v>0</v>
      </c>
      <c r="AH50" s="190">
        <f t="shared" ca="1" si="3"/>
        <v>0</v>
      </c>
      <c r="AI50" s="190">
        <f ca="1">AI51+AI52</f>
        <v>0</v>
      </c>
      <c r="AJ50" s="190">
        <f ca="1">AJ51+AJ52</f>
        <v>0</v>
      </c>
      <c r="AK50" s="552"/>
      <c r="AL50" s="552"/>
      <c r="AM50" s="552"/>
      <c r="AN50" s="552"/>
      <c r="AO50" s="552"/>
      <c r="AP50" s="552"/>
      <c r="AQ50" s="552"/>
      <c r="AR50" s="552"/>
      <c r="AS50" s="552"/>
      <c r="AT50" s="190">
        <f ca="1">AT51+AT52</f>
        <v>0</v>
      </c>
      <c r="AU50" s="552"/>
      <c r="AV50" s="552"/>
      <c r="AW50" s="552"/>
      <c r="AX50" s="552"/>
      <c r="AY50" s="552"/>
      <c r="AZ50" s="552"/>
      <c r="BA50" s="552"/>
      <c r="BB50" s="552"/>
      <c r="BC50" s="552"/>
      <c r="BD50" s="190">
        <f t="shared" ca="1" si="6"/>
        <v>0</v>
      </c>
      <c r="BE50" s="552"/>
      <c r="BF50" s="552"/>
      <c r="BG50" s="552"/>
      <c r="BH50" s="552"/>
      <c r="BI50" s="552"/>
      <c r="BJ50" s="552"/>
      <c r="BK50" s="552"/>
      <c r="BL50" s="552"/>
      <c r="BM50" s="552"/>
      <c r="BN50" s="784"/>
      <c r="BO50" s="784"/>
      <c r="BP50" s="784"/>
      <c r="BS50" s="703" t="s">
        <v>1793</v>
      </c>
    </row>
    <row r="51" spans="2:75" ht="14.65" hidden="1" customHeight="1">
      <c r="C51" s="44"/>
      <c r="D51" s="44"/>
      <c r="E51" s="462">
        <v>15</v>
      </c>
      <c r="F51" s="3" cm="1">
        <f t="array" aca="1" ref="F51" ca="1">OFFSET(E51,-1,1)</f>
        <v>0</v>
      </c>
      <c r="G51" s="581" t="s">
        <v>1171</v>
      </c>
      <c r="H51" s="587"/>
      <c r="I51" s="587" t="s">
        <v>1975</v>
      </c>
      <c r="J51" s="44"/>
      <c r="K51" s="290" t="s">
        <v>1975</v>
      </c>
      <c r="L51" s="44" t="s">
        <v>1794</v>
      </c>
      <c r="M51" s="44"/>
      <c r="N51" s="44"/>
      <c r="O51" s="44"/>
      <c r="P51" s="44"/>
      <c r="Q51" s="44"/>
      <c r="R51" s="44"/>
      <c r="S51" s="44"/>
      <c r="T51" s="365" t="b" cm="1">
        <f t="array" ref="T51">T50</f>
        <v>0</v>
      </c>
      <c r="U51" s="44"/>
      <c r="V51" s="44"/>
      <c r="W51" s="44"/>
      <c r="X51" s="1094"/>
      <c r="Z51" s="1065"/>
      <c r="AB51" s="26" t="s">
        <v>1976</v>
      </c>
      <c r="AC51" s="553" t="s">
        <v>1795</v>
      </c>
      <c r="AD51" s="26" t="s">
        <v>804</v>
      </c>
      <c r="AE51" s="190">
        <f ca="1">SUMIFS(ФОТ!AE$25:AE$102,ФОТ!$F$25:$F$102,$F51,ФОТ!$G$25:$G$102,$G51)</f>
        <v>0</v>
      </c>
      <c r="AF51" s="190">
        <f ca="1">SUMIFS(ФОТ!AF$25:AF$102,ФОТ!$F$25:$F$102,$F51,ФОТ!$G$25:$G$102,$G51)</f>
        <v>0</v>
      </c>
      <c r="AG51" s="190">
        <f ca="1">SUMIFS(ФОТ!AG$25:AG$102,ФОТ!$F$25:$F$102,$F51,ФОТ!$G$25:$G$102,$G51)</f>
        <v>0</v>
      </c>
      <c r="AH51" s="190">
        <f t="shared" ca="1" si="3"/>
        <v>0</v>
      </c>
      <c r="AI51" s="190">
        <f ca="1">SUMIFS(ФОТ!AH$25:AH$102,ФОТ!$F$25:$F$102,$F51,ФОТ!$G$25:$G$102,$G51)</f>
        <v>0</v>
      </c>
      <c r="AJ51" s="190">
        <f ca="1">SUMIFS(ФОТ!AI$25:AI$102,ФОТ!$F$25:$F$102,$F51,ФОТ!$G$25:$G$102,$G51)</f>
        <v>0</v>
      </c>
      <c r="AK51" s="552"/>
      <c r="AL51" s="552"/>
      <c r="AM51" s="552"/>
      <c r="AN51" s="552"/>
      <c r="AO51" s="552"/>
      <c r="AP51" s="552"/>
      <c r="AQ51" s="552"/>
      <c r="AR51" s="552"/>
      <c r="AS51" s="552"/>
      <c r="AT51" s="190">
        <f ca="1">SUMIFS(ФОТ!AJ$25:AJ$102,ФОТ!$F$25:$F$102,$F51,ФОТ!$G$25:$G$102,$G51)</f>
        <v>0</v>
      </c>
      <c r="AU51" s="552"/>
      <c r="AV51" s="552"/>
      <c r="AW51" s="552"/>
      <c r="AX51" s="552"/>
      <c r="AY51" s="552"/>
      <c r="AZ51" s="552"/>
      <c r="BA51" s="552"/>
      <c r="BB51" s="552"/>
      <c r="BC51" s="552"/>
      <c r="BD51" s="190">
        <f t="shared" ca="1" si="6"/>
        <v>0</v>
      </c>
      <c r="BE51" s="552"/>
      <c r="BF51" s="552"/>
      <c r="BG51" s="552"/>
      <c r="BH51" s="552"/>
      <c r="BI51" s="552"/>
      <c r="BJ51" s="552"/>
      <c r="BK51" s="552"/>
      <c r="BL51" s="552"/>
      <c r="BM51" s="552"/>
      <c r="BN51" s="784"/>
      <c r="BO51" s="788" t="str">
        <f ca="1">IF(IFERROR(INDEX(ФОТ!$K$26:$L$102,MATCH($F51&amp;"3komm",ФОТ!$K$26:$K$102,0),2),"")=0,"",IFERROR(INDEX(ФОТ!$K$26:$L$102,MATCH($F51&amp;"3komm",ФОТ!$K$26:$K$102,0),2),""))</f>
        <v/>
      </c>
      <c r="BP51" s="784"/>
      <c r="BS51" s="703" t="s">
        <v>1796</v>
      </c>
    </row>
    <row r="52" spans="2:75" ht="21.95" hidden="1" customHeight="1">
      <c r="C52" s="44"/>
      <c r="D52" s="44"/>
      <c r="E52" s="462">
        <v>22.5</v>
      </c>
      <c r="F52" s="3" cm="1">
        <f t="array" aca="1" ref="F52" ca="1">OFFSET(E52,-1,1)</f>
        <v>0</v>
      </c>
      <c r="G52" s="581" t="s">
        <v>1176</v>
      </c>
      <c r="H52" s="587"/>
      <c r="I52" s="587" t="s">
        <v>1977</v>
      </c>
      <c r="J52" s="44"/>
      <c r="K52" s="290" t="s">
        <v>1977</v>
      </c>
      <c r="L52" s="44" t="s">
        <v>1797</v>
      </c>
      <c r="M52" s="44"/>
      <c r="N52" s="44"/>
      <c r="O52" s="44"/>
      <c r="P52" s="44"/>
      <c r="Q52" s="44"/>
      <c r="R52" s="44"/>
      <c r="S52" s="44"/>
      <c r="T52" s="365" t="b" cm="1">
        <f t="array" ref="T52">T51</f>
        <v>0</v>
      </c>
      <c r="U52" s="44"/>
      <c r="V52" s="44"/>
      <c r="W52" s="44"/>
      <c r="X52" s="1094"/>
      <c r="Z52" s="1065"/>
      <c r="AB52" s="26" t="s">
        <v>1978</v>
      </c>
      <c r="AC52" s="553" t="s">
        <v>1979</v>
      </c>
      <c r="AD52" s="26" t="s">
        <v>804</v>
      </c>
      <c r="AE52" s="190">
        <f ca="1">SUMIFS(ФОТ!AE$25:AE$102,ФОТ!$F$25:$F$102,$F52,ФОТ!$G$25:$G$102,$G52)</f>
        <v>0</v>
      </c>
      <c r="AF52" s="190">
        <f ca="1">SUMIFS(ФОТ!AF$25:AF$102,ФОТ!$F$25:$F$102,$F52,ФОТ!$G$25:$G$102,$G52)</f>
        <v>0</v>
      </c>
      <c r="AG52" s="190">
        <f ca="1">SUMIFS(ФОТ!AG$25:AG$102,ФОТ!$F$25:$F$102,$F52,ФОТ!$G$25:$G$102,$G52)</f>
        <v>0</v>
      </c>
      <c r="AH52" s="190">
        <f t="shared" ca="1" si="3"/>
        <v>0</v>
      </c>
      <c r="AI52" s="190">
        <f ca="1">SUMIFS(ФОТ!AH$25:AH$102,ФОТ!$F$25:$F$102,$F52,ФОТ!$G$25:$G$102,$G52)</f>
        <v>0</v>
      </c>
      <c r="AJ52" s="190">
        <f ca="1">SUMIFS(ФОТ!AI$25:AI$102,ФОТ!$F$25:$F$102,$F52,ФОТ!$G$25:$G$102,$G52)</f>
        <v>0</v>
      </c>
      <c r="AK52" s="552"/>
      <c r="AL52" s="552"/>
      <c r="AM52" s="552"/>
      <c r="AN52" s="552"/>
      <c r="AO52" s="552"/>
      <c r="AP52" s="552"/>
      <c r="AQ52" s="552"/>
      <c r="AR52" s="552"/>
      <c r="AS52" s="552"/>
      <c r="AT52" s="190">
        <f ca="1">SUMIFS(ФОТ!AJ$25:AJ$102,ФОТ!$F$25:$F$102,$F52,ФОТ!$G$25:$G$102,$G52)</f>
        <v>0</v>
      </c>
      <c r="AU52" s="552"/>
      <c r="AV52" s="552"/>
      <c r="AW52" s="552"/>
      <c r="AX52" s="552"/>
      <c r="AY52" s="552"/>
      <c r="AZ52" s="552"/>
      <c r="BA52" s="552"/>
      <c r="BB52" s="552"/>
      <c r="BC52" s="552"/>
      <c r="BD52" s="190">
        <f t="shared" ca="1" si="6"/>
        <v>0</v>
      </c>
      <c r="BE52" s="552"/>
      <c r="BF52" s="552"/>
      <c r="BG52" s="552"/>
      <c r="BH52" s="552"/>
      <c r="BI52" s="552"/>
      <c r="BJ52" s="552"/>
      <c r="BK52" s="552"/>
      <c r="BL52" s="552"/>
      <c r="BM52" s="552"/>
      <c r="BN52" s="784"/>
      <c r="BO52" s="788" t="str">
        <f ca="1">IF(IFERROR(INDEX(ФОТ!$K$26:$L$102,MATCH($F52&amp;"4komm",ФОТ!$K$26:$K$102,0),2),"")=0,"",IFERROR(INDEX(ФОТ!$K$26:$L$102,MATCH($F52&amp;"4komm",ФОТ!$K$26:$K$102,0),2),""))</f>
        <v/>
      </c>
      <c r="BP52" s="784"/>
      <c r="BS52" s="703" t="s">
        <v>1799</v>
      </c>
    </row>
    <row r="53" spans="2:75" s="95" customFormat="1" ht="20.45" hidden="1" customHeight="1">
      <c r="B53" s="344"/>
      <c r="C53" s="46"/>
      <c r="D53" s="46"/>
      <c r="E53" s="569">
        <v>21</v>
      </c>
      <c r="F53" s="3" cm="1">
        <f t="array" aca="1" ref="F53" ca="1">OFFSET(E53,-1,1)</f>
        <v>0</v>
      </c>
      <c r="G53" s="46"/>
      <c r="H53" s="587"/>
      <c r="I53" s="587" t="s">
        <v>472</v>
      </c>
      <c r="J53" s="46"/>
      <c r="K53" s="290" t="s">
        <v>472</v>
      </c>
      <c r="L53" s="46" t="s">
        <v>329</v>
      </c>
      <c r="M53" s="46"/>
      <c r="N53" s="46"/>
      <c r="O53" s="46"/>
      <c r="P53" s="46"/>
      <c r="Q53" s="46"/>
      <c r="R53" s="46"/>
      <c r="S53" s="46"/>
      <c r="T53" s="365" t="b" cm="1">
        <f t="array" ref="T53">T52</f>
        <v>0</v>
      </c>
      <c r="U53" s="46"/>
      <c r="V53" s="46"/>
      <c r="W53" s="46"/>
      <c r="X53" s="1094"/>
      <c r="Z53" s="1065"/>
      <c r="AB53" s="143" t="s">
        <v>906</v>
      </c>
      <c r="AC53" s="276" t="s">
        <v>1980</v>
      </c>
      <c r="AD53" s="143" t="s">
        <v>804</v>
      </c>
      <c r="AE53" s="145">
        <f ca="1">AE54+AE62+AE65+AE66+AE67+AE68+AE69</f>
        <v>0</v>
      </c>
      <c r="AF53" s="145">
        <f ca="1">AF54+AF62+AF65+AF66+AF67+AF68+AF69</f>
        <v>0</v>
      </c>
      <c r="AG53" s="145">
        <f ca="1">AG54+AG62+AG65+AG66+AG67+AG68+AG69</f>
        <v>0</v>
      </c>
      <c r="AH53" s="145">
        <f t="shared" ca="1" si="3"/>
        <v>0</v>
      </c>
      <c r="AI53" s="145">
        <f ca="1">AI54+AI62+AI65+AI66+AI67+AI68+AI69</f>
        <v>0</v>
      </c>
      <c r="AJ53" s="145">
        <f ca="1">AJ54+AJ62+AJ65+AJ66+AJ67+AJ68+AJ69</f>
        <v>0</v>
      </c>
      <c r="AK53" s="148"/>
      <c r="AL53" s="148"/>
      <c r="AM53" s="148"/>
      <c r="AN53" s="148"/>
      <c r="AO53" s="148"/>
      <c r="AP53" s="148"/>
      <c r="AQ53" s="148"/>
      <c r="AR53" s="148"/>
      <c r="AS53" s="148"/>
      <c r="AT53" s="145">
        <f ca="1">AT54+AT62+AT65+AT66+AT67+AT68+AT69</f>
        <v>0</v>
      </c>
      <c r="AU53" s="148"/>
      <c r="AV53" s="148"/>
      <c r="AW53" s="148"/>
      <c r="AX53" s="148"/>
      <c r="AY53" s="148"/>
      <c r="AZ53" s="148"/>
      <c r="BA53" s="148"/>
      <c r="BB53" s="148"/>
      <c r="BC53" s="148"/>
      <c r="BD53" s="145">
        <f t="shared" ca="1" si="6"/>
        <v>0</v>
      </c>
      <c r="BE53" s="148"/>
      <c r="BF53" s="148"/>
      <c r="BG53" s="148"/>
      <c r="BH53" s="148"/>
      <c r="BI53" s="148"/>
      <c r="BJ53" s="148"/>
      <c r="BK53" s="148"/>
      <c r="BL53" s="148"/>
      <c r="BM53" s="148"/>
      <c r="BN53" s="786"/>
      <c r="BO53" s="786"/>
      <c r="BP53" s="786"/>
      <c r="BS53" s="704" t="s">
        <v>1801</v>
      </c>
      <c r="BT53" s="711"/>
      <c r="BU53" s="711"/>
      <c r="BV53" s="522"/>
      <c r="BW53" s="522"/>
    </row>
    <row r="54" spans="2:75" ht="21.95" hidden="1" customHeight="1">
      <c r="C54" s="44"/>
      <c r="D54" s="44"/>
      <c r="E54" s="462">
        <v>22.5</v>
      </c>
      <c r="F54" s="3" cm="1">
        <f t="array" aca="1" ref="F54" ca="1">OFFSET(E54,-1,1)</f>
        <v>0</v>
      </c>
      <c r="G54" s="44" t="s">
        <v>1197</v>
      </c>
      <c r="H54" s="587"/>
      <c r="I54" s="587" t="s">
        <v>1363</v>
      </c>
      <c r="J54" s="44"/>
      <c r="K54" s="290" t="s">
        <v>1363</v>
      </c>
      <c r="L54" s="44" t="s">
        <v>927</v>
      </c>
      <c r="M54" s="44"/>
      <c r="N54" s="44"/>
      <c r="O54" s="44"/>
      <c r="P54" s="44"/>
      <c r="Q54" s="44"/>
      <c r="R54" s="44"/>
      <c r="S54" s="44"/>
      <c r="T54" s="365" t="b" cm="1">
        <f t="array" ref="T54">T53</f>
        <v>0</v>
      </c>
      <c r="U54" s="44"/>
      <c r="V54" s="44"/>
      <c r="W54" s="44"/>
      <c r="X54" s="1094"/>
      <c r="Z54" s="1065"/>
      <c r="AB54" s="26" t="s">
        <v>1021</v>
      </c>
      <c r="AC54" s="153" t="s">
        <v>1981</v>
      </c>
      <c r="AD54" s="26" t="s">
        <v>804</v>
      </c>
      <c r="AE54" s="190">
        <f ca="1">SUMIFS(Административные!AE$25:AE$84,Административные!$F$25:$F$84,$F54,Административные!$G$25:$G$84,$G54)</f>
        <v>0</v>
      </c>
      <c r="AF54" s="190">
        <f ca="1">SUMIFS(Административные!AF$25:AF$84,Административные!$F$25:$F$84,$F54,Административные!$G$25:$G$84,$G54)</f>
        <v>0</v>
      </c>
      <c r="AG54" s="190">
        <f ca="1">SUMIFS(Административные!AG$25:AG$84,Административные!$F$25:$F$84,$F54,Административные!$G$25:$G$84,$G54)</f>
        <v>0</v>
      </c>
      <c r="AH54" s="190">
        <f t="shared" ca="1" si="3"/>
        <v>0</v>
      </c>
      <c r="AI54" s="190">
        <f ca="1">SUMIFS(Административные!AH$25:AH$84,Административные!$F$25:$F$84,$F54,Административные!$G$25:$G$84,$G54)</f>
        <v>0</v>
      </c>
      <c r="AJ54" s="190">
        <f ca="1">SUMIFS(Административные!AI$25:AI$84,Административные!$F$25:$F$84,$F54,Административные!$G$25:$G$84,$G54)</f>
        <v>0</v>
      </c>
      <c r="AK54" s="552"/>
      <c r="AL54" s="552"/>
      <c r="AM54" s="552"/>
      <c r="AN54" s="552"/>
      <c r="AO54" s="552"/>
      <c r="AP54" s="552"/>
      <c r="AQ54" s="552"/>
      <c r="AR54" s="552"/>
      <c r="AS54" s="552"/>
      <c r="AT54" s="190">
        <f ca="1">SUMIFS(Административные!AJ$25:AJ$84,Административные!$F$25:$F$84,$F54,Административные!$G$25:$G$84,$G54)</f>
        <v>0</v>
      </c>
      <c r="AU54" s="552"/>
      <c r="AV54" s="552"/>
      <c r="AW54" s="552"/>
      <c r="AX54" s="552"/>
      <c r="AY54" s="552"/>
      <c r="AZ54" s="552"/>
      <c r="BA54" s="552"/>
      <c r="BB54" s="552"/>
      <c r="BC54" s="552"/>
      <c r="BD54" s="190">
        <f t="shared" ca="1" si="6"/>
        <v>0</v>
      </c>
      <c r="BE54" s="552"/>
      <c r="BF54" s="552"/>
      <c r="BG54" s="552"/>
      <c r="BH54" s="552"/>
      <c r="BI54" s="552"/>
      <c r="BJ54" s="552"/>
      <c r="BK54" s="552"/>
      <c r="BL54" s="552"/>
      <c r="BM54" s="552"/>
      <c r="BN54" s="784"/>
      <c r="BO54" s="788" t="str">
        <f ca="1">IF(IFERROR(INDEX(Административные!$K$26:$L$84,MATCH($F54&amp;"17komm",Административные!$K$26:$K$84,0),2),"")=0,"",IFERROR(INDEX(Административные!$K$26:$L$84,MATCH($F54&amp;"17komm",Административные!$K$26:$K$84,0),2),""))</f>
        <v/>
      </c>
      <c r="BP54" s="784"/>
      <c r="BS54" s="703" t="s">
        <v>1199</v>
      </c>
    </row>
    <row r="55" spans="2:75" ht="14.65" hidden="1" customHeight="1">
      <c r="C55" s="44"/>
      <c r="D55" s="44"/>
      <c r="E55" s="462">
        <v>15</v>
      </c>
      <c r="F55" s="3" cm="1">
        <f t="array" aca="1" ref="F55" ca="1">OFFSET(E55,-1,1)</f>
        <v>0</v>
      </c>
      <c r="G55" s="44" t="s">
        <v>1200</v>
      </c>
      <c r="H55" s="587"/>
      <c r="I55" s="587" t="s">
        <v>1982</v>
      </c>
      <c r="J55" s="44"/>
      <c r="K55" s="290" t="s">
        <v>1982</v>
      </c>
      <c r="L55" s="44"/>
      <c r="M55" s="44"/>
      <c r="N55" s="44"/>
      <c r="O55" s="44"/>
      <c r="P55" s="44"/>
      <c r="Q55" s="44"/>
      <c r="R55" s="44"/>
      <c r="S55" s="44"/>
      <c r="T55" s="365" t="b" cm="1">
        <f t="array" ref="T55">T54</f>
        <v>0</v>
      </c>
      <c r="U55" s="44"/>
      <c r="V55" s="44"/>
      <c r="W55" s="44"/>
      <c r="X55" s="1094"/>
      <c r="Z55" s="1065"/>
      <c r="AB55" s="26" t="s">
        <v>1983</v>
      </c>
      <c r="AC55" s="553" t="s">
        <v>1201</v>
      </c>
      <c r="AD55" s="26" t="s">
        <v>804</v>
      </c>
      <c r="AE55" s="190">
        <f ca="1">SUMIFS(Административные!AE$25:AE$84,Административные!$F$25:$F$84,$F55,Административные!$G$25:$G$84,$G55)</f>
        <v>0</v>
      </c>
      <c r="AF55" s="190">
        <f ca="1">SUMIFS(Административные!AF$25:AF$84,Административные!$F$25:$F$84,$F55,Административные!$G$25:$G$84,$G55)</f>
        <v>0</v>
      </c>
      <c r="AG55" s="190">
        <f ca="1">SUMIFS(Административные!AG$25:AG$84,Административные!$F$25:$F$84,$F55,Административные!$G$25:$G$84,$G55)</f>
        <v>0</v>
      </c>
      <c r="AH55" s="190">
        <f t="shared" ca="1" si="3"/>
        <v>0</v>
      </c>
      <c r="AI55" s="190">
        <f ca="1">SUMIFS(Административные!AH$25:AH$84,Административные!$F$25:$F$84,$F55,Административные!$G$25:$G$84,$G55)</f>
        <v>0</v>
      </c>
      <c r="AJ55" s="190">
        <f ca="1">SUMIFS(Административные!AI$25:AI$84,Административные!$F$25:$F$84,$F55,Административные!$G$25:$G$84,$G55)</f>
        <v>0</v>
      </c>
      <c r="AK55" s="552"/>
      <c r="AL55" s="552"/>
      <c r="AM55" s="552"/>
      <c r="AN55" s="552"/>
      <c r="AO55" s="552"/>
      <c r="AP55" s="552"/>
      <c r="AQ55" s="552"/>
      <c r="AR55" s="552"/>
      <c r="AS55" s="552"/>
      <c r="AT55" s="190">
        <f ca="1">SUMIFS(Административные!AJ$25:AJ$84,Административные!$F$25:$F$84,$F55,Административные!$G$25:$G$84,$G55)</f>
        <v>0</v>
      </c>
      <c r="AU55" s="552"/>
      <c r="AV55" s="552"/>
      <c r="AW55" s="552"/>
      <c r="AX55" s="552"/>
      <c r="AY55" s="552"/>
      <c r="AZ55" s="552"/>
      <c r="BA55" s="552"/>
      <c r="BB55" s="552"/>
      <c r="BC55" s="552"/>
      <c r="BD55" s="190">
        <f t="shared" ca="1" si="6"/>
        <v>0</v>
      </c>
      <c r="BE55" s="552"/>
      <c r="BF55" s="552"/>
      <c r="BG55" s="552"/>
      <c r="BH55" s="552"/>
      <c r="BI55" s="552"/>
      <c r="BJ55" s="552"/>
      <c r="BK55" s="552"/>
      <c r="BL55" s="552"/>
      <c r="BM55" s="552"/>
      <c r="BN55" s="784"/>
      <c r="BO55" s="788" t="str">
        <f ca="1">IF(IFERROR(INDEX(Административные!$K$26:$L$84,MATCH($F55&amp;"18komm",Административные!$K$26:$K$84,0),2),"")=0,"",IFERROR(INDEX(Административные!$K$26:$L$84,MATCH($F55&amp;"18komm",Административные!$K$26:$K$84,0),2),""))</f>
        <v/>
      </c>
      <c r="BP55" s="784"/>
      <c r="BS55" s="705" t="s">
        <v>1202</v>
      </c>
    </row>
    <row r="56" spans="2:75" ht="14.65" hidden="1" customHeight="1">
      <c r="C56" s="44"/>
      <c r="D56" s="44"/>
      <c r="E56" s="462">
        <v>15</v>
      </c>
      <c r="F56" s="3" cm="1">
        <f t="array" aca="1" ref="F56" ca="1">OFFSET(E56,-1,1)</f>
        <v>0</v>
      </c>
      <c r="G56" s="44" t="s">
        <v>1203</v>
      </c>
      <c r="H56" s="587"/>
      <c r="I56" s="587" t="s">
        <v>1984</v>
      </c>
      <c r="J56" s="44"/>
      <c r="K56" s="290" t="s">
        <v>1984</v>
      </c>
      <c r="L56" s="44"/>
      <c r="M56" s="44"/>
      <c r="N56" s="44"/>
      <c r="O56" s="44"/>
      <c r="P56" s="44"/>
      <c r="Q56" s="44"/>
      <c r="R56" s="44"/>
      <c r="S56" s="44"/>
      <c r="T56" s="365" t="b" cm="1">
        <f t="array" ref="T56">T55</f>
        <v>0</v>
      </c>
      <c r="U56" s="44"/>
      <c r="V56" s="44"/>
      <c r="W56" s="44"/>
      <c r="X56" s="1094"/>
      <c r="Z56" s="1065"/>
      <c r="AB56" s="26" t="s">
        <v>1985</v>
      </c>
      <c r="AC56" s="553" t="s">
        <v>1204</v>
      </c>
      <c r="AD56" s="26" t="s">
        <v>804</v>
      </c>
      <c r="AE56" s="190">
        <f ca="1">SUMIFS(Административные!AE$25:AE$84,Административные!$F$25:$F$84,$F56,Административные!$G$25:$G$84,$G56)</f>
        <v>0</v>
      </c>
      <c r="AF56" s="190">
        <f ca="1">SUMIFS(Административные!AF$25:AF$84,Административные!$F$25:$F$84,$F56,Административные!$G$25:$G$84,$G56)</f>
        <v>0</v>
      </c>
      <c r="AG56" s="190">
        <f ca="1">SUMIFS(Административные!AG$25:AG$84,Административные!$F$25:$F$84,$F56,Административные!$G$25:$G$84,$G56)</f>
        <v>0</v>
      </c>
      <c r="AH56" s="190">
        <f t="shared" ca="1" si="3"/>
        <v>0</v>
      </c>
      <c r="AI56" s="190">
        <f ca="1">SUMIFS(Административные!AH$25:AH$84,Административные!$F$25:$F$84,$F56,Административные!$G$25:$G$84,$G56)</f>
        <v>0</v>
      </c>
      <c r="AJ56" s="190">
        <f ca="1">SUMIFS(Административные!AI$25:AI$84,Административные!$F$25:$F$84,$F56,Административные!$G$25:$G$84,$G56)</f>
        <v>0</v>
      </c>
      <c r="AK56" s="552"/>
      <c r="AL56" s="552"/>
      <c r="AM56" s="552"/>
      <c r="AN56" s="552"/>
      <c r="AO56" s="552"/>
      <c r="AP56" s="552"/>
      <c r="AQ56" s="552"/>
      <c r="AR56" s="552"/>
      <c r="AS56" s="552"/>
      <c r="AT56" s="190">
        <f ca="1">SUMIFS(Административные!AJ$25:AJ$84,Административные!$F$25:$F$84,$F56,Административные!$G$25:$G$84,$G56)</f>
        <v>0</v>
      </c>
      <c r="AU56" s="552"/>
      <c r="AV56" s="552"/>
      <c r="AW56" s="552"/>
      <c r="AX56" s="552"/>
      <c r="AY56" s="552"/>
      <c r="AZ56" s="552"/>
      <c r="BA56" s="552"/>
      <c r="BB56" s="552"/>
      <c r="BC56" s="552"/>
      <c r="BD56" s="190">
        <f t="shared" ca="1" si="6"/>
        <v>0</v>
      </c>
      <c r="BE56" s="552"/>
      <c r="BF56" s="552"/>
      <c r="BG56" s="552"/>
      <c r="BH56" s="552"/>
      <c r="BI56" s="552"/>
      <c r="BJ56" s="552"/>
      <c r="BK56" s="552"/>
      <c r="BL56" s="552"/>
      <c r="BM56" s="552"/>
      <c r="BN56" s="784"/>
      <c r="BO56" s="788" t="str">
        <f ca="1">IF(IFERROR(INDEX(Административные!$K$26:$L$84,MATCH($F56&amp;"11komm",Административные!$K$26:$K$84,0),2),"")=0,"",IFERROR(INDEX(Административные!$K$26:$L$84,MATCH($F56&amp;"11komm",Административные!$K$26:$K$84,0),2),""))</f>
        <v/>
      </c>
      <c r="BP56" s="784"/>
      <c r="BS56" s="705" t="s">
        <v>1205</v>
      </c>
    </row>
    <row r="57" spans="2:75" ht="14.65" hidden="1" customHeight="1">
      <c r="C57" s="44"/>
      <c r="D57" s="44"/>
      <c r="E57" s="462">
        <v>15</v>
      </c>
      <c r="F57" s="3" cm="1">
        <f t="array" aca="1" ref="F57" ca="1">OFFSET(E57,-1,1)</f>
        <v>0</v>
      </c>
      <c r="G57" s="44" t="s">
        <v>1206</v>
      </c>
      <c r="H57" s="587"/>
      <c r="I57" s="587" t="s">
        <v>1986</v>
      </c>
      <c r="J57" s="44"/>
      <c r="K57" s="290" t="s">
        <v>1986</v>
      </c>
      <c r="L57" s="44"/>
      <c r="M57" s="44"/>
      <c r="N57" s="44"/>
      <c r="O57" s="44"/>
      <c r="P57" s="44"/>
      <c r="Q57" s="44"/>
      <c r="R57" s="44"/>
      <c r="S57" s="44"/>
      <c r="T57" s="365" t="b" cm="1">
        <f t="array" ref="T57">T56</f>
        <v>0</v>
      </c>
      <c r="U57" s="44"/>
      <c r="V57" s="44"/>
      <c r="W57" s="44"/>
      <c r="X57" s="1094"/>
      <c r="Z57" s="1065"/>
      <c r="AB57" s="26" t="s">
        <v>1987</v>
      </c>
      <c r="AC57" s="553" t="s">
        <v>1207</v>
      </c>
      <c r="AD57" s="26" t="s">
        <v>804</v>
      </c>
      <c r="AE57" s="190">
        <f ca="1">SUMIFS(Административные!AE$25:AE$84,Административные!$F$25:$F$84,$F57,Административные!$G$25:$G$84,$G57)</f>
        <v>0</v>
      </c>
      <c r="AF57" s="190">
        <f ca="1">SUMIFS(Административные!AF$25:AF$84,Административные!$F$25:$F$84,$F57,Административные!$G$25:$G$84,$G57)</f>
        <v>0</v>
      </c>
      <c r="AG57" s="190">
        <f ca="1">SUMIFS(Административные!AG$25:AG$84,Административные!$F$25:$F$84,$F57,Административные!$G$25:$G$84,$G57)</f>
        <v>0</v>
      </c>
      <c r="AH57" s="190">
        <f t="shared" ca="1" si="3"/>
        <v>0</v>
      </c>
      <c r="AI57" s="190">
        <f ca="1">SUMIFS(Административные!AH$25:AH$84,Административные!$F$25:$F$84,$F57,Административные!$G$25:$G$84,$G57)</f>
        <v>0</v>
      </c>
      <c r="AJ57" s="190">
        <f ca="1">SUMIFS(Административные!AI$25:AI$84,Административные!$F$25:$F$84,$F57,Административные!$G$25:$G$84,$G57)</f>
        <v>0</v>
      </c>
      <c r="AK57" s="552"/>
      <c r="AL57" s="552"/>
      <c r="AM57" s="552"/>
      <c r="AN57" s="552"/>
      <c r="AO57" s="552"/>
      <c r="AP57" s="552"/>
      <c r="AQ57" s="552"/>
      <c r="AR57" s="552"/>
      <c r="AS57" s="552"/>
      <c r="AT57" s="190">
        <f ca="1">SUMIFS(Административные!AJ$25:AJ$84,Административные!$F$25:$F$84,$F57,Административные!$G$25:$G$84,$G57)</f>
        <v>0</v>
      </c>
      <c r="AU57" s="552"/>
      <c r="AV57" s="552"/>
      <c r="AW57" s="552"/>
      <c r="AX57" s="552"/>
      <c r="AY57" s="552"/>
      <c r="AZ57" s="552"/>
      <c r="BA57" s="552"/>
      <c r="BB57" s="552"/>
      <c r="BC57" s="552"/>
      <c r="BD57" s="190">
        <f t="shared" ca="1" si="6"/>
        <v>0</v>
      </c>
      <c r="BE57" s="552"/>
      <c r="BF57" s="552"/>
      <c r="BG57" s="552"/>
      <c r="BH57" s="552"/>
      <c r="BI57" s="552"/>
      <c r="BJ57" s="552"/>
      <c r="BK57" s="552"/>
      <c r="BL57" s="552"/>
      <c r="BM57" s="552"/>
      <c r="BN57" s="784"/>
      <c r="BO57" s="788" t="str">
        <f ca="1">IF(IFERROR(INDEX(Административные!$K$26:$L$84,MATCH($F57&amp;"12komm",Административные!$K$26:$K$84,0),2),"")=0,"",IFERROR(INDEX(Административные!$K$26:$L$84,MATCH($F57&amp;"12komm",Административные!$K$26:$K$84,0),2),""))</f>
        <v/>
      </c>
      <c r="BP57" s="784"/>
      <c r="BS57" s="705" t="s">
        <v>1208</v>
      </c>
    </row>
    <row r="58" spans="2:75" ht="14.65" hidden="1" customHeight="1">
      <c r="C58" s="44"/>
      <c r="D58" s="44"/>
      <c r="E58" s="462">
        <v>15</v>
      </c>
      <c r="F58" s="3" cm="1">
        <f t="array" aca="1" ref="F58" ca="1">OFFSET(E58,-1,1)</f>
        <v>0</v>
      </c>
      <c r="G58" s="44" t="s">
        <v>1209</v>
      </c>
      <c r="H58" s="587"/>
      <c r="I58" s="587" t="s">
        <v>1988</v>
      </c>
      <c r="J58" s="44"/>
      <c r="K58" s="290" t="s">
        <v>1988</v>
      </c>
      <c r="L58" s="44"/>
      <c r="M58" s="44"/>
      <c r="N58" s="44"/>
      <c r="O58" s="44"/>
      <c r="P58" s="44"/>
      <c r="Q58" s="44"/>
      <c r="R58" s="44"/>
      <c r="S58" s="44"/>
      <c r="T58" s="365" t="b" cm="1">
        <f t="array" ref="T58">T57</f>
        <v>0</v>
      </c>
      <c r="U58" s="44"/>
      <c r="V58" s="44"/>
      <c r="W58" s="44"/>
      <c r="X58" s="1094"/>
      <c r="Z58" s="1065"/>
      <c r="AB58" s="26" t="s">
        <v>1989</v>
      </c>
      <c r="AC58" s="553" t="s">
        <v>1210</v>
      </c>
      <c r="AD58" s="26" t="s">
        <v>804</v>
      </c>
      <c r="AE58" s="190">
        <f ca="1">SUMIFS(Административные!AE$25:AE$84,Административные!$F$25:$F$84,$F58,Административные!$G$25:$G$84,$G58)</f>
        <v>0</v>
      </c>
      <c r="AF58" s="190">
        <f ca="1">SUMIFS(Административные!AF$25:AF$84,Административные!$F$25:$F$84,$F58,Административные!$G$25:$G$84,$G58)</f>
        <v>0</v>
      </c>
      <c r="AG58" s="190">
        <f ca="1">SUMIFS(Административные!AG$25:AG$84,Административные!$F$25:$F$84,$F58,Административные!$G$25:$G$84,$G58)</f>
        <v>0</v>
      </c>
      <c r="AH58" s="190">
        <f t="shared" ca="1" si="3"/>
        <v>0</v>
      </c>
      <c r="AI58" s="190">
        <f ca="1">SUMIFS(Административные!AH$25:AH$84,Административные!$F$25:$F$84,$F58,Административные!$G$25:$G$84,$G58)</f>
        <v>0</v>
      </c>
      <c r="AJ58" s="190">
        <f ca="1">SUMIFS(Административные!AI$25:AI$84,Административные!$F$25:$F$84,$F58,Административные!$G$25:$G$84,$G58)</f>
        <v>0</v>
      </c>
      <c r="AK58" s="552"/>
      <c r="AL58" s="552"/>
      <c r="AM58" s="552"/>
      <c r="AN58" s="552"/>
      <c r="AO58" s="552"/>
      <c r="AP58" s="552"/>
      <c r="AQ58" s="552"/>
      <c r="AR58" s="552"/>
      <c r="AS58" s="552"/>
      <c r="AT58" s="190">
        <f ca="1">SUMIFS(Административные!AJ$25:AJ$84,Административные!$F$25:$F$84,$F58,Административные!$G$25:$G$84,$G58)</f>
        <v>0</v>
      </c>
      <c r="AU58" s="552"/>
      <c r="AV58" s="552"/>
      <c r="AW58" s="552"/>
      <c r="AX58" s="552"/>
      <c r="AY58" s="552"/>
      <c r="AZ58" s="552"/>
      <c r="BA58" s="552"/>
      <c r="BB58" s="552"/>
      <c r="BC58" s="552"/>
      <c r="BD58" s="190">
        <f t="shared" ca="1" si="6"/>
        <v>0</v>
      </c>
      <c r="BE58" s="552"/>
      <c r="BF58" s="552"/>
      <c r="BG58" s="552"/>
      <c r="BH58" s="552"/>
      <c r="BI58" s="552"/>
      <c r="BJ58" s="552"/>
      <c r="BK58" s="552"/>
      <c r="BL58" s="552"/>
      <c r="BM58" s="552"/>
      <c r="BN58" s="784"/>
      <c r="BO58" s="788" t="str">
        <f ca="1">IF(IFERROR(INDEX(Административные!$K$26:$L$84,MATCH($F58&amp;"13komm",Административные!$K$26:$K$84,0),2),"")=0,"",IFERROR(INDEX(Административные!$K$26:$L$84,MATCH($F58&amp;"13komm",Административные!$K$26:$K$84,0),2),""))</f>
        <v/>
      </c>
      <c r="BP58" s="784"/>
      <c r="BS58" s="705" t="s">
        <v>1211</v>
      </c>
    </row>
    <row r="59" spans="2:75" ht="14.65" hidden="1" customHeight="1">
      <c r="C59" s="44"/>
      <c r="D59" s="44"/>
      <c r="E59" s="462">
        <v>15</v>
      </c>
      <c r="F59" s="3" cm="1">
        <f t="array" aca="1" ref="F59" ca="1">OFFSET(E59,-1,1)</f>
        <v>0</v>
      </c>
      <c r="G59" s="44" t="s">
        <v>1212</v>
      </c>
      <c r="H59" s="587"/>
      <c r="I59" s="587" t="s">
        <v>1990</v>
      </c>
      <c r="J59" s="44"/>
      <c r="K59" s="290" t="s">
        <v>1990</v>
      </c>
      <c r="L59" s="44"/>
      <c r="M59" s="44"/>
      <c r="N59" s="44"/>
      <c r="O59" s="44"/>
      <c r="P59" s="44"/>
      <c r="Q59" s="44"/>
      <c r="R59" s="44"/>
      <c r="S59" s="44"/>
      <c r="T59" s="365" t="b" cm="1">
        <f t="array" ref="T59">T58</f>
        <v>0</v>
      </c>
      <c r="U59" s="44"/>
      <c r="V59" s="44"/>
      <c r="W59" s="44"/>
      <c r="X59" s="1094"/>
      <c r="Z59" s="1065"/>
      <c r="AB59" s="26" t="s">
        <v>1991</v>
      </c>
      <c r="AC59" s="553" t="s">
        <v>1213</v>
      </c>
      <c r="AD59" s="26" t="s">
        <v>804</v>
      </c>
      <c r="AE59" s="190">
        <f ca="1">SUMIFS(Административные!AE$25:AE$84,Административные!$F$25:$F$84,$F59,Административные!$G$25:$G$84,$G59)</f>
        <v>0</v>
      </c>
      <c r="AF59" s="190">
        <f ca="1">SUMIFS(Административные!AF$25:AF$84,Административные!$F$25:$F$84,$F59,Административные!$G$25:$G$84,$G59)</f>
        <v>0</v>
      </c>
      <c r="AG59" s="190">
        <f ca="1">SUMIFS(Административные!AG$25:AG$84,Административные!$F$25:$F$84,$F59,Административные!$G$25:$G$84,$G59)</f>
        <v>0</v>
      </c>
      <c r="AH59" s="190">
        <f t="shared" ca="1" si="3"/>
        <v>0</v>
      </c>
      <c r="AI59" s="190">
        <f ca="1">SUMIFS(Административные!AH$25:AH$84,Административные!$F$25:$F$84,$F59,Административные!$G$25:$G$84,$G59)</f>
        <v>0</v>
      </c>
      <c r="AJ59" s="190">
        <f ca="1">SUMIFS(Административные!AI$25:AI$84,Административные!$F$25:$F$84,$F59,Административные!$G$25:$G$84,$G59)</f>
        <v>0</v>
      </c>
      <c r="AK59" s="552"/>
      <c r="AL59" s="552"/>
      <c r="AM59" s="552"/>
      <c r="AN59" s="552"/>
      <c r="AO59" s="552"/>
      <c r="AP59" s="552"/>
      <c r="AQ59" s="552"/>
      <c r="AR59" s="552"/>
      <c r="AS59" s="552"/>
      <c r="AT59" s="190">
        <f ca="1">SUMIFS(Административные!AJ$25:AJ$84,Административные!$F$25:$F$84,$F59,Административные!$G$25:$G$84,$G59)</f>
        <v>0</v>
      </c>
      <c r="AU59" s="552"/>
      <c r="AV59" s="552"/>
      <c r="AW59" s="552"/>
      <c r="AX59" s="552"/>
      <c r="AY59" s="552"/>
      <c r="AZ59" s="552"/>
      <c r="BA59" s="552"/>
      <c r="BB59" s="552"/>
      <c r="BC59" s="552"/>
      <c r="BD59" s="190">
        <f t="shared" ca="1" si="6"/>
        <v>0</v>
      </c>
      <c r="BE59" s="552"/>
      <c r="BF59" s="552"/>
      <c r="BG59" s="552"/>
      <c r="BH59" s="552"/>
      <c r="BI59" s="552"/>
      <c r="BJ59" s="552"/>
      <c r="BK59" s="552"/>
      <c r="BL59" s="552"/>
      <c r="BM59" s="552"/>
      <c r="BN59" s="784"/>
      <c r="BO59" s="788" t="str">
        <f ca="1">IF(IFERROR(INDEX(Административные!$K$26:$L$84,MATCH($F59&amp;"14komm",Административные!$K$26:$K$84,0),2),"")=0,"",IFERROR(INDEX(Административные!$K$26:$L$84,MATCH($F59&amp;"14komm",Административные!$K$26:$K$84,0),2),""))</f>
        <v/>
      </c>
      <c r="BP59" s="784"/>
      <c r="BS59" s="705" t="s">
        <v>1992</v>
      </c>
    </row>
    <row r="60" spans="2:75" ht="14.65" hidden="1" customHeight="1">
      <c r="C60" s="44"/>
      <c r="D60" s="44"/>
      <c r="E60" s="462">
        <v>15</v>
      </c>
      <c r="F60" s="3" cm="1">
        <f t="array" aca="1" ref="F60" ca="1">OFFSET(E60,-1,1)</f>
        <v>0</v>
      </c>
      <c r="G60" s="44" t="s">
        <v>1215</v>
      </c>
      <c r="H60" s="587"/>
      <c r="I60" s="587" t="s">
        <v>1993</v>
      </c>
      <c r="J60" s="44"/>
      <c r="K60" s="290" t="s">
        <v>1993</v>
      </c>
      <c r="L60" s="44"/>
      <c r="M60" s="44"/>
      <c r="N60" s="44"/>
      <c r="O60" s="44"/>
      <c r="P60" s="44"/>
      <c r="Q60" s="44"/>
      <c r="R60" s="44"/>
      <c r="S60" s="44"/>
      <c r="T60" s="365" t="b" cm="1">
        <f t="array" ref="T60">T59</f>
        <v>0</v>
      </c>
      <c r="U60" s="44"/>
      <c r="V60" s="44"/>
      <c r="W60" s="44"/>
      <c r="X60" s="1094"/>
      <c r="Z60" s="1065"/>
      <c r="AB60" s="26" t="s">
        <v>1994</v>
      </c>
      <c r="AC60" s="553" t="s">
        <v>1218</v>
      </c>
      <c r="AD60" s="26" t="s">
        <v>804</v>
      </c>
      <c r="AE60" s="190">
        <f ca="1">SUMIFS(Административные!AE$25:AE$84,Административные!$F$25:$F$84,$F60,Административные!$G$25:$G$84,$G60)</f>
        <v>0</v>
      </c>
      <c r="AF60" s="190">
        <f ca="1">SUMIFS(Административные!AF$25:AF$84,Административные!$F$25:$F$84,$F60,Административные!$G$25:$G$84,$G60)</f>
        <v>0</v>
      </c>
      <c r="AG60" s="190">
        <f ca="1">SUMIFS(Административные!AG$25:AG$84,Административные!$F$25:$F$84,$F60,Административные!$G$25:$G$84,$G60)</f>
        <v>0</v>
      </c>
      <c r="AH60" s="190">
        <f t="shared" ref="AH60:AH76" ca="1" si="8">AG60-AF60</f>
        <v>0</v>
      </c>
      <c r="AI60" s="190">
        <f ca="1">SUMIFS(Административные!AH$25:AH$84,Административные!$F$25:$F$84,$F60,Административные!$G$25:$G$84,$G60)</f>
        <v>0</v>
      </c>
      <c r="AJ60" s="190">
        <f ca="1">SUMIFS(Административные!AI$25:AI$84,Административные!$F$25:$F$84,$F60,Административные!$G$25:$G$84,$G60)</f>
        <v>0</v>
      </c>
      <c r="AK60" s="552"/>
      <c r="AL60" s="552"/>
      <c r="AM60" s="552"/>
      <c r="AN60" s="552"/>
      <c r="AO60" s="552"/>
      <c r="AP60" s="552"/>
      <c r="AQ60" s="552"/>
      <c r="AR60" s="552"/>
      <c r="AS60" s="552"/>
      <c r="AT60" s="190">
        <f ca="1">SUMIFS(Административные!AJ$25:AJ$84,Административные!$F$25:$F$84,$F60,Административные!$G$25:$G$84,$G60)</f>
        <v>0</v>
      </c>
      <c r="AU60" s="552"/>
      <c r="AV60" s="552"/>
      <c r="AW60" s="552"/>
      <c r="AX60" s="552"/>
      <c r="AY60" s="552"/>
      <c r="AZ60" s="552"/>
      <c r="BA60" s="552"/>
      <c r="BB60" s="552"/>
      <c r="BC60" s="552"/>
      <c r="BD60" s="190">
        <f t="shared" ref="BD60:BD76" ca="1" si="9">IF(AI60=0,0,(AT60-AI60)/AI60*100)</f>
        <v>0</v>
      </c>
      <c r="BE60" s="552"/>
      <c r="BF60" s="552"/>
      <c r="BG60" s="552"/>
      <c r="BH60" s="552"/>
      <c r="BI60" s="552"/>
      <c r="BJ60" s="552"/>
      <c r="BK60" s="552"/>
      <c r="BL60" s="552"/>
      <c r="BM60" s="552"/>
      <c r="BN60" s="784"/>
      <c r="BO60" s="788" t="str">
        <f ca="1">IF(IFERROR(INDEX(Административные!$K$26:$L$84,MATCH($F60&amp;"15komm",Административные!$K$26:$K$84,0),2),"")=0,"",IFERROR(INDEX(Административные!$K$26:$L$84,MATCH($F60&amp;"15komm",Административные!$K$26:$K$84,0),2),""))</f>
        <v/>
      </c>
      <c r="BP60" s="784"/>
      <c r="BS60" s="705" t="s">
        <v>1219</v>
      </c>
    </row>
    <row r="61" spans="2:75" ht="14.65" hidden="1" customHeight="1">
      <c r="C61" s="44"/>
      <c r="D61" s="44"/>
      <c r="E61" s="462">
        <v>15</v>
      </c>
      <c r="F61" s="3" cm="1">
        <f t="array" aca="1" ref="F61" ca="1">OFFSET(E61,-1,1)</f>
        <v>0</v>
      </c>
      <c r="G61" s="44" t="s">
        <v>1220</v>
      </c>
      <c r="H61" s="587"/>
      <c r="I61" s="587" t="s">
        <v>1995</v>
      </c>
      <c r="J61" s="44"/>
      <c r="K61" s="290" t="s">
        <v>1995</v>
      </c>
      <c r="L61" s="44"/>
      <c r="M61" s="44"/>
      <c r="N61" s="44"/>
      <c r="O61" s="44"/>
      <c r="P61" s="44"/>
      <c r="Q61" s="44"/>
      <c r="R61" s="44"/>
      <c r="S61" s="44"/>
      <c r="T61" s="365" t="b" cm="1">
        <f t="array" ref="T61">T60</f>
        <v>0</v>
      </c>
      <c r="U61" s="44"/>
      <c r="V61" s="44"/>
      <c r="W61" s="44"/>
      <c r="X61" s="1094"/>
      <c r="Z61" s="1065"/>
      <c r="AB61" s="26" t="s">
        <v>1996</v>
      </c>
      <c r="AC61" s="553" t="s">
        <v>1223</v>
      </c>
      <c r="AD61" s="26" t="s">
        <v>804</v>
      </c>
      <c r="AE61" s="190">
        <f ca="1">SUMIFS(Административные!AE$25:AE$84,Административные!$F$25:$F$84,$F61,Административные!$G$25:$G$84,$G61)</f>
        <v>0</v>
      </c>
      <c r="AF61" s="190">
        <f ca="1">SUMIFS(Административные!AF$25:AF$84,Административные!$F$25:$F$84,$F61,Административные!$G$25:$G$84,$G61)</f>
        <v>0</v>
      </c>
      <c r="AG61" s="190">
        <f ca="1">SUMIFS(Административные!AG$25:AG$84,Административные!$F$25:$F$84,$F61,Административные!$G$25:$G$84,$G61)</f>
        <v>0</v>
      </c>
      <c r="AH61" s="190">
        <f t="shared" ca="1" si="8"/>
        <v>0</v>
      </c>
      <c r="AI61" s="190">
        <f ca="1">SUMIFS(Административные!AH$25:AH$84,Административные!$F$25:$F$84,$F61,Административные!$G$25:$G$84,$G61)</f>
        <v>0</v>
      </c>
      <c r="AJ61" s="190">
        <f ca="1">SUMIFS(Административные!AI$25:AI$84,Административные!$F$25:$F$84,$F61,Административные!$G$25:$G$84,$G61)</f>
        <v>0</v>
      </c>
      <c r="AK61" s="552"/>
      <c r="AL61" s="552"/>
      <c r="AM61" s="552"/>
      <c r="AN61" s="552"/>
      <c r="AO61" s="552"/>
      <c r="AP61" s="552"/>
      <c r="AQ61" s="552"/>
      <c r="AR61" s="552"/>
      <c r="AS61" s="552"/>
      <c r="AT61" s="190">
        <f ca="1">SUMIFS(Административные!AJ$25:AJ$84,Административные!$F$25:$F$84,$F61,Административные!$G$25:$G$84,$G61)</f>
        <v>0</v>
      </c>
      <c r="AU61" s="552"/>
      <c r="AV61" s="552"/>
      <c r="AW61" s="552"/>
      <c r="AX61" s="552"/>
      <c r="AY61" s="552"/>
      <c r="AZ61" s="552"/>
      <c r="BA61" s="552"/>
      <c r="BB61" s="552"/>
      <c r="BC61" s="552"/>
      <c r="BD61" s="190">
        <f t="shared" ca="1" si="9"/>
        <v>0</v>
      </c>
      <c r="BE61" s="552"/>
      <c r="BF61" s="552"/>
      <c r="BG61" s="552"/>
      <c r="BH61" s="552"/>
      <c r="BI61" s="552"/>
      <c r="BJ61" s="552"/>
      <c r="BK61" s="552"/>
      <c r="BL61" s="552"/>
      <c r="BM61" s="552"/>
      <c r="BN61" s="784"/>
      <c r="BO61" s="788" t="str">
        <f ca="1">IF(IFERROR(INDEX(Административные!$K$26:$L$84,MATCH($F61&amp;"16komm",Административные!$K$26:$K$84,0),2),"")=0,"",IFERROR(INDEX(Административные!$K$26:$L$84,MATCH($F61&amp;"16komm",Административные!$K$26:$K$84,0),2),""))</f>
        <v/>
      </c>
      <c r="BP61" s="784"/>
      <c r="BS61" s="705" t="s">
        <v>1997</v>
      </c>
    </row>
    <row r="62" spans="2:75" ht="21.95" hidden="1" customHeight="1">
      <c r="C62" s="44"/>
      <c r="D62" s="44"/>
      <c r="E62" s="462">
        <v>22.5</v>
      </c>
      <c r="F62" s="3" cm="1">
        <f t="array" aca="1" ref="F62" ca="1">OFFSET(E62,-1,1)</f>
        <v>0</v>
      </c>
      <c r="G62" s="44"/>
      <c r="H62" s="587"/>
      <c r="I62" s="587" t="s">
        <v>1364</v>
      </c>
      <c r="J62" s="44"/>
      <c r="K62" s="290" t="s">
        <v>1364</v>
      </c>
      <c r="L62" s="44" t="s">
        <v>929</v>
      </c>
      <c r="M62" s="44"/>
      <c r="N62" s="44"/>
      <c r="O62" s="44"/>
      <c r="P62" s="44"/>
      <c r="Q62" s="44"/>
      <c r="R62" s="44"/>
      <c r="S62" s="44"/>
      <c r="T62" s="365" t="b" cm="1">
        <f t="array" ref="T62">T61</f>
        <v>0</v>
      </c>
      <c r="U62" s="44"/>
      <c r="V62" s="44"/>
      <c r="W62" s="44"/>
      <c r="X62" s="1094"/>
      <c r="Z62" s="1065"/>
      <c r="AB62" s="26" t="s">
        <v>1024</v>
      </c>
      <c r="AC62" s="153" t="s">
        <v>1998</v>
      </c>
      <c r="AD62" s="26" t="s">
        <v>804</v>
      </c>
      <c r="AE62" s="190">
        <f ca="1">AE63+AE64</f>
        <v>0</v>
      </c>
      <c r="AF62" s="190">
        <f ca="1">AF63+AF64</f>
        <v>0</v>
      </c>
      <c r="AG62" s="190">
        <f ca="1">AG63+AG64</f>
        <v>0</v>
      </c>
      <c r="AH62" s="190">
        <f t="shared" ca="1" si="8"/>
        <v>0</v>
      </c>
      <c r="AI62" s="190">
        <f ca="1">AI63+AI64</f>
        <v>0</v>
      </c>
      <c r="AJ62" s="190">
        <f ca="1">AJ63+AJ64</f>
        <v>0</v>
      </c>
      <c r="AK62" s="552"/>
      <c r="AL62" s="552"/>
      <c r="AM62" s="552"/>
      <c r="AN62" s="552"/>
      <c r="AO62" s="552"/>
      <c r="AP62" s="552"/>
      <c r="AQ62" s="552"/>
      <c r="AR62" s="552"/>
      <c r="AS62" s="552"/>
      <c r="AT62" s="190">
        <f ca="1">AT63+AT64</f>
        <v>0</v>
      </c>
      <c r="AU62" s="552"/>
      <c r="AV62" s="552"/>
      <c r="AW62" s="552"/>
      <c r="AX62" s="552"/>
      <c r="AY62" s="552"/>
      <c r="AZ62" s="552"/>
      <c r="BA62" s="552"/>
      <c r="BB62" s="552"/>
      <c r="BC62" s="552"/>
      <c r="BD62" s="190">
        <f t="shared" ca="1" si="9"/>
        <v>0</v>
      </c>
      <c r="BE62" s="552"/>
      <c r="BF62" s="552"/>
      <c r="BG62" s="552"/>
      <c r="BH62" s="552"/>
      <c r="BI62" s="552"/>
      <c r="BJ62" s="552"/>
      <c r="BK62" s="552"/>
      <c r="BL62" s="552"/>
      <c r="BM62" s="552"/>
      <c r="BN62" s="784"/>
      <c r="BO62" s="784"/>
      <c r="BP62" s="784"/>
      <c r="BS62" s="703" t="s">
        <v>1804</v>
      </c>
    </row>
    <row r="63" spans="2:75" ht="14.65" hidden="1" customHeight="1">
      <c r="C63" s="44"/>
      <c r="D63" s="44"/>
      <c r="E63" s="462">
        <v>15</v>
      </c>
      <c r="F63" s="3" cm="1">
        <f t="array" aca="1" ref="F63" ca="1">OFFSET(E63,-1,1)</f>
        <v>0</v>
      </c>
      <c r="G63" s="44" t="s">
        <v>1179</v>
      </c>
      <c r="H63" s="587"/>
      <c r="I63" s="587" t="s">
        <v>1999</v>
      </c>
      <c r="J63" s="44"/>
      <c r="K63" s="290" t="s">
        <v>1999</v>
      </c>
      <c r="L63" s="44" t="s">
        <v>497</v>
      </c>
      <c r="M63" s="44"/>
      <c r="N63" s="44"/>
      <c r="O63" s="44"/>
      <c r="P63" s="44"/>
      <c r="Q63" s="44"/>
      <c r="R63" s="44"/>
      <c r="S63" s="44"/>
      <c r="T63" s="365" t="b" cm="1">
        <f t="array" ref="T63">T62</f>
        <v>0</v>
      </c>
      <c r="U63" s="44"/>
      <c r="V63" s="44"/>
      <c r="W63" s="44"/>
      <c r="X63" s="1094"/>
      <c r="Z63" s="1065"/>
      <c r="AB63" s="26" t="s">
        <v>2000</v>
      </c>
      <c r="AC63" s="553" t="s">
        <v>1805</v>
      </c>
      <c r="AD63" s="555" t="s">
        <v>804</v>
      </c>
      <c r="AE63" s="190">
        <f ca="1">SUMIFS(ФОТ!AE$25:AE$102,ФОТ!$F$25:$F$102,$F63,ФОТ!$G$25:$G$102,$G63)</f>
        <v>0</v>
      </c>
      <c r="AF63" s="190">
        <f ca="1">SUMIFS(ФОТ!AF$25:AF$102,ФОТ!$F$25:$F$102,$F63,ФОТ!$G$25:$G$102,$G63)</f>
        <v>0</v>
      </c>
      <c r="AG63" s="190">
        <f ca="1">SUMIFS(ФОТ!AG$25:AG$102,ФОТ!$F$25:$F$102,$F63,ФОТ!$G$25:$G$102,$G63)</f>
        <v>0</v>
      </c>
      <c r="AH63" s="190">
        <f t="shared" ca="1" si="8"/>
        <v>0</v>
      </c>
      <c r="AI63" s="190">
        <f ca="1">SUMIFS(ФОТ!AH$25:AH$102,ФОТ!$F$25:$F$102,$F63,ФОТ!$G$25:$G$102,$G63)</f>
        <v>0</v>
      </c>
      <c r="AJ63" s="190">
        <f ca="1">SUMIFS(ФОТ!AI$25:AI$102,ФОТ!$F$25:$F$102,$F63,ФОТ!$G$25:$G$102,$G63)</f>
        <v>0</v>
      </c>
      <c r="AK63" s="552"/>
      <c r="AL63" s="552"/>
      <c r="AM63" s="552"/>
      <c r="AN63" s="552"/>
      <c r="AO63" s="552"/>
      <c r="AP63" s="552"/>
      <c r="AQ63" s="552"/>
      <c r="AR63" s="552"/>
      <c r="AS63" s="552"/>
      <c r="AT63" s="190">
        <f ca="1">SUMIFS(ФОТ!AJ$25:AJ$102,ФОТ!$F$25:$F$102,$F63,ФОТ!$G$25:$G$102,$G63)</f>
        <v>0</v>
      </c>
      <c r="AU63" s="552"/>
      <c r="AV63" s="552"/>
      <c r="AW63" s="552"/>
      <c r="AX63" s="552"/>
      <c r="AY63" s="552"/>
      <c r="AZ63" s="552"/>
      <c r="BA63" s="552"/>
      <c r="BB63" s="552"/>
      <c r="BC63" s="552"/>
      <c r="BD63" s="190">
        <f t="shared" ca="1" si="9"/>
        <v>0</v>
      </c>
      <c r="BE63" s="552"/>
      <c r="BF63" s="552"/>
      <c r="BG63" s="552"/>
      <c r="BH63" s="552"/>
      <c r="BI63" s="552"/>
      <c r="BJ63" s="552"/>
      <c r="BK63" s="552"/>
      <c r="BL63" s="552"/>
      <c r="BM63" s="552"/>
      <c r="BN63" s="784"/>
      <c r="BO63" s="788" t="str">
        <f ca="1">IF(IFERROR(INDEX(ФОТ!$K$26:$L$102,MATCH($F63&amp;"5komm",ФОТ!$K$26:$K$102,0),2),"")=0,"",IFERROR(INDEX(ФОТ!$K$26:$L$102,MATCH($F63&amp;"5komm",ФОТ!$K$26:$K$102,0),2),""))</f>
        <v/>
      </c>
      <c r="BP63" s="784"/>
      <c r="BS63" s="703" t="s">
        <v>1196</v>
      </c>
    </row>
    <row r="64" spans="2:75" ht="21.95" hidden="1" customHeight="1">
      <c r="C64" s="44"/>
      <c r="D64" s="44"/>
      <c r="E64" s="462">
        <v>22.5</v>
      </c>
      <c r="F64" s="3" cm="1">
        <f t="array" aca="1" ref="F64" ca="1">OFFSET(E64,-1,1)</f>
        <v>0</v>
      </c>
      <c r="G64" s="44" t="s">
        <v>1184</v>
      </c>
      <c r="H64" s="587"/>
      <c r="I64" s="587" t="s">
        <v>2001</v>
      </c>
      <c r="J64" s="44"/>
      <c r="K64" s="290" t="s">
        <v>2001</v>
      </c>
      <c r="L64" s="44" t="s">
        <v>502</v>
      </c>
      <c r="M64" s="44"/>
      <c r="N64" s="44"/>
      <c r="O64" s="44"/>
      <c r="P64" s="44"/>
      <c r="Q64" s="44"/>
      <c r="R64" s="44"/>
      <c r="S64" s="44"/>
      <c r="T64" s="365" t="b" cm="1">
        <f t="array" ref="T64">T63</f>
        <v>0</v>
      </c>
      <c r="U64" s="44"/>
      <c r="V64" s="44"/>
      <c r="W64" s="44"/>
      <c r="X64" s="1094"/>
      <c r="Z64" s="1065"/>
      <c r="AB64" s="26" t="s">
        <v>2002</v>
      </c>
      <c r="AC64" s="553" t="s">
        <v>2003</v>
      </c>
      <c r="AD64" s="26" t="s">
        <v>804</v>
      </c>
      <c r="AE64" s="190">
        <f ca="1">SUMIFS(ФОТ!AE$25:AE$102,ФОТ!$F$25:$F$102,$F64,ФОТ!$G$25:$G$102,$G64)</f>
        <v>0</v>
      </c>
      <c r="AF64" s="190">
        <f ca="1">SUMIFS(ФОТ!AF$25:AF$102,ФОТ!$F$25:$F$102,$F64,ФОТ!$G$25:$G$102,$G64)</f>
        <v>0</v>
      </c>
      <c r="AG64" s="190">
        <f ca="1">SUMIFS(ФОТ!AG$25:AG$102,ФОТ!$F$25:$F$102,$F64,ФОТ!$G$25:$G$102,$G64)</f>
        <v>0</v>
      </c>
      <c r="AH64" s="190">
        <f t="shared" ca="1" si="8"/>
        <v>0</v>
      </c>
      <c r="AI64" s="190">
        <f ca="1">SUMIFS(ФОТ!AH$25:AH$102,ФОТ!$F$25:$F$102,$F64,ФОТ!$G$25:$G$102,$G64)</f>
        <v>0</v>
      </c>
      <c r="AJ64" s="190">
        <f ca="1">SUMIFS(ФОТ!AI$25:AI$102,ФОТ!$F$25:$F$102,$F64,ФОТ!$G$25:$G$102,$G64)</f>
        <v>0</v>
      </c>
      <c r="AK64" s="552"/>
      <c r="AL64" s="552"/>
      <c r="AM64" s="552"/>
      <c r="AN64" s="552"/>
      <c r="AO64" s="552"/>
      <c r="AP64" s="552"/>
      <c r="AQ64" s="552"/>
      <c r="AR64" s="552"/>
      <c r="AS64" s="552"/>
      <c r="AT64" s="190">
        <f ca="1">SUMIFS(ФОТ!AJ$25:AJ$102,ФОТ!$F$25:$F$102,$F64,ФОТ!$G$25:$G$102,$G64)</f>
        <v>0</v>
      </c>
      <c r="AU64" s="552"/>
      <c r="AV64" s="552"/>
      <c r="AW64" s="552"/>
      <c r="AX64" s="552"/>
      <c r="AY64" s="552"/>
      <c r="AZ64" s="552"/>
      <c r="BA64" s="552"/>
      <c r="BB64" s="552"/>
      <c r="BC64" s="552"/>
      <c r="BD64" s="190">
        <f t="shared" ca="1" si="9"/>
        <v>0</v>
      </c>
      <c r="BE64" s="552"/>
      <c r="BF64" s="552"/>
      <c r="BG64" s="552"/>
      <c r="BH64" s="552"/>
      <c r="BI64" s="552"/>
      <c r="BJ64" s="552"/>
      <c r="BK64" s="552"/>
      <c r="BL64" s="552"/>
      <c r="BM64" s="552"/>
      <c r="BN64" s="784"/>
      <c r="BO64" s="788" t="str">
        <f ca="1">IF(IFERROR(INDEX(ФОТ!$K$26:$L$102,MATCH($F64&amp;"6komm",ФОТ!$K$26:$K$102,0),2),"")=0,"",IFERROR(INDEX(ФОТ!$K$26:$L$102,MATCH($F64&amp;"6komm",ФОТ!$K$26:$K$102,0),2),""))</f>
        <v/>
      </c>
      <c r="BP64" s="784"/>
      <c r="BS64" s="703" t="s">
        <v>1807</v>
      </c>
    </row>
    <row r="65" spans="2:75" ht="32.85" hidden="1" customHeight="1">
      <c r="C65" s="44"/>
      <c r="D65" s="44"/>
      <c r="E65" s="462">
        <v>33.75</v>
      </c>
      <c r="F65" s="3" cm="1">
        <f t="array" aca="1" ref="F65" ca="1">OFFSET(E65,-1,1)</f>
        <v>0</v>
      </c>
      <c r="G65" s="581" t="s">
        <v>1225</v>
      </c>
      <c r="H65" s="587"/>
      <c r="I65" s="587" t="s">
        <v>1367</v>
      </c>
      <c r="J65" s="44"/>
      <c r="K65" s="290" t="s">
        <v>1367</v>
      </c>
      <c r="L65" s="44" t="s">
        <v>931</v>
      </c>
      <c r="M65" s="44"/>
      <c r="N65" s="44"/>
      <c r="O65" s="44"/>
      <c r="P65" s="44"/>
      <c r="Q65" s="44"/>
      <c r="R65" s="44"/>
      <c r="S65" s="44"/>
      <c r="T65" s="365" t="b" cm="1">
        <f t="array" ref="T65">T64</f>
        <v>0</v>
      </c>
      <c r="U65" s="44"/>
      <c r="V65" s="44"/>
      <c r="W65" s="44"/>
      <c r="X65" s="1094"/>
      <c r="Z65" s="1065"/>
      <c r="AB65" s="26" t="s">
        <v>1368</v>
      </c>
      <c r="AC65" s="153" t="s">
        <v>2004</v>
      </c>
      <c r="AD65" s="26" t="s">
        <v>804</v>
      </c>
      <c r="AE65" s="190">
        <f ca="1">SUMIFS(Административные!AE$25:AE$84,Административные!$F$25:$F$84,$F65,Административные!$G$25:$G$84,$G65)</f>
        <v>0</v>
      </c>
      <c r="AF65" s="190">
        <f ca="1">SUMIFS(Административные!AF$25:AF$84,Административные!$F$25:$F$84,$F65,Административные!$G$25:$G$84,$G65)</f>
        <v>0</v>
      </c>
      <c r="AG65" s="190">
        <f ca="1">SUMIFS(Административные!AG$25:AG$84,Административные!$F$25:$F$84,$F65,Административные!$G$25:$G$84,$G65)</f>
        <v>0</v>
      </c>
      <c r="AH65" s="190">
        <f t="shared" ca="1" si="8"/>
        <v>0</v>
      </c>
      <c r="AI65" s="190">
        <f ca="1">SUMIFS(Административные!AH$25:AH$84,Административные!$F$25:$F$84,$F65,Административные!$G$25:$G$84,$G65)</f>
        <v>0</v>
      </c>
      <c r="AJ65" s="190">
        <f ca="1">SUMIFS(Административные!AI$25:AI$84,Административные!$F$25:$F$84,$F65,Административные!$G$25:$G$84,$G65)</f>
        <v>0</v>
      </c>
      <c r="AK65" s="552"/>
      <c r="AL65" s="552"/>
      <c r="AM65" s="552"/>
      <c r="AN65" s="552"/>
      <c r="AO65" s="552"/>
      <c r="AP65" s="552"/>
      <c r="AQ65" s="552"/>
      <c r="AR65" s="552"/>
      <c r="AS65" s="552"/>
      <c r="AT65" s="190">
        <f ca="1">SUMIFS(Административные!AJ$25:AJ$84,Административные!$F$25:$F$84,$F65,Административные!$G$25:$G$84,$G65)</f>
        <v>0</v>
      </c>
      <c r="AU65" s="552"/>
      <c r="AV65" s="552"/>
      <c r="AW65" s="552"/>
      <c r="AX65" s="552"/>
      <c r="AY65" s="552"/>
      <c r="AZ65" s="552"/>
      <c r="BA65" s="552"/>
      <c r="BB65" s="552"/>
      <c r="BC65" s="552"/>
      <c r="BD65" s="190">
        <f t="shared" ca="1" si="9"/>
        <v>0</v>
      </c>
      <c r="BE65" s="552"/>
      <c r="BF65" s="552"/>
      <c r="BG65" s="552"/>
      <c r="BH65" s="552"/>
      <c r="BI65" s="552"/>
      <c r="BJ65" s="552"/>
      <c r="BK65" s="552"/>
      <c r="BL65" s="552"/>
      <c r="BM65" s="552"/>
      <c r="BN65" s="784"/>
      <c r="BO65" s="788" t="str">
        <f ca="1">IF(IFERROR(INDEX(Административные!$K$26:$L$84,MATCH($F65&amp;"2komm",Административные!$K$26:$K$84,0),2),"")=0,"",IFERROR(INDEX(Административные!$K$26:$L$84,MATCH($F65&amp;"2komm",Административные!$K$26:$K$84,0),2),""))</f>
        <v/>
      </c>
      <c r="BP65" s="784"/>
      <c r="BS65" s="703" t="s">
        <v>1227</v>
      </c>
    </row>
    <row r="66" spans="2:75" ht="14.65" hidden="1" customHeight="1">
      <c r="C66" s="44"/>
      <c r="D66" s="44"/>
      <c r="E66" s="462">
        <v>15</v>
      </c>
      <c r="F66" s="3" cm="1">
        <f t="array" aca="1" ref="F66" ca="1">OFFSET(E66,-1,1)</f>
        <v>0</v>
      </c>
      <c r="G66" s="581" t="s">
        <v>1228</v>
      </c>
      <c r="H66" s="587"/>
      <c r="I66" s="587" t="s">
        <v>1371</v>
      </c>
      <c r="J66" s="44"/>
      <c r="K66" s="290" t="s">
        <v>1371</v>
      </c>
      <c r="L66" s="44" t="s">
        <v>933</v>
      </c>
      <c r="M66" s="44"/>
      <c r="N66" s="44"/>
      <c r="O66" s="44"/>
      <c r="P66" s="44"/>
      <c r="Q66" s="44"/>
      <c r="R66" s="44"/>
      <c r="S66" s="44"/>
      <c r="T66" s="365" t="b" cm="1">
        <f t="array" ref="T66">T65</f>
        <v>0</v>
      </c>
      <c r="U66" s="44"/>
      <c r="V66" s="44"/>
      <c r="W66" s="44"/>
      <c r="X66" s="1094"/>
      <c r="Z66" s="1065"/>
      <c r="AB66" s="26" t="s">
        <v>1372</v>
      </c>
      <c r="AC66" s="153" t="s">
        <v>2005</v>
      </c>
      <c r="AD66" s="26" t="s">
        <v>804</v>
      </c>
      <c r="AE66" s="190">
        <f ca="1">SUMIFS(Административные!AE$25:AE$84,Административные!$F$25:$F$84,$F66,Административные!$G$25:$G$84,$G66)</f>
        <v>0</v>
      </c>
      <c r="AF66" s="190">
        <f ca="1">SUMIFS(Административные!AF$25:AF$84,Административные!$F$25:$F$84,$F66,Административные!$G$25:$G$84,$G66)</f>
        <v>0</v>
      </c>
      <c r="AG66" s="190">
        <f ca="1">SUMIFS(Административные!AG$25:AG$84,Административные!$F$25:$F$84,$F66,Административные!$G$25:$G$84,$G66)</f>
        <v>0</v>
      </c>
      <c r="AH66" s="190">
        <f t="shared" ca="1" si="8"/>
        <v>0</v>
      </c>
      <c r="AI66" s="190">
        <f ca="1">SUMIFS(Административные!AH$25:AH$84,Административные!$F$25:$F$84,$F66,Административные!$G$25:$G$84,$G66)</f>
        <v>0</v>
      </c>
      <c r="AJ66" s="190">
        <f ca="1">SUMIFS(Административные!AI$25:AI$84,Административные!$F$25:$F$84,$F66,Административные!$G$25:$G$84,$G66)</f>
        <v>0</v>
      </c>
      <c r="AK66" s="552"/>
      <c r="AL66" s="552"/>
      <c r="AM66" s="552"/>
      <c r="AN66" s="552"/>
      <c r="AO66" s="552"/>
      <c r="AP66" s="552"/>
      <c r="AQ66" s="552"/>
      <c r="AR66" s="552"/>
      <c r="AS66" s="552"/>
      <c r="AT66" s="190">
        <f ca="1">SUMIFS(Административные!AJ$25:AJ$84,Административные!$F$25:$F$84,$F66,Административные!$G$25:$G$84,$G66)</f>
        <v>0</v>
      </c>
      <c r="AU66" s="552"/>
      <c r="AV66" s="552"/>
      <c r="AW66" s="552"/>
      <c r="AX66" s="552"/>
      <c r="AY66" s="552"/>
      <c r="AZ66" s="552"/>
      <c r="BA66" s="552"/>
      <c r="BB66" s="552"/>
      <c r="BC66" s="552"/>
      <c r="BD66" s="190">
        <f t="shared" ca="1" si="9"/>
        <v>0</v>
      </c>
      <c r="BE66" s="552"/>
      <c r="BF66" s="552"/>
      <c r="BG66" s="552"/>
      <c r="BH66" s="552"/>
      <c r="BI66" s="552"/>
      <c r="BJ66" s="552"/>
      <c r="BK66" s="552"/>
      <c r="BL66" s="552"/>
      <c r="BM66" s="552"/>
      <c r="BN66" s="784"/>
      <c r="BO66" s="788" t="str">
        <f ca="1">IF(IFERROR(INDEX(Административные!$K$26:$L$84,MATCH($F66&amp;"3komm",Административные!$K$26:$K$84,0),2),"")=0,"",IFERROR(INDEX(Административные!$K$26:$L$84,MATCH($F66&amp;"3komm",Административные!$K$26:$K$84,0),2),""))</f>
        <v/>
      </c>
      <c r="BP66" s="784"/>
      <c r="BS66" s="703" t="s">
        <v>1230</v>
      </c>
    </row>
    <row r="67" spans="2:75" ht="14.65" hidden="1" customHeight="1">
      <c r="C67" s="44"/>
      <c r="D67" s="44"/>
      <c r="E67" s="462">
        <v>15</v>
      </c>
      <c r="F67" s="3" cm="1">
        <f t="array" aca="1" ref="F67" ca="1">OFFSET(E67,-1,1)</f>
        <v>0</v>
      </c>
      <c r="G67" s="581" t="s">
        <v>1231</v>
      </c>
      <c r="H67" s="587"/>
      <c r="I67" s="587" t="s">
        <v>2006</v>
      </c>
      <c r="J67" s="44"/>
      <c r="K67" s="290" t="s">
        <v>2006</v>
      </c>
      <c r="L67" s="44" t="s">
        <v>936</v>
      </c>
      <c r="M67" s="44"/>
      <c r="N67" s="44"/>
      <c r="O67" s="44"/>
      <c r="P67" s="44"/>
      <c r="Q67" s="44"/>
      <c r="R67" s="44"/>
      <c r="S67" s="44"/>
      <c r="T67" s="365" t="b" cm="1">
        <f t="array" ref="T67">T66</f>
        <v>0</v>
      </c>
      <c r="U67" s="44"/>
      <c r="V67" s="44"/>
      <c r="W67" s="44"/>
      <c r="X67" s="1094"/>
      <c r="Z67" s="1065"/>
      <c r="AB67" s="26" t="s">
        <v>2007</v>
      </c>
      <c r="AC67" s="153" t="s">
        <v>2008</v>
      </c>
      <c r="AD67" s="26" t="s">
        <v>804</v>
      </c>
      <c r="AE67" s="190">
        <f ca="1">SUMIFS(Административные!AE$25:AE$84,Административные!$F$25:$F$84,$F67,Административные!$G$25:$G$84,$G67)</f>
        <v>0</v>
      </c>
      <c r="AF67" s="190">
        <f ca="1">SUMIFS(Административные!AF$25:AF$84,Административные!$F$25:$F$84,$F67,Административные!$G$25:$G$84,$G67)</f>
        <v>0</v>
      </c>
      <c r="AG67" s="190">
        <f ca="1">SUMIFS(Административные!AG$25:AG$84,Административные!$F$25:$F$84,$F67,Административные!$G$25:$G$84,$G67)</f>
        <v>0</v>
      </c>
      <c r="AH67" s="190">
        <f t="shared" ca="1" si="8"/>
        <v>0</v>
      </c>
      <c r="AI67" s="190">
        <f ca="1">SUMIFS(Административные!AH$25:AH$84,Административные!$F$25:$F$84,$F67,Административные!$G$25:$G$84,$G67)</f>
        <v>0</v>
      </c>
      <c r="AJ67" s="190">
        <f ca="1">SUMIFS(Административные!AI$25:AI$84,Административные!$F$25:$F$84,$F67,Административные!$G$25:$G$84,$G67)</f>
        <v>0</v>
      </c>
      <c r="AK67" s="552"/>
      <c r="AL67" s="552"/>
      <c r="AM67" s="552"/>
      <c r="AN67" s="552"/>
      <c r="AO67" s="552"/>
      <c r="AP67" s="552"/>
      <c r="AQ67" s="552"/>
      <c r="AR67" s="552"/>
      <c r="AS67" s="552"/>
      <c r="AT67" s="190">
        <f ca="1">SUMIFS(Административные!AJ$25:AJ$84,Административные!$F$25:$F$84,$F67,Административные!$G$25:$G$84,$G67)</f>
        <v>0</v>
      </c>
      <c r="AU67" s="552"/>
      <c r="AV67" s="552"/>
      <c r="AW67" s="552"/>
      <c r="AX67" s="552"/>
      <c r="AY67" s="552"/>
      <c r="AZ67" s="552"/>
      <c r="BA67" s="552"/>
      <c r="BB67" s="552"/>
      <c r="BC67" s="552"/>
      <c r="BD67" s="190">
        <f t="shared" ca="1" si="9"/>
        <v>0</v>
      </c>
      <c r="BE67" s="552"/>
      <c r="BF67" s="552"/>
      <c r="BG67" s="552"/>
      <c r="BH67" s="552"/>
      <c r="BI67" s="552"/>
      <c r="BJ67" s="552"/>
      <c r="BK67" s="552"/>
      <c r="BL67" s="552"/>
      <c r="BM67" s="552"/>
      <c r="BN67" s="784"/>
      <c r="BO67" s="788" t="str">
        <f ca="1">IF(IFERROR(INDEX(Административные!$K$26:$L$84,MATCH($F67&amp;"4komm",Административные!$K$26:$K$84,0),2),"")=0,"",IFERROR(INDEX(Административные!$K$26:$L$84,MATCH($F67&amp;"4komm",Административные!$K$26:$K$84,0),2),""))</f>
        <v/>
      </c>
      <c r="BP67" s="784"/>
      <c r="BS67" s="703" t="s">
        <v>1233</v>
      </c>
    </row>
    <row r="68" spans="2:75" ht="14.65" hidden="1" customHeight="1">
      <c r="C68" s="44"/>
      <c r="D68" s="44"/>
      <c r="E68" s="462">
        <v>15</v>
      </c>
      <c r="F68" s="3" cm="1">
        <f t="array" aca="1" ref="F68" ca="1">OFFSET(E68,-1,1)</f>
        <v>0</v>
      </c>
      <c r="G68" s="581" t="s">
        <v>1234</v>
      </c>
      <c r="H68" s="587"/>
      <c r="I68" s="587" t="s">
        <v>2009</v>
      </c>
      <c r="J68" s="44"/>
      <c r="K68" s="290" t="s">
        <v>2009</v>
      </c>
      <c r="L68" s="44" t="s">
        <v>1216</v>
      </c>
      <c r="M68" s="44"/>
      <c r="N68" s="44"/>
      <c r="O68" s="44"/>
      <c r="P68" s="44"/>
      <c r="Q68" s="44"/>
      <c r="R68" s="44"/>
      <c r="S68" s="44"/>
      <c r="T68" s="365" t="b" cm="1">
        <f t="array" ref="T68">T67</f>
        <v>0</v>
      </c>
      <c r="U68" s="44"/>
      <c r="V68" s="44"/>
      <c r="W68" s="44"/>
      <c r="X68" s="1094"/>
      <c r="Z68" s="1065"/>
      <c r="AB68" s="26" t="s">
        <v>2010</v>
      </c>
      <c r="AC68" s="153" t="s">
        <v>2011</v>
      </c>
      <c r="AD68" s="26" t="s">
        <v>804</v>
      </c>
      <c r="AE68" s="190">
        <f ca="1">SUMIFS(Административные!AE$25:AE$84,Административные!$F$25:$F$84,$F68,Административные!$G$25:$G$84,$G68)</f>
        <v>0</v>
      </c>
      <c r="AF68" s="190">
        <f ca="1">SUMIFS(Административные!AF$25:AF$84,Административные!$F$25:$F$84,$F68,Административные!$G$25:$G$84,$G68)</f>
        <v>0</v>
      </c>
      <c r="AG68" s="190">
        <f ca="1">SUMIFS(Административные!AG$25:AG$84,Административные!$F$25:$F$84,$F68,Административные!$G$25:$G$84,$G68)</f>
        <v>0</v>
      </c>
      <c r="AH68" s="190">
        <f t="shared" ca="1" si="8"/>
        <v>0</v>
      </c>
      <c r="AI68" s="190">
        <f ca="1">SUMIFS(Административные!AH$25:AH$84,Административные!$F$25:$F$84,$F68,Административные!$G$25:$G$84,$G68)</f>
        <v>0</v>
      </c>
      <c r="AJ68" s="190">
        <f ca="1">SUMIFS(Административные!AI$25:AI$84,Административные!$F$25:$F$84,$F68,Административные!$G$25:$G$84,$G68)</f>
        <v>0</v>
      </c>
      <c r="AK68" s="552"/>
      <c r="AL68" s="552"/>
      <c r="AM68" s="552"/>
      <c r="AN68" s="552"/>
      <c r="AO68" s="552"/>
      <c r="AP68" s="552"/>
      <c r="AQ68" s="552"/>
      <c r="AR68" s="552"/>
      <c r="AS68" s="552"/>
      <c r="AT68" s="190">
        <f ca="1">SUMIFS(Административные!AJ$25:AJ$84,Административные!$F$25:$F$84,$F68,Административные!$G$25:$G$84,$G68)</f>
        <v>0</v>
      </c>
      <c r="AU68" s="552"/>
      <c r="AV68" s="552"/>
      <c r="AW68" s="552"/>
      <c r="AX68" s="552"/>
      <c r="AY68" s="552"/>
      <c r="AZ68" s="552"/>
      <c r="BA68" s="552"/>
      <c r="BB68" s="552"/>
      <c r="BC68" s="552"/>
      <c r="BD68" s="190">
        <f t="shared" ca="1" si="9"/>
        <v>0</v>
      </c>
      <c r="BE68" s="552"/>
      <c r="BF68" s="552"/>
      <c r="BG68" s="552"/>
      <c r="BH68" s="552"/>
      <c r="BI68" s="552"/>
      <c r="BJ68" s="552"/>
      <c r="BK68" s="552"/>
      <c r="BL68" s="552"/>
      <c r="BM68" s="552"/>
      <c r="BN68" s="784"/>
      <c r="BO68" s="788" t="str">
        <f ca="1">IF(IFERROR(INDEX(Административные!$K$26:$L$84,MATCH($F68&amp;"5komm",Административные!$K$26:$K$84,0),2),"")=0,"",IFERROR(INDEX(Административные!$K$26:$L$84,MATCH($F68&amp;"5komm",Административные!$K$26:$K$84,0),2),""))</f>
        <v/>
      </c>
      <c r="BP68" s="784"/>
      <c r="BS68" s="703" t="s">
        <v>1809</v>
      </c>
    </row>
    <row r="69" spans="2:75" ht="14.65" hidden="1" customHeight="1">
      <c r="C69" s="44"/>
      <c r="D69" s="44"/>
      <c r="E69" s="462">
        <v>15</v>
      </c>
      <c r="F69" s="3" cm="1">
        <f t="array" aca="1" ref="F69" ca="1">OFFSET(E69,-1,1)</f>
        <v>0</v>
      </c>
      <c r="G69" s="581" t="s">
        <v>1237</v>
      </c>
      <c r="H69" s="587"/>
      <c r="I69" s="587" t="s">
        <v>2012</v>
      </c>
      <c r="J69" s="44"/>
      <c r="K69" s="290" t="s">
        <v>2012</v>
      </c>
      <c r="L69" s="44" t="s">
        <v>1221</v>
      </c>
      <c r="M69" s="44"/>
      <c r="N69" s="44"/>
      <c r="O69" s="44"/>
      <c r="P69" s="44"/>
      <c r="Q69" s="44"/>
      <c r="R69" s="44"/>
      <c r="S69" s="44"/>
      <c r="T69" s="365" t="b" cm="1">
        <f t="array" ref="T69">T68</f>
        <v>0</v>
      </c>
      <c r="U69" s="44"/>
      <c r="V69" s="44"/>
      <c r="W69" s="44"/>
      <c r="X69" s="1094"/>
      <c r="Z69" s="1065"/>
      <c r="AB69" s="26" t="s">
        <v>2013</v>
      </c>
      <c r="AC69" s="153" t="s">
        <v>2014</v>
      </c>
      <c r="AD69" s="26" t="s">
        <v>804</v>
      </c>
      <c r="AE69" s="190">
        <f ca="1">SUMIFS(Административные!AE$25:AE$84,Административные!$F$25:$F$84,$F69,Административные!$G$25:$G$84,$G69)</f>
        <v>0</v>
      </c>
      <c r="AF69" s="190">
        <f ca="1">SUMIFS(Административные!AF$25:AF$84,Административные!$F$25:$F$84,$F69,Административные!$G$25:$G$84,$G69)</f>
        <v>0</v>
      </c>
      <c r="AG69" s="190">
        <f ca="1">SUMIFS(Административные!AG$25:AG$84,Административные!$F$25:$F$84,$F69,Административные!$G$25:$G$84,$G69)</f>
        <v>0</v>
      </c>
      <c r="AH69" s="190">
        <f t="shared" ca="1" si="8"/>
        <v>0</v>
      </c>
      <c r="AI69" s="190">
        <f ca="1">SUMIFS(Административные!AH$25:AH$84,Административные!$F$25:$F$84,$F69,Административные!$G$25:$G$84,$G69)</f>
        <v>0</v>
      </c>
      <c r="AJ69" s="190">
        <f ca="1">SUMIFS(Административные!AI$25:AI$84,Административные!$F$25:$F$84,$F69,Административные!$G$25:$G$84,$G69)</f>
        <v>0</v>
      </c>
      <c r="AK69" s="552"/>
      <c r="AL69" s="552"/>
      <c r="AM69" s="552"/>
      <c r="AN69" s="552"/>
      <c r="AO69" s="552"/>
      <c r="AP69" s="552"/>
      <c r="AQ69" s="552"/>
      <c r="AR69" s="552"/>
      <c r="AS69" s="552"/>
      <c r="AT69" s="190">
        <f ca="1">SUMIFS(Административные!AJ$25:AJ$84,Административные!$F$25:$F$84,$F69,Административные!$G$25:$G$84,$G69)</f>
        <v>0</v>
      </c>
      <c r="AU69" s="552"/>
      <c r="AV69" s="552"/>
      <c r="AW69" s="552"/>
      <c r="AX69" s="552"/>
      <c r="AY69" s="552"/>
      <c r="AZ69" s="552"/>
      <c r="BA69" s="552"/>
      <c r="BB69" s="552"/>
      <c r="BC69" s="552"/>
      <c r="BD69" s="190">
        <f t="shared" ca="1" si="9"/>
        <v>0</v>
      </c>
      <c r="BE69" s="552"/>
      <c r="BF69" s="552"/>
      <c r="BG69" s="552"/>
      <c r="BH69" s="552"/>
      <c r="BI69" s="552"/>
      <c r="BJ69" s="552"/>
      <c r="BK69" s="552"/>
      <c r="BL69" s="552"/>
      <c r="BM69" s="552"/>
      <c r="BN69" s="784"/>
      <c r="BO69" s="788" t="str">
        <f ca="1">IF(IFERROR(INDEX(Административные!$K$26:$L$84,MATCH($F69&amp;"6komm",Административные!$K$26:$K$84,0),2),"")=0,"",IFERROR(INDEX(Административные!$K$26:$L$84,MATCH($F69&amp;"6komm",Административные!$K$26:$K$84,0),2),""))</f>
        <v/>
      </c>
      <c r="BP69" s="784"/>
      <c r="BS69" s="703" t="s">
        <v>1811</v>
      </c>
    </row>
    <row r="70" spans="2:75" ht="14.65" hidden="1" customHeight="1">
      <c r="C70" s="44"/>
      <c r="D70" s="44"/>
      <c r="E70" s="462">
        <v>15</v>
      </c>
      <c r="F70" s="3" cm="1">
        <f t="array" aca="1" ref="F70" ca="1">OFFSET(E70,-1,1)</f>
        <v>0</v>
      </c>
      <c r="G70" s="581" t="s">
        <v>1239</v>
      </c>
      <c r="H70" s="587"/>
      <c r="I70" s="587" t="s">
        <v>2015</v>
      </c>
      <c r="J70" s="44"/>
      <c r="K70" s="290" t="s">
        <v>2015</v>
      </c>
      <c r="L70" s="44" t="s">
        <v>1812</v>
      </c>
      <c r="M70" s="44"/>
      <c r="N70" s="44"/>
      <c r="O70" s="44"/>
      <c r="P70" s="44"/>
      <c r="Q70" s="44"/>
      <c r="R70" s="44"/>
      <c r="S70" s="44"/>
      <c r="T70" s="365" t="b" cm="1">
        <f t="array" ref="T70">T69</f>
        <v>0</v>
      </c>
      <c r="U70" s="44"/>
      <c r="V70" s="44"/>
      <c r="W70" s="44"/>
      <c r="X70" s="1094"/>
      <c r="Z70" s="1065"/>
      <c r="AB70" s="26" t="s">
        <v>2016</v>
      </c>
      <c r="AC70" s="553" t="s">
        <v>1814</v>
      </c>
      <c r="AD70" s="26" t="s">
        <v>804</v>
      </c>
      <c r="AE70" s="190">
        <f ca="1">SUMIFS(Административные!AE$25:AE$84,Административные!$F$25:$F$84,$F70,Административные!$G$25:$G$84,$G70)</f>
        <v>0</v>
      </c>
      <c r="AF70" s="190">
        <f ca="1">SUMIFS(Административные!AF$25:AF$84,Административные!$F$25:$F$84,$F70,Административные!$G$25:$G$84,$G70)</f>
        <v>0</v>
      </c>
      <c r="AG70" s="190">
        <f ca="1">SUMIFS(Административные!AG$25:AG$84,Административные!$F$25:$F$84,$F70,Административные!$G$25:$G$84,$G70)</f>
        <v>0</v>
      </c>
      <c r="AH70" s="190">
        <f t="shared" ca="1" si="8"/>
        <v>0</v>
      </c>
      <c r="AI70" s="190">
        <f ca="1">SUMIFS(Административные!AH$25:AH$84,Административные!$F$25:$F$84,$F70,Административные!$G$25:$G$84,$G70)</f>
        <v>0</v>
      </c>
      <c r="AJ70" s="190">
        <f ca="1">SUMIFS(Административные!AI$25:AI$84,Административные!$F$25:$F$84,$F70,Административные!$G$25:$G$84,$G70)</f>
        <v>0</v>
      </c>
      <c r="AK70" s="552"/>
      <c r="AL70" s="552"/>
      <c r="AM70" s="552"/>
      <c r="AN70" s="552"/>
      <c r="AO70" s="552"/>
      <c r="AP70" s="552"/>
      <c r="AQ70" s="552"/>
      <c r="AR70" s="552"/>
      <c r="AS70" s="552"/>
      <c r="AT70" s="190">
        <f ca="1">SUMIFS(Административные!AJ$25:AJ$84,Административные!$F$25:$F$84,$F70,Административные!$G$25:$G$84,$G70)</f>
        <v>0</v>
      </c>
      <c r="AU70" s="552"/>
      <c r="AV70" s="552"/>
      <c r="AW70" s="552"/>
      <c r="AX70" s="552"/>
      <c r="AY70" s="552"/>
      <c r="AZ70" s="552"/>
      <c r="BA70" s="552"/>
      <c r="BB70" s="552"/>
      <c r="BC70" s="552"/>
      <c r="BD70" s="190">
        <f t="shared" ca="1" si="9"/>
        <v>0</v>
      </c>
      <c r="BE70" s="552"/>
      <c r="BF70" s="552"/>
      <c r="BG70" s="552"/>
      <c r="BH70" s="552"/>
      <c r="BI70" s="552"/>
      <c r="BJ70" s="552"/>
      <c r="BK70" s="552"/>
      <c r="BL70" s="552"/>
      <c r="BM70" s="552"/>
      <c r="BN70" s="784"/>
      <c r="BO70" s="788" t="str">
        <f ca="1">IF(IFERROR(INDEX(Административные!$K$26:$L$84,MATCH($F70&amp;"7komm",Административные!$K$26:$K$84,0),2),"")=0,"",IFERROR(INDEX(Административные!$K$26:$L$84,MATCH($F70&amp;"7komm",Административные!$K$26:$K$84,0),2),""))</f>
        <v/>
      </c>
      <c r="BP70" s="784"/>
      <c r="BS70" s="703" t="s">
        <v>1815</v>
      </c>
    </row>
    <row r="71" spans="2:75" ht="14.65" hidden="1" customHeight="1">
      <c r="C71" s="44"/>
      <c r="D71" s="44"/>
      <c r="E71" s="462">
        <v>15</v>
      </c>
      <c r="F71" s="3" cm="1">
        <f t="array" aca="1" ref="F71" ca="1">OFFSET(E71,-1,1)</f>
        <v>0</v>
      </c>
      <c r="G71" s="581" t="s">
        <v>1242</v>
      </c>
      <c r="H71" s="587"/>
      <c r="I71" s="587" t="s">
        <v>2017</v>
      </c>
      <c r="J71" s="44"/>
      <c r="K71" s="290" t="s">
        <v>2017</v>
      </c>
      <c r="L71" s="44" t="s">
        <v>1816</v>
      </c>
      <c r="M71" s="44"/>
      <c r="N71" s="44"/>
      <c r="O71" s="44"/>
      <c r="P71" s="44"/>
      <c r="Q71" s="44"/>
      <c r="R71" s="44"/>
      <c r="S71" s="44"/>
      <c r="T71" s="365" t="b" cm="1">
        <f t="array" ref="T71">T70</f>
        <v>0</v>
      </c>
      <c r="U71" s="44"/>
      <c r="V71" s="44"/>
      <c r="W71" s="44"/>
      <c r="X71" s="1094"/>
      <c r="Z71" s="1065"/>
      <c r="AB71" s="26" t="s">
        <v>2018</v>
      </c>
      <c r="AC71" s="553" t="s">
        <v>1243</v>
      </c>
      <c r="AD71" s="26" t="s">
        <v>804</v>
      </c>
      <c r="AE71" s="190">
        <f ca="1">SUMIFS(Административные!AE$25:AE$84,Административные!$F$25:$F$84,$F71,Административные!$G$25:$G$84,$G71)</f>
        <v>0</v>
      </c>
      <c r="AF71" s="190">
        <f ca="1">SUMIFS(Административные!AF$25:AF$84,Административные!$F$25:$F$84,$F71,Административные!$G$25:$G$84,$G71)</f>
        <v>0</v>
      </c>
      <c r="AG71" s="190">
        <f ca="1">SUMIFS(Административные!AG$25:AG$84,Административные!$F$25:$F$84,$F71,Административные!$G$25:$G$84,$G71)</f>
        <v>0</v>
      </c>
      <c r="AH71" s="190">
        <f t="shared" ca="1" si="8"/>
        <v>0</v>
      </c>
      <c r="AI71" s="190">
        <f ca="1">SUMIFS(Административные!AH$25:AH$84,Административные!$F$25:$F$84,$F71,Административные!$G$25:$G$84,$G71)</f>
        <v>0</v>
      </c>
      <c r="AJ71" s="190">
        <f ca="1">SUMIFS(Административные!AI$25:AI$84,Административные!$F$25:$F$84,$F71,Административные!$G$25:$G$84,$G71)</f>
        <v>0</v>
      </c>
      <c r="AK71" s="552"/>
      <c r="AL71" s="552"/>
      <c r="AM71" s="552"/>
      <c r="AN71" s="552"/>
      <c r="AO71" s="552"/>
      <c r="AP71" s="552"/>
      <c r="AQ71" s="552"/>
      <c r="AR71" s="552"/>
      <c r="AS71" s="552"/>
      <c r="AT71" s="190">
        <f ca="1">SUMIFS(Административные!AJ$25:AJ$84,Административные!$F$25:$F$84,$F71,Административные!$G$25:$G$84,$G71)</f>
        <v>0</v>
      </c>
      <c r="AU71" s="552"/>
      <c r="AV71" s="552"/>
      <c r="AW71" s="552"/>
      <c r="AX71" s="552"/>
      <c r="AY71" s="552"/>
      <c r="AZ71" s="552"/>
      <c r="BA71" s="552"/>
      <c r="BB71" s="552"/>
      <c r="BC71" s="552"/>
      <c r="BD71" s="190">
        <f t="shared" ca="1" si="9"/>
        <v>0</v>
      </c>
      <c r="BE71" s="552"/>
      <c r="BF71" s="552"/>
      <c r="BG71" s="552"/>
      <c r="BH71" s="552"/>
      <c r="BI71" s="552"/>
      <c r="BJ71" s="552"/>
      <c r="BK71" s="552"/>
      <c r="BL71" s="552"/>
      <c r="BM71" s="552"/>
      <c r="BN71" s="784"/>
      <c r="BO71" s="788" t="str">
        <f ca="1">IF(IFERROR(INDEX(Административные!$K$26:$L$84,MATCH($F71&amp;"8komm",Административные!$K$26:$K$84,0),2),"")=0,"",IFERROR(INDEX(Административные!$K$26:$L$84,MATCH($F71&amp;"8komm",Административные!$K$26:$K$84,0),2),""))</f>
        <v/>
      </c>
      <c r="BP71" s="784"/>
      <c r="BS71" s="703" t="s">
        <v>1818</v>
      </c>
    </row>
    <row r="72" spans="2:75" ht="14.65" hidden="1" customHeight="1">
      <c r="C72" s="44"/>
      <c r="D72" s="44"/>
      <c r="E72" s="462">
        <v>15</v>
      </c>
      <c r="F72" s="3" cm="1">
        <f t="array" aca="1" ref="F72" ca="1">OFFSET(E72,-1,1)</f>
        <v>0</v>
      </c>
      <c r="G72" s="44" t="s">
        <v>1245</v>
      </c>
      <c r="H72" s="587"/>
      <c r="I72" s="587" t="s">
        <v>2019</v>
      </c>
      <c r="J72" s="44"/>
      <c r="K72" s="290" t="s">
        <v>2019</v>
      </c>
      <c r="L72" s="44" t="s">
        <v>1819</v>
      </c>
      <c r="M72" s="44"/>
      <c r="N72" s="44"/>
      <c r="O72" s="44"/>
      <c r="P72" s="44"/>
      <c r="Q72" s="44"/>
      <c r="R72" s="44"/>
      <c r="S72" s="44"/>
      <c r="T72" s="365" t="b" cm="1">
        <f t="array" ref="T72">T71</f>
        <v>0</v>
      </c>
      <c r="U72" s="44"/>
      <c r="V72" s="44"/>
      <c r="W72" s="44"/>
      <c r="X72" s="1094"/>
      <c r="Z72" s="1065"/>
      <c r="AB72" s="26" t="s">
        <v>2020</v>
      </c>
      <c r="AC72" s="553" t="s">
        <v>1246</v>
      </c>
      <c r="AD72" s="26" t="s">
        <v>804</v>
      </c>
      <c r="AE72" s="190">
        <f ca="1">SUMIFS(Административные!AE$25:AE$84,Административные!$F$25:$F$84,$F72,Административные!$G$25:$G$84,$G72)</f>
        <v>0</v>
      </c>
      <c r="AF72" s="190">
        <f ca="1">SUMIFS(Административные!AF$25:AF$84,Административные!$F$25:$F$84,$F72,Административные!$G$25:$G$84,$G72)</f>
        <v>0</v>
      </c>
      <c r="AG72" s="190">
        <f ca="1">SUMIFS(Административные!AG$25:AG$84,Административные!$F$25:$F$84,$F72,Административные!$G$25:$G$84,$G72)</f>
        <v>0</v>
      </c>
      <c r="AH72" s="190">
        <f t="shared" ca="1" si="8"/>
        <v>0</v>
      </c>
      <c r="AI72" s="190">
        <f ca="1">SUMIFS(Административные!AH$25:AH$84,Административные!$F$25:$F$84,$F72,Административные!$G$25:$G$84,$G72)</f>
        <v>0</v>
      </c>
      <c r="AJ72" s="190">
        <f ca="1">SUMIFS(Административные!AI$25:AI$84,Административные!$F$25:$F$84,$F72,Административные!$G$25:$G$84,$G72)</f>
        <v>0</v>
      </c>
      <c r="AK72" s="552"/>
      <c r="AL72" s="552"/>
      <c r="AM72" s="552"/>
      <c r="AN72" s="552"/>
      <c r="AO72" s="552"/>
      <c r="AP72" s="552"/>
      <c r="AQ72" s="552"/>
      <c r="AR72" s="552"/>
      <c r="AS72" s="552"/>
      <c r="AT72" s="190">
        <f ca="1">SUMIFS(Административные!AJ$25:AJ$84,Административные!$F$25:$F$84,$F72,Административные!$G$25:$G$84,$G72)</f>
        <v>0</v>
      </c>
      <c r="AU72" s="552"/>
      <c r="AV72" s="552"/>
      <c r="AW72" s="552"/>
      <c r="AX72" s="552"/>
      <c r="AY72" s="552"/>
      <c r="AZ72" s="552"/>
      <c r="BA72" s="552"/>
      <c r="BB72" s="552"/>
      <c r="BC72" s="552"/>
      <c r="BD72" s="190">
        <f t="shared" ca="1" si="9"/>
        <v>0</v>
      </c>
      <c r="BE72" s="552"/>
      <c r="BF72" s="552"/>
      <c r="BG72" s="552"/>
      <c r="BH72" s="552"/>
      <c r="BI72" s="552"/>
      <c r="BJ72" s="552"/>
      <c r="BK72" s="552"/>
      <c r="BL72" s="552"/>
      <c r="BM72" s="552"/>
      <c r="BN72" s="784"/>
      <c r="BO72" s="788" t="str">
        <f ca="1">IF(IFERROR(INDEX(Административные!$K$26:$L$84,MATCH($F72&amp;"9komm",Административные!$K$26:$K$84,0),2),"")=0,"",IFERROR(INDEX(Административные!$K$26:$L$84,MATCH($F72&amp;"9komm",Административные!$K$26:$K$84,0),2),""))</f>
        <v/>
      </c>
      <c r="BP72" s="784"/>
      <c r="BS72" s="703" t="s">
        <v>1821</v>
      </c>
    </row>
    <row r="73" spans="2:75" ht="21.95" hidden="1" customHeight="1">
      <c r="B73" s="341" t="b">
        <f>STATUS_GO="да"</f>
        <v>0</v>
      </c>
      <c r="C73" s="44"/>
      <c r="D73" s="44"/>
      <c r="E73" s="462">
        <v>22.5</v>
      </c>
      <c r="F73" s="3" cm="1">
        <f t="array" aca="1" ref="F73" ca="1">OFFSET(E73,-1,1)</f>
        <v>0</v>
      </c>
      <c r="G73" s="44"/>
      <c r="H73" s="587"/>
      <c r="I73" s="587" t="s">
        <v>909</v>
      </c>
      <c r="J73" s="44"/>
      <c r="K73" s="290" t="s">
        <v>909</v>
      </c>
      <c r="L73" s="44" t="s">
        <v>331</v>
      </c>
      <c r="M73" s="44"/>
      <c r="N73" s="44"/>
      <c r="O73" s="44"/>
      <c r="P73" s="44"/>
      <c r="Q73" s="44"/>
      <c r="R73" s="44"/>
      <c r="S73" s="44"/>
      <c r="T73" s="365" t="b" cm="1">
        <f t="array" ref="T73">T72</f>
        <v>0</v>
      </c>
      <c r="U73" s="44"/>
      <c r="V73" s="44"/>
      <c r="W73" s="44"/>
      <c r="X73" s="1094"/>
      <c r="Z73" s="1065"/>
      <c r="AB73" s="26" t="s">
        <v>910</v>
      </c>
      <c r="AC73" s="146" t="s">
        <v>2021</v>
      </c>
      <c r="AD73" s="26" t="s">
        <v>804</v>
      </c>
      <c r="AE73" s="190">
        <f ca="1">SUMIFS('Сбытовые расходы ГО'!AE$25:AE$63,'Сбытовые расходы ГО'!$F$25:$F$63,$F73,'Сбытовые расходы ГО'!$G$25:$G$63,"L0")-SUMIFS('Сбытовые расходы ГО'!AE$25:AE$63,'Сбытовые расходы ГО'!$F$25:$F$63,$F73,'Сбытовые расходы ГО'!$G$25:$G$63,"L1")</f>
        <v>0</v>
      </c>
      <c r="AF73" s="190">
        <f ca="1">SUMIFS('Сбытовые расходы ГО'!AF$25:AF$63,'Сбытовые расходы ГО'!$F$25:$F$63,$F73,'Сбытовые расходы ГО'!$G$25:$G$63,"L0")-SUMIFS('Сбытовые расходы ГО'!AF$25:AF$63,'Сбытовые расходы ГО'!$F$25:$F$63,$F73,'Сбытовые расходы ГО'!$G$25:$G$63,"L1")</f>
        <v>0</v>
      </c>
      <c r="AG73" s="190">
        <f ca="1">SUMIFS('Сбытовые расходы ГО'!AG$25:AG$63,'Сбытовые расходы ГО'!$F$25:$F$63,$F73,'Сбытовые расходы ГО'!$G$25:$G$63,"L0")-SUMIFS('Сбытовые расходы ГО'!AG$25:AG$63,'Сбытовые расходы ГО'!$F$25:$F$63,$F73,'Сбытовые расходы ГО'!$G$25:$G$63,"L1")</f>
        <v>0</v>
      </c>
      <c r="AH73" s="190">
        <f t="shared" ca="1" si="8"/>
        <v>0</v>
      </c>
      <c r="AI73" s="190">
        <f ca="1">SUMIFS('Сбытовые расходы ГО'!AH$25:AH$63,'Сбытовые расходы ГО'!$F$25:$F$63,$F73,'Сбытовые расходы ГО'!$G$25:$G$63,"L0")-SUMIFS('Сбытовые расходы ГО'!AH$25:AH$63,'Сбытовые расходы ГО'!$F$25:$F$63,$F73,'Сбытовые расходы ГО'!$G$25:$G$63,"L1")</f>
        <v>0</v>
      </c>
      <c r="AJ73" s="190">
        <f ca="1">SUMIFS('Сбытовые расходы ГО'!AI$25:AI$63,'Сбытовые расходы ГО'!$F$25:$F$63,$F73,'Сбытовые расходы ГО'!$G$25:$G$63,"L0")-SUMIFS('Сбытовые расходы ГО'!AI$25:AI$63,'Сбытовые расходы ГО'!$F$25:$F$63,$F73,'Сбытовые расходы ГО'!$G$25:$G$63,"L1")</f>
        <v>0</v>
      </c>
      <c r="AK73" s="552"/>
      <c r="AL73" s="552"/>
      <c r="AM73" s="552"/>
      <c r="AN73" s="552"/>
      <c r="AO73" s="552"/>
      <c r="AP73" s="552"/>
      <c r="AQ73" s="552"/>
      <c r="AR73" s="552"/>
      <c r="AS73" s="552"/>
      <c r="AT73" s="190">
        <f ca="1">SUMIFS('Сбытовые расходы ГО'!AJ$25:AJ$63,'Сбытовые расходы ГО'!$F$25:$F$63,$F73,'Сбытовые расходы ГО'!$G$25:$G$63,"L0")-SUMIFS('Сбытовые расходы ГО'!AJ$25:AJ$63,'Сбытовые расходы ГО'!$F$25:$F$63,$F73,'Сбытовые расходы ГО'!$G$25:$G$63,"L1")</f>
        <v>0</v>
      </c>
      <c r="AU73" s="552"/>
      <c r="AV73" s="552"/>
      <c r="AW73" s="552"/>
      <c r="AX73" s="552"/>
      <c r="AY73" s="552"/>
      <c r="AZ73" s="552"/>
      <c r="BA73" s="552"/>
      <c r="BB73" s="552"/>
      <c r="BC73" s="552"/>
      <c r="BD73" s="190">
        <f t="shared" ca="1" si="9"/>
        <v>0</v>
      </c>
      <c r="BE73" s="552"/>
      <c r="BF73" s="552"/>
      <c r="BG73" s="552"/>
      <c r="BH73" s="552"/>
      <c r="BI73" s="552"/>
      <c r="BJ73" s="552"/>
      <c r="BK73" s="552"/>
      <c r="BL73" s="552"/>
      <c r="BM73" s="552"/>
      <c r="BN73" s="784"/>
      <c r="BO73" s="784"/>
      <c r="BP73" s="784"/>
      <c r="BS73" s="704" t="s">
        <v>1823</v>
      </c>
    </row>
    <row r="74" spans="2:75" ht="14.65" hidden="1" customHeight="1">
      <c r="C74" s="44"/>
      <c r="D74" s="44"/>
      <c r="E74" s="462">
        <v>15</v>
      </c>
      <c r="F74" s="3" cm="1">
        <f t="array" aca="1" ref="F74" ca="1">OFFSET(E74,-1,1)</f>
        <v>0</v>
      </c>
      <c r="G74" s="44"/>
      <c r="H74" s="587"/>
      <c r="I74" s="587" t="s">
        <v>1762</v>
      </c>
      <c r="J74" s="44"/>
      <c r="K74" s="290" t="s">
        <v>1762</v>
      </c>
      <c r="L74" s="44"/>
      <c r="M74" s="44"/>
      <c r="N74" s="44"/>
      <c r="O74" s="44"/>
      <c r="P74" s="44"/>
      <c r="Q74" s="44"/>
      <c r="R74" s="44"/>
      <c r="S74" s="44"/>
      <c r="T74" s="365" t="b" cm="1">
        <f t="array" ref="T74">T73</f>
        <v>0</v>
      </c>
      <c r="U74" s="44"/>
      <c r="V74" s="44"/>
      <c r="W74" s="44"/>
      <c r="X74" s="1094"/>
      <c r="Z74" s="1065"/>
      <c r="AB74" s="26" t="s">
        <v>1763</v>
      </c>
      <c r="AC74" s="146" t="s">
        <v>2022</v>
      </c>
      <c r="AD74" s="26" t="s">
        <v>804</v>
      </c>
      <c r="AE74" s="787"/>
      <c r="AF74" s="787"/>
      <c r="AG74" s="787"/>
      <c r="AH74" s="190">
        <f t="shared" si="8"/>
        <v>0</v>
      </c>
      <c r="AI74" s="787"/>
      <c r="AJ74" s="787"/>
      <c r="AK74" s="552"/>
      <c r="AL74" s="552"/>
      <c r="AM74" s="552"/>
      <c r="AN74" s="552"/>
      <c r="AO74" s="552"/>
      <c r="AP74" s="552"/>
      <c r="AQ74" s="552"/>
      <c r="AR74" s="552"/>
      <c r="AS74" s="552"/>
      <c r="AT74" s="787"/>
      <c r="AU74" s="552"/>
      <c r="AV74" s="552"/>
      <c r="AW74" s="552"/>
      <c r="AX74" s="552"/>
      <c r="AY74" s="552"/>
      <c r="AZ74" s="552"/>
      <c r="BA74" s="552"/>
      <c r="BB74" s="552"/>
      <c r="BC74" s="552"/>
      <c r="BD74" s="190">
        <f t="shared" si="9"/>
        <v>0</v>
      </c>
      <c r="BE74" s="552"/>
      <c r="BF74" s="552"/>
      <c r="BG74" s="552"/>
      <c r="BH74" s="552"/>
      <c r="BI74" s="552"/>
      <c r="BJ74" s="552"/>
      <c r="BK74" s="552"/>
      <c r="BL74" s="552"/>
      <c r="BM74" s="552"/>
      <c r="BN74" s="784"/>
      <c r="BO74" s="784"/>
      <c r="BP74" s="784"/>
      <c r="BS74" s="705" t="s">
        <v>2023</v>
      </c>
    </row>
    <row r="75" spans="2:75" s="95" customFormat="1" ht="20.45" hidden="1" customHeight="1">
      <c r="B75" s="344"/>
      <c r="C75" s="46"/>
      <c r="D75" s="46"/>
      <c r="E75" s="569">
        <v>21</v>
      </c>
      <c r="F75" s="3" cm="1">
        <f t="array" aca="1" ref="F75" ca="1">OFFSET(E75,-1,1)</f>
        <v>0</v>
      </c>
      <c r="G75" s="46"/>
      <c r="H75" s="587"/>
      <c r="I75" s="587" t="s">
        <v>1766</v>
      </c>
      <c r="J75" s="46"/>
      <c r="K75" s="290" t="s">
        <v>1766</v>
      </c>
      <c r="L75" s="46"/>
      <c r="M75" s="46"/>
      <c r="N75" s="46"/>
      <c r="O75" s="46"/>
      <c r="P75" s="46"/>
      <c r="Q75" s="46"/>
      <c r="R75" s="46"/>
      <c r="S75" s="46"/>
      <c r="T75" s="365" t="b">
        <f ca="1">AND(F75&gt;0,method_reg="Метод индексации")</f>
        <v>0</v>
      </c>
      <c r="U75" s="46"/>
      <c r="V75" s="46"/>
      <c r="W75" s="46"/>
      <c r="X75" s="1094"/>
      <c r="Z75" s="1065"/>
      <c r="AB75" s="143" t="s">
        <v>1767</v>
      </c>
      <c r="AC75" s="276" t="s">
        <v>2024</v>
      </c>
      <c r="AD75" s="143" t="s">
        <v>804</v>
      </c>
      <c r="AE75" s="145">
        <f>SUM(AE76:AE77)</f>
        <v>0</v>
      </c>
      <c r="AF75" s="145">
        <f>SUM(AF76:AF77)</f>
        <v>0</v>
      </c>
      <c r="AG75" s="145">
        <f>SUM(AG76:AG77)</f>
        <v>0</v>
      </c>
      <c r="AH75" s="145">
        <f t="shared" si="8"/>
        <v>0</v>
      </c>
      <c r="AI75" s="145">
        <f>SUM(AI76:AI77)</f>
        <v>0</v>
      </c>
      <c r="AJ75" s="145">
        <f>SUM(AJ76:AJ77)</f>
        <v>0</v>
      </c>
      <c r="AK75" s="148"/>
      <c r="AL75" s="148"/>
      <c r="AM75" s="148"/>
      <c r="AN75" s="148"/>
      <c r="AO75" s="148"/>
      <c r="AP75" s="148"/>
      <c r="AQ75" s="148"/>
      <c r="AR75" s="148"/>
      <c r="AS75" s="148"/>
      <c r="AT75" s="145">
        <f>SUM(AT76:AT77)</f>
        <v>0</v>
      </c>
      <c r="AU75" s="148"/>
      <c r="AV75" s="148"/>
      <c r="AW75" s="148"/>
      <c r="AX75" s="148"/>
      <c r="AY75" s="148"/>
      <c r="AZ75" s="148"/>
      <c r="BA75" s="148"/>
      <c r="BB75" s="148"/>
      <c r="BC75" s="148"/>
      <c r="BD75" s="145">
        <f t="shared" si="9"/>
        <v>0</v>
      </c>
      <c r="BE75" s="148"/>
      <c r="BF75" s="148"/>
      <c r="BG75" s="148"/>
      <c r="BH75" s="148"/>
      <c r="BI75" s="148"/>
      <c r="BJ75" s="148"/>
      <c r="BK75" s="148"/>
      <c r="BL75" s="148"/>
      <c r="BM75" s="148"/>
      <c r="BN75" s="786"/>
      <c r="BO75" s="786"/>
      <c r="BP75" s="786"/>
      <c r="BS75" s="711" t="s">
        <v>2025</v>
      </c>
      <c r="BT75" s="711"/>
      <c r="BU75" s="711"/>
      <c r="BV75" s="522"/>
      <c r="BW75" s="522"/>
    </row>
    <row r="76" spans="2:75" ht="14.65" hidden="1" customHeight="1">
      <c r="B76" s="341" t="b">
        <f>method_reg="Метод индексации"</f>
        <v>1</v>
      </c>
      <c r="C76" s="44"/>
      <c r="D76" s="44"/>
      <c r="E76" s="462">
        <v>15</v>
      </c>
      <c r="F76" s="3" cm="1">
        <f t="array" aca="1" ref="F76" ca="1">OFFSET(E76,-1,1)</f>
        <v>0</v>
      </c>
      <c r="G76" s="44"/>
      <c r="H76" s="44"/>
      <c r="I76" s="587" t="s">
        <v>1766</v>
      </c>
      <c r="J76" s="44" cm="1">
        <f t="array" ref="J76">AC76</f>
        <v>0</v>
      </c>
      <c r="K76" s="290" t="s">
        <v>1766</v>
      </c>
      <c r="L76" s="44"/>
      <c r="M76" s="44"/>
      <c r="N76" s="44"/>
      <c r="O76" s="44"/>
      <c r="P76" s="44"/>
      <c r="Q76" s="44"/>
      <c r="R76" s="44"/>
      <c r="S76" s="44"/>
      <c r="T76" s="365" t="b">
        <f ca="1">AND(F76&gt;0,Y76&gt;0)</f>
        <v>0</v>
      </c>
      <c r="U76" s="44"/>
      <c r="V76" s="44"/>
      <c r="W76" s="44" t="s">
        <v>173</v>
      </c>
      <c r="X76" s="1094"/>
      <c r="Y76" s="91">
        <v>0</v>
      </c>
      <c r="Z76" s="1065"/>
      <c r="AA76" s="332" t="s">
        <v>174</v>
      </c>
      <c r="AB76" s="26" t="str">
        <f>"1.7."&amp;Y76</f>
        <v>1.7.0</v>
      </c>
      <c r="AC76" s="789"/>
      <c r="AD76" s="26" t="s">
        <v>804</v>
      </c>
      <c r="AE76" s="787"/>
      <c r="AF76" s="787"/>
      <c r="AG76" s="787"/>
      <c r="AH76" s="190">
        <f t="shared" si="8"/>
        <v>0</v>
      </c>
      <c r="AI76" s="787"/>
      <c r="AJ76" s="787"/>
      <c r="AK76" s="552"/>
      <c r="AL76" s="552"/>
      <c r="AM76" s="552"/>
      <c r="AN76" s="552"/>
      <c r="AO76" s="552"/>
      <c r="AP76" s="552"/>
      <c r="AQ76" s="552"/>
      <c r="AR76" s="552"/>
      <c r="AS76" s="552"/>
      <c r="AT76" s="787"/>
      <c r="AU76" s="552"/>
      <c r="AV76" s="552"/>
      <c r="AW76" s="552"/>
      <c r="AX76" s="552"/>
      <c r="AY76" s="552"/>
      <c r="AZ76" s="552"/>
      <c r="BA76" s="552"/>
      <c r="BB76" s="552"/>
      <c r="BC76" s="552"/>
      <c r="BD76" s="190">
        <f t="shared" si="9"/>
        <v>0</v>
      </c>
      <c r="BE76" s="552"/>
      <c r="BF76" s="552"/>
      <c r="BG76" s="552"/>
      <c r="BH76" s="552"/>
      <c r="BI76" s="552"/>
      <c r="BJ76" s="552"/>
      <c r="BK76" s="552"/>
      <c r="BL76" s="552"/>
      <c r="BM76" s="552"/>
      <c r="BN76" s="784"/>
      <c r="BO76" s="784"/>
      <c r="BP76" s="784"/>
      <c r="BS76" s="705" t="s">
        <v>2025</v>
      </c>
      <c r="BT76" s="705" t="s">
        <v>2026</v>
      </c>
      <c r="BU76" s="705" cm="1">
        <f t="array" ref="BU76">AC76</f>
        <v>0</v>
      </c>
      <c r="BW76" s="518" t="b">
        <v>1</v>
      </c>
    </row>
    <row r="77" spans="2:75" ht="14.65" hidden="1" customHeight="1">
      <c r="B77" s="341" t="b" cm="1">
        <f t="array" ref="B77">B76</f>
        <v>1</v>
      </c>
      <c r="C77" s="44"/>
      <c r="D77" s="44"/>
      <c r="E77" s="462">
        <v>15</v>
      </c>
      <c r="F77" s="3" cm="1">
        <f t="array" aca="1" ref="F77" ca="1">OFFSET(E77,-1,1)</f>
        <v>0</v>
      </c>
      <c r="G77" s="374"/>
      <c r="H77" s="44"/>
      <c r="I77" s="44"/>
      <c r="J77" s="44" t="s">
        <v>2027</v>
      </c>
      <c r="L77" s="44"/>
      <c r="M77" s="44"/>
      <c r="N77" s="44"/>
      <c r="O77" s="44"/>
      <c r="P77" s="44"/>
      <c r="Q77" s="44"/>
      <c r="R77" s="44"/>
      <c r="S77" s="44"/>
      <c r="T77" s="365" t="b">
        <f ca="1">F77&gt;0</f>
        <v>0</v>
      </c>
      <c r="U77" s="44"/>
      <c r="V77" s="44"/>
      <c r="W77" s="517" t="s">
        <v>392</v>
      </c>
      <c r="X77" s="1094"/>
      <c r="Z77" s="1065"/>
      <c r="AB77" s="599"/>
      <c r="AC77" s="191" t="s">
        <v>177</v>
      </c>
      <c r="AD77" s="557"/>
      <c r="AE77" s="557"/>
      <c r="AF77" s="557"/>
      <c r="AG77" s="557"/>
      <c r="AH77" s="557"/>
      <c r="AI77" s="557"/>
      <c r="AJ77" s="557"/>
      <c r="AK77" s="557"/>
      <c r="AL77" s="557"/>
      <c r="AM77" s="557"/>
      <c r="AN77" s="557"/>
      <c r="AO77" s="557"/>
      <c r="AP77" s="557"/>
      <c r="AQ77" s="557"/>
      <c r="AR77" s="557"/>
      <c r="AS77" s="557"/>
      <c r="AT77" s="557"/>
      <c r="AU77" s="557"/>
      <c r="AV77" s="557"/>
      <c r="AW77" s="557"/>
      <c r="AX77" s="557"/>
      <c r="AY77" s="557"/>
      <c r="AZ77" s="557"/>
      <c r="BA77" s="557"/>
      <c r="BB77" s="557"/>
      <c r="BC77" s="557"/>
      <c r="BD77" s="557"/>
      <c r="BE77" s="557"/>
      <c r="BF77" s="557"/>
      <c r="BG77" s="557"/>
      <c r="BH77" s="557"/>
      <c r="BI77" s="557"/>
      <c r="BJ77" s="557"/>
      <c r="BK77" s="557"/>
      <c r="BL77" s="557"/>
      <c r="BM77" s="557"/>
      <c r="BN77" s="557"/>
      <c r="BO77" s="557"/>
      <c r="BP77" s="558"/>
      <c r="BV77" s="518" t="s">
        <v>2026</v>
      </c>
    </row>
    <row r="78" spans="2:75" s="95" customFormat="1" ht="20.45" hidden="1" customHeight="1">
      <c r="B78" s="344"/>
      <c r="C78" s="46"/>
      <c r="D78" s="46"/>
      <c r="E78" s="569">
        <v>21</v>
      </c>
      <c r="F78" s="3" cm="1">
        <f t="array" aca="1" ref="F78" ca="1">OFFSET(E78,-1,1)</f>
        <v>0</v>
      </c>
      <c r="G78" s="46"/>
      <c r="H78" s="44"/>
      <c r="I78" s="44" t="s">
        <v>328</v>
      </c>
      <c r="J78" s="46"/>
      <c r="K78" s="91" t="s">
        <v>328</v>
      </c>
      <c r="L78" s="46"/>
      <c r="M78" s="46"/>
      <c r="N78" s="46"/>
      <c r="O78" s="46"/>
      <c r="P78" s="46"/>
      <c r="Q78" s="46"/>
      <c r="R78" s="46"/>
      <c r="S78" s="46"/>
      <c r="T78" s="365" t="b">
        <f ca="1">F78&gt;0</f>
        <v>0</v>
      </c>
      <c r="U78" s="46"/>
      <c r="V78" s="46"/>
      <c r="W78" s="46"/>
      <c r="X78" s="1094"/>
      <c r="Z78" s="1065"/>
      <c r="AB78" s="166" t="s">
        <v>285</v>
      </c>
      <c r="AC78" s="144" t="s">
        <v>2028</v>
      </c>
      <c r="AD78" s="166" t="s">
        <v>804</v>
      </c>
      <c r="AE78" s="145">
        <f ca="1">AE79+AE91+AE92++AE103+AE104+AE105+AE107+AE108+AE109+AE110+AE113</f>
        <v>0</v>
      </c>
      <c r="AF78" s="145">
        <f ca="1">AF79+AF91+AF92++AF103+AF104+AF105+AF107+AF108+AF109+AF110+AF113</f>
        <v>0</v>
      </c>
      <c r="AG78" s="145">
        <f ca="1">AG79+AG91+AG92++AG103+AG104+AG105+AG107+AG108+AG109+AG110+AG113</f>
        <v>0</v>
      </c>
      <c r="AH78" s="145">
        <f t="shared" ref="AH78:AH123" ca="1" si="10">AG78-AF78</f>
        <v>0</v>
      </c>
      <c r="AI78" s="145">
        <f t="shared" ref="AI78:BC78" ca="1" si="11">AI79+AI91+AI92++AI103+AI104+AI105+AI107+AI108+AI109+AI110+AI113</f>
        <v>0</v>
      </c>
      <c r="AJ78" s="145">
        <f t="shared" ca="1" si="11"/>
        <v>0</v>
      </c>
      <c r="AK78" s="145">
        <f t="shared" ca="1" si="11"/>
        <v>0</v>
      </c>
      <c r="AL78" s="145">
        <f t="shared" ca="1" si="11"/>
        <v>0</v>
      </c>
      <c r="AM78" s="145">
        <f t="shared" ca="1" si="11"/>
        <v>0</v>
      </c>
      <c r="AN78" s="145">
        <f t="shared" ca="1" si="11"/>
        <v>0</v>
      </c>
      <c r="AO78" s="145">
        <f t="shared" ca="1" si="11"/>
        <v>0</v>
      </c>
      <c r="AP78" s="145">
        <f t="shared" ca="1" si="11"/>
        <v>0</v>
      </c>
      <c r="AQ78" s="145">
        <f t="shared" ca="1" si="11"/>
        <v>0</v>
      </c>
      <c r="AR78" s="145">
        <f t="shared" ca="1" si="11"/>
        <v>0</v>
      </c>
      <c r="AS78" s="145">
        <f t="shared" ca="1" si="11"/>
        <v>0</v>
      </c>
      <c r="AT78" s="145">
        <f t="shared" ca="1" si="11"/>
        <v>0</v>
      </c>
      <c r="AU78" s="145">
        <f t="shared" ca="1" si="11"/>
        <v>0</v>
      </c>
      <c r="AV78" s="145">
        <f t="shared" ca="1" si="11"/>
        <v>0</v>
      </c>
      <c r="AW78" s="145">
        <f t="shared" ca="1" si="11"/>
        <v>0</v>
      </c>
      <c r="AX78" s="145">
        <f t="shared" ca="1" si="11"/>
        <v>0</v>
      </c>
      <c r="AY78" s="145">
        <f t="shared" ca="1" si="11"/>
        <v>0</v>
      </c>
      <c r="AZ78" s="145">
        <f t="shared" ca="1" si="11"/>
        <v>0</v>
      </c>
      <c r="BA78" s="145">
        <f t="shared" ca="1" si="11"/>
        <v>0</v>
      </c>
      <c r="BB78" s="145">
        <f t="shared" ca="1" si="11"/>
        <v>0</v>
      </c>
      <c r="BC78" s="145">
        <f t="shared" ca="1" si="11"/>
        <v>0</v>
      </c>
      <c r="BD78" s="145">
        <f t="shared" ref="BD78:BD123" ca="1" si="12">IF(AI78=0,0,(AT78-AI78)/AI78*100)</f>
        <v>0</v>
      </c>
      <c r="BE78" s="145">
        <f t="shared" ref="BE78:BE123" ca="1" si="13">IF(AT78=0,0,(AU78-AT78)/AT78*100)</f>
        <v>0</v>
      </c>
      <c r="BF78" s="145">
        <f t="shared" ref="BF78:BF123" ca="1" si="14">IF(AU78=0,0,(AV78-AU78)/AU78*100)</f>
        <v>0</v>
      </c>
      <c r="BG78" s="145">
        <f t="shared" ref="BG78:BG123" ca="1" si="15">IF(AV78=0,0,(AW78-AV78)/AV78*100)</f>
        <v>0</v>
      </c>
      <c r="BH78" s="145">
        <f t="shared" ref="BH78:BH123" ca="1" si="16">IF(AW78=0,0,(AX78-AW78)/AW78*100)</f>
        <v>0</v>
      </c>
      <c r="BI78" s="145">
        <f t="shared" ref="BI78:BI123" ca="1" si="17">IF(AX78=0,0,(AY78-AX78)/AX78*100)</f>
        <v>0</v>
      </c>
      <c r="BJ78" s="145">
        <f t="shared" ref="BJ78:BJ123" ca="1" si="18">IF(AY78=0,0,(AZ78-AY78)/AY78*100)</f>
        <v>0</v>
      </c>
      <c r="BK78" s="145">
        <f t="shared" ref="BK78:BK123" ca="1" si="19">IF(AZ78=0,0,(BA78-AZ78)/AZ78*100)</f>
        <v>0</v>
      </c>
      <c r="BL78" s="145">
        <f t="shared" ref="BL78:BL123" ca="1" si="20">IF(BA78=0,0,(BB78-BA78)/BA78*100)</f>
        <v>0</v>
      </c>
      <c r="BM78" s="145">
        <f t="shared" ref="BM78:BM123" ca="1" si="21">IF(BB78=0,0,(BC78-BB78)/BB78*100)</f>
        <v>0</v>
      </c>
      <c r="BN78" s="784"/>
      <c r="BO78" s="784"/>
      <c r="BP78" s="784"/>
      <c r="BQ78" s="93"/>
      <c r="BS78" s="711" t="s">
        <v>2029</v>
      </c>
      <c r="BT78" s="711"/>
      <c r="BU78" s="711"/>
      <c r="BV78" s="522"/>
      <c r="BW78" s="522"/>
    </row>
    <row r="79" spans="2:75" s="95" customFormat="1" ht="21.95" hidden="1" customHeight="1">
      <c r="B79" s="344"/>
      <c r="C79" s="46"/>
      <c r="D79" s="46"/>
      <c r="E79" s="569">
        <v>22.5</v>
      </c>
      <c r="F79" s="3" cm="1">
        <f t="array" aca="1" ref="F79" ca="1">OFFSET(E79,-1,1)</f>
        <v>0</v>
      </c>
      <c r="G79" s="280" cm="1">
        <f t="array" aca="1" ref="G79" ca="1">F78</f>
        <v>0</v>
      </c>
      <c r="H79" s="44"/>
      <c r="I79" s="44" t="s">
        <v>479</v>
      </c>
      <c r="J79" s="46"/>
      <c r="K79" s="91" t="s">
        <v>479</v>
      </c>
      <c r="L79" s="46" t="s">
        <v>465</v>
      </c>
      <c r="M79" s="46"/>
      <c r="N79" s="46"/>
      <c r="O79" s="46"/>
      <c r="P79" s="46"/>
      <c r="Q79" s="46"/>
      <c r="R79" s="46"/>
      <c r="S79" s="46"/>
      <c r="T79" s="365" t="b" cm="1">
        <f t="array" aca="1" ref="T79" ca="1">T78</f>
        <v>0</v>
      </c>
      <c r="U79" s="46"/>
      <c r="V79" s="46"/>
      <c r="W79" s="46"/>
      <c r="X79" s="1094"/>
      <c r="Z79" s="1065"/>
      <c r="AB79" s="143" t="s">
        <v>537</v>
      </c>
      <c r="AC79" s="276" t="s">
        <v>2030</v>
      </c>
      <c r="AD79" s="143" t="s">
        <v>804</v>
      </c>
      <c r="AE79" s="145">
        <f ca="1">SUM(AE80:AE90)</f>
        <v>0</v>
      </c>
      <c r="AF79" s="145">
        <f ca="1">SUM(AF80:AF90)</f>
        <v>0</v>
      </c>
      <c r="AG79" s="145">
        <f ca="1">SUM(AG80:AG90)</f>
        <v>0</v>
      </c>
      <c r="AH79" s="145">
        <f t="shared" ca="1" si="10"/>
        <v>0</v>
      </c>
      <c r="AI79" s="145">
        <f t="shared" ref="AI79:BC79" ca="1" si="22">SUM(AI80:AI90)</f>
        <v>0</v>
      </c>
      <c r="AJ79" s="145">
        <f t="shared" ca="1" si="22"/>
        <v>0</v>
      </c>
      <c r="AK79" s="145">
        <f t="shared" ca="1" si="22"/>
        <v>0</v>
      </c>
      <c r="AL79" s="145">
        <f t="shared" ca="1" si="22"/>
        <v>0</v>
      </c>
      <c r="AM79" s="145">
        <f t="shared" ca="1" si="22"/>
        <v>0</v>
      </c>
      <c r="AN79" s="145">
        <f t="shared" ca="1" si="22"/>
        <v>0</v>
      </c>
      <c r="AO79" s="145">
        <f t="shared" ca="1" si="22"/>
        <v>0</v>
      </c>
      <c r="AP79" s="145">
        <f t="shared" ca="1" si="22"/>
        <v>0</v>
      </c>
      <c r="AQ79" s="145">
        <f t="shared" ca="1" si="22"/>
        <v>0</v>
      </c>
      <c r="AR79" s="145">
        <f t="shared" ca="1" si="22"/>
        <v>0</v>
      </c>
      <c r="AS79" s="145">
        <f t="shared" ca="1" si="22"/>
        <v>0</v>
      </c>
      <c r="AT79" s="145">
        <f t="shared" ca="1" si="22"/>
        <v>0</v>
      </c>
      <c r="AU79" s="145">
        <f t="shared" ca="1" si="22"/>
        <v>0</v>
      </c>
      <c r="AV79" s="145">
        <f t="shared" ca="1" si="22"/>
        <v>0</v>
      </c>
      <c r="AW79" s="145">
        <f t="shared" ca="1" si="22"/>
        <v>0</v>
      </c>
      <c r="AX79" s="145">
        <f t="shared" ca="1" si="22"/>
        <v>0</v>
      </c>
      <c r="AY79" s="145">
        <f t="shared" ca="1" si="22"/>
        <v>0</v>
      </c>
      <c r="AZ79" s="145">
        <f t="shared" ca="1" si="22"/>
        <v>0</v>
      </c>
      <c r="BA79" s="145">
        <f t="shared" ca="1" si="22"/>
        <v>0</v>
      </c>
      <c r="BB79" s="145">
        <f t="shared" ca="1" si="22"/>
        <v>0</v>
      </c>
      <c r="BC79" s="145">
        <f t="shared" ca="1" si="22"/>
        <v>0</v>
      </c>
      <c r="BD79" s="145">
        <f t="shared" ca="1" si="12"/>
        <v>0</v>
      </c>
      <c r="BE79" s="145">
        <f t="shared" ca="1" si="13"/>
        <v>0</v>
      </c>
      <c r="BF79" s="145">
        <f t="shared" ca="1" si="14"/>
        <v>0</v>
      </c>
      <c r="BG79" s="145">
        <f t="shared" ca="1" si="15"/>
        <v>0</v>
      </c>
      <c r="BH79" s="145">
        <f t="shared" ca="1" si="16"/>
        <v>0</v>
      </c>
      <c r="BI79" s="145">
        <f t="shared" ca="1" si="17"/>
        <v>0</v>
      </c>
      <c r="BJ79" s="145">
        <f t="shared" ca="1" si="18"/>
        <v>0</v>
      </c>
      <c r="BK79" s="145">
        <f t="shared" ca="1" si="19"/>
        <v>0</v>
      </c>
      <c r="BL79" s="145">
        <f t="shared" ca="1" si="20"/>
        <v>0</v>
      </c>
      <c r="BM79" s="145">
        <f t="shared" ca="1" si="21"/>
        <v>0</v>
      </c>
      <c r="BN79" s="786"/>
      <c r="BO79" s="786"/>
      <c r="BP79" s="786"/>
      <c r="BS79" s="711" t="s">
        <v>2031</v>
      </c>
      <c r="BT79" s="711"/>
      <c r="BU79" s="711"/>
      <c r="BV79" s="522"/>
      <c r="BW79" s="522"/>
    </row>
    <row r="80" spans="2:75" ht="14.65" hidden="1" customHeight="1">
      <c r="C80" s="44"/>
      <c r="D80" s="44"/>
      <c r="E80" s="462">
        <v>15</v>
      </c>
      <c r="F80" s="3" cm="1">
        <f t="array" aca="1" ref="F80" ca="1">OFFSET(E80,-1,1)</f>
        <v>0</v>
      </c>
      <c r="G80" s="44" t="s">
        <v>1106</v>
      </c>
      <c r="H80" s="44"/>
      <c r="I80" s="44" t="s">
        <v>1562</v>
      </c>
      <c r="J80" s="44"/>
      <c r="K80" s="91" t="s">
        <v>1562</v>
      </c>
      <c r="L80" s="44" t="s">
        <v>1339</v>
      </c>
      <c r="M80" s="44"/>
      <c r="N80" s="44"/>
      <c r="O80" s="44"/>
      <c r="P80" s="44"/>
      <c r="Q80" s="44"/>
      <c r="R80" s="44"/>
      <c r="S80" s="44"/>
      <c r="T80" s="365" t="b" cm="1">
        <f t="array" aca="1" ref="T80" ca="1">T79</f>
        <v>0</v>
      </c>
      <c r="U80" s="44"/>
      <c r="V80" s="44"/>
      <c r="W80" s="44"/>
      <c r="X80" s="1094"/>
      <c r="Z80" s="1065"/>
      <c r="AB80" s="26" t="s">
        <v>487</v>
      </c>
      <c r="AC80" s="153" t="s">
        <v>2032</v>
      </c>
      <c r="AD80" s="26" t="s">
        <v>804</v>
      </c>
      <c r="AE80" s="190">
        <f ca="1">SUMIFS(Покупка!AE$25:AE$254,Покупка!$F$25:$F$254,$F80,Покупка!$AC$25:$AC$254,$G80)</f>
        <v>0</v>
      </c>
      <c r="AF80" s="190">
        <f ca="1">SUMIFS(Покупка!AF$25:AF$254,Покупка!$F$25:$F$254,$F80,Покупка!$AC$25:$AC$254,$G80)</f>
        <v>0</v>
      </c>
      <c r="AG80" s="190">
        <f ca="1">SUMIFS(Покупка!AG$25:AG$254,Покупка!$F$25:$F$254,$F80,Покупка!$AC$25:$AC$254,$G80)</f>
        <v>0</v>
      </c>
      <c r="AH80" s="190">
        <f t="shared" ca="1" si="10"/>
        <v>0</v>
      </c>
      <c r="AI80" s="190">
        <f ca="1">SUMIFS(Покупка!AH$25:AH$254,Покупка!$F$25:$F$254,$F80,Покупка!$AC$25:$AC$254,$G80)</f>
        <v>0</v>
      </c>
      <c r="AJ80" s="190">
        <f ca="1">SUMIFS(Покупка!AI$25:AI$254,Покупка!$F$25:$F$254,$F80,Покупка!$AC$25:$AC$254,$G80)</f>
        <v>0</v>
      </c>
      <c r="AK80" s="190">
        <f ca="1">SUMIFS(Покупка!AJ$25:AJ$254,Покупка!$F$25:$F$254,$F80,Покупка!$AC$25:$AC$254,$G80)</f>
        <v>0</v>
      </c>
      <c r="AL80" s="190">
        <f ca="1">SUMIFS(Покупка!AK$25:AK$254,Покупка!$F$25:$F$254,$F80,Покупка!$AC$25:$AC$254,$G80)</f>
        <v>0</v>
      </c>
      <c r="AM80" s="190">
        <f ca="1">SUMIFS(Покупка!AL$25:AL$254,Покупка!$F$25:$F$254,$F80,Покупка!$AC$25:$AC$254,$G80)</f>
        <v>0</v>
      </c>
      <c r="AN80" s="190">
        <f ca="1">SUMIFS(Покупка!AM$25:AM$254,Покупка!$F$25:$F$254,$F80,Покупка!$AC$25:$AC$254,$G80)</f>
        <v>0</v>
      </c>
      <c r="AO80" s="190">
        <f ca="1">SUMIFS(Покупка!AN$25:AN$254,Покупка!$F$25:$F$254,$F80,Покупка!$AC$25:$AC$254,$G80)</f>
        <v>0</v>
      </c>
      <c r="AP80" s="190">
        <f ca="1">SUMIFS(Покупка!AO$25:AO$254,Покупка!$F$25:$F$254,$F80,Покупка!$AC$25:$AC$254,$G80)</f>
        <v>0</v>
      </c>
      <c r="AQ80" s="190">
        <f ca="1">SUMIFS(Покупка!AP$25:AP$254,Покупка!$F$25:$F$254,$F80,Покупка!$AC$25:$AC$254,$G80)</f>
        <v>0</v>
      </c>
      <c r="AR80" s="190">
        <f ca="1">SUMIFS(Покупка!AQ$25:AQ$254,Покупка!$F$25:$F$254,$F80,Покупка!$AC$25:$AC$254,$G80)</f>
        <v>0</v>
      </c>
      <c r="AS80" s="190">
        <f ca="1">SUMIFS(Покупка!AR$25:AR$254,Покупка!$F$25:$F$254,$F80,Покупка!$AC$25:$AC$254,$G80)</f>
        <v>0</v>
      </c>
      <c r="AT80" s="190">
        <f ca="1">SUMIFS(Покупка!AS$25:AS$254,Покупка!$F$25:$F$254,$F80,Покупка!$AC$25:$AC$254,$G80)</f>
        <v>0</v>
      </c>
      <c r="AU80" s="190">
        <f ca="1">SUMIFS(Покупка!AT$25:AT$254,Покупка!$F$25:$F$254,$F80,Покупка!$AC$25:$AC$254,$G80)</f>
        <v>0</v>
      </c>
      <c r="AV80" s="190">
        <f ca="1">SUMIFS(Покупка!AU$25:AU$254,Покупка!$F$25:$F$254,$F80,Покупка!$AC$25:$AC$254,$G80)</f>
        <v>0</v>
      </c>
      <c r="AW80" s="190">
        <f ca="1">SUMIFS(Покупка!AV$25:AV$254,Покупка!$F$25:$F$254,$F80,Покупка!$AC$25:$AC$254,$G80)</f>
        <v>0</v>
      </c>
      <c r="AX80" s="190">
        <f ca="1">SUMIFS(Покупка!AW$25:AW$254,Покупка!$F$25:$F$254,$F80,Покупка!$AC$25:$AC$254,$G80)</f>
        <v>0</v>
      </c>
      <c r="AY80" s="190">
        <f ca="1">SUMIFS(Покупка!AX$25:AX$254,Покупка!$F$25:$F$254,$F80,Покупка!$AC$25:$AC$254,$G80)</f>
        <v>0</v>
      </c>
      <c r="AZ80" s="190">
        <f ca="1">SUMIFS(Покупка!AY$25:AY$254,Покупка!$F$25:$F$254,$F80,Покупка!$AC$25:$AC$254,$G80)</f>
        <v>0</v>
      </c>
      <c r="BA80" s="190">
        <f ca="1">SUMIFS(Покупка!AZ$25:AZ$254,Покупка!$F$25:$F$254,$F80,Покупка!$AC$25:$AC$254,$G80)</f>
        <v>0</v>
      </c>
      <c r="BB80" s="190">
        <f ca="1">SUMIFS(Покупка!BA$25:BA$254,Покупка!$F$25:$F$254,$F80,Покупка!$AC$25:$AC$254,$G80)</f>
        <v>0</v>
      </c>
      <c r="BC80" s="190">
        <f ca="1">SUMIFS(Покупка!BB$25:BB$254,Покупка!$F$25:$F$254,$F80,Покупка!$AC$25:$AC$254,$G80)</f>
        <v>0</v>
      </c>
      <c r="BD80" s="190">
        <f t="shared" ca="1" si="12"/>
        <v>0</v>
      </c>
      <c r="BE80" s="190">
        <f t="shared" ca="1" si="13"/>
        <v>0</v>
      </c>
      <c r="BF80" s="190">
        <f t="shared" ca="1" si="14"/>
        <v>0</v>
      </c>
      <c r="BG80" s="190">
        <f t="shared" ca="1" si="15"/>
        <v>0</v>
      </c>
      <c r="BH80" s="190">
        <f t="shared" ca="1" si="16"/>
        <v>0</v>
      </c>
      <c r="BI80" s="190">
        <f t="shared" ca="1" si="17"/>
        <v>0</v>
      </c>
      <c r="BJ80" s="190">
        <f t="shared" ca="1" si="18"/>
        <v>0</v>
      </c>
      <c r="BK80" s="190">
        <f t="shared" ca="1" si="19"/>
        <v>0</v>
      </c>
      <c r="BL80" s="190">
        <f t="shared" ca="1" si="20"/>
        <v>0</v>
      </c>
      <c r="BM80" s="190">
        <f t="shared" ca="1" si="21"/>
        <v>0</v>
      </c>
      <c r="BN80" s="784"/>
      <c r="BO80" s="788" t="str">
        <f ca="1">IF(IFERROR(INDEX(Покупка!$K$26:$L$254,MATCH($F80&amp;"6komm",Покупка!$K$26:$K$254,0),2),"")=0,"",IFERROR(INDEX(Покупка!$K$26:$L$254,MATCH($F80&amp;"6komm",Покупка!$K$26:$K$254,0),2),""))</f>
        <v/>
      </c>
      <c r="BP80" s="784"/>
      <c r="BS80" s="705" t="s">
        <v>1107</v>
      </c>
    </row>
    <row r="81" spans="2:75" ht="14.65" hidden="1" customHeight="1">
      <c r="C81" s="44"/>
      <c r="D81" s="44"/>
      <c r="E81" s="462">
        <v>15</v>
      </c>
      <c r="F81" s="3" cm="1">
        <f t="array" aca="1" ref="F81" ca="1">OFFSET(E81,-1,1)</f>
        <v>0</v>
      </c>
      <c r="G81" s="44" t="s">
        <v>1128</v>
      </c>
      <c r="H81" s="44"/>
      <c r="I81" s="44" t="s">
        <v>1566</v>
      </c>
      <c r="J81" s="44"/>
      <c r="K81" s="44" t="s">
        <v>1566</v>
      </c>
      <c r="L81" s="44" t="s">
        <v>1343</v>
      </c>
      <c r="M81" s="44"/>
      <c r="N81" s="44"/>
      <c r="O81" s="44"/>
      <c r="P81" s="44"/>
      <c r="Q81" s="44"/>
      <c r="R81" s="44"/>
      <c r="S81" s="44"/>
      <c r="T81" s="365" t="b" cm="1">
        <f t="array" aca="1" ref="T81" ca="1">T80</f>
        <v>0</v>
      </c>
      <c r="U81" s="44"/>
      <c r="V81" s="44"/>
      <c r="W81" s="44"/>
      <c r="X81" s="1094"/>
      <c r="Z81" s="1065"/>
      <c r="AB81" s="26" t="s">
        <v>2033</v>
      </c>
      <c r="AC81" s="153" t="s">
        <v>2034</v>
      </c>
      <c r="AD81" s="26" t="s">
        <v>804</v>
      </c>
      <c r="AE81" s="190">
        <f ca="1">SUMIFS(Покупка!AE$25:AE$254,Покупка!$F$25:$F$254,$F81,Покупка!$AC$25:$AC$254,$G81)</f>
        <v>0</v>
      </c>
      <c r="AF81" s="190">
        <f ca="1">SUMIFS(Покупка!AF$25:AF$254,Покупка!$F$25:$F$254,$F81,Покупка!$AC$25:$AC$254,$G81)</f>
        <v>0</v>
      </c>
      <c r="AG81" s="190">
        <f ca="1">SUMIFS(Покупка!AG$25:AG$254,Покупка!$F$25:$F$254,$F81,Покупка!$AC$25:$AC$254,$G81)</f>
        <v>0</v>
      </c>
      <c r="AH81" s="190">
        <f t="shared" ca="1" si="10"/>
        <v>0</v>
      </c>
      <c r="AI81" s="190">
        <f ca="1">SUMIFS(Покупка!AH$25:AH$254,Покупка!$F$25:$F$254,$F81,Покупка!$AC$25:$AC$254,$G81)</f>
        <v>0</v>
      </c>
      <c r="AJ81" s="190">
        <f ca="1">SUMIFS(Покупка!AI$25:AI$254,Покупка!$F$25:$F$254,$F81,Покупка!$AC$25:$AC$254,$G81)</f>
        <v>0</v>
      </c>
      <c r="AK81" s="190">
        <f ca="1">SUMIFS(Покупка!AJ$25:AJ$254,Покупка!$F$25:$F$254,$F81,Покупка!$AC$25:$AC$254,$G81)</f>
        <v>0</v>
      </c>
      <c r="AL81" s="190">
        <f ca="1">SUMIFS(Покупка!AK$25:AK$254,Покупка!$F$25:$F$254,$F81,Покупка!$AC$25:$AC$254,$G81)</f>
        <v>0</v>
      </c>
      <c r="AM81" s="190">
        <f ca="1">SUMIFS(Покупка!AL$25:AL$254,Покупка!$F$25:$F$254,$F81,Покупка!$AC$25:$AC$254,$G81)</f>
        <v>0</v>
      </c>
      <c r="AN81" s="190">
        <f ca="1">SUMIFS(Покупка!AM$25:AM$254,Покупка!$F$25:$F$254,$F81,Покупка!$AC$25:$AC$254,$G81)</f>
        <v>0</v>
      </c>
      <c r="AO81" s="190">
        <f ca="1">SUMIFS(Покупка!AN$25:AN$254,Покупка!$F$25:$F$254,$F81,Покупка!$AC$25:$AC$254,$G81)</f>
        <v>0</v>
      </c>
      <c r="AP81" s="190">
        <f ca="1">SUMIFS(Покупка!AO$25:AO$254,Покупка!$F$25:$F$254,$F81,Покупка!$AC$25:$AC$254,$G81)</f>
        <v>0</v>
      </c>
      <c r="AQ81" s="190">
        <f ca="1">SUMIFS(Покупка!AP$25:AP$254,Покупка!$F$25:$F$254,$F81,Покупка!$AC$25:$AC$254,$G81)</f>
        <v>0</v>
      </c>
      <c r="AR81" s="190">
        <f ca="1">SUMIFS(Покупка!AQ$25:AQ$254,Покупка!$F$25:$F$254,$F81,Покупка!$AC$25:$AC$254,$G81)</f>
        <v>0</v>
      </c>
      <c r="AS81" s="190">
        <f ca="1">SUMIFS(Покупка!AR$25:AR$254,Покупка!$F$25:$F$254,$F81,Покупка!$AC$25:$AC$254,$G81)</f>
        <v>0</v>
      </c>
      <c r="AT81" s="190">
        <f ca="1">SUMIFS(Покупка!AS$25:AS$254,Покупка!$F$25:$F$254,$F81,Покупка!$AC$25:$AC$254,$G81)</f>
        <v>0</v>
      </c>
      <c r="AU81" s="190">
        <f ca="1">SUMIFS(Покупка!AT$25:AT$254,Покупка!$F$25:$F$254,$F81,Покупка!$AC$25:$AC$254,$G81)</f>
        <v>0</v>
      </c>
      <c r="AV81" s="190">
        <f ca="1">SUMIFS(Покупка!AU$25:AU$254,Покупка!$F$25:$F$254,$F81,Покупка!$AC$25:$AC$254,$G81)</f>
        <v>0</v>
      </c>
      <c r="AW81" s="190">
        <f ca="1">SUMIFS(Покупка!AV$25:AV$254,Покупка!$F$25:$F$254,$F81,Покупка!$AC$25:$AC$254,$G81)</f>
        <v>0</v>
      </c>
      <c r="AX81" s="190">
        <f ca="1">SUMIFS(Покупка!AW$25:AW$254,Покупка!$F$25:$F$254,$F81,Покупка!$AC$25:$AC$254,$G81)</f>
        <v>0</v>
      </c>
      <c r="AY81" s="190">
        <f ca="1">SUMIFS(Покупка!AX$25:AX$254,Покупка!$F$25:$F$254,$F81,Покупка!$AC$25:$AC$254,$G81)</f>
        <v>0</v>
      </c>
      <c r="AZ81" s="190">
        <f ca="1">SUMIFS(Покупка!AY$25:AY$254,Покупка!$F$25:$F$254,$F81,Покупка!$AC$25:$AC$254,$G81)</f>
        <v>0</v>
      </c>
      <c r="BA81" s="190">
        <f ca="1">SUMIFS(Покупка!AZ$25:AZ$254,Покупка!$F$25:$F$254,$F81,Покупка!$AC$25:$AC$254,$G81)</f>
        <v>0</v>
      </c>
      <c r="BB81" s="190">
        <f ca="1">SUMIFS(Покупка!BA$25:BA$254,Покупка!$F$25:$F$254,$F81,Покупка!$AC$25:$AC$254,$G81)</f>
        <v>0</v>
      </c>
      <c r="BC81" s="190">
        <f ca="1">SUMIFS(Покупка!BB$25:BB$254,Покупка!$F$25:$F$254,$F81,Покупка!$AC$25:$AC$254,$G81)</f>
        <v>0</v>
      </c>
      <c r="BD81" s="190">
        <f t="shared" ca="1" si="12"/>
        <v>0</v>
      </c>
      <c r="BE81" s="190">
        <f t="shared" ca="1" si="13"/>
        <v>0</v>
      </c>
      <c r="BF81" s="190">
        <f t="shared" ca="1" si="14"/>
        <v>0</v>
      </c>
      <c r="BG81" s="190">
        <f t="shared" ca="1" si="15"/>
        <v>0</v>
      </c>
      <c r="BH81" s="190">
        <f t="shared" ca="1" si="16"/>
        <v>0</v>
      </c>
      <c r="BI81" s="190">
        <f t="shared" ca="1" si="17"/>
        <v>0</v>
      </c>
      <c r="BJ81" s="190">
        <f t="shared" ca="1" si="18"/>
        <v>0</v>
      </c>
      <c r="BK81" s="190">
        <f t="shared" ca="1" si="19"/>
        <v>0</v>
      </c>
      <c r="BL81" s="190">
        <f t="shared" ca="1" si="20"/>
        <v>0</v>
      </c>
      <c r="BM81" s="190">
        <f t="shared" ca="1" si="21"/>
        <v>0</v>
      </c>
      <c r="BN81" s="784"/>
      <c r="BO81" s="788" t="str">
        <f ca="1">IF(IFERROR(INDEX(Покупка!$K$26:$L$254,MATCH($F81&amp;"7komm",Покупка!$K$26:$K$254,0),2),"")=0,"",IFERROR(INDEX(Покупка!$K$26:$L$254,MATCH($F81&amp;"7komm",Покупка!$K$26:$K$254,0),2),""))</f>
        <v/>
      </c>
      <c r="BP81" s="784"/>
      <c r="BS81" s="705" t="s">
        <v>1129</v>
      </c>
    </row>
    <row r="82" spans="2:75" ht="14.65" hidden="1" customHeight="1">
      <c r="C82" s="44"/>
      <c r="D82" s="44"/>
      <c r="E82" s="462">
        <v>15</v>
      </c>
      <c r="F82" s="3" cm="1">
        <f t="array" aca="1" ref="F82" ca="1">OFFSET(E82,-1,1)</f>
        <v>0</v>
      </c>
      <c r="G82" s="44" t="s">
        <v>1080</v>
      </c>
      <c r="H82" s="44"/>
      <c r="I82" s="44" t="s">
        <v>1661</v>
      </c>
      <c r="J82" s="44"/>
      <c r="K82" s="44" t="s">
        <v>1661</v>
      </c>
      <c r="L82" s="44" t="s">
        <v>1511</v>
      </c>
      <c r="M82" s="44"/>
      <c r="N82" s="44"/>
      <c r="O82" s="44"/>
      <c r="P82" s="44"/>
      <c r="Q82" s="44"/>
      <c r="R82" s="44"/>
      <c r="S82" s="44"/>
      <c r="T82" s="365" t="b" cm="1">
        <f t="array" aca="1" ref="T82" ca="1">T81</f>
        <v>0</v>
      </c>
      <c r="U82" s="44"/>
      <c r="V82" s="44"/>
      <c r="W82" s="44"/>
      <c r="X82" s="1094"/>
      <c r="Z82" s="1065"/>
      <c r="AB82" s="26" t="s">
        <v>2035</v>
      </c>
      <c r="AC82" s="153" t="s">
        <v>2036</v>
      </c>
      <c r="AD82" s="26" t="s">
        <v>804</v>
      </c>
      <c r="AE82" s="190">
        <f ca="1">SUMIFS(Покупка!AE$25:AE$254,Покупка!$F$25:$F$254,$F82,Покупка!$AC$25:$AC$254,$G82)</f>
        <v>0</v>
      </c>
      <c r="AF82" s="190">
        <f ca="1">SUMIFS(Покупка!AF$25:AF$254,Покупка!$F$25:$F$254,$F82,Покупка!$AC$25:$AC$254,$G82)</f>
        <v>0</v>
      </c>
      <c r="AG82" s="190">
        <f ca="1">SUMIFS(Покупка!AG$25:AG$254,Покупка!$F$25:$F$254,$F82,Покупка!$AC$25:$AC$254,$G82)</f>
        <v>0</v>
      </c>
      <c r="AH82" s="190">
        <f t="shared" ca="1" si="10"/>
        <v>0</v>
      </c>
      <c r="AI82" s="190">
        <f ca="1">SUMIFS(Покупка!AH$25:AH$254,Покупка!$F$25:$F$254,$F82,Покупка!$AC$25:$AC$254,$G82)</f>
        <v>0</v>
      </c>
      <c r="AJ82" s="190">
        <f ca="1">SUMIFS(Покупка!AI$25:AI$254,Покупка!$F$25:$F$254,$F82,Покупка!$AC$25:$AC$254,$G82)</f>
        <v>0</v>
      </c>
      <c r="AK82" s="190">
        <f ca="1">SUMIFS(Покупка!AJ$25:AJ$254,Покупка!$F$25:$F$254,$F82,Покупка!$AC$25:$AC$254,$G82)</f>
        <v>0</v>
      </c>
      <c r="AL82" s="190">
        <f ca="1">SUMIFS(Покупка!AK$25:AK$254,Покупка!$F$25:$F$254,$F82,Покупка!$AC$25:$AC$254,$G82)</f>
        <v>0</v>
      </c>
      <c r="AM82" s="190">
        <f ca="1">SUMIFS(Покупка!AL$25:AL$254,Покупка!$F$25:$F$254,$F82,Покупка!$AC$25:$AC$254,$G82)</f>
        <v>0</v>
      </c>
      <c r="AN82" s="190">
        <f ca="1">SUMIFS(Покупка!AM$25:AM$254,Покупка!$F$25:$F$254,$F82,Покупка!$AC$25:$AC$254,$G82)</f>
        <v>0</v>
      </c>
      <c r="AO82" s="190">
        <f ca="1">SUMIFS(Покупка!AN$25:AN$254,Покупка!$F$25:$F$254,$F82,Покупка!$AC$25:$AC$254,$G82)</f>
        <v>0</v>
      </c>
      <c r="AP82" s="190">
        <f ca="1">SUMIFS(Покупка!AO$25:AO$254,Покупка!$F$25:$F$254,$F82,Покупка!$AC$25:$AC$254,$G82)</f>
        <v>0</v>
      </c>
      <c r="AQ82" s="190">
        <f ca="1">SUMIFS(Покупка!AP$25:AP$254,Покупка!$F$25:$F$254,$F82,Покупка!$AC$25:$AC$254,$G82)</f>
        <v>0</v>
      </c>
      <c r="AR82" s="190">
        <f ca="1">SUMIFS(Покупка!AQ$25:AQ$254,Покупка!$F$25:$F$254,$F82,Покупка!$AC$25:$AC$254,$G82)</f>
        <v>0</v>
      </c>
      <c r="AS82" s="190">
        <f ca="1">SUMIFS(Покупка!AR$25:AR$254,Покупка!$F$25:$F$254,$F82,Покупка!$AC$25:$AC$254,$G82)</f>
        <v>0</v>
      </c>
      <c r="AT82" s="190">
        <f ca="1">SUMIFS(Покупка!AS$25:AS$254,Покупка!$F$25:$F$254,$F82,Покупка!$AC$25:$AC$254,$G82)</f>
        <v>0</v>
      </c>
      <c r="AU82" s="190">
        <f ca="1">SUMIFS(Покупка!AT$25:AT$254,Покупка!$F$25:$F$254,$F82,Покупка!$AC$25:$AC$254,$G82)</f>
        <v>0</v>
      </c>
      <c r="AV82" s="190">
        <f ca="1">SUMIFS(Покупка!AU$25:AU$254,Покупка!$F$25:$F$254,$F82,Покупка!$AC$25:$AC$254,$G82)</f>
        <v>0</v>
      </c>
      <c r="AW82" s="190">
        <f ca="1">SUMIFS(Покупка!AV$25:AV$254,Покупка!$F$25:$F$254,$F82,Покупка!$AC$25:$AC$254,$G82)</f>
        <v>0</v>
      </c>
      <c r="AX82" s="190">
        <f ca="1">SUMIFS(Покупка!AW$25:AW$254,Покупка!$F$25:$F$254,$F82,Покупка!$AC$25:$AC$254,$G82)</f>
        <v>0</v>
      </c>
      <c r="AY82" s="190">
        <f ca="1">SUMIFS(Покупка!AX$25:AX$254,Покупка!$F$25:$F$254,$F82,Покупка!$AC$25:$AC$254,$G82)</f>
        <v>0</v>
      </c>
      <c r="AZ82" s="190">
        <f ca="1">SUMIFS(Покупка!AY$25:AY$254,Покупка!$F$25:$F$254,$F82,Покупка!$AC$25:$AC$254,$G82)</f>
        <v>0</v>
      </c>
      <c r="BA82" s="190">
        <f ca="1">SUMIFS(Покупка!AZ$25:AZ$254,Покупка!$F$25:$F$254,$F82,Покупка!$AC$25:$AC$254,$G82)</f>
        <v>0</v>
      </c>
      <c r="BB82" s="190">
        <f ca="1">SUMIFS(Покупка!BA$25:BA$254,Покупка!$F$25:$F$254,$F82,Покупка!$AC$25:$AC$254,$G82)</f>
        <v>0</v>
      </c>
      <c r="BC82" s="190">
        <f ca="1">SUMIFS(Покупка!BB$25:BB$254,Покупка!$F$25:$F$254,$F82,Покупка!$AC$25:$AC$254,$G82)</f>
        <v>0</v>
      </c>
      <c r="BD82" s="190">
        <f t="shared" ca="1" si="12"/>
        <v>0</v>
      </c>
      <c r="BE82" s="190">
        <f t="shared" ca="1" si="13"/>
        <v>0</v>
      </c>
      <c r="BF82" s="190">
        <f t="shared" ca="1" si="14"/>
        <v>0</v>
      </c>
      <c r="BG82" s="190">
        <f t="shared" ca="1" si="15"/>
        <v>0</v>
      </c>
      <c r="BH82" s="190">
        <f t="shared" ca="1" si="16"/>
        <v>0</v>
      </c>
      <c r="BI82" s="190">
        <f t="shared" ca="1" si="17"/>
        <v>0</v>
      </c>
      <c r="BJ82" s="190">
        <f t="shared" ca="1" si="18"/>
        <v>0</v>
      </c>
      <c r="BK82" s="190">
        <f t="shared" ca="1" si="19"/>
        <v>0</v>
      </c>
      <c r="BL82" s="190">
        <f t="shared" ca="1" si="20"/>
        <v>0</v>
      </c>
      <c r="BM82" s="190">
        <f t="shared" ca="1" si="21"/>
        <v>0</v>
      </c>
      <c r="BN82" s="784"/>
      <c r="BO82" s="788" t="str">
        <f ca="1">IF(IFERROR(INDEX(Покупка!$K$26:$L$254,MATCH($F82&amp;"2komm",Покупка!$K$26:$K$254,0),2),"")=0,"",IFERROR(INDEX(Покупка!$K$26:$L$254,MATCH($F82&amp;"2komm",Покупка!$K$26:$K$254,0),2),""))</f>
        <v/>
      </c>
      <c r="BP82" s="784"/>
      <c r="BS82" s="705" t="s">
        <v>2037</v>
      </c>
    </row>
    <row r="83" spans="2:75" ht="14.65" hidden="1" customHeight="1">
      <c r="C83" s="44"/>
      <c r="D83" s="44"/>
      <c r="E83" s="462">
        <v>15</v>
      </c>
      <c r="F83" s="3" cm="1">
        <f t="array" aca="1" ref="F83" ca="1">OFFSET(E83,-1,1)</f>
        <v>0</v>
      </c>
      <c r="G83" s="44" t="s">
        <v>1067</v>
      </c>
      <c r="H83" s="44"/>
      <c r="I83" s="44" t="s">
        <v>1663</v>
      </c>
      <c r="J83" s="44"/>
      <c r="K83" s="44" t="s">
        <v>1663</v>
      </c>
      <c r="L83" s="44" t="s">
        <v>1506</v>
      </c>
      <c r="M83" s="44"/>
      <c r="N83" s="44"/>
      <c r="O83" s="44"/>
      <c r="P83" s="44"/>
      <c r="Q83" s="44"/>
      <c r="R83" s="44"/>
      <c r="S83" s="44"/>
      <c r="T83" s="365" t="b" cm="1">
        <f t="array" aca="1" ref="T83" ca="1">T82</f>
        <v>0</v>
      </c>
      <c r="U83" s="44"/>
      <c r="V83" s="44"/>
      <c r="W83" s="44"/>
      <c r="X83" s="1094"/>
      <c r="Z83" s="1065"/>
      <c r="AB83" s="26" t="s">
        <v>2038</v>
      </c>
      <c r="AC83" s="153" t="s">
        <v>2039</v>
      </c>
      <c r="AD83" s="26" t="s">
        <v>804</v>
      </c>
      <c r="AE83" s="190">
        <f ca="1">SUMIFS(Покупка!AE$25:AE$254,Покупка!$F$25:$F$254,$F83,Покупка!$AC$25:$AC$254,$G83)</f>
        <v>0</v>
      </c>
      <c r="AF83" s="190">
        <f ca="1">SUMIFS(Покупка!AF$25:AF$254,Покупка!$F$25:$F$254,$F83,Покупка!$AC$25:$AC$254,$G83)</f>
        <v>0</v>
      </c>
      <c r="AG83" s="190">
        <f ca="1">SUMIFS(Покупка!AG$25:AG$254,Покупка!$F$25:$F$254,$F83,Покупка!$AC$25:$AC$254,$G83)</f>
        <v>0</v>
      </c>
      <c r="AH83" s="190">
        <f t="shared" ca="1" si="10"/>
        <v>0</v>
      </c>
      <c r="AI83" s="190">
        <f ca="1">SUMIFS(Покупка!AH$25:AH$254,Покупка!$F$25:$F$254,$F83,Покупка!$AC$25:$AC$254,$G83)</f>
        <v>0</v>
      </c>
      <c r="AJ83" s="190">
        <f ca="1">SUMIFS(Покупка!AI$25:AI$254,Покупка!$F$25:$F$254,$F83,Покупка!$AC$25:$AC$254,$G83)</f>
        <v>0</v>
      </c>
      <c r="AK83" s="190">
        <f ca="1">SUMIFS(Покупка!AJ$25:AJ$254,Покупка!$F$25:$F$254,$F83,Покупка!$AC$25:$AC$254,$G83)</f>
        <v>0</v>
      </c>
      <c r="AL83" s="190">
        <f ca="1">SUMIFS(Покупка!AK$25:AK$254,Покупка!$F$25:$F$254,$F83,Покупка!$AC$25:$AC$254,$G83)</f>
        <v>0</v>
      </c>
      <c r="AM83" s="190">
        <f ca="1">SUMIFS(Покупка!AL$25:AL$254,Покупка!$F$25:$F$254,$F83,Покупка!$AC$25:$AC$254,$G83)</f>
        <v>0</v>
      </c>
      <c r="AN83" s="190">
        <f ca="1">SUMIFS(Покупка!AM$25:AM$254,Покупка!$F$25:$F$254,$F83,Покупка!$AC$25:$AC$254,$G83)</f>
        <v>0</v>
      </c>
      <c r="AO83" s="190">
        <f ca="1">SUMIFS(Покупка!AN$25:AN$254,Покупка!$F$25:$F$254,$F83,Покупка!$AC$25:$AC$254,$G83)</f>
        <v>0</v>
      </c>
      <c r="AP83" s="190">
        <f ca="1">SUMIFS(Покупка!AO$25:AO$254,Покупка!$F$25:$F$254,$F83,Покупка!$AC$25:$AC$254,$G83)</f>
        <v>0</v>
      </c>
      <c r="AQ83" s="190">
        <f ca="1">SUMIFS(Покупка!AP$25:AP$254,Покупка!$F$25:$F$254,$F83,Покупка!$AC$25:$AC$254,$G83)</f>
        <v>0</v>
      </c>
      <c r="AR83" s="190">
        <f ca="1">SUMIFS(Покупка!AQ$25:AQ$254,Покупка!$F$25:$F$254,$F83,Покупка!$AC$25:$AC$254,$G83)</f>
        <v>0</v>
      </c>
      <c r="AS83" s="190">
        <f ca="1">SUMIFS(Покупка!AR$25:AR$254,Покупка!$F$25:$F$254,$F83,Покупка!$AC$25:$AC$254,$G83)</f>
        <v>0</v>
      </c>
      <c r="AT83" s="190">
        <f ca="1">SUMIFS(Покупка!AS$25:AS$254,Покупка!$F$25:$F$254,$F83,Покупка!$AC$25:$AC$254,$G83)</f>
        <v>0</v>
      </c>
      <c r="AU83" s="190">
        <f ca="1">SUMIFS(Покупка!AT$25:AT$254,Покупка!$F$25:$F$254,$F83,Покупка!$AC$25:$AC$254,$G83)</f>
        <v>0</v>
      </c>
      <c r="AV83" s="190">
        <f ca="1">SUMIFS(Покупка!AU$25:AU$254,Покупка!$F$25:$F$254,$F83,Покупка!$AC$25:$AC$254,$G83)</f>
        <v>0</v>
      </c>
      <c r="AW83" s="190">
        <f ca="1">SUMIFS(Покупка!AV$25:AV$254,Покупка!$F$25:$F$254,$F83,Покупка!$AC$25:$AC$254,$G83)</f>
        <v>0</v>
      </c>
      <c r="AX83" s="190">
        <f ca="1">SUMIFS(Покупка!AW$25:AW$254,Покупка!$F$25:$F$254,$F83,Покупка!$AC$25:$AC$254,$G83)</f>
        <v>0</v>
      </c>
      <c r="AY83" s="190">
        <f ca="1">SUMIFS(Покупка!AX$25:AX$254,Покупка!$F$25:$F$254,$F83,Покупка!$AC$25:$AC$254,$G83)</f>
        <v>0</v>
      </c>
      <c r="AZ83" s="190">
        <f ca="1">SUMIFS(Покупка!AY$25:AY$254,Покупка!$F$25:$F$254,$F83,Покупка!$AC$25:$AC$254,$G83)</f>
        <v>0</v>
      </c>
      <c r="BA83" s="190">
        <f ca="1">SUMIFS(Покупка!AZ$25:AZ$254,Покупка!$F$25:$F$254,$F83,Покупка!$AC$25:$AC$254,$G83)</f>
        <v>0</v>
      </c>
      <c r="BB83" s="190">
        <f ca="1">SUMIFS(Покупка!BA$25:BA$254,Покупка!$F$25:$F$254,$F83,Покупка!$AC$25:$AC$254,$G83)</f>
        <v>0</v>
      </c>
      <c r="BC83" s="190">
        <f ca="1">SUMIFS(Покупка!BB$25:BB$254,Покупка!$F$25:$F$254,$F83,Покупка!$AC$25:$AC$254,$G83)</f>
        <v>0</v>
      </c>
      <c r="BD83" s="190">
        <f t="shared" ca="1" si="12"/>
        <v>0</v>
      </c>
      <c r="BE83" s="190">
        <f t="shared" ca="1" si="13"/>
        <v>0</v>
      </c>
      <c r="BF83" s="190">
        <f t="shared" ca="1" si="14"/>
        <v>0</v>
      </c>
      <c r="BG83" s="190">
        <f t="shared" ca="1" si="15"/>
        <v>0</v>
      </c>
      <c r="BH83" s="190">
        <f t="shared" ca="1" si="16"/>
        <v>0</v>
      </c>
      <c r="BI83" s="190">
        <f t="shared" ca="1" si="17"/>
        <v>0</v>
      </c>
      <c r="BJ83" s="190">
        <f t="shared" ca="1" si="18"/>
        <v>0</v>
      </c>
      <c r="BK83" s="190">
        <f t="shared" ca="1" si="19"/>
        <v>0</v>
      </c>
      <c r="BL83" s="190">
        <f t="shared" ca="1" si="20"/>
        <v>0</v>
      </c>
      <c r="BM83" s="190">
        <f t="shared" ca="1" si="21"/>
        <v>0</v>
      </c>
      <c r="BN83" s="784"/>
      <c r="BO83" s="788" t="str">
        <f ca="1">IF(IFERROR(INDEX(Покупка!$K$26:$L$254,MATCH($F83&amp;"1komm",Покупка!$K$26:$K$254,0),2),"")=0,"",IFERROR(INDEX(Покупка!$K$26:$L$254,MATCH($F83&amp;"1komm",Покупка!$K$26:$K$254,0),2),""))</f>
        <v/>
      </c>
      <c r="BP83" s="784"/>
      <c r="BS83" s="705" t="s">
        <v>2040</v>
      </c>
    </row>
    <row r="84" spans="2:75" ht="14.65" hidden="1" customHeight="1">
      <c r="C84" s="44"/>
      <c r="D84" s="44"/>
      <c r="E84" s="462">
        <v>15</v>
      </c>
      <c r="F84" s="3" cm="1">
        <f t="array" aca="1" ref="F84" ca="1">OFFSET(E84,-1,1)</f>
        <v>0</v>
      </c>
      <c r="G84" s="44" t="s">
        <v>1134</v>
      </c>
      <c r="H84" s="44"/>
      <c r="I84" s="44" t="s">
        <v>1666</v>
      </c>
      <c r="J84" s="44"/>
      <c r="K84" s="44" t="s">
        <v>1666</v>
      </c>
      <c r="L84" s="44"/>
      <c r="M84" s="44"/>
      <c r="N84" s="44"/>
      <c r="O84" s="44"/>
      <c r="P84" s="44"/>
      <c r="Q84" s="44"/>
      <c r="R84" s="44"/>
      <c r="S84" s="44"/>
      <c r="T84" s="365" t="b" cm="1">
        <f t="array" aca="1" ref="T84" ca="1">T83</f>
        <v>0</v>
      </c>
      <c r="U84" s="44"/>
      <c r="V84" s="44"/>
      <c r="W84" s="44"/>
      <c r="X84" s="1094"/>
      <c r="Z84" s="1065"/>
      <c r="AB84" s="26" t="s">
        <v>2041</v>
      </c>
      <c r="AC84" s="153" t="s">
        <v>2042</v>
      </c>
      <c r="AD84" s="26" t="s">
        <v>804</v>
      </c>
      <c r="AE84" s="190">
        <f ca="1">SUMIFS(Покупка!AE$25:AE$254,Покупка!$F$25:$F$254,$F84,Покупка!$AC$25:$AC$254,$G84)</f>
        <v>0</v>
      </c>
      <c r="AF84" s="190">
        <f ca="1">SUMIFS(Покупка!AF$25:AF$254,Покупка!$F$25:$F$254,$F84,Покупка!$AC$25:$AC$254,$G84)</f>
        <v>0</v>
      </c>
      <c r="AG84" s="190">
        <f ca="1">SUMIFS(Покупка!AG$25:AG$254,Покупка!$F$25:$F$254,$F84,Покупка!$AC$25:$AC$254,$G84)</f>
        <v>0</v>
      </c>
      <c r="AH84" s="190">
        <f t="shared" ca="1" si="10"/>
        <v>0</v>
      </c>
      <c r="AI84" s="190">
        <f ca="1">SUMIFS(Покупка!AH$25:AH$254,Покупка!$F$25:$F$254,$F84,Покупка!$AC$25:$AC$254,$G84)</f>
        <v>0</v>
      </c>
      <c r="AJ84" s="190">
        <f ca="1">SUMIFS(Покупка!AI$25:AI$254,Покупка!$F$25:$F$254,$F84,Покупка!$AC$25:$AC$254,$G84)</f>
        <v>0</v>
      </c>
      <c r="AK84" s="190">
        <f ca="1">SUMIFS(Покупка!AJ$25:AJ$254,Покупка!$F$25:$F$254,$F84,Покупка!$AC$25:$AC$254,$G84)</f>
        <v>0</v>
      </c>
      <c r="AL84" s="190">
        <f ca="1">SUMIFS(Покупка!AK$25:AK$254,Покупка!$F$25:$F$254,$F84,Покупка!$AC$25:$AC$254,$G84)</f>
        <v>0</v>
      </c>
      <c r="AM84" s="190">
        <f ca="1">SUMIFS(Покупка!AL$25:AL$254,Покупка!$F$25:$F$254,$F84,Покупка!$AC$25:$AC$254,$G84)</f>
        <v>0</v>
      </c>
      <c r="AN84" s="190">
        <f ca="1">SUMIFS(Покупка!AM$25:AM$254,Покупка!$F$25:$F$254,$F84,Покупка!$AC$25:$AC$254,$G84)</f>
        <v>0</v>
      </c>
      <c r="AO84" s="190">
        <f ca="1">SUMIFS(Покупка!AN$25:AN$254,Покупка!$F$25:$F$254,$F84,Покупка!$AC$25:$AC$254,$G84)</f>
        <v>0</v>
      </c>
      <c r="AP84" s="190">
        <f ca="1">SUMIFS(Покупка!AO$25:AO$254,Покупка!$F$25:$F$254,$F84,Покупка!$AC$25:$AC$254,$G84)</f>
        <v>0</v>
      </c>
      <c r="AQ84" s="190">
        <f ca="1">SUMIFS(Покупка!AP$25:AP$254,Покупка!$F$25:$F$254,$F84,Покупка!$AC$25:$AC$254,$G84)</f>
        <v>0</v>
      </c>
      <c r="AR84" s="190">
        <f ca="1">SUMIFS(Покупка!AQ$25:AQ$254,Покупка!$F$25:$F$254,$F84,Покупка!$AC$25:$AC$254,$G84)</f>
        <v>0</v>
      </c>
      <c r="AS84" s="190">
        <f ca="1">SUMIFS(Покупка!AR$25:AR$254,Покупка!$F$25:$F$254,$F84,Покупка!$AC$25:$AC$254,$G84)</f>
        <v>0</v>
      </c>
      <c r="AT84" s="190">
        <f ca="1">SUMIFS(Покупка!AS$25:AS$254,Покупка!$F$25:$F$254,$F84,Покупка!$AC$25:$AC$254,$G84)</f>
        <v>0</v>
      </c>
      <c r="AU84" s="190">
        <f ca="1">SUMIFS(Покупка!AT$25:AT$254,Покупка!$F$25:$F$254,$F84,Покупка!$AC$25:$AC$254,$G84)</f>
        <v>0</v>
      </c>
      <c r="AV84" s="190">
        <f ca="1">SUMIFS(Покупка!AU$25:AU$254,Покупка!$F$25:$F$254,$F84,Покупка!$AC$25:$AC$254,$G84)</f>
        <v>0</v>
      </c>
      <c r="AW84" s="190">
        <f ca="1">SUMIFS(Покупка!AV$25:AV$254,Покупка!$F$25:$F$254,$F84,Покупка!$AC$25:$AC$254,$G84)</f>
        <v>0</v>
      </c>
      <c r="AX84" s="190">
        <f ca="1">SUMIFS(Покупка!AW$25:AW$254,Покупка!$F$25:$F$254,$F84,Покупка!$AC$25:$AC$254,$G84)</f>
        <v>0</v>
      </c>
      <c r="AY84" s="190">
        <f ca="1">SUMIFS(Покупка!AX$25:AX$254,Покупка!$F$25:$F$254,$F84,Покупка!$AC$25:$AC$254,$G84)</f>
        <v>0</v>
      </c>
      <c r="AZ84" s="190">
        <f ca="1">SUMIFS(Покупка!AY$25:AY$254,Покупка!$F$25:$F$254,$F84,Покупка!$AC$25:$AC$254,$G84)</f>
        <v>0</v>
      </c>
      <c r="BA84" s="190">
        <f ca="1">SUMIFS(Покупка!AZ$25:AZ$254,Покупка!$F$25:$F$254,$F84,Покупка!$AC$25:$AC$254,$G84)</f>
        <v>0</v>
      </c>
      <c r="BB84" s="190">
        <f ca="1">SUMIFS(Покупка!BA$25:BA$254,Покупка!$F$25:$F$254,$F84,Покупка!$AC$25:$AC$254,$G84)</f>
        <v>0</v>
      </c>
      <c r="BC84" s="190">
        <f ca="1">SUMIFS(Покупка!BB$25:BB$254,Покупка!$F$25:$F$254,$F84,Покупка!$AC$25:$AC$254,$G84)</f>
        <v>0</v>
      </c>
      <c r="BD84" s="190">
        <f t="shared" ca="1" si="12"/>
        <v>0</v>
      </c>
      <c r="BE84" s="190">
        <f t="shared" ca="1" si="13"/>
        <v>0</v>
      </c>
      <c r="BF84" s="190">
        <f t="shared" ca="1" si="14"/>
        <v>0</v>
      </c>
      <c r="BG84" s="190">
        <f t="shared" ca="1" si="15"/>
        <v>0</v>
      </c>
      <c r="BH84" s="190">
        <f t="shared" ca="1" si="16"/>
        <v>0</v>
      </c>
      <c r="BI84" s="190">
        <f t="shared" ca="1" si="17"/>
        <v>0</v>
      </c>
      <c r="BJ84" s="190">
        <f t="shared" ca="1" si="18"/>
        <v>0</v>
      </c>
      <c r="BK84" s="190">
        <f t="shared" ca="1" si="19"/>
        <v>0</v>
      </c>
      <c r="BL84" s="190">
        <f t="shared" ca="1" si="20"/>
        <v>0</v>
      </c>
      <c r="BM84" s="190">
        <f t="shared" ca="1" si="21"/>
        <v>0</v>
      </c>
      <c r="BN84" s="784"/>
      <c r="BO84" s="788" t="str">
        <f ca="1">IF(IFERROR(INDEX(Покупка!$K$26:$L$254,MATCH($F84&amp;"8komm",Покупка!$K$26:$K$254,0),2),"")=0,"",IFERROR(INDEX(Покупка!$K$26:$L$254,MATCH($F84&amp;"8komm",Покупка!$K$26:$K$254,0),2),""))</f>
        <v/>
      </c>
      <c r="BP84" s="784"/>
      <c r="BS84" s="705" t="s">
        <v>1135</v>
      </c>
    </row>
    <row r="85" spans="2:75" ht="14.65" hidden="1" customHeight="1">
      <c r="C85" s="44"/>
      <c r="D85" s="44"/>
      <c r="E85" s="462">
        <v>15</v>
      </c>
      <c r="F85" s="3" cm="1">
        <f t="array" aca="1" ref="F85" ca="1">OFFSET(E85,-1,1)</f>
        <v>0</v>
      </c>
      <c r="G85" s="44"/>
      <c r="H85" s="44"/>
      <c r="I85" s="44" t="s">
        <v>2043</v>
      </c>
      <c r="J85" s="44"/>
      <c r="K85" s="44" t="s">
        <v>2043</v>
      </c>
      <c r="L85" s="44"/>
      <c r="M85" s="44"/>
      <c r="N85" s="44"/>
      <c r="O85" s="44"/>
      <c r="P85" s="44"/>
      <c r="Q85" s="44"/>
      <c r="R85" s="44"/>
      <c r="S85" s="44"/>
      <c r="T85" s="365" t="b" cm="1">
        <f t="array" aca="1" ref="T85" ca="1">T84</f>
        <v>0</v>
      </c>
      <c r="U85" s="44"/>
      <c r="V85" s="44"/>
      <c r="W85" s="44"/>
      <c r="X85" s="1094"/>
      <c r="Z85" s="1065"/>
      <c r="AB85" s="26" t="s">
        <v>2044</v>
      </c>
      <c r="AC85" s="153" t="s">
        <v>2045</v>
      </c>
      <c r="AD85" s="26" t="s">
        <v>804</v>
      </c>
      <c r="AE85" s="787"/>
      <c r="AF85" s="787"/>
      <c r="AG85" s="787"/>
      <c r="AH85" s="190">
        <f t="shared" si="10"/>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190">
        <f t="shared" si="12"/>
        <v>0</v>
      </c>
      <c r="BE85" s="190">
        <f t="shared" si="13"/>
        <v>0</v>
      </c>
      <c r="BF85" s="190">
        <f t="shared" si="14"/>
        <v>0</v>
      </c>
      <c r="BG85" s="190">
        <f t="shared" si="15"/>
        <v>0</v>
      </c>
      <c r="BH85" s="190">
        <f t="shared" si="16"/>
        <v>0</v>
      </c>
      <c r="BI85" s="190">
        <f t="shared" si="17"/>
        <v>0</v>
      </c>
      <c r="BJ85" s="190">
        <f t="shared" si="18"/>
        <v>0</v>
      </c>
      <c r="BK85" s="190">
        <f t="shared" si="19"/>
        <v>0</v>
      </c>
      <c r="BL85" s="190">
        <f t="shared" si="20"/>
        <v>0</v>
      </c>
      <c r="BM85" s="190">
        <f t="shared" si="21"/>
        <v>0</v>
      </c>
      <c r="BN85" s="784"/>
      <c r="BO85" s="784"/>
      <c r="BP85" s="784"/>
      <c r="BS85" s="705" t="s">
        <v>2046</v>
      </c>
    </row>
    <row r="86" spans="2:75" ht="14.65" hidden="1" customHeight="1">
      <c r="C86" s="44"/>
      <c r="D86" s="44"/>
      <c r="E86" s="462">
        <v>15</v>
      </c>
      <c r="F86" s="3" cm="1">
        <f t="array" aca="1" ref="F86" ca="1">OFFSET(E86,-1,1)</f>
        <v>0</v>
      </c>
      <c r="G86" s="44"/>
      <c r="H86" s="44"/>
      <c r="I86" s="44" t="s">
        <v>2047</v>
      </c>
      <c r="J86" s="44"/>
      <c r="K86" s="44" t="s">
        <v>2047</v>
      </c>
      <c r="L86" s="44"/>
      <c r="M86" s="44"/>
      <c r="N86" s="44"/>
      <c r="O86" s="44"/>
      <c r="P86" s="44"/>
      <c r="Q86" s="44"/>
      <c r="R86" s="44"/>
      <c r="S86" s="44"/>
      <c r="T86" s="365" t="b" cm="1">
        <f t="array" aca="1" ref="T86" ca="1">T85</f>
        <v>0</v>
      </c>
      <c r="U86" s="44"/>
      <c r="V86" s="44"/>
      <c r="W86" s="44"/>
      <c r="X86" s="1094"/>
      <c r="Z86" s="1065"/>
      <c r="AB86" s="26" t="s">
        <v>2048</v>
      </c>
      <c r="AC86" s="153" t="s">
        <v>2049</v>
      </c>
      <c r="AD86" s="26" t="s">
        <v>804</v>
      </c>
      <c r="AE86" s="787"/>
      <c r="AF86" s="787"/>
      <c r="AG86" s="787"/>
      <c r="AH86" s="190">
        <f t="shared" si="10"/>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190">
        <f t="shared" si="12"/>
        <v>0</v>
      </c>
      <c r="BE86" s="190">
        <f t="shared" si="13"/>
        <v>0</v>
      </c>
      <c r="BF86" s="190">
        <f t="shared" si="14"/>
        <v>0</v>
      </c>
      <c r="BG86" s="190">
        <f t="shared" si="15"/>
        <v>0</v>
      </c>
      <c r="BH86" s="190">
        <f t="shared" si="16"/>
        <v>0</v>
      </c>
      <c r="BI86" s="190">
        <f t="shared" si="17"/>
        <v>0</v>
      </c>
      <c r="BJ86" s="190">
        <f t="shared" si="18"/>
        <v>0</v>
      </c>
      <c r="BK86" s="190">
        <f t="shared" si="19"/>
        <v>0</v>
      </c>
      <c r="BL86" s="190">
        <f t="shared" si="20"/>
        <v>0</v>
      </c>
      <c r="BM86" s="190">
        <f t="shared" si="21"/>
        <v>0</v>
      </c>
      <c r="BN86" s="784"/>
      <c r="BO86" s="784"/>
      <c r="BP86" s="784"/>
      <c r="BS86" s="705" t="s">
        <v>2050</v>
      </c>
    </row>
    <row r="87" spans="2:75" ht="14.65" hidden="1" customHeight="1">
      <c r="C87" s="44"/>
      <c r="D87" s="44"/>
      <c r="E87" s="462">
        <v>15</v>
      </c>
      <c r="F87" s="3" cm="1">
        <f t="array" aca="1" ref="F87" ca="1">OFFSET(E87,-1,1)</f>
        <v>0</v>
      </c>
      <c r="G87" s="44" t="s">
        <v>1086</v>
      </c>
      <c r="H87" s="44"/>
      <c r="I87" s="44" t="s">
        <v>2051</v>
      </c>
      <c r="J87" s="44"/>
      <c r="K87" s="44" t="s">
        <v>2051</v>
      </c>
      <c r="L87" s="44" t="s">
        <v>1520</v>
      </c>
      <c r="M87" s="44"/>
      <c r="N87" s="44"/>
      <c r="O87" s="44"/>
      <c r="P87" s="44"/>
      <c r="Q87" s="44"/>
      <c r="R87" s="44"/>
      <c r="S87" s="44"/>
      <c r="T87" s="365" t="b" cm="1">
        <f t="array" aca="1" ref="T87" ca="1">T86</f>
        <v>0</v>
      </c>
      <c r="U87" s="44"/>
      <c r="V87" s="44"/>
      <c r="W87" s="44"/>
      <c r="X87" s="1094"/>
      <c r="Z87" s="1065"/>
      <c r="AB87" s="26" t="s">
        <v>2052</v>
      </c>
      <c r="AC87" s="153" t="s">
        <v>2053</v>
      </c>
      <c r="AD87" s="26" t="s">
        <v>804</v>
      </c>
      <c r="AE87" s="190">
        <f ca="1">SUMIFS(Покупка!AE$25:AE$254,Покупка!$F$25:$F$254,$F87,Покупка!$AC$25:$AC$254,$G87)</f>
        <v>0</v>
      </c>
      <c r="AF87" s="190">
        <f ca="1">SUMIFS(Покупка!AF$25:AF$254,Покупка!$F$25:$F$254,$F87,Покупка!$AC$25:$AC$254,$G87)</f>
        <v>0</v>
      </c>
      <c r="AG87" s="190">
        <f ca="1">SUMIFS(Покупка!AG$25:AG$254,Покупка!$F$25:$F$254,$F87,Покупка!$AC$25:$AC$254,$G87)</f>
        <v>0</v>
      </c>
      <c r="AH87" s="190">
        <f t="shared" ca="1" si="10"/>
        <v>0</v>
      </c>
      <c r="AI87" s="190">
        <f ca="1">SUMIFS(Покупка!AH$25:AH$254,Покупка!$F$25:$F$254,$F87,Покупка!$AC$25:$AC$254,$G87)</f>
        <v>0</v>
      </c>
      <c r="AJ87" s="190">
        <f ca="1">SUMIFS(Покупка!AI$25:AI$254,Покупка!$F$25:$F$254,$F87,Покупка!$AC$25:$AC$254,$G87)</f>
        <v>0</v>
      </c>
      <c r="AK87" s="190">
        <f ca="1">SUMIFS(Покупка!AJ$25:AJ$254,Покупка!$F$25:$F$254,$F87,Покупка!$AC$25:$AC$254,$G87)</f>
        <v>0</v>
      </c>
      <c r="AL87" s="190">
        <f ca="1">SUMIFS(Покупка!AK$25:AK$254,Покупка!$F$25:$F$254,$F87,Покупка!$AC$25:$AC$254,$G87)</f>
        <v>0</v>
      </c>
      <c r="AM87" s="190">
        <f ca="1">SUMIFS(Покупка!AL$25:AL$254,Покупка!$F$25:$F$254,$F87,Покупка!$AC$25:$AC$254,$G87)</f>
        <v>0</v>
      </c>
      <c r="AN87" s="190">
        <f ca="1">SUMIFS(Покупка!AM$25:AM$254,Покупка!$F$25:$F$254,$F87,Покупка!$AC$25:$AC$254,$G87)</f>
        <v>0</v>
      </c>
      <c r="AO87" s="190">
        <f ca="1">SUMIFS(Покупка!AN$25:AN$254,Покупка!$F$25:$F$254,$F87,Покупка!$AC$25:$AC$254,$G87)</f>
        <v>0</v>
      </c>
      <c r="AP87" s="190">
        <f ca="1">SUMIFS(Покупка!AO$25:AO$254,Покупка!$F$25:$F$254,$F87,Покупка!$AC$25:$AC$254,$G87)</f>
        <v>0</v>
      </c>
      <c r="AQ87" s="190">
        <f ca="1">SUMIFS(Покупка!AP$25:AP$254,Покупка!$F$25:$F$254,$F87,Покупка!$AC$25:$AC$254,$G87)</f>
        <v>0</v>
      </c>
      <c r="AR87" s="190">
        <f ca="1">SUMIFS(Покупка!AQ$25:AQ$254,Покупка!$F$25:$F$254,$F87,Покупка!$AC$25:$AC$254,$G87)</f>
        <v>0</v>
      </c>
      <c r="AS87" s="190">
        <f ca="1">SUMIFS(Покупка!AR$25:AR$254,Покупка!$F$25:$F$254,$F87,Покупка!$AC$25:$AC$254,$G87)</f>
        <v>0</v>
      </c>
      <c r="AT87" s="190">
        <f ca="1">SUMIFS(Покупка!AS$25:AS$254,Покупка!$F$25:$F$254,$F87,Покупка!$AC$25:$AC$254,$G87)</f>
        <v>0</v>
      </c>
      <c r="AU87" s="190">
        <f ca="1">SUMIFS(Покупка!AT$25:AT$254,Покупка!$F$25:$F$254,$F87,Покупка!$AC$25:$AC$254,$G87)</f>
        <v>0</v>
      </c>
      <c r="AV87" s="190">
        <f ca="1">SUMIFS(Покупка!AU$25:AU$254,Покупка!$F$25:$F$254,$F87,Покупка!$AC$25:$AC$254,$G87)</f>
        <v>0</v>
      </c>
      <c r="AW87" s="190">
        <f ca="1">SUMIFS(Покупка!AV$25:AV$254,Покупка!$F$25:$F$254,$F87,Покупка!$AC$25:$AC$254,$G87)</f>
        <v>0</v>
      </c>
      <c r="AX87" s="190">
        <f ca="1">SUMIFS(Покупка!AW$25:AW$254,Покупка!$F$25:$F$254,$F87,Покупка!$AC$25:$AC$254,$G87)</f>
        <v>0</v>
      </c>
      <c r="AY87" s="190">
        <f ca="1">SUMIFS(Покупка!AX$25:AX$254,Покупка!$F$25:$F$254,$F87,Покупка!$AC$25:$AC$254,$G87)</f>
        <v>0</v>
      </c>
      <c r="AZ87" s="190">
        <f ca="1">SUMIFS(Покупка!AY$25:AY$254,Покупка!$F$25:$F$254,$F87,Покупка!$AC$25:$AC$254,$G87)</f>
        <v>0</v>
      </c>
      <c r="BA87" s="190">
        <f ca="1">SUMIFS(Покупка!AZ$25:AZ$254,Покупка!$F$25:$F$254,$F87,Покупка!$AC$25:$AC$254,$G87)</f>
        <v>0</v>
      </c>
      <c r="BB87" s="190">
        <f ca="1">SUMIFS(Покупка!BA$25:BA$254,Покупка!$F$25:$F$254,$F87,Покупка!$AC$25:$AC$254,$G87)</f>
        <v>0</v>
      </c>
      <c r="BC87" s="190">
        <f ca="1">SUMIFS(Покупка!BB$25:BB$254,Покупка!$F$25:$F$254,$F87,Покупка!$AC$25:$AC$254,$G87)</f>
        <v>0</v>
      </c>
      <c r="BD87" s="190">
        <f t="shared" ca="1" si="12"/>
        <v>0</v>
      </c>
      <c r="BE87" s="190">
        <f t="shared" ca="1" si="13"/>
        <v>0</v>
      </c>
      <c r="BF87" s="190">
        <f t="shared" ca="1" si="14"/>
        <v>0</v>
      </c>
      <c r="BG87" s="190">
        <f t="shared" ca="1" si="15"/>
        <v>0</v>
      </c>
      <c r="BH87" s="190">
        <f t="shared" ca="1" si="16"/>
        <v>0</v>
      </c>
      <c r="BI87" s="190">
        <f t="shared" ca="1" si="17"/>
        <v>0</v>
      </c>
      <c r="BJ87" s="190">
        <f t="shared" ca="1" si="18"/>
        <v>0</v>
      </c>
      <c r="BK87" s="190">
        <f t="shared" ca="1" si="19"/>
        <v>0</v>
      </c>
      <c r="BL87" s="190">
        <f t="shared" ca="1" si="20"/>
        <v>0</v>
      </c>
      <c r="BM87" s="190">
        <f t="shared" ca="1" si="21"/>
        <v>0</v>
      </c>
      <c r="BN87" s="784"/>
      <c r="BO87" s="788" t="str">
        <f ca="1">IF(IFERROR(INDEX(Покупка!$K$26:$L$254,MATCH($F87&amp;"3komm",Покупка!$K$26:$K$254,0),2),"")=0,"",IFERROR(INDEX(Покупка!$K$26:$L$254,MATCH($F87&amp;"3komm",Покупка!$K$26:$K$254,0),2),""))</f>
        <v/>
      </c>
      <c r="BP87" s="784"/>
      <c r="BS87" s="705" t="s">
        <v>1746</v>
      </c>
    </row>
    <row r="88" spans="2:75" ht="14.65" hidden="1" customHeight="1">
      <c r="C88" s="44"/>
      <c r="D88" s="44"/>
      <c r="E88" s="462">
        <v>15</v>
      </c>
      <c r="F88" s="3" cm="1">
        <f t="array" aca="1" ref="F88" ca="1">OFFSET(E88,-1,1)</f>
        <v>0</v>
      </c>
      <c r="G88" s="44" t="s">
        <v>1092</v>
      </c>
      <c r="H88" s="44"/>
      <c r="I88" s="44" t="s">
        <v>2054</v>
      </c>
      <c r="J88" s="44"/>
      <c r="K88" s="44" t="s">
        <v>2054</v>
      </c>
      <c r="L88" s="44" t="s">
        <v>1525</v>
      </c>
      <c r="M88" s="44"/>
      <c r="N88" s="44"/>
      <c r="O88" s="44"/>
      <c r="P88" s="44"/>
      <c r="Q88" s="44"/>
      <c r="R88" s="44"/>
      <c r="S88" s="44"/>
      <c r="T88" s="365" t="b" cm="1">
        <f t="array" aca="1" ref="T88" ca="1">T87</f>
        <v>0</v>
      </c>
      <c r="U88" s="44"/>
      <c r="V88" s="44"/>
      <c r="W88" s="44"/>
      <c r="X88" s="1094"/>
      <c r="Z88" s="1065"/>
      <c r="AB88" s="26" t="s">
        <v>2055</v>
      </c>
      <c r="AC88" s="153" t="s">
        <v>2056</v>
      </c>
      <c r="AD88" s="26" t="s">
        <v>804</v>
      </c>
      <c r="AE88" s="190">
        <f ca="1">SUMIFS(Покупка!AE$25:AE$254,Покупка!$F$25:$F$254,$F88,Покупка!$AC$25:$AC$254,$G88)</f>
        <v>0</v>
      </c>
      <c r="AF88" s="190">
        <f ca="1">SUMIFS(Покупка!AF$25:AF$254,Покупка!$F$25:$F$254,$F88,Покупка!$AC$25:$AC$254,$G88)</f>
        <v>0</v>
      </c>
      <c r="AG88" s="190">
        <f ca="1">SUMIFS(Покупка!AG$25:AG$254,Покупка!$F$25:$F$254,$F88,Покупка!$AC$25:$AC$254,$G88)</f>
        <v>0</v>
      </c>
      <c r="AH88" s="190">
        <f t="shared" ca="1" si="10"/>
        <v>0</v>
      </c>
      <c r="AI88" s="190">
        <f ca="1">SUMIFS(Покупка!AH$25:AH$254,Покупка!$F$25:$F$254,$F88,Покупка!$AC$25:$AC$254,$G88)</f>
        <v>0</v>
      </c>
      <c r="AJ88" s="190">
        <f ca="1">SUMIFS(Покупка!AI$25:AI$254,Покупка!$F$25:$F$254,$F88,Покупка!$AC$25:$AC$254,$G88)</f>
        <v>0</v>
      </c>
      <c r="AK88" s="190">
        <f ca="1">SUMIFS(Покупка!AJ$25:AJ$254,Покупка!$F$25:$F$254,$F88,Покупка!$AC$25:$AC$254,$G88)</f>
        <v>0</v>
      </c>
      <c r="AL88" s="190">
        <f ca="1">SUMIFS(Покупка!AK$25:AK$254,Покупка!$F$25:$F$254,$F88,Покупка!$AC$25:$AC$254,$G88)</f>
        <v>0</v>
      </c>
      <c r="AM88" s="190">
        <f ca="1">SUMIFS(Покупка!AL$25:AL$254,Покупка!$F$25:$F$254,$F88,Покупка!$AC$25:$AC$254,$G88)</f>
        <v>0</v>
      </c>
      <c r="AN88" s="190">
        <f ca="1">SUMIFS(Покупка!AM$25:AM$254,Покупка!$F$25:$F$254,$F88,Покупка!$AC$25:$AC$254,$G88)</f>
        <v>0</v>
      </c>
      <c r="AO88" s="190">
        <f ca="1">SUMIFS(Покупка!AN$25:AN$254,Покупка!$F$25:$F$254,$F88,Покупка!$AC$25:$AC$254,$G88)</f>
        <v>0</v>
      </c>
      <c r="AP88" s="190">
        <f ca="1">SUMIFS(Покупка!AO$25:AO$254,Покупка!$F$25:$F$254,$F88,Покупка!$AC$25:$AC$254,$G88)</f>
        <v>0</v>
      </c>
      <c r="AQ88" s="190">
        <f ca="1">SUMIFS(Покупка!AP$25:AP$254,Покупка!$F$25:$F$254,$F88,Покупка!$AC$25:$AC$254,$G88)</f>
        <v>0</v>
      </c>
      <c r="AR88" s="190">
        <f ca="1">SUMIFS(Покупка!AQ$25:AQ$254,Покупка!$F$25:$F$254,$F88,Покупка!$AC$25:$AC$254,$G88)</f>
        <v>0</v>
      </c>
      <c r="AS88" s="190">
        <f ca="1">SUMIFS(Покупка!AR$25:AR$254,Покупка!$F$25:$F$254,$F88,Покупка!$AC$25:$AC$254,$G88)</f>
        <v>0</v>
      </c>
      <c r="AT88" s="190">
        <f ca="1">SUMIFS(Покупка!AS$25:AS$254,Покупка!$F$25:$F$254,$F88,Покупка!$AC$25:$AC$254,$G88)</f>
        <v>0</v>
      </c>
      <c r="AU88" s="190">
        <f ca="1">SUMIFS(Покупка!AT$25:AT$254,Покупка!$F$25:$F$254,$F88,Покупка!$AC$25:$AC$254,$G88)</f>
        <v>0</v>
      </c>
      <c r="AV88" s="190">
        <f ca="1">SUMIFS(Покупка!AU$25:AU$254,Покупка!$F$25:$F$254,$F88,Покупка!$AC$25:$AC$254,$G88)</f>
        <v>0</v>
      </c>
      <c r="AW88" s="190">
        <f ca="1">SUMIFS(Покупка!AV$25:AV$254,Покупка!$F$25:$F$254,$F88,Покупка!$AC$25:$AC$254,$G88)</f>
        <v>0</v>
      </c>
      <c r="AX88" s="190">
        <f ca="1">SUMIFS(Покупка!AW$25:AW$254,Покупка!$F$25:$F$254,$F88,Покупка!$AC$25:$AC$254,$G88)</f>
        <v>0</v>
      </c>
      <c r="AY88" s="190">
        <f ca="1">SUMIFS(Покупка!AX$25:AX$254,Покупка!$F$25:$F$254,$F88,Покупка!$AC$25:$AC$254,$G88)</f>
        <v>0</v>
      </c>
      <c r="AZ88" s="190">
        <f ca="1">SUMIFS(Покупка!AY$25:AY$254,Покупка!$F$25:$F$254,$F88,Покупка!$AC$25:$AC$254,$G88)</f>
        <v>0</v>
      </c>
      <c r="BA88" s="190">
        <f ca="1">SUMIFS(Покупка!AZ$25:AZ$254,Покупка!$F$25:$F$254,$F88,Покупка!$AC$25:$AC$254,$G88)</f>
        <v>0</v>
      </c>
      <c r="BB88" s="190">
        <f ca="1">SUMIFS(Покупка!BA$25:BA$254,Покупка!$F$25:$F$254,$F88,Покупка!$AC$25:$AC$254,$G88)</f>
        <v>0</v>
      </c>
      <c r="BC88" s="190">
        <f ca="1">SUMIFS(Покупка!BB$25:BB$254,Покупка!$F$25:$F$254,$F88,Покупка!$AC$25:$AC$254,$G88)</f>
        <v>0</v>
      </c>
      <c r="BD88" s="190">
        <f t="shared" ca="1" si="12"/>
        <v>0</v>
      </c>
      <c r="BE88" s="190">
        <f t="shared" ca="1" si="13"/>
        <v>0</v>
      </c>
      <c r="BF88" s="190">
        <f t="shared" ca="1" si="14"/>
        <v>0</v>
      </c>
      <c r="BG88" s="190">
        <f t="shared" ca="1" si="15"/>
        <v>0</v>
      </c>
      <c r="BH88" s="190">
        <f t="shared" ca="1" si="16"/>
        <v>0</v>
      </c>
      <c r="BI88" s="190">
        <f t="shared" ca="1" si="17"/>
        <v>0</v>
      </c>
      <c r="BJ88" s="190">
        <f t="shared" ca="1" si="18"/>
        <v>0</v>
      </c>
      <c r="BK88" s="190">
        <f t="shared" ca="1" si="19"/>
        <v>0</v>
      </c>
      <c r="BL88" s="190">
        <f t="shared" ca="1" si="20"/>
        <v>0</v>
      </c>
      <c r="BM88" s="190">
        <f t="shared" ca="1" si="21"/>
        <v>0</v>
      </c>
      <c r="BN88" s="784"/>
      <c r="BO88" s="788" t="str">
        <f ca="1">IF(IFERROR(INDEX(Покупка!$K$26:$L$254,MATCH($F88&amp;"4komm",Покупка!$K$26:$K$254,0),2),"")=0,"",IFERROR(INDEX(Покупка!$K$26:$L$254,MATCH($F87&amp;"3komm",Покупка!$K$26:$K$254,0),2),""))</f>
        <v/>
      </c>
      <c r="BP88" s="784"/>
      <c r="BS88" s="705" t="s">
        <v>1749</v>
      </c>
    </row>
    <row r="89" spans="2:75" ht="14.65" hidden="1" customHeight="1">
      <c r="C89" s="44"/>
      <c r="D89" s="44"/>
      <c r="E89" s="462">
        <v>15</v>
      </c>
      <c r="F89" s="3" cm="1">
        <f t="array" aca="1" ref="F89" ca="1">OFFSET(E89,-1,1)</f>
        <v>0</v>
      </c>
      <c r="G89" s="44" t="s">
        <v>1099</v>
      </c>
      <c r="H89" s="44"/>
      <c r="I89" s="44" t="s">
        <v>2057</v>
      </c>
      <c r="J89" s="44"/>
      <c r="K89" s="44" t="s">
        <v>2057</v>
      </c>
      <c r="L89" s="44" t="s">
        <v>1535</v>
      </c>
      <c r="M89" s="44"/>
      <c r="N89" s="44"/>
      <c r="O89" s="44"/>
      <c r="P89" s="44"/>
      <c r="Q89" s="44"/>
      <c r="R89" s="44"/>
      <c r="S89" s="44"/>
      <c r="T89" s="365" t="b" cm="1">
        <f t="array" aca="1" ref="T89" ca="1">T88</f>
        <v>0</v>
      </c>
      <c r="U89" s="44"/>
      <c r="V89" s="44"/>
      <c r="W89" s="44"/>
      <c r="X89" s="1094"/>
      <c r="Z89" s="1065"/>
      <c r="AB89" s="26" t="s">
        <v>2058</v>
      </c>
      <c r="AC89" s="153" t="s">
        <v>2059</v>
      </c>
      <c r="AD89" s="26" t="s">
        <v>804</v>
      </c>
      <c r="AE89" s="190">
        <f ca="1">SUMIFS(Покупка!AE$25:AE$254,Покупка!$F$25:$F$254,$F89,Покупка!$AC$25:$AC$254,$G89)</f>
        <v>0</v>
      </c>
      <c r="AF89" s="190">
        <f ca="1">SUMIFS(Покупка!AF$25:AF$254,Покупка!$F$25:$F$254,$F89,Покупка!$AC$25:$AC$254,$G89)</f>
        <v>0</v>
      </c>
      <c r="AG89" s="190">
        <f ca="1">SUMIFS(Покупка!AG$25:AG$254,Покупка!$F$25:$F$254,$F89,Покупка!$AC$25:$AC$254,$G89)</f>
        <v>0</v>
      </c>
      <c r="AH89" s="190">
        <f t="shared" ca="1" si="10"/>
        <v>0</v>
      </c>
      <c r="AI89" s="190">
        <f ca="1">SUMIFS(Покупка!AH$25:AH$254,Покупка!$F$25:$F$254,$F89,Покупка!$AC$25:$AC$254,$G89)</f>
        <v>0</v>
      </c>
      <c r="AJ89" s="190">
        <f ca="1">SUMIFS(Покупка!AI$25:AI$254,Покупка!$F$25:$F$254,$F89,Покупка!$AC$25:$AC$254,$G89)</f>
        <v>0</v>
      </c>
      <c r="AK89" s="190">
        <f ca="1">SUMIFS(Покупка!AJ$25:AJ$254,Покупка!$F$25:$F$254,$F89,Покупка!$AC$25:$AC$254,$G89)</f>
        <v>0</v>
      </c>
      <c r="AL89" s="190">
        <f ca="1">SUMIFS(Покупка!AK$25:AK$254,Покупка!$F$25:$F$254,$F89,Покупка!$AC$25:$AC$254,$G89)</f>
        <v>0</v>
      </c>
      <c r="AM89" s="190">
        <f ca="1">SUMIFS(Покупка!AL$25:AL$254,Покупка!$F$25:$F$254,$F89,Покупка!$AC$25:$AC$254,$G89)</f>
        <v>0</v>
      </c>
      <c r="AN89" s="190">
        <f ca="1">SUMIFS(Покупка!AM$25:AM$254,Покупка!$F$25:$F$254,$F89,Покупка!$AC$25:$AC$254,$G89)</f>
        <v>0</v>
      </c>
      <c r="AO89" s="190">
        <f ca="1">SUMIFS(Покупка!AN$25:AN$254,Покупка!$F$25:$F$254,$F89,Покупка!$AC$25:$AC$254,$G89)</f>
        <v>0</v>
      </c>
      <c r="AP89" s="190">
        <f ca="1">SUMIFS(Покупка!AO$25:AO$254,Покупка!$F$25:$F$254,$F89,Покупка!$AC$25:$AC$254,$G89)</f>
        <v>0</v>
      </c>
      <c r="AQ89" s="190">
        <f ca="1">SUMIFS(Покупка!AP$25:AP$254,Покупка!$F$25:$F$254,$F89,Покупка!$AC$25:$AC$254,$G89)</f>
        <v>0</v>
      </c>
      <c r="AR89" s="190">
        <f ca="1">SUMIFS(Покупка!AQ$25:AQ$254,Покупка!$F$25:$F$254,$F89,Покупка!$AC$25:$AC$254,$G89)</f>
        <v>0</v>
      </c>
      <c r="AS89" s="190">
        <f ca="1">SUMIFS(Покупка!AR$25:AR$254,Покупка!$F$25:$F$254,$F89,Покупка!$AC$25:$AC$254,$G89)</f>
        <v>0</v>
      </c>
      <c r="AT89" s="190">
        <f ca="1">SUMIFS(Покупка!AS$25:AS$254,Покупка!$F$25:$F$254,$F89,Покупка!$AC$25:$AC$254,$G89)</f>
        <v>0</v>
      </c>
      <c r="AU89" s="190">
        <f ca="1">SUMIFS(Покупка!AT$25:AT$254,Покупка!$F$25:$F$254,$F89,Покупка!$AC$25:$AC$254,$G89)</f>
        <v>0</v>
      </c>
      <c r="AV89" s="190">
        <f ca="1">SUMIFS(Покупка!AU$25:AU$254,Покупка!$F$25:$F$254,$F89,Покупка!$AC$25:$AC$254,$G89)</f>
        <v>0</v>
      </c>
      <c r="AW89" s="190">
        <f ca="1">SUMIFS(Покупка!AV$25:AV$254,Покупка!$F$25:$F$254,$F89,Покупка!$AC$25:$AC$254,$G89)</f>
        <v>0</v>
      </c>
      <c r="AX89" s="190">
        <f ca="1">SUMIFS(Покупка!AW$25:AW$254,Покупка!$F$25:$F$254,$F89,Покупка!$AC$25:$AC$254,$G89)</f>
        <v>0</v>
      </c>
      <c r="AY89" s="190">
        <f ca="1">SUMIFS(Покупка!AX$25:AX$254,Покупка!$F$25:$F$254,$F89,Покупка!$AC$25:$AC$254,$G89)</f>
        <v>0</v>
      </c>
      <c r="AZ89" s="190">
        <f ca="1">SUMIFS(Покупка!AY$25:AY$254,Покупка!$F$25:$F$254,$F89,Покупка!$AC$25:$AC$254,$G89)</f>
        <v>0</v>
      </c>
      <c r="BA89" s="190">
        <f ca="1">SUMIFS(Покупка!AZ$25:AZ$254,Покупка!$F$25:$F$254,$F89,Покупка!$AC$25:$AC$254,$G89)</f>
        <v>0</v>
      </c>
      <c r="BB89" s="190">
        <f ca="1">SUMIFS(Покупка!BA$25:BA$254,Покупка!$F$25:$F$254,$F89,Покупка!$AC$25:$AC$254,$G89)</f>
        <v>0</v>
      </c>
      <c r="BC89" s="190">
        <f ca="1">SUMIFS(Покупка!BB$25:BB$254,Покупка!$F$25:$F$254,$F89,Покупка!$AC$25:$AC$254,$G89)</f>
        <v>0</v>
      </c>
      <c r="BD89" s="190">
        <f t="shared" ca="1" si="12"/>
        <v>0</v>
      </c>
      <c r="BE89" s="190">
        <f t="shared" ca="1" si="13"/>
        <v>0</v>
      </c>
      <c r="BF89" s="190">
        <f t="shared" ca="1" si="14"/>
        <v>0</v>
      </c>
      <c r="BG89" s="190">
        <f t="shared" ca="1" si="15"/>
        <v>0</v>
      </c>
      <c r="BH89" s="190">
        <f t="shared" ca="1" si="16"/>
        <v>0</v>
      </c>
      <c r="BI89" s="190">
        <f t="shared" ca="1" si="17"/>
        <v>0</v>
      </c>
      <c r="BJ89" s="190">
        <f t="shared" ca="1" si="18"/>
        <v>0</v>
      </c>
      <c r="BK89" s="190">
        <f t="shared" ca="1" si="19"/>
        <v>0</v>
      </c>
      <c r="BL89" s="190">
        <f t="shared" ca="1" si="20"/>
        <v>0</v>
      </c>
      <c r="BM89" s="190">
        <f t="shared" ca="1" si="21"/>
        <v>0</v>
      </c>
      <c r="BN89" s="784"/>
      <c r="BO89" s="788" t="str">
        <f ca="1">IF(IFERROR(INDEX(Покупка!$K$26:$L$254,MATCH($F89&amp;"5komm",Покупка!$K$26:$K$254,0),2),"")=0,"",IFERROR(INDEX(Покупка!$K$26:$L$254,MATCH($F89&amp;"5komm",Покупка!$K$26:$K$254,0),2),""))</f>
        <v/>
      </c>
      <c r="BP89" s="784"/>
      <c r="BS89" s="705" t="s">
        <v>1752</v>
      </c>
    </row>
    <row r="90" spans="2:75" ht="14.65" hidden="1" customHeight="1">
      <c r="C90" s="44"/>
      <c r="D90" s="44"/>
      <c r="E90" s="462">
        <v>15</v>
      </c>
      <c r="F90" s="3" cm="1">
        <f t="array" aca="1" ref="F90" ca="1">OFFSET(E90,-1,1)</f>
        <v>0</v>
      </c>
      <c r="G90" s="44" t="s">
        <v>1140</v>
      </c>
      <c r="H90" s="44"/>
      <c r="I90" s="44"/>
      <c r="J90" s="44"/>
      <c r="K90" s="44"/>
      <c r="L90" s="44" t="s">
        <v>1502</v>
      </c>
      <c r="M90" s="44"/>
      <c r="N90" s="44"/>
      <c r="O90" s="44"/>
      <c r="P90" s="44"/>
      <c r="Q90" s="44"/>
      <c r="R90" s="44"/>
      <c r="S90" s="44"/>
      <c r="T90" s="365" t="b" cm="1">
        <f t="array" aca="1" ref="T90" ca="1">T89</f>
        <v>0</v>
      </c>
      <c r="U90" s="44"/>
      <c r="V90" s="44"/>
      <c r="W90" s="44"/>
      <c r="X90" s="1094"/>
      <c r="Z90" s="1065"/>
      <c r="AB90" s="26" t="s">
        <v>2060</v>
      </c>
      <c r="AC90" s="153" t="s">
        <v>2061</v>
      </c>
      <c r="AD90" s="26" t="s">
        <v>804</v>
      </c>
      <c r="AE90" s="190">
        <f ca="1">SUMIFS(Покупка!AE$25:AE$254,Покупка!$F$25:$F$254,$F90,Покупка!$AC$25:$AC$254,$G90)</f>
        <v>0</v>
      </c>
      <c r="AF90" s="190">
        <f ca="1">SUMIFS(Покупка!AF$25:AF$254,Покупка!$F$25:$F$254,$F90,Покупка!$AC$25:$AC$254,$G90)</f>
        <v>0</v>
      </c>
      <c r="AG90" s="190">
        <f ca="1">SUMIFS(Покупка!AG$25:AG$254,Покупка!$F$25:$F$254,$F90,Покупка!$AC$25:$AC$254,$G90)</f>
        <v>0</v>
      </c>
      <c r="AH90" s="190">
        <f t="shared" ca="1" si="10"/>
        <v>0</v>
      </c>
      <c r="AI90" s="190">
        <f ca="1">SUMIFS(Покупка!AH$25:AH$254,Покупка!$F$25:$F$254,$F90,Покупка!$AC$25:$AC$254,$G90)</f>
        <v>0</v>
      </c>
      <c r="AJ90" s="190">
        <f ca="1">SUMIFS(Покупка!AI$25:AI$254,Покупка!$F$25:$F$254,$F90,Покупка!$AC$25:$AC$254,$G90)</f>
        <v>0</v>
      </c>
      <c r="AK90" s="190">
        <f ca="1">SUMIFS(Покупка!AJ$25:AJ$254,Покупка!$F$25:$F$254,$F90,Покупка!$AC$25:$AC$254,$G90)</f>
        <v>0</v>
      </c>
      <c r="AL90" s="190">
        <f ca="1">SUMIFS(Покупка!AK$25:AK$254,Покупка!$F$25:$F$254,$F90,Покупка!$AC$25:$AC$254,$G90)</f>
        <v>0</v>
      </c>
      <c r="AM90" s="190">
        <f ca="1">SUMIFS(Покупка!AL$25:AL$254,Покупка!$F$25:$F$254,$F90,Покупка!$AC$25:$AC$254,$G90)</f>
        <v>0</v>
      </c>
      <c r="AN90" s="190">
        <f ca="1">SUMIFS(Покупка!AM$25:AM$254,Покупка!$F$25:$F$254,$F90,Покупка!$AC$25:$AC$254,$G90)</f>
        <v>0</v>
      </c>
      <c r="AO90" s="190">
        <f ca="1">SUMIFS(Покупка!AN$25:AN$254,Покупка!$F$25:$F$254,$F90,Покупка!$AC$25:$AC$254,$G90)</f>
        <v>0</v>
      </c>
      <c r="AP90" s="190">
        <f ca="1">SUMIFS(Покупка!AO$25:AO$254,Покупка!$F$25:$F$254,$F90,Покупка!$AC$25:$AC$254,$G90)</f>
        <v>0</v>
      </c>
      <c r="AQ90" s="190">
        <f ca="1">SUMIFS(Покупка!AP$25:AP$254,Покупка!$F$25:$F$254,$F90,Покупка!$AC$25:$AC$254,$G90)</f>
        <v>0</v>
      </c>
      <c r="AR90" s="190">
        <f ca="1">SUMIFS(Покупка!AQ$25:AQ$254,Покупка!$F$25:$F$254,$F90,Покупка!$AC$25:$AC$254,$G90)</f>
        <v>0</v>
      </c>
      <c r="AS90" s="190">
        <f ca="1">SUMIFS(Покупка!AR$25:AR$254,Покупка!$F$25:$F$254,$F90,Покупка!$AC$25:$AC$254,$G90)</f>
        <v>0</v>
      </c>
      <c r="AT90" s="190">
        <f ca="1">SUMIFS(Покупка!AS$25:AS$254,Покупка!$F$25:$F$254,$F90,Покупка!$AC$25:$AC$254,$G90)</f>
        <v>0</v>
      </c>
      <c r="AU90" s="190">
        <f ca="1">SUMIFS(Покупка!AT$25:AT$254,Покупка!$F$25:$F$254,$F90,Покупка!$AC$25:$AC$254,$G90)</f>
        <v>0</v>
      </c>
      <c r="AV90" s="190">
        <f ca="1">SUMIFS(Покупка!AU$25:AU$254,Покупка!$F$25:$F$254,$F90,Покупка!$AC$25:$AC$254,$G90)</f>
        <v>0</v>
      </c>
      <c r="AW90" s="190">
        <f ca="1">SUMIFS(Покупка!AV$25:AV$254,Покупка!$F$25:$F$254,$F90,Покупка!$AC$25:$AC$254,$G90)</f>
        <v>0</v>
      </c>
      <c r="AX90" s="190">
        <f ca="1">SUMIFS(Покупка!AW$25:AW$254,Покупка!$F$25:$F$254,$F90,Покупка!$AC$25:$AC$254,$G90)</f>
        <v>0</v>
      </c>
      <c r="AY90" s="190">
        <f ca="1">SUMIFS(Покупка!AX$25:AX$254,Покупка!$F$25:$F$254,$F90,Покупка!$AC$25:$AC$254,$G90)</f>
        <v>0</v>
      </c>
      <c r="AZ90" s="190">
        <f ca="1">SUMIFS(Покупка!AY$25:AY$254,Покупка!$F$25:$F$254,$F90,Покупка!$AC$25:$AC$254,$G90)</f>
        <v>0</v>
      </c>
      <c r="BA90" s="190">
        <f ca="1">SUMIFS(Покупка!AZ$25:AZ$254,Покупка!$F$25:$F$254,$F90,Покупка!$AC$25:$AC$254,$G90)</f>
        <v>0</v>
      </c>
      <c r="BB90" s="190">
        <f ca="1">SUMIFS(Покупка!BA$25:BA$254,Покупка!$F$25:$F$254,$F90,Покупка!$AC$25:$AC$254,$G90)</f>
        <v>0</v>
      </c>
      <c r="BC90" s="190">
        <f ca="1">SUMIFS(Покупка!BB$25:BB$254,Покупка!$F$25:$F$254,$F90,Покупка!$AC$25:$AC$254,$G90)</f>
        <v>0</v>
      </c>
      <c r="BD90" s="190">
        <f t="shared" ca="1" si="12"/>
        <v>0</v>
      </c>
      <c r="BE90" s="190">
        <f t="shared" ca="1" si="13"/>
        <v>0</v>
      </c>
      <c r="BF90" s="190">
        <f t="shared" ca="1" si="14"/>
        <v>0</v>
      </c>
      <c r="BG90" s="190">
        <f t="shared" ca="1" si="15"/>
        <v>0</v>
      </c>
      <c r="BH90" s="190">
        <f t="shared" ca="1" si="16"/>
        <v>0</v>
      </c>
      <c r="BI90" s="190">
        <f t="shared" ca="1" si="17"/>
        <v>0</v>
      </c>
      <c r="BJ90" s="190">
        <f t="shared" ca="1" si="18"/>
        <v>0</v>
      </c>
      <c r="BK90" s="190">
        <f t="shared" ca="1" si="19"/>
        <v>0</v>
      </c>
      <c r="BL90" s="190">
        <f t="shared" ca="1" si="20"/>
        <v>0</v>
      </c>
      <c r="BM90" s="190">
        <f t="shared" ca="1" si="21"/>
        <v>0</v>
      </c>
      <c r="BN90" s="784"/>
      <c r="BO90" s="788" t="str">
        <f ca="1">IF(IFERROR(INDEX(Покупка!$K$26:$L$254,MATCH($F90&amp;"9komm",Покупка!$K$26:$K$254,0),2),"")=0,"",IFERROR(INDEX(Покупка!$K$26:$L$254,MATCH($F90&amp;"9komm",Покупка!$K$26:$K$254,0),2),""))</f>
        <v/>
      </c>
      <c r="BP90" s="784"/>
      <c r="BS90" s="705" t="s">
        <v>1141</v>
      </c>
    </row>
    <row r="91" spans="2:75" ht="14.65" hidden="1" customHeight="1">
      <c r="C91" s="44"/>
      <c r="D91" s="44"/>
      <c r="E91" s="462">
        <v>15</v>
      </c>
      <c r="F91" s="3" cm="1">
        <f t="array" aca="1" ref="F91" ca="1">OFFSET(E91,-1,1)</f>
        <v>0</v>
      </c>
      <c r="G91" s="44"/>
      <c r="H91" s="44"/>
      <c r="I91" s="44" t="s">
        <v>482</v>
      </c>
      <c r="J91" s="44"/>
      <c r="K91" s="44" t="s">
        <v>482</v>
      </c>
      <c r="L91" s="44"/>
      <c r="M91" s="44"/>
      <c r="N91" s="44"/>
      <c r="O91" s="44"/>
      <c r="P91" s="44"/>
      <c r="Q91" s="44"/>
      <c r="R91" s="44"/>
      <c r="S91" s="44"/>
      <c r="T91" s="365" t="b" cm="1">
        <f t="array" aca="1" ref="T91" ca="1">T90</f>
        <v>0</v>
      </c>
      <c r="U91" s="44"/>
      <c r="V91" s="44"/>
      <c r="W91" s="44"/>
      <c r="X91" s="1094"/>
      <c r="Z91" s="1065"/>
      <c r="AB91" s="26" t="s">
        <v>541</v>
      </c>
      <c r="AC91" s="146" t="s">
        <v>2062</v>
      </c>
      <c r="AD91" s="118" t="s">
        <v>804</v>
      </c>
      <c r="AE91" s="190">
        <f ca="1">SUMIFS('Сырье и материалы'!AE$25:AE$96,'Сырье и материалы'!$F$25:$F$96,$F91,'Сырье и материалы'!$I$25:$I$96,"Реагенты")</f>
        <v>0</v>
      </c>
      <c r="AF91" s="190">
        <f ca="1">SUMIFS('Сырье и материалы'!AF$25:AF$96,'Сырье и материалы'!$F$25:$F$96,$F91,'Сырье и материалы'!$I$25:$I$96,"Реагенты")</f>
        <v>0</v>
      </c>
      <c r="AG91" s="190">
        <f ca="1">SUMIFS('Сырье и материалы'!AG$25:AG$96,'Сырье и материалы'!$F$25:$F$96,$F91,'Сырье и материалы'!$I$25:$I$96,"Реагенты")</f>
        <v>0</v>
      </c>
      <c r="AH91" s="190">
        <f t="shared" ca="1" si="10"/>
        <v>0</v>
      </c>
      <c r="AI91" s="190">
        <f ca="1">SUMIFS('Сырье и материалы'!AH$25:AH$96,'Сырье и материалы'!$F$25:$F$96,$F91,'Сырье и материалы'!$I$25:$I$96,"Реагенты")</f>
        <v>0</v>
      </c>
      <c r="AJ91" s="190">
        <f ca="1">SUMIFS('Сырье и материалы'!AI$25:AI$96,'Сырье и материалы'!$F$25:$F$96,$F91,'Сырье и материалы'!$I$25:$I$96,"Реагенты")</f>
        <v>0</v>
      </c>
      <c r="AK91" s="190">
        <f ca="1">SUMIFS('Сырье и материалы'!AJ$25:AJ$96,'Сырье и материалы'!$F$25:$F$96,$F91,'Сырье и материалы'!$I$25:$I$96,"Реагенты")</f>
        <v>0</v>
      </c>
      <c r="AL91" s="190">
        <f ca="1">SUMIFS('Сырье и материалы'!AK$25:AK$96,'Сырье и материалы'!$F$25:$F$96,$F91,'Сырье и материалы'!$I$25:$I$96,"Реагенты")</f>
        <v>0</v>
      </c>
      <c r="AM91" s="190">
        <f ca="1">SUMIFS('Сырье и материалы'!AL$25:AL$96,'Сырье и материалы'!$F$25:$F$96,$F91,'Сырье и материалы'!$I$25:$I$96,"Реагенты")</f>
        <v>0</v>
      </c>
      <c r="AN91" s="190">
        <f ca="1">SUMIFS('Сырье и материалы'!AM$25:AM$96,'Сырье и материалы'!$F$25:$F$96,$F91,'Сырье и материалы'!$I$25:$I$96,"Реагенты")</f>
        <v>0</v>
      </c>
      <c r="AO91" s="190">
        <f ca="1">SUMIFS('Сырье и материалы'!AN$25:AN$96,'Сырье и материалы'!$F$25:$F$96,$F91,'Сырье и материалы'!$I$25:$I$96,"Реагенты")</f>
        <v>0</v>
      </c>
      <c r="AP91" s="190">
        <f ca="1">SUMIFS('Сырье и материалы'!AO$25:AO$96,'Сырье и материалы'!$F$25:$F$96,$F91,'Сырье и материалы'!$I$25:$I$96,"Реагенты")</f>
        <v>0</v>
      </c>
      <c r="AQ91" s="190">
        <f ca="1">SUMIFS('Сырье и материалы'!AP$25:AP$96,'Сырье и материалы'!$F$25:$F$96,$F91,'Сырье и материалы'!$I$25:$I$96,"Реагенты")</f>
        <v>0</v>
      </c>
      <c r="AR91" s="190">
        <f ca="1">SUMIFS('Сырье и материалы'!AQ$25:AQ$96,'Сырье и материалы'!$F$25:$F$96,$F91,'Сырье и материалы'!$I$25:$I$96,"Реагенты")</f>
        <v>0</v>
      </c>
      <c r="AS91" s="190">
        <f ca="1">SUMIFS('Сырье и материалы'!AR$25:AR$96,'Сырье и материалы'!$F$25:$F$96,$F91,'Сырье и материалы'!$I$25:$I$96,"Реагенты")</f>
        <v>0</v>
      </c>
      <c r="AT91" s="190">
        <f ca="1">SUMIFS('Сырье и материалы'!AS$25:AS$96,'Сырье и материалы'!$F$25:$F$96,$F91,'Сырье и материалы'!$I$25:$I$96,"Реагенты")</f>
        <v>0</v>
      </c>
      <c r="AU91" s="190">
        <f ca="1">SUMIFS('Сырье и материалы'!AT$25:AT$96,'Сырье и материалы'!$F$25:$F$96,$F91,'Сырье и материалы'!$I$25:$I$96,"Реагенты")</f>
        <v>0</v>
      </c>
      <c r="AV91" s="190">
        <f ca="1">SUMIFS('Сырье и материалы'!AU$25:AU$96,'Сырье и материалы'!$F$25:$F$96,$F91,'Сырье и материалы'!$I$25:$I$96,"Реагенты")</f>
        <v>0</v>
      </c>
      <c r="AW91" s="190">
        <f ca="1">SUMIFS('Сырье и материалы'!AV$25:AV$96,'Сырье и материалы'!$F$25:$F$96,$F91,'Сырье и материалы'!$I$25:$I$96,"Реагенты")</f>
        <v>0</v>
      </c>
      <c r="AX91" s="190">
        <f ca="1">SUMIFS('Сырье и материалы'!AW$25:AW$96,'Сырье и материалы'!$F$25:$F$96,$F91,'Сырье и материалы'!$I$25:$I$96,"Реагенты")</f>
        <v>0</v>
      </c>
      <c r="AY91" s="190">
        <f ca="1">SUMIFS('Сырье и материалы'!AX$25:AX$96,'Сырье и материалы'!$F$25:$F$96,$F91,'Сырье и материалы'!$I$25:$I$96,"Реагенты")</f>
        <v>0</v>
      </c>
      <c r="AZ91" s="190">
        <f ca="1">SUMIFS('Сырье и материалы'!AY$25:AY$96,'Сырье и материалы'!$F$25:$F$96,$F91,'Сырье и материалы'!$I$25:$I$96,"Реагенты")</f>
        <v>0</v>
      </c>
      <c r="BA91" s="190">
        <f ca="1">SUMIFS('Сырье и материалы'!AZ$25:AZ$96,'Сырье и материалы'!$F$25:$F$96,$F91,'Сырье и материалы'!$I$25:$I$96,"Реагенты")</f>
        <v>0</v>
      </c>
      <c r="BB91" s="190">
        <f ca="1">SUMIFS('Сырье и материалы'!BA$25:BA$96,'Сырье и материалы'!$F$25:$F$96,$F91,'Сырье и материалы'!$I$25:$I$96,"Реагенты")</f>
        <v>0</v>
      </c>
      <c r="BC91" s="190">
        <f ca="1">SUMIFS('Сырье и материалы'!BB$25:BB$96,'Сырье и материалы'!$F$25:$F$96,$F91,'Сырье и материалы'!$I$25:$I$96,"Реагенты")</f>
        <v>0</v>
      </c>
      <c r="BD91" s="190">
        <f t="shared" ca="1" si="12"/>
        <v>0</v>
      </c>
      <c r="BE91" s="190">
        <f t="shared" ca="1" si="13"/>
        <v>0</v>
      </c>
      <c r="BF91" s="190">
        <f t="shared" ca="1" si="14"/>
        <v>0</v>
      </c>
      <c r="BG91" s="190">
        <f t="shared" ca="1" si="15"/>
        <v>0</v>
      </c>
      <c r="BH91" s="190">
        <f t="shared" ca="1" si="16"/>
        <v>0</v>
      </c>
      <c r="BI91" s="190">
        <f t="shared" ca="1" si="17"/>
        <v>0</v>
      </c>
      <c r="BJ91" s="190">
        <f t="shared" ca="1" si="18"/>
        <v>0</v>
      </c>
      <c r="BK91" s="190">
        <f t="shared" ca="1" si="19"/>
        <v>0</v>
      </c>
      <c r="BL91" s="190">
        <f t="shared" ca="1" si="20"/>
        <v>0</v>
      </c>
      <c r="BM91" s="190">
        <f t="shared" ca="1" si="21"/>
        <v>0</v>
      </c>
      <c r="BN91" s="784"/>
      <c r="BO91" s="788" t="str">
        <f ca="1">IF(IFERROR(INDEX('Сырье и материалы'!$K$26:$L$96,MATCH($F91&amp;"komm",'Сырье и материалы'!$K$26:$K$96,0),2),"")=0,"",IFERROR(INDEX('Сырье и материалы'!$K$26:$L$96,MATCH($F91&amp;"komm",'Сырье и материалы'!$K$26:$K$96,0),2),""))</f>
        <v/>
      </c>
      <c r="BP91" s="784"/>
      <c r="BS91" s="705" t="s">
        <v>1725</v>
      </c>
    </row>
    <row r="92" spans="2:75" s="95" customFormat="1" ht="20.45" hidden="1" customHeight="1">
      <c r="B92" s="344"/>
      <c r="C92" s="46"/>
      <c r="D92" s="46"/>
      <c r="E92" s="569">
        <v>21</v>
      </c>
      <c r="F92" s="3" cm="1">
        <f t="array" aca="1" ref="F92" ca="1">OFFSET(E92,-1,1)</f>
        <v>0</v>
      </c>
      <c r="G92" s="46"/>
      <c r="H92" s="44"/>
      <c r="I92" s="44" t="s">
        <v>917</v>
      </c>
      <c r="J92" s="46"/>
      <c r="K92" s="44" t="s">
        <v>917</v>
      </c>
      <c r="L92" s="46" t="s">
        <v>514</v>
      </c>
      <c r="M92" s="46"/>
      <c r="N92" s="46"/>
      <c r="O92" s="46"/>
      <c r="P92" s="46"/>
      <c r="Q92" s="46"/>
      <c r="R92" s="46"/>
      <c r="S92" s="46"/>
      <c r="T92" s="365" t="b" cm="1">
        <f t="array" aca="1" ref="T92" ca="1">T91</f>
        <v>0</v>
      </c>
      <c r="U92" s="46"/>
      <c r="V92" s="46"/>
      <c r="W92" s="46"/>
      <c r="X92" s="1094"/>
      <c r="Z92" s="1065"/>
      <c r="AB92" s="143" t="s">
        <v>545</v>
      </c>
      <c r="AC92" s="276" t="s">
        <v>2063</v>
      </c>
      <c r="AD92" s="143" t="s">
        <v>804</v>
      </c>
      <c r="AE92" s="145">
        <f ca="1">SUM(AE93:AE102)</f>
        <v>0</v>
      </c>
      <c r="AF92" s="145">
        <f ca="1">SUM(AF93:AF102)</f>
        <v>0</v>
      </c>
      <c r="AG92" s="145">
        <f ca="1">SUM(AG93:AG102)</f>
        <v>0</v>
      </c>
      <c r="AH92" s="145">
        <f t="shared" ca="1" si="10"/>
        <v>0</v>
      </c>
      <c r="AI92" s="145">
        <f t="shared" ref="AI92:BC92" ca="1" si="23">SUM(AI93:AI102)</f>
        <v>0</v>
      </c>
      <c r="AJ92" s="145">
        <f t="shared" ca="1" si="23"/>
        <v>0</v>
      </c>
      <c r="AK92" s="145">
        <f t="shared" ca="1" si="23"/>
        <v>0</v>
      </c>
      <c r="AL92" s="145">
        <f t="shared" ca="1" si="23"/>
        <v>0</v>
      </c>
      <c r="AM92" s="145">
        <f t="shared" ca="1" si="23"/>
        <v>0</v>
      </c>
      <c r="AN92" s="145">
        <f t="shared" ca="1" si="23"/>
        <v>0</v>
      </c>
      <c r="AO92" s="145">
        <f t="shared" ca="1" si="23"/>
        <v>0</v>
      </c>
      <c r="AP92" s="145">
        <f t="shared" ca="1" si="23"/>
        <v>0</v>
      </c>
      <c r="AQ92" s="145">
        <f t="shared" ca="1" si="23"/>
        <v>0</v>
      </c>
      <c r="AR92" s="145">
        <f t="shared" ca="1" si="23"/>
        <v>0</v>
      </c>
      <c r="AS92" s="145">
        <f t="shared" ca="1" si="23"/>
        <v>0</v>
      </c>
      <c r="AT92" s="145">
        <f t="shared" ca="1" si="23"/>
        <v>0</v>
      </c>
      <c r="AU92" s="145">
        <f t="shared" ca="1" si="23"/>
        <v>0</v>
      </c>
      <c r="AV92" s="145">
        <f t="shared" ca="1" si="23"/>
        <v>0</v>
      </c>
      <c r="AW92" s="145">
        <f t="shared" ca="1" si="23"/>
        <v>0</v>
      </c>
      <c r="AX92" s="145">
        <f t="shared" ca="1" si="23"/>
        <v>0</v>
      </c>
      <c r="AY92" s="145">
        <f t="shared" ca="1" si="23"/>
        <v>0</v>
      </c>
      <c r="AZ92" s="145">
        <f t="shared" ca="1" si="23"/>
        <v>0</v>
      </c>
      <c r="BA92" s="145">
        <f t="shared" ca="1" si="23"/>
        <v>0</v>
      </c>
      <c r="BB92" s="145">
        <f t="shared" ca="1" si="23"/>
        <v>0</v>
      </c>
      <c r="BC92" s="145">
        <f t="shared" ca="1" si="23"/>
        <v>0</v>
      </c>
      <c r="BD92" s="145">
        <f t="shared" ca="1" si="12"/>
        <v>0</v>
      </c>
      <c r="BE92" s="145">
        <f t="shared" ca="1" si="13"/>
        <v>0</v>
      </c>
      <c r="BF92" s="145">
        <f t="shared" ca="1" si="14"/>
        <v>0</v>
      </c>
      <c r="BG92" s="145">
        <f t="shared" ca="1" si="15"/>
        <v>0</v>
      </c>
      <c r="BH92" s="145">
        <f t="shared" ca="1" si="16"/>
        <v>0</v>
      </c>
      <c r="BI92" s="145">
        <f t="shared" ca="1" si="17"/>
        <v>0</v>
      </c>
      <c r="BJ92" s="145">
        <f t="shared" ca="1" si="18"/>
        <v>0</v>
      </c>
      <c r="BK92" s="145">
        <f t="shared" ca="1" si="19"/>
        <v>0</v>
      </c>
      <c r="BL92" s="145">
        <f t="shared" ca="1" si="20"/>
        <v>0</v>
      </c>
      <c r="BM92" s="145">
        <f t="shared" ca="1" si="21"/>
        <v>0</v>
      </c>
      <c r="BN92" s="786"/>
      <c r="BO92" s="788" t="str">
        <f ca="1">IF(IFERROR(INDEX(Налоги!$K$26:$L$69,MATCH($F92&amp;"komm",Налоги!$K$26:$K$69,0),2),"")=0,"",IFERROR(INDEX(Налоги!$K$26:$L$69,MATCH($F92&amp;"komm",Налоги!$K$26:$K$69,0),2),""))</f>
        <v/>
      </c>
      <c r="BP92" s="786"/>
      <c r="BS92" s="711" t="s">
        <v>1270</v>
      </c>
      <c r="BT92" s="711"/>
      <c r="BU92" s="711"/>
      <c r="BV92" s="522"/>
      <c r="BW92" s="522"/>
    </row>
    <row r="93" spans="2:75" ht="14.65" hidden="1" customHeight="1">
      <c r="C93" s="44"/>
      <c r="D93" s="44"/>
      <c r="E93" s="462">
        <v>15</v>
      </c>
      <c r="F93" s="3" cm="1">
        <f t="array" aca="1" ref="F93" ca="1">OFFSET(E93,-1,1)</f>
        <v>0</v>
      </c>
      <c r="G93" s="620">
        <v>7</v>
      </c>
      <c r="H93" s="44"/>
      <c r="I93" s="44" t="s">
        <v>2064</v>
      </c>
      <c r="J93" s="44"/>
      <c r="K93" s="44" t="s">
        <v>2064</v>
      </c>
      <c r="L93" s="44"/>
      <c r="M93" s="44"/>
      <c r="N93" s="44"/>
      <c r="O93" s="44"/>
      <c r="P93" s="44"/>
      <c r="Q93" s="44"/>
      <c r="R93" s="44"/>
      <c r="S93" s="44"/>
      <c r="T93" s="365" t="b" cm="1">
        <f t="array" aca="1" ref="T93" ca="1">T92</f>
        <v>0</v>
      </c>
      <c r="U93" s="44"/>
      <c r="V93" s="44"/>
      <c r="W93" s="44"/>
      <c r="X93" s="1094"/>
      <c r="Z93" s="1065"/>
      <c r="AB93" s="26" t="s">
        <v>498</v>
      </c>
      <c r="AC93" s="153" t="s">
        <v>1284</v>
      </c>
      <c r="AD93" s="26" t="s">
        <v>804</v>
      </c>
      <c r="AE93" s="190">
        <f ca="1">SUMIFS(Налоги!AE$25:AE$69,Налоги!$F$25:$F$69,$F93,Налоги!$AB$25:$AB$69,$G93)</f>
        <v>0</v>
      </c>
      <c r="AF93" s="190">
        <f ca="1">SUMIFS(Налоги!AF$25:AF$69,Налоги!$F$25:$F$69,$F93,Налоги!$AB$25:$AB$69,$G93)</f>
        <v>0</v>
      </c>
      <c r="AG93" s="190">
        <f ca="1">SUMIFS(Налоги!AG$25:AG$69,Налоги!$F$25:$F$69,$F93,Налоги!$AB$25:$AB$69,$G93)</f>
        <v>0</v>
      </c>
      <c r="AH93" s="190">
        <f t="shared" ca="1" si="10"/>
        <v>0</v>
      </c>
      <c r="AI93" s="190">
        <f ca="1">SUMIFS(Налоги!AH$25:AH$69,Налоги!$F$25:$F$69,$F93,Налоги!$AB$25:$AB$69,$G93)</f>
        <v>0</v>
      </c>
      <c r="AJ93" s="190">
        <f ca="1">SUMIFS(Налоги!AI$25:AI$69,Налоги!$F$25:$F$69,$F93,Налоги!$AB$25:$AB$69,$G93)</f>
        <v>0</v>
      </c>
      <c r="AK93" s="190">
        <f ca="1">SUMIFS(Налоги!AJ$25:AJ$69,Налоги!$F$25:$F$69,$F93,Налоги!$AB$25:$AB$69,$G93)</f>
        <v>0</v>
      </c>
      <c r="AL93" s="190">
        <f ca="1">SUMIFS(Налоги!AK$25:AK$69,Налоги!$F$25:$F$69,$F93,Налоги!$AB$25:$AB$69,$G93)</f>
        <v>0</v>
      </c>
      <c r="AM93" s="190">
        <f ca="1">SUMIFS(Налоги!AL$25:AL$69,Налоги!$F$25:$F$69,$F93,Налоги!$AB$25:$AB$69,$G93)</f>
        <v>0</v>
      </c>
      <c r="AN93" s="190">
        <f ca="1">SUMIFS(Налоги!AM$25:AM$69,Налоги!$F$25:$F$69,$F93,Налоги!$AB$25:$AB$69,$G93)</f>
        <v>0</v>
      </c>
      <c r="AO93" s="190">
        <f ca="1">SUMIFS(Налоги!AN$25:AN$69,Налоги!$F$25:$F$69,$F93,Налоги!$AB$25:$AB$69,$G93)</f>
        <v>0</v>
      </c>
      <c r="AP93" s="190">
        <f ca="1">SUMIFS(Налоги!AO$25:AO$69,Налоги!$F$25:$F$69,$F93,Налоги!$AB$25:$AB$69,$G93)</f>
        <v>0</v>
      </c>
      <c r="AQ93" s="190">
        <f ca="1">SUMIFS(Налоги!AP$25:AP$69,Налоги!$F$25:$F$69,$F93,Налоги!$AB$25:$AB$69,$G93)</f>
        <v>0</v>
      </c>
      <c r="AR93" s="190">
        <f ca="1">SUMIFS(Налоги!AQ$25:AQ$69,Налоги!$F$25:$F$69,$F93,Налоги!$AB$25:$AB$69,$G93)</f>
        <v>0</v>
      </c>
      <c r="AS93" s="190">
        <f ca="1">SUMIFS(Налоги!AR$25:AR$69,Налоги!$F$25:$F$69,$F93,Налоги!$AB$25:$AB$69,$G93)</f>
        <v>0</v>
      </c>
      <c r="AT93" s="190">
        <f ca="1">SUMIFS(Налоги!AS$25:AS$69,Налоги!$F$25:$F$69,$F93,Налоги!$AB$25:$AB$69,$G93)</f>
        <v>0</v>
      </c>
      <c r="AU93" s="190">
        <f ca="1">SUMIFS(Налоги!AT$25:AT$69,Налоги!$F$25:$F$69,$F93,Налоги!$AB$25:$AB$69,$G93)</f>
        <v>0</v>
      </c>
      <c r="AV93" s="190">
        <f ca="1">SUMIFS(Налоги!AU$25:AU$69,Налоги!$F$25:$F$69,$F93,Налоги!$AB$25:$AB$69,$G93)</f>
        <v>0</v>
      </c>
      <c r="AW93" s="190">
        <f ca="1">SUMIFS(Налоги!AV$25:AV$69,Налоги!$F$25:$F$69,$F93,Налоги!$AB$25:$AB$69,$G93)</f>
        <v>0</v>
      </c>
      <c r="AX93" s="190">
        <f ca="1">SUMIFS(Налоги!AW$25:AW$69,Налоги!$F$25:$F$69,$F93,Налоги!$AB$25:$AB$69,$G93)</f>
        <v>0</v>
      </c>
      <c r="AY93" s="190">
        <f ca="1">SUMIFS(Налоги!AX$25:AX$69,Налоги!$F$25:$F$69,$F93,Налоги!$AB$25:$AB$69,$G93)</f>
        <v>0</v>
      </c>
      <c r="AZ93" s="190">
        <f ca="1">SUMIFS(Налоги!AY$25:AY$69,Налоги!$F$25:$F$69,$F93,Налоги!$AB$25:$AB$69,$G93)</f>
        <v>0</v>
      </c>
      <c r="BA93" s="190">
        <f ca="1">SUMIFS(Налоги!AZ$25:AZ$69,Налоги!$F$25:$F$69,$F93,Налоги!$AB$25:$AB$69,$G93)</f>
        <v>0</v>
      </c>
      <c r="BB93" s="190">
        <f ca="1">SUMIFS(Налоги!BA$25:BA$69,Налоги!$F$25:$F$69,$F93,Налоги!$AB$25:$AB$69,$G93)</f>
        <v>0</v>
      </c>
      <c r="BC93" s="190">
        <f ca="1">SUMIFS(Налоги!BB$25:BB$69,Налоги!$F$25:$F$69,$F93,Налоги!$AB$25:$AB$69,$G93)</f>
        <v>0</v>
      </c>
      <c r="BD93" s="190">
        <f t="shared" ca="1" si="12"/>
        <v>0</v>
      </c>
      <c r="BE93" s="190">
        <f t="shared" ca="1" si="13"/>
        <v>0</v>
      </c>
      <c r="BF93" s="190">
        <f t="shared" ca="1" si="14"/>
        <v>0</v>
      </c>
      <c r="BG93" s="190">
        <f t="shared" ca="1" si="15"/>
        <v>0</v>
      </c>
      <c r="BH93" s="190">
        <f t="shared" ca="1" si="16"/>
        <v>0</v>
      </c>
      <c r="BI93" s="190">
        <f t="shared" ca="1" si="17"/>
        <v>0</v>
      </c>
      <c r="BJ93" s="190">
        <f t="shared" ca="1" si="18"/>
        <v>0</v>
      </c>
      <c r="BK93" s="190">
        <f t="shared" ca="1" si="19"/>
        <v>0</v>
      </c>
      <c r="BL93" s="190">
        <f t="shared" ca="1" si="20"/>
        <v>0</v>
      </c>
      <c r="BM93" s="190">
        <f t="shared" ca="1" si="21"/>
        <v>0</v>
      </c>
      <c r="BN93" s="784"/>
      <c r="BO93" s="788" t="str">
        <f ca="1">IF(IFERROR(INDEX(Налоги!$K$26:$L$69,MATCH($F93&amp;"7komm",Налоги!$K$26:$K$69,0),2),"")=0,"",IFERROR(INDEX(Налоги!$K$26:$L$69,MATCH($F93&amp;"7komm",Налоги!$K$26:$K$69,0),2),""))</f>
        <v/>
      </c>
      <c r="BP93" s="784"/>
      <c r="BS93" s="705" t="s">
        <v>2065</v>
      </c>
    </row>
    <row r="94" spans="2:75" ht="14.65" hidden="1" customHeight="1">
      <c r="C94" s="44"/>
      <c r="D94" s="44"/>
      <c r="E94" s="462">
        <v>15</v>
      </c>
      <c r="F94" s="3" cm="1">
        <f t="array" aca="1" ref="F94" ca="1">OFFSET(E94,-1,1)</f>
        <v>0</v>
      </c>
      <c r="G94" s="620">
        <v>6</v>
      </c>
      <c r="H94" s="44"/>
      <c r="I94" s="44" t="s">
        <v>2066</v>
      </c>
      <c r="J94" s="44"/>
      <c r="K94" s="44" t="s">
        <v>2066</v>
      </c>
      <c r="L94" s="44"/>
      <c r="M94" s="44"/>
      <c r="N94" s="44"/>
      <c r="O94" s="44"/>
      <c r="P94" s="44"/>
      <c r="Q94" s="44"/>
      <c r="R94" s="44"/>
      <c r="S94" s="44"/>
      <c r="T94" s="365" t="b" cm="1">
        <f t="array" aca="1" ref="T94" ca="1">T93</f>
        <v>0</v>
      </c>
      <c r="U94" s="44"/>
      <c r="V94" s="44"/>
      <c r="W94" s="44"/>
      <c r="X94" s="1094"/>
      <c r="Z94" s="1065"/>
      <c r="AB94" s="26" t="s">
        <v>1492</v>
      </c>
      <c r="AC94" s="153" t="s">
        <v>2067</v>
      </c>
      <c r="AD94" s="26" t="s">
        <v>804</v>
      </c>
      <c r="AE94" s="190">
        <f ca="1">SUMIFS(Налоги!AE$25:AE$69,Налоги!$F$25:$F$69,$F94,Налоги!$AB$25:$AB$69,$G94)</f>
        <v>0</v>
      </c>
      <c r="AF94" s="190">
        <f ca="1">SUMIFS(Налоги!AF$25:AF$69,Налоги!$F$25:$F$69,$F94,Налоги!$AB$25:$AB$69,$G94)</f>
        <v>0</v>
      </c>
      <c r="AG94" s="190">
        <f ca="1">SUMIFS(Налоги!AG$25:AG$69,Налоги!$F$25:$F$69,$F94,Налоги!$AB$25:$AB$69,$G94)</f>
        <v>0</v>
      </c>
      <c r="AH94" s="190">
        <f t="shared" ca="1" si="10"/>
        <v>0</v>
      </c>
      <c r="AI94" s="190">
        <f ca="1">SUMIFS(Налоги!AH$25:AH$69,Налоги!$F$25:$F$69,$F94,Налоги!$AB$25:$AB$69,$G94)</f>
        <v>0</v>
      </c>
      <c r="AJ94" s="190">
        <f ca="1">SUMIFS(Налоги!AI$25:AI$69,Налоги!$F$25:$F$69,$F94,Налоги!$AB$25:$AB$69,$G94)</f>
        <v>0</v>
      </c>
      <c r="AK94" s="190">
        <f ca="1">SUMIFS(Налоги!AJ$25:AJ$69,Налоги!$F$25:$F$69,$F94,Налоги!$AB$25:$AB$69,$G94)</f>
        <v>0</v>
      </c>
      <c r="AL94" s="190">
        <f ca="1">SUMIFS(Налоги!AK$25:AK$69,Налоги!$F$25:$F$69,$F94,Налоги!$AB$25:$AB$69,$G94)</f>
        <v>0</v>
      </c>
      <c r="AM94" s="190">
        <f ca="1">SUMIFS(Налоги!AL$25:AL$69,Налоги!$F$25:$F$69,$F94,Налоги!$AB$25:$AB$69,$G94)</f>
        <v>0</v>
      </c>
      <c r="AN94" s="190">
        <f ca="1">SUMIFS(Налоги!AM$25:AM$69,Налоги!$F$25:$F$69,$F94,Налоги!$AB$25:$AB$69,$G94)</f>
        <v>0</v>
      </c>
      <c r="AO94" s="190">
        <f ca="1">SUMIFS(Налоги!AN$25:AN$69,Налоги!$F$25:$F$69,$F94,Налоги!$AB$25:$AB$69,$G94)</f>
        <v>0</v>
      </c>
      <c r="AP94" s="190">
        <f ca="1">SUMIFS(Налоги!AO$25:AO$69,Налоги!$F$25:$F$69,$F94,Налоги!$AB$25:$AB$69,$G94)</f>
        <v>0</v>
      </c>
      <c r="AQ94" s="190">
        <f ca="1">SUMIFS(Налоги!AP$25:AP$69,Налоги!$F$25:$F$69,$F94,Налоги!$AB$25:$AB$69,$G94)</f>
        <v>0</v>
      </c>
      <c r="AR94" s="190">
        <f ca="1">SUMIFS(Налоги!AQ$25:AQ$69,Налоги!$F$25:$F$69,$F94,Налоги!$AB$25:$AB$69,$G94)</f>
        <v>0</v>
      </c>
      <c r="AS94" s="190">
        <f ca="1">SUMIFS(Налоги!AR$25:AR$69,Налоги!$F$25:$F$69,$F94,Налоги!$AB$25:$AB$69,$G94)</f>
        <v>0</v>
      </c>
      <c r="AT94" s="190">
        <f ca="1">SUMIFS(Налоги!AS$25:AS$69,Налоги!$F$25:$F$69,$F94,Налоги!$AB$25:$AB$69,$G94)</f>
        <v>0</v>
      </c>
      <c r="AU94" s="190">
        <f ca="1">SUMIFS(Налоги!AT$25:AT$69,Налоги!$F$25:$F$69,$F94,Налоги!$AB$25:$AB$69,$G94)</f>
        <v>0</v>
      </c>
      <c r="AV94" s="190">
        <f ca="1">SUMIFS(Налоги!AU$25:AU$69,Налоги!$F$25:$F$69,$F94,Налоги!$AB$25:$AB$69,$G94)</f>
        <v>0</v>
      </c>
      <c r="AW94" s="190">
        <f ca="1">SUMIFS(Налоги!AV$25:AV$69,Налоги!$F$25:$F$69,$F94,Налоги!$AB$25:$AB$69,$G94)</f>
        <v>0</v>
      </c>
      <c r="AX94" s="190">
        <f ca="1">SUMIFS(Налоги!AW$25:AW$69,Налоги!$F$25:$F$69,$F94,Налоги!$AB$25:$AB$69,$G94)</f>
        <v>0</v>
      </c>
      <c r="AY94" s="190">
        <f ca="1">SUMIFS(Налоги!AX$25:AX$69,Налоги!$F$25:$F$69,$F94,Налоги!$AB$25:$AB$69,$G94)</f>
        <v>0</v>
      </c>
      <c r="AZ94" s="190">
        <f ca="1">SUMIFS(Налоги!AY$25:AY$69,Налоги!$F$25:$F$69,$F94,Налоги!$AB$25:$AB$69,$G94)</f>
        <v>0</v>
      </c>
      <c r="BA94" s="190">
        <f ca="1">SUMIFS(Налоги!AZ$25:AZ$69,Налоги!$F$25:$F$69,$F94,Налоги!$AB$25:$AB$69,$G94)</f>
        <v>0</v>
      </c>
      <c r="BB94" s="190">
        <f ca="1">SUMIFS(Налоги!BA$25:BA$69,Налоги!$F$25:$F$69,$F94,Налоги!$AB$25:$AB$69,$G94)</f>
        <v>0</v>
      </c>
      <c r="BC94" s="190">
        <f ca="1">SUMIFS(Налоги!BB$25:BB$69,Налоги!$F$25:$F$69,$F94,Налоги!$AB$25:$AB$69,$G94)</f>
        <v>0</v>
      </c>
      <c r="BD94" s="190">
        <f t="shared" ca="1" si="12"/>
        <v>0</v>
      </c>
      <c r="BE94" s="190">
        <f t="shared" ca="1" si="13"/>
        <v>0</v>
      </c>
      <c r="BF94" s="190">
        <f t="shared" ca="1" si="14"/>
        <v>0</v>
      </c>
      <c r="BG94" s="190">
        <f t="shared" ca="1" si="15"/>
        <v>0</v>
      </c>
      <c r="BH94" s="190">
        <f t="shared" ca="1" si="16"/>
        <v>0</v>
      </c>
      <c r="BI94" s="190">
        <f t="shared" ca="1" si="17"/>
        <v>0</v>
      </c>
      <c r="BJ94" s="190">
        <f t="shared" ca="1" si="18"/>
        <v>0</v>
      </c>
      <c r="BK94" s="190">
        <f t="shared" ca="1" si="19"/>
        <v>0</v>
      </c>
      <c r="BL94" s="190">
        <f t="shared" ca="1" si="20"/>
        <v>0</v>
      </c>
      <c r="BM94" s="190">
        <f t="shared" ca="1" si="21"/>
        <v>0</v>
      </c>
      <c r="BN94" s="784"/>
      <c r="BO94" s="788" t="str">
        <f ca="1">IF(IFERROR(INDEX(Налоги!$K$26:$L$69,MATCH($F94&amp;"6komm",Налоги!$K$26:$K$69,0),2),"")=0,"",IFERROR(INDEX(Налоги!$K$26:$L$69,MATCH($F94&amp;"6komm",Налоги!$K$26:$K$69,0),2),""))</f>
        <v/>
      </c>
      <c r="BP94" s="784"/>
      <c r="BS94" s="705" t="s">
        <v>2068</v>
      </c>
    </row>
    <row r="95" spans="2:75" ht="14.65" hidden="1" customHeight="1">
      <c r="C95" s="44"/>
      <c r="D95" s="44"/>
      <c r="E95" s="462">
        <v>15</v>
      </c>
      <c r="F95" s="3" cm="1">
        <f t="array" aca="1" ref="F95" ca="1">OFFSET(E95,-1,1)</f>
        <v>0</v>
      </c>
      <c r="G95" s="620">
        <v>2</v>
      </c>
      <c r="H95" s="44"/>
      <c r="I95" s="44" t="s">
        <v>2069</v>
      </c>
      <c r="J95" s="44"/>
      <c r="K95" s="44" t="s">
        <v>2069</v>
      </c>
      <c r="L95" s="44"/>
      <c r="M95" s="44"/>
      <c r="N95" s="44"/>
      <c r="O95" s="44"/>
      <c r="P95" s="44"/>
      <c r="Q95" s="44"/>
      <c r="R95" s="44"/>
      <c r="S95" s="44"/>
      <c r="T95" s="365" t="b" cm="1">
        <f t="array" aca="1" ref="T95" ca="1">T94</f>
        <v>0</v>
      </c>
      <c r="U95" s="44"/>
      <c r="V95" s="44"/>
      <c r="W95" s="44"/>
      <c r="X95" s="1094"/>
      <c r="Z95" s="1065"/>
      <c r="AB95" s="26" t="s">
        <v>1497</v>
      </c>
      <c r="AC95" s="153" t="s">
        <v>2070</v>
      </c>
      <c r="AD95" s="26" t="s">
        <v>804</v>
      </c>
      <c r="AE95" s="190">
        <f ca="1">SUMIFS(Налоги!AE$25:AE$69,Налоги!$F$25:$F$69,$F95,Налоги!$AB$25:$AB$69,$G95)</f>
        <v>0</v>
      </c>
      <c r="AF95" s="190">
        <f ca="1">SUMIFS(Налоги!AF$25:AF$69,Налоги!$F$25:$F$69,$F95,Налоги!$AB$25:$AB$69,$G95)</f>
        <v>0</v>
      </c>
      <c r="AG95" s="190">
        <f ca="1">SUMIFS(Налоги!AG$25:AG$69,Налоги!$F$25:$F$69,$F95,Налоги!$AB$25:$AB$69,$G95)</f>
        <v>0</v>
      </c>
      <c r="AH95" s="190">
        <f t="shared" ca="1" si="10"/>
        <v>0</v>
      </c>
      <c r="AI95" s="190">
        <f ca="1">SUMIFS(Налоги!AH$25:AH$69,Налоги!$F$25:$F$69,$F95,Налоги!$AB$25:$AB$69,$G95)</f>
        <v>0</v>
      </c>
      <c r="AJ95" s="190">
        <f ca="1">SUMIFS(Налоги!AI$25:AI$69,Налоги!$F$25:$F$69,$F95,Налоги!$AB$25:$AB$69,$G95)</f>
        <v>0</v>
      </c>
      <c r="AK95" s="190">
        <f ca="1">SUMIFS(Налоги!AJ$25:AJ$69,Налоги!$F$25:$F$69,$F95,Налоги!$AB$25:$AB$69,$G95)</f>
        <v>0</v>
      </c>
      <c r="AL95" s="190">
        <f ca="1">SUMIFS(Налоги!AK$25:AK$69,Налоги!$F$25:$F$69,$F95,Налоги!$AB$25:$AB$69,$G95)</f>
        <v>0</v>
      </c>
      <c r="AM95" s="190">
        <f ca="1">SUMIFS(Налоги!AL$25:AL$69,Налоги!$F$25:$F$69,$F95,Налоги!$AB$25:$AB$69,$G95)</f>
        <v>0</v>
      </c>
      <c r="AN95" s="190">
        <f ca="1">SUMIFS(Налоги!AM$25:AM$69,Налоги!$F$25:$F$69,$F95,Налоги!$AB$25:$AB$69,$G95)</f>
        <v>0</v>
      </c>
      <c r="AO95" s="190">
        <f ca="1">SUMIFS(Налоги!AN$25:AN$69,Налоги!$F$25:$F$69,$F95,Налоги!$AB$25:$AB$69,$G95)</f>
        <v>0</v>
      </c>
      <c r="AP95" s="190">
        <f ca="1">SUMIFS(Налоги!AO$25:AO$69,Налоги!$F$25:$F$69,$F95,Налоги!$AB$25:$AB$69,$G95)</f>
        <v>0</v>
      </c>
      <c r="AQ95" s="190">
        <f ca="1">SUMIFS(Налоги!AP$25:AP$69,Налоги!$F$25:$F$69,$F95,Налоги!$AB$25:$AB$69,$G95)</f>
        <v>0</v>
      </c>
      <c r="AR95" s="190">
        <f ca="1">SUMIFS(Налоги!AQ$25:AQ$69,Налоги!$F$25:$F$69,$F95,Налоги!$AB$25:$AB$69,$G95)</f>
        <v>0</v>
      </c>
      <c r="AS95" s="190">
        <f ca="1">SUMIFS(Налоги!AR$25:AR$69,Налоги!$F$25:$F$69,$F95,Налоги!$AB$25:$AB$69,$G95)</f>
        <v>0</v>
      </c>
      <c r="AT95" s="190">
        <f ca="1">SUMIFS(Налоги!AS$25:AS$69,Налоги!$F$25:$F$69,$F95,Налоги!$AB$25:$AB$69,$G95)</f>
        <v>0</v>
      </c>
      <c r="AU95" s="190">
        <f ca="1">SUMIFS(Налоги!AT$25:AT$69,Налоги!$F$25:$F$69,$F95,Налоги!$AB$25:$AB$69,$G95)</f>
        <v>0</v>
      </c>
      <c r="AV95" s="190">
        <f ca="1">SUMIFS(Налоги!AU$25:AU$69,Налоги!$F$25:$F$69,$F95,Налоги!$AB$25:$AB$69,$G95)</f>
        <v>0</v>
      </c>
      <c r="AW95" s="190">
        <f ca="1">SUMIFS(Налоги!AV$25:AV$69,Налоги!$F$25:$F$69,$F95,Налоги!$AB$25:$AB$69,$G95)</f>
        <v>0</v>
      </c>
      <c r="AX95" s="190">
        <f ca="1">SUMIFS(Налоги!AW$25:AW$69,Налоги!$F$25:$F$69,$F95,Налоги!$AB$25:$AB$69,$G95)</f>
        <v>0</v>
      </c>
      <c r="AY95" s="190">
        <f ca="1">SUMIFS(Налоги!AX$25:AX$69,Налоги!$F$25:$F$69,$F95,Налоги!$AB$25:$AB$69,$G95)</f>
        <v>0</v>
      </c>
      <c r="AZ95" s="190">
        <f ca="1">SUMIFS(Налоги!AY$25:AY$69,Налоги!$F$25:$F$69,$F95,Налоги!$AB$25:$AB$69,$G95)</f>
        <v>0</v>
      </c>
      <c r="BA95" s="190">
        <f ca="1">SUMIFS(Налоги!AZ$25:AZ$69,Налоги!$F$25:$F$69,$F95,Налоги!$AB$25:$AB$69,$G95)</f>
        <v>0</v>
      </c>
      <c r="BB95" s="190">
        <f ca="1">SUMIFS(Налоги!BA$25:BA$69,Налоги!$F$25:$F$69,$F95,Налоги!$AB$25:$AB$69,$G95)</f>
        <v>0</v>
      </c>
      <c r="BC95" s="190">
        <f ca="1">SUMIFS(Налоги!BB$25:BB$69,Налоги!$F$25:$F$69,$F95,Налоги!$AB$25:$AB$69,$G95)</f>
        <v>0</v>
      </c>
      <c r="BD95" s="190">
        <f t="shared" ca="1" si="12"/>
        <v>0</v>
      </c>
      <c r="BE95" s="190">
        <f t="shared" ca="1" si="13"/>
        <v>0</v>
      </c>
      <c r="BF95" s="190">
        <f t="shared" ca="1" si="14"/>
        <v>0</v>
      </c>
      <c r="BG95" s="190">
        <f t="shared" ca="1" si="15"/>
        <v>0</v>
      </c>
      <c r="BH95" s="190">
        <f t="shared" ca="1" si="16"/>
        <v>0</v>
      </c>
      <c r="BI95" s="190">
        <f t="shared" ca="1" si="17"/>
        <v>0</v>
      </c>
      <c r="BJ95" s="190">
        <f t="shared" ca="1" si="18"/>
        <v>0</v>
      </c>
      <c r="BK95" s="190">
        <f t="shared" ca="1" si="19"/>
        <v>0</v>
      </c>
      <c r="BL95" s="190">
        <f t="shared" ca="1" si="20"/>
        <v>0</v>
      </c>
      <c r="BM95" s="190">
        <f t="shared" ca="1" si="21"/>
        <v>0</v>
      </c>
      <c r="BN95" s="784"/>
      <c r="BO95" s="788" t="str">
        <f ca="1">IF(IFERROR(INDEX(Налоги!$K$26:$L$69,MATCH($F95&amp;"2komm",Налоги!$K$26:$K$69,0),2),"")=0,"",IFERROR(INDEX(Налоги!$K$26:$L$69,MATCH($F95&amp;"2komm",Налоги!$K$26:$K$69,0),2),""))</f>
        <v/>
      </c>
      <c r="BP95" s="784"/>
      <c r="BS95" s="705" t="s">
        <v>2071</v>
      </c>
    </row>
    <row r="96" spans="2:75" ht="14.65" hidden="1" customHeight="1">
      <c r="C96" s="44"/>
      <c r="D96" s="44"/>
      <c r="E96" s="462">
        <v>15</v>
      </c>
      <c r="F96" s="3" cm="1">
        <f t="array" aca="1" ref="F96" ca="1">OFFSET(E96,-1,1)</f>
        <v>0</v>
      </c>
      <c r="G96" s="620">
        <v>4</v>
      </c>
      <c r="H96" s="44"/>
      <c r="I96" s="44" t="s">
        <v>2072</v>
      </c>
      <c r="J96" s="44"/>
      <c r="K96" s="44" t="s">
        <v>2072</v>
      </c>
      <c r="L96" s="44"/>
      <c r="M96" s="44"/>
      <c r="N96" s="44"/>
      <c r="O96" s="44"/>
      <c r="P96" s="44"/>
      <c r="Q96" s="44"/>
      <c r="R96" s="44"/>
      <c r="S96" s="44"/>
      <c r="T96" s="365" t="b" cm="1">
        <f t="array" aca="1" ref="T96" ca="1">T95</f>
        <v>0</v>
      </c>
      <c r="U96" s="44"/>
      <c r="V96" s="44"/>
      <c r="W96" s="44"/>
      <c r="X96" s="1094"/>
      <c r="Z96" s="1065"/>
      <c r="AB96" s="26" t="s">
        <v>2073</v>
      </c>
      <c r="AC96" s="153" t="s">
        <v>2074</v>
      </c>
      <c r="AD96" s="26" t="s">
        <v>804</v>
      </c>
      <c r="AE96" s="190">
        <f ca="1">SUMIFS(Налоги!AE$25:AE$69,Налоги!$F$25:$F$69,$F96,Налоги!$AB$25:$AB$69,$G96)</f>
        <v>0</v>
      </c>
      <c r="AF96" s="190">
        <f ca="1">SUMIFS(Налоги!AF$25:AF$69,Налоги!$F$25:$F$69,$F96,Налоги!$AB$25:$AB$69,$G96)</f>
        <v>0</v>
      </c>
      <c r="AG96" s="190">
        <f ca="1">SUMIFS(Налоги!AG$25:AG$69,Налоги!$F$25:$F$69,$F96,Налоги!$AB$25:$AB$69,$G96)</f>
        <v>0</v>
      </c>
      <c r="AH96" s="190">
        <f t="shared" ca="1" si="10"/>
        <v>0</v>
      </c>
      <c r="AI96" s="190">
        <f ca="1">SUMIFS(Налоги!AH$25:AH$69,Налоги!$F$25:$F$69,$F96,Налоги!$AB$25:$AB$69,$G96)</f>
        <v>0</v>
      </c>
      <c r="AJ96" s="190">
        <f ca="1">SUMIFS(Налоги!AI$25:AI$69,Налоги!$F$25:$F$69,$F96,Налоги!$AB$25:$AB$69,$G96)</f>
        <v>0</v>
      </c>
      <c r="AK96" s="190">
        <f ca="1">SUMIFS(Налоги!AJ$25:AJ$69,Налоги!$F$25:$F$69,$F96,Налоги!$AB$25:$AB$69,$G96)</f>
        <v>0</v>
      </c>
      <c r="AL96" s="190">
        <f ca="1">SUMIFS(Налоги!AK$25:AK$69,Налоги!$F$25:$F$69,$F96,Налоги!$AB$25:$AB$69,$G96)</f>
        <v>0</v>
      </c>
      <c r="AM96" s="190">
        <f ca="1">SUMIFS(Налоги!AL$25:AL$69,Налоги!$F$25:$F$69,$F96,Налоги!$AB$25:$AB$69,$G96)</f>
        <v>0</v>
      </c>
      <c r="AN96" s="190">
        <f ca="1">SUMIFS(Налоги!AM$25:AM$69,Налоги!$F$25:$F$69,$F96,Налоги!$AB$25:$AB$69,$G96)</f>
        <v>0</v>
      </c>
      <c r="AO96" s="190">
        <f ca="1">SUMIFS(Налоги!AN$25:AN$69,Налоги!$F$25:$F$69,$F96,Налоги!$AB$25:$AB$69,$G96)</f>
        <v>0</v>
      </c>
      <c r="AP96" s="190">
        <f ca="1">SUMIFS(Налоги!AO$25:AO$69,Налоги!$F$25:$F$69,$F96,Налоги!$AB$25:$AB$69,$G96)</f>
        <v>0</v>
      </c>
      <c r="AQ96" s="190">
        <f ca="1">SUMIFS(Налоги!AP$25:AP$69,Налоги!$F$25:$F$69,$F96,Налоги!$AB$25:$AB$69,$G96)</f>
        <v>0</v>
      </c>
      <c r="AR96" s="190">
        <f ca="1">SUMIFS(Налоги!AQ$25:AQ$69,Налоги!$F$25:$F$69,$F96,Налоги!$AB$25:$AB$69,$G96)</f>
        <v>0</v>
      </c>
      <c r="AS96" s="190">
        <f ca="1">SUMIFS(Налоги!AR$25:AR$69,Налоги!$F$25:$F$69,$F96,Налоги!$AB$25:$AB$69,$G96)</f>
        <v>0</v>
      </c>
      <c r="AT96" s="190">
        <f ca="1">SUMIFS(Налоги!AS$25:AS$69,Налоги!$F$25:$F$69,$F96,Налоги!$AB$25:$AB$69,$G96)</f>
        <v>0</v>
      </c>
      <c r="AU96" s="190">
        <f ca="1">SUMIFS(Налоги!AT$25:AT$69,Налоги!$F$25:$F$69,$F96,Налоги!$AB$25:$AB$69,$G96)</f>
        <v>0</v>
      </c>
      <c r="AV96" s="190">
        <f ca="1">SUMIFS(Налоги!AU$25:AU$69,Налоги!$F$25:$F$69,$F96,Налоги!$AB$25:$AB$69,$G96)</f>
        <v>0</v>
      </c>
      <c r="AW96" s="190">
        <f ca="1">SUMIFS(Налоги!AV$25:AV$69,Налоги!$F$25:$F$69,$F96,Налоги!$AB$25:$AB$69,$G96)</f>
        <v>0</v>
      </c>
      <c r="AX96" s="190">
        <f ca="1">SUMIFS(Налоги!AW$25:AW$69,Налоги!$F$25:$F$69,$F96,Налоги!$AB$25:$AB$69,$G96)</f>
        <v>0</v>
      </c>
      <c r="AY96" s="190">
        <f ca="1">SUMIFS(Налоги!AX$25:AX$69,Налоги!$F$25:$F$69,$F96,Налоги!$AB$25:$AB$69,$G96)</f>
        <v>0</v>
      </c>
      <c r="AZ96" s="190">
        <f ca="1">SUMIFS(Налоги!AY$25:AY$69,Налоги!$F$25:$F$69,$F96,Налоги!$AB$25:$AB$69,$G96)</f>
        <v>0</v>
      </c>
      <c r="BA96" s="190">
        <f ca="1">SUMIFS(Налоги!AZ$25:AZ$69,Налоги!$F$25:$F$69,$F96,Налоги!$AB$25:$AB$69,$G96)</f>
        <v>0</v>
      </c>
      <c r="BB96" s="190">
        <f ca="1">SUMIFS(Налоги!BA$25:BA$69,Налоги!$F$25:$F$69,$F96,Налоги!$AB$25:$AB$69,$G96)</f>
        <v>0</v>
      </c>
      <c r="BC96" s="190">
        <f ca="1">SUMIFS(Налоги!BB$25:BB$69,Налоги!$F$25:$F$69,$F96,Налоги!$AB$25:$AB$69,$G96)</f>
        <v>0</v>
      </c>
      <c r="BD96" s="190">
        <f t="shared" ca="1" si="12"/>
        <v>0</v>
      </c>
      <c r="BE96" s="190">
        <f t="shared" ca="1" si="13"/>
        <v>0</v>
      </c>
      <c r="BF96" s="190">
        <f t="shared" ca="1" si="14"/>
        <v>0</v>
      </c>
      <c r="BG96" s="190">
        <f t="shared" ca="1" si="15"/>
        <v>0</v>
      </c>
      <c r="BH96" s="190">
        <f t="shared" ca="1" si="16"/>
        <v>0</v>
      </c>
      <c r="BI96" s="190">
        <f t="shared" ca="1" si="17"/>
        <v>0</v>
      </c>
      <c r="BJ96" s="190">
        <f t="shared" ca="1" si="18"/>
        <v>0</v>
      </c>
      <c r="BK96" s="190">
        <f t="shared" ca="1" si="19"/>
        <v>0</v>
      </c>
      <c r="BL96" s="190">
        <f t="shared" ca="1" si="20"/>
        <v>0</v>
      </c>
      <c r="BM96" s="190">
        <f t="shared" ca="1" si="21"/>
        <v>0</v>
      </c>
      <c r="BN96" s="784"/>
      <c r="BO96" s="788" t="str">
        <f ca="1">IF(IFERROR(INDEX(Налоги!$K$26:$L$69,MATCH($F96&amp;"4komm",Налоги!$K$26:$K$69,0),2),"")=0,"",IFERROR(INDEX(Налоги!$K$26:$L$69,MATCH($F96&amp;"4komm",Налоги!$K$26:$K$69,0),2),""))</f>
        <v/>
      </c>
      <c r="BP96" s="784"/>
      <c r="BS96" s="705" t="s">
        <v>2075</v>
      </c>
    </row>
    <row r="97" spans="2:75" ht="14.65" hidden="1" customHeight="1">
      <c r="C97" s="44"/>
      <c r="D97" s="44"/>
      <c r="E97" s="462">
        <v>15</v>
      </c>
      <c r="F97" s="3" cm="1">
        <f t="array" aca="1" ref="F97" ca="1">OFFSET(E97,-1,1)</f>
        <v>0</v>
      </c>
      <c r="G97" s="620">
        <v>5</v>
      </c>
      <c r="H97" s="44"/>
      <c r="I97" s="44" t="s">
        <v>2076</v>
      </c>
      <c r="J97" s="44"/>
      <c r="K97" s="44" t="s">
        <v>2076</v>
      </c>
      <c r="L97" s="44"/>
      <c r="M97" s="44"/>
      <c r="N97" s="44"/>
      <c r="O97" s="44"/>
      <c r="P97" s="44"/>
      <c r="Q97" s="44"/>
      <c r="R97" s="44"/>
      <c r="S97" s="44"/>
      <c r="T97" s="365" t="b" cm="1">
        <f t="array" aca="1" ref="T97" ca="1">T96</f>
        <v>0</v>
      </c>
      <c r="U97" s="44"/>
      <c r="V97" s="44"/>
      <c r="W97" s="44"/>
      <c r="X97" s="1094"/>
      <c r="Z97" s="1065"/>
      <c r="AB97" s="26" t="s">
        <v>2077</v>
      </c>
      <c r="AC97" s="153" t="s">
        <v>2078</v>
      </c>
      <c r="AD97" s="26" t="s">
        <v>804</v>
      </c>
      <c r="AE97" s="190">
        <f ca="1">SUMIFS(Налоги!AE$25:AE$69,Налоги!$F$25:$F$69,$F97,Налоги!$AB$25:$AB$69,$G97)</f>
        <v>0</v>
      </c>
      <c r="AF97" s="190">
        <f ca="1">SUMIFS(Налоги!AF$25:AF$69,Налоги!$F$25:$F$69,$F97,Налоги!$AB$25:$AB$69,$G97)</f>
        <v>0</v>
      </c>
      <c r="AG97" s="190">
        <f ca="1">SUMIFS(Налоги!AG$25:AG$69,Налоги!$F$25:$F$69,$F97,Налоги!$AB$25:$AB$69,$G97)</f>
        <v>0</v>
      </c>
      <c r="AH97" s="190">
        <f t="shared" ca="1" si="10"/>
        <v>0</v>
      </c>
      <c r="AI97" s="190">
        <f ca="1">SUMIFS(Налоги!AH$25:AH$69,Налоги!$F$25:$F$69,$F97,Налоги!$AB$25:$AB$69,$G97)</f>
        <v>0</v>
      </c>
      <c r="AJ97" s="190">
        <f ca="1">SUMIFS(Налоги!AI$25:AI$69,Налоги!$F$25:$F$69,$F97,Налоги!$AB$25:$AB$69,$G97)</f>
        <v>0</v>
      </c>
      <c r="AK97" s="190">
        <f ca="1">SUMIFS(Налоги!AJ$25:AJ$69,Налоги!$F$25:$F$69,$F97,Налоги!$AB$25:$AB$69,$G97)</f>
        <v>0</v>
      </c>
      <c r="AL97" s="190">
        <f ca="1">SUMIFS(Налоги!AK$25:AK$69,Налоги!$F$25:$F$69,$F97,Налоги!$AB$25:$AB$69,$G97)</f>
        <v>0</v>
      </c>
      <c r="AM97" s="190">
        <f ca="1">SUMIFS(Налоги!AL$25:AL$69,Налоги!$F$25:$F$69,$F97,Налоги!$AB$25:$AB$69,$G97)</f>
        <v>0</v>
      </c>
      <c r="AN97" s="190">
        <f ca="1">SUMIFS(Налоги!AM$25:AM$69,Налоги!$F$25:$F$69,$F97,Налоги!$AB$25:$AB$69,$G97)</f>
        <v>0</v>
      </c>
      <c r="AO97" s="190">
        <f ca="1">SUMIFS(Налоги!AN$25:AN$69,Налоги!$F$25:$F$69,$F97,Налоги!$AB$25:$AB$69,$G97)</f>
        <v>0</v>
      </c>
      <c r="AP97" s="190">
        <f ca="1">SUMIFS(Налоги!AO$25:AO$69,Налоги!$F$25:$F$69,$F97,Налоги!$AB$25:$AB$69,$G97)</f>
        <v>0</v>
      </c>
      <c r="AQ97" s="190">
        <f ca="1">SUMIFS(Налоги!AP$25:AP$69,Налоги!$F$25:$F$69,$F97,Налоги!$AB$25:$AB$69,$G97)</f>
        <v>0</v>
      </c>
      <c r="AR97" s="190">
        <f ca="1">SUMIFS(Налоги!AQ$25:AQ$69,Налоги!$F$25:$F$69,$F97,Налоги!$AB$25:$AB$69,$G97)</f>
        <v>0</v>
      </c>
      <c r="AS97" s="190">
        <f ca="1">SUMIFS(Налоги!AR$25:AR$69,Налоги!$F$25:$F$69,$F97,Налоги!$AB$25:$AB$69,$G97)</f>
        <v>0</v>
      </c>
      <c r="AT97" s="190">
        <f ca="1">SUMIFS(Налоги!AS$25:AS$69,Налоги!$F$25:$F$69,$F97,Налоги!$AB$25:$AB$69,$G97)</f>
        <v>0</v>
      </c>
      <c r="AU97" s="190">
        <f ca="1">SUMIFS(Налоги!AT$25:AT$69,Налоги!$F$25:$F$69,$F97,Налоги!$AB$25:$AB$69,$G97)</f>
        <v>0</v>
      </c>
      <c r="AV97" s="190">
        <f ca="1">SUMIFS(Налоги!AU$25:AU$69,Налоги!$F$25:$F$69,$F97,Налоги!$AB$25:$AB$69,$G97)</f>
        <v>0</v>
      </c>
      <c r="AW97" s="190">
        <f ca="1">SUMIFS(Налоги!AV$25:AV$69,Налоги!$F$25:$F$69,$F97,Налоги!$AB$25:$AB$69,$G97)</f>
        <v>0</v>
      </c>
      <c r="AX97" s="190">
        <f ca="1">SUMIFS(Налоги!AW$25:AW$69,Налоги!$F$25:$F$69,$F97,Налоги!$AB$25:$AB$69,$G97)</f>
        <v>0</v>
      </c>
      <c r="AY97" s="190">
        <f ca="1">SUMIFS(Налоги!AX$25:AX$69,Налоги!$F$25:$F$69,$F97,Налоги!$AB$25:$AB$69,$G97)</f>
        <v>0</v>
      </c>
      <c r="AZ97" s="190">
        <f ca="1">SUMIFS(Налоги!AY$25:AY$69,Налоги!$F$25:$F$69,$F97,Налоги!$AB$25:$AB$69,$G97)</f>
        <v>0</v>
      </c>
      <c r="BA97" s="190">
        <f ca="1">SUMIFS(Налоги!AZ$25:AZ$69,Налоги!$F$25:$F$69,$F97,Налоги!$AB$25:$AB$69,$G97)</f>
        <v>0</v>
      </c>
      <c r="BB97" s="190">
        <f ca="1">SUMIFS(Налоги!BA$25:BA$69,Налоги!$F$25:$F$69,$F97,Налоги!$AB$25:$AB$69,$G97)</f>
        <v>0</v>
      </c>
      <c r="BC97" s="190">
        <f ca="1">SUMIFS(Налоги!BB$25:BB$69,Налоги!$F$25:$F$69,$F97,Налоги!$AB$25:$AB$69,$G97)</f>
        <v>0</v>
      </c>
      <c r="BD97" s="190">
        <f t="shared" ca="1" si="12"/>
        <v>0</v>
      </c>
      <c r="BE97" s="190">
        <f t="shared" ca="1" si="13"/>
        <v>0</v>
      </c>
      <c r="BF97" s="190">
        <f t="shared" ca="1" si="14"/>
        <v>0</v>
      </c>
      <c r="BG97" s="190">
        <f t="shared" ca="1" si="15"/>
        <v>0</v>
      </c>
      <c r="BH97" s="190">
        <f t="shared" ca="1" si="16"/>
        <v>0</v>
      </c>
      <c r="BI97" s="190">
        <f t="shared" ca="1" si="17"/>
        <v>0</v>
      </c>
      <c r="BJ97" s="190">
        <f t="shared" ca="1" si="18"/>
        <v>0</v>
      </c>
      <c r="BK97" s="190">
        <f t="shared" ca="1" si="19"/>
        <v>0</v>
      </c>
      <c r="BL97" s="190">
        <f t="shared" ca="1" si="20"/>
        <v>0</v>
      </c>
      <c r="BM97" s="190">
        <f t="shared" ca="1" si="21"/>
        <v>0</v>
      </c>
      <c r="BN97" s="784"/>
      <c r="BO97" s="788" t="str">
        <f ca="1">IF(IFERROR(INDEX(Налоги!$K$26:$L$69,MATCH($F97&amp;"5komm",Налоги!$K$26:$K$69,0),2),"")=0,"",IFERROR(INDEX(Налоги!$K$26:$L$69,MATCH($F97&amp;"5komm",Налоги!$K$26:$K$69,0),2),""))</f>
        <v/>
      </c>
      <c r="BP97" s="784"/>
      <c r="BS97" s="705" t="s">
        <v>2079</v>
      </c>
    </row>
    <row r="98" spans="2:75" ht="14.65" hidden="1" customHeight="1">
      <c r="C98" s="44"/>
      <c r="D98" s="44"/>
      <c r="E98" s="462">
        <v>15</v>
      </c>
      <c r="F98" s="3" cm="1">
        <f t="array" aca="1" ref="F98" ca="1">OFFSET(E98,-1,1)</f>
        <v>0</v>
      </c>
      <c r="G98" s="620">
        <v>1</v>
      </c>
      <c r="H98" s="44"/>
      <c r="I98" s="44" t="s">
        <v>2080</v>
      </c>
      <c r="J98" s="44"/>
      <c r="K98" s="44" t="s">
        <v>2080</v>
      </c>
      <c r="L98" s="44"/>
      <c r="M98" s="44"/>
      <c r="N98" s="44"/>
      <c r="O98" s="44"/>
      <c r="P98" s="44"/>
      <c r="Q98" s="44"/>
      <c r="R98" s="44"/>
      <c r="S98" s="44"/>
      <c r="T98" s="365" t="b" cm="1">
        <f t="array" aca="1" ref="T98" ca="1">T97</f>
        <v>0</v>
      </c>
      <c r="U98" s="44"/>
      <c r="V98" s="44"/>
      <c r="W98" s="44"/>
      <c r="X98" s="1094"/>
      <c r="Z98" s="1065"/>
      <c r="AB98" s="26" t="s">
        <v>2081</v>
      </c>
      <c r="AC98" s="153" t="s">
        <v>2082</v>
      </c>
      <c r="AD98" s="26" t="s">
        <v>804</v>
      </c>
      <c r="AE98" s="190">
        <f ca="1">SUMIFS(Налоги!AE$25:AE$69,Налоги!$F$25:$F$69,$F98,Налоги!$AB$25:$AB$69,$G98)</f>
        <v>0</v>
      </c>
      <c r="AF98" s="190">
        <f ca="1">SUMIFS(Налоги!AF$25:AF$69,Налоги!$F$25:$F$69,$F98,Налоги!$AB$25:$AB$69,$G98)</f>
        <v>0</v>
      </c>
      <c r="AG98" s="190">
        <f ca="1">SUMIFS(Налоги!AG$25:AG$69,Налоги!$F$25:$F$69,$F98,Налоги!$AB$25:$AB$69,$G98)</f>
        <v>0</v>
      </c>
      <c r="AH98" s="190">
        <f t="shared" ca="1" si="10"/>
        <v>0</v>
      </c>
      <c r="AI98" s="190">
        <f ca="1">SUMIFS(Налоги!AH$25:AH$69,Налоги!$F$25:$F$69,$F98,Налоги!$AB$25:$AB$69,$G98)</f>
        <v>0</v>
      </c>
      <c r="AJ98" s="190">
        <f ca="1">SUMIFS(Налоги!AI$25:AI$69,Налоги!$F$25:$F$69,$F98,Налоги!$AB$25:$AB$69,$G98)</f>
        <v>0</v>
      </c>
      <c r="AK98" s="190">
        <f ca="1">SUMIFS(Налоги!AJ$25:AJ$69,Налоги!$F$25:$F$69,$F98,Налоги!$AB$25:$AB$69,$G98)</f>
        <v>0</v>
      </c>
      <c r="AL98" s="190">
        <f ca="1">SUMIFS(Налоги!AK$25:AK$69,Налоги!$F$25:$F$69,$F98,Налоги!$AB$25:$AB$69,$G98)</f>
        <v>0</v>
      </c>
      <c r="AM98" s="190">
        <f ca="1">SUMIFS(Налоги!AL$25:AL$69,Налоги!$F$25:$F$69,$F98,Налоги!$AB$25:$AB$69,$G98)</f>
        <v>0</v>
      </c>
      <c r="AN98" s="190">
        <f ca="1">SUMIFS(Налоги!AM$25:AM$69,Налоги!$F$25:$F$69,$F98,Налоги!$AB$25:$AB$69,$G98)</f>
        <v>0</v>
      </c>
      <c r="AO98" s="190">
        <f ca="1">SUMIFS(Налоги!AN$25:AN$69,Налоги!$F$25:$F$69,$F98,Налоги!$AB$25:$AB$69,$G98)</f>
        <v>0</v>
      </c>
      <c r="AP98" s="190">
        <f ca="1">SUMIFS(Налоги!AO$25:AO$69,Налоги!$F$25:$F$69,$F98,Налоги!$AB$25:$AB$69,$G98)</f>
        <v>0</v>
      </c>
      <c r="AQ98" s="190">
        <f ca="1">SUMIFS(Налоги!AP$25:AP$69,Налоги!$F$25:$F$69,$F98,Налоги!$AB$25:$AB$69,$G98)</f>
        <v>0</v>
      </c>
      <c r="AR98" s="190">
        <f ca="1">SUMIFS(Налоги!AQ$25:AQ$69,Налоги!$F$25:$F$69,$F98,Налоги!$AB$25:$AB$69,$G98)</f>
        <v>0</v>
      </c>
      <c r="AS98" s="190">
        <f ca="1">SUMIFS(Налоги!AR$25:AR$69,Налоги!$F$25:$F$69,$F98,Налоги!$AB$25:$AB$69,$G98)</f>
        <v>0</v>
      </c>
      <c r="AT98" s="190">
        <f ca="1">SUMIFS(Налоги!AS$25:AS$69,Налоги!$F$25:$F$69,$F98,Налоги!$AB$25:$AB$69,$G98)</f>
        <v>0</v>
      </c>
      <c r="AU98" s="190">
        <f ca="1">SUMIFS(Налоги!AT$25:AT$69,Налоги!$F$25:$F$69,$F98,Налоги!$AB$25:$AB$69,$G98)</f>
        <v>0</v>
      </c>
      <c r="AV98" s="190">
        <f ca="1">SUMIFS(Налоги!AU$25:AU$69,Налоги!$F$25:$F$69,$F98,Налоги!$AB$25:$AB$69,$G98)</f>
        <v>0</v>
      </c>
      <c r="AW98" s="190">
        <f ca="1">SUMIFS(Налоги!AV$25:AV$69,Налоги!$F$25:$F$69,$F98,Налоги!$AB$25:$AB$69,$G98)</f>
        <v>0</v>
      </c>
      <c r="AX98" s="190">
        <f ca="1">SUMIFS(Налоги!AW$25:AW$69,Налоги!$F$25:$F$69,$F98,Налоги!$AB$25:$AB$69,$G98)</f>
        <v>0</v>
      </c>
      <c r="AY98" s="190">
        <f ca="1">SUMIFS(Налоги!AX$25:AX$69,Налоги!$F$25:$F$69,$F98,Налоги!$AB$25:$AB$69,$G98)</f>
        <v>0</v>
      </c>
      <c r="AZ98" s="190">
        <f ca="1">SUMIFS(Налоги!AY$25:AY$69,Налоги!$F$25:$F$69,$F98,Налоги!$AB$25:$AB$69,$G98)</f>
        <v>0</v>
      </c>
      <c r="BA98" s="190">
        <f ca="1">SUMIFS(Налоги!AZ$25:AZ$69,Налоги!$F$25:$F$69,$F98,Налоги!$AB$25:$AB$69,$G98)</f>
        <v>0</v>
      </c>
      <c r="BB98" s="190">
        <f ca="1">SUMIFS(Налоги!BA$25:BA$69,Налоги!$F$25:$F$69,$F98,Налоги!$AB$25:$AB$69,$G98)</f>
        <v>0</v>
      </c>
      <c r="BC98" s="190">
        <f ca="1">SUMIFS(Налоги!BB$25:BB$69,Налоги!$F$25:$F$69,$F98,Налоги!$AB$25:$AB$69,$G98)</f>
        <v>0</v>
      </c>
      <c r="BD98" s="190">
        <f t="shared" ca="1" si="12"/>
        <v>0</v>
      </c>
      <c r="BE98" s="190">
        <f t="shared" ca="1" si="13"/>
        <v>0</v>
      </c>
      <c r="BF98" s="190">
        <f t="shared" ca="1" si="14"/>
        <v>0</v>
      </c>
      <c r="BG98" s="190">
        <f t="shared" ca="1" si="15"/>
        <v>0</v>
      </c>
      <c r="BH98" s="190">
        <f t="shared" ca="1" si="16"/>
        <v>0</v>
      </c>
      <c r="BI98" s="190">
        <f t="shared" ca="1" si="17"/>
        <v>0</v>
      </c>
      <c r="BJ98" s="190">
        <f t="shared" ca="1" si="18"/>
        <v>0</v>
      </c>
      <c r="BK98" s="190">
        <f t="shared" ca="1" si="19"/>
        <v>0</v>
      </c>
      <c r="BL98" s="190">
        <f t="shared" ca="1" si="20"/>
        <v>0</v>
      </c>
      <c r="BM98" s="190">
        <f t="shared" ca="1" si="21"/>
        <v>0</v>
      </c>
      <c r="BN98" s="784"/>
      <c r="BO98" s="788" t="str">
        <f ca="1">IF(IFERROR(INDEX(Налоги!$K$26:$L$69,MATCH($F98&amp;"1komm",Налоги!$K$26:$K$69,0),2),"")=0,"",IFERROR(INDEX(Налоги!$K$26:$L$69,MATCH($F98&amp;"1komm",Налоги!$K$26:$K$69,0),2),""))</f>
        <v/>
      </c>
      <c r="BP98" s="784"/>
      <c r="BS98" s="705" t="s">
        <v>2083</v>
      </c>
    </row>
    <row r="99" spans="2:75" ht="14.65" hidden="1" customHeight="1">
      <c r="C99" s="44"/>
      <c r="D99" s="44"/>
      <c r="E99" s="462">
        <v>15</v>
      </c>
      <c r="F99" s="3" cm="1">
        <f t="array" aca="1" ref="F99" ca="1">OFFSET(E99,-1,1)</f>
        <v>0</v>
      </c>
      <c r="G99" s="620">
        <v>3</v>
      </c>
      <c r="H99" s="44"/>
      <c r="I99" s="44" t="s">
        <v>2084</v>
      </c>
      <c r="J99" s="44"/>
      <c r="K99" s="44" t="s">
        <v>2084</v>
      </c>
      <c r="L99" s="44"/>
      <c r="M99" s="44"/>
      <c r="N99" s="44"/>
      <c r="O99" s="44"/>
      <c r="P99" s="44"/>
      <c r="Q99" s="44"/>
      <c r="R99" s="44"/>
      <c r="S99" s="44"/>
      <c r="T99" s="365" t="b" cm="1">
        <f t="array" aca="1" ref="T99" ca="1">T98</f>
        <v>0</v>
      </c>
      <c r="U99" s="44"/>
      <c r="V99" s="44"/>
      <c r="W99" s="44"/>
      <c r="X99" s="1094"/>
      <c r="Z99" s="1065"/>
      <c r="AB99" s="26" t="s">
        <v>2085</v>
      </c>
      <c r="AC99" s="153" t="s">
        <v>2086</v>
      </c>
      <c r="AD99" s="26" t="s">
        <v>804</v>
      </c>
      <c r="AE99" s="190">
        <f ca="1">SUMIFS(Налоги!AE$25:AE$69,Налоги!$F$25:$F$69,$F99,Налоги!$AB$25:$AB$69,$G99)</f>
        <v>0</v>
      </c>
      <c r="AF99" s="190">
        <f ca="1">SUMIFS(Налоги!AF$25:AF$69,Налоги!$F$25:$F$69,$F99,Налоги!$AB$25:$AB$69,$G99)</f>
        <v>0</v>
      </c>
      <c r="AG99" s="190">
        <f ca="1">SUMIFS(Налоги!AG$25:AG$69,Налоги!$F$25:$F$69,$F99,Налоги!$AB$25:$AB$69,$G99)</f>
        <v>0</v>
      </c>
      <c r="AH99" s="190">
        <f t="shared" ca="1" si="10"/>
        <v>0</v>
      </c>
      <c r="AI99" s="190">
        <f ca="1">SUMIFS(Налоги!AH$25:AH$69,Налоги!$F$25:$F$69,$F99,Налоги!$AB$25:$AB$69,$G99)</f>
        <v>0</v>
      </c>
      <c r="AJ99" s="190">
        <f ca="1">SUMIFS(Налоги!AI$25:AI$69,Налоги!$F$25:$F$69,$F99,Налоги!$AB$25:$AB$69,$G99)</f>
        <v>0</v>
      </c>
      <c r="AK99" s="190">
        <f ca="1">SUMIFS(Налоги!AJ$25:AJ$69,Налоги!$F$25:$F$69,$F99,Налоги!$AB$25:$AB$69,$G99)</f>
        <v>0</v>
      </c>
      <c r="AL99" s="190">
        <f ca="1">SUMIFS(Налоги!AK$25:AK$69,Налоги!$F$25:$F$69,$F99,Налоги!$AB$25:$AB$69,$G99)</f>
        <v>0</v>
      </c>
      <c r="AM99" s="190">
        <f ca="1">SUMIFS(Налоги!AL$25:AL$69,Налоги!$F$25:$F$69,$F99,Налоги!$AB$25:$AB$69,$G99)</f>
        <v>0</v>
      </c>
      <c r="AN99" s="190">
        <f ca="1">SUMIFS(Налоги!AM$25:AM$69,Налоги!$F$25:$F$69,$F99,Налоги!$AB$25:$AB$69,$G99)</f>
        <v>0</v>
      </c>
      <c r="AO99" s="190">
        <f ca="1">SUMIFS(Налоги!AN$25:AN$69,Налоги!$F$25:$F$69,$F99,Налоги!$AB$25:$AB$69,$G99)</f>
        <v>0</v>
      </c>
      <c r="AP99" s="190">
        <f ca="1">SUMIFS(Налоги!AO$25:AO$69,Налоги!$F$25:$F$69,$F99,Налоги!$AB$25:$AB$69,$G99)</f>
        <v>0</v>
      </c>
      <c r="AQ99" s="190">
        <f ca="1">SUMIFS(Налоги!AP$25:AP$69,Налоги!$F$25:$F$69,$F99,Налоги!$AB$25:$AB$69,$G99)</f>
        <v>0</v>
      </c>
      <c r="AR99" s="190">
        <f ca="1">SUMIFS(Налоги!AQ$25:AQ$69,Налоги!$F$25:$F$69,$F99,Налоги!$AB$25:$AB$69,$G99)</f>
        <v>0</v>
      </c>
      <c r="AS99" s="190">
        <f ca="1">SUMIFS(Налоги!AR$25:AR$69,Налоги!$F$25:$F$69,$F99,Налоги!$AB$25:$AB$69,$G99)</f>
        <v>0</v>
      </c>
      <c r="AT99" s="190">
        <f ca="1">SUMIFS(Налоги!AS$25:AS$69,Налоги!$F$25:$F$69,$F99,Налоги!$AB$25:$AB$69,$G99)</f>
        <v>0</v>
      </c>
      <c r="AU99" s="190">
        <f ca="1">SUMIFS(Налоги!AT$25:AT$69,Налоги!$F$25:$F$69,$F99,Налоги!$AB$25:$AB$69,$G99)</f>
        <v>0</v>
      </c>
      <c r="AV99" s="190">
        <f ca="1">SUMIFS(Налоги!AU$25:AU$69,Налоги!$F$25:$F$69,$F99,Налоги!$AB$25:$AB$69,$G99)</f>
        <v>0</v>
      </c>
      <c r="AW99" s="190">
        <f ca="1">SUMIFS(Налоги!AV$25:AV$69,Налоги!$F$25:$F$69,$F99,Налоги!$AB$25:$AB$69,$G99)</f>
        <v>0</v>
      </c>
      <c r="AX99" s="190">
        <f ca="1">SUMIFS(Налоги!AW$25:AW$69,Налоги!$F$25:$F$69,$F99,Налоги!$AB$25:$AB$69,$G99)</f>
        <v>0</v>
      </c>
      <c r="AY99" s="190">
        <f ca="1">SUMIFS(Налоги!AX$25:AX$69,Налоги!$F$25:$F$69,$F99,Налоги!$AB$25:$AB$69,$G99)</f>
        <v>0</v>
      </c>
      <c r="AZ99" s="190">
        <f ca="1">SUMIFS(Налоги!AY$25:AY$69,Налоги!$F$25:$F$69,$F99,Налоги!$AB$25:$AB$69,$G99)</f>
        <v>0</v>
      </c>
      <c r="BA99" s="190">
        <f ca="1">SUMIFS(Налоги!AZ$25:AZ$69,Налоги!$F$25:$F$69,$F99,Налоги!$AB$25:$AB$69,$G99)</f>
        <v>0</v>
      </c>
      <c r="BB99" s="190">
        <f ca="1">SUMIFS(Налоги!BA$25:BA$69,Налоги!$F$25:$F$69,$F99,Налоги!$AB$25:$AB$69,$G99)</f>
        <v>0</v>
      </c>
      <c r="BC99" s="190">
        <f ca="1">SUMIFS(Налоги!BB$25:BB$69,Налоги!$F$25:$F$69,$F99,Налоги!$AB$25:$AB$69,$G99)</f>
        <v>0</v>
      </c>
      <c r="BD99" s="190">
        <f t="shared" ca="1" si="12"/>
        <v>0</v>
      </c>
      <c r="BE99" s="190">
        <f t="shared" ca="1" si="13"/>
        <v>0</v>
      </c>
      <c r="BF99" s="190">
        <f t="shared" ca="1" si="14"/>
        <v>0</v>
      </c>
      <c r="BG99" s="190">
        <f t="shared" ca="1" si="15"/>
        <v>0</v>
      </c>
      <c r="BH99" s="190">
        <f t="shared" ca="1" si="16"/>
        <v>0</v>
      </c>
      <c r="BI99" s="190">
        <f t="shared" ca="1" si="17"/>
        <v>0</v>
      </c>
      <c r="BJ99" s="190">
        <f t="shared" ca="1" si="18"/>
        <v>0</v>
      </c>
      <c r="BK99" s="190">
        <f t="shared" ca="1" si="19"/>
        <v>0</v>
      </c>
      <c r="BL99" s="190">
        <f t="shared" ca="1" si="20"/>
        <v>0</v>
      </c>
      <c r="BM99" s="190">
        <f t="shared" ca="1" si="21"/>
        <v>0</v>
      </c>
      <c r="BN99" s="784"/>
      <c r="BO99" s="788" t="str">
        <f ca="1">IF(IFERROR(INDEX(Налоги!$K$26:$L$69,MATCH($F99&amp;"5komm",Налоги!$K$26:$K$69,0),2),"")=0,"",IFERROR(INDEX(Налоги!$K$26:$L$69,MATCH($F99&amp;"5komm",Налоги!$K$26:$K$69,0),2),""))</f>
        <v/>
      </c>
      <c r="BP99" s="784"/>
      <c r="BS99" s="705" t="s">
        <v>2087</v>
      </c>
    </row>
    <row r="100" spans="2:75" ht="14.65" hidden="1" customHeight="1">
      <c r="C100" s="44"/>
      <c r="D100" s="44"/>
      <c r="E100" s="462">
        <v>15</v>
      </c>
      <c r="F100" s="3" cm="1">
        <f t="array" aca="1" ref="F100" ca="1">OFFSET(E100,-1,1)</f>
        <v>0</v>
      </c>
      <c r="G100" s="620">
        <v>8</v>
      </c>
      <c r="H100" s="44"/>
      <c r="I100" s="44" t="s">
        <v>2088</v>
      </c>
      <c r="J100" s="44"/>
      <c r="K100" s="44" t="s">
        <v>2088</v>
      </c>
      <c r="L100" s="44"/>
      <c r="M100" s="44"/>
      <c r="N100" s="44"/>
      <c r="O100" s="44"/>
      <c r="P100" s="44"/>
      <c r="Q100" s="44"/>
      <c r="R100" s="44"/>
      <c r="S100" s="44"/>
      <c r="T100" s="365" t="b" cm="1">
        <f t="array" aca="1" ref="T100" ca="1">T99</f>
        <v>0</v>
      </c>
      <c r="U100" s="44"/>
      <c r="V100" s="44"/>
      <c r="W100" s="44"/>
      <c r="X100" s="1094"/>
      <c r="Z100" s="1065"/>
      <c r="AB100" s="26" t="s">
        <v>2089</v>
      </c>
      <c r="AC100" s="153" t="s">
        <v>2090</v>
      </c>
      <c r="AD100" s="26" t="s">
        <v>804</v>
      </c>
      <c r="AE100" s="190">
        <f ca="1">SUMIFS(Налоги!AE$25:AE$69,Налоги!$F$25:$F$69,$F100,Налоги!$AB$25:$AB$69,$G100)</f>
        <v>0</v>
      </c>
      <c r="AF100" s="190">
        <f ca="1">SUMIFS(Налоги!AF$25:AF$69,Налоги!$F$25:$F$69,$F100,Налоги!$AB$25:$AB$69,$G100)</f>
        <v>0</v>
      </c>
      <c r="AG100" s="190">
        <f ca="1">SUMIFS(Налоги!AG$25:AG$69,Налоги!$F$25:$F$69,$F100,Налоги!$AB$25:$AB$69,$G100)</f>
        <v>0</v>
      </c>
      <c r="AH100" s="190">
        <f t="shared" ca="1" si="10"/>
        <v>0</v>
      </c>
      <c r="AI100" s="190">
        <f ca="1">SUMIFS(Налоги!AH$25:AH$69,Налоги!$F$25:$F$69,$F100,Налоги!$AB$25:$AB$69,$G100)</f>
        <v>0</v>
      </c>
      <c r="AJ100" s="190">
        <f ca="1">SUMIFS(Налоги!AI$25:AI$69,Налоги!$F$25:$F$69,$F100,Налоги!$AB$25:$AB$69,$G100)</f>
        <v>0</v>
      </c>
      <c r="AK100" s="190">
        <f ca="1">SUMIFS(Налоги!AJ$25:AJ$69,Налоги!$F$25:$F$69,$F100,Налоги!$AB$25:$AB$69,$G100)</f>
        <v>0</v>
      </c>
      <c r="AL100" s="190">
        <f ca="1">SUMIFS(Налоги!AK$25:AK$69,Налоги!$F$25:$F$69,$F100,Налоги!$AB$25:$AB$69,$G100)</f>
        <v>0</v>
      </c>
      <c r="AM100" s="190">
        <f ca="1">SUMIFS(Налоги!AL$25:AL$69,Налоги!$F$25:$F$69,$F100,Налоги!$AB$25:$AB$69,$G100)</f>
        <v>0</v>
      </c>
      <c r="AN100" s="190">
        <f ca="1">SUMIFS(Налоги!AM$25:AM$69,Налоги!$F$25:$F$69,$F100,Налоги!$AB$25:$AB$69,$G100)</f>
        <v>0</v>
      </c>
      <c r="AO100" s="190">
        <f ca="1">SUMIFS(Налоги!AN$25:AN$69,Налоги!$F$25:$F$69,$F100,Налоги!$AB$25:$AB$69,$G100)</f>
        <v>0</v>
      </c>
      <c r="AP100" s="190">
        <f ca="1">SUMIFS(Налоги!AO$25:AO$69,Налоги!$F$25:$F$69,$F100,Налоги!$AB$25:$AB$69,$G100)</f>
        <v>0</v>
      </c>
      <c r="AQ100" s="190">
        <f ca="1">SUMIFS(Налоги!AP$25:AP$69,Налоги!$F$25:$F$69,$F100,Налоги!$AB$25:$AB$69,$G100)</f>
        <v>0</v>
      </c>
      <c r="AR100" s="190">
        <f ca="1">SUMIFS(Налоги!AQ$25:AQ$69,Налоги!$F$25:$F$69,$F100,Налоги!$AB$25:$AB$69,$G100)</f>
        <v>0</v>
      </c>
      <c r="AS100" s="190">
        <f ca="1">SUMIFS(Налоги!AR$25:AR$69,Налоги!$F$25:$F$69,$F100,Налоги!$AB$25:$AB$69,$G100)</f>
        <v>0</v>
      </c>
      <c r="AT100" s="190">
        <f ca="1">SUMIFS(Налоги!AS$25:AS$69,Налоги!$F$25:$F$69,$F100,Налоги!$AB$25:$AB$69,$G100)</f>
        <v>0</v>
      </c>
      <c r="AU100" s="190">
        <f ca="1">SUMIFS(Налоги!AT$25:AT$69,Налоги!$F$25:$F$69,$F100,Налоги!$AB$25:$AB$69,$G100)</f>
        <v>0</v>
      </c>
      <c r="AV100" s="190">
        <f ca="1">SUMIFS(Налоги!AU$25:AU$69,Налоги!$F$25:$F$69,$F100,Налоги!$AB$25:$AB$69,$G100)</f>
        <v>0</v>
      </c>
      <c r="AW100" s="190">
        <f ca="1">SUMIFS(Налоги!AV$25:AV$69,Налоги!$F$25:$F$69,$F100,Налоги!$AB$25:$AB$69,$G100)</f>
        <v>0</v>
      </c>
      <c r="AX100" s="190">
        <f ca="1">SUMIFS(Налоги!AW$25:AW$69,Налоги!$F$25:$F$69,$F100,Налоги!$AB$25:$AB$69,$G100)</f>
        <v>0</v>
      </c>
      <c r="AY100" s="190">
        <f ca="1">SUMIFS(Налоги!AX$25:AX$69,Налоги!$F$25:$F$69,$F100,Налоги!$AB$25:$AB$69,$G100)</f>
        <v>0</v>
      </c>
      <c r="AZ100" s="190">
        <f ca="1">SUMIFS(Налоги!AY$25:AY$69,Налоги!$F$25:$F$69,$F100,Налоги!$AB$25:$AB$69,$G100)</f>
        <v>0</v>
      </c>
      <c r="BA100" s="190">
        <f ca="1">SUMIFS(Налоги!AZ$25:AZ$69,Налоги!$F$25:$F$69,$F100,Налоги!$AB$25:$AB$69,$G100)</f>
        <v>0</v>
      </c>
      <c r="BB100" s="190">
        <f ca="1">SUMIFS(Налоги!BA$25:BA$69,Налоги!$F$25:$F$69,$F100,Налоги!$AB$25:$AB$69,$G100)</f>
        <v>0</v>
      </c>
      <c r="BC100" s="190">
        <f ca="1">SUMIFS(Налоги!BB$25:BB$69,Налоги!$F$25:$F$69,$F100,Налоги!$AB$25:$AB$69,$G100)</f>
        <v>0</v>
      </c>
      <c r="BD100" s="190">
        <f t="shared" ca="1" si="12"/>
        <v>0</v>
      </c>
      <c r="BE100" s="190">
        <f t="shared" ca="1" si="13"/>
        <v>0</v>
      </c>
      <c r="BF100" s="190">
        <f t="shared" ca="1" si="14"/>
        <v>0</v>
      </c>
      <c r="BG100" s="190">
        <f t="shared" ca="1" si="15"/>
        <v>0</v>
      </c>
      <c r="BH100" s="190">
        <f t="shared" ca="1" si="16"/>
        <v>0</v>
      </c>
      <c r="BI100" s="190">
        <f t="shared" ca="1" si="17"/>
        <v>0</v>
      </c>
      <c r="BJ100" s="190">
        <f t="shared" ca="1" si="18"/>
        <v>0</v>
      </c>
      <c r="BK100" s="190">
        <f t="shared" ca="1" si="19"/>
        <v>0</v>
      </c>
      <c r="BL100" s="190">
        <f t="shared" ca="1" si="20"/>
        <v>0</v>
      </c>
      <c r="BM100" s="190">
        <f t="shared" ca="1" si="21"/>
        <v>0</v>
      </c>
      <c r="BN100" s="784"/>
      <c r="BO100" s="788" t="str">
        <f ca="1">IF(IFERROR(INDEX(Налоги!$K$26:$L$69,MATCH($F100&amp;"8komm",Налоги!$K$26:$K$69,0),2),"")=0,"",IFERROR(INDEX(Налоги!$K$26:$L$69,MATCH($F100&amp;"8komm",Налоги!$K$26:$K$69,0),2),""))</f>
        <v/>
      </c>
      <c r="BP100" s="784"/>
      <c r="BS100" s="705" t="s">
        <v>1288</v>
      </c>
    </row>
    <row r="101" spans="2:75" s="388" customFormat="1" ht="14.65" hidden="1" customHeight="1">
      <c r="B101" s="548"/>
      <c r="C101" s="44"/>
      <c r="D101" s="44"/>
      <c r="E101" s="462">
        <v>15</v>
      </c>
      <c r="F101" s="3" cm="1">
        <f t="array" aca="1" ref="F101" ca="1">OFFSET(E101,-1,1)</f>
        <v>0</v>
      </c>
      <c r="G101" s="620">
        <v>9</v>
      </c>
      <c r="H101" s="44"/>
      <c r="I101" s="44"/>
      <c r="J101" s="44"/>
      <c r="K101" s="44"/>
      <c r="L101" s="44"/>
      <c r="M101" s="44"/>
      <c r="N101" s="44"/>
      <c r="O101" s="44"/>
      <c r="P101" s="44"/>
      <c r="Q101" s="44"/>
      <c r="R101" s="44"/>
      <c r="S101" s="44"/>
      <c r="T101" s="365" t="b" cm="1">
        <f t="array" aca="1" ref="T101" ca="1">T100</f>
        <v>0</v>
      </c>
      <c r="U101" s="44"/>
      <c r="V101" s="44"/>
      <c r="W101" s="44"/>
      <c r="X101" s="1094"/>
      <c r="Z101" s="1065"/>
      <c r="AB101" s="26" t="s">
        <v>2091</v>
      </c>
      <c r="AC101" s="559" t="s">
        <v>2092</v>
      </c>
      <c r="AD101" s="26" t="s">
        <v>804</v>
      </c>
      <c r="AE101" s="190">
        <f ca="1">SUMIFS(Налоги!AE$25:AE$69,Налоги!$F$25:$F$69,$F101,Налоги!$AB$25:$AB$69,$G101)</f>
        <v>0</v>
      </c>
      <c r="AF101" s="190">
        <f ca="1">SUMIFS(Налоги!AF$25:AF$69,Налоги!$F$25:$F$69,$F101,Налоги!$AB$25:$AB$69,$G101)</f>
        <v>0</v>
      </c>
      <c r="AG101" s="190">
        <f ca="1">SUMIFS(Налоги!AG$25:AG$69,Налоги!$F$25:$F$69,$F101,Налоги!$AB$25:$AB$69,$G101)</f>
        <v>0</v>
      </c>
      <c r="AH101" s="190">
        <f t="shared" ca="1" si="10"/>
        <v>0</v>
      </c>
      <c r="AI101" s="190">
        <f ca="1">SUMIFS(Налоги!AH$25:AH$69,Налоги!$F$25:$F$69,$F101,Налоги!$AB$25:$AB$69,$G101)</f>
        <v>0</v>
      </c>
      <c r="AJ101" s="190">
        <f ca="1">SUMIFS(Налоги!AI$25:AI$69,Налоги!$F$25:$F$69,$F101,Налоги!$AB$25:$AB$69,$G101)</f>
        <v>0</v>
      </c>
      <c r="AK101" s="190">
        <f ca="1">SUMIFS(Налоги!AJ$25:AJ$69,Налоги!$F$25:$F$69,$F101,Налоги!$AB$25:$AB$69,$G101)</f>
        <v>0</v>
      </c>
      <c r="AL101" s="190">
        <f ca="1">SUMIFS(Налоги!AK$25:AK$69,Налоги!$F$25:$F$69,$F101,Налоги!$AB$25:$AB$69,$G101)</f>
        <v>0</v>
      </c>
      <c r="AM101" s="190">
        <f ca="1">SUMIFS(Налоги!AL$25:AL$69,Налоги!$F$25:$F$69,$F101,Налоги!$AB$25:$AB$69,$G101)</f>
        <v>0</v>
      </c>
      <c r="AN101" s="190">
        <f ca="1">SUMIFS(Налоги!AM$25:AM$69,Налоги!$F$25:$F$69,$F101,Налоги!$AB$25:$AB$69,$G101)</f>
        <v>0</v>
      </c>
      <c r="AO101" s="190">
        <f ca="1">SUMIFS(Налоги!AN$25:AN$69,Налоги!$F$25:$F$69,$F101,Налоги!$AB$25:$AB$69,$G101)</f>
        <v>0</v>
      </c>
      <c r="AP101" s="190">
        <f ca="1">SUMIFS(Налоги!AO$25:AO$69,Налоги!$F$25:$F$69,$F101,Налоги!$AB$25:$AB$69,$G101)</f>
        <v>0</v>
      </c>
      <c r="AQ101" s="190">
        <f ca="1">SUMIFS(Налоги!AP$25:AP$69,Налоги!$F$25:$F$69,$F101,Налоги!$AB$25:$AB$69,$G101)</f>
        <v>0</v>
      </c>
      <c r="AR101" s="190">
        <f ca="1">SUMIFS(Налоги!AQ$25:AQ$69,Налоги!$F$25:$F$69,$F101,Налоги!$AB$25:$AB$69,$G101)</f>
        <v>0</v>
      </c>
      <c r="AS101" s="190">
        <f ca="1">SUMIFS(Налоги!AR$25:AR$69,Налоги!$F$25:$F$69,$F101,Налоги!$AB$25:$AB$69,$G101)</f>
        <v>0</v>
      </c>
      <c r="AT101" s="190">
        <f ca="1">SUMIFS(Налоги!AS$25:AS$69,Налоги!$F$25:$F$69,$F101,Налоги!$AB$25:$AB$69,$G101)</f>
        <v>0</v>
      </c>
      <c r="AU101" s="190">
        <f ca="1">SUMIFS(Налоги!AT$25:AT$69,Налоги!$F$25:$F$69,$F101,Налоги!$AB$25:$AB$69,$G101)</f>
        <v>0</v>
      </c>
      <c r="AV101" s="190">
        <f ca="1">SUMIFS(Налоги!AU$25:AU$69,Налоги!$F$25:$F$69,$F101,Налоги!$AB$25:$AB$69,$G101)</f>
        <v>0</v>
      </c>
      <c r="AW101" s="190">
        <f ca="1">SUMIFS(Налоги!AV$25:AV$69,Налоги!$F$25:$F$69,$F101,Налоги!$AB$25:$AB$69,$G101)</f>
        <v>0</v>
      </c>
      <c r="AX101" s="190">
        <f ca="1">SUMIFS(Налоги!AW$25:AW$69,Налоги!$F$25:$F$69,$F101,Налоги!$AB$25:$AB$69,$G101)</f>
        <v>0</v>
      </c>
      <c r="AY101" s="190">
        <f ca="1">SUMIFS(Налоги!AX$25:AX$69,Налоги!$F$25:$F$69,$F101,Налоги!$AB$25:$AB$69,$G101)</f>
        <v>0</v>
      </c>
      <c r="AZ101" s="190">
        <f ca="1">SUMIFS(Налоги!AY$25:AY$69,Налоги!$F$25:$F$69,$F101,Налоги!$AB$25:$AB$69,$G101)</f>
        <v>0</v>
      </c>
      <c r="BA101" s="190">
        <f ca="1">SUMIFS(Налоги!AZ$25:AZ$69,Налоги!$F$25:$F$69,$F101,Налоги!$AB$25:$AB$69,$G101)</f>
        <v>0</v>
      </c>
      <c r="BB101" s="190">
        <f ca="1">SUMIFS(Налоги!BA$25:BA$69,Налоги!$F$25:$F$69,$F101,Налоги!$AB$25:$AB$69,$G101)</f>
        <v>0</v>
      </c>
      <c r="BC101" s="190">
        <f ca="1">SUMIFS(Налоги!BB$25:BB$69,Налоги!$F$25:$F$69,$F101,Налоги!$AB$25:$AB$69,$G101)</f>
        <v>0</v>
      </c>
      <c r="BD101" s="190">
        <f t="shared" ca="1" si="12"/>
        <v>0</v>
      </c>
      <c r="BE101" s="190">
        <f t="shared" ca="1" si="13"/>
        <v>0</v>
      </c>
      <c r="BF101" s="190">
        <f t="shared" ca="1" si="14"/>
        <v>0</v>
      </c>
      <c r="BG101" s="190">
        <f t="shared" ca="1" si="15"/>
        <v>0</v>
      </c>
      <c r="BH101" s="190">
        <f t="shared" ca="1" si="16"/>
        <v>0</v>
      </c>
      <c r="BI101" s="190">
        <f t="shared" ca="1" si="17"/>
        <v>0</v>
      </c>
      <c r="BJ101" s="190">
        <f t="shared" ca="1" si="18"/>
        <v>0</v>
      </c>
      <c r="BK101" s="190">
        <f t="shared" ca="1" si="19"/>
        <v>0</v>
      </c>
      <c r="BL101" s="190">
        <f t="shared" ca="1" si="20"/>
        <v>0</v>
      </c>
      <c r="BM101" s="190">
        <f t="shared" ca="1" si="21"/>
        <v>0</v>
      </c>
      <c r="BN101" s="784"/>
      <c r="BO101" s="788" t="str">
        <f ca="1">IF(IFERROR(INDEX(Налоги!$K$26:$L$69,MATCH($F101&amp;"9komm",Налоги!$K$26:$K$69,0),2),"")=0,"",IFERROR(INDEX(Налоги!$K$26:$L$69,MATCH($F101&amp;"9komm",Налоги!$K$26:$K$69,0),2),""))</f>
        <v/>
      </c>
      <c r="BP101" s="784"/>
      <c r="BS101" s="712" t="s">
        <v>2093</v>
      </c>
      <c r="BT101" s="712"/>
      <c r="BU101" s="712"/>
      <c r="BV101" s="713"/>
      <c r="BW101" s="713"/>
    </row>
    <row r="102" spans="2:75" ht="14.65" hidden="1" customHeight="1">
      <c r="C102" s="44"/>
      <c r="D102" s="44"/>
      <c r="E102" s="462">
        <v>15</v>
      </c>
      <c r="F102" s="3" cm="1">
        <f t="array" aca="1" ref="F102" ca="1">OFFSET(E102,-1,1)</f>
        <v>0</v>
      </c>
      <c r="G102" s="620">
        <v>10</v>
      </c>
      <c r="H102" s="44"/>
      <c r="I102" s="44" t="s">
        <v>2094</v>
      </c>
      <c r="J102" s="44"/>
      <c r="K102" s="44" t="s">
        <v>2094</v>
      </c>
      <c r="L102" s="44"/>
      <c r="M102" s="44"/>
      <c r="N102" s="44"/>
      <c r="O102" s="44"/>
      <c r="P102" s="44"/>
      <c r="Q102" s="44"/>
      <c r="R102" s="44"/>
      <c r="S102" s="44"/>
      <c r="T102" s="365" t="b" cm="1">
        <f t="array" aca="1" ref="T102" ca="1">T101</f>
        <v>0</v>
      </c>
      <c r="U102" s="44"/>
      <c r="V102" s="44"/>
      <c r="W102" s="44"/>
      <c r="X102" s="1094"/>
      <c r="Z102" s="1065"/>
      <c r="AB102" s="26" t="s">
        <v>2095</v>
      </c>
      <c r="AC102" s="559" t="s">
        <v>2096</v>
      </c>
      <c r="AD102" s="26" t="s">
        <v>804</v>
      </c>
      <c r="AE102" s="190">
        <f ca="1">SUMIFS(Налоги!AE$25:AE$69,Налоги!$F$25:$F$69,$F102,Налоги!$AB$25:$AB$69,$G102)</f>
        <v>0</v>
      </c>
      <c r="AF102" s="190">
        <f ca="1">SUMIFS(Налоги!AF$25:AF$69,Налоги!$F$25:$F$69,$F102,Налоги!$AB$25:$AB$69,$G102)</f>
        <v>0</v>
      </c>
      <c r="AG102" s="190">
        <f ca="1">SUMIFS(Налоги!AG$25:AG$69,Налоги!$F$25:$F$69,$F102,Налоги!$AB$25:$AB$69,$G102)</f>
        <v>0</v>
      </c>
      <c r="AH102" s="190">
        <f t="shared" ca="1" si="10"/>
        <v>0</v>
      </c>
      <c r="AI102" s="190">
        <f ca="1">SUMIFS(Налоги!AH$25:AH$69,Налоги!$F$25:$F$69,$F102,Налоги!$AB$25:$AB$69,$G102)</f>
        <v>0</v>
      </c>
      <c r="AJ102" s="190">
        <f ca="1">SUMIFS(Налоги!AI$25:AI$69,Налоги!$F$25:$F$69,$F102,Налоги!$AB$25:$AB$69,$G102)</f>
        <v>0</v>
      </c>
      <c r="AK102" s="190">
        <f ca="1">SUMIFS(Налоги!AJ$25:AJ$69,Налоги!$F$25:$F$69,$F102,Налоги!$AB$25:$AB$69,$G102)</f>
        <v>0</v>
      </c>
      <c r="AL102" s="190">
        <f ca="1">SUMIFS(Налоги!AK$25:AK$69,Налоги!$F$25:$F$69,$F102,Налоги!$AB$25:$AB$69,$G102)</f>
        <v>0</v>
      </c>
      <c r="AM102" s="190">
        <f ca="1">SUMIFS(Налоги!AL$25:AL$69,Налоги!$F$25:$F$69,$F102,Налоги!$AB$25:$AB$69,$G102)</f>
        <v>0</v>
      </c>
      <c r="AN102" s="190">
        <f ca="1">SUMIFS(Налоги!AM$25:AM$69,Налоги!$F$25:$F$69,$F102,Налоги!$AB$25:$AB$69,$G102)</f>
        <v>0</v>
      </c>
      <c r="AO102" s="190">
        <f ca="1">SUMIFS(Налоги!AN$25:AN$69,Налоги!$F$25:$F$69,$F102,Налоги!$AB$25:$AB$69,$G102)</f>
        <v>0</v>
      </c>
      <c r="AP102" s="190">
        <f ca="1">SUMIFS(Налоги!AO$25:AO$69,Налоги!$F$25:$F$69,$F102,Налоги!$AB$25:$AB$69,$G102)</f>
        <v>0</v>
      </c>
      <c r="AQ102" s="190">
        <f ca="1">SUMIFS(Налоги!AP$25:AP$69,Налоги!$F$25:$F$69,$F102,Налоги!$AB$25:$AB$69,$G102)</f>
        <v>0</v>
      </c>
      <c r="AR102" s="190">
        <f ca="1">SUMIFS(Налоги!AQ$25:AQ$69,Налоги!$F$25:$F$69,$F102,Налоги!$AB$25:$AB$69,$G102)</f>
        <v>0</v>
      </c>
      <c r="AS102" s="190">
        <f ca="1">SUMIFS(Налоги!AR$25:AR$69,Налоги!$F$25:$F$69,$F102,Налоги!$AB$25:$AB$69,$G102)</f>
        <v>0</v>
      </c>
      <c r="AT102" s="190">
        <f ca="1">SUMIFS(Налоги!AS$25:AS$69,Налоги!$F$25:$F$69,$F102,Налоги!$AB$25:$AB$69,$G102)</f>
        <v>0</v>
      </c>
      <c r="AU102" s="190">
        <f ca="1">SUMIFS(Налоги!AT$25:AT$69,Налоги!$F$25:$F$69,$F102,Налоги!$AB$25:$AB$69,$G102)</f>
        <v>0</v>
      </c>
      <c r="AV102" s="190">
        <f ca="1">SUMIFS(Налоги!AU$25:AU$69,Налоги!$F$25:$F$69,$F102,Налоги!$AB$25:$AB$69,$G102)</f>
        <v>0</v>
      </c>
      <c r="AW102" s="190">
        <f ca="1">SUMIFS(Налоги!AV$25:AV$69,Налоги!$F$25:$F$69,$F102,Налоги!$AB$25:$AB$69,$G102)</f>
        <v>0</v>
      </c>
      <c r="AX102" s="190">
        <f ca="1">SUMIFS(Налоги!AW$25:AW$69,Налоги!$F$25:$F$69,$F102,Налоги!$AB$25:$AB$69,$G102)</f>
        <v>0</v>
      </c>
      <c r="AY102" s="190">
        <f ca="1">SUMIFS(Налоги!AX$25:AX$69,Налоги!$F$25:$F$69,$F102,Налоги!$AB$25:$AB$69,$G102)</f>
        <v>0</v>
      </c>
      <c r="AZ102" s="190">
        <f ca="1">SUMIFS(Налоги!AY$25:AY$69,Налоги!$F$25:$F$69,$F102,Налоги!$AB$25:$AB$69,$G102)</f>
        <v>0</v>
      </c>
      <c r="BA102" s="190">
        <f ca="1">SUMIFS(Налоги!AZ$25:AZ$69,Налоги!$F$25:$F$69,$F102,Налоги!$AB$25:$AB$69,$G102)</f>
        <v>0</v>
      </c>
      <c r="BB102" s="190">
        <f ca="1">SUMIFS(Налоги!BA$25:BA$69,Налоги!$F$25:$F$69,$F102,Налоги!$AB$25:$AB$69,$G102)</f>
        <v>0</v>
      </c>
      <c r="BC102" s="190">
        <f ca="1">SUMIFS(Налоги!BB$25:BB$69,Налоги!$F$25:$F$69,$F102,Налоги!$AB$25:$AB$69,$G102)</f>
        <v>0</v>
      </c>
      <c r="BD102" s="190">
        <f t="shared" ca="1" si="12"/>
        <v>0</v>
      </c>
      <c r="BE102" s="190">
        <f t="shared" ca="1" si="13"/>
        <v>0</v>
      </c>
      <c r="BF102" s="190">
        <f t="shared" ca="1" si="14"/>
        <v>0</v>
      </c>
      <c r="BG102" s="190">
        <f t="shared" ca="1" si="15"/>
        <v>0</v>
      </c>
      <c r="BH102" s="190">
        <f t="shared" ca="1" si="16"/>
        <v>0</v>
      </c>
      <c r="BI102" s="190">
        <f t="shared" ca="1" si="17"/>
        <v>0</v>
      </c>
      <c r="BJ102" s="190">
        <f t="shared" ca="1" si="18"/>
        <v>0</v>
      </c>
      <c r="BK102" s="190">
        <f t="shared" ca="1" si="19"/>
        <v>0</v>
      </c>
      <c r="BL102" s="190">
        <f t="shared" ca="1" si="20"/>
        <v>0</v>
      </c>
      <c r="BM102" s="190">
        <f t="shared" ca="1" si="21"/>
        <v>0</v>
      </c>
      <c r="BN102" s="784"/>
      <c r="BO102" s="788" t="str">
        <f ca="1">IF(IFERROR(INDEX(Налоги!$K$26:$L$69,MATCH($F102&amp;"10komm",Налоги!$K$26:$K$69,0),2),"")=0,"",IFERROR(INDEX(Налоги!$K$26:$L$69,MATCH($F102&amp;"10komm",Налоги!$K$26:$K$69,0),2),""))</f>
        <v/>
      </c>
      <c r="BP102" s="784"/>
      <c r="BS102" s="705" t="s">
        <v>2097</v>
      </c>
    </row>
    <row r="103" spans="2:75" ht="65.849999999999994" hidden="1" customHeight="1">
      <c r="C103" s="44"/>
      <c r="D103" s="44"/>
      <c r="E103" s="462">
        <v>67.5</v>
      </c>
      <c r="F103" s="3" cm="1">
        <f t="array" aca="1" ref="F103" ca="1">OFFSET(E103,-1,1)</f>
        <v>0</v>
      </c>
      <c r="G103" s="44" t="s">
        <v>1445</v>
      </c>
      <c r="H103" s="44"/>
      <c r="I103" s="44" t="s">
        <v>919</v>
      </c>
      <c r="J103" s="44"/>
      <c r="K103" s="91" t="s">
        <v>919</v>
      </c>
      <c r="L103" s="44"/>
      <c r="M103" s="44"/>
      <c r="N103" s="44"/>
      <c r="O103" s="44"/>
      <c r="P103" s="44"/>
      <c r="Q103" s="44"/>
      <c r="R103" s="44"/>
      <c r="S103" s="44"/>
      <c r="T103" s="365" t="b" cm="1">
        <f t="array" aca="1" ref="T103" ca="1">T102</f>
        <v>0</v>
      </c>
      <c r="U103" s="44"/>
      <c r="V103" s="44"/>
      <c r="W103" s="44"/>
      <c r="X103" s="1094"/>
      <c r="Z103" s="1065"/>
      <c r="AB103" s="26" t="s">
        <v>920</v>
      </c>
      <c r="AC103" s="560" t="s">
        <v>1448</v>
      </c>
      <c r="AD103" s="26" t="s">
        <v>804</v>
      </c>
      <c r="AE103" s="790"/>
      <c r="AF103" s="790"/>
      <c r="AG103" s="790"/>
      <c r="AH103" s="190">
        <f t="shared" si="10"/>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190">
        <f t="shared" si="12"/>
        <v>0</v>
      </c>
      <c r="BE103" s="190">
        <f t="shared" si="13"/>
        <v>0</v>
      </c>
      <c r="BF103" s="190">
        <f t="shared" si="14"/>
        <v>0</v>
      </c>
      <c r="BG103" s="190">
        <f t="shared" si="15"/>
        <v>0</v>
      </c>
      <c r="BH103" s="190">
        <f t="shared" si="16"/>
        <v>0</v>
      </c>
      <c r="BI103" s="190">
        <f t="shared" si="17"/>
        <v>0</v>
      </c>
      <c r="BJ103" s="190">
        <f t="shared" si="18"/>
        <v>0</v>
      </c>
      <c r="BK103" s="190">
        <f t="shared" si="19"/>
        <v>0</v>
      </c>
      <c r="BL103" s="190">
        <f t="shared" si="20"/>
        <v>0</v>
      </c>
      <c r="BM103" s="190">
        <f t="shared" si="21"/>
        <v>0</v>
      </c>
      <c r="BN103" s="784"/>
      <c r="BO103" s="784"/>
      <c r="BP103" s="784"/>
      <c r="BS103" s="705" t="s">
        <v>2098</v>
      </c>
    </row>
    <row r="104" spans="2:75" ht="14.65" hidden="1" customHeight="1">
      <c r="C104" s="44"/>
      <c r="D104" s="44"/>
      <c r="E104" s="462">
        <v>15</v>
      </c>
      <c r="F104" s="3" cm="1">
        <f t="array" aca="1" ref="F104" ca="1">OFFSET(E104,-1,1)</f>
        <v>0</v>
      </c>
      <c r="G104" s="44" t="s">
        <v>999</v>
      </c>
      <c r="H104" s="44"/>
      <c r="I104" s="44" t="s">
        <v>922</v>
      </c>
      <c r="J104" s="44"/>
      <c r="K104" s="91" t="s">
        <v>922</v>
      </c>
      <c r="L104" s="44" t="s">
        <v>511</v>
      </c>
      <c r="M104" s="44"/>
      <c r="N104" s="44"/>
      <c r="O104" s="44"/>
      <c r="P104" s="44"/>
      <c r="Q104" s="44"/>
      <c r="R104" s="44"/>
      <c r="S104" s="44"/>
      <c r="T104" s="365" t="b" cm="1">
        <f t="array" aca="1" ref="T104" ca="1">T103</f>
        <v>0</v>
      </c>
      <c r="U104" s="44"/>
      <c r="V104" s="44"/>
      <c r="W104" s="44"/>
      <c r="X104" s="1094"/>
      <c r="Z104" s="1065"/>
      <c r="AB104" s="26" t="s">
        <v>923</v>
      </c>
      <c r="AC104" s="146" t="s">
        <v>999</v>
      </c>
      <c r="AD104" s="26" t="s">
        <v>804</v>
      </c>
      <c r="AE104" s="190">
        <f ca="1">SUMIFS(Аренда!AE$25:AE$57,Аренда!$F$25:$F$57,$F104,Аренда!$G$25:$G$57,"Арендная и концессионная плата, лизинговые платежи")</f>
        <v>0</v>
      </c>
      <c r="AF104" s="190">
        <f ca="1">SUMIFS(Аренда!AF$25:AF$57,Аренда!$F$25:$F$57,$F104,Аренда!$G$25:$G$57,"Арендная и концессионная плата, лизинговые платежи")</f>
        <v>0</v>
      </c>
      <c r="AG104" s="190">
        <f ca="1">SUMIFS(Аренда!AG$25:AG$57,Аренда!$F$25:$F$57,$F104,Аренда!$G$25:$G$57,"Арендная и концессионная плата, лизинговые платежи")</f>
        <v>0</v>
      </c>
      <c r="AH104" s="190">
        <f t="shared" ca="1" si="10"/>
        <v>0</v>
      </c>
      <c r="AI104" s="190">
        <f ca="1">SUMIFS(Аренда!AH$25:AH$57,Аренда!$F$25:$F$57,$F104,Аренда!$G$25:$G$57,"Арендная и концессионная плата, лизинговые платежи")</f>
        <v>0</v>
      </c>
      <c r="AJ104" s="190">
        <f ca="1">SUMIFS(Аренда!AI$25:AI$57,Аренда!$F$25:$F$57,$F104,Аренда!$G$25:$G$57,"Арендная и концессионная плата, лизинговые платежи")</f>
        <v>0</v>
      </c>
      <c r="AK104" s="190">
        <f ca="1">SUMIFS(Аренда!AJ$25:AJ$57,Аренда!$F$25:$F$57,$F104,Аренда!$G$25:$G$57,"Арендная и концессионная плата, лизинговые платежи")</f>
        <v>0</v>
      </c>
      <c r="AL104" s="190">
        <f ca="1">SUMIFS(Аренда!AK$25:AK$57,Аренда!$F$25:$F$57,$F104,Аренда!$G$25:$G$57,"Арендная и концессионная плата, лизинговые платежи")</f>
        <v>0</v>
      </c>
      <c r="AM104" s="190">
        <f ca="1">SUMIFS(Аренда!AL$25:AL$57,Аренда!$F$25:$F$57,$F104,Аренда!$G$25:$G$57,"Арендная и концессионная плата, лизинговые платежи")</f>
        <v>0</v>
      </c>
      <c r="AN104" s="190">
        <f ca="1">SUMIFS(Аренда!AM$25:AM$57,Аренда!$F$25:$F$57,$F104,Аренда!$G$25:$G$57,"Арендная и концессионная плата, лизинговые платежи")</f>
        <v>0</v>
      </c>
      <c r="AO104" s="190">
        <f ca="1">SUMIFS(Аренда!AN$25:AN$57,Аренда!$F$25:$F$57,$F104,Аренда!$G$25:$G$57,"Арендная и концессионная плата, лизинговые платежи")</f>
        <v>0</v>
      </c>
      <c r="AP104" s="190">
        <f ca="1">SUMIFS(Аренда!AO$25:AO$57,Аренда!$F$25:$F$57,$F104,Аренда!$G$25:$G$57,"Арендная и концессионная плата, лизинговые платежи")</f>
        <v>0</v>
      </c>
      <c r="AQ104" s="190">
        <f ca="1">SUMIFS(Аренда!AP$25:AP$57,Аренда!$F$25:$F$57,$F104,Аренда!$G$25:$G$57,"Арендная и концессионная плата, лизинговые платежи")</f>
        <v>0</v>
      </c>
      <c r="AR104" s="190">
        <f ca="1">SUMIFS(Аренда!AQ$25:AQ$57,Аренда!$F$25:$F$57,$F104,Аренда!$G$25:$G$57,"Арендная и концессионная плата, лизинговые платежи")</f>
        <v>0</v>
      </c>
      <c r="AS104" s="190">
        <f ca="1">SUMIFS(Аренда!AR$25:AR$57,Аренда!$F$25:$F$57,$F104,Аренда!$G$25:$G$57,"Арендная и концессионная плата, лизинговые платежи")</f>
        <v>0</v>
      </c>
      <c r="AT104" s="190">
        <f ca="1">SUMIFS(Аренда!AS$25:AS$57,Аренда!$F$25:$F$57,$F104,Аренда!$G$25:$G$57,"Арендная и концессионная плата, лизинговые платежи")</f>
        <v>0</v>
      </c>
      <c r="AU104" s="190">
        <f ca="1">SUMIFS(Аренда!AT$25:AT$57,Аренда!$F$25:$F$57,$F104,Аренда!$G$25:$G$57,"Арендная и концессионная плата, лизинговые платежи")</f>
        <v>0</v>
      </c>
      <c r="AV104" s="190">
        <f ca="1">SUMIFS(Аренда!AU$25:AU$57,Аренда!$F$25:$F$57,$F104,Аренда!$G$25:$G$57,"Арендная и концессионная плата, лизинговые платежи")</f>
        <v>0</v>
      </c>
      <c r="AW104" s="190">
        <f ca="1">SUMIFS(Аренда!AV$25:AV$57,Аренда!$F$25:$F$57,$F104,Аренда!$G$25:$G$57,"Арендная и концессионная плата, лизинговые платежи")</f>
        <v>0</v>
      </c>
      <c r="AX104" s="190">
        <f ca="1">SUMIFS(Аренда!AW$25:AW$57,Аренда!$F$25:$F$57,$F104,Аренда!$G$25:$G$57,"Арендная и концессионная плата, лизинговые платежи")</f>
        <v>0</v>
      </c>
      <c r="AY104" s="190">
        <f ca="1">SUMIFS(Аренда!AX$25:AX$57,Аренда!$F$25:$F$57,$F104,Аренда!$G$25:$G$57,"Арендная и концессионная плата, лизинговые платежи")</f>
        <v>0</v>
      </c>
      <c r="AZ104" s="190">
        <f ca="1">SUMIFS(Аренда!AY$25:AY$57,Аренда!$F$25:$F$57,$F104,Аренда!$G$25:$G$57,"Арендная и концессионная плата, лизинговые платежи")</f>
        <v>0</v>
      </c>
      <c r="BA104" s="190">
        <f ca="1">SUMIFS(Аренда!AZ$25:AZ$57,Аренда!$F$25:$F$57,$F104,Аренда!$G$25:$G$57,"Арендная и концессионная плата, лизинговые платежи")</f>
        <v>0</v>
      </c>
      <c r="BB104" s="190">
        <f ca="1">SUMIFS(Аренда!BA$25:BA$57,Аренда!$F$25:$F$57,$F104,Аренда!$G$25:$G$57,"Арендная и концессионная плата, лизинговые платежи")</f>
        <v>0</v>
      </c>
      <c r="BC104" s="190">
        <f ca="1">SUMIFS(Аренда!BB$25:BB$57,Аренда!$F$25:$F$57,$F104,Аренда!$G$25:$G$57,"Арендная и концессионная плата, лизинговые платежи")</f>
        <v>0</v>
      </c>
      <c r="BD104" s="190">
        <f t="shared" ca="1" si="12"/>
        <v>0</v>
      </c>
      <c r="BE104" s="190">
        <f t="shared" ca="1" si="13"/>
        <v>0</v>
      </c>
      <c r="BF104" s="190">
        <f t="shared" ca="1" si="14"/>
        <v>0</v>
      </c>
      <c r="BG104" s="190">
        <f t="shared" ca="1" si="15"/>
        <v>0</v>
      </c>
      <c r="BH104" s="190">
        <f t="shared" ca="1" si="16"/>
        <v>0</v>
      </c>
      <c r="BI104" s="190">
        <f t="shared" ca="1" si="17"/>
        <v>0</v>
      </c>
      <c r="BJ104" s="190">
        <f t="shared" ca="1" si="18"/>
        <v>0</v>
      </c>
      <c r="BK104" s="190">
        <f t="shared" ca="1" si="19"/>
        <v>0</v>
      </c>
      <c r="BL104" s="190">
        <f t="shared" ca="1" si="20"/>
        <v>0</v>
      </c>
      <c r="BM104" s="190">
        <f t="shared" ca="1" si="21"/>
        <v>0</v>
      </c>
      <c r="BN104" s="784"/>
      <c r="BO104" s="788" t="str">
        <f ca="1">IF(IFERROR(INDEX(Аренда!$K$26:$L$57,MATCH($F104&amp;"komm",Аренда!$K$26:$K$57,0),2),"")=0,"",IFERROR(INDEX(Аренда!$K$26:$L$57,MATCH($F104&amp;"komm",Аренда!$K$26:$K$57,0),2),""))</f>
        <v/>
      </c>
      <c r="BP104" s="784"/>
      <c r="BS104" s="705" t="s">
        <v>2099</v>
      </c>
    </row>
    <row r="105" spans="2:75" ht="14.65" hidden="1" customHeight="1">
      <c r="B105" s="341" t="b">
        <f>STATUS_GO="да"</f>
        <v>0</v>
      </c>
      <c r="C105" s="44"/>
      <c r="D105" s="44"/>
      <c r="E105" s="462">
        <v>15</v>
      </c>
      <c r="F105" s="3" cm="1">
        <f t="array" aca="1" ref="F105" ca="1">OFFSET(E105,-1,1)</f>
        <v>0</v>
      </c>
      <c r="G105" s="44"/>
      <c r="H105" s="44"/>
      <c r="I105" s="44" t="s">
        <v>2100</v>
      </c>
      <c r="J105" s="44"/>
      <c r="K105" s="91" t="s">
        <v>2100</v>
      </c>
      <c r="L105" s="44"/>
      <c r="M105" s="44"/>
      <c r="N105" s="44"/>
      <c r="O105" s="44"/>
      <c r="P105" s="44"/>
      <c r="Q105" s="44"/>
      <c r="R105" s="44"/>
      <c r="S105" s="44"/>
      <c r="T105" s="365" t="b" cm="1">
        <f t="array" aca="1" ref="T105" ca="1">T104</f>
        <v>0</v>
      </c>
      <c r="U105" s="44"/>
      <c r="V105" s="44"/>
      <c r="W105" s="44"/>
      <c r="X105" s="1094"/>
      <c r="Z105" s="1065"/>
      <c r="AB105" s="26" t="s">
        <v>1512</v>
      </c>
      <c r="AC105" s="146" t="s">
        <v>2101</v>
      </c>
      <c r="AD105" s="26" t="s">
        <v>804</v>
      </c>
      <c r="AE105" s="787" cm="1">
        <f t="array" aca="1" ref="AE105" ca="1">AE106</f>
        <v>0</v>
      </c>
      <c r="AF105" s="787" cm="1">
        <f t="array" aca="1" ref="AF105" ca="1">AF106</f>
        <v>0</v>
      </c>
      <c r="AG105" s="787" cm="1">
        <f t="array" aca="1" ref="AG105" ca="1">AG106</f>
        <v>0</v>
      </c>
      <c r="AH105" s="190">
        <f t="shared" ca="1" si="10"/>
        <v>0</v>
      </c>
      <c r="AI105" s="787" cm="1">
        <f t="array" aca="1" ref="AI105" ca="1">AI106</f>
        <v>0</v>
      </c>
      <c r="AJ105" s="787" cm="1">
        <f t="array" aca="1" ref="AJ105" ca="1">AJ106</f>
        <v>0</v>
      </c>
      <c r="AK105" s="787" cm="1">
        <f t="array" ref="AK105">AK106</f>
        <v>0</v>
      </c>
      <c r="AL105" s="787" cm="1">
        <f t="array" ref="AL105">AL106</f>
        <v>0</v>
      </c>
      <c r="AM105" s="787" cm="1">
        <f t="array" ref="AM105">AM106</f>
        <v>0</v>
      </c>
      <c r="AN105" s="787" cm="1">
        <f t="array" ref="AN105">AN106</f>
        <v>0</v>
      </c>
      <c r="AO105" s="787" cm="1">
        <f t="array" ref="AO105">AO106</f>
        <v>0</v>
      </c>
      <c r="AP105" s="787" cm="1">
        <f t="array" ref="AP105">AP106</f>
        <v>0</v>
      </c>
      <c r="AQ105" s="787" cm="1">
        <f t="array" ref="AQ105">AQ106</f>
        <v>0</v>
      </c>
      <c r="AR105" s="787" cm="1">
        <f t="array" ref="AR105">AR106</f>
        <v>0</v>
      </c>
      <c r="AS105" s="787" cm="1">
        <f t="array" ref="AS105">AS106</f>
        <v>0</v>
      </c>
      <c r="AT105" s="787" cm="1">
        <f t="array" aca="1" ref="AT105" ca="1">AT106</f>
        <v>0</v>
      </c>
      <c r="AU105" s="787" cm="1">
        <f t="array" ref="AU105">AU106</f>
        <v>0</v>
      </c>
      <c r="AV105" s="787" cm="1">
        <f t="array" ref="AV105">AV106</f>
        <v>0</v>
      </c>
      <c r="AW105" s="787" cm="1">
        <f t="array" ref="AW105">AW106</f>
        <v>0</v>
      </c>
      <c r="AX105" s="787" cm="1">
        <f t="array" ref="AX105">AX106</f>
        <v>0</v>
      </c>
      <c r="AY105" s="787" cm="1">
        <f t="array" ref="AY105">AY106</f>
        <v>0</v>
      </c>
      <c r="AZ105" s="787" cm="1">
        <f t="array" ref="AZ105">AZ106</f>
        <v>0</v>
      </c>
      <c r="BA105" s="787" cm="1">
        <f t="array" ref="BA105">BA106</f>
        <v>0</v>
      </c>
      <c r="BB105" s="787" cm="1">
        <f t="array" ref="BB105">BB106</f>
        <v>0</v>
      </c>
      <c r="BC105" s="787" cm="1">
        <f t="array" ref="BC105">BC106</f>
        <v>0</v>
      </c>
      <c r="BD105" s="190">
        <f t="shared" ca="1" si="12"/>
        <v>0</v>
      </c>
      <c r="BE105" s="190">
        <f t="shared" ca="1" si="13"/>
        <v>0</v>
      </c>
      <c r="BF105" s="190">
        <f t="shared" si="14"/>
        <v>0</v>
      </c>
      <c r="BG105" s="190">
        <f t="shared" si="15"/>
        <v>0</v>
      </c>
      <c r="BH105" s="190">
        <f t="shared" si="16"/>
        <v>0</v>
      </c>
      <c r="BI105" s="190">
        <f t="shared" si="17"/>
        <v>0</v>
      </c>
      <c r="BJ105" s="190">
        <f t="shared" si="18"/>
        <v>0</v>
      </c>
      <c r="BK105" s="190">
        <f t="shared" si="19"/>
        <v>0</v>
      </c>
      <c r="BL105" s="190">
        <f t="shared" si="20"/>
        <v>0</v>
      </c>
      <c r="BM105" s="190">
        <f t="shared" si="21"/>
        <v>0</v>
      </c>
      <c r="BN105" s="784"/>
      <c r="BO105" s="784"/>
      <c r="BP105" s="784"/>
      <c r="BS105" s="705" t="s">
        <v>2102</v>
      </c>
    </row>
    <row r="106" spans="2:75" ht="14.65" hidden="1" customHeight="1">
      <c r="B106" s="341" t="b">
        <f>STATUS_GO="да"</f>
        <v>0</v>
      </c>
      <c r="C106" s="44"/>
      <c r="D106" s="44"/>
      <c r="E106" s="462">
        <v>15</v>
      </c>
      <c r="F106" s="3" cm="1">
        <f t="array" aca="1" ref="F106" ca="1">OFFSET(E106,-1,1)</f>
        <v>0</v>
      </c>
      <c r="G106" s="44" t="s">
        <v>1454</v>
      </c>
      <c r="H106" s="44"/>
      <c r="I106" s="44" t="s">
        <v>2103</v>
      </c>
      <c r="J106" s="44"/>
      <c r="K106" s="91" t="s">
        <v>2103</v>
      </c>
      <c r="L106" s="44"/>
      <c r="M106" s="44"/>
      <c r="N106" s="44"/>
      <c r="O106" s="44"/>
      <c r="P106" s="44"/>
      <c r="Q106" s="44"/>
      <c r="R106" s="44"/>
      <c r="S106" s="44"/>
      <c r="T106" s="365" t="b" cm="1">
        <f t="array" aca="1" ref="T106" ca="1">T105</f>
        <v>0</v>
      </c>
      <c r="U106" s="44"/>
      <c r="V106" s="44"/>
      <c r="W106" s="44"/>
      <c r="X106" s="1094"/>
      <c r="Z106" s="1065"/>
      <c r="AB106" s="26" t="s">
        <v>2104</v>
      </c>
      <c r="AC106" s="153" t="s">
        <v>1454</v>
      </c>
      <c r="AD106" s="26" t="s">
        <v>804</v>
      </c>
      <c r="AE106" s="190">
        <f ca="1">SUMIFS('Сбытовые расходы ГО'!AE$25:AE$63,'Сбытовые расходы ГО'!$F$25:$F$63,$F106,'Сбытовые расходы ГО'!$G$25:$G$63,"l1")</f>
        <v>0</v>
      </c>
      <c r="AF106" s="190">
        <f ca="1">SUMIFS('Сбытовые расходы ГО'!AF$25:AF$63,'Сбытовые расходы ГО'!$F$25:$F$63,$F106,'Сбытовые расходы ГО'!$G$25:$G$63,"l1")</f>
        <v>0</v>
      </c>
      <c r="AG106" s="190">
        <f ca="1">SUMIFS('Сбытовые расходы ГО'!AG$25:AG$63,'Сбытовые расходы ГО'!$F$25:$F$63,$F106,'Сбытовые расходы ГО'!$G$25:$G$63,"l1")</f>
        <v>0</v>
      </c>
      <c r="AH106" s="190">
        <f t="shared" ca="1" si="10"/>
        <v>0</v>
      </c>
      <c r="AI106" s="190">
        <f ca="1">SUMIFS('Сбытовые расходы ГО'!AH$25:AH$63,'Сбытовые расходы ГО'!$F$25:$F$63,$F106,'Сбытовые расходы ГО'!$G$25:$G$63,"l1")</f>
        <v>0</v>
      </c>
      <c r="AJ106" s="190">
        <f ca="1">SUMIFS('Сбытовые расходы ГО'!AI$25:AI$63,'Сбытовые расходы ГО'!$F$25:$F$63,$F106,'Сбытовые расходы ГО'!$G$25:$G$63,"l1")</f>
        <v>0</v>
      </c>
      <c r="AK106" s="787"/>
      <c r="AL106" s="787"/>
      <c r="AM106" s="787"/>
      <c r="AN106" s="787"/>
      <c r="AO106" s="787"/>
      <c r="AP106" s="787"/>
      <c r="AQ106" s="787"/>
      <c r="AR106" s="787"/>
      <c r="AS106" s="787"/>
      <c r="AT106" s="190">
        <f ca="1">SUMIFS('Сбытовые расходы ГО'!AJ$25:AJ$63,'Сбытовые расходы ГО'!$F$25:$F$63,$F106,'Сбытовые расходы ГО'!$G$25:$G$63,"l1")</f>
        <v>0</v>
      </c>
      <c r="AU106" s="787"/>
      <c r="AV106" s="787"/>
      <c r="AW106" s="787"/>
      <c r="AX106" s="787"/>
      <c r="AY106" s="787"/>
      <c r="AZ106" s="787"/>
      <c r="BA106" s="787"/>
      <c r="BB106" s="787"/>
      <c r="BC106" s="787"/>
      <c r="BD106" s="190">
        <f t="shared" ca="1" si="12"/>
        <v>0</v>
      </c>
      <c r="BE106" s="190">
        <f t="shared" ca="1" si="13"/>
        <v>0</v>
      </c>
      <c r="BF106" s="190">
        <f t="shared" si="14"/>
        <v>0</v>
      </c>
      <c r="BG106" s="190">
        <f t="shared" si="15"/>
        <v>0</v>
      </c>
      <c r="BH106" s="190">
        <f t="shared" si="16"/>
        <v>0</v>
      </c>
      <c r="BI106" s="190">
        <f t="shared" si="17"/>
        <v>0</v>
      </c>
      <c r="BJ106" s="190">
        <f t="shared" si="18"/>
        <v>0</v>
      </c>
      <c r="BK106" s="190">
        <f t="shared" si="19"/>
        <v>0</v>
      </c>
      <c r="BL106" s="190">
        <f t="shared" si="20"/>
        <v>0</v>
      </c>
      <c r="BM106" s="190">
        <f t="shared" si="21"/>
        <v>0</v>
      </c>
      <c r="BN106" s="784"/>
      <c r="BO106" s="788" t="str">
        <f ca="1">IF(IFERROR(INDEX('Сбытовые расходы ГО'!$K$26:$M$63,MATCH($F106&amp;"komm",'Сбытовые расходы ГО'!$K$26:$K$63,0),2),"")=0,"",IFERROR(INDEX('Сбытовые расходы ГО'!$K$26:$M$63,MATCH($F106&amp;"komm",'Сбытовые расходы ГО'!$K$26:$K$63,0),2),""))</f>
        <v/>
      </c>
      <c r="BP106" s="784"/>
      <c r="BS106" s="705" t="s">
        <v>2105</v>
      </c>
    </row>
    <row r="107" spans="2:75" ht="14.65" hidden="1" customHeight="1">
      <c r="C107" s="44"/>
      <c r="D107" s="44"/>
      <c r="E107" s="462">
        <v>15</v>
      </c>
      <c r="F107" s="3" cm="1">
        <f t="array" aca="1" ref="F107" ca="1">OFFSET(E107,-1,1)</f>
        <v>0</v>
      </c>
      <c r="G107" s="44" t="s">
        <v>1459</v>
      </c>
      <c r="H107" s="44"/>
      <c r="I107" s="44" t="s">
        <v>2106</v>
      </c>
      <c r="J107" s="44"/>
      <c r="K107" s="91" t="s">
        <v>2106</v>
      </c>
      <c r="L107" s="44"/>
      <c r="M107" s="44"/>
      <c r="N107" s="44"/>
      <c r="O107" s="44"/>
      <c r="P107" s="44"/>
      <c r="Q107" s="44"/>
      <c r="R107" s="44"/>
      <c r="S107" s="44"/>
      <c r="T107" s="365" t="b" cm="1">
        <f t="array" aca="1" ref="T107" ca="1">T106</f>
        <v>0</v>
      </c>
      <c r="U107" s="44"/>
      <c r="V107" s="44"/>
      <c r="W107" s="44"/>
      <c r="X107" s="1094"/>
      <c r="Z107" s="1065"/>
      <c r="AB107" s="26" t="s">
        <v>1517</v>
      </c>
      <c r="AC107" s="146" t="s">
        <v>1459</v>
      </c>
      <c r="AD107" s="26" t="s">
        <v>804</v>
      </c>
      <c r="AE107" s="787"/>
      <c r="AF107" s="787"/>
      <c r="AG107" s="787"/>
      <c r="AH107" s="190">
        <f t="shared" si="10"/>
        <v>0</v>
      </c>
      <c r="AI107" s="787"/>
      <c r="AJ107" s="787">
        <f ca="1">SUMIFS(Экономия_корр!AE$25:AE$51,Экономия_корр!$F$25:$F$51,$F107,Экономия_корр!$AC$25:$AC$51,"Экономия расходов с учетом ИПЦ")</f>
        <v>0</v>
      </c>
      <c r="AK107" s="787">
        <f ca="1">SUMIFS(Экономия_корр!AF$25:AF$51,Экономия_корр!$F$25:$F$51,$F107,Экономия_корр!$AC$25:$AC$51,"Экономия расходов с учетом ИПЦ")</f>
        <v>0</v>
      </c>
      <c r="AL107" s="787">
        <f ca="1">SUMIFS(Экономия_корр!AG$25:AG$51,Экономия_корр!$F$25:$F$51,$F107,Экономия_корр!$AC$25:$AC$51,"Экономия расходов с учетом ИПЦ")</f>
        <v>0</v>
      </c>
      <c r="AM107" s="787">
        <f ca="1">SUMIFS(Экономия_корр!AH$25:AH$51,Экономия_корр!$F$25:$F$51,$F107,Экономия_корр!$AC$25:$AC$51,"Экономия расходов с учетом ИПЦ")</f>
        <v>0</v>
      </c>
      <c r="AN107" s="787">
        <f ca="1">SUMIFS(Экономия_корр!AI$25:AI$51,Экономия_корр!$F$25:$F$51,$F107,Экономия_корр!$AC$25:$AC$51,"Экономия расходов с учетом ИПЦ")</f>
        <v>0</v>
      </c>
      <c r="AO107" s="787">
        <f ca="1">SUMIFS(Экономия_корр!AJ$25:AJ$51,Экономия_корр!$F$25:$F$51,$F107,Экономия_корр!$AC$25:$AC$51,"Экономия расходов с учетом ИПЦ")</f>
        <v>0</v>
      </c>
      <c r="AP107" s="787">
        <f ca="1">SUMIFS(Экономия_корр!AK$25:AK$51,Экономия_корр!$F$25:$F$51,$F107,Экономия_корр!$AC$25:$AC$51,"Экономия расходов с учетом ИПЦ")</f>
        <v>0</v>
      </c>
      <c r="AQ107" s="787">
        <f ca="1">SUMIFS(Экономия_корр!AL$25:AL$51,Экономия_корр!$F$25:$F$51,$F107,Экономия_корр!$AC$25:$AC$51,"Экономия расходов с учетом ИПЦ")</f>
        <v>0</v>
      </c>
      <c r="AR107" s="787">
        <f ca="1">SUMIFS(Экономия_корр!AM$25:AM$51,Экономия_корр!$F$25:$F$51,$F107,Экономия_корр!$AC$25:$AC$51,"Экономия расходов с учетом ИПЦ")</f>
        <v>0</v>
      </c>
      <c r="AS107" s="787">
        <f ca="1">SUMIFS(Экономия_корр!AN$25:AN$51,Экономия_корр!$F$25:$F$51,$F107,Экономия_корр!$AC$25:$AC$51,"Экономия расходов с учетом ИПЦ")</f>
        <v>0</v>
      </c>
      <c r="AT107" s="787">
        <f ca="1">SUMIFS(Экономия_корр!AO$25:AO$51,Экономия_корр!$F$25:$F$51,$F107,Экономия_корр!$AC$25:$AC$51,"Экономия расходов с учетом ИПЦ")</f>
        <v>0</v>
      </c>
      <c r="AU107" s="787">
        <f ca="1">SUMIFS(Экономия_корр!AP$25:AP$51,Экономия_корр!$F$25:$F$51,$F107,Экономия_корр!$AC$25:$AC$51,"Экономия расходов с учетом ИПЦ")</f>
        <v>0</v>
      </c>
      <c r="AV107" s="787">
        <f ca="1">SUMIFS(Экономия_корр!AQ$25:AQ$51,Экономия_корр!$F$25:$F$51,$F107,Экономия_корр!$AC$25:$AC$51,"Экономия расходов с учетом ИПЦ")</f>
        <v>0</v>
      </c>
      <c r="AW107" s="787">
        <f ca="1">SUMIFS(Экономия_корр!AR$25:AR$51,Экономия_корр!$F$25:$F$51,$F107,Экономия_корр!$AC$25:$AC$51,"Экономия расходов с учетом ИПЦ")</f>
        <v>0</v>
      </c>
      <c r="AX107" s="787">
        <f ca="1">SUMIFS(Экономия_корр!AS$25:AS$51,Экономия_корр!$F$25:$F$51,$F107,Экономия_корр!$AC$25:$AC$51,"Экономия расходов с учетом ИПЦ")</f>
        <v>0</v>
      </c>
      <c r="AY107" s="787">
        <f ca="1">SUMIFS(Экономия_корр!AT$25:AT$51,Экономия_корр!$F$25:$F$51,$F107,Экономия_корр!$AC$25:$AC$51,"Экономия расходов с учетом ИПЦ")</f>
        <v>0</v>
      </c>
      <c r="AZ107" s="787">
        <f ca="1">SUMIFS(Экономия_корр!AU$25:AU$51,Экономия_корр!$F$25:$F$51,$F107,Экономия_корр!$AC$25:$AC$51,"Экономия расходов с учетом ИПЦ")</f>
        <v>0</v>
      </c>
      <c r="BA107" s="787">
        <f ca="1">SUMIFS(Экономия_корр!AV$25:AV$51,Экономия_корр!$F$25:$F$51,$F107,Экономия_корр!$AC$25:$AC$51,"Экономия расходов с учетом ИПЦ")</f>
        <v>0</v>
      </c>
      <c r="BB107" s="787">
        <f ca="1">SUMIFS(Экономия_корр!AW$25:AW$51,Экономия_корр!$F$25:$F$51,$F107,Экономия_корр!$AC$25:$AC$51,"Экономия расходов с учетом ИПЦ")</f>
        <v>0</v>
      </c>
      <c r="BC107" s="787">
        <f ca="1">SUMIFS(Экономия_корр!AX$25:AX$51,Экономия_корр!$F$25:$F$51,$F107,Экономия_корр!$AC$25:$AC$51,"Экономия расходов с учетом ИПЦ")</f>
        <v>0</v>
      </c>
      <c r="BD107" s="190">
        <f t="shared" si="12"/>
        <v>0</v>
      </c>
      <c r="BE107" s="190">
        <f t="shared" ca="1" si="13"/>
        <v>0</v>
      </c>
      <c r="BF107" s="190">
        <f t="shared" ca="1" si="14"/>
        <v>0</v>
      </c>
      <c r="BG107" s="190">
        <f t="shared" ca="1" si="15"/>
        <v>0</v>
      </c>
      <c r="BH107" s="190">
        <f t="shared" ca="1" si="16"/>
        <v>0</v>
      </c>
      <c r="BI107" s="190">
        <f t="shared" ca="1" si="17"/>
        <v>0</v>
      </c>
      <c r="BJ107" s="190">
        <f t="shared" ca="1" si="18"/>
        <v>0</v>
      </c>
      <c r="BK107" s="190">
        <f t="shared" ca="1" si="19"/>
        <v>0</v>
      </c>
      <c r="BL107" s="190">
        <f t="shared" ca="1" si="20"/>
        <v>0</v>
      </c>
      <c r="BM107" s="190">
        <f t="shared" ca="1" si="21"/>
        <v>0</v>
      </c>
      <c r="BN107" s="784"/>
      <c r="BO107" s="784"/>
      <c r="BP107" s="784"/>
      <c r="BS107" s="705" t="s">
        <v>2107</v>
      </c>
    </row>
    <row r="108" spans="2:75" ht="14.65" hidden="1" customHeight="1">
      <c r="C108" s="44"/>
      <c r="D108" s="44"/>
      <c r="E108" s="462">
        <v>15</v>
      </c>
      <c r="F108" s="3" cm="1">
        <f t="array" aca="1" ref="F108" ca="1">OFFSET(E108,-1,1)</f>
        <v>0</v>
      </c>
      <c r="G108" s="44" t="s">
        <v>1464</v>
      </c>
      <c r="H108" s="44"/>
      <c r="I108" s="44" t="s">
        <v>2108</v>
      </c>
      <c r="J108" s="44"/>
      <c r="K108" s="91" t="s">
        <v>2108</v>
      </c>
      <c r="L108" s="44"/>
      <c r="M108" s="44"/>
      <c r="N108" s="44"/>
      <c r="O108" s="44"/>
      <c r="P108" s="44"/>
      <c r="Q108" s="44"/>
      <c r="R108" s="44"/>
      <c r="S108" s="44"/>
      <c r="T108" s="365" t="b" cm="1">
        <f t="array" aca="1" ref="T108" ca="1">T107</f>
        <v>0</v>
      </c>
      <c r="U108" s="44"/>
      <c r="V108" s="44"/>
      <c r="W108" s="44"/>
      <c r="X108" s="1094"/>
      <c r="Z108" s="1065"/>
      <c r="AB108" s="26" t="s">
        <v>2109</v>
      </c>
      <c r="AC108" s="146" t="s">
        <v>1464</v>
      </c>
      <c r="AD108" s="26" t="s">
        <v>804</v>
      </c>
      <c r="AE108" s="787"/>
      <c r="AF108" s="787"/>
      <c r="AG108" s="787"/>
      <c r="AH108" s="190">
        <f t="shared" si="10"/>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190">
        <f t="shared" si="12"/>
        <v>0</v>
      </c>
      <c r="BE108" s="190">
        <f t="shared" si="13"/>
        <v>0</v>
      </c>
      <c r="BF108" s="190">
        <f t="shared" si="14"/>
        <v>0</v>
      </c>
      <c r="BG108" s="190">
        <f t="shared" si="15"/>
        <v>0</v>
      </c>
      <c r="BH108" s="190">
        <f t="shared" si="16"/>
        <v>0</v>
      </c>
      <c r="BI108" s="190">
        <f t="shared" si="17"/>
        <v>0</v>
      </c>
      <c r="BJ108" s="190">
        <f t="shared" si="18"/>
        <v>0</v>
      </c>
      <c r="BK108" s="190">
        <f t="shared" si="19"/>
        <v>0</v>
      </c>
      <c r="BL108" s="190">
        <f t="shared" si="20"/>
        <v>0</v>
      </c>
      <c r="BM108" s="190">
        <f t="shared" si="21"/>
        <v>0</v>
      </c>
      <c r="BN108" s="784"/>
      <c r="BO108" s="784"/>
      <c r="BP108" s="784"/>
      <c r="BS108" s="705" t="s">
        <v>1838</v>
      </c>
    </row>
    <row r="109" spans="2:75" ht="14.65" hidden="1" customHeight="1">
      <c r="C109" s="44"/>
      <c r="D109" s="44"/>
      <c r="E109" s="462">
        <v>15</v>
      </c>
      <c r="F109" s="3" cm="1">
        <f t="array" aca="1" ref="F109" ca="1">OFFSET(E109,-1,1)</f>
        <v>0</v>
      </c>
      <c r="G109" s="44" t="s">
        <v>1469</v>
      </c>
      <c r="H109" s="44"/>
      <c r="I109" s="44" t="s">
        <v>2110</v>
      </c>
      <c r="J109" s="44"/>
      <c r="K109" s="91" t="s">
        <v>2110</v>
      </c>
      <c r="L109" s="44"/>
      <c r="M109" s="44"/>
      <c r="N109" s="44"/>
      <c r="O109" s="44"/>
      <c r="P109" s="44"/>
      <c r="Q109" s="44"/>
      <c r="R109" s="44"/>
      <c r="S109" s="44"/>
      <c r="T109" s="365" t="b" cm="1">
        <f t="array" aca="1" ref="T109" ca="1">T108</f>
        <v>0</v>
      </c>
      <c r="U109" s="44"/>
      <c r="V109" s="44"/>
      <c r="W109" s="44"/>
      <c r="X109" s="1094"/>
      <c r="Z109" s="1065"/>
      <c r="AB109" s="26" t="s">
        <v>1536</v>
      </c>
      <c r="AC109" s="146" t="s">
        <v>1469</v>
      </c>
      <c r="AD109" s="26" t="s">
        <v>804</v>
      </c>
      <c r="AE109" s="787"/>
      <c r="AF109" s="787"/>
      <c r="AG109" s="787"/>
      <c r="AH109" s="190">
        <f t="shared" si="10"/>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190">
        <f t="shared" si="12"/>
        <v>0</v>
      </c>
      <c r="BE109" s="190">
        <f t="shared" si="13"/>
        <v>0</v>
      </c>
      <c r="BF109" s="190">
        <f t="shared" si="14"/>
        <v>0</v>
      </c>
      <c r="BG109" s="190">
        <f t="shared" si="15"/>
        <v>0</v>
      </c>
      <c r="BH109" s="190">
        <f t="shared" si="16"/>
        <v>0</v>
      </c>
      <c r="BI109" s="190">
        <f t="shared" si="17"/>
        <v>0</v>
      </c>
      <c r="BJ109" s="190">
        <f t="shared" si="18"/>
        <v>0</v>
      </c>
      <c r="BK109" s="190">
        <f t="shared" si="19"/>
        <v>0</v>
      </c>
      <c r="BL109" s="190">
        <f t="shared" si="20"/>
        <v>0</v>
      </c>
      <c r="BM109" s="190">
        <f t="shared" si="21"/>
        <v>0</v>
      </c>
      <c r="BN109" s="784"/>
      <c r="BO109" s="784"/>
      <c r="BP109" s="784"/>
      <c r="BS109" s="705" t="s">
        <v>2111</v>
      </c>
    </row>
    <row r="110" spans="2:75" ht="14.65" hidden="1" customHeight="1">
      <c r="C110" s="44"/>
      <c r="D110" s="44"/>
      <c r="E110" s="462">
        <v>15</v>
      </c>
      <c r="F110" s="3" cm="1">
        <f t="array" aca="1" ref="F110" ca="1">OFFSET(E110,-1,1)</f>
        <v>0</v>
      </c>
      <c r="G110" s="44" t="s">
        <v>1474</v>
      </c>
      <c r="H110" s="44"/>
      <c r="I110" s="44" t="s">
        <v>2112</v>
      </c>
      <c r="J110" s="44"/>
      <c r="K110" s="91" t="s">
        <v>2112</v>
      </c>
      <c r="L110" s="44"/>
      <c r="M110" s="44"/>
      <c r="N110" s="44"/>
      <c r="O110" s="44"/>
      <c r="P110" s="44"/>
      <c r="Q110" s="44"/>
      <c r="R110" s="44"/>
      <c r="S110" s="44"/>
      <c r="T110" s="365" t="b" cm="1">
        <f t="array" aca="1" ref="T110" ca="1">T109</f>
        <v>0</v>
      </c>
      <c r="U110" s="44"/>
      <c r="V110" s="44"/>
      <c r="W110" s="44"/>
      <c r="X110" s="1094"/>
      <c r="Z110" s="1065"/>
      <c r="AB110" s="26" t="s">
        <v>1540</v>
      </c>
      <c r="AC110" s="146" t="s">
        <v>1474</v>
      </c>
      <c r="AD110" s="26" t="s">
        <v>804</v>
      </c>
      <c r="AE110" s="190">
        <f>SUM(AE111,AE112)</f>
        <v>0</v>
      </c>
      <c r="AF110" s="190">
        <f>SUM(AF111,AF112)</f>
        <v>0</v>
      </c>
      <c r="AG110" s="190">
        <f>SUM(AG111,AG112)</f>
        <v>0</v>
      </c>
      <c r="AH110" s="190">
        <f t="shared" si="10"/>
        <v>0</v>
      </c>
      <c r="AI110" s="190">
        <f t="shared" ref="AI110:BC110" si="24">SUM(AI111,AI112)</f>
        <v>0</v>
      </c>
      <c r="AJ110" s="190">
        <f t="shared" si="24"/>
        <v>0</v>
      </c>
      <c r="AK110" s="190">
        <f t="shared" si="24"/>
        <v>0</v>
      </c>
      <c r="AL110" s="190">
        <f t="shared" si="24"/>
        <v>0</v>
      </c>
      <c r="AM110" s="190">
        <f t="shared" si="24"/>
        <v>0</v>
      </c>
      <c r="AN110" s="190">
        <f t="shared" si="24"/>
        <v>0</v>
      </c>
      <c r="AO110" s="190">
        <f t="shared" si="24"/>
        <v>0</v>
      </c>
      <c r="AP110" s="190">
        <f t="shared" si="24"/>
        <v>0</v>
      </c>
      <c r="AQ110" s="190">
        <f t="shared" si="24"/>
        <v>0</v>
      </c>
      <c r="AR110" s="190">
        <f t="shared" si="24"/>
        <v>0</v>
      </c>
      <c r="AS110" s="190">
        <f t="shared" si="24"/>
        <v>0</v>
      </c>
      <c r="AT110" s="190">
        <f t="shared" si="24"/>
        <v>0</v>
      </c>
      <c r="AU110" s="190">
        <f t="shared" si="24"/>
        <v>0</v>
      </c>
      <c r="AV110" s="190">
        <f t="shared" si="24"/>
        <v>0</v>
      </c>
      <c r="AW110" s="190">
        <f t="shared" si="24"/>
        <v>0</v>
      </c>
      <c r="AX110" s="190">
        <f t="shared" si="24"/>
        <v>0</v>
      </c>
      <c r="AY110" s="190">
        <f t="shared" si="24"/>
        <v>0</v>
      </c>
      <c r="AZ110" s="190">
        <f t="shared" si="24"/>
        <v>0</v>
      </c>
      <c r="BA110" s="190">
        <f t="shared" si="24"/>
        <v>0</v>
      </c>
      <c r="BB110" s="190">
        <f t="shared" si="24"/>
        <v>0</v>
      </c>
      <c r="BC110" s="190">
        <f t="shared" si="24"/>
        <v>0</v>
      </c>
      <c r="BD110" s="190">
        <f t="shared" si="12"/>
        <v>0</v>
      </c>
      <c r="BE110" s="190">
        <f t="shared" si="13"/>
        <v>0</v>
      </c>
      <c r="BF110" s="190">
        <f t="shared" si="14"/>
        <v>0</v>
      </c>
      <c r="BG110" s="190">
        <f t="shared" si="15"/>
        <v>0</v>
      </c>
      <c r="BH110" s="190">
        <f t="shared" si="16"/>
        <v>0</v>
      </c>
      <c r="BI110" s="190">
        <f t="shared" si="17"/>
        <v>0</v>
      </c>
      <c r="BJ110" s="190">
        <f t="shared" si="18"/>
        <v>0</v>
      </c>
      <c r="BK110" s="190">
        <f t="shared" si="19"/>
        <v>0</v>
      </c>
      <c r="BL110" s="190">
        <f t="shared" si="20"/>
        <v>0</v>
      </c>
      <c r="BM110" s="190">
        <f t="shared" si="21"/>
        <v>0</v>
      </c>
      <c r="BN110" s="784"/>
      <c r="BO110" s="784"/>
      <c r="BP110" s="784"/>
      <c r="BS110" s="705" t="s">
        <v>2113</v>
      </c>
    </row>
    <row r="111" spans="2:75" ht="14.65" hidden="1" customHeight="1">
      <c r="C111" s="44"/>
      <c r="D111" s="44"/>
      <c r="E111" s="462">
        <v>15</v>
      </c>
      <c r="F111" s="3" cm="1">
        <f t="array" aca="1" ref="F111" ca="1">OFFSET(E111,-1,1)</f>
        <v>0</v>
      </c>
      <c r="G111" s="44"/>
      <c r="H111" s="44"/>
      <c r="I111" s="44" t="s">
        <v>2114</v>
      </c>
      <c r="J111" s="44"/>
      <c r="K111" s="91" t="s">
        <v>2114</v>
      </c>
      <c r="L111" s="44"/>
      <c r="M111" s="44"/>
      <c r="N111" s="44"/>
      <c r="O111" s="44"/>
      <c r="P111" s="44"/>
      <c r="Q111" s="44"/>
      <c r="R111" s="44"/>
      <c r="S111" s="44"/>
      <c r="T111" s="365" t="b" cm="1">
        <f t="array" aca="1" ref="T111" ca="1">T110</f>
        <v>0</v>
      </c>
      <c r="U111" s="44"/>
      <c r="V111" s="44"/>
      <c r="W111" s="44"/>
      <c r="X111" s="1094"/>
      <c r="Z111" s="1065"/>
      <c r="AB111" s="26" t="s">
        <v>2115</v>
      </c>
      <c r="AC111" s="153" t="s">
        <v>2116</v>
      </c>
      <c r="AD111" s="26" t="s">
        <v>804</v>
      </c>
      <c r="AE111" s="787"/>
      <c r="AF111" s="787"/>
      <c r="AG111" s="787"/>
      <c r="AH111" s="190">
        <f t="shared" si="10"/>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190">
        <f t="shared" si="12"/>
        <v>0</v>
      </c>
      <c r="BE111" s="190">
        <f t="shared" si="13"/>
        <v>0</v>
      </c>
      <c r="BF111" s="190">
        <f t="shared" si="14"/>
        <v>0</v>
      </c>
      <c r="BG111" s="190">
        <f t="shared" si="15"/>
        <v>0</v>
      </c>
      <c r="BH111" s="190">
        <f t="shared" si="16"/>
        <v>0</v>
      </c>
      <c r="BI111" s="190">
        <f t="shared" si="17"/>
        <v>0</v>
      </c>
      <c r="BJ111" s="190">
        <f t="shared" si="18"/>
        <v>0</v>
      </c>
      <c r="BK111" s="190">
        <f t="shared" si="19"/>
        <v>0</v>
      </c>
      <c r="BL111" s="190">
        <f t="shared" si="20"/>
        <v>0</v>
      </c>
      <c r="BM111" s="190">
        <f t="shared" si="21"/>
        <v>0</v>
      </c>
      <c r="BN111" s="784"/>
      <c r="BO111" s="784"/>
      <c r="BP111" s="784"/>
      <c r="BS111" s="705" t="s">
        <v>1262</v>
      </c>
    </row>
    <row r="112" spans="2:75" ht="14.65" hidden="1" customHeight="1">
      <c r="C112" s="44"/>
      <c r="D112" s="44"/>
      <c r="E112" s="462">
        <v>15</v>
      </c>
      <c r="F112" s="3" cm="1">
        <f t="array" aca="1" ref="F112" ca="1">OFFSET(E112,-1,1)</f>
        <v>0</v>
      </c>
      <c r="G112" s="44"/>
      <c r="H112" s="44"/>
      <c r="I112" s="44" t="s">
        <v>2117</v>
      </c>
      <c r="J112" s="44"/>
      <c r="K112" s="91" t="s">
        <v>2117</v>
      </c>
      <c r="L112" s="44" t="s">
        <v>909</v>
      </c>
      <c r="M112" s="44"/>
      <c r="N112" s="44"/>
      <c r="O112" s="44"/>
      <c r="P112" s="44"/>
      <c r="Q112" s="44"/>
      <c r="R112" s="44"/>
      <c r="S112" s="44"/>
      <c r="T112" s="365" t="b" cm="1">
        <f t="array" aca="1" ref="T112" ca="1">T111</f>
        <v>0</v>
      </c>
      <c r="U112" s="44"/>
      <c r="V112" s="44"/>
      <c r="W112" s="44"/>
      <c r="X112" s="1094"/>
      <c r="Z112" s="1065"/>
      <c r="AB112" s="26" t="s">
        <v>2118</v>
      </c>
      <c r="AC112" s="153" t="s">
        <v>2119</v>
      </c>
      <c r="AD112" s="26" t="s">
        <v>804</v>
      </c>
      <c r="AE112" s="787"/>
      <c r="AF112" s="787"/>
      <c r="AG112" s="787"/>
      <c r="AH112" s="190">
        <f t="shared" si="10"/>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190">
        <f t="shared" si="12"/>
        <v>0</v>
      </c>
      <c r="BE112" s="190">
        <f t="shared" si="13"/>
        <v>0</v>
      </c>
      <c r="BF112" s="190">
        <f t="shared" si="14"/>
        <v>0</v>
      </c>
      <c r="BG112" s="190">
        <f t="shared" si="15"/>
        <v>0</v>
      </c>
      <c r="BH112" s="190">
        <f t="shared" si="16"/>
        <v>0</v>
      </c>
      <c r="BI112" s="190">
        <f t="shared" si="17"/>
        <v>0</v>
      </c>
      <c r="BJ112" s="190">
        <f t="shared" si="18"/>
        <v>0</v>
      </c>
      <c r="BK112" s="190">
        <f t="shared" si="19"/>
        <v>0</v>
      </c>
      <c r="BL112" s="190">
        <f t="shared" si="20"/>
        <v>0</v>
      </c>
      <c r="BM112" s="190">
        <f t="shared" si="21"/>
        <v>0</v>
      </c>
      <c r="BN112" s="784"/>
      <c r="BO112" s="784"/>
      <c r="BP112" s="784"/>
      <c r="BS112" s="705" t="s">
        <v>2120</v>
      </c>
    </row>
    <row r="113" spans="2:75" ht="21.95" hidden="1" customHeight="1">
      <c r="C113" s="44"/>
      <c r="D113" s="44"/>
      <c r="E113" s="462">
        <v>22.5</v>
      </c>
      <c r="F113" s="3" cm="1">
        <f t="array" aca="1" ref="F113" ca="1">OFFSET(E113,-1,1)</f>
        <v>0</v>
      </c>
      <c r="G113" s="44" t="s">
        <v>1479</v>
      </c>
      <c r="H113" s="44"/>
      <c r="I113" s="44" t="s">
        <v>2121</v>
      </c>
      <c r="J113" s="44"/>
      <c r="K113" s="91" t="s">
        <v>2121</v>
      </c>
      <c r="L113" s="44"/>
      <c r="M113" s="44"/>
      <c r="N113" s="44"/>
      <c r="O113" s="44"/>
      <c r="P113" s="44"/>
      <c r="Q113" s="44"/>
      <c r="R113" s="44"/>
      <c r="S113" s="44"/>
      <c r="T113" s="365" t="b" cm="1">
        <f t="array" aca="1" ref="T113" ca="1">T112</f>
        <v>0</v>
      </c>
      <c r="U113" s="44"/>
      <c r="V113" s="44"/>
      <c r="W113" s="44"/>
      <c r="X113" s="1094"/>
      <c r="Z113" s="1065"/>
      <c r="AB113" s="26" t="s">
        <v>1543</v>
      </c>
      <c r="AC113" s="146" t="s">
        <v>2122</v>
      </c>
      <c r="AD113" s="26" t="s">
        <v>804</v>
      </c>
      <c r="AE113" s="787"/>
      <c r="AF113" s="787"/>
      <c r="AG113" s="787"/>
      <c r="AH113" s="190">
        <f t="shared" si="10"/>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190">
        <f t="shared" si="12"/>
        <v>0</v>
      </c>
      <c r="BE113" s="190">
        <f t="shared" si="13"/>
        <v>0</v>
      </c>
      <c r="BF113" s="190">
        <f t="shared" si="14"/>
        <v>0</v>
      </c>
      <c r="BG113" s="190">
        <f t="shared" si="15"/>
        <v>0</v>
      </c>
      <c r="BH113" s="190">
        <f t="shared" si="16"/>
        <v>0</v>
      </c>
      <c r="BI113" s="190">
        <f t="shared" si="17"/>
        <v>0</v>
      </c>
      <c r="BJ113" s="190">
        <f t="shared" si="18"/>
        <v>0</v>
      </c>
      <c r="BK113" s="190">
        <f t="shared" si="19"/>
        <v>0</v>
      </c>
      <c r="BL113" s="190">
        <f t="shared" si="20"/>
        <v>0</v>
      </c>
      <c r="BM113" s="190">
        <f t="shared" si="21"/>
        <v>0</v>
      </c>
      <c r="BN113" s="784"/>
      <c r="BO113" s="784"/>
      <c r="BP113" s="784"/>
      <c r="BS113" s="705" t="s">
        <v>2123</v>
      </c>
    </row>
    <row r="114" spans="2:75" s="95" customFormat="1" ht="20.45" hidden="1" customHeight="1">
      <c r="B114" s="344"/>
      <c r="C114" s="46"/>
      <c r="D114" s="46"/>
      <c r="E114" s="569">
        <v>21</v>
      </c>
      <c r="F114" s="3" cm="1">
        <f t="array" aca="1" ref="F114" ca="1">OFFSET(E114,-1,1)</f>
        <v>0</v>
      </c>
      <c r="G114" s="44" t="s">
        <v>2124</v>
      </c>
      <c r="H114" s="44"/>
      <c r="I114" s="44" t="s">
        <v>329</v>
      </c>
      <c r="J114" s="46"/>
      <c r="K114" s="91" t="s">
        <v>329</v>
      </c>
      <c r="L114" s="46" t="s">
        <v>1336</v>
      </c>
      <c r="M114" s="46"/>
      <c r="N114" s="46"/>
      <c r="O114" s="46"/>
      <c r="P114" s="46"/>
      <c r="Q114" s="46"/>
      <c r="R114" s="46"/>
      <c r="S114" s="46"/>
      <c r="T114" s="365" t="b" cm="1">
        <f t="array" aca="1" ref="T114" ca="1">T113</f>
        <v>0</v>
      </c>
      <c r="U114" s="46"/>
      <c r="V114" s="46"/>
      <c r="W114" s="46"/>
      <c r="X114" s="1094"/>
      <c r="Z114" s="1065"/>
      <c r="AB114" s="143" t="s">
        <v>325</v>
      </c>
      <c r="AC114" s="144" t="s">
        <v>2125</v>
      </c>
      <c r="AD114" s="143" t="s">
        <v>804</v>
      </c>
      <c r="AE114" s="145">
        <f ca="1">SUMIFS(ЭЭ!AE$25:AE$109,ЭЭ!$F$25:$F$109,$F114,ЭЭ!$AC$25:$AC$109,"Всего по тарифу")</f>
        <v>0</v>
      </c>
      <c r="AF114" s="145">
        <f ca="1">SUMIFS(ЭЭ!AF$25:AF$109,ЭЭ!$F$25:$F$109,$F114,ЭЭ!$AC$25:$AC$109,"Всего по тарифу")</f>
        <v>0</v>
      </c>
      <c r="AG114" s="145">
        <f ca="1">SUMIFS(ЭЭ!AG$25:AG$109,ЭЭ!$F$25:$F$109,$F114,ЭЭ!$AC$25:$AC$109,"Всего по тарифу")</f>
        <v>0</v>
      </c>
      <c r="AH114" s="145">
        <f t="shared" ca="1" si="10"/>
        <v>0</v>
      </c>
      <c r="AI114" s="145">
        <f ca="1">SUMIFS(ЭЭ!AH$25:AH$109,ЭЭ!$F$25:$F$109,$F114,ЭЭ!$AC$25:$AC$109,"Всего по тарифу")</f>
        <v>0</v>
      </c>
      <c r="AJ114" s="145">
        <f ca="1">SUMIFS(ЭЭ!AI$25:AI$109,ЭЭ!$F$25:$F$109,$F114,ЭЭ!$AC$25:$AC$109,"Всего по тарифу")</f>
        <v>0</v>
      </c>
      <c r="AK114" s="145">
        <f ca="1">SUMIFS(ЭЭ!AJ$25:AJ$109,ЭЭ!$F$25:$F$109,$F114,ЭЭ!$AC$25:$AC$109,"Всего по тарифу")</f>
        <v>0</v>
      </c>
      <c r="AL114" s="145">
        <f ca="1">SUMIFS(ЭЭ!AK$25:AK$109,ЭЭ!$F$25:$F$109,$F114,ЭЭ!$AC$25:$AC$109,"Всего по тарифу")</f>
        <v>0</v>
      </c>
      <c r="AM114" s="145">
        <f ca="1">SUMIFS(ЭЭ!AL$25:AL$109,ЭЭ!$F$25:$F$109,$F114,ЭЭ!$AC$25:$AC$109,"Всего по тарифу")</f>
        <v>0</v>
      </c>
      <c r="AN114" s="145">
        <f ca="1">SUMIFS(ЭЭ!AM$25:AM$109,ЭЭ!$F$25:$F$109,$F114,ЭЭ!$AC$25:$AC$109,"Всего по тарифу")</f>
        <v>0</v>
      </c>
      <c r="AO114" s="145">
        <f ca="1">SUMIFS(ЭЭ!AN$25:AN$109,ЭЭ!$F$25:$F$109,$F114,ЭЭ!$AC$25:$AC$109,"Всего по тарифу")</f>
        <v>0</v>
      </c>
      <c r="AP114" s="145">
        <f ca="1">SUMIFS(ЭЭ!AO$25:AO$109,ЭЭ!$F$25:$F$109,$F114,ЭЭ!$AC$25:$AC$109,"Всего по тарифу")</f>
        <v>0</v>
      </c>
      <c r="AQ114" s="145">
        <f ca="1">SUMIFS(ЭЭ!AP$25:AP$109,ЭЭ!$F$25:$F$109,$F114,ЭЭ!$AC$25:$AC$109,"Всего по тарифу")</f>
        <v>0</v>
      </c>
      <c r="AR114" s="145">
        <f ca="1">SUMIFS(ЭЭ!AQ$25:AQ$109,ЭЭ!$F$25:$F$109,$F114,ЭЭ!$AC$25:$AC$109,"Всего по тарифу")</f>
        <v>0</v>
      </c>
      <c r="AS114" s="145">
        <f ca="1">SUMIFS(ЭЭ!AR$25:AR$109,ЭЭ!$F$25:$F$109,$F114,ЭЭ!$AC$25:$AC$109,"Всего по тарифу")</f>
        <v>0</v>
      </c>
      <c r="AT114" s="145">
        <f ca="1">SUMIFS(ЭЭ!AS$25:AS$109,ЭЭ!$F$25:$F$109,$F114,ЭЭ!$AC$25:$AC$109,"Всего по тарифу")</f>
        <v>0</v>
      </c>
      <c r="AU114" s="145">
        <f ca="1">SUMIFS(ЭЭ!AT$25:AT$109,ЭЭ!$F$25:$F$109,$F114,ЭЭ!$AC$25:$AC$109,"Всего по тарифу")</f>
        <v>0</v>
      </c>
      <c r="AV114" s="145">
        <f ca="1">SUMIFS(ЭЭ!AU$25:AU$109,ЭЭ!$F$25:$F$109,$F114,ЭЭ!$AC$25:$AC$109,"Всего по тарифу")</f>
        <v>0</v>
      </c>
      <c r="AW114" s="145">
        <f ca="1">SUMIFS(ЭЭ!AV$25:AV$109,ЭЭ!$F$25:$F$109,$F114,ЭЭ!$AC$25:$AC$109,"Всего по тарифу")</f>
        <v>0</v>
      </c>
      <c r="AX114" s="145">
        <f ca="1">SUMIFS(ЭЭ!AW$25:AW$109,ЭЭ!$F$25:$F$109,$F114,ЭЭ!$AC$25:$AC$109,"Всего по тарифу")</f>
        <v>0</v>
      </c>
      <c r="AY114" s="145">
        <f ca="1">SUMIFS(ЭЭ!AX$25:AX$109,ЭЭ!$F$25:$F$109,$F114,ЭЭ!$AC$25:$AC$109,"Всего по тарифу")</f>
        <v>0</v>
      </c>
      <c r="AZ114" s="145">
        <f ca="1">SUMIFS(ЭЭ!AY$25:AY$109,ЭЭ!$F$25:$F$109,$F114,ЭЭ!$AC$25:$AC$109,"Всего по тарифу")</f>
        <v>0</v>
      </c>
      <c r="BA114" s="145">
        <f ca="1">SUMIFS(ЭЭ!AZ$25:AZ$109,ЭЭ!$F$25:$F$109,$F114,ЭЭ!$AC$25:$AC$109,"Всего по тарифу")</f>
        <v>0</v>
      </c>
      <c r="BB114" s="145">
        <f ca="1">SUMIFS(ЭЭ!BA$25:BA$109,ЭЭ!$F$25:$F$109,$F114,ЭЭ!$AC$25:$AC$109,"Всего по тарифу")</f>
        <v>0</v>
      </c>
      <c r="BC114" s="145">
        <f ca="1">SUMIFS(ЭЭ!BB$25:BB$109,ЭЭ!$F$25:$F$109,$F114,ЭЭ!$AC$25:$AC$109,"Всего по тарифу")</f>
        <v>0</v>
      </c>
      <c r="BD114" s="145">
        <f t="shared" ca="1" si="12"/>
        <v>0</v>
      </c>
      <c r="BE114" s="145">
        <f t="shared" ca="1" si="13"/>
        <v>0</v>
      </c>
      <c r="BF114" s="145">
        <f t="shared" ca="1" si="14"/>
        <v>0</v>
      </c>
      <c r="BG114" s="145">
        <f t="shared" ca="1" si="15"/>
        <v>0</v>
      </c>
      <c r="BH114" s="145">
        <f t="shared" ca="1" si="16"/>
        <v>0</v>
      </c>
      <c r="BI114" s="145">
        <f t="shared" ca="1" si="17"/>
        <v>0</v>
      </c>
      <c r="BJ114" s="145">
        <f t="shared" ca="1" si="18"/>
        <v>0</v>
      </c>
      <c r="BK114" s="145">
        <f t="shared" ca="1" si="19"/>
        <v>0</v>
      </c>
      <c r="BL114" s="145">
        <f t="shared" ca="1" si="20"/>
        <v>0</v>
      </c>
      <c r="BM114" s="145">
        <f t="shared" ca="1" si="21"/>
        <v>0</v>
      </c>
      <c r="BN114" s="784"/>
      <c r="BO114" s="788" t="str">
        <f ca="1">IF(IFERROR(INDEX(ЭЭ!$K$26:$L$109,MATCH($F114&amp;"komm",ЭЭ!$K$26:$K$109,0),2),"")=0,"",IFERROR(INDEX(ЭЭ!$K$26:$L$109,MATCH($F114&amp;"komm",ЭЭ!$K$26:$K$109,0),2),""))</f>
        <v/>
      </c>
      <c r="BP114" s="784"/>
      <c r="BS114" s="711" t="s">
        <v>1733</v>
      </c>
      <c r="BT114" s="711"/>
      <c r="BU114" s="711"/>
      <c r="BV114" s="522"/>
      <c r="BW114" s="522"/>
    </row>
    <row r="115" spans="2:75" s="95" customFormat="1" ht="21.95" hidden="1" customHeight="1">
      <c r="B115" s="95" t="b">
        <f>method_reg="Метод индексации"</f>
        <v>1</v>
      </c>
      <c r="C115" s="46"/>
      <c r="D115" s="46"/>
      <c r="E115" s="569">
        <v>22.5</v>
      </c>
      <c r="F115" s="3" cm="1">
        <f t="array" aca="1" ref="F115" ca="1">OFFSET(E115,-1,1)</f>
        <v>0</v>
      </c>
      <c r="G115" s="44" t="s">
        <v>1501</v>
      </c>
      <c r="H115" s="44"/>
      <c r="I115" s="44" t="s">
        <v>331</v>
      </c>
      <c r="J115" s="46"/>
      <c r="K115" s="91"/>
      <c r="L115" s="46" t="s">
        <v>330</v>
      </c>
      <c r="M115" s="46"/>
      <c r="N115" s="46"/>
      <c r="O115" s="46"/>
      <c r="P115" s="46"/>
      <c r="Q115" s="46"/>
      <c r="R115" s="46"/>
      <c r="S115" s="46"/>
      <c r="T115" s="365" t="b" cm="1">
        <f t="array" aca="1" ref="T115" ca="1">T114</f>
        <v>0</v>
      </c>
      <c r="U115" s="46"/>
      <c r="V115" s="46"/>
      <c r="W115" s="46"/>
      <c r="X115" s="1094"/>
      <c r="Z115" s="1065"/>
      <c r="AB115" s="143" t="s">
        <v>433</v>
      </c>
      <c r="AC115" s="144" t="s">
        <v>2126</v>
      </c>
      <c r="AD115" s="143" t="s">
        <v>804</v>
      </c>
      <c r="AE115" s="145">
        <f ca="1">SUMIFS(Амортизация!AE$25:AE$174,Амортизация!$F$25:$F$174,$F115,Амортизация!$AC$25:$AC$174,"Сумма амортизационных отчислений")</f>
        <v>0</v>
      </c>
      <c r="AF115" s="145">
        <f ca="1">SUMIFS(Амортизация!AF$25:AF$174,Амортизация!$F$25:$F$174,$F115,Амортизация!$AC$25:$AC$174,"Сумма амортизационных отчислений")</f>
        <v>0</v>
      </c>
      <c r="AG115" s="145">
        <f ca="1">SUMIFS(Амортизация!AG$25:AG$174,Амортизация!$F$25:$F$174,$F115,Амортизация!$AC$25:$AC$174,"Сумма амортизационных отчислений")</f>
        <v>0</v>
      </c>
      <c r="AH115" s="145">
        <f t="shared" ca="1" si="10"/>
        <v>0</v>
      </c>
      <c r="AI115" s="145">
        <f ca="1">SUMIFS(Амортизация!AH$25:AH$174,Амортизация!$F$25:$F$174,$F115,Амортизация!$AC$25:$AC$174,"Сумма амортизационных отчислений")</f>
        <v>0</v>
      </c>
      <c r="AJ115" s="145">
        <f ca="1">SUMIFS(Амортизация!AI$25:AI$174,Амортизация!$F$25:$F$174,$F115,Амортизация!$AC$25:$AC$174,"Сумма амортизационных отчислений")</f>
        <v>0</v>
      </c>
      <c r="AK115" s="145">
        <f ca="1">SUMIFS(Амортизация!AJ$25:AJ$174,Амортизация!$F$25:$F$174,$F115,Амортизация!$AC$25:$AC$174,"Сумма амортизационных отчислений")</f>
        <v>0</v>
      </c>
      <c r="AL115" s="145">
        <f ca="1">SUMIFS(Амортизация!AK$25:AK$174,Амортизация!$F$25:$F$174,$F115,Амортизация!$AC$25:$AC$174,"Сумма амортизационных отчислений")</f>
        <v>0</v>
      </c>
      <c r="AM115" s="145">
        <f ca="1">SUMIFS(Амортизация!AL$25:AL$174,Амортизация!$F$25:$F$174,$F115,Амортизация!$AC$25:$AC$174,"Сумма амортизационных отчислений")</f>
        <v>0</v>
      </c>
      <c r="AN115" s="145">
        <f ca="1">SUMIFS(Амортизация!AM$25:AM$174,Амортизация!$F$25:$F$174,$F115,Амортизация!$AC$25:$AC$174,"Сумма амортизационных отчислений")</f>
        <v>0</v>
      </c>
      <c r="AO115" s="145">
        <f ca="1">SUMIFS(Амортизация!AN$25:AN$174,Амортизация!$F$25:$F$174,$F115,Амортизация!$AC$25:$AC$174,"Сумма амортизационных отчислений")</f>
        <v>0</v>
      </c>
      <c r="AP115" s="145">
        <f ca="1">SUMIFS(Амортизация!AO$25:AO$174,Амортизация!$F$25:$F$174,$F115,Амортизация!$AC$25:$AC$174,"Сумма амортизационных отчислений")</f>
        <v>0</v>
      </c>
      <c r="AQ115" s="145">
        <f ca="1">SUMIFS(Амортизация!AP$25:AP$174,Амортизация!$F$25:$F$174,$F115,Амортизация!$AC$25:$AC$174,"Сумма амортизационных отчислений")</f>
        <v>0</v>
      </c>
      <c r="AR115" s="145">
        <f ca="1">SUMIFS(Амортизация!AQ$25:AQ$174,Амортизация!$F$25:$F$174,$F115,Амортизация!$AC$25:$AC$174,"Сумма амортизационных отчислений")</f>
        <v>0</v>
      </c>
      <c r="AS115" s="145">
        <f ca="1">SUMIFS(Амортизация!AR$25:AR$174,Амортизация!$F$25:$F$174,$F115,Амортизация!$AC$25:$AC$174,"Сумма амортизационных отчислений")</f>
        <v>0</v>
      </c>
      <c r="AT115" s="145">
        <f ca="1">SUMIFS(Амортизация!AS$25:AS$174,Амортизация!$F$25:$F$174,$F115,Амортизация!$AC$25:$AC$174,"Сумма амортизационных отчислений")</f>
        <v>0</v>
      </c>
      <c r="AU115" s="145">
        <f ca="1">SUMIFS(Амортизация!AT$25:AT$174,Амортизация!$F$25:$F$174,$F115,Амортизация!$AC$25:$AC$174,"Сумма амортизационных отчислений")</f>
        <v>0</v>
      </c>
      <c r="AV115" s="145">
        <f ca="1">SUMIFS(Амортизация!AU$25:AU$174,Амортизация!$F$25:$F$174,$F115,Амортизация!$AC$25:$AC$174,"Сумма амортизационных отчислений")</f>
        <v>0</v>
      </c>
      <c r="AW115" s="145">
        <f ca="1">SUMIFS(Амортизация!AV$25:AV$174,Амортизация!$F$25:$F$174,$F115,Амортизация!$AC$25:$AC$174,"Сумма амортизационных отчислений")</f>
        <v>0</v>
      </c>
      <c r="AX115" s="145">
        <f ca="1">SUMIFS(Амортизация!AW$25:AW$174,Амортизация!$F$25:$F$174,$F115,Амортизация!$AC$25:$AC$174,"Сумма амортизационных отчислений")</f>
        <v>0</v>
      </c>
      <c r="AY115" s="145">
        <f ca="1">SUMIFS(Амортизация!AX$25:AX$174,Амортизация!$F$25:$F$174,$F115,Амортизация!$AC$25:$AC$174,"Сумма амортизационных отчислений")</f>
        <v>0</v>
      </c>
      <c r="AZ115" s="145">
        <f ca="1">SUMIFS(Амортизация!AY$25:AY$174,Амортизация!$F$25:$F$174,$F115,Амортизация!$AC$25:$AC$174,"Сумма амортизационных отчислений")</f>
        <v>0</v>
      </c>
      <c r="BA115" s="145">
        <f ca="1">SUMIFS(Амортизация!AZ$25:AZ$174,Амортизация!$F$25:$F$174,$F115,Амортизация!$AC$25:$AC$174,"Сумма амортизационных отчислений")</f>
        <v>0</v>
      </c>
      <c r="BB115" s="145">
        <f ca="1">SUMIFS(Амортизация!BA$25:BA$174,Амортизация!$F$25:$F$174,$F115,Амортизация!$AC$25:$AC$174,"Сумма амортизационных отчислений")</f>
        <v>0</v>
      </c>
      <c r="BC115" s="145">
        <f ca="1">SUMIFS(Амортизация!BB$25:BB$174,Амортизация!$F$25:$F$174,$F115,Амортизация!$AC$25:$AC$174,"Сумма амортизационных отчислений")</f>
        <v>0</v>
      </c>
      <c r="BD115" s="145">
        <f t="shared" ca="1" si="12"/>
        <v>0</v>
      </c>
      <c r="BE115" s="145">
        <f t="shared" ca="1" si="13"/>
        <v>0</v>
      </c>
      <c r="BF115" s="145">
        <f t="shared" ca="1" si="14"/>
        <v>0</v>
      </c>
      <c r="BG115" s="145">
        <f t="shared" ca="1" si="15"/>
        <v>0</v>
      </c>
      <c r="BH115" s="145">
        <f t="shared" ca="1" si="16"/>
        <v>0</v>
      </c>
      <c r="BI115" s="145">
        <f t="shared" ca="1" si="17"/>
        <v>0</v>
      </c>
      <c r="BJ115" s="145">
        <f t="shared" ca="1" si="18"/>
        <v>0</v>
      </c>
      <c r="BK115" s="145">
        <f t="shared" ca="1" si="19"/>
        <v>0</v>
      </c>
      <c r="BL115" s="145">
        <f t="shared" ca="1" si="20"/>
        <v>0</v>
      </c>
      <c r="BM115" s="145">
        <f t="shared" ca="1" si="21"/>
        <v>0</v>
      </c>
      <c r="BN115" s="784"/>
      <c r="BO115" s="788" t="str">
        <f ca="1">IF(IFERROR(INDEX(Амортизация!$K$26:$L$174,MATCH($F115&amp;"komm",Амортизация!$K$26:$K$174,0),2),"")=0,"",IFERROR(INDEX(Амортизация!$K$26:$L$174,MATCH($F115&amp;"komm",Амортизация!$K$26:$K$174,0),2),""))</f>
        <v/>
      </c>
      <c r="BP115" s="784"/>
      <c r="BS115" s="711" t="s">
        <v>1241</v>
      </c>
      <c r="BT115" s="711"/>
      <c r="BU115" s="711"/>
      <c r="BV115" s="522"/>
      <c r="BW115" s="522"/>
    </row>
    <row r="116" spans="2:75" ht="14.65" hidden="1" customHeight="1">
      <c r="B116" s="341" t="b" cm="1">
        <f t="array" ref="B116">B115</f>
        <v>1</v>
      </c>
      <c r="C116" s="44"/>
      <c r="D116" s="44"/>
      <c r="E116" s="462">
        <v>15</v>
      </c>
      <c r="F116" s="3" cm="1">
        <f t="array" aca="1" ref="F116" ca="1">OFFSET(E116,-1,1)</f>
        <v>0</v>
      </c>
      <c r="G116" s="44"/>
      <c r="H116" s="44"/>
      <c r="I116" s="44" t="s">
        <v>536</v>
      </c>
      <c r="J116" s="44"/>
      <c r="L116" s="44" t="s">
        <v>550</v>
      </c>
      <c r="M116" s="44"/>
      <c r="N116" s="44"/>
      <c r="O116" s="44"/>
      <c r="P116" s="44"/>
      <c r="Q116" s="44"/>
      <c r="R116" s="44"/>
      <c r="S116" s="44"/>
      <c r="T116" s="365" t="b" cm="1">
        <f t="array" aca="1" ref="T116" ca="1">T115</f>
        <v>0</v>
      </c>
      <c r="U116" s="44"/>
      <c r="V116" s="44"/>
      <c r="W116" s="44"/>
      <c r="X116" s="1094"/>
      <c r="Z116" s="1065"/>
      <c r="AB116" s="26" t="s">
        <v>673</v>
      </c>
      <c r="AC116" s="146" t="s">
        <v>1825</v>
      </c>
      <c r="AD116" s="26" t="s">
        <v>804</v>
      </c>
      <c r="AE116" s="787">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7">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7">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190">
        <f t="shared" ca="1" si="10"/>
        <v>0</v>
      </c>
      <c r="AI116" s="787">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7">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7">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7">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7">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7">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7">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7">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7">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7">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7">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7">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7">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7">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7">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7">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7">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7">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7">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7">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7">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190">
        <f t="shared" ca="1" si="12"/>
        <v>0</v>
      </c>
      <c r="BE116" s="190">
        <f t="shared" ca="1" si="13"/>
        <v>0</v>
      </c>
      <c r="BF116" s="190">
        <f t="shared" ca="1" si="14"/>
        <v>0</v>
      </c>
      <c r="BG116" s="190">
        <f t="shared" ca="1" si="15"/>
        <v>0</v>
      </c>
      <c r="BH116" s="190">
        <f t="shared" ca="1" si="16"/>
        <v>0</v>
      </c>
      <c r="BI116" s="190">
        <f t="shared" ca="1" si="17"/>
        <v>0</v>
      </c>
      <c r="BJ116" s="190">
        <f t="shared" ca="1" si="18"/>
        <v>0</v>
      </c>
      <c r="BK116" s="190">
        <f t="shared" ca="1" si="19"/>
        <v>0</v>
      </c>
      <c r="BL116" s="190">
        <f t="shared" ca="1" si="20"/>
        <v>0</v>
      </c>
      <c r="BM116" s="190">
        <f t="shared" ca="1" si="21"/>
        <v>0</v>
      </c>
      <c r="BN116" s="784"/>
      <c r="BO116" s="784"/>
      <c r="BP116" s="784"/>
      <c r="BS116" s="705" t="s">
        <v>1826</v>
      </c>
    </row>
    <row r="117" spans="2:75" s="95" customFormat="1" ht="20.45" hidden="1" customHeight="1">
      <c r="B117" s="341" t="b" cm="1">
        <f t="array" ref="B117">B116</f>
        <v>1</v>
      </c>
      <c r="C117" s="46"/>
      <c r="D117" s="46"/>
      <c r="E117" s="569">
        <v>21</v>
      </c>
      <c r="F117" s="3" cm="1">
        <f t="array" aca="1" ref="F117" ca="1">OFFSET(E117,-1,1)</f>
        <v>0</v>
      </c>
      <c r="G117" s="44" t="s">
        <v>1505</v>
      </c>
      <c r="H117" s="44"/>
      <c r="I117" s="44" t="s">
        <v>330</v>
      </c>
      <c r="J117" s="46"/>
      <c r="K117" s="91"/>
      <c r="L117" s="46" t="s">
        <v>562</v>
      </c>
      <c r="M117" s="46"/>
      <c r="N117" s="46"/>
      <c r="O117" s="46"/>
      <c r="P117" s="46"/>
      <c r="Q117" s="46"/>
      <c r="R117" s="46"/>
      <c r="S117" s="46"/>
      <c r="T117" s="365" t="b" cm="1">
        <f t="array" aca="1" ref="T117" ca="1">T116</f>
        <v>0</v>
      </c>
      <c r="U117" s="46"/>
      <c r="V117" s="46"/>
      <c r="W117" s="46"/>
      <c r="X117" s="1094"/>
      <c r="Z117" s="1065"/>
      <c r="AB117" s="143" t="s">
        <v>444</v>
      </c>
      <c r="AC117" s="144" t="s">
        <v>1505</v>
      </c>
      <c r="AD117" s="166" t="s">
        <v>804</v>
      </c>
      <c r="AE117" s="145">
        <f ca="1">AE118+AE119+AE120+AE121</f>
        <v>0</v>
      </c>
      <c r="AF117" s="145">
        <f ca="1">AF118+AF119+AF120+AF121</f>
        <v>0</v>
      </c>
      <c r="AG117" s="145">
        <f ca="1">AG118+AG119+AG120+AG121</f>
        <v>0</v>
      </c>
      <c r="AH117" s="145">
        <f t="shared" ca="1" si="10"/>
        <v>0</v>
      </c>
      <c r="AI117" s="145">
        <f t="shared" ref="AI117:BC117" ca="1" si="25">AI118+AI119+AI120+AI121</f>
        <v>0</v>
      </c>
      <c r="AJ117" s="145">
        <f t="shared" ca="1" si="25"/>
        <v>0</v>
      </c>
      <c r="AK117" s="145">
        <f t="shared" ca="1" si="25"/>
        <v>0</v>
      </c>
      <c r="AL117" s="145">
        <f t="shared" ca="1" si="25"/>
        <v>0</v>
      </c>
      <c r="AM117" s="145">
        <f t="shared" ca="1" si="25"/>
        <v>0</v>
      </c>
      <c r="AN117" s="145">
        <f t="shared" ca="1" si="25"/>
        <v>0</v>
      </c>
      <c r="AO117" s="145">
        <f t="shared" ca="1" si="25"/>
        <v>0</v>
      </c>
      <c r="AP117" s="145">
        <f t="shared" ca="1" si="25"/>
        <v>0</v>
      </c>
      <c r="AQ117" s="145">
        <f t="shared" ca="1" si="25"/>
        <v>0</v>
      </c>
      <c r="AR117" s="145">
        <f t="shared" ca="1" si="25"/>
        <v>0</v>
      </c>
      <c r="AS117" s="145">
        <f t="shared" ca="1" si="25"/>
        <v>0</v>
      </c>
      <c r="AT117" s="145">
        <f t="shared" ca="1" si="25"/>
        <v>0</v>
      </c>
      <c r="AU117" s="145">
        <f t="shared" ca="1" si="25"/>
        <v>0</v>
      </c>
      <c r="AV117" s="145">
        <f t="shared" ca="1" si="25"/>
        <v>0</v>
      </c>
      <c r="AW117" s="145">
        <f t="shared" ca="1" si="25"/>
        <v>0</v>
      </c>
      <c r="AX117" s="145">
        <f t="shared" ca="1" si="25"/>
        <v>0</v>
      </c>
      <c r="AY117" s="145">
        <f t="shared" ca="1" si="25"/>
        <v>0</v>
      </c>
      <c r="AZ117" s="145">
        <f t="shared" ca="1" si="25"/>
        <v>0</v>
      </c>
      <c r="BA117" s="145">
        <f t="shared" ca="1" si="25"/>
        <v>0</v>
      </c>
      <c r="BB117" s="145">
        <f t="shared" ca="1" si="25"/>
        <v>0</v>
      </c>
      <c r="BC117" s="145">
        <f t="shared" ca="1" si="25"/>
        <v>0</v>
      </c>
      <c r="BD117" s="145">
        <f t="shared" ca="1" si="12"/>
        <v>0</v>
      </c>
      <c r="BE117" s="145">
        <f t="shared" ca="1" si="13"/>
        <v>0</v>
      </c>
      <c r="BF117" s="145">
        <f t="shared" ca="1" si="14"/>
        <v>0</v>
      </c>
      <c r="BG117" s="145">
        <f t="shared" ca="1" si="15"/>
        <v>0</v>
      </c>
      <c r="BH117" s="145">
        <f t="shared" ca="1" si="16"/>
        <v>0</v>
      </c>
      <c r="BI117" s="145">
        <f t="shared" ca="1" si="17"/>
        <v>0</v>
      </c>
      <c r="BJ117" s="145">
        <f t="shared" ca="1" si="18"/>
        <v>0</v>
      </c>
      <c r="BK117" s="145">
        <f t="shared" ca="1" si="19"/>
        <v>0</v>
      </c>
      <c r="BL117" s="145">
        <f t="shared" ca="1" si="20"/>
        <v>0</v>
      </c>
      <c r="BM117" s="145">
        <f t="shared" ca="1" si="21"/>
        <v>0</v>
      </c>
      <c r="BN117" s="784"/>
      <c r="BO117" s="784"/>
      <c r="BP117" s="784"/>
      <c r="BS117" s="704" t="s">
        <v>1509</v>
      </c>
      <c r="BT117" s="711"/>
      <c r="BU117" s="711"/>
      <c r="BV117" s="522"/>
      <c r="BW117" s="522"/>
    </row>
    <row r="118" spans="2:75" ht="14.65" hidden="1" customHeight="1">
      <c r="B118" s="341" t="b" cm="1">
        <f t="array" ref="B118">B117</f>
        <v>1</v>
      </c>
      <c r="C118" s="44"/>
      <c r="D118" s="44"/>
      <c r="E118" s="462">
        <v>15</v>
      </c>
      <c r="F118" s="3" cm="1">
        <f t="array" aca="1" ref="F118" ca="1">OFFSET(E118,-1,1)</f>
        <v>0</v>
      </c>
      <c r="G118" s="44"/>
      <c r="H118" s="44"/>
      <c r="I118" s="44" t="s">
        <v>550</v>
      </c>
      <c r="J118" s="44"/>
      <c r="L118" s="44"/>
      <c r="M118" s="44"/>
      <c r="N118" s="44"/>
      <c r="O118" s="44"/>
      <c r="P118" s="44"/>
      <c r="Q118" s="44"/>
      <c r="R118" s="44"/>
      <c r="S118" s="44"/>
      <c r="T118" s="365" t="b" cm="1">
        <f t="array" aca="1" ref="T118" ca="1">T117</f>
        <v>0</v>
      </c>
      <c r="U118" s="44"/>
      <c r="V118" s="44"/>
      <c r="W118" s="44"/>
      <c r="X118" s="1094"/>
      <c r="Z118" s="1065"/>
      <c r="AB118" s="26" t="s">
        <v>680</v>
      </c>
      <c r="AC118" s="146" t="s">
        <v>2127</v>
      </c>
      <c r="AD118" s="26" t="s">
        <v>804</v>
      </c>
      <c r="AE118" s="787">
        <f ca="1">SUMIFS('ИП + источники'!AF$27:AF$145,'ИП + источники'!$F$27:$F$145,$F118,'ИП + источники'!$AC$27:$AC$145,"погашение займов и кредитов из нормативной прибыли")</f>
        <v>0</v>
      </c>
      <c r="AF118" s="787">
        <f ca="1">SUMIFS('ИП + источники'!AG$27:AG$145,'ИП + источники'!$F$27:$F$145,$F118,'ИП + источники'!$AC$27:$AC$145,"погашение займов и кредитов из нормативной прибыли")</f>
        <v>0</v>
      </c>
      <c r="AG118" s="787">
        <f ca="1">SUMIFS('ИП + источники'!AH$27:AH$145,'ИП + источники'!$F$27:$F$145,$F118,'ИП + источники'!$AC$27:$AC$145,"погашение займов и кредитов из нормативной прибыли")</f>
        <v>0</v>
      </c>
      <c r="AH118" s="190">
        <f t="shared" ca="1" si="10"/>
        <v>0</v>
      </c>
      <c r="AI118" s="787">
        <f ca="1">SUMIFS('ИП + источники'!AJ$27:AJ$145,'ИП + источники'!$F$27:$F$145,$F118,'ИП + источники'!$AC$27:$AC$145,"погашение займов и кредитов из нормативной прибыли")</f>
        <v>0</v>
      </c>
      <c r="AJ118" s="787">
        <f ca="1">SUMIFS('ИП + источники'!AK$27:AK$145,'ИП + источники'!$F$27:$F$145,$F118,'ИП + источники'!$AC$27:$AC$145,"погашение займов и кредитов из нормативной прибыли")</f>
        <v>0</v>
      </c>
      <c r="AK118" s="787">
        <f ca="1">SUMIFS('ИП + источники'!AL$27:AL$145,'ИП + источники'!$F$27:$F$145,$F118,'ИП + источники'!$AC$27:$AC$145,"погашение займов и кредитов из нормативной прибыли")</f>
        <v>0</v>
      </c>
      <c r="AL118" s="787">
        <f ca="1">SUMIFS('ИП + источники'!AM$27:AM$145,'ИП + источники'!$F$27:$F$145,$F118,'ИП + источники'!$AC$27:$AC$145,"погашение займов и кредитов из нормативной прибыли")</f>
        <v>0</v>
      </c>
      <c r="AM118" s="787">
        <f ca="1">SUMIFS('ИП + источники'!AN$27:AN$145,'ИП + источники'!$F$27:$F$145,$F118,'ИП + источники'!$AC$27:$AC$145,"погашение займов и кредитов из нормативной прибыли")</f>
        <v>0</v>
      </c>
      <c r="AN118" s="787">
        <f ca="1">SUMIFS('ИП + источники'!AO$27:AO$145,'ИП + источники'!$F$27:$F$145,$F118,'ИП + источники'!$AC$27:$AC$145,"погашение займов и кредитов из нормативной прибыли")</f>
        <v>0</v>
      </c>
      <c r="AO118" s="787">
        <f ca="1">SUMIFS('ИП + источники'!AP$27:AP$145,'ИП + источники'!$F$27:$F$145,$F118,'ИП + источники'!$AC$27:$AC$145,"погашение займов и кредитов из нормативной прибыли")</f>
        <v>0</v>
      </c>
      <c r="AP118" s="787">
        <f ca="1">SUMIFS('ИП + источники'!AQ$27:AQ$145,'ИП + источники'!$F$27:$F$145,$F118,'ИП + источники'!$AC$27:$AC$145,"погашение займов и кредитов из нормативной прибыли")</f>
        <v>0</v>
      </c>
      <c r="AQ118" s="787">
        <f ca="1">SUMIFS('ИП + источники'!AR$27:AR$145,'ИП + источники'!$F$27:$F$145,$F118,'ИП + источники'!$AC$27:$AC$145,"погашение займов и кредитов из нормативной прибыли")</f>
        <v>0</v>
      </c>
      <c r="AR118" s="787">
        <f ca="1">SUMIFS('ИП + источники'!AS$27:AS$145,'ИП + источники'!$F$27:$F$145,$F118,'ИП + источники'!$AC$27:$AC$145,"погашение займов и кредитов из нормативной прибыли")</f>
        <v>0</v>
      </c>
      <c r="AS118" s="787">
        <f ca="1">SUMIFS('ИП + источники'!AT$27:AT$145,'ИП + источники'!$F$27:$F$145,$F118,'ИП + источники'!$AC$27:$AC$145,"погашение займов и кредитов из нормативной прибыли")</f>
        <v>0</v>
      </c>
      <c r="AT118" s="787">
        <f ca="1">SUMIFS('ИП + источники'!AU$27:AU$145,'ИП + источники'!$F$27:$F$145,$F118,'ИП + источники'!$AC$27:$AC$145,"погашение займов и кредитов из нормативной прибыли")</f>
        <v>0</v>
      </c>
      <c r="AU118" s="787">
        <f ca="1">SUMIFS('ИП + источники'!AV$27:AV$145,'ИП + источники'!$F$27:$F$145,$F118,'ИП + источники'!$AC$27:$AC$145,"погашение займов и кредитов из нормативной прибыли")</f>
        <v>0</v>
      </c>
      <c r="AV118" s="787">
        <f ca="1">SUMIFS('ИП + источники'!AW$27:AW$145,'ИП + источники'!$F$27:$F$145,$F118,'ИП + источники'!$AC$27:$AC$145,"погашение займов и кредитов из нормативной прибыли")</f>
        <v>0</v>
      </c>
      <c r="AW118" s="787">
        <f ca="1">SUMIFS('ИП + источники'!AX$27:AX$145,'ИП + источники'!$F$27:$F$145,$F118,'ИП + источники'!$AC$27:$AC$145,"погашение займов и кредитов из нормативной прибыли")</f>
        <v>0</v>
      </c>
      <c r="AX118" s="787">
        <f ca="1">SUMIFS('ИП + источники'!AY$27:AY$145,'ИП + источники'!$F$27:$F$145,$F118,'ИП + источники'!$AC$27:$AC$145,"погашение займов и кредитов из нормативной прибыли")</f>
        <v>0</v>
      </c>
      <c r="AY118" s="787">
        <f ca="1">SUMIFS('ИП + источники'!AZ$27:AZ$145,'ИП + источники'!$F$27:$F$145,$F118,'ИП + источники'!$AC$27:$AC$145,"погашение займов и кредитов из нормативной прибыли")</f>
        <v>0</v>
      </c>
      <c r="AZ118" s="787">
        <f ca="1">SUMIFS('ИП + источники'!BA$27:BA$145,'ИП + источники'!$F$27:$F$145,$F118,'ИП + источники'!$AC$27:$AC$145,"погашение займов и кредитов из нормативной прибыли")</f>
        <v>0</v>
      </c>
      <c r="BA118" s="787">
        <f ca="1">SUMIFS('ИП + источники'!BB$27:BB$145,'ИП + источники'!$F$27:$F$145,$F118,'ИП + источники'!$AC$27:$AC$145,"погашение займов и кредитов из нормативной прибыли")</f>
        <v>0</v>
      </c>
      <c r="BB118" s="787">
        <f ca="1">SUMIFS('ИП + источники'!BC$27:BC$145,'ИП + источники'!$F$27:$F$145,$F118,'ИП + источники'!$AC$27:$AC$145,"погашение займов и кредитов из нормативной прибыли")</f>
        <v>0</v>
      </c>
      <c r="BC118" s="787">
        <f ca="1">SUMIFS('ИП + источники'!BD$27:BD$145,'ИП + источники'!$F$27:$F$145,$F118,'ИП + источники'!$AC$27:$AC$145,"погашение займов и кредитов из нормативной прибыли")</f>
        <v>0</v>
      </c>
      <c r="BD118" s="190">
        <f t="shared" ca="1" si="12"/>
        <v>0</v>
      </c>
      <c r="BE118" s="190">
        <f t="shared" ca="1" si="13"/>
        <v>0</v>
      </c>
      <c r="BF118" s="190">
        <f t="shared" ca="1" si="14"/>
        <v>0</v>
      </c>
      <c r="BG118" s="190">
        <f t="shared" ca="1" si="15"/>
        <v>0</v>
      </c>
      <c r="BH118" s="190">
        <f t="shared" ca="1" si="16"/>
        <v>0</v>
      </c>
      <c r="BI118" s="190">
        <f t="shared" ca="1" si="17"/>
        <v>0</v>
      </c>
      <c r="BJ118" s="190">
        <f t="shared" ca="1" si="18"/>
        <v>0</v>
      </c>
      <c r="BK118" s="190">
        <f t="shared" ca="1" si="19"/>
        <v>0</v>
      </c>
      <c r="BL118" s="190">
        <f t="shared" ca="1" si="20"/>
        <v>0</v>
      </c>
      <c r="BM118" s="190">
        <f t="shared" ca="1" si="21"/>
        <v>0</v>
      </c>
      <c r="BN118" s="784"/>
      <c r="BO118" s="788" t="str">
        <f ca="1">IF(IFERROR(INDEX('ИП + источники'!$K$57:$L$145,MATCH($F118&amp;"2komm",'ИП + источники'!$K$57:$K$145,0),2),"")=0,"",IFERROR(INDEX('ИП + источники'!$K$57:$L$145,MATCH($F118&amp;"2komm",'ИП + источники'!$K$57:$K$145,0),2),""))</f>
        <v/>
      </c>
      <c r="BP118" s="784"/>
      <c r="BS118" s="705" t="s">
        <v>2128</v>
      </c>
    </row>
    <row r="119" spans="2:75" ht="14.65" hidden="1" customHeight="1">
      <c r="B119" s="341" t="b" cm="1">
        <f t="array" ref="B119">B118</f>
        <v>1</v>
      </c>
      <c r="C119" s="44"/>
      <c r="D119" s="44"/>
      <c r="E119" s="462">
        <v>15</v>
      </c>
      <c r="F119" s="3" cm="1">
        <f t="array" aca="1" ref="F119" ca="1">OFFSET(E119,-1,1)</f>
        <v>0</v>
      </c>
      <c r="G119" s="44"/>
      <c r="H119" s="44"/>
      <c r="I119" s="44" t="s">
        <v>554</v>
      </c>
      <c r="J119" s="44"/>
      <c r="L119" s="44"/>
      <c r="M119" s="44"/>
      <c r="N119" s="44"/>
      <c r="O119" s="44"/>
      <c r="P119" s="44"/>
      <c r="Q119" s="44"/>
      <c r="R119" s="44"/>
      <c r="S119" s="44"/>
      <c r="T119" s="365" t="b" cm="1">
        <f t="array" aca="1" ref="T119" ca="1">T118</f>
        <v>0</v>
      </c>
      <c r="U119" s="44"/>
      <c r="V119" s="44"/>
      <c r="W119" s="44"/>
      <c r="X119" s="1094"/>
      <c r="Z119" s="1065"/>
      <c r="AB119" s="26" t="s">
        <v>683</v>
      </c>
      <c r="AC119" s="146" t="s">
        <v>2129</v>
      </c>
      <c r="AD119" s="26" t="s">
        <v>804</v>
      </c>
      <c r="AE119" s="787">
        <f ca="1">SUMIFS('ИП + источники'!AF$27:AF$145,'ИП + источники'!$F$27:$F$145,$F119,'ИП + источники'!$AC$27:$AC$145,"уплата процентов по кредитам из нормативной прибыли")</f>
        <v>0</v>
      </c>
      <c r="AF119" s="787">
        <f ca="1">SUMIFS('ИП + источники'!AG$27:AG$145,'ИП + источники'!$F$27:$F$145,$F119,'ИП + источники'!$AC$27:$AC$145,"уплата процентов по кредитам из нормативной прибыли")</f>
        <v>0</v>
      </c>
      <c r="AG119" s="787">
        <f ca="1">SUMIFS('ИП + источники'!AH$27:AH$145,'ИП + источники'!$F$27:$F$145,$F119,'ИП + источники'!$AC$27:$AC$145,"уплата процентов по кредитам из нормативной прибыли")</f>
        <v>0</v>
      </c>
      <c r="AH119" s="190">
        <f t="shared" ca="1" si="10"/>
        <v>0</v>
      </c>
      <c r="AI119" s="787">
        <f ca="1">SUMIFS('ИП + источники'!AJ$27:AJ$145,'ИП + источники'!$F$27:$F$145,$F119,'ИП + источники'!$AC$27:$AC$145,"уплата процентов по кредитам из нормативной прибыли")</f>
        <v>0</v>
      </c>
      <c r="AJ119" s="787">
        <f ca="1">SUMIFS('ИП + источники'!AK$27:AK$145,'ИП + источники'!$F$27:$F$145,$F119,'ИП + источники'!$AC$27:$AC$145,"уплата процентов по кредитам из нормативной прибыли")</f>
        <v>0</v>
      </c>
      <c r="AK119" s="787">
        <f ca="1">SUMIFS('ИП + источники'!AL$27:AL$145,'ИП + источники'!$F$27:$F$145,$F119,'ИП + источники'!$AC$27:$AC$145,"уплата процентов по кредитам из нормативной прибыли")</f>
        <v>0</v>
      </c>
      <c r="AL119" s="787">
        <f ca="1">SUMIFS('ИП + источники'!AM$27:AM$145,'ИП + источники'!$F$27:$F$145,$F119,'ИП + источники'!$AC$27:$AC$145,"уплата процентов по кредитам из нормативной прибыли")</f>
        <v>0</v>
      </c>
      <c r="AM119" s="787">
        <f ca="1">SUMIFS('ИП + источники'!AN$27:AN$145,'ИП + источники'!$F$27:$F$145,$F119,'ИП + источники'!$AC$27:$AC$145,"уплата процентов по кредитам из нормативной прибыли")</f>
        <v>0</v>
      </c>
      <c r="AN119" s="787">
        <f ca="1">SUMIFS('ИП + источники'!AO$27:AO$145,'ИП + источники'!$F$27:$F$145,$F119,'ИП + источники'!$AC$27:$AC$145,"уплата процентов по кредитам из нормативной прибыли")</f>
        <v>0</v>
      </c>
      <c r="AO119" s="787">
        <f ca="1">SUMIFS('ИП + источники'!AP$27:AP$145,'ИП + источники'!$F$27:$F$145,$F119,'ИП + источники'!$AC$27:$AC$145,"уплата процентов по кредитам из нормативной прибыли")</f>
        <v>0</v>
      </c>
      <c r="AP119" s="787">
        <f ca="1">SUMIFS('ИП + источники'!AQ$27:AQ$145,'ИП + источники'!$F$27:$F$145,$F119,'ИП + источники'!$AC$27:$AC$145,"уплата процентов по кредитам из нормативной прибыли")</f>
        <v>0</v>
      </c>
      <c r="AQ119" s="787">
        <f ca="1">SUMIFS('ИП + источники'!AR$27:AR$145,'ИП + источники'!$F$27:$F$145,$F119,'ИП + источники'!$AC$27:$AC$145,"уплата процентов по кредитам из нормативной прибыли")</f>
        <v>0</v>
      </c>
      <c r="AR119" s="787">
        <f ca="1">SUMIFS('ИП + источники'!AS$27:AS$145,'ИП + источники'!$F$27:$F$145,$F119,'ИП + источники'!$AC$27:$AC$145,"уплата процентов по кредитам из нормативной прибыли")</f>
        <v>0</v>
      </c>
      <c r="AS119" s="787">
        <f ca="1">SUMIFS('ИП + источники'!AT$27:AT$145,'ИП + источники'!$F$27:$F$145,$F119,'ИП + источники'!$AC$27:$AC$145,"уплата процентов по кредитам из нормативной прибыли")</f>
        <v>0</v>
      </c>
      <c r="AT119" s="787">
        <f ca="1">SUMIFS('ИП + источники'!AU$27:AU$145,'ИП + источники'!$F$27:$F$145,$F119,'ИП + источники'!$AC$27:$AC$145,"уплата процентов по кредитам из нормативной прибыли")</f>
        <v>0</v>
      </c>
      <c r="AU119" s="787">
        <f ca="1">SUMIFS('ИП + источники'!AV$27:AV$145,'ИП + источники'!$F$27:$F$145,$F119,'ИП + источники'!$AC$27:$AC$145,"уплата процентов по кредитам из нормативной прибыли")</f>
        <v>0</v>
      </c>
      <c r="AV119" s="787">
        <f ca="1">SUMIFS('ИП + источники'!AW$27:AW$145,'ИП + источники'!$F$27:$F$145,$F119,'ИП + источники'!$AC$27:$AC$145,"уплата процентов по кредитам из нормативной прибыли")</f>
        <v>0</v>
      </c>
      <c r="AW119" s="787">
        <f ca="1">SUMIFS('ИП + источники'!AX$27:AX$145,'ИП + источники'!$F$27:$F$145,$F119,'ИП + источники'!$AC$27:$AC$145,"уплата процентов по кредитам из нормативной прибыли")</f>
        <v>0</v>
      </c>
      <c r="AX119" s="787">
        <f ca="1">SUMIFS('ИП + источники'!AY$27:AY$145,'ИП + источники'!$F$27:$F$145,$F119,'ИП + источники'!$AC$27:$AC$145,"уплата процентов по кредитам из нормативной прибыли")</f>
        <v>0</v>
      </c>
      <c r="AY119" s="787">
        <f ca="1">SUMIFS('ИП + источники'!AZ$27:AZ$145,'ИП + источники'!$F$27:$F$145,$F119,'ИП + источники'!$AC$27:$AC$145,"уплата процентов по кредитам из нормативной прибыли")</f>
        <v>0</v>
      </c>
      <c r="AZ119" s="787">
        <f ca="1">SUMIFS('ИП + источники'!BA$27:BA$145,'ИП + источники'!$F$27:$F$145,$F119,'ИП + источники'!$AC$27:$AC$145,"уплата процентов по кредитам из нормативной прибыли")</f>
        <v>0</v>
      </c>
      <c r="BA119" s="787">
        <f ca="1">SUMIFS('ИП + источники'!BB$27:BB$145,'ИП + источники'!$F$27:$F$145,$F119,'ИП + источники'!$AC$27:$AC$145,"уплата процентов по кредитам из нормативной прибыли")</f>
        <v>0</v>
      </c>
      <c r="BB119" s="787">
        <f ca="1">SUMIFS('ИП + источники'!BC$27:BC$145,'ИП + источники'!$F$27:$F$145,$F119,'ИП + источники'!$AC$27:$AC$145,"уплата процентов по кредитам из нормативной прибыли")</f>
        <v>0</v>
      </c>
      <c r="BC119" s="787">
        <f ca="1">SUMIFS('ИП + источники'!BD$27:BD$145,'ИП + источники'!$F$27:$F$145,$F119,'ИП + источники'!$AC$27:$AC$145,"уплата процентов по кредитам из нормативной прибыли")</f>
        <v>0</v>
      </c>
      <c r="BD119" s="190">
        <f t="shared" ca="1" si="12"/>
        <v>0</v>
      </c>
      <c r="BE119" s="190">
        <f t="shared" ca="1" si="13"/>
        <v>0</v>
      </c>
      <c r="BF119" s="190">
        <f t="shared" ca="1" si="14"/>
        <v>0</v>
      </c>
      <c r="BG119" s="190">
        <f t="shared" ca="1" si="15"/>
        <v>0</v>
      </c>
      <c r="BH119" s="190">
        <f t="shared" ca="1" si="16"/>
        <v>0</v>
      </c>
      <c r="BI119" s="190">
        <f t="shared" ca="1" si="17"/>
        <v>0</v>
      </c>
      <c r="BJ119" s="190">
        <f t="shared" ca="1" si="18"/>
        <v>0</v>
      </c>
      <c r="BK119" s="190">
        <f t="shared" ca="1" si="19"/>
        <v>0</v>
      </c>
      <c r="BL119" s="190">
        <f t="shared" ca="1" si="20"/>
        <v>0</v>
      </c>
      <c r="BM119" s="190">
        <f t="shared" ca="1" si="21"/>
        <v>0</v>
      </c>
      <c r="BN119" s="784"/>
      <c r="BO119" s="788" t="str">
        <f ca="1">IF(IFERROR(INDEX('ИП + источники'!$K$57:$L$145,MATCH($F119&amp;"3komm",'ИП + источники'!$K$57:$K$145,0),2),"")=0,"",IFERROR(INDEX('ИП + источники'!$K$57:$L$145,MATCH($F119&amp;"3komm",'ИП + источники'!$K$57:$K$145,0),2),""))</f>
        <v/>
      </c>
      <c r="BP119" s="784"/>
      <c r="BS119" s="705" t="s">
        <v>2130</v>
      </c>
    </row>
    <row r="120" spans="2:75" ht="14.65" hidden="1" customHeight="1">
      <c r="B120" s="341" t="b" cm="1">
        <f t="array" ref="B120">B119</f>
        <v>1</v>
      </c>
      <c r="C120" s="44"/>
      <c r="D120" s="44"/>
      <c r="E120" s="462">
        <v>15</v>
      </c>
      <c r="F120" s="3" cm="1">
        <f t="array" aca="1" ref="F120" ca="1">OFFSET(E120,-1,1)</f>
        <v>0</v>
      </c>
      <c r="G120" s="44"/>
      <c r="H120" s="44"/>
      <c r="I120" s="44" t="s">
        <v>770</v>
      </c>
      <c r="J120" s="44"/>
      <c r="L120" s="44" t="s">
        <v>569</v>
      </c>
      <c r="M120" s="44"/>
      <c r="N120" s="44"/>
      <c r="O120" s="44"/>
      <c r="P120" s="44"/>
      <c r="Q120" s="44"/>
      <c r="R120" s="44"/>
      <c r="S120" s="44"/>
      <c r="T120" s="365" t="b" cm="1">
        <f t="array" aca="1" ref="T120" ca="1">T119</f>
        <v>0</v>
      </c>
      <c r="U120" s="44"/>
      <c r="V120" s="44"/>
      <c r="W120" s="44"/>
      <c r="X120" s="1094"/>
      <c r="Z120" s="1065"/>
      <c r="AB120" s="26" t="s">
        <v>952</v>
      </c>
      <c r="AC120" s="146" t="s">
        <v>2131</v>
      </c>
      <c r="AD120" s="26" t="s">
        <v>804</v>
      </c>
      <c r="AE120" s="787">
        <f ca="1">SUMIFS('ИП + источники'!AF$27:AF$145,'ИП + источники'!$F$27:$F$145,$F120,'ИП + источники'!$AC$27:$AC$145,"Прибыль на капвложения")</f>
        <v>0</v>
      </c>
      <c r="AF120" s="787">
        <f ca="1">SUMIFS('ИП + источники'!AG$27:AG$145,'ИП + источники'!$F$27:$F$145,$F120,'ИП + источники'!$AC$27:$AC$145,"Прибыль на капвложения")</f>
        <v>0</v>
      </c>
      <c r="AG120" s="787">
        <f ca="1">SUMIFS('ИП + источники'!AH$27:AH$145,'ИП + источники'!$F$27:$F$145,$F120,'ИП + источники'!$AC$27:$AC$145,"Прибыль на капвложения")</f>
        <v>0</v>
      </c>
      <c r="AH120" s="190">
        <f t="shared" ca="1" si="10"/>
        <v>0</v>
      </c>
      <c r="AI120" s="787">
        <f ca="1">SUMIFS('ИП + источники'!AJ$27:AJ$145,'ИП + источники'!$F$27:$F$145,$F120,'ИП + источники'!$AC$27:$AC$145,"Прибыль на капвложения")</f>
        <v>0</v>
      </c>
      <c r="AJ120" s="787">
        <f ca="1">SUMIFS('ИП + источники'!AK$27:AK$145,'ИП + источники'!$F$27:$F$145,$F120,'ИП + источники'!$AC$27:$AC$145,"Прибыль на капвложения")</f>
        <v>0</v>
      </c>
      <c r="AK120" s="787">
        <f ca="1">SUMIFS('ИП + источники'!AL$27:AL$145,'ИП + источники'!$F$27:$F$145,$F120,'ИП + источники'!$AC$27:$AC$145,"Прибыль на капвложения")</f>
        <v>0</v>
      </c>
      <c r="AL120" s="787">
        <f ca="1">SUMIFS('ИП + источники'!AM$27:AM$145,'ИП + источники'!$F$27:$F$145,$F120,'ИП + источники'!$AC$27:$AC$145,"Прибыль на капвложения")</f>
        <v>0</v>
      </c>
      <c r="AM120" s="787">
        <f ca="1">SUMIFS('ИП + источники'!AN$27:AN$145,'ИП + источники'!$F$27:$F$145,$F120,'ИП + источники'!$AC$27:$AC$145,"Прибыль на капвложения")</f>
        <v>0</v>
      </c>
      <c r="AN120" s="787">
        <f ca="1">SUMIFS('ИП + источники'!AO$27:AO$145,'ИП + источники'!$F$27:$F$145,$F120,'ИП + источники'!$AC$27:$AC$145,"Прибыль на капвложения")</f>
        <v>0</v>
      </c>
      <c r="AO120" s="787">
        <f ca="1">SUMIFS('ИП + источники'!AP$27:AP$145,'ИП + источники'!$F$27:$F$145,$F120,'ИП + источники'!$AC$27:$AC$145,"Прибыль на капвложения")</f>
        <v>0</v>
      </c>
      <c r="AP120" s="787">
        <f ca="1">SUMIFS('ИП + источники'!AQ$27:AQ$145,'ИП + источники'!$F$27:$F$145,$F120,'ИП + источники'!$AC$27:$AC$145,"Прибыль на капвложения")</f>
        <v>0</v>
      </c>
      <c r="AQ120" s="787">
        <f ca="1">SUMIFS('ИП + источники'!AR$27:AR$145,'ИП + источники'!$F$27:$F$145,$F120,'ИП + источники'!$AC$27:$AC$145,"Прибыль на капвложения")</f>
        <v>0</v>
      </c>
      <c r="AR120" s="787">
        <f ca="1">SUMIFS('ИП + источники'!AS$27:AS$145,'ИП + источники'!$F$27:$F$145,$F120,'ИП + источники'!$AC$27:$AC$145,"Прибыль на капвложения")</f>
        <v>0</v>
      </c>
      <c r="AS120" s="787">
        <f ca="1">SUMIFS('ИП + источники'!AT$27:AT$145,'ИП + источники'!$F$27:$F$145,$F120,'ИП + источники'!$AC$27:$AC$145,"Прибыль на капвложения")</f>
        <v>0</v>
      </c>
      <c r="AT120" s="787">
        <f ca="1">SUMIFS('ИП + источники'!AU$27:AU$145,'ИП + источники'!$F$27:$F$145,$F120,'ИП + источники'!$AC$27:$AC$145,"Прибыль на капвложения")</f>
        <v>0</v>
      </c>
      <c r="AU120" s="787">
        <f ca="1">SUMIFS('ИП + источники'!AV$27:AV$145,'ИП + источники'!$F$27:$F$145,$F120,'ИП + источники'!$AC$27:$AC$145,"Прибыль на капвложения")</f>
        <v>0</v>
      </c>
      <c r="AV120" s="787">
        <f ca="1">SUMIFS('ИП + источники'!AW$27:AW$145,'ИП + источники'!$F$27:$F$145,$F120,'ИП + источники'!$AC$27:$AC$145,"Прибыль на капвложения")</f>
        <v>0</v>
      </c>
      <c r="AW120" s="787">
        <f ca="1">SUMIFS('ИП + источники'!AX$27:AX$145,'ИП + источники'!$F$27:$F$145,$F120,'ИП + источники'!$AC$27:$AC$145,"Прибыль на капвложения")</f>
        <v>0</v>
      </c>
      <c r="AX120" s="787">
        <f ca="1">SUMIFS('ИП + источники'!AY$27:AY$145,'ИП + источники'!$F$27:$F$145,$F120,'ИП + источники'!$AC$27:$AC$145,"Прибыль на капвложения")</f>
        <v>0</v>
      </c>
      <c r="AY120" s="787">
        <f ca="1">SUMIFS('ИП + источники'!AZ$27:AZ$145,'ИП + источники'!$F$27:$F$145,$F120,'ИП + источники'!$AC$27:$AC$145,"Прибыль на капвложения")</f>
        <v>0</v>
      </c>
      <c r="AZ120" s="787">
        <f ca="1">SUMIFS('ИП + источники'!BA$27:BA$145,'ИП + источники'!$F$27:$F$145,$F120,'ИП + источники'!$AC$27:$AC$145,"Прибыль на капвложения")</f>
        <v>0</v>
      </c>
      <c r="BA120" s="787">
        <f ca="1">SUMIFS('ИП + источники'!BB$27:BB$145,'ИП + источники'!$F$27:$F$145,$F120,'ИП + источники'!$AC$27:$AC$145,"Прибыль на капвложения")</f>
        <v>0</v>
      </c>
      <c r="BB120" s="787">
        <f ca="1">SUMIFS('ИП + источники'!BC$27:BC$145,'ИП + источники'!$F$27:$F$145,$F120,'ИП + источники'!$AC$27:$AC$145,"Прибыль на капвложения")</f>
        <v>0</v>
      </c>
      <c r="BC120" s="787">
        <f ca="1">SUMIFS('ИП + источники'!BD$27:BD$145,'ИП + источники'!$F$27:$F$145,$F120,'ИП + источники'!$AC$27:$AC$145,"Прибыль на капвложения")</f>
        <v>0</v>
      </c>
      <c r="BD120" s="190">
        <f t="shared" ca="1" si="12"/>
        <v>0</v>
      </c>
      <c r="BE120" s="190">
        <f t="shared" ca="1" si="13"/>
        <v>0</v>
      </c>
      <c r="BF120" s="190">
        <f t="shared" ca="1" si="14"/>
        <v>0</v>
      </c>
      <c r="BG120" s="190">
        <f t="shared" ca="1" si="15"/>
        <v>0</v>
      </c>
      <c r="BH120" s="190">
        <f t="shared" ca="1" si="16"/>
        <v>0</v>
      </c>
      <c r="BI120" s="190">
        <f t="shared" ca="1" si="17"/>
        <v>0</v>
      </c>
      <c r="BJ120" s="190">
        <f t="shared" ca="1" si="18"/>
        <v>0</v>
      </c>
      <c r="BK120" s="190">
        <f t="shared" ca="1" si="19"/>
        <v>0</v>
      </c>
      <c r="BL120" s="190">
        <f t="shared" ca="1" si="20"/>
        <v>0</v>
      </c>
      <c r="BM120" s="190">
        <f t="shared" ca="1" si="21"/>
        <v>0</v>
      </c>
      <c r="BN120" s="784"/>
      <c r="BO120" s="788" t="str">
        <f ca="1">IF(IFERROR(INDEX('ИП + источники'!$K$57:$L$145,MATCH($F120&amp;"1komm",'ИП + источники'!$K$57:$K$145,0),2),"")=0,"",IFERROR(INDEX('ИП + источники'!$K$57:$L$145,MATCH($F120&amp;"1komm",'ИП + источники'!$K$57:$K$145,0),2),""))</f>
        <v/>
      </c>
      <c r="BP120" s="784"/>
      <c r="BS120" s="705" t="s">
        <v>1833</v>
      </c>
    </row>
    <row r="121" spans="2:75" ht="21.95" hidden="1" customHeight="1">
      <c r="B121" s="341" t="b" cm="1">
        <f t="array" ref="B121">B120</f>
        <v>1</v>
      </c>
      <c r="C121" s="44"/>
      <c r="D121" s="44"/>
      <c r="E121" s="462">
        <v>22.5</v>
      </c>
      <c r="F121" s="3" cm="1">
        <f t="array" aca="1" ref="F121" ca="1">OFFSET(E121,-1,1)</f>
        <v>0</v>
      </c>
      <c r="G121" s="44" t="s">
        <v>2132</v>
      </c>
      <c r="H121" s="44"/>
      <c r="I121" s="44" t="s">
        <v>954</v>
      </c>
      <c r="J121" s="44"/>
      <c r="L121" s="44" t="s">
        <v>573</v>
      </c>
      <c r="M121" s="44"/>
      <c r="N121" s="44"/>
      <c r="O121" s="44"/>
      <c r="P121" s="44"/>
      <c r="Q121" s="44"/>
      <c r="R121" s="44"/>
      <c r="S121" s="44"/>
      <c r="T121" s="365" t="b" cm="1">
        <f t="array" aca="1" ref="T121" ca="1">T120</f>
        <v>0</v>
      </c>
      <c r="U121" s="44"/>
      <c r="V121" s="44"/>
      <c r="W121" s="44"/>
      <c r="X121" s="1094"/>
      <c r="Z121" s="1065"/>
      <c r="AB121" s="26" t="s">
        <v>955</v>
      </c>
      <c r="AC121" s="146" t="s">
        <v>2133</v>
      </c>
      <c r="AD121" s="26" t="s">
        <v>804</v>
      </c>
      <c r="AE121" s="787"/>
      <c r="AF121" s="787"/>
      <c r="AG121" s="787"/>
      <c r="AH121" s="190">
        <f t="shared" si="10"/>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190">
        <f t="shared" si="12"/>
        <v>0</v>
      </c>
      <c r="BE121" s="190">
        <f t="shared" si="13"/>
        <v>0</v>
      </c>
      <c r="BF121" s="190">
        <f t="shared" si="14"/>
        <v>0</v>
      </c>
      <c r="BG121" s="190">
        <f t="shared" si="15"/>
        <v>0</v>
      </c>
      <c r="BH121" s="190">
        <f t="shared" si="16"/>
        <v>0</v>
      </c>
      <c r="BI121" s="190">
        <f t="shared" si="17"/>
        <v>0</v>
      </c>
      <c r="BJ121" s="190">
        <f t="shared" si="18"/>
        <v>0</v>
      </c>
      <c r="BK121" s="190">
        <f t="shared" si="19"/>
        <v>0</v>
      </c>
      <c r="BL121" s="190">
        <f t="shared" si="20"/>
        <v>0</v>
      </c>
      <c r="BM121" s="190">
        <f t="shared" si="21"/>
        <v>0</v>
      </c>
      <c r="BN121" s="784"/>
      <c r="BO121" s="784"/>
      <c r="BP121" s="784"/>
      <c r="BS121" s="705" t="s">
        <v>2134</v>
      </c>
    </row>
    <row r="122" spans="2:75" ht="14.65" hidden="1" customHeight="1">
      <c r="B122" s="341" t="b">
        <f>AND(method_reg="Метод индексации",STATUS_GO="да")</f>
        <v>0</v>
      </c>
      <c r="C122" s="44"/>
      <c r="D122" s="44"/>
      <c r="E122" s="462">
        <v>15</v>
      </c>
      <c r="F122" s="3" cm="1">
        <f t="array" aca="1" ref="F122" ca="1">OFFSET(E122,-1,1)</f>
        <v>0</v>
      </c>
      <c r="G122" s="44" t="s">
        <v>1836</v>
      </c>
      <c r="H122" s="44"/>
      <c r="I122" s="44" t="s">
        <v>511</v>
      </c>
      <c r="J122" s="44"/>
      <c r="L122" s="44" t="s">
        <v>577</v>
      </c>
      <c r="M122" s="44"/>
      <c r="N122" s="44"/>
      <c r="O122" s="44"/>
      <c r="P122" s="44"/>
      <c r="Q122" s="44"/>
      <c r="R122" s="44"/>
      <c r="S122" s="44"/>
      <c r="T122" s="365" t="b" cm="1">
        <f t="array" aca="1" ref="T122" ca="1">T121</f>
        <v>0</v>
      </c>
      <c r="U122" s="44"/>
      <c r="V122" s="44"/>
      <c r="W122" s="44"/>
      <c r="X122" s="1094"/>
      <c r="Z122" s="1065"/>
      <c r="AB122" s="26" t="s">
        <v>447</v>
      </c>
      <c r="AC122" s="358" t="s">
        <v>1836</v>
      </c>
      <c r="AD122" s="26" t="s">
        <v>804</v>
      </c>
      <c r="AE122" s="787"/>
      <c r="AF122" s="787"/>
      <c r="AG122" s="787"/>
      <c r="AH122" s="190">
        <f t="shared" si="10"/>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190">
        <f t="shared" si="12"/>
        <v>0</v>
      </c>
      <c r="BE122" s="190">
        <f t="shared" si="13"/>
        <v>0</v>
      </c>
      <c r="BF122" s="190">
        <f t="shared" si="14"/>
        <v>0</v>
      </c>
      <c r="BG122" s="190">
        <f t="shared" si="15"/>
        <v>0</v>
      </c>
      <c r="BH122" s="190">
        <f t="shared" si="16"/>
        <v>0</v>
      </c>
      <c r="BI122" s="190">
        <f t="shared" si="17"/>
        <v>0</v>
      </c>
      <c r="BJ122" s="190">
        <f t="shared" si="18"/>
        <v>0</v>
      </c>
      <c r="BK122" s="190">
        <f t="shared" si="19"/>
        <v>0</v>
      </c>
      <c r="BL122" s="190">
        <f t="shared" si="20"/>
        <v>0</v>
      </c>
      <c r="BM122" s="190">
        <f t="shared" si="21"/>
        <v>0</v>
      </c>
      <c r="BN122" s="784"/>
      <c r="BO122" s="784"/>
      <c r="BP122" s="784"/>
      <c r="BS122" s="705" t="s">
        <v>1837</v>
      </c>
    </row>
    <row r="123" spans="2:75" ht="14.65" hidden="1" customHeight="1">
      <c r="B123" s="590" t="b">
        <f>method_reg="Метод обеспечения доходности инвестированного капитала"</f>
        <v>0</v>
      </c>
      <c r="C123" s="44"/>
      <c r="D123" s="44"/>
      <c r="E123" s="462">
        <v>15</v>
      </c>
      <c r="F123" s="3" cm="1">
        <f t="array" aca="1" ref="F123" ca="1">OFFSET(E123,-1,1)</f>
        <v>0</v>
      </c>
      <c r="G123" s="44"/>
      <c r="H123" s="44"/>
      <c r="I123" s="44"/>
      <c r="J123" s="44"/>
      <c r="K123" s="44" t="s">
        <v>331</v>
      </c>
      <c r="L123" s="44"/>
      <c r="M123" s="44"/>
      <c r="N123" s="44"/>
      <c r="O123" s="44"/>
      <c r="P123" s="44"/>
      <c r="Q123" s="44"/>
      <c r="R123" s="44"/>
      <c r="S123" s="44"/>
      <c r="T123" s="590" t="b" cm="1">
        <f t="array" aca="1" ref="T123" ca="1">T122</f>
        <v>0</v>
      </c>
      <c r="U123" s="44"/>
      <c r="V123" s="44"/>
      <c r="W123" s="44"/>
      <c r="X123" s="1094"/>
      <c r="Z123" s="1065"/>
      <c r="AB123" s="143" t="s">
        <v>433</v>
      </c>
      <c r="AC123" s="151" t="s">
        <v>2135</v>
      </c>
      <c r="AD123" s="143" t="s">
        <v>804</v>
      </c>
      <c r="AE123" s="783"/>
      <c r="AF123" s="783"/>
      <c r="AG123" s="783"/>
      <c r="AH123" s="145">
        <f t="shared" si="10"/>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145">
        <f t="shared" si="12"/>
        <v>0</v>
      </c>
      <c r="BE123" s="145">
        <f t="shared" si="13"/>
        <v>0</v>
      </c>
      <c r="BF123" s="145">
        <f t="shared" si="14"/>
        <v>0</v>
      </c>
      <c r="BG123" s="145">
        <f t="shared" si="15"/>
        <v>0</v>
      </c>
      <c r="BH123" s="145">
        <f t="shared" si="16"/>
        <v>0</v>
      </c>
      <c r="BI123" s="145">
        <f t="shared" si="17"/>
        <v>0</v>
      </c>
      <c r="BJ123" s="145">
        <f t="shared" si="18"/>
        <v>0</v>
      </c>
      <c r="BK123" s="145">
        <f t="shared" si="19"/>
        <v>0</v>
      </c>
      <c r="BL123" s="145">
        <f t="shared" si="20"/>
        <v>0</v>
      </c>
      <c r="BM123" s="145">
        <f t="shared" si="21"/>
        <v>0</v>
      </c>
      <c r="BN123" s="786"/>
      <c r="BO123" s="786"/>
      <c r="BP123" s="786"/>
      <c r="BS123" s="705" t="s">
        <v>2136</v>
      </c>
    </row>
    <row r="124" spans="2:75" ht="14.65" hidden="1" customHeight="1">
      <c r="B124" s="590" t="b" cm="1">
        <f t="array" ref="B124">B123</f>
        <v>0</v>
      </c>
      <c r="C124" s="44"/>
      <c r="D124" s="44"/>
      <c r="E124" s="462">
        <v>15</v>
      </c>
      <c r="F124" s="3" cm="1">
        <f t="array" aca="1" ref="F124" ca="1">OFFSET(E124,-1,1)</f>
        <v>0</v>
      </c>
      <c r="G124" s="44"/>
      <c r="H124" s="44"/>
      <c r="I124" s="44"/>
      <c r="J124" s="44"/>
      <c r="K124" s="44" t="s">
        <v>536</v>
      </c>
      <c r="L124" s="44"/>
      <c r="M124" s="44"/>
      <c r="N124" s="44"/>
      <c r="O124" s="44"/>
      <c r="P124" s="44"/>
      <c r="Q124" s="44"/>
      <c r="R124" s="44"/>
      <c r="S124" s="44"/>
      <c r="T124" s="590" t="b" cm="1">
        <f t="array" aca="1" ref="T124" ca="1">T123</f>
        <v>0</v>
      </c>
      <c r="U124" s="44"/>
      <c r="V124" s="44"/>
      <c r="W124" s="44"/>
      <c r="X124" s="1094"/>
      <c r="Z124" s="1065"/>
      <c r="AB124" s="26" t="s">
        <v>673</v>
      </c>
      <c r="AC124" s="146" t="s">
        <v>2137</v>
      </c>
      <c r="AD124" s="26" t="s">
        <v>804</v>
      </c>
      <c r="AE124" s="787"/>
      <c r="AF124" s="787"/>
      <c r="AG124" s="787"/>
      <c r="AH124" s="55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52"/>
      <c r="BE124" s="552"/>
      <c r="BF124" s="552"/>
      <c r="BG124" s="552"/>
      <c r="BH124" s="552"/>
      <c r="BI124" s="552"/>
      <c r="BJ124" s="552"/>
      <c r="BK124" s="552"/>
      <c r="BL124" s="552"/>
      <c r="BM124" s="552"/>
      <c r="BN124" s="784"/>
      <c r="BO124" s="784"/>
      <c r="BP124" s="784"/>
      <c r="BS124" s="705" t="s">
        <v>2138</v>
      </c>
    </row>
    <row r="125" spans="2:75" ht="14.65" hidden="1" customHeight="1">
      <c r="B125" s="590" t="b" cm="1">
        <f t="array" ref="B125">B124</f>
        <v>0</v>
      </c>
      <c r="C125" s="44"/>
      <c r="D125" s="44"/>
      <c r="E125" s="462">
        <v>15</v>
      </c>
      <c r="F125" s="3" cm="1">
        <f t="array" aca="1" ref="F125" ca="1">OFFSET(E125,-1,1)</f>
        <v>0</v>
      </c>
      <c r="G125" s="44"/>
      <c r="H125" s="44"/>
      <c r="I125" s="44"/>
      <c r="J125" s="44"/>
      <c r="K125" s="44" t="s">
        <v>540</v>
      </c>
      <c r="L125" s="44"/>
      <c r="M125" s="44"/>
      <c r="N125" s="44"/>
      <c r="O125" s="44"/>
      <c r="P125" s="44"/>
      <c r="Q125" s="44"/>
      <c r="R125" s="44"/>
      <c r="S125" s="44"/>
      <c r="T125" s="590" t="b" cm="1">
        <f t="array" aca="1" ref="T125" ca="1">T124</f>
        <v>0</v>
      </c>
      <c r="U125" s="44"/>
      <c r="V125" s="44"/>
      <c r="W125" s="44"/>
      <c r="X125" s="1094"/>
      <c r="Z125" s="1065"/>
      <c r="AB125" s="26" t="s">
        <v>676</v>
      </c>
      <c r="AC125" s="146" t="s">
        <v>2139</v>
      </c>
      <c r="AD125" s="26" t="s">
        <v>2140</v>
      </c>
      <c r="AE125" s="787"/>
      <c r="AF125" s="787"/>
      <c r="AG125" s="787"/>
      <c r="AH125" s="55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52"/>
      <c r="BE125" s="552"/>
      <c r="BF125" s="552"/>
      <c r="BG125" s="552"/>
      <c r="BH125" s="552"/>
      <c r="BI125" s="552"/>
      <c r="BJ125" s="552"/>
      <c r="BK125" s="552"/>
      <c r="BL125" s="552"/>
      <c r="BM125" s="552"/>
      <c r="BN125" s="784"/>
      <c r="BO125" s="784"/>
      <c r="BP125" s="784"/>
      <c r="BS125" s="705" t="s">
        <v>2141</v>
      </c>
    </row>
    <row r="126" spans="2:75" ht="14.65" hidden="1" customHeight="1">
      <c r="B126" s="590" t="b" cm="1">
        <f t="array" ref="B126">B125</f>
        <v>0</v>
      </c>
      <c r="C126" s="44"/>
      <c r="D126" s="44"/>
      <c r="E126" s="462">
        <v>15</v>
      </c>
      <c r="F126" s="3" cm="1">
        <f t="array" aca="1" ref="F126" ca="1">OFFSET(E126,-1,1)</f>
        <v>0</v>
      </c>
      <c r="G126" s="44"/>
      <c r="H126" s="44"/>
      <c r="I126" s="44"/>
      <c r="J126" s="44"/>
      <c r="K126" s="44" t="s">
        <v>330</v>
      </c>
      <c r="L126" s="44"/>
      <c r="M126" s="44"/>
      <c r="N126" s="44"/>
      <c r="O126" s="44"/>
      <c r="P126" s="44"/>
      <c r="Q126" s="44"/>
      <c r="R126" s="44"/>
      <c r="S126" s="44"/>
      <c r="T126" s="590" t="b" cm="1">
        <f t="array" aca="1" ref="T126" ca="1">T125</f>
        <v>0</v>
      </c>
      <c r="U126" s="44"/>
      <c r="V126" s="44"/>
      <c r="W126" s="44"/>
      <c r="X126" s="1094"/>
      <c r="Z126" s="1065"/>
      <c r="AB126" s="143" t="s">
        <v>444</v>
      </c>
      <c r="AC126" s="151" t="s">
        <v>2142</v>
      </c>
      <c r="AD126" s="143" t="s">
        <v>804</v>
      </c>
      <c r="AE126" s="783"/>
      <c r="AF126" s="783"/>
      <c r="AG126" s="783"/>
      <c r="AH126" s="145">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145">
        <f>IF(AI126=0,0,(AT126-AI126)/AI126*100)</f>
        <v>0</v>
      </c>
      <c r="BE126" s="145">
        <f t="shared" ref="BE126:BM126" si="26">IF(AT126=0,0,(AU126-AT126)/AT126*100)</f>
        <v>0</v>
      </c>
      <c r="BF126" s="145">
        <f t="shared" si="26"/>
        <v>0</v>
      </c>
      <c r="BG126" s="145">
        <f t="shared" si="26"/>
        <v>0</v>
      </c>
      <c r="BH126" s="145">
        <f t="shared" si="26"/>
        <v>0</v>
      </c>
      <c r="BI126" s="145">
        <f t="shared" si="26"/>
        <v>0</v>
      </c>
      <c r="BJ126" s="145">
        <f t="shared" si="26"/>
        <v>0</v>
      </c>
      <c r="BK126" s="145">
        <f t="shared" si="26"/>
        <v>0</v>
      </c>
      <c r="BL126" s="145">
        <f t="shared" si="26"/>
        <v>0</v>
      </c>
      <c r="BM126" s="145">
        <f t="shared" si="26"/>
        <v>0</v>
      </c>
      <c r="BN126" s="786"/>
      <c r="BO126" s="786"/>
      <c r="BP126" s="786"/>
      <c r="BS126" s="705" t="s">
        <v>2143</v>
      </c>
    </row>
    <row r="127" spans="2:75" ht="14.65" hidden="1" customHeight="1">
      <c r="B127" s="590" t="b" cm="1">
        <f t="array" ref="B127">B126</f>
        <v>0</v>
      </c>
      <c r="C127" s="44"/>
      <c r="D127" s="44"/>
      <c r="E127" s="462">
        <v>15</v>
      </c>
      <c r="F127" s="3" cm="1">
        <f t="array" aca="1" ref="F127" ca="1">OFFSET(E127,-1,1)</f>
        <v>0</v>
      </c>
      <c r="G127" s="44"/>
      <c r="H127" s="44"/>
      <c r="I127" s="44"/>
      <c r="J127" s="44"/>
      <c r="K127" s="44" t="s">
        <v>550</v>
      </c>
      <c r="L127" s="44"/>
      <c r="M127" s="44"/>
      <c r="N127" s="44"/>
      <c r="O127" s="44"/>
      <c r="P127" s="44"/>
      <c r="Q127" s="44"/>
      <c r="R127" s="44"/>
      <c r="S127" s="44"/>
      <c r="T127" s="590" t="b" cm="1">
        <f t="array" aca="1" ref="T127" ca="1">T126</f>
        <v>0</v>
      </c>
      <c r="U127" s="44"/>
      <c r="V127" s="44"/>
      <c r="W127" s="44"/>
      <c r="X127" s="1094"/>
      <c r="Z127" s="1065"/>
      <c r="AB127" s="26" t="s">
        <v>680</v>
      </c>
      <c r="AC127" s="146" t="s">
        <v>2144</v>
      </c>
      <c r="AD127" s="26" t="s">
        <v>804</v>
      </c>
      <c r="AE127" s="787"/>
      <c r="AF127" s="787"/>
      <c r="AG127" s="787"/>
      <c r="AH127" s="55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52"/>
      <c r="BE127" s="552"/>
      <c r="BF127" s="552"/>
      <c r="BG127" s="552"/>
      <c r="BH127" s="552"/>
      <c r="BI127" s="552"/>
      <c r="BJ127" s="552"/>
      <c r="BK127" s="552"/>
      <c r="BL127" s="552"/>
      <c r="BM127" s="552"/>
      <c r="BN127" s="784"/>
      <c r="BO127" s="784"/>
      <c r="BP127" s="784"/>
      <c r="BS127" s="705" t="s">
        <v>2145</v>
      </c>
    </row>
    <row r="128" spans="2:75" ht="14.65" hidden="1" customHeight="1">
      <c r="B128" s="590" t="b" cm="1">
        <f t="array" ref="B128">B127</f>
        <v>0</v>
      </c>
      <c r="C128" s="44"/>
      <c r="D128" s="44"/>
      <c r="E128" s="462">
        <v>15</v>
      </c>
      <c r="F128" s="3" cm="1">
        <f t="array" aca="1" ref="F128" ca="1">OFFSET(E128,-1,1)</f>
        <v>0</v>
      </c>
      <c r="G128" s="44"/>
      <c r="H128" s="44"/>
      <c r="I128" s="44"/>
      <c r="J128" s="44"/>
      <c r="K128" s="44" t="s">
        <v>554</v>
      </c>
      <c r="L128" s="44"/>
      <c r="M128" s="44"/>
      <c r="N128" s="44"/>
      <c r="O128" s="44"/>
      <c r="P128" s="44"/>
      <c r="Q128" s="44"/>
      <c r="R128" s="44"/>
      <c r="S128" s="44"/>
      <c r="T128" s="590" t="b" cm="1">
        <f t="array" aca="1" ref="T128" ca="1">T127</f>
        <v>0</v>
      </c>
      <c r="U128" s="44"/>
      <c r="V128" s="44"/>
      <c r="W128" s="44"/>
      <c r="X128" s="1094"/>
      <c r="Z128" s="1065"/>
      <c r="AB128" s="26" t="s">
        <v>683</v>
      </c>
      <c r="AC128" s="146" t="s">
        <v>2146</v>
      </c>
      <c r="AD128" s="26" t="s">
        <v>456</v>
      </c>
      <c r="AE128" s="787"/>
      <c r="AF128" s="787"/>
      <c r="AG128" s="787"/>
      <c r="AH128" s="55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52"/>
      <c r="BE128" s="552"/>
      <c r="BF128" s="552"/>
      <c r="BG128" s="552"/>
      <c r="BH128" s="552"/>
      <c r="BI128" s="552"/>
      <c r="BJ128" s="552"/>
      <c r="BK128" s="552"/>
      <c r="BL128" s="552"/>
      <c r="BM128" s="552"/>
      <c r="BN128" s="784"/>
      <c r="BO128" s="784"/>
      <c r="BP128" s="784"/>
      <c r="BS128" s="705" t="s">
        <v>2147</v>
      </c>
    </row>
    <row r="129" spans="2:75" ht="14.65" hidden="1" customHeight="1">
      <c r="B129" s="590" t="b" cm="1">
        <f t="array" ref="B129">B128</f>
        <v>0</v>
      </c>
      <c r="C129" s="44"/>
      <c r="D129" s="44"/>
      <c r="E129" s="462">
        <v>15</v>
      </c>
      <c r="F129" s="3" cm="1">
        <f t="array" aca="1" ref="F129" ca="1">OFFSET(E129,-1,1)</f>
        <v>0</v>
      </c>
      <c r="G129" s="44"/>
      <c r="H129" s="44"/>
      <c r="I129" s="44"/>
      <c r="J129" s="44"/>
      <c r="K129" s="44" t="s">
        <v>770</v>
      </c>
      <c r="L129" s="44"/>
      <c r="M129" s="44"/>
      <c r="N129" s="44"/>
      <c r="O129" s="44"/>
      <c r="P129" s="44"/>
      <c r="Q129" s="44"/>
      <c r="R129" s="44"/>
      <c r="S129" s="44"/>
      <c r="T129" s="590" t="b" cm="1">
        <f t="array" aca="1" ref="T129" ca="1">T128</f>
        <v>0</v>
      </c>
      <c r="U129" s="44"/>
      <c r="V129" s="44"/>
      <c r="W129" s="44"/>
      <c r="X129" s="1094"/>
      <c r="Z129" s="1065"/>
      <c r="AB129" s="26" t="s">
        <v>952</v>
      </c>
      <c r="AC129" s="146" t="s">
        <v>2148</v>
      </c>
      <c r="AD129" s="26" t="s">
        <v>804</v>
      </c>
      <c r="AE129" s="787"/>
      <c r="AF129" s="787"/>
      <c r="AG129" s="787"/>
      <c r="AH129" s="55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52"/>
      <c r="BE129" s="552"/>
      <c r="BF129" s="552"/>
      <c r="BG129" s="552"/>
      <c r="BH129" s="552"/>
      <c r="BI129" s="552"/>
      <c r="BJ129" s="552"/>
      <c r="BK129" s="552"/>
      <c r="BL129" s="552"/>
      <c r="BM129" s="552"/>
      <c r="BN129" s="784"/>
      <c r="BO129" s="784"/>
      <c r="BP129" s="784"/>
      <c r="BS129" s="705" t="s">
        <v>2149</v>
      </c>
    </row>
    <row r="130" spans="2:75" ht="14.65" hidden="1" customHeight="1">
      <c r="B130" s="590" t="b" cm="1">
        <f t="array" ref="B130">B129</f>
        <v>0</v>
      </c>
      <c r="C130" s="44"/>
      <c r="D130" s="44"/>
      <c r="E130" s="462">
        <v>15</v>
      </c>
      <c r="F130" s="3" cm="1">
        <f t="array" aca="1" ref="F130" ca="1">OFFSET(E130,-1,1)</f>
        <v>0</v>
      </c>
      <c r="G130" s="44"/>
      <c r="H130" s="44"/>
      <c r="I130" s="44"/>
      <c r="J130" s="44"/>
      <c r="K130" s="44" t="s">
        <v>954</v>
      </c>
      <c r="L130" s="44"/>
      <c r="M130" s="44"/>
      <c r="N130" s="44"/>
      <c r="O130" s="44"/>
      <c r="P130" s="44"/>
      <c r="Q130" s="44"/>
      <c r="R130" s="44"/>
      <c r="S130" s="44"/>
      <c r="T130" s="590" t="b" cm="1">
        <f t="array" aca="1" ref="T130" ca="1">T129</f>
        <v>0</v>
      </c>
      <c r="U130" s="44"/>
      <c r="V130" s="44"/>
      <c r="W130" s="44"/>
      <c r="X130" s="1094"/>
      <c r="Z130" s="1065"/>
      <c r="AB130" s="26" t="s">
        <v>955</v>
      </c>
      <c r="AC130" s="146" t="s">
        <v>2150</v>
      </c>
      <c r="AD130" s="26" t="s">
        <v>804</v>
      </c>
      <c r="AE130" s="787"/>
      <c r="AF130" s="787"/>
      <c r="AG130" s="787"/>
      <c r="AH130" s="55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52"/>
      <c r="BE130" s="552"/>
      <c r="BF130" s="552"/>
      <c r="BG130" s="552"/>
      <c r="BH130" s="552"/>
      <c r="BI130" s="552"/>
      <c r="BJ130" s="552"/>
      <c r="BK130" s="552"/>
      <c r="BL130" s="552"/>
      <c r="BM130" s="552"/>
      <c r="BN130" s="784"/>
      <c r="BO130" s="784"/>
      <c r="BP130" s="784"/>
      <c r="BS130" s="705" t="s">
        <v>2151</v>
      </c>
    </row>
    <row r="131" spans="2:75" ht="14.65" hidden="1" customHeight="1">
      <c r="B131" s="590" t="b" cm="1">
        <f t="array" ref="B131">B130</f>
        <v>0</v>
      </c>
      <c r="C131" s="44"/>
      <c r="D131" s="44"/>
      <c r="E131" s="462">
        <v>15</v>
      </c>
      <c r="F131" s="3" cm="1">
        <f t="array" aca="1" ref="F131" ca="1">OFFSET(E131,-1,1)</f>
        <v>0</v>
      </c>
      <c r="G131" s="44"/>
      <c r="H131" s="44"/>
      <c r="I131" s="44"/>
      <c r="J131" s="44"/>
      <c r="K131" s="44" t="s">
        <v>2152</v>
      </c>
      <c r="L131" s="44"/>
      <c r="M131" s="44"/>
      <c r="N131" s="44"/>
      <c r="O131" s="44"/>
      <c r="P131" s="44"/>
      <c r="Q131" s="44"/>
      <c r="R131" s="44"/>
      <c r="S131" s="44"/>
      <c r="T131" s="590" t="b" cm="1">
        <f t="array" aca="1" ref="T131" ca="1">T130</f>
        <v>0</v>
      </c>
      <c r="U131" s="44"/>
      <c r="V131" s="44"/>
      <c r="W131" s="44"/>
      <c r="X131" s="1094"/>
      <c r="Z131" s="1065"/>
      <c r="AB131" s="26" t="s">
        <v>2153</v>
      </c>
      <c r="AC131" s="153" t="s">
        <v>2154</v>
      </c>
      <c r="AD131" s="26" t="s">
        <v>456</v>
      </c>
      <c r="AE131" s="787"/>
      <c r="AF131" s="787"/>
      <c r="AG131" s="787"/>
      <c r="AH131" s="55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52"/>
      <c r="BE131" s="552"/>
      <c r="BF131" s="552"/>
      <c r="BG131" s="552"/>
      <c r="BH131" s="552"/>
      <c r="BI131" s="552"/>
      <c r="BJ131" s="552"/>
      <c r="BK131" s="552"/>
      <c r="BL131" s="552"/>
      <c r="BM131" s="552"/>
      <c r="BN131" s="784"/>
      <c r="BO131" s="784"/>
      <c r="BP131" s="784"/>
      <c r="BS131" s="705" t="s">
        <v>2155</v>
      </c>
    </row>
    <row r="132" spans="2:75" ht="14.65" hidden="1" customHeight="1">
      <c r="B132" s="590" t="b" cm="1">
        <f t="array" ref="B132">B131</f>
        <v>0</v>
      </c>
      <c r="C132" s="44"/>
      <c r="D132" s="44"/>
      <c r="E132" s="462">
        <v>15</v>
      </c>
      <c r="F132" s="3" cm="1">
        <f t="array" aca="1" ref="F132" ca="1">OFFSET(E132,-1,1)</f>
        <v>0</v>
      </c>
      <c r="G132" s="44"/>
      <c r="H132" s="44"/>
      <c r="I132" s="44"/>
      <c r="J132" s="44"/>
      <c r="K132" s="44" t="s">
        <v>957</v>
      </c>
      <c r="L132" s="44"/>
      <c r="M132" s="44"/>
      <c r="N132" s="44"/>
      <c r="O132" s="44"/>
      <c r="P132" s="44"/>
      <c r="Q132" s="44"/>
      <c r="R132" s="44"/>
      <c r="S132" s="44"/>
      <c r="T132" s="590" t="b" cm="1">
        <f t="array" aca="1" ref="T132" ca="1">T131</f>
        <v>0</v>
      </c>
      <c r="U132" s="44"/>
      <c r="V132" s="44"/>
      <c r="W132" s="44"/>
      <c r="X132" s="1094"/>
      <c r="Z132" s="1065"/>
      <c r="AB132" s="26" t="s">
        <v>958</v>
      </c>
      <c r="AC132" s="146" t="s">
        <v>2156</v>
      </c>
      <c r="AD132" s="26" t="s">
        <v>456</v>
      </c>
      <c r="AE132" s="787"/>
      <c r="AF132" s="787"/>
      <c r="AG132" s="787"/>
      <c r="AH132" s="55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52"/>
      <c r="BE132" s="552"/>
      <c r="BF132" s="552"/>
      <c r="BG132" s="552"/>
      <c r="BH132" s="552"/>
      <c r="BI132" s="552"/>
      <c r="BJ132" s="552"/>
      <c r="BK132" s="552"/>
      <c r="BL132" s="552"/>
      <c r="BM132" s="552"/>
      <c r="BN132" s="784"/>
      <c r="BO132" s="784"/>
      <c r="BP132" s="784"/>
      <c r="BS132" s="705" t="s">
        <v>2157</v>
      </c>
    </row>
    <row r="133" spans="2:75" ht="14.65" hidden="1" customHeight="1">
      <c r="B133" s="590" t="b" cm="1">
        <f t="array" ref="B133">B132</f>
        <v>0</v>
      </c>
      <c r="C133" s="44"/>
      <c r="D133" s="44"/>
      <c r="E133" s="462">
        <v>15</v>
      </c>
      <c r="F133" s="3" cm="1">
        <f t="array" aca="1" ref="F133" ca="1">OFFSET(E133,-1,1)</f>
        <v>0</v>
      </c>
      <c r="G133" s="44"/>
      <c r="H133" s="44"/>
      <c r="I133" s="44"/>
      <c r="J133" s="44"/>
      <c r="K133" s="44" t="s">
        <v>2158</v>
      </c>
      <c r="L133" s="44"/>
      <c r="M133" s="44"/>
      <c r="N133" s="44"/>
      <c r="O133" s="44"/>
      <c r="P133" s="44"/>
      <c r="Q133" s="44"/>
      <c r="R133" s="44"/>
      <c r="S133" s="44"/>
      <c r="T133" s="590" t="b" cm="1">
        <f t="array" aca="1" ref="T133" ca="1">T132</f>
        <v>0</v>
      </c>
      <c r="U133" s="44"/>
      <c r="V133" s="44"/>
      <c r="W133" s="44"/>
      <c r="X133" s="1094"/>
      <c r="Z133" s="1065"/>
      <c r="AB133" s="26" t="s">
        <v>2159</v>
      </c>
      <c r="AC133" s="153" t="s">
        <v>2160</v>
      </c>
      <c r="AD133" s="26" t="s">
        <v>456</v>
      </c>
      <c r="AE133" s="787"/>
      <c r="AF133" s="787"/>
      <c r="AG133" s="787"/>
      <c r="AH133" s="55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52"/>
      <c r="BE133" s="552"/>
      <c r="BF133" s="552"/>
      <c r="BG133" s="552"/>
      <c r="BH133" s="552"/>
      <c r="BI133" s="552"/>
      <c r="BJ133" s="552"/>
      <c r="BK133" s="552"/>
      <c r="BL133" s="552"/>
      <c r="BM133" s="552"/>
      <c r="BN133" s="784"/>
      <c r="BO133" s="784"/>
      <c r="BP133" s="784"/>
      <c r="BS133" s="705" t="s">
        <v>2161</v>
      </c>
    </row>
    <row r="134" spans="2:75" ht="14.65" hidden="1" customHeight="1">
      <c r="B134" s="590" t="b" cm="1">
        <f t="array" ref="B134">B133</f>
        <v>0</v>
      </c>
      <c r="C134" s="44"/>
      <c r="D134" s="44"/>
      <c r="E134" s="462">
        <v>15</v>
      </c>
      <c r="F134" s="3" cm="1">
        <f t="array" aca="1" ref="F134" ca="1">OFFSET(E134,-1,1)</f>
        <v>0</v>
      </c>
      <c r="G134" s="44"/>
      <c r="H134" s="44"/>
      <c r="I134" s="44"/>
      <c r="J134" s="44"/>
      <c r="K134" s="44" t="s">
        <v>2162</v>
      </c>
      <c r="L134" s="44"/>
      <c r="M134" s="44"/>
      <c r="N134" s="44"/>
      <c r="O134" s="44"/>
      <c r="P134" s="44"/>
      <c r="Q134" s="44"/>
      <c r="R134" s="44"/>
      <c r="S134" s="44"/>
      <c r="T134" s="590" t="b" cm="1">
        <f t="array" aca="1" ref="T134" ca="1">T133</f>
        <v>0</v>
      </c>
      <c r="U134" s="44"/>
      <c r="V134" s="44"/>
      <c r="W134" s="44"/>
      <c r="X134" s="1094"/>
      <c r="Z134" s="1065"/>
      <c r="AB134" s="26" t="s">
        <v>2163</v>
      </c>
      <c r="AC134" s="153" t="s">
        <v>2164</v>
      </c>
      <c r="AD134" s="26" t="s">
        <v>456</v>
      </c>
      <c r="AE134" s="787"/>
      <c r="AF134" s="787"/>
      <c r="AG134" s="787"/>
      <c r="AH134" s="55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52"/>
      <c r="BE134" s="552"/>
      <c r="BF134" s="552"/>
      <c r="BG134" s="552"/>
      <c r="BH134" s="552"/>
      <c r="BI134" s="552"/>
      <c r="BJ134" s="552"/>
      <c r="BK134" s="552"/>
      <c r="BL134" s="552"/>
      <c r="BM134" s="552"/>
      <c r="BN134" s="784"/>
      <c r="BO134" s="784"/>
      <c r="BP134" s="784"/>
      <c r="BS134" s="705" t="s">
        <v>2165</v>
      </c>
    </row>
    <row r="135" spans="2:75" s="95" customFormat="1" ht="20.45" hidden="1" customHeight="1">
      <c r="B135" s="344"/>
      <c r="C135" s="46"/>
      <c r="D135" s="46" t="str">
        <f>IF(B134,"6","7")</f>
        <v>7</v>
      </c>
      <c r="E135" s="569">
        <v>21</v>
      </c>
      <c r="F135" s="3" cm="1">
        <f t="array" aca="1" ref="F135" ca="1">OFFSET(E135,-1,1)</f>
        <v>0</v>
      </c>
      <c r="G135" s="44" t="s">
        <v>2166</v>
      </c>
      <c r="H135" s="44"/>
      <c r="I135" s="296" t="s">
        <v>2167</v>
      </c>
      <c r="J135" s="46"/>
      <c r="K135" s="292" t="s">
        <v>2167</v>
      </c>
      <c r="L135" s="46"/>
      <c r="M135" s="46"/>
      <c r="N135" s="46"/>
      <c r="O135" s="46"/>
      <c r="P135" s="46"/>
      <c r="Q135" s="46"/>
      <c r="R135" s="46"/>
      <c r="S135" s="46"/>
      <c r="T135" s="365" t="b" cm="1">
        <f t="array" aca="1" ref="T135" ca="1">T134</f>
        <v>0</v>
      </c>
      <c r="U135" s="46"/>
      <c r="V135" s="46"/>
      <c r="W135" s="46"/>
      <c r="X135" s="1094"/>
      <c r="Z135" s="1065"/>
      <c r="AB135" s="143" t="str" cm="1">
        <f t="array" ref="AB135">D135</f>
        <v>7</v>
      </c>
      <c r="AC135" s="151" t="s">
        <v>1590</v>
      </c>
      <c r="AD135" s="143" t="s">
        <v>804</v>
      </c>
      <c r="AE135" s="783"/>
      <c r="AF135" s="783"/>
      <c r="AG135" s="783"/>
      <c r="AH135" s="145">
        <f>AG135-AF135</f>
        <v>0</v>
      </c>
      <c r="AI135" s="783"/>
      <c r="AJ135" s="783">
        <f ca="1">SUMIFS('Корректировка НВВ'!$AF$25:$AF$180,'Корректировка НВВ'!$F$25:$F$180,$F135,'Корректировка НВВ'!$I$25:$I$180,$G135)</f>
        <v>0</v>
      </c>
      <c r="AK135" s="783"/>
      <c r="AL135" s="783"/>
      <c r="AM135" s="783"/>
      <c r="AN135" s="783"/>
      <c r="AO135" s="783"/>
      <c r="AP135" s="783"/>
      <c r="AQ135" s="783"/>
      <c r="AR135" s="783"/>
      <c r="AS135" s="783"/>
      <c r="AT135" s="783">
        <f ca="1">SUMIFS('Корректировка НВВ'!$AG$25:$AG$180,'Корректировка НВВ'!$F$25:$F$180,$F135,'Корректировка НВВ'!$I$25:$I$180,$G135)</f>
        <v>0</v>
      </c>
      <c r="AU135" s="783"/>
      <c r="AV135" s="783"/>
      <c r="AW135" s="783"/>
      <c r="AX135" s="783"/>
      <c r="AY135" s="783"/>
      <c r="AZ135" s="783"/>
      <c r="BA135" s="783"/>
      <c r="BB135" s="783"/>
      <c r="BC135" s="783"/>
      <c r="BD135" s="145">
        <f>IF(AI135=0,0,(AT135-AI135)/AI135*100)</f>
        <v>0</v>
      </c>
      <c r="BE135" s="145">
        <f t="shared" ref="BE135:BM135" ca="1" si="27">IF(AT135=0,0,(AU135-AT135)/AT135*100)</f>
        <v>0</v>
      </c>
      <c r="BF135" s="145">
        <f t="shared" si="27"/>
        <v>0</v>
      </c>
      <c r="BG135" s="145">
        <f t="shared" si="27"/>
        <v>0</v>
      </c>
      <c r="BH135" s="145">
        <f t="shared" si="27"/>
        <v>0</v>
      </c>
      <c r="BI135" s="145">
        <f t="shared" si="27"/>
        <v>0</v>
      </c>
      <c r="BJ135" s="145">
        <f t="shared" si="27"/>
        <v>0</v>
      </c>
      <c r="BK135" s="145">
        <f t="shared" si="27"/>
        <v>0</v>
      </c>
      <c r="BL135" s="145">
        <f t="shared" si="27"/>
        <v>0</v>
      </c>
      <c r="BM135" s="145">
        <f t="shared" si="27"/>
        <v>0</v>
      </c>
      <c r="BN135" s="786"/>
      <c r="BO135" s="788" t="str">
        <f ca="1">IF(IFERROR(INDEX('Корректировка НВВ'!$K$26:$L$180,MATCH($F135&amp;"11komm",'Корректировка НВВ'!$K$26:$K$180,0),2),"")=0,"",IFERROR(INDEX('Корректировка НВВ'!$K$26:$L$180,MATCH($F135&amp;"11komm",'Корректировка НВВ'!$K$26:$K$180,0),2),""))</f>
        <v/>
      </c>
      <c r="BP135" s="786"/>
      <c r="BS135" s="711" t="s">
        <v>2168</v>
      </c>
      <c r="BT135" s="711"/>
      <c r="BU135" s="711"/>
      <c r="BV135" s="522"/>
      <c r="BW135" s="522"/>
    </row>
    <row r="136" spans="2:75" ht="14.65" hidden="1" customHeight="1">
      <c r="C136" s="44"/>
      <c r="D136" s="44" t="str" cm="1">
        <f t="array" ref="D136">D135</f>
        <v>7</v>
      </c>
      <c r="E136" s="462">
        <v>15</v>
      </c>
      <c r="F136" s="3" cm="1">
        <f t="array" aca="1" ref="F136" ca="1">OFFSET(E136,-1,1)</f>
        <v>0</v>
      </c>
      <c r="G136" s="44"/>
      <c r="H136" s="44"/>
      <c r="I136" s="44"/>
      <c r="J136" s="44"/>
      <c r="L136" s="44"/>
      <c r="M136" s="44"/>
      <c r="N136" s="44"/>
      <c r="O136" s="44"/>
      <c r="P136" s="44"/>
      <c r="Q136" s="44"/>
      <c r="R136" s="44"/>
      <c r="S136" s="44"/>
      <c r="T136" s="365" t="b" cm="1">
        <f t="array" aca="1" ref="T136" ca="1">T135</f>
        <v>0</v>
      </c>
      <c r="U136" s="44"/>
      <c r="V136" s="44"/>
      <c r="W136" s="44"/>
      <c r="X136" s="1094"/>
      <c r="Z136" s="1065"/>
      <c r="AB136" s="26"/>
      <c r="AC136" s="358" t="s">
        <v>2169</v>
      </c>
      <c r="AD136" s="26"/>
      <c r="AE136" s="552"/>
      <c r="AF136" s="552"/>
      <c r="AG136" s="552"/>
      <c r="AH136" s="552"/>
      <c r="AI136" s="552"/>
      <c r="AJ136" s="552"/>
      <c r="AK136" s="552"/>
      <c r="AL136" s="552"/>
      <c r="AM136" s="552"/>
      <c r="AN136" s="552"/>
      <c r="AO136" s="552"/>
      <c r="AP136" s="552"/>
      <c r="AQ136" s="552"/>
      <c r="AR136" s="552"/>
      <c r="AS136" s="552"/>
      <c r="AT136" s="552"/>
      <c r="AU136" s="552"/>
      <c r="AV136" s="552"/>
      <c r="AW136" s="552"/>
      <c r="AX136" s="552"/>
      <c r="AY136" s="552"/>
      <c r="AZ136" s="552"/>
      <c r="BA136" s="552"/>
      <c r="BB136" s="552"/>
      <c r="BC136" s="552"/>
      <c r="BD136" s="552"/>
      <c r="BE136" s="552"/>
      <c r="BF136" s="552"/>
      <c r="BG136" s="552"/>
      <c r="BH136" s="552"/>
      <c r="BI136" s="552"/>
      <c r="BJ136" s="552"/>
      <c r="BK136" s="552"/>
      <c r="BL136" s="552"/>
      <c r="BM136" s="552"/>
      <c r="BN136" s="398"/>
      <c r="BO136" s="398"/>
      <c r="BP136" s="398"/>
    </row>
    <row r="137" spans="2:75" ht="21.95" hidden="1" customHeight="1">
      <c r="C137" s="44"/>
      <c r="D137" s="44" t="str" cm="1">
        <f t="array" ref="D137">D136</f>
        <v>7</v>
      </c>
      <c r="E137" s="462">
        <v>22.5</v>
      </c>
      <c r="F137" s="3" cm="1">
        <f t="array" aca="1" ref="F137" ca="1">OFFSET(E137,-1,1)</f>
        <v>0</v>
      </c>
      <c r="G137" s="44" t="s">
        <v>368</v>
      </c>
      <c r="H137" s="44"/>
      <c r="I137" s="44" t="s">
        <v>514</v>
      </c>
      <c r="J137" s="44"/>
      <c r="K137" s="91" t="s">
        <v>514</v>
      </c>
      <c r="L137" s="44"/>
      <c r="M137" s="44"/>
      <c r="N137" s="44"/>
      <c r="O137" s="44"/>
      <c r="P137" s="44"/>
      <c r="Q137" s="44"/>
      <c r="R137" s="44"/>
      <c r="S137" s="44"/>
      <c r="T137" s="365" t="b" cm="1">
        <f t="array" aca="1" ref="T137" ca="1">T136</f>
        <v>0</v>
      </c>
      <c r="U137" s="44"/>
      <c r="V137" s="44"/>
      <c r="W137" s="44"/>
      <c r="X137" s="1094"/>
      <c r="Z137" s="1065"/>
      <c r="AB137" s="26" t="str">
        <f>D137&amp;".1"</f>
        <v>7.1</v>
      </c>
      <c r="AC137" s="146" t="s">
        <v>2170</v>
      </c>
      <c r="AD137" s="26" t="s">
        <v>804</v>
      </c>
      <c r="AE137" s="787"/>
      <c r="AF137" s="787"/>
      <c r="AG137" s="787"/>
      <c r="AH137" s="190">
        <f t="shared" ref="AH137:AH150" si="28">AG137-AF137</f>
        <v>0</v>
      </c>
      <c r="AI137" s="787"/>
      <c r="AJ137" s="787">
        <f ca="1">SUMIFS('Корректировка НВВ'!$AF$25:$AF$180,'Корректировка НВВ'!$F$25:$F$180,$F137,'Корректировка НВВ'!$I$25:$I$180,$G137)</f>
        <v>0</v>
      </c>
      <c r="AK137" s="787"/>
      <c r="AL137" s="787"/>
      <c r="AM137" s="787"/>
      <c r="AN137" s="787"/>
      <c r="AO137" s="787"/>
      <c r="AP137" s="787"/>
      <c r="AQ137" s="787"/>
      <c r="AR137" s="787"/>
      <c r="AS137" s="787"/>
      <c r="AT137" s="787">
        <f ca="1">SUMIFS('Корректировка НВВ'!$AG$25:$AG$180,'Корректировка НВВ'!$F$25:$F$180,$F137,'Корректировка НВВ'!$I$25:$I$180,$G137)</f>
        <v>0</v>
      </c>
      <c r="AU137" s="787"/>
      <c r="AV137" s="787"/>
      <c r="AW137" s="787"/>
      <c r="AX137" s="787"/>
      <c r="AY137" s="787"/>
      <c r="AZ137" s="787"/>
      <c r="BA137" s="787"/>
      <c r="BB137" s="787"/>
      <c r="BC137" s="787"/>
      <c r="BD137" s="552"/>
      <c r="BE137" s="552"/>
      <c r="BF137" s="552"/>
      <c r="BG137" s="552"/>
      <c r="BH137" s="552"/>
      <c r="BI137" s="552"/>
      <c r="BJ137" s="552"/>
      <c r="BK137" s="552"/>
      <c r="BL137" s="552"/>
      <c r="BM137" s="552"/>
      <c r="BN137" s="784"/>
      <c r="BO137" s="788" t="str">
        <f ca="1">IF(IFERROR(INDEX('Корректировка НВВ'!$K$26:$L$180,MATCH($F137&amp;"1komm",'Корректировка НВВ'!$K$26:$K$180,0),2),"")=0,"",IFERROR(INDEX('Корректировка НВВ'!$K$26:$L$180,MATCH($F137&amp;"1komm",'Корректировка НВВ'!$K$26:$K$180,0),2),""))</f>
        <v/>
      </c>
      <c r="BP137" s="784"/>
      <c r="BS137" s="705" t="s">
        <v>2171</v>
      </c>
    </row>
    <row r="138" spans="2:75" ht="98.65" hidden="1" customHeight="1">
      <c r="C138" s="44"/>
      <c r="D138" s="44" t="str" cm="1">
        <f t="array" ref="D138">D137</f>
        <v>7</v>
      </c>
      <c r="E138" s="462">
        <v>101.25</v>
      </c>
      <c r="F138" s="3" cm="1">
        <f t="array" aca="1" ref="F138" ca="1">OFFSET(E138,-1,1)</f>
        <v>0</v>
      </c>
      <c r="G138" s="44" t="s">
        <v>2172</v>
      </c>
      <c r="H138" s="44"/>
      <c r="I138" s="44" t="s">
        <v>562</v>
      </c>
      <c r="J138" s="44"/>
      <c r="K138" s="91" t="s">
        <v>562</v>
      </c>
      <c r="L138" s="44"/>
      <c r="M138" s="44"/>
      <c r="N138" s="44"/>
      <c r="O138" s="44"/>
      <c r="P138" s="44"/>
      <c r="Q138" s="44"/>
      <c r="R138" s="44"/>
      <c r="S138" s="44"/>
      <c r="T138" s="365" t="b" cm="1">
        <f t="array" aca="1" ref="T138" ca="1">T137</f>
        <v>0</v>
      </c>
      <c r="U138" s="44"/>
      <c r="V138" s="44"/>
      <c r="W138" s="44"/>
      <c r="X138" s="1094"/>
      <c r="Z138" s="1065"/>
      <c r="AB138" s="26" t="str">
        <f>D138&amp;".2"</f>
        <v>7.2</v>
      </c>
      <c r="AC138" s="146" t="s">
        <v>2173</v>
      </c>
      <c r="AD138" s="26" t="s">
        <v>804</v>
      </c>
      <c r="AE138" s="787"/>
      <c r="AF138" s="787"/>
      <c r="AG138" s="787"/>
      <c r="AH138" s="190">
        <f t="shared" si="28"/>
        <v>0</v>
      </c>
      <c r="AI138" s="787"/>
      <c r="AJ138" s="787">
        <f ca="1">SUMIFS('Корректировка НВВ'!$AF$25:$AF$180,'Корректировка НВВ'!$F$25:$F$180,$F138,'Корректировка НВВ'!$I$25:$I$180,$G138)</f>
        <v>0</v>
      </c>
      <c r="AK138" s="787"/>
      <c r="AL138" s="787"/>
      <c r="AM138" s="787"/>
      <c r="AN138" s="787"/>
      <c r="AO138" s="787"/>
      <c r="AP138" s="787"/>
      <c r="AQ138" s="787"/>
      <c r="AR138" s="787"/>
      <c r="AS138" s="787"/>
      <c r="AT138" s="787">
        <f ca="1">SUMIFS('Корректировка НВВ'!$AG$25:$AG$180,'Корректировка НВВ'!$F$25:$F$180,$F138,'Корректировка НВВ'!$I$25:$I$180,$G138)</f>
        <v>0</v>
      </c>
      <c r="AU138" s="787"/>
      <c r="AV138" s="787"/>
      <c r="AW138" s="787"/>
      <c r="AX138" s="787"/>
      <c r="AY138" s="787"/>
      <c r="AZ138" s="787"/>
      <c r="BA138" s="787"/>
      <c r="BB138" s="787"/>
      <c r="BC138" s="787"/>
      <c r="BD138" s="552"/>
      <c r="BE138" s="552"/>
      <c r="BF138" s="552"/>
      <c r="BG138" s="552"/>
      <c r="BH138" s="552"/>
      <c r="BI138" s="552"/>
      <c r="BJ138" s="552"/>
      <c r="BK138" s="552"/>
      <c r="BL138" s="552"/>
      <c r="BM138" s="552"/>
      <c r="BN138" s="784"/>
      <c r="BO138" s="788" t="str">
        <f ca="1">IF(IFERROR(INDEX('Корректировка НВВ'!$K$26:$L$180,MATCH($F138&amp;"2komm",'Корректировка НВВ'!$K$26:$K$180,0),2),"")=0,"",IFERROR(INDEX('Корректировка НВВ'!$K$26:$L$180,MATCH($F138&amp;"2komm",'Корректировка НВВ'!$K$26:$K$180,0),2),""))</f>
        <v/>
      </c>
      <c r="BP138" s="784"/>
      <c r="BS138" s="705" t="s">
        <v>2174</v>
      </c>
    </row>
    <row r="139" spans="2:75" ht="43.9" hidden="1" customHeight="1">
      <c r="C139" s="44"/>
      <c r="D139" s="44" t="str" cm="1">
        <f t="array" ref="D139">D138</f>
        <v>7</v>
      </c>
      <c r="E139" s="462">
        <v>45</v>
      </c>
      <c r="F139" s="3" cm="1">
        <f t="array" aca="1" ref="F139" ca="1">OFFSET(E139,-1,1)</f>
        <v>0</v>
      </c>
      <c r="G139" s="44"/>
      <c r="H139" s="44"/>
      <c r="I139" s="44" t="s">
        <v>577</v>
      </c>
      <c r="J139" s="44"/>
      <c r="K139" s="91" t="s">
        <v>577</v>
      </c>
      <c r="L139" s="44"/>
      <c r="M139" s="44"/>
      <c r="N139" s="44"/>
      <c r="O139" s="44"/>
      <c r="P139" s="44"/>
      <c r="Q139" s="44"/>
      <c r="R139" s="44"/>
      <c r="S139" s="44"/>
      <c r="T139" s="365" t="b" cm="1">
        <f t="array" aca="1" ref="T139" ca="1">T138</f>
        <v>0</v>
      </c>
      <c r="U139" s="44"/>
      <c r="V139" s="44"/>
      <c r="W139" s="44"/>
      <c r="X139" s="1094"/>
      <c r="Z139" s="1065"/>
      <c r="AB139" s="26" t="str">
        <f>D139&amp;".3"</f>
        <v>7.3</v>
      </c>
      <c r="AC139" s="146" t="s">
        <v>2175</v>
      </c>
      <c r="AD139" s="26" t="s">
        <v>804</v>
      </c>
      <c r="AE139" s="787"/>
      <c r="AF139" s="787"/>
      <c r="AG139" s="787"/>
      <c r="AH139" s="190">
        <f t="shared" si="28"/>
        <v>0</v>
      </c>
      <c r="AI139" s="787"/>
      <c r="AJ139" s="787">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7"/>
      <c r="AL139" s="787"/>
      <c r="AM139" s="787"/>
      <c r="AN139" s="787"/>
      <c r="AO139" s="787"/>
      <c r="AP139" s="787"/>
      <c r="AQ139" s="787"/>
      <c r="AR139" s="787"/>
      <c r="AS139" s="787"/>
      <c r="AT139" s="787">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7"/>
      <c r="AV139" s="787"/>
      <c r="AW139" s="787"/>
      <c r="AX139" s="787"/>
      <c r="AY139" s="787"/>
      <c r="AZ139" s="787"/>
      <c r="BA139" s="787"/>
      <c r="BB139" s="787"/>
      <c r="BC139" s="787"/>
      <c r="BD139" s="552"/>
      <c r="BE139" s="552"/>
      <c r="BF139" s="552"/>
      <c r="BG139" s="552"/>
      <c r="BH139" s="552"/>
      <c r="BI139" s="552"/>
      <c r="BJ139" s="552"/>
      <c r="BK139" s="552"/>
      <c r="BL139" s="552"/>
      <c r="BM139" s="552"/>
      <c r="BN139" s="784"/>
      <c r="BO139" s="788"/>
      <c r="BP139" s="784"/>
      <c r="BS139" s="705" t="s">
        <v>2176</v>
      </c>
    </row>
    <row r="140" spans="2:75" ht="87.75" hidden="1" customHeight="1">
      <c r="B140" s="353" t="b">
        <f>S27="Водоотведение"</f>
        <v>0</v>
      </c>
      <c r="C140" s="44"/>
      <c r="D140" s="44" t="str" cm="1">
        <f t="array" ref="D140">D139</f>
        <v>7</v>
      </c>
      <c r="E140" s="462">
        <v>90</v>
      </c>
      <c r="F140" s="3" cm="1">
        <f t="array" aca="1" ref="F140" ca="1">OFFSET(E140,-1,1)</f>
        <v>0</v>
      </c>
      <c r="G140" s="44" t="s">
        <v>2177</v>
      </c>
      <c r="H140" s="581"/>
      <c r="I140" s="44" t="s">
        <v>746</v>
      </c>
      <c r="J140" s="44"/>
      <c r="K140" s="91" t="s">
        <v>746</v>
      </c>
      <c r="L140" s="44" t="s">
        <v>743</v>
      </c>
      <c r="M140" s="44"/>
      <c r="N140" s="44"/>
      <c r="O140" s="44"/>
      <c r="P140" s="44"/>
      <c r="Q140" s="44"/>
      <c r="R140" s="44"/>
      <c r="S140" s="44"/>
      <c r="T140" s="365" t="b" cm="1">
        <f t="array" aca="1" ref="T140" ca="1">T139</f>
        <v>0</v>
      </c>
      <c r="U140" s="44"/>
      <c r="V140" s="44"/>
      <c r="W140" s="44"/>
      <c r="X140" s="1094"/>
      <c r="Z140" s="1065"/>
      <c r="AB140" s="26" t="str">
        <f>D140&amp;".4"</f>
        <v>7.4</v>
      </c>
      <c r="AC140" s="146" t="s">
        <v>1839</v>
      </c>
      <c r="AD140" s="28" t="s">
        <v>804</v>
      </c>
      <c r="AE140" s="787"/>
      <c r="AF140" s="787"/>
      <c r="AG140" s="787"/>
      <c r="AH140" s="190">
        <f t="shared" si="28"/>
        <v>0</v>
      </c>
      <c r="AI140" s="787"/>
      <c r="AJ140" s="787">
        <f ca="1">SUMIFS('Корректировка НВВ'!$AF$25:$AF$180,'Корректировка НВВ'!$F$25:$F$180,$F140,'Корректировка НВВ'!$I$25:$I$180,$G140)</f>
        <v>0</v>
      </c>
      <c r="AK140" s="787"/>
      <c r="AL140" s="787"/>
      <c r="AM140" s="787"/>
      <c r="AN140" s="787"/>
      <c r="AO140" s="787"/>
      <c r="AP140" s="787"/>
      <c r="AQ140" s="787"/>
      <c r="AR140" s="787"/>
      <c r="AS140" s="787"/>
      <c r="AT140" s="787">
        <f ca="1">SUMIFS('Корректировка НВВ'!$AG$25:$AG$180,'Корректировка НВВ'!$F$25:$F$180,$F140,'Корректировка НВВ'!$I$25:$I$180,$G140)</f>
        <v>0</v>
      </c>
      <c r="AU140" s="787"/>
      <c r="AV140" s="787"/>
      <c r="AW140" s="787"/>
      <c r="AX140" s="787"/>
      <c r="AY140" s="787"/>
      <c r="AZ140" s="787"/>
      <c r="BA140" s="787"/>
      <c r="BB140" s="787"/>
      <c r="BC140" s="787"/>
      <c r="BD140" s="552"/>
      <c r="BE140" s="552"/>
      <c r="BF140" s="552"/>
      <c r="BG140" s="552"/>
      <c r="BH140" s="552"/>
      <c r="BI140" s="552"/>
      <c r="BJ140" s="552"/>
      <c r="BK140" s="552"/>
      <c r="BL140" s="552"/>
      <c r="BM140" s="552"/>
      <c r="BN140" s="784"/>
      <c r="BO140" s="788" t="str">
        <f ca="1">IF(IFERROR(INDEX('Корректировка НВВ'!$K$26:$L$180,MATCH($F140&amp;"3komm",'Корректировка НВВ'!$K$26:$K$180,0),2),"")=0,"",IFERROR(INDEX('Корректировка НВВ'!$K$26:$L$180,MATCH($F140&amp;"3komm",'Корректировка НВВ'!$K$26:$K$180,0),2),""))</f>
        <v/>
      </c>
      <c r="BP140" s="784"/>
      <c r="BS140" s="705" t="s">
        <v>1366</v>
      </c>
    </row>
    <row r="141" spans="2:75" ht="54.75" hidden="1" customHeight="1">
      <c r="B141" s="353" t="b" cm="1">
        <f t="array" ref="B141">B140</f>
        <v>0</v>
      </c>
      <c r="C141" s="44"/>
      <c r="D141" s="44" t="str" cm="1">
        <f t="array" ref="D141">D140</f>
        <v>7</v>
      </c>
      <c r="E141" s="462">
        <v>56.25</v>
      </c>
      <c r="F141" s="3" cm="1">
        <f t="array" aca="1" ref="F141" ca="1">OFFSET(E141,-1,1)</f>
        <v>0</v>
      </c>
      <c r="G141" s="44" t="s">
        <v>2178</v>
      </c>
      <c r="H141" s="581"/>
      <c r="I141" s="44" t="s">
        <v>782</v>
      </c>
      <c r="J141" s="44"/>
      <c r="K141" s="91" t="s">
        <v>782</v>
      </c>
      <c r="L141" s="44" t="s">
        <v>746</v>
      </c>
      <c r="M141" s="44"/>
      <c r="N141" s="44"/>
      <c r="O141" s="44"/>
      <c r="P141" s="44"/>
      <c r="Q141" s="44"/>
      <c r="R141" s="44"/>
      <c r="S141" s="44"/>
      <c r="T141" s="365" t="b" cm="1">
        <f t="array" aca="1" ref="T141" ca="1">T140</f>
        <v>0</v>
      </c>
      <c r="U141" s="44"/>
      <c r="V141" s="44"/>
      <c r="W141" s="44"/>
      <c r="X141" s="1094"/>
      <c r="Z141" s="1065"/>
      <c r="AB141" s="26" t="str">
        <f>D141&amp;".5"</f>
        <v>7.5</v>
      </c>
      <c r="AC141" s="146" t="s">
        <v>1841</v>
      </c>
      <c r="AD141" s="28" t="s">
        <v>804</v>
      </c>
      <c r="AE141" s="787"/>
      <c r="AF141" s="787"/>
      <c r="AG141" s="787"/>
      <c r="AH141" s="190">
        <f t="shared" si="28"/>
        <v>0</v>
      </c>
      <c r="AI141" s="787"/>
      <c r="AJ141" s="787">
        <f ca="1">SUMIFS('Корректировка НВВ'!$AF$25:$AF$180,'Корректировка НВВ'!$F$25:$F$180,$F141,'Корректировка НВВ'!$I$25:$I$180,$G141)</f>
        <v>0</v>
      </c>
      <c r="AK141" s="787"/>
      <c r="AL141" s="787"/>
      <c r="AM141" s="787"/>
      <c r="AN141" s="787"/>
      <c r="AO141" s="787"/>
      <c r="AP141" s="787"/>
      <c r="AQ141" s="787"/>
      <c r="AR141" s="787"/>
      <c r="AS141" s="787"/>
      <c r="AT141" s="787">
        <f ca="1">SUMIFS('Корректировка НВВ'!$AG$25:$AG$180,'Корректировка НВВ'!$F$25:$F$180,$F141,'Корректировка НВВ'!$I$25:$I$180,$G141)</f>
        <v>0</v>
      </c>
      <c r="AU141" s="787"/>
      <c r="AV141" s="787"/>
      <c r="AW141" s="787"/>
      <c r="AX141" s="787"/>
      <c r="AY141" s="787"/>
      <c r="AZ141" s="787"/>
      <c r="BA141" s="787"/>
      <c r="BB141" s="787"/>
      <c r="BC141" s="787"/>
      <c r="BD141" s="552"/>
      <c r="BE141" s="552"/>
      <c r="BF141" s="552"/>
      <c r="BG141" s="552"/>
      <c r="BH141" s="552"/>
      <c r="BI141" s="552"/>
      <c r="BJ141" s="552"/>
      <c r="BK141" s="552"/>
      <c r="BL141" s="552"/>
      <c r="BM141" s="552"/>
      <c r="BN141" s="784"/>
      <c r="BO141" s="788" t="str">
        <f ca="1">IF(IFERROR(INDEX('Корректировка НВВ'!$K$26:$L$180,MATCH($F141&amp;"4komm",'Корректировка НВВ'!$K$26:$K$180,0),2),"")=0,"",IFERROR(INDEX('Корректировка НВВ'!$K$26:$L$180,MATCH($F141&amp;"4komm",'Корректировка НВВ'!$K$26:$K$180,0),2),""))</f>
        <v/>
      </c>
      <c r="BP141" s="784"/>
      <c r="BS141" s="705" t="s">
        <v>1370</v>
      </c>
    </row>
    <row r="142" spans="2:75" ht="14.65" hidden="1" customHeight="1">
      <c r="B142" s="65"/>
      <c r="C142" s="44"/>
      <c r="D142" s="44" t="str" cm="1">
        <f t="array" ref="D142">D141</f>
        <v>7</v>
      </c>
      <c r="E142" s="462">
        <v>15</v>
      </c>
      <c r="F142" s="3" cm="1">
        <f t="array" aca="1" ref="F142" ca="1">OFFSET(E142,-1,1)</f>
        <v>0</v>
      </c>
      <c r="G142" s="44" t="s">
        <v>2179</v>
      </c>
      <c r="H142" s="44"/>
      <c r="I142" s="44" t="s">
        <v>783</v>
      </c>
      <c r="J142" s="44"/>
      <c r="K142" s="91" t="s">
        <v>783</v>
      </c>
      <c r="L142" s="44" t="s">
        <v>782</v>
      </c>
      <c r="M142" s="44"/>
      <c r="N142" s="44"/>
      <c r="O142" s="44"/>
      <c r="P142" s="44"/>
      <c r="Q142" s="44"/>
      <c r="R142" s="44"/>
      <c r="S142" s="44"/>
      <c r="T142" s="365" t="b" cm="1">
        <f t="array" aca="1" ref="T142" ca="1">T141</f>
        <v>0</v>
      </c>
      <c r="U142" s="44"/>
      <c r="V142" s="44"/>
      <c r="W142" s="44"/>
      <c r="X142" s="1094"/>
      <c r="Z142" s="1065"/>
      <c r="AB142" s="26" t="str">
        <f>IF(B141,D142&amp;".6",D142&amp;".4")</f>
        <v>7.4</v>
      </c>
      <c r="AC142" s="146" t="s">
        <v>1583</v>
      </c>
      <c r="AD142" s="26" t="s">
        <v>804</v>
      </c>
      <c r="AE142" s="787"/>
      <c r="AF142" s="787"/>
      <c r="AG142" s="787"/>
      <c r="AH142" s="190">
        <f t="shared" si="28"/>
        <v>0</v>
      </c>
      <c r="AI142" s="787"/>
      <c r="AJ142" s="787">
        <f ca="1">SUMIFS('Корректировка НВВ'!$AF$25:$AF$180,'Корректировка НВВ'!$F$25:$F$180,$F142,'Корректировка НВВ'!$I$25:$I$180,$G142)</f>
        <v>0</v>
      </c>
      <c r="AK142" s="787"/>
      <c r="AL142" s="787"/>
      <c r="AM142" s="787"/>
      <c r="AN142" s="787"/>
      <c r="AO142" s="787"/>
      <c r="AP142" s="787"/>
      <c r="AQ142" s="787"/>
      <c r="AR142" s="787"/>
      <c r="AS142" s="787"/>
      <c r="AT142" s="787">
        <f ca="1">SUMIFS('Корректировка НВВ'!$AG$25:$AG$180,'Корректировка НВВ'!$F$25:$F$180,$F142,'Корректировка НВВ'!$I$25:$I$180,$G142)</f>
        <v>0</v>
      </c>
      <c r="AU142" s="787"/>
      <c r="AV142" s="787"/>
      <c r="AW142" s="787"/>
      <c r="AX142" s="787"/>
      <c r="AY142" s="787"/>
      <c r="AZ142" s="787"/>
      <c r="BA142" s="787"/>
      <c r="BB142" s="787"/>
      <c r="BC142" s="787"/>
      <c r="BD142" s="552"/>
      <c r="BE142" s="552"/>
      <c r="BF142" s="552"/>
      <c r="BG142" s="552"/>
      <c r="BH142" s="552"/>
      <c r="BI142" s="552"/>
      <c r="BJ142" s="552"/>
      <c r="BK142" s="552"/>
      <c r="BL142" s="552"/>
      <c r="BM142" s="552"/>
      <c r="BN142" s="784"/>
      <c r="BO142" s="788" t="str">
        <f ca="1">IF(IFERROR(INDEX('Корректировка НВВ'!$K$26:$L$180,MATCH($F142&amp;"5komm",'Корректировка НВВ'!$K$26:$K$180,0),2),"")=0,"",IFERROR(INDEX('Корректировка НВВ'!$K$26:$L$180,MATCH($F142&amp;"5komm",'Корректировка НВВ'!$K$26:$K$180,0),2),""))</f>
        <v/>
      </c>
      <c r="BP142" s="784"/>
      <c r="BS142" s="705" t="s">
        <v>2180</v>
      </c>
    </row>
    <row r="143" spans="2:75" ht="14.65" hidden="1" customHeight="1">
      <c r="C143" s="44"/>
      <c r="D143" s="44" t="str" cm="1">
        <f t="array" ref="D143">D142</f>
        <v>7</v>
      </c>
      <c r="E143" s="462">
        <v>15</v>
      </c>
      <c r="F143" s="3" cm="1">
        <f t="array" aca="1" ref="F143" ca="1">OFFSET(E143,-1,1)</f>
        <v>0</v>
      </c>
      <c r="G143" s="44" t="s">
        <v>2181</v>
      </c>
      <c r="H143" s="44"/>
      <c r="I143" s="44" t="s">
        <v>1850</v>
      </c>
      <c r="J143" s="44"/>
      <c r="K143" s="91" t="s">
        <v>1850</v>
      </c>
      <c r="L143" s="44" t="s">
        <v>783</v>
      </c>
      <c r="M143" s="44"/>
      <c r="N143" s="44"/>
      <c r="O143" s="44"/>
      <c r="P143" s="44"/>
      <c r="Q143" s="44"/>
      <c r="R143" s="44"/>
      <c r="S143" s="44"/>
      <c r="T143" s="365" t="b" cm="1">
        <f t="array" aca="1" ref="T143" ca="1">T142</f>
        <v>0</v>
      </c>
      <c r="U143" s="44"/>
      <c r="V143" s="44"/>
      <c r="W143" s="44"/>
      <c r="X143" s="1094"/>
      <c r="Z143" s="1065"/>
      <c r="AB143" s="26" t="str">
        <f>IF(B141,D142&amp;".7",D142&amp;".5")</f>
        <v>7.5</v>
      </c>
      <c r="AC143" s="146" t="s">
        <v>1545</v>
      </c>
      <c r="AD143" s="26" t="s">
        <v>804</v>
      </c>
      <c r="AE143" s="787">
        <f>AE144+AE145</f>
        <v>0</v>
      </c>
      <c r="AF143" s="787">
        <f>AF144+AF145</f>
        <v>0</v>
      </c>
      <c r="AG143" s="787">
        <f>AG144+AG145</f>
        <v>0</v>
      </c>
      <c r="AH143" s="190">
        <f t="shared" si="28"/>
        <v>0</v>
      </c>
      <c r="AI143" s="787">
        <f>AI144+AI145</f>
        <v>0</v>
      </c>
      <c r="AJ143" s="787">
        <f ca="1">SUMIFS('Корректировка НВВ'!$AF$25:$AF$180,'Корректировка НВВ'!$F$25:$F$180,$F143,'Корректировка НВВ'!$I$25:$I$180,$G143)</f>
        <v>0</v>
      </c>
      <c r="AK143" s="787">
        <f t="shared" ref="AK143:AS143" si="29">AK144+AK145</f>
        <v>0</v>
      </c>
      <c r="AL143" s="787">
        <f t="shared" si="29"/>
        <v>0</v>
      </c>
      <c r="AM143" s="787">
        <f t="shared" si="29"/>
        <v>0</v>
      </c>
      <c r="AN143" s="787">
        <f t="shared" si="29"/>
        <v>0</v>
      </c>
      <c r="AO143" s="787">
        <f t="shared" si="29"/>
        <v>0</v>
      </c>
      <c r="AP143" s="787">
        <f t="shared" si="29"/>
        <v>0</v>
      </c>
      <c r="AQ143" s="787">
        <f t="shared" si="29"/>
        <v>0</v>
      </c>
      <c r="AR143" s="787">
        <f t="shared" si="29"/>
        <v>0</v>
      </c>
      <c r="AS143" s="787">
        <f t="shared" si="29"/>
        <v>0</v>
      </c>
      <c r="AT143" s="787">
        <f ca="1">SUMIFS('Корректировка НВВ'!$AG$25:$AG$180,'Корректировка НВВ'!$F$25:$F$180,$F143,'Корректировка НВВ'!$I$25:$I$180,$G143)</f>
        <v>0</v>
      </c>
      <c r="AU143" s="787">
        <f t="shared" ref="AU143:BC143" si="30">AU144+AU145</f>
        <v>0</v>
      </c>
      <c r="AV143" s="787">
        <f t="shared" si="30"/>
        <v>0</v>
      </c>
      <c r="AW143" s="787">
        <f t="shared" si="30"/>
        <v>0</v>
      </c>
      <c r="AX143" s="787">
        <f t="shared" si="30"/>
        <v>0</v>
      </c>
      <c r="AY143" s="787">
        <f t="shared" si="30"/>
        <v>0</v>
      </c>
      <c r="AZ143" s="787">
        <f t="shared" si="30"/>
        <v>0</v>
      </c>
      <c r="BA143" s="787">
        <f t="shared" si="30"/>
        <v>0</v>
      </c>
      <c r="BB143" s="787">
        <f t="shared" si="30"/>
        <v>0</v>
      </c>
      <c r="BC143" s="787">
        <f t="shared" si="30"/>
        <v>0</v>
      </c>
      <c r="BD143" s="190">
        <f>IF(AI143=0,0,(AT143-AI143)/AI143*100)</f>
        <v>0</v>
      </c>
      <c r="BE143" s="190">
        <f t="shared" ref="BE143:BM143" ca="1" si="31">IF(AT143=0,0,(AU143-AT143)/AT143*100)</f>
        <v>0</v>
      </c>
      <c r="BF143" s="190">
        <f t="shared" si="31"/>
        <v>0</v>
      </c>
      <c r="BG143" s="190">
        <f t="shared" si="31"/>
        <v>0</v>
      </c>
      <c r="BH143" s="190">
        <f t="shared" si="31"/>
        <v>0</v>
      </c>
      <c r="BI143" s="190">
        <f t="shared" si="31"/>
        <v>0</v>
      </c>
      <c r="BJ143" s="190">
        <f t="shared" si="31"/>
        <v>0</v>
      </c>
      <c r="BK143" s="190">
        <f t="shared" si="31"/>
        <v>0</v>
      </c>
      <c r="BL143" s="190">
        <f t="shared" si="31"/>
        <v>0</v>
      </c>
      <c r="BM143" s="190">
        <f t="shared" si="31"/>
        <v>0</v>
      </c>
      <c r="BN143" s="784"/>
      <c r="BO143" s="788" t="str">
        <f ca="1">IF(IFERROR(INDEX('Корректировка НВВ'!$K$26:$L$180,MATCH($F143&amp;"6komm",'Корректировка НВВ'!$K$26:$K$180,0),2),"")=0,"",IFERROR(INDEX('Корректировка НВВ'!$K$26:$L$180,MATCH($F143&amp;"6komm",'Корректировка НВВ'!$K$26:$K$180,0),2),""))</f>
        <v/>
      </c>
      <c r="BP143" s="784"/>
      <c r="BS143" s="705" t="s">
        <v>1547</v>
      </c>
    </row>
    <row r="144" spans="2:75" ht="21.95" hidden="1" customHeight="1">
      <c r="C144" s="44"/>
      <c r="D144" s="44" t="str" cm="1">
        <f t="array" ref="D144">D143</f>
        <v>7</v>
      </c>
      <c r="E144" s="462">
        <v>22.5</v>
      </c>
      <c r="F144" s="3" cm="1">
        <f t="array" aca="1" ref="F144" ca="1">OFFSET(E144,-1,1)</f>
        <v>0</v>
      </c>
      <c r="G144" s="44" t="s">
        <v>2182</v>
      </c>
      <c r="H144" s="44"/>
      <c r="I144" s="44" t="s">
        <v>2183</v>
      </c>
      <c r="J144" s="44"/>
      <c r="K144" s="91" t="s">
        <v>2183</v>
      </c>
      <c r="L144" s="44" t="s">
        <v>1845</v>
      </c>
      <c r="M144" s="44"/>
      <c r="N144" s="44"/>
      <c r="O144" s="44"/>
      <c r="P144" s="44"/>
      <c r="Q144" s="44"/>
      <c r="R144" s="44"/>
      <c r="S144" s="44"/>
      <c r="T144" s="365" t="b" cm="1">
        <f t="array" aca="1" ref="T144" ca="1">T143</f>
        <v>0</v>
      </c>
      <c r="U144" s="44"/>
      <c r="V144" s="44"/>
      <c r="W144" s="44"/>
      <c r="X144" s="1094"/>
      <c r="Z144" s="1065"/>
      <c r="AB144" s="26" t="str">
        <f>AB143&amp;".1"</f>
        <v>7.5.1</v>
      </c>
      <c r="AC144" s="559" t="s">
        <v>1548</v>
      </c>
      <c r="AD144" s="26" t="s">
        <v>804</v>
      </c>
      <c r="AE144" s="787"/>
      <c r="AF144" s="787"/>
      <c r="AG144" s="787"/>
      <c r="AH144" s="190">
        <f t="shared" si="28"/>
        <v>0</v>
      </c>
      <c r="AI144" s="787"/>
      <c r="AJ144" s="787">
        <f ca="1">SUMIFS('Корректировка НВВ'!$AF$25:$AF$180,'Корректировка НВВ'!$F$25:$F$180,$F144,'Корректировка НВВ'!$I$25:$I$180,$G144)</f>
        <v>0</v>
      </c>
      <c r="AK144" s="787"/>
      <c r="AL144" s="787"/>
      <c r="AM144" s="787"/>
      <c r="AN144" s="787"/>
      <c r="AO144" s="787"/>
      <c r="AP144" s="787"/>
      <c r="AQ144" s="787"/>
      <c r="AR144" s="787"/>
      <c r="AS144" s="787"/>
      <c r="AT144" s="787">
        <f ca="1">SUMIFS('Корректировка НВВ'!$AG$25:$AG$180,'Корректировка НВВ'!$F$25:$F$180,$F144,'Корректировка НВВ'!$I$25:$I$180,$G144)</f>
        <v>0</v>
      </c>
      <c r="AU144" s="787"/>
      <c r="AV144" s="787"/>
      <c r="AW144" s="787"/>
      <c r="AX144" s="787"/>
      <c r="AY144" s="787"/>
      <c r="AZ144" s="787"/>
      <c r="BA144" s="787"/>
      <c r="BB144" s="787"/>
      <c r="BC144" s="787"/>
      <c r="BD144" s="552"/>
      <c r="BE144" s="552"/>
      <c r="BF144" s="552"/>
      <c r="BG144" s="552"/>
      <c r="BH144" s="552"/>
      <c r="BI144" s="552"/>
      <c r="BJ144" s="552"/>
      <c r="BK144" s="552"/>
      <c r="BL144" s="552"/>
      <c r="BM144" s="552"/>
      <c r="BN144" s="784"/>
      <c r="BO144" s="788" t="str">
        <f ca="1">IF(IFERROR(INDEX('Корректировка НВВ'!$K$26:$L$180,MATCH($F144&amp;"7komm",'Корректировка НВВ'!$K$26:$K$180,0),2),"")=0,"",IFERROR(INDEX('Корректировка НВВ'!$K$26:$L$180,MATCH($F144&amp;"7komm",'Корректировка НВВ'!$K$26:$K$180,0),2),""))</f>
        <v/>
      </c>
      <c r="BP144" s="784"/>
      <c r="BS144" s="705" t="s">
        <v>1549</v>
      </c>
    </row>
    <row r="145" spans="2:75" ht="21.95" hidden="1" customHeight="1">
      <c r="C145" s="44"/>
      <c r="D145" s="44" t="str" cm="1">
        <f t="array" ref="D145">D144</f>
        <v>7</v>
      </c>
      <c r="E145" s="462">
        <v>22.5</v>
      </c>
      <c r="F145" s="3" cm="1">
        <f t="array" aca="1" ref="F145" ca="1">OFFSET(E145,-1,1)</f>
        <v>0</v>
      </c>
      <c r="G145" s="44" t="s">
        <v>2184</v>
      </c>
      <c r="H145" s="44"/>
      <c r="I145" s="44" t="s">
        <v>2185</v>
      </c>
      <c r="J145" s="44"/>
      <c r="K145" s="91" t="s">
        <v>2185</v>
      </c>
      <c r="L145" s="44" t="s">
        <v>1847</v>
      </c>
      <c r="M145" s="44"/>
      <c r="N145" s="44"/>
      <c r="O145" s="44"/>
      <c r="P145" s="44"/>
      <c r="Q145" s="44"/>
      <c r="R145" s="44"/>
      <c r="S145" s="44"/>
      <c r="T145" s="365" t="b" cm="1">
        <f t="array" aca="1" ref="T145" ca="1">T144</f>
        <v>0</v>
      </c>
      <c r="U145" s="44"/>
      <c r="V145" s="44"/>
      <c r="W145" s="44"/>
      <c r="X145" s="1094"/>
      <c r="Z145" s="1065"/>
      <c r="AB145" s="26" t="str">
        <f>AB143&amp;".2"</f>
        <v>7.5.2</v>
      </c>
      <c r="AC145" s="559" t="s">
        <v>1550</v>
      </c>
      <c r="AD145" s="26" t="s">
        <v>804</v>
      </c>
      <c r="AE145" s="787"/>
      <c r="AF145" s="787"/>
      <c r="AG145" s="787"/>
      <c r="AH145" s="190">
        <f t="shared" si="28"/>
        <v>0</v>
      </c>
      <c r="AI145" s="787"/>
      <c r="AJ145" s="787">
        <f ca="1">SUMIFS('Корректировка НВВ'!$AF$25:$AF$180,'Корректировка НВВ'!$F$25:$F$180,$F145,'Корректировка НВВ'!$I$25:$I$180,$G145)</f>
        <v>0</v>
      </c>
      <c r="AK145" s="787"/>
      <c r="AL145" s="787"/>
      <c r="AM145" s="787"/>
      <c r="AN145" s="787"/>
      <c r="AO145" s="787"/>
      <c r="AP145" s="787"/>
      <c r="AQ145" s="787"/>
      <c r="AR145" s="787"/>
      <c r="AS145" s="787"/>
      <c r="AT145" s="787">
        <f ca="1">SUMIFS('Корректировка НВВ'!$AG$25:$AG$180,'Корректировка НВВ'!$F$25:$F$180,$F145,'Корректировка НВВ'!$I$25:$I$180,$G145)</f>
        <v>0</v>
      </c>
      <c r="AU145" s="787"/>
      <c r="AV145" s="787"/>
      <c r="AW145" s="787"/>
      <c r="AX145" s="787"/>
      <c r="AY145" s="787"/>
      <c r="AZ145" s="787"/>
      <c r="BA145" s="787"/>
      <c r="BB145" s="787"/>
      <c r="BC145" s="787"/>
      <c r="BD145" s="552"/>
      <c r="BE145" s="552"/>
      <c r="BF145" s="552"/>
      <c r="BG145" s="552"/>
      <c r="BH145" s="552"/>
      <c r="BI145" s="552"/>
      <c r="BJ145" s="552"/>
      <c r="BK145" s="552"/>
      <c r="BL145" s="552"/>
      <c r="BM145" s="552"/>
      <c r="BN145" s="784"/>
      <c r="BO145" s="788" t="str">
        <f ca="1">IF(IFERROR(INDEX('Корректировка НВВ'!$K$26:$L$180,MATCH($F145&amp;"8komm",'Корректировка НВВ'!$K$26:$K$180,0),2),"")=0,"",IFERROR(INDEX('Корректировка НВВ'!$K$26:$L$180,MATCH($F145&amp;"8komm",'Корректировка НВВ'!$K$26:$K$180,0),2),""))</f>
        <v/>
      </c>
      <c r="BP145" s="784"/>
      <c r="BS145" s="705" t="s">
        <v>1551</v>
      </c>
    </row>
    <row r="146" spans="2:75" ht="14.65" hidden="1" customHeight="1">
      <c r="C146" s="44"/>
      <c r="D146" s="44" t="str" cm="1">
        <f t="array" ref="D146">D145</f>
        <v>7</v>
      </c>
      <c r="E146" s="462">
        <v>15</v>
      </c>
      <c r="F146" s="3" cm="1">
        <f t="array" aca="1" ref="F146" ca="1">OFFSET(E146,-1,1)</f>
        <v>0</v>
      </c>
      <c r="G146" s="44" t="s">
        <v>314</v>
      </c>
      <c r="H146" s="44"/>
      <c r="I146" s="44" t="s">
        <v>1851</v>
      </c>
      <c r="J146" s="44"/>
      <c r="K146" s="91" t="s">
        <v>1851</v>
      </c>
      <c r="L146" s="44" t="s">
        <v>1850</v>
      </c>
      <c r="M146" s="44"/>
      <c r="N146" s="44"/>
      <c r="O146" s="44"/>
      <c r="P146" s="44"/>
      <c r="Q146" s="44"/>
      <c r="R146" s="44"/>
      <c r="S146" s="44"/>
      <c r="T146" s="365" t="b" cm="1">
        <f t="array" aca="1" ref="T146" ca="1">T145</f>
        <v>0</v>
      </c>
      <c r="U146" s="44"/>
      <c r="V146" s="44"/>
      <c r="W146" s="44"/>
      <c r="X146" s="1094"/>
      <c r="Z146" s="1065"/>
      <c r="AB146" s="26" t="str">
        <f>IF(B141,D142&amp;".8",D142&amp;".6")</f>
        <v>7.6</v>
      </c>
      <c r="AC146" s="560" t="s">
        <v>1552</v>
      </c>
      <c r="AD146" s="26" t="s">
        <v>804</v>
      </c>
      <c r="AE146" s="787"/>
      <c r="AF146" s="787"/>
      <c r="AG146" s="787"/>
      <c r="AH146" s="190">
        <f t="shared" si="28"/>
        <v>0</v>
      </c>
      <c r="AI146" s="787"/>
      <c r="AJ146" s="787">
        <f ca="1">SUMIFS('Корректировка НВВ'!$AF$25:$AF$180,'Корректировка НВВ'!$F$25:$F$180,$F146,'Корректировка НВВ'!$I$25:$I$180,$G146)</f>
        <v>0</v>
      </c>
      <c r="AK146" s="787"/>
      <c r="AL146" s="787"/>
      <c r="AM146" s="787"/>
      <c r="AN146" s="787"/>
      <c r="AO146" s="787"/>
      <c r="AP146" s="787"/>
      <c r="AQ146" s="787"/>
      <c r="AR146" s="787"/>
      <c r="AS146" s="787"/>
      <c r="AT146" s="787">
        <f ca="1">SUMIFS('Корректировка НВВ'!$AG$25:$AG$180,'Корректировка НВВ'!$F$25:$F$180,$F146,'Корректировка НВВ'!$I$25:$I$180,$G146)</f>
        <v>0</v>
      </c>
      <c r="AU146" s="787"/>
      <c r="AV146" s="787"/>
      <c r="AW146" s="787"/>
      <c r="AX146" s="787"/>
      <c r="AY146" s="787"/>
      <c r="AZ146" s="787"/>
      <c r="BA146" s="787"/>
      <c r="BB146" s="787"/>
      <c r="BC146" s="787"/>
      <c r="BD146" s="552"/>
      <c r="BE146" s="552"/>
      <c r="BF146" s="552"/>
      <c r="BG146" s="552"/>
      <c r="BH146" s="552"/>
      <c r="BI146" s="552"/>
      <c r="BJ146" s="552"/>
      <c r="BK146" s="552"/>
      <c r="BL146" s="552"/>
      <c r="BM146" s="552"/>
      <c r="BN146" s="784"/>
      <c r="BO146" s="788" t="str">
        <f ca="1">IF(IFERROR(INDEX('Корректировка НВВ'!$K$26:$L$180,MATCH($F146&amp;"9komm",'Корректировка НВВ'!$K$26:$K$180,0),2),"")=0,"",IFERROR(INDEX('Корректировка НВВ'!$K$26:$L$180,MATCH($F146&amp;"9komm",'Корректировка НВВ'!$K$26:$K$180,0),2),""))</f>
        <v/>
      </c>
      <c r="BP146" s="784"/>
      <c r="BS146" s="705" t="s">
        <v>2186</v>
      </c>
    </row>
    <row r="147" spans="2:75" ht="14.65" hidden="1" customHeight="1">
      <c r="C147" s="44"/>
      <c r="D147" s="44" t="str" cm="1">
        <f t="array" ref="D147">D146</f>
        <v>7</v>
      </c>
      <c r="E147" s="462">
        <v>15</v>
      </c>
      <c r="F147" s="3" cm="1">
        <f t="array" aca="1" ref="F147" ca="1">OFFSET(E147,-1,1)</f>
        <v>0</v>
      </c>
      <c r="G147" s="44" t="s">
        <v>2187</v>
      </c>
      <c r="H147" s="44"/>
      <c r="I147" s="44" t="s">
        <v>1853</v>
      </c>
      <c r="J147" s="44"/>
      <c r="K147" s="91" t="s">
        <v>1853</v>
      </c>
      <c r="L147" s="44" t="s">
        <v>1851</v>
      </c>
      <c r="M147" s="44"/>
      <c r="N147" s="44"/>
      <c r="O147" s="44"/>
      <c r="P147" s="44"/>
      <c r="Q147" s="44"/>
      <c r="R147" s="44"/>
      <c r="S147" s="44"/>
      <c r="T147" s="365" t="b" cm="1">
        <f t="array" aca="1" ref="T147" ca="1">T146</f>
        <v>0</v>
      </c>
      <c r="U147" s="44"/>
      <c r="V147" s="44"/>
      <c r="W147" s="44"/>
      <c r="X147" s="1094"/>
      <c r="Z147" s="1065"/>
      <c r="AB147" s="26" t="str">
        <f>IF(B141,D142&amp;".9",D142&amp;".7")</f>
        <v>7.7</v>
      </c>
      <c r="AC147" s="560" t="s">
        <v>1554</v>
      </c>
      <c r="AD147" s="26" t="s">
        <v>804</v>
      </c>
      <c r="AE147" s="787"/>
      <c r="AF147" s="787"/>
      <c r="AG147" s="787"/>
      <c r="AH147" s="190">
        <f t="shared" si="28"/>
        <v>0</v>
      </c>
      <c r="AI147" s="787"/>
      <c r="AJ147" s="787">
        <f ca="1">SUMIFS('Корректировка НВВ'!$AF$25:$AF$180,'Корректировка НВВ'!$F$25:$F$180,$F147,'Корректировка НВВ'!$I$25:$I$180,$G147)</f>
        <v>0</v>
      </c>
      <c r="AK147" s="787"/>
      <c r="AL147" s="787"/>
      <c r="AM147" s="787"/>
      <c r="AN147" s="787"/>
      <c r="AO147" s="787"/>
      <c r="AP147" s="787"/>
      <c r="AQ147" s="787"/>
      <c r="AR147" s="787"/>
      <c r="AS147" s="787"/>
      <c r="AT147" s="787">
        <f ca="1">SUMIFS('Корректировка НВВ'!$AG$25:$AG$180,'Корректировка НВВ'!$F$25:$F$180,$F147,'Корректировка НВВ'!$I$25:$I$180,$G147)</f>
        <v>0</v>
      </c>
      <c r="AU147" s="787"/>
      <c r="AV147" s="787"/>
      <c r="AW147" s="787"/>
      <c r="AX147" s="787"/>
      <c r="AY147" s="787"/>
      <c r="AZ147" s="787"/>
      <c r="BA147" s="787"/>
      <c r="BB147" s="787"/>
      <c r="BC147" s="787"/>
      <c r="BD147" s="552"/>
      <c r="BE147" s="552"/>
      <c r="BF147" s="552"/>
      <c r="BG147" s="552"/>
      <c r="BH147" s="552"/>
      <c r="BI147" s="552"/>
      <c r="BJ147" s="552"/>
      <c r="BK147" s="552"/>
      <c r="BL147" s="552"/>
      <c r="BM147" s="552"/>
      <c r="BN147" s="784"/>
      <c r="BO147" s="788" t="str">
        <f ca="1">IF(IFERROR(INDEX('Корректировка НВВ'!$K$26:$L$180,MATCH($F147&amp;"10komm",'Корректировка НВВ'!$K$26:$K$180,0),2),"")=0,"",IFERROR(INDEX('Корректировка НВВ'!$K$26:$L$180,MATCH($F147&amp;"10komm",'Корректировка НВВ'!$K$26:$K$180,0),2),""))</f>
        <v/>
      </c>
      <c r="BP147" s="784"/>
      <c r="BS147" s="705" t="s">
        <v>1555</v>
      </c>
    </row>
    <row r="148" spans="2:75" s="95" customFormat="1" ht="20.45" hidden="1" customHeight="1">
      <c r="B148" s="344"/>
      <c r="C148" s="46"/>
      <c r="D148" s="46">
        <f>D147+1</f>
        <v>8</v>
      </c>
      <c r="E148" s="569">
        <v>21</v>
      </c>
      <c r="F148" s="3" cm="1">
        <f t="array" aca="1" ref="F148" ca="1">OFFSET(E148,-1,1)</f>
        <v>0</v>
      </c>
      <c r="G148" s="46"/>
      <c r="H148" s="46"/>
      <c r="I148" s="46" t="s">
        <v>585</v>
      </c>
      <c r="J148" s="46"/>
      <c r="K148" s="95" t="s">
        <v>585</v>
      </c>
      <c r="L148" s="46"/>
      <c r="M148" s="46"/>
      <c r="N148" s="46"/>
      <c r="O148" s="46"/>
      <c r="P148" s="46"/>
      <c r="Q148" s="46"/>
      <c r="R148" s="46"/>
      <c r="S148" s="46"/>
      <c r="T148" s="365" t="b" cm="1">
        <f t="array" aca="1" ref="T148" ca="1">T147</f>
        <v>0</v>
      </c>
      <c r="U148" s="46"/>
      <c r="V148" s="46"/>
      <c r="W148" s="46"/>
      <c r="X148" s="1094"/>
      <c r="Z148" s="1065"/>
      <c r="AB148" s="143" cm="1">
        <f t="array" ref="AB148">D148</f>
        <v>8</v>
      </c>
      <c r="AC148" s="144" t="s">
        <v>2188</v>
      </c>
      <c r="AD148" s="143" t="s">
        <v>804</v>
      </c>
      <c r="AE148" s="783"/>
      <c r="AF148" s="783"/>
      <c r="AG148" s="783"/>
      <c r="AH148" s="145">
        <f t="shared" si="28"/>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148"/>
      <c r="BE148" s="148"/>
      <c r="BF148" s="148"/>
      <c r="BG148" s="148"/>
      <c r="BH148" s="148"/>
      <c r="BI148" s="148"/>
      <c r="BJ148" s="148"/>
      <c r="BK148" s="148"/>
      <c r="BL148" s="148"/>
      <c r="BM148" s="148"/>
      <c r="BN148" s="786"/>
      <c r="BO148" s="786"/>
      <c r="BP148" s="786"/>
      <c r="BS148" s="711" t="s">
        <v>2189</v>
      </c>
      <c r="BT148" s="711"/>
      <c r="BU148" s="711"/>
      <c r="BV148" s="522"/>
      <c r="BW148" s="522"/>
    </row>
    <row r="149" spans="2:75" ht="14.65" hidden="1" customHeight="1">
      <c r="C149" s="44"/>
      <c r="D149" s="46" cm="1">
        <f t="array" ref="D149">D148</f>
        <v>8</v>
      </c>
      <c r="E149" s="462">
        <v>15</v>
      </c>
      <c r="F149" s="3" cm="1">
        <f t="array" aca="1" ref="F149" ca="1">OFFSET(E149,-1,1)</f>
        <v>0</v>
      </c>
      <c r="G149" s="44"/>
      <c r="H149" s="44"/>
      <c r="I149" s="44" t="s">
        <v>589</v>
      </c>
      <c r="J149" s="44"/>
      <c r="K149" s="91" t="s">
        <v>589</v>
      </c>
      <c r="L149" s="44"/>
      <c r="M149" s="44"/>
      <c r="N149" s="44"/>
      <c r="O149" s="44"/>
      <c r="P149" s="44"/>
      <c r="Q149" s="44"/>
      <c r="R149" s="44"/>
      <c r="S149" s="44"/>
      <c r="T149" s="365" t="b" cm="1">
        <f t="array" aca="1" ref="T149" ca="1">T148</f>
        <v>0</v>
      </c>
      <c r="U149" s="44"/>
      <c r="V149" s="44"/>
      <c r="W149" s="44"/>
      <c r="X149" s="1094"/>
      <c r="Z149" s="1065"/>
      <c r="AB149" s="26" t="str">
        <f>D149&amp;".1"</f>
        <v>8.1</v>
      </c>
      <c r="AC149" s="146" t="s">
        <v>2190</v>
      </c>
      <c r="AD149" s="26" t="s">
        <v>456</v>
      </c>
      <c r="AE149" s="190">
        <f ca="1">IF(AE150=0,0,AE148/(AE150+AE135)*100)</f>
        <v>0</v>
      </c>
      <c r="AF149" s="190">
        <f ca="1">IF(AF150=0,0,AF148/(AF150+AF135)*100)</f>
        <v>0</v>
      </c>
      <c r="AG149" s="190">
        <f ca="1">IF(AG150=0,0,AG148/(AG150+AG135)*100)</f>
        <v>0</v>
      </c>
      <c r="AH149" s="190">
        <f t="shared" ca="1" si="28"/>
        <v>0</v>
      </c>
      <c r="AI149" s="190">
        <f t="shared" ref="AI149:BC149" ca="1" si="32">IF(AI150=0,0,AI148/(AI150+AI135)*100)</f>
        <v>0</v>
      </c>
      <c r="AJ149" s="190">
        <f t="shared" ca="1" si="32"/>
        <v>0</v>
      </c>
      <c r="AK149" s="190">
        <f t="shared" ca="1" si="32"/>
        <v>0</v>
      </c>
      <c r="AL149" s="190">
        <f t="shared" ca="1" si="32"/>
        <v>0</v>
      </c>
      <c r="AM149" s="190">
        <f t="shared" ca="1" si="32"/>
        <v>0</v>
      </c>
      <c r="AN149" s="190">
        <f t="shared" ca="1" si="32"/>
        <v>0</v>
      </c>
      <c r="AO149" s="190">
        <f t="shared" ca="1" si="32"/>
        <v>0</v>
      </c>
      <c r="AP149" s="190">
        <f t="shared" ca="1" si="32"/>
        <v>0</v>
      </c>
      <c r="AQ149" s="190">
        <f t="shared" ca="1" si="32"/>
        <v>0</v>
      </c>
      <c r="AR149" s="190">
        <f t="shared" ca="1" si="32"/>
        <v>0</v>
      </c>
      <c r="AS149" s="190">
        <f t="shared" ca="1" si="32"/>
        <v>0</v>
      </c>
      <c r="AT149" s="190">
        <f t="shared" ca="1" si="32"/>
        <v>0</v>
      </c>
      <c r="AU149" s="190">
        <f t="shared" ca="1" si="32"/>
        <v>0</v>
      </c>
      <c r="AV149" s="190">
        <f t="shared" ca="1" si="32"/>
        <v>0</v>
      </c>
      <c r="AW149" s="190">
        <f t="shared" ca="1" si="32"/>
        <v>0</v>
      </c>
      <c r="AX149" s="190">
        <f t="shared" ca="1" si="32"/>
        <v>0</v>
      </c>
      <c r="AY149" s="190">
        <f t="shared" ca="1" si="32"/>
        <v>0</v>
      </c>
      <c r="AZ149" s="190">
        <f t="shared" ca="1" si="32"/>
        <v>0</v>
      </c>
      <c r="BA149" s="190">
        <f t="shared" ca="1" si="32"/>
        <v>0</v>
      </c>
      <c r="BB149" s="190">
        <f t="shared" ca="1" si="32"/>
        <v>0</v>
      </c>
      <c r="BC149" s="190">
        <f t="shared" ca="1" si="32"/>
        <v>0</v>
      </c>
      <c r="BD149" s="552"/>
      <c r="BE149" s="552"/>
      <c r="BF149" s="552"/>
      <c r="BG149" s="552"/>
      <c r="BH149" s="552"/>
      <c r="BI149" s="552"/>
      <c r="BJ149" s="552"/>
      <c r="BK149" s="552"/>
      <c r="BL149" s="552"/>
      <c r="BM149" s="552"/>
      <c r="BN149" s="784"/>
      <c r="BO149" s="784"/>
      <c r="BP149" s="784"/>
      <c r="BS149" s="705" t="s">
        <v>2191</v>
      </c>
    </row>
    <row r="150" spans="2:75" s="95" customFormat="1" ht="20.45" hidden="1" customHeight="1">
      <c r="B150" s="344"/>
      <c r="C150" s="46"/>
      <c r="D150" s="46">
        <f>D149+1</f>
        <v>9</v>
      </c>
      <c r="E150" s="569">
        <v>21</v>
      </c>
      <c r="F150" s="3" cm="1">
        <f t="array" aca="1" ref="F150" ca="1">OFFSET(E150,-1,1)</f>
        <v>0</v>
      </c>
      <c r="G150" s="46"/>
      <c r="H150" s="44"/>
      <c r="I150" s="44" t="s">
        <v>743</v>
      </c>
      <c r="J150" s="46"/>
      <c r="K150" s="91" t="s">
        <v>743</v>
      </c>
      <c r="L150" s="46" t="s">
        <v>1853</v>
      </c>
      <c r="M150" s="46"/>
      <c r="N150" s="46"/>
      <c r="O150" s="46"/>
      <c r="P150" s="46"/>
      <c r="Q150" s="46"/>
      <c r="R150" s="46"/>
      <c r="S150" s="46"/>
      <c r="T150" s="365" t="b" cm="1">
        <f t="array" aca="1" ref="T150" ca="1">T149</f>
        <v>0</v>
      </c>
      <c r="U150" s="46"/>
      <c r="V150" s="46"/>
      <c r="W150" s="46"/>
      <c r="X150" s="1094"/>
      <c r="Z150" s="1065"/>
      <c r="AB150" s="143" cm="1">
        <f t="array" ref="AB150">D150</f>
        <v>9</v>
      </c>
      <c r="AC150" s="144" t="s">
        <v>1855</v>
      </c>
      <c r="AD150" s="166" t="s">
        <v>804</v>
      </c>
      <c r="AE150" s="145">
        <f ca="1">AE28+AE78+AE114+AE115+AE117+AE122+AE123+AE126</f>
        <v>0</v>
      </c>
      <c r="AF150" s="145">
        <f ca="1">AF28+AF78+AF114+AF115+AF117+AF122+AF123+AF126</f>
        <v>0</v>
      </c>
      <c r="AG150" s="145">
        <f ca="1">AG28+AG78+AG114+AG115+AG117+AG122+AG123+AG126</f>
        <v>0</v>
      </c>
      <c r="AH150" s="145">
        <f t="shared" ca="1" si="28"/>
        <v>0</v>
      </c>
      <c r="AI150" s="145">
        <f t="shared" ref="AI150:BC150" ca="1" si="33">AI28+AI78+AI114+AI115+AI117+AI122+AI123+AI126</f>
        <v>0</v>
      </c>
      <c r="AJ150" s="145">
        <f t="shared" ca="1" si="33"/>
        <v>0</v>
      </c>
      <c r="AK150" s="145">
        <f t="shared" ca="1" si="33"/>
        <v>0</v>
      </c>
      <c r="AL150" s="145">
        <f t="shared" ca="1" si="33"/>
        <v>0</v>
      </c>
      <c r="AM150" s="145">
        <f t="shared" ca="1" si="33"/>
        <v>0</v>
      </c>
      <c r="AN150" s="145">
        <f t="shared" ca="1" si="33"/>
        <v>0</v>
      </c>
      <c r="AO150" s="145">
        <f t="shared" ca="1" si="33"/>
        <v>0</v>
      </c>
      <c r="AP150" s="145">
        <f t="shared" ca="1" si="33"/>
        <v>0</v>
      </c>
      <c r="AQ150" s="145">
        <f t="shared" ca="1" si="33"/>
        <v>0</v>
      </c>
      <c r="AR150" s="145">
        <f t="shared" ca="1" si="33"/>
        <v>0</v>
      </c>
      <c r="AS150" s="145">
        <f t="shared" ca="1" si="33"/>
        <v>0</v>
      </c>
      <c r="AT150" s="145">
        <f t="shared" ca="1" si="33"/>
        <v>0</v>
      </c>
      <c r="AU150" s="145">
        <f t="shared" ca="1" si="33"/>
        <v>0</v>
      </c>
      <c r="AV150" s="145">
        <f t="shared" ca="1" si="33"/>
        <v>0</v>
      </c>
      <c r="AW150" s="145">
        <f t="shared" ca="1" si="33"/>
        <v>0</v>
      </c>
      <c r="AX150" s="145">
        <f t="shared" ca="1" si="33"/>
        <v>0</v>
      </c>
      <c r="AY150" s="145">
        <f t="shared" ca="1" si="33"/>
        <v>0</v>
      </c>
      <c r="AZ150" s="145">
        <f t="shared" ca="1" si="33"/>
        <v>0</v>
      </c>
      <c r="BA150" s="145">
        <f t="shared" ca="1" si="33"/>
        <v>0</v>
      </c>
      <c r="BB150" s="145">
        <f t="shared" ca="1" si="33"/>
        <v>0</v>
      </c>
      <c r="BC150" s="145">
        <f t="shared" ca="1" si="33"/>
        <v>0</v>
      </c>
      <c r="BD150" s="145">
        <f ca="1">IF(AI150=0,0,(AT150-AI150)/AI150*100)</f>
        <v>0</v>
      </c>
      <c r="BE150" s="145">
        <f t="shared" ref="BE150:BM151" ca="1" si="34">IF(AT150=0,0,(AU150-AT150)/AT150*100)</f>
        <v>0</v>
      </c>
      <c r="BF150" s="145">
        <f t="shared" ca="1" si="34"/>
        <v>0</v>
      </c>
      <c r="BG150" s="145">
        <f t="shared" ca="1" si="34"/>
        <v>0</v>
      </c>
      <c r="BH150" s="145">
        <f t="shared" ca="1" si="34"/>
        <v>0</v>
      </c>
      <c r="BI150" s="145">
        <f t="shared" ca="1" si="34"/>
        <v>0</v>
      </c>
      <c r="BJ150" s="145">
        <f t="shared" ca="1" si="34"/>
        <v>0</v>
      </c>
      <c r="BK150" s="145">
        <f t="shared" ca="1" si="34"/>
        <v>0</v>
      </c>
      <c r="BL150" s="145">
        <f t="shared" ca="1" si="34"/>
        <v>0</v>
      </c>
      <c r="BM150" s="145">
        <f t="shared" ca="1" si="34"/>
        <v>0</v>
      </c>
      <c r="BN150" s="784"/>
      <c r="BO150" s="784"/>
      <c r="BP150" s="784"/>
      <c r="BS150" s="711" t="s">
        <v>1856</v>
      </c>
      <c r="BT150" s="711"/>
      <c r="BU150" s="711"/>
      <c r="BV150" s="522"/>
      <c r="BW150" s="522"/>
    </row>
    <row r="151" spans="2:75" s="95" customFormat="1" ht="20.45" hidden="1" customHeight="1">
      <c r="B151" s="344"/>
      <c r="C151" s="46"/>
      <c r="D151" s="46">
        <f>D150+1</f>
        <v>10</v>
      </c>
      <c r="E151" s="569">
        <v>21</v>
      </c>
      <c r="F151" s="3" cm="1">
        <f t="array" aca="1" ref="F151" ca="1">OFFSET(E151,-1,1)</f>
        <v>0</v>
      </c>
      <c r="G151" s="46"/>
      <c r="H151" s="44"/>
      <c r="I151" s="44" t="s">
        <v>1865</v>
      </c>
      <c r="J151" s="46"/>
      <c r="K151" s="91" t="s">
        <v>1865</v>
      </c>
      <c r="L151" s="46"/>
      <c r="M151" s="46"/>
      <c r="N151" s="46"/>
      <c r="O151" s="46"/>
      <c r="P151" s="46"/>
      <c r="Q151" s="46"/>
      <c r="R151" s="46"/>
      <c r="S151" s="46"/>
      <c r="T151" s="365" t="b" cm="1">
        <f t="array" aca="1" ref="T151" ca="1">T150</f>
        <v>0</v>
      </c>
      <c r="U151" s="46"/>
      <c r="V151" s="46"/>
      <c r="W151" s="46"/>
      <c r="X151" s="1094"/>
      <c r="Z151" s="1065"/>
      <c r="AB151" s="143" cm="1">
        <f t="array" ref="AB151">D151</f>
        <v>10</v>
      </c>
      <c r="AC151" s="144" t="s">
        <v>2192</v>
      </c>
      <c r="AD151" s="143" t="s">
        <v>804</v>
      </c>
      <c r="AE151" s="145">
        <f t="shared" ref="AE151:BC151" ca="1" si="35">AE150+AE135+AE148</f>
        <v>0</v>
      </c>
      <c r="AF151" s="145">
        <f t="shared" ca="1" si="35"/>
        <v>0</v>
      </c>
      <c r="AG151" s="145">
        <f t="shared" ca="1" si="35"/>
        <v>0</v>
      </c>
      <c r="AH151" s="145">
        <f t="shared" ca="1" si="35"/>
        <v>0</v>
      </c>
      <c r="AI151" s="145">
        <f t="shared" ca="1" si="35"/>
        <v>0</v>
      </c>
      <c r="AJ151" s="145">
        <f t="shared" ca="1" si="35"/>
        <v>0</v>
      </c>
      <c r="AK151" s="145">
        <f t="shared" ca="1" si="35"/>
        <v>0</v>
      </c>
      <c r="AL151" s="145">
        <f t="shared" ca="1" si="35"/>
        <v>0</v>
      </c>
      <c r="AM151" s="145">
        <f t="shared" ca="1" si="35"/>
        <v>0</v>
      </c>
      <c r="AN151" s="145">
        <f t="shared" ca="1" si="35"/>
        <v>0</v>
      </c>
      <c r="AO151" s="145">
        <f t="shared" ca="1" si="35"/>
        <v>0</v>
      </c>
      <c r="AP151" s="145">
        <f t="shared" ca="1" si="35"/>
        <v>0</v>
      </c>
      <c r="AQ151" s="145">
        <f t="shared" ca="1" si="35"/>
        <v>0</v>
      </c>
      <c r="AR151" s="145">
        <f t="shared" ca="1" si="35"/>
        <v>0</v>
      </c>
      <c r="AS151" s="145">
        <f t="shared" ca="1" si="35"/>
        <v>0</v>
      </c>
      <c r="AT151" s="145">
        <f t="shared" ca="1" si="35"/>
        <v>0</v>
      </c>
      <c r="AU151" s="145">
        <f t="shared" ca="1" si="35"/>
        <v>0</v>
      </c>
      <c r="AV151" s="145">
        <f t="shared" ca="1" si="35"/>
        <v>0</v>
      </c>
      <c r="AW151" s="145">
        <f t="shared" ca="1" si="35"/>
        <v>0</v>
      </c>
      <c r="AX151" s="145">
        <f t="shared" ca="1" si="35"/>
        <v>0</v>
      </c>
      <c r="AY151" s="145">
        <f t="shared" ca="1" si="35"/>
        <v>0</v>
      </c>
      <c r="AZ151" s="145">
        <f t="shared" ca="1" si="35"/>
        <v>0</v>
      </c>
      <c r="BA151" s="145">
        <f t="shared" ca="1" si="35"/>
        <v>0</v>
      </c>
      <c r="BB151" s="145">
        <f t="shared" ca="1" si="35"/>
        <v>0</v>
      </c>
      <c r="BC151" s="145">
        <f t="shared" ca="1" si="35"/>
        <v>0</v>
      </c>
      <c r="BD151" s="145">
        <f ca="1">IF(AI151=0,0,(AT151-AI151)/AI151*100)</f>
        <v>0</v>
      </c>
      <c r="BE151" s="145">
        <f t="shared" ca="1" si="34"/>
        <v>0</v>
      </c>
      <c r="BF151" s="145">
        <f t="shared" ca="1" si="34"/>
        <v>0</v>
      </c>
      <c r="BG151" s="145">
        <f t="shared" ca="1" si="34"/>
        <v>0</v>
      </c>
      <c r="BH151" s="145">
        <f t="shared" ca="1" si="34"/>
        <v>0</v>
      </c>
      <c r="BI151" s="145">
        <f t="shared" ca="1" si="34"/>
        <v>0</v>
      </c>
      <c r="BJ151" s="145">
        <f t="shared" ca="1" si="34"/>
        <v>0</v>
      </c>
      <c r="BK151" s="145">
        <f t="shared" ca="1" si="34"/>
        <v>0</v>
      </c>
      <c r="BL151" s="145">
        <f t="shared" ca="1" si="34"/>
        <v>0</v>
      </c>
      <c r="BM151" s="145">
        <f t="shared" ca="1" si="34"/>
        <v>0</v>
      </c>
      <c r="BN151" s="784"/>
      <c r="BO151" s="784"/>
      <c r="BP151" s="784"/>
      <c r="BS151" s="711" t="s">
        <v>2193</v>
      </c>
      <c r="BT151" s="711"/>
      <c r="BU151" s="711"/>
      <c r="BV151" s="522"/>
      <c r="BW151" s="522"/>
    </row>
    <row r="152" spans="2:75" ht="14.65" hidden="1" customHeight="1">
      <c r="B152" s="353" t="b">
        <f>A27="двухставочный"</f>
        <v>0</v>
      </c>
      <c r="C152" s="44"/>
      <c r="D152" s="44" cm="1">
        <f t="array" ref="D152">D151</f>
        <v>10</v>
      </c>
      <c r="E152" s="462">
        <v>15</v>
      </c>
      <c r="F152" s="3" cm="1">
        <f t="array" aca="1" ref="F152" ca="1">OFFSET(E152,-1,1)</f>
        <v>0</v>
      </c>
      <c r="G152" s="44"/>
      <c r="H152" s="581"/>
      <c r="I152" s="581" t="s">
        <v>1869</v>
      </c>
      <c r="J152" s="44"/>
      <c r="K152" s="291" t="s">
        <v>1869</v>
      </c>
      <c r="L152" s="44" t="s">
        <v>1857</v>
      </c>
      <c r="M152" s="44"/>
      <c r="N152" s="44"/>
      <c r="O152" s="44"/>
      <c r="P152" s="44"/>
      <c r="Q152" s="44"/>
      <c r="R152" s="44"/>
      <c r="S152" s="44"/>
      <c r="T152" s="365" t="b" cm="1">
        <f t="array" aca="1" ref="T152" ca="1">T151</f>
        <v>0</v>
      </c>
      <c r="U152" s="44"/>
      <c r="V152" s="44"/>
      <c r="W152" s="44"/>
      <c r="X152" s="1094"/>
      <c r="Z152" s="1065"/>
      <c r="AB152" s="26" t="str">
        <f>D152&amp;".1"</f>
        <v>10.1</v>
      </c>
      <c r="AC152" s="560" t="s">
        <v>1859</v>
      </c>
      <c r="AD152" s="26" t="s">
        <v>804</v>
      </c>
      <c r="AE152" s="787"/>
      <c r="AF152" s="787"/>
      <c r="AG152" s="787"/>
      <c r="AH152" s="190">
        <f t="shared" ref="AH152:AH158" si="36">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52"/>
      <c r="BE152" s="552"/>
      <c r="BF152" s="552"/>
      <c r="BG152" s="552"/>
      <c r="BH152" s="552"/>
      <c r="BI152" s="552"/>
      <c r="BJ152" s="552"/>
      <c r="BK152" s="552"/>
      <c r="BL152" s="552"/>
      <c r="BM152" s="552"/>
      <c r="BN152" s="784"/>
      <c r="BO152" s="784"/>
      <c r="BP152" s="784"/>
      <c r="BS152" s="703" t="s">
        <v>1860</v>
      </c>
    </row>
    <row r="153" spans="2:75" ht="14.65" hidden="1" customHeight="1">
      <c r="B153" s="353" t="b">
        <f>A27="двухставочный"</f>
        <v>0</v>
      </c>
      <c r="C153" s="44"/>
      <c r="D153" s="44" cm="1">
        <f t="array" ref="D153">D152</f>
        <v>10</v>
      </c>
      <c r="E153" s="462">
        <v>15</v>
      </c>
      <c r="F153" s="3" cm="1">
        <f t="array" aca="1" ref="F153" ca="1">OFFSET(E153,-1,1)</f>
        <v>0</v>
      </c>
      <c r="G153" s="44"/>
      <c r="H153" s="581"/>
      <c r="I153" s="581" t="s">
        <v>1873</v>
      </c>
      <c r="J153" s="44"/>
      <c r="K153" s="291" t="s">
        <v>1873</v>
      </c>
      <c r="L153" s="44" t="s">
        <v>1861</v>
      </c>
      <c r="M153" s="44"/>
      <c r="N153" s="44"/>
      <c r="O153" s="44"/>
      <c r="P153" s="44"/>
      <c r="Q153" s="44"/>
      <c r="R153" s="44"/>
      <c r="S153" s="44"/>
      <c r="T153" s="365" t="b" cm="1">
        <f t="array" aca="1" ref="T153" ca="1">T152</f>
        <v>0</v>
      </c>
      <c r="U153" s="44"/>
      <c r="V153" s="44"/>
      <c r="W153" s="44"/>
      <c r="X153" s="1094"/>
      <c r="Z153" s="1065"/>
      <c r="AB153" s="26" t="str">
        <f>D153&amp;".2"</f>
        <v>10.2</v>
      </c>
      <c r="AC153" s="560" t="s">
        <v>1863</v>
      </c>
      <c r="AD153" s="26" t="s">
        <v>804</v>
      </c>
      <c r="AE153" s="787"/>
      <c r="AF153" s="787"/>
      <c r="AG153" s="787"/>
      <c r="AH153" s="190">
        <f t="shared" si="36"/>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52"/>
      <c r="BE153" s="552"/>
      <c r="BF153" s="552"/>
      <c r="BG153" s="552"/>
      <c r="BH153" s="552"/>
      <c r="BI153" s="552"/>
      <c r="BJ153" s="552"/>
      <c r="BK153" s="552"/>
      <c r="BL153" s="552"/>
      <c r="BM153" s="552"/>
      <c r="BN153" s="784"/>
      <c r="BO153" s="784"/>
      <c r="BP153" s="784"/>
      <c r="BS153" s="703" t="s">
        <v>1864</v>
      </c>
    </row>
    <row r="154" spans="2:75" s="95" customFormat="1" ht="20.45" hidden="1" customHeight="1">
      <c r="B154" s="344"/>
      <c r="C154" s="46"/>
      <c r="D154" s="46">
        <f>D153+1</f>
        <v>11</v>
      </c>
      <c r="E154" s="569">
        <v>21</v>
      </c>
      <c r="F154" s="3" cm="1">
        <f t="array" aca="1" ref="F154" ca="1">OFFSET(E154,-1,1)</f>
        <v>0</v>
      </c>
      <c r="G154" s="44" t="s">
        <v>1633</v>
      </c>
      <c r="H154" s="44"/>
      <c r="I154" s="44" t="s">
        <v>1893</v>
      </c>
      <c r="J154" s="46"/>
      <c r="K154" s="91" t="s">
        <v>1893</v>
      </c>
      <c r="L154" s="46" t="s">
        <v>1865</v>
      </c>
      <c r="M154" s="46"/>
      <c r="N154" s="46"/>
      <c r="O154" s="46"/>
      <c r="P154" s="46"/>
      <c r="Q154" s="46"/>
      <c r="R154" s="46"/>
      <c r="S154" s="46"/>
      <c r="T154" s="365" t="b" cm="1">
        <f t="array" aca="1" ref="T154" ca="1">T153</f>
        <v>0</v>
      </c>
      <c r="U154" s="46"/>
      <c r="V154" s="46"/>
      <c r="W154" s="46"/>
      <c r="X154" s="1094"/>
      <c r="Z154" s="1065"/>
      <c r="AB154" s="143" cm="1">
        <f t="array" ref="AB154">D154</f>
        <v>11</v>
      </c>
      <c r="AC154" s="144" t="s">
        <v>1867</v>
      </c>
      <c r="AD154" s="143" t="s">
        <v>534</v>
      </c>
      <c r="AE154" s="562">
        <f ca="1">SUMIFS(Баланс!AE$26:AE$300,Баланс!$F$26:$F$300,$F154,Баланс!$G$26:$G$300,"ПО")</f>
        <v>0</v>
      </c>
      <c r="AF154" s="562">
        <f ca="1">SUMIFS(Баланс!AF$26:AF$300,Баланс!$F$26:$F$300,$F154,Баланс!$G$26:$G$300,"ПО")</f>
        <v>0</v>
      </c>
      <c r="AG154" s="562">
        <f ca="1">SUMIFS(Баланс!AG$26:AG$300,Баланс!$F$26:$F$300,$F154,Баланс!$G$26:$G$300,"ПО")</f>
        <v>0</v>
      </c>
      <c r="AH154" s="562">
        <f t="shared" ca="1" si="36"/>
        <v>0</v>
      </c>
      <c r="AI154" s="562">
        <f ca="1">SUMIFS(Баланс!AH$26:AH$300,Баланс!$F$26:$F$300,$F154,Баланс!$G$26:$G$300,"ПО")</f>
        <v>0</v>
      </c>
      <c r="AJ154" s="562">
        <f ca="1">SUMIFS(Баланс!AI$26:AI$300,Баланс!$F$26:$F$300,$F154,Баланс!$G$26:$G$300,"ПО")</f>
        <v>0</v>
      </c>
      <c r="AK154" s="562">
        <f ca="1">SUMIFS(Баланс!AJ$26:AJ$300,Баланс!$F$26:$F$300,$F154,Баланс!$G$26:$G$300,"ПО")</f>
        <v>0</v>
      </c>
      <c r="AL154" s="562">
        <f ca="1">SUMIFS(Баланс!AK$26:AK$300,Баланс!$F$26:$F$300,$F154,Баланс!$G$26:$G$300,"ПО")</f>
        <v>0</v>
      </c>
      <c r="AM154" s="562">
        <f ca="1">SUMIFS(Баланс!AL$26:AL$300,Баланс!$F$26:$F$300,$F154,Баланс!$G$26:$G$300,"ПО")</f>
        <v>0</v>
      </c>
      <c r="AN154" s="562">
        <f ca="1">SUMIFS(Баланс!AM$26:AM$300,Баланс!$F$26:$F$300,$F154,Баланс!$G$26:$G$300,"ПО")</f>
        <v>0</v>
      </c>
      <c r="AO154" s="562">
        <f ca="1">SUMIFS(Баланс!AN$26:AN$300,Баланс!$F$26:$F$300,$F154,Баланс!$G$26:$G$300,"ПО")</f>
        <v>0</v>
      </c>
      <c r="AP154" s="562">
        <f ca="1">SUMIFS(Баланс!AO$26:AO$300,Баланс!$F$26:$F$300,$F154,Баланс!$G$26:$G$300,"ПО")</f>
        <v>0</v>
      </c>
      <c r="AQ154" s="562">
        <f ca="1">SUMIFS(Баланс!AP$26:AP$300,Баланс!$F$26:$F$300,$F154,Баланс!$G$26:$G$300,"ПО")</f>
        <v>0</v>
      </c>
      <c r="AR154" s="562">
        <f ca="1">SUMIFS(Баланс!AQ$26:AQ$300,Баланс!$F$26:$F$300,$F154,Баланс!$G$26:$G$300,"ПО")</f>
        <v>0</v>
      </c>
      <c r="AS154" s="562">
        <f ca="1">SUMIFS(Баланс!AR$26:AR$300,Баланс!$F$26:$F$300,$F154,Баланс!$G$26:$G$300,"ПО")</f>
        <v>0</v>
      </c>
      <c r="AT154" s="562">
        <f ca="1">SUMIFS(Баланс!AS$26:AS$300,Баланс!$F$26:$F$300,$F154,Баланс!$G$26:$G$300,"ПО")</f>
        <v>0</v>
      </c>
      <c r="AU154" s="562">
        <f ca="1">SUMIFS(Баланс!AT$26:AT$300,Баланс!$F$26:$F$300,$F154,Баланс!$G$26:$G$300,"ПО")</f>
        <v>0</v>
      </c>
      <c r="AV154" s="562">
        <f ca="1">SUMIFS(Баланс!AU$26:AU$300,Баланс!$F$26:$F$300,$F154,Баланс!$G$26:$G$300,"ПО")</f>
        <v>0</v>
      </c>
      <c r="AW154" s="562">
        <f ca="1">SUMIFS(Баланс!AV$26:AV$300,Баланс!$F$26:$F$300,$F154,Баланс!$G$26:$G$300,"ПО")</f>
        <v>0</v>
      </c>
      <c r="AX154" s="562">
        <f ca="1">SUMIFS(Баланс!AW$26:AW$300,Баланс!$F$26:$F$300,$F154,Баланс!$G$26:$G$300,"ПО")</f>
        <v>0</v>
      </c>
      <c r="AY154" s="562">
        <f ca="1">SUMIFS(Баланс!AX$26:AX$300,Баланс!$F$26:$F$300,$F154,Баланс!$G$26:$G$300,"ПО")</f>
        <v>0</v>
      </c>
      <c r="AZ154" s="562">
        <f ca="1">SUMIFS(Баланс!AY$26:AY$300,Баланс!$F$26:$F$300,$F154,Баланс!$G$26:$G$300,"ПО")</f>
        <v>0</v>
      </c>
      <c r="BA154" s="562">
        <f ca="1">SUMIFS(Баланс!AZ$26:AZ$300,Баланс!$F$26:$F$300,$F154,Баланс!$G$26:$G$300,"ПО")</f>
        <v>0</v>
      </c>
      <c r="BB154" s="562">
        <f ca="1">SUMIFS(Баланс!BA$26:BA$300,Баланс!$F$26:$F$300,$F154,Баланс!$G$26:$G$300,"ПО")</f>
        <v>0</v>
      </c>
      <c r="BC154" s="562">
        <f ca="1">SUMIFS(Баланс!BB$26:BB$300,Баланс!$F$26:$F$300,$F154,Баланс!$G$26:$G$300,"ПО")</f>
        <v>0</v>
      </c>
      <c r="BD154" s="148"/>
      <c r="BE154" s="148"/>
      <c r="BF154" s="148"/>
      <c r="BG154" s="148"/>
      <c r="BH154" s="148"/>
      <c r="BI154" s="148"/>
      <c r="BJ154" s="148"/>
      <c r="BK154" s="148"/>
      <c r="BL154" s="148"/>
      <c r="BM154" s="148"/>
      <c r="BN154" s="784"/>
      <c r="BO154" s="784"/>
      <c r="BP154" s="784"/>
      <c r="BS154" s="704" t="s">
        <v>1868</v>
      </c>
      <c r="BT154" s="711"/>
      <c r="BU154" s="711"/>
      <c r="BV154" s="522"/>
      <c r="BW154" s="522"/>
    </row>
    <row r="155" spans="2:75" ht="14.65" hidden="1" customHeight="1">
      <c r="C155" s="44"/>
      <c r="D155" s="44" cm="1">
        <f t="array" ref="D155">D154</f>
        <v>11</v>
      </c>
      <c r="E155" s="462">
        <v>15</v>
      </c>
      <c r="F155" s="3" cm="1">
        <f t="array" aca="1" ref="F155" ca="1">OFFSET(E155,-1,1)</f>
        <v>0</v>
      </c>
      <c r="G155" s="44" t="s">
        <v>1660</v>
      </c>
      <c r="H155" s="44"/>
      <c r="I155" s="44" t="s">
        <v>2194</v>
      </c>
      <c r="J155" s="44"/>
      <c r="K155" s="91" t="s">
        <v>2194</v>
      </c>
      <c r="L155" s="44" t="s">
        <v>1869</v>
      </c>
      <c r="M155" s="44"/>
      <c r="N155" s="44"/>
      <c r="O155" s="44"/>
      <c r="P155" s="44"/>
      <c r="Q155" s="44"/>
      <c r="R155" s="44"/>
      <c r="S155" s="44"/>
      <c r="T155" s="365" t="b" cm="1">
        <f t="array" aca="1" ref="T155" ca="1">T154</f>
        <v>0</v>
      </c>
      <c r="U155" s="44"/>
      <c r="V155" s="44"/>
      <c r="W155" s="44"/>
      <c r="X155" s="1094"/>
      <c r="Z155" s="1065"/>
      <c r="AB155" s="26" t="str">
        <f>D155&amp;".1"</f>
        <v>11.1</v>
      </c>
      <c r="AC155" s="146" t="s">
        <v>1871</v>
      </c>
      <c r="AD155" s="26" t="s">
        <v>534</v>
      </c>
      <c r="AE155" s="785">
        <f ca="1">IF(AE$24="2026 год",AE154/12*9,AE154/2)</f>
        <v>0</v>
      </c>
      <c r="AF155" s="785">
        <f ca="1">IF(AF$24="2026 год",AF154/12*9,AF154/2)</f>
        <v>0</v>
      </c>
      <c r="AG155" s="785">
        <f ca="1">IF(AG$24="2026 год",AG154/12*9,AG154/2)</f>
        <v>0</v>
      </c>
      <c r="AH155" s="568">
        <f t="shared" ca="1" si="36"/>
        <v>0</v>
      </c>
      <c r="AI155" s="785">
        <f t="shared" ref="AI155:BC155" ca="1" si="37">IF(AI$24="2026 год",AI154/12*9,AI154/2)</f>
        <v>0</v>
      </c>
      <c r="AJ155" s="785">
        <f t="shared" ca="1" si="37"/>
        <v>0</v>
      </c>
      <c r="AK155" s="785">
        <f t="shared" ca="1" si="37"/>
        <v>0</v>
      </c>
      <c r="AL155" s="785">
        <f t="shared" ca="1" si="37"/>
        <v>0</v>
      </c>
      <c r="AM155" s="785">
        <f t="shared" ca="1" si="37"/>
        <v>0</v>
      </c>
      <c r="AN155" s="785">
        <f t="shared" ca="1" si="37"/>
        <v>0</v>
      </c>
      <c r="AO155" s="785">
        <f t="shared" ca="1" si="37"/>
        <v>0</v>
      </c>
      <c r="AP155" s="785">
        <f t="shared" ca="1" si="37"/>
        <v>0</v>
      </c>
      <c r="AQ155" s="785">
        <f t="shared" ca="1" si="37"/>
        <v>0</v>
      </c>
      <c r="AR155" s="785">
        <f t="shared" ca="1" si="37"/>
        <v>0</v>
      </c>
      <c r="AS155" s="785">
        <f t="shared" ca="1" si="37"/>
        <v>0</v>
      </c>
      <c r="AT155" s="785">
        <f t="shared" ca="1" si="37"/>
        <v>0</v>
      </c>
      <c r="AU155" s="785">
        <f t="shared" ca="1" si="37"/>
        <v>0</v>
      </c>
      <c r="AV155" s="785">
        <f t="shared" ca="1" si="37"/>
        <v>0</v>
      </c>
      <c r="AW155" s="785">
        <f t="shared" ca="1" si="37"/>
        <v>0</v>
      </c>
      <c r="AX155" s="785">
        <f t="shared" ca="1" si="37"/>
        <v>0</v>
      </c>
      <c r="AY155" s="785">
        <f t="shared" ca="1" si="37"/>
        <v>0</v>
      </c>
      <c r="AZ155" s="785">
        <f t="shared" ca="1" si="37"/>
        <v>0</v>
      </c>
      <c r="BA155" s="785">
        <f t="shared" ca="1" si="37"/>
        <v>0</v>
      </c>
      <c r="BB155" s="785">
        <f t="shared" ca="1" si="37"/>
        <v>0</v>
      </c>
      <c r="BC155" s="785">
        <f t="shared" ca="1" si="37"/>
        <v>0</v>
      </c>
      <c r="BD155" s="552"/>
      <c r="BE155" s="552"/>
      <c r="BF155" s="552"/>
      <c r="BG155" s="552"/>
      <c r="BH155" s="552"/>
      <c r="BI155" s="552"/>
      <c r="BJ155" s="552"/>
      <c r="BK155" s="552"/>
      <c r="BL155" s="552"/>
      <c r="BM155" s="552"/>
      <c r="BN155" s="784"/>
      <c r="BO155" s="784"/>
      <c r="BP155" s="784"/>
      <c r="BS155" s="703" t="s">
        <v>1872</v>
      </c>
    </row>
    <row r="156" spans="2:75" ht="14.65" hidden="1" customHeight="1">
      <c r="C156" s="44"/>
      <c r="D156" s="44" cm="1">
        <f t="array" ref="D156">D155</f>
        <v>11</v>
      </c>
      <c r="E156" s="462">
        <v>15</v>
      </c>
      <c r="F156" s="3" cm="1">
        <f t="array" aca="1" ref="F156" ca="1">OFFSET(E156,-1,1)</f>
        <v>0</v>
      </c>
      <c r="G156" s="44" t="s">
        <v>1621</v>
      </c>
      <c r="H156" s="44"/>
      <c r="I156" s="44" t="s">
        <v>2195</v>
      </c>
      <c r="J156" s="44"/>
      <c r="K156" s="91" t="s">
        <v>2195</v>
      </c>
      <c r="L156" s="44" t="s">
        <v>1873</v>
      </c>
      <c r="M156" s="44"/>
      <c r="N156" s="44"/>
      <c r="O156" s="44"/>
      <c r="P156" s="44"/>
      <c r="Q156" s="44"/>
      <c r="R156" s="44"/>
      <c r="S156" s="44"/>
      <c r="T156" s="365" t="b" cm="1">
        <f t="array" aca="1" ref="T156" ca="1">T155</f>
        <v>0</v>
      </c>
      <c r="U156" s="44"/>
      <c r="V156" s="44"/>
      <c r="W156" s="44"/>
      <c r="X156" s="1094"/>
      <c r="Z156" s="1065"/>
      <c r="AB156" s="26" t="str">
        <f>D156&amp;".2"</f>
        <v>11.2</v>
      </c>
      <c r="AC156" s="146" t="s">
        <v>1875</v>
      </c>
      <c r="AD156" s="26" t="s">
        <v>1624</v>
      </c>
      <c r="AE156" s="787"/>
      <c r="AF156" s="787"/>
      <c r="AG156" s="787"/>
      <c r="AH156" s="190">
        <f t="shared" si="36"/>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52"/>
      <c r="BE156" s="552"/>
      <c r="BF156" s="552"/>
      <c r="BG156" s="552"/>
      <c r="BH156" s="552"/>
      <c r="BI156" s="552"/>
      <c r="BJ156" s="552"/>
      <c r="BK156" s="552"/>
      <c r="BL156" s="552"/>
      <c r="BM156" s="552"/>
      <c r="BN156" s="784"/>
      <c r="BO156" s="784"/>
      <c r="BP156" s="784"/>
      <c r="BS156" s="703" t="s">
        <v>1876</v>
      </c>
    </row>
    <row r="157" spans="2:75" ht="14.65" hidden="1" customHeight="1">
      <c r="C157" s="44"/>
      <c r="D157" s="44" cm="1">
        <f t="array" ref="D157">D156</f>
        <v>11</v>
      </c>
      <c r="E157" s="462">
        <v>15</v>
      </c>
      <c r="F157" s="3" cm="1">
        <f t="array" aca="1" ref="F157" ca="1">OFFSET(E157,-1,1)</f>
        <v>0</v>
      </c>
      <c r="G157" s="44" t="s">
        <v>1673</v>
      </c>
      <c r="H157" s="44"/>
      <c r="I157" s="44" t="s">
        <v>2196</v>
      </c>
      <c r="J157" s="44"/>
      <c r="K157" s="91" t="s">
        <v>2196</v>
      </c>
      <c r="L157" s="44" t="s">
        <v>1877</v>
      </c>
      <c r="M157" s="44"/>
      <c r="N157" s="44"/>
      <c r="O157" s="44"/>
      <c r="P157" s="44"/>
      <c r="Q157" s="44"/>
      <c r="R157" s="44"/>
      <c r="S157" s="44"/>
      <c r="T157" s="365" t="b" cm="1">
        <f t="array" aca="1" ref="T157" ca="1">T156</f>
        <v>0</v>
      </c>
      <c r="U157" s="44"/>
      <c r="V157" s="44"/>
      <c r="W157" s="44"/>
      <c r="X157" s="1094"/>
      <c r="Z157" s="1065"/>
      <c r="AB157" s="26" t="str">
        <f>D157&amp;".3"</f>
        <v>11.3</v>
      </c>
      <c r="AC157" s="146" t="s">
        <v>2197</v>
      </c>
      <c r="AD157" s="26" t="s">
        <v>534</v>
      </c>
      <c r="AE157" s="568">
        <f ca="1">AE154-AE155</f>
        <v>0</v>
      </c>
      <c r="AF157" s="568">
        <f ca="1">AF154-AF155</f>
        <v>0</v>
      </c>
      <c r="AG157" s="568">
        <f ca="1">AG154-AG155</f>
        <v>0</v>
      </c>
      <c r="AH157" s="568">
        <f t="shared" ca="1" si="36"/>
        <v>0</v>
      </c>
      <c r="AI157" s="568">
        <f t="shared" ref="AI157:BC157" ca="1" si="38">AI154-AI155</f>
        <v>0</v>
      </c>
      <c r="AJ157" s="568">
        <f t="shared" ca="1" si="38"/>
        <v>0</v>
      </c>
      <c r="AK157" s="568">
        <f t="shared" ca="1" si="38"/>
        <v>0</v>
      </c>
      <c r="AL157" s="568">
        <f t="shared" ca="1" si="38"/>
        <v>0</v>
      </c>
      <c r="AM157" s="568">
        <f t="shared" ca="1" si="38"/>
        <v>0</v>
      </c>
      <c r="AN157" s="568">
        <f t="shared" ca="1" si="38"/>
        <v>0</v>
      </c>
      <c r="AO157" s="568">
        <f t="shared" ca="1" si="38"/>
        <v>0</v>
      </c>
      <c r="AP157" s="568">
        <f t="shared" ca="1" si="38"/>
        <v>0</v>
      </c>
      <c r="AQ157" s="568">
        <f t="shared" ca="1" si="38"/>
        <v>0</v>
      </c>
      <c r="AR157" s="568">
        <f t="shared" ca="1" si="38"/>
        <v>0</v>
      </c>
      <c r="AS157" s="568">
        <f t="shared" ca="1" si="38"/>
        <v>0</v>
      </c>
      <c r="AT157" s="568">
        <f t="shared" ca="1" si="38"/>
        <v>0</v>
      </c>
      <c r="AU157" s="568">
        <f t="shared" ca="1" si="38"/>
        <v>0</v>
      </c>
      <c r="AV157" s="568">
        <f t="shared" ca="1" si="38"/>
        <v>0</v>
      </c>
      <c r="AW157" s="568">
        <f t="shared" ca="1" si="38"/>
        <v>0</v>
      </c>
      <c r="AX157" s="568">
        <f t="shared" ca="1" si="38"/>
        <v>0</v>
      </c>
      <c r="AY157" s="568">
        <f t="shared" ca="1" si="38"/>
        <v>0</v>
      </c>
      <c r="AZ157" s="568">
        <f t="shared" ca="1" si="38"/>
        <v>0</v>
      </c>
      <c r="BA157" s="568">
        <f t="shared" ca="1" si="38"/>
        <v>0</v>
      </c>
      <c r="BB157" s="568">
        <f t="shared" ca="1" si="38"/>
        <v>0</v>
      </c>
      <c r="BC157" s="568">
        <f t="shared" ca="1" si="38"/>
        <v>0</v>
      </c>
      <c r="BD157" s="552"/>
      <c r="BE157" s="552"/>
      <c r="BF157" s="552"/>
      <c r="BG157" s="552"/>
      <c r="BH157" s="552"/>
      <c r="BI157" s="552"/>
      <c r="BJ157" s="552"/>
      <c r="BK157" s="552"/>
      <c r="BL157" s="552"/>
      <c r="BM157" s="552"/>
      <c r="BN157" s="784"/>
      <c r="BO157" s="784"/>
      <c r="BP157" s="784"/>
      <c r="BS157" s="703" t="s">
        <v>1880</v>
      </c>
    </row>
    <row r="158" spans="2:75" ht="14.65" hidden="1" customHeight="1">
      <c r="C158" s="44"/>
      <c r="D158" s="44" cm="1">
        <f t="array" ref="D158">D157</f>
        <v>11</v>
      </c>
      <c r="E158" s="462">
        <v>15</v>
      </c>
      <c r="F158" s="3" cm="1">
        <f t="array" aca="1" ref="F158" ca="1">OFFSET(E158,-1,1)</f>
        <v>0</v>
      </c>
      <c r="G158" s="44" t="s">
        <v>1626</v>
      </c>
      <c r="H158" s="44"/>
      <c r="I158" s="44" t="s">
        <v>2198</v>
      </c>
      <c r="J158" s="44"/>
      <c r="K158" s="91" t="s">
        <v>2198</v>
      </c>
      <c r="L158" s="44" t="s">
        <v>1881</v>
      </c>
      <c r="M158" s="44"/>
      <c r="N158" s="44"/>
      <c r="O158" s="44"/>
      <c r="P158" s="44"/>
      <c r="Q158" s="44"/>
      <c r="R158" s="44"/>
      <c r="S158" s="44"/>
      <c r="T158" s="365" t="b" cm="1">
        <f t="array" aca="1" ref="T158" ca="1">T157</f>
        <v>0</v>
      </c>
      <c r="U158" s="44"/>
      <c r="V158" s="44"/>
      <c r="W158" s="44"/>
      <c r="X158" s="1094"/>
      <c r="Z158" s="1065"/>
      <c r="AB158" s="26" t="str">
        <f>D158&amp;".4"</f>
        <v>11.4</v>
      </c>
      <c r="AC158" s="146" t="s">
        <v>1883</v>
      </c>
      <c r="AD158" s="26" t="s">
        <v>1624</v>
      </c>
      <c r="AE158" s="787">
        <f ca="1">IF(AE157=0,0,(AE151-AE155*AE156)/AE157)</f>
        <v>0</v>
      </c>
      <c r="AF158" s="787">
        <f ca="1">IF(AF157=0,0,(AF151-AF155*AF156)/AF157)</f>
        <v>0</v>
      </c>
      <c r="AG158" s="787">
        <f ca="1">IF(AG157=0,0,(AG151-AG155*AG156)/AG157)</f>
        <v>0</v>
      </c>
      <c r="AH158" s="190">
        <f t="shared" ca="1" si="36"/>
        <v>0</v>
      </c>
      <c r="AI158" s="787">
        <f t="shared" ref="AI158:BC158" ca="1" si="39">IF(AI157=0,0,(AI151-AI155*AI156)/AI157)</f>
        <v>0</v>
      </c>
      <c r="AJ158" s="787">
        <f t="shared" ca="1" si="39"/>
        <v>0</v>
      </c>
      <c r="AK158" s="787">
        <f t="shared" ca="1" si="39"/>
        <v>0</v>
      </c>
      <c r="AL158" s="787">
        <f t="shared" ca="1" si="39"/>
        <v>0</v>
      </c>
      <c r="AM158" s="787">
        <f t="shared" ca="1" si="39"/>
        <v>0</v>
      </c>
      <c r="AN158" s="787">
        <f t="shared" ca="1" si="39"/>
        <v>0</v>
      </c>
      <c r="AO158" s="787">
        <f t="shared" ca="1" si="39"/>
        <v>0</v>
      </c>
      <c r="AP158" s="787">
        <f t="shared" ca="1" si="39"/>
        <v>0</v>
      </c>
      <c r="AQ158" s="787">
        <f t="shared" ca="1" si="39"/>
        <v>0</v>
      </c>
      <c r="AR158" s="787">
        <f t="shared" ca="1" si="39"/>
        <v>0</v>
      </c>
      <c r="AS158" s="787">
        <f t="shared" ca="1" si="39"/>
        <v>0</v>
      </c>
      <c r="AT158" s="787">
        <f t="shared" ca="1" si="39"/>
        <v>0</v>
      </c>
      <c r="AU158" s="787">
        <f t="shared" ca="1" si="39"/>
        <v>0</v>
      </c>
      <c r="AV158" s="787">
        <f t="shared" ca="1" si="39"/>
        <v>0</v>
      </c>
      <c r="AW158" s="787">
        <f t="shared" ca="1" si="39"/>
        <v>0</v>
      </c>
      <c r="AX158" s="787">
        <f t="shared" ca="1" si="39"/>
        <v>0</v>
      </c>
      <c r="AY158" s="787">
        <f t="shared" ca="1" si="39"/>
        <v>0</v>
      </c>
      <c r="AZ158" s="787">
        <f t="shared" ca="1" si="39"/>
        <v>0</v>
      </c>
      <c r="BA158" s="787">
        <f t="shared" ca="1" si="39"/>
        <v>0</v>
      </c>
      <c r="BB158" s="787">
        <f t="shared" ca="1" si="39"/>
        <v>0</v>
      </c>
      <c r="BC158" s="787">
        <f t="shared" ca="1" si="39"/>
        <v>0</v>
      </c>
      <c r="BD158" s="552"/>
      <c r="BE158" s="552"/>
      <c r="BF158" s="552"/>
      <c r="BG158" s="552"/>
      <c r="BH158" s="552"/>
      <c r="BI158" s="552"/>
      <c r="BJ158" s="552"/>
      <c r="BK158" s="552"/>
      <c r="BL158" s="552"/>
      <c r="BM158" s="552"/>
      <c r="BN158" s="784"/>
      <c r="BO158" s="784"/>
      <c r="BP158" s="784"/>
      <c r="BS158" s="703" t="s">
        <v>1884</v>
      </c>
    </row>
    <row r="159" spans="2:75" ht="14.65" hidden="1" customHeight="1">
      <c r="C159" s="44"/>
      <c r="D159" s="44" cm="1">
        <f t="array" ref="D159">D158</f>
        <v>11</v>
      </c>
      <c r="E159" s="462">
        <v>15</v>
      </c>
      <c r="F159" s="3" cm="1">
        <f t="array" aca="1" ref="F159" ca="1">OFFSET(E159,-1,1)</f>
        <v>0</v>
      </c>
      <c r="G159" s="44"/>
      <c r="H159" s="44"/>
      <c r="I159" s="44" t="s">
        <v>2199</v>
      </c>
      <c r="J159" s="44"/>
      <c r="K159" s="91" t="s">
        <v>2199</v>
      </c>
      <c r="L159" s="44" t="s">
        <v>1885</v>
      </c>
      <c r="M159" s="44"/>
      <c r="N159" s="44"/>
      <c r="O159" s="44"/>
      <c r="P159" s="44"/>
      <c r="Q159" s="44"/>
      <c r="R159" s="44"/>
      <c r="S159" s="44"/>
      <c r="T159" s="365" t="b" cm="1">
        <f t="array" aca="1" ref="T159" ca="1">T158</f>
        <v>0</v>
      </c>
      <c r="U159" s="44"/>
      <c r="V159" s="44"/>
      <c r="W159" s="44"/>
      <c r="X159" s="1094"/>
      <c r="Z159" s="1065"/>
      <c r="AB159" s="26" t="str">
        <f>D159&amp;".5"</f>
        <v>11.5</v>
      </c>
      <c r="AC159" s="146" t="s">
        <v>1887</v>
      </c>
      <c r="AD159" s="26" t="s">
        <v>456</v>
      </c>
      <c r="AE159" s="190">
        <f>IF(AE156=0,0,AE158/AE156*100)</f>
        <v>0</v>
      </c>
      <c r="AF159" s="190">
        <f>IF(AF156=0,0,AF158/AF156*100)</f>
        <v>0</v>
      </c>
      <c r="AG159" s="190">
        <f>IF(AG156=0,0,AG158/AG156*100)</f>
        <v>0</v>
      </c>
      <c r="AH159" s="552"/>
      <c r="AI159" s="190">
        <f t="shared" ref="AI159:BC159" si="40">IF(AI156=0,0,AI158/AI156*100)</f>
        <v>0</v>
      </c>
      <c r="AJ159" s="190">
        <f t="shared" si="40"/>
        <v>0</v>
      </c>
      <c r="AK159" s="190">
        <f t="shared" si="40"/>
        <v>0</v>
      </c>
      <c r="AL159" s="190">
        <f t="shared" si="40"/>
        <v>0</v>
      </c>
      <c r="AM159" s="190">
        <f t="shared" si="40"/>
        <v>0</v>
      </c>
      <c r="AN159" s="190">
        <f t="shared" si="40"/>
        <v>0</v>
      </c>
      <c r="AO159" s="190">
        <f t="shared" si="40"/>
        <v>0</v>
      </c>
      <c r="AP159" s="190">
        <f t="shared" si="40"/>
        <v>0</v>
      </c>
      <c r="AQ159" s="190">
        <f t="shared" si="40"/>
        <v>0</v>
      </c>
      <c r="AR159" s="190">
        <f t="shared" si="40"/>
        <v>0</v>
      </c>
      <c r="AS159" s="190">
        <f t="shared" si="40"/>
        <v>0</v>
      </c>
      <c r="AT159" s="190">
        <f t="shared" si="40"/>
        <v>0</v>
      </c>
      <c r="AU159" s="190">
        <f t="shared" ca="1" si="40"/>
        <v>0</v>
      </c>
      <c r="AV159" s="190">
        <f t="shared" ca="1" si="40"/>
        <v>0</v>
      </c>
      <c r="AW159" s="190">
        <f t="shared" ca="1" si="40"/>
        <v>0</v>
      </c>
      <c r="AX159" s="190">
        <f t="shared" ca="1" si="40"/>
        <v>0</v>
      </c>
      <c r="AY159" s="190">
        <f t="shared" ca="1" si="40"/>
        <v>0</v>
      </c>
      <c r="AZ159" s="190">
        <f t="shared" ca="1" si="40"/>
        <v>0</v>
      </c>
      <c r="BA159" s="190">
        <f t="shared" ca="1" si="40"/>
        <v>0</v>
      </c>
      <c r="BB159" s="190">
        <f t="shared" ca="1" si="40"/>
        <v>0</v>
      </c>
      <c r="BC159" s="190">
        <f t="shared" ca="1" si="40"/>
        <v>0</v>
      </c>
      <c r="BD159" s="552"/>
      <c r="BE159" s="552"/>
      <c r="BF159" s="552"/>
      <c r="BG159" s="552"/>
      <c r="BH159" s="552"/>
      <c r="BI159" s="552"/>
      <c r="BJ159" s="552"/>
      <c r="BK159" s="552"/>
      <c r="BL159" s="552"/>
      <c r="BM159" s="552"/>
      <c r="BN159" s="784"/>
      <c r="BO159" s="784"/>
      <c r="BP159" s="784"/>
      <c r="BS159" s="703" t="s">
        <v>1888</v>
      </c>
    </row>
    <row r="160" spans="2:75" ht="14.65" hidden="1" customHeight="1">
      <c r="C160" s="44"/>
      <c r="D160" s="44" cm="1">
        <f t="array" ref="D160">D159</f>
        <v>11</v>
      </c>
      <c r="E160" s="462">
        <v>15</v>
      </c>
      <c r="F160" s="3" cm="1">
        <f t="array" aca="1" ref="F160" ca="1">OFFSET(E160,-1,1)</f>
        <v>0</v>
      </c>
      <c r="G160" s="44"/>
      <c r="H160" s="44"/>
      <c r="I160" s="44" t="s">
        <v>2200</v>
      </c>
      <c r="J160" s="44"/>
      <c r="K160" s="91" t="s">
        <v>2200</v>
      </c>
      <c r="L160" s="44" t="s">
        <v>1889</v>
      </c>
      <c r="M160" s="44"/>
      <c r="N160" s="44"/>
      <c r="O160" s="44"/>
      <c r="P160" s="44"/>
      <c r="Q160" s="44"/>
      <c r="R160" s="44"/>
      <c r="S160" s="44"/>
      <c r="T160" s="365" t="b" cm="1">
        <f t="array" aca="1" ref="T160" ca="1">T159</f>
        <v>0</v>
      </c>
      <c r="U160" s="44"/>
      <c r="V160" s="44"/>
      <c r="W160" s="44"/>
      <c r="X160" s="1094"/>
      <c r="Z160" s="1065"/>
      <c r="AB160" s="26" t="str">
        <f>D160&amp;".6"</f>
        <v>11.6</v>
      </c>
      <c r="AC160" s="146" t="s">
        <v>1891</v>
      </c>
      <c r="AD160" s="26" t="s">
        <v>1624</v>
      </c>
      <c r="AE160" s="787">
        <f ca="1">IF(AE154=0,0,AE151/AE154)</f>
        <v>0</v>
      </c>
      <c r="AF160" s="787">
        <f ca="1">IF(AF154=0,0,AF151/AF154)</f>
        <v>0</v>
      </c>
      <c r="AG160" s="787">
        <f ca="1">IF(AG154=0,0,AG151/AG154)</f>
        <v>0</v>
      </c>
      <c r="AH160" s="190">
        <f ca="1">AG160-AF160</f>
        <v>0</v>
      </c>
      <c r="AI160" s="787">
        <f t="shared" ref="AI160:BC160" ca="1" si="41">IF(AI154=0,0,AI151/AI154)</f>
        <v>0</v>
      </c>
      <c r="AJ160" s="787">
        <f t="shared" ca="1" si="41"/>
        <v>0</v>
      </c>
      <c r="AK160" s="787">
        <f t="shared" ca="1" si="41"/>
        <v>0</v>
      </c>
      <c r="AL160" s="787">
        <f t="shared" ca="1" si="41"/>
        <v>0</v>
      </c>
      <c r="AM160" s="787">
        <f t="shared" ca="1" si="41"/>
        <v>0</v>
      </c>
      <c r="AN160" s="787">
        <f t="shared" ca="1" si="41"/>
        <v>0</v>
      </c>
      <c r="AO160" s="787">
        <f t="shared" ca="1" si="41"/>
        <v>0</v>
      </c>
      <c r="AP160" s="787">
        <f t="shared" ca="1" si="41"/>
        <v>0</v>
      </c>
      <c r="AQ160" s="787">
        <f t="shared" ca="1" si="41"/>
        <v>0</v>
      </c>
      <c r="AR160" s="787">
        <f t="shared" ca="1" si="41"/>
        <v>0</v>
      </c>
      <c r="AS160" s="787">
        <f t="shared" ca="1" si="41"/>
        <v>0</v>
      </c>
      <c r="AT160" s="787">
        <f t="shared" ca="1" si="41"/>
        <v>0</v>
      </c>
      <c r="AU160" s="787">
        <f t="shared" ca="1" si="41"/>
        <v>0</v>
      </c>
      <c r="AV160" s="787">
        <f t="shared" ca="1" si="41"/>
        <v>0</v>
      </c>
      <c r="AW160" s="787">
        <f t="shared" ca="1" si="41"/>
        <v>0</v>
      </c>
      <c r="AX160" s="787">
        <f t="shared" ca="1" si="41"/>
        <v>0</v>
      </c>
      <c r="AY160" s="787">
        <f t="shared" ca="1" si="41"/>
        <v>0</v>
      </c>
      <c r="AZ160" s="787">
        <f t="shared" ca="1" si="41"/>
        <v>0</v>
      </c>
      <c r="BA160" s="787">
        <f t="shared" ca="1" si="41"/>
        <v>0</v>
      </c>
      <c r="BB160" s="787">
        <f t="shared" ca="1" si="41"/>
        <v>0</v>
      </c>
      <c r="BC160" s="787">
        <f t="shared" ca="1" si="41"/>
        <v>0</v>
      </c>
      <c r="BD160" s="552"/>
      <c r="BE160" s="552"/>
      <c r="BF160" s="552"/>
      <c r="BG160" s="552"/>
      <c r="BH160" s="552"/>
      <c r="BI160" s="552"/>
      <c r="BJ160" s="552"/>
      <c r="BK160" s="552"/>
      <c r="BL160" s="552"/>
      <c r="BM160" s="552"/>
      <c r="BN160" s="784"/>
      <c r="BO160" s="784"/>
      <c r="BP160" s="784"/>
      <c r="BS160" s="703" t="s">
        <v>1892</v>
      </c>
    </row>
    <row r="161" spans="1:75" s="95" customFormat="1" ht="20.45" hidden="1" customHeight="1">
      <c r="B161" s="344"/>
      <c r="C161" s="46"/>
      <c r="D161" s="46">
        <f>D160+1</f>
        <v>12</v>
      </c>
      <c r="E161" s="569">
        <v>21</v>
      </c>
      <c r="F161" s="3" cm="1">
        <f t="array" aca="1" ref="F161" ca="1">OFFSET(E161,-1,1)</f>
        <v>0</v>
      </c>
      <c r="G161" s="46"/>
      <c r="H161" s="44"/>
      <c r="I161" s="44" t="s">
        <v>1897</v>
      </c>
      <c r="J161" s="46"/>
      <c r="K161" s="91" t="s">
        <v>1897</v>
      </c>
      <c r="L161" s="46" t="s">
        <v>1893</v>
      </c>
      <c r="M161" s="46"/>
      <c r="N161" s="46"/>
      <c r="O161" s="46"/>
      <c r="P161" s="46"/>
      <c r="Q161" s="46"/>
      <c r="R161" s="46"/>
      <c r="S161" s="46"/>
      <c r="T161" s="365" t="b" cm="1">
        <f t="array" aca="1" ref="T161" ca="1">T160</f>
        <v>0</v>
      </c>
      <c r="U161" s="46"/>
      <c r="V161" s="46"/>
      <c r="W161" s="46"/>
      <c r="X161" s="1094"/>
      <c r="Z161" s="1065"/>
      <c r="AB161" s="143" cm="1">
        <f t="array" ref="AB161">D161</f>
        <v>12</v>
      </c>
      <c r="AC161" s="144" t="s">
        <v>1895</v>
      </c>
      <c r="AD161" s="143" t="s">
        <v>804</v>
      </c>
      <c r="AE161" s="783">
        <f ca="1">IF(AE154=0,0,AE151/AE154*AE162)</f>
        <v>0</v>
      </c>
      <c r="AF161" s="783">
        <f ca="1">IF(AF154=0,0,AF151/AF154*AF162)</f>
        <v>0</v>
      </c>
      <c r="AG161" s="783">
        <f ca="1">IF(AG154=0,0,AG151/AG154*AG162)</f>
        <v>0</v>
      </c>
      <c r="AH161" s="145">
        <f ca="1">AH163*AH164+AH165*AH166</f>
        <v>0</v>
      </c>
      <c r="AI161" s="783">
        <f t="shared" ref="AI161:BC161" ca="1" si="42">IF(AI154=0,0,AI151/AI154*AI162)</f>
        <v>0</v>
      </c>
      <c r="AJ161" s="783">
        <f t="shared" ca="1" si="42"/>
        <v>0</v>
      </c>
      <c r="AK161" s="783">
        <f t="shared" ca="1" si="42"/>
        <v>0</v>
      </c>
      <c r="AL161" s="783">
        <f t="shared" ca="1" si="42"/>
        <v>0</v>
      </c>
      <c r="AM161" s="783">
        <f t="shared" ca="1" si="42"/>
        <v>0</v>
      </c>
      <c r="AN161" s="783">
        <f t="shared" ca="1" si="42"/>
        <v>0</v>
      </c>
      <c r="AO161" s="783">
        <f t="shared" ca="1" si="42"/>
        <v>0</v>
      </c>
      <c r="AP161" s="783">
        <f t="shared" ca="1" si="42"/>
        <v>0</v>
      </c>
      <c r="AQ161" s="783">
        <f t="shared" ca="1" si="42"/>
        <v>0</v>
      </c>
      <c r="AR161" s="783">
        <f t="shared" ca="1" si="42"/>
        <v>0</v>
      </c>
      <c r="AS161" s="783">
        <f t="shared" ca="1" si="42"/>
        <v>0</v>
      </c>
      <c r="AT161" s="783">
        <f t="shared" ca="1" si="42"/>
        <v>0</v>
      </c>
      <c r="AU161" s="783">
        <f t="shared" ca="1" si="42"/>
        <v>0</v>
      </c>
      <c r="AV161" s="783">
        <f t="shared" ca="1" si="42"/>
        <v>0</v>
      </c>
      <c r="AW161" s="783">
        <f t="shared" ca="1" si="42"/>
        <v>0</v>
      </c>
      <c r="AX161" s="783">
        <f t="shared" ca="1" si="42"/>
        <v>0</v>
      </c>
      <c r="AY161" s="783">
        <f t="shared" ca="1" si="42"/>
        <v>0</v>
      </c>
      <c r="AZ161" s="783">
        <f t="shared" ca="1" si="42"/>
        <v>0</v>
      </c>
      <c r="BA161" s="783">
        <f t="shared" ca="1" si="42"/>
        <v>0</v>
      </c>
      <c r="BB161" s="783">
        <f t="shared" ca="1" si="42"/>
        <v>0</v>
      </c>
      <c r="BC161" s="783">
        <f t="shared" ca="1" si="42"/>
        <v>0</v>
      </c>
      <c r="BD161" s="145">
        <f ca="1">IF(AI161=0,0,(AT161-AI161)/AI161*100)</f>
        <v>0</v>
      </c>
      <c r="BE161" s="145">
        <f t="shared" ref="BE161:BM161" ca="1" si="43">IF(AT161=0,0,(AU161-AT161)/AT161*100)</f>
        <v>0</v>
      </c>
      <c r="BF161" s="145">
        <f t="shared" ca="1" si="43"/>
        <v>0</v>
      </c>
      <c r="BG161" s="145">
        <f t="shared" ca="1" si="43"/>
        <v>0</v>
      </c>
      <c r="BH161" s="145">
        <f t="shared" ca="1" si="43"/>
        <v>0</v>
      </c>
      <c r="BI161" s="145">
        <f t="shared" ca="1" si="43"/>
        <v>0</v>
      </c>
      <c r="BJ161" s="145">
        <f t="shared" ca="1" si="43"/>
        <v>0</v>
      </c>
      <c r="BK161" s="145">
        <f t="shared" ca="1" si="43"/>
        <v>0</v>
      </c>
      <c r="BL161" s="145">
        <f t="shared" ca="1" si="43"/>
        <v>0</v>
      </c>
      <c r="BM161" s="145">
        <f t="shared" ca="1" si="43"/>
        <v>0</v>
      </c>
      <c r="BN161" s="784"/>
      <c r="BO161" s="784"/>
      <c r="BP161" s="784"/>
      <c r="BS161" s="704" t="s">
        <v>1896</v>
      </c>
      <c r="BT161" s="711"/>
      <c r="BU161" s="711"/>
      <c r="BV161" s="522"/>
      <c r="BW161" s="522"/>
    </row>
    <row r="162" spans="1:75" s="95" customFormat="1" ht="20.45" hidden="1" customHeight="1">
      <c r="B162" s="344"/>
      <c r="C162" s="46"/>
      <c r="D162" s="46">
        <f>D161+1</f>
        <v>13</v>
      </c>
      <c r="E162" s="569">
        <v>21</v>
      </c>
      <c r="F162" s="3" cm="1">
        <f t="array" aca="1" ref="F162" ca="1">OFFSET(E162,-1,1)</f>
        <v>0</v>
      </c>
      <c r="G162" s="44" t="s">
        <v>1646</v>
      </c>
      <c r="H162" s="44"/>
      <c r="I162" s="44" t="s">
        <v>2201</v>
      </c>
      <c r="J162" s="46"/>
      <c r="K162" s="91" t="s">
        <v>2201</v>
      </c>
      <c r="L162" s="46" t="s">
        <v>1897</v>
      </c>
      <c r="M162" s="46"/>
      <c r="N162" s="46"/>
      <c r="O162" s="46"/>
      <c r="P162" s="46"/>
      <c r="Q162" s="46"/>
      <c r="R162" s="46"/>
      <c r="S162" s="46"/>
      <c r="T162" s="365" t="b" cm="1">
        <f t="array" aca="1" ref="T162" ca="1">T161</f>
        <v>0</v>
      </c>
      <c r="U162" s="46"/>
      <c r="V162" s="46"/>
      <c r="W162" s="46"/>
      <c r="X162" s="1094"/>
      <c r="Z162" s="1065"/>
      <c r="AB162" s="143" cm="1">
        <f t="array" ref="AB162">D162</f>
        <v>13</v>
      </c>
      <c r="AC162" s="144" t="s">
        <v>1899</v>
      </c>
      <c r="AD162" s="143" t="s">
        <v>534</v>
      </c>
      <c r="AE162" s="562">
        <f ca="1">SUMIFS(Баланс!AE$26:AE$300,Баланс!$F$26:$F$300,$F162,Баланс!$G$26:$G$300,"население")</f>
        <v>0</v>
      </c>
      <c r="AF162" s="562">
        <f ca="1">SUMIFS(Баланс!AF$26:AF$300,Баланс!$F$26:$F$300,$F162,Баланс!$G$26:$G$300,"население")</f>
        <v>0</v>
      </c>
      <c r="AG162" s="562">
        <f ca="1">SUMIFS(Баланс!AG$26:AG$300,Баланс!$F$26:$F$300,$F162,Баланс!$G$26:$G$300,"население")</f>
        <v>0</v>
      </c>
      <c r="AH162" s="562">
        <f t="shared" ref="AH162:AH170" ca="1" si="44">AG162-AF162</f>
        <v>0</v>
      </c>
      <c r="AI162" s="562">
        <f ca="1">SUMIFS(Баланс!AH$26:AH$300,Баланс!$F$26:$F$300,$F162,Баланс!$G$26:$G$300,"население")</f>
        <v>0</v>
      </c>
      <c r="AJ162" s="562">
        <f ca="1">SUMIFS(Баланс!AI$26:AI$300,Баланс!$F$26:$F$300,$F162,Баланс!$G$26:$G$300,"население")</f>
        <v>0</v>
      </c>
      <c r="AK162" s="562">
        <f ca="1">SUMIFS(Баланс!AJ$26:AJ$300,Баланс!$F$26:$F$300,$F162,Баланс!$G$26:$G$300,"население")</f>
        <v>0</v>
      </c>
      <c r="AL162" s="562">
        <f ca="1">SUMIFS(Баланс!AK$26:AK$300,Баланс!$F$26:$F$300,$F162,Баланс!$G$26:$G$300,"население")</f>
        <v>0</v>
      </c>
      <c r="AM162" s="562">
        <f ca="1">SUMIFS(Баланс!AL$26:AL$300,Баланс!$F$26:$F$300,$F162,Баланс!$G$26:$G$300,"население")</f>
        <v>0</v>
      </c>
      <c r="AN162" s="562">
        <f ca="1">SUMIFS(Баланс!AM$26:AM$300,Баланс!$F$26:$F$300,$F162,Баланс!$G$26:$G$300,"население")</f>
        <v>0</v>
      </c>
      <c r="AO162" s="562">
        <f ca="1">SUMIFS(Баланс!AN$26:AN$300,Баланс!$F$26:$F$300,$F162,Баланс!$G$26:$G$300,"население")</f>
        <v>0</v>
      </c>
      <c r="AP162" s="562">
        <f ca="1">SUMIFS(Баланс!AO$26:AO$300,Баланс!$F$26:$F$300,$F162,Баланс!$G$26:$G$300,"население")</f>
        <v>0</v>
      </c>
      <c r="AQ162" s="562">
        <f ca="1">SUMIFS(Баланс!AP$26:AP$300,Баланс!$F$26:$F$300,$F162,Баланс!$G$26:$G$300,"население")</f>
        <v>0</v>
      </c>
      <c r="AR162" s="562">
        <f ca="1">SUMIFS(Баланс!AQ$26:AQ$300,Баланс!$F$26:$F$300,$F162,Баланс!$G$26:$G$300,"население")</f>
        <v>0</v>
      </c>
      <c r="AS162" s="562">
        <f ca="1">SUMIFS(Баланс!AR$26:AR$300,Баланс!$F$26:$F$300,$F162,Баланс!$G$26:$G$300,"население")</f>
        <v>0</v>
      </c>
      <c r="AT162" s="562">
        <f ca="1">SUMIFS(Баланс!AS$26:AS$300,Баланс!$F$26:$F$300,$F162,Баланс!$G$26:$G$300,"население")</f>
        <v>0</v>
      </c>
      <c r="AU162" s="562">
        <f ca="1">SUMIFS(Баланс!AT$26:AT$300,Баланс!$F$26:$F$300,$F162,Баланс!$G$26:$G$300,"население")</f>
        <v>0</v>
      </c>
      <c r="AV162" s="562">
        <f ca="1">SUMIFS(Баланс!AU$26:AU$300,Баланс!$F$26:$F$300,$F162,Баланс!$G$26:$G$300,"население")</f>
        <v>0</v>
      </c>
      <c r="AW162" s="562">
        <f ca="1">SUMIFS(Баланс!AV$26:AV$300,Баланс!$F$26:$F$300,$F162,Баланс!$G$26:$G$300,"население")</f>
        <v>0</v>
      </c>
      <c r="AX162" s="562">
        <f ca="1">SUMIFS(Баланс!AW$26:AW$300,Баланс!$F$26:$F$300,$F162,Баланс!$G$26:$G$300,"население")</f>
        <v>0</v>
      </c>
      <c r="AY162" s="562">
        <f ca="1">SUMIFS(Баланс!AX$26:AX$300,Баланс!$F$26:$F$300,$F162,Баланс!$G$26:$G$300,"население")</f>
        <v>0</v>
      </c>
      <c r="AZ162" s="562">
        <f ca="1">SUMIFS(Баланс!AY$26:AY$300,Баланс!$F$26:$F$300,$F162,Баланс!$G$26:$G$300,"население")</f>
        <v>0</v>
      </c>
      <c r="BA162" s="562">
        <f ca="1">SUMIFS(Баланс!AZ$26:AZ$300,Баланс!$F$26:$F$300,$F162,Баланс!$G$26:$G$300,"население")</f>
        <v>0</v>
      </c>
      <c r="BB162" s="562">
        <f ca="1">SUMIFS(Баланс!BA$26:BA$300,Баланс!$F$26:$F$300,$F162,Баланс!$G$26:$G$300,"население")</f>
        <v>0</v>
      </c>
      <c r="BC162" s="562">
        <f ca="1">SUMIFS(Баланс!BB$26:BB$300,Баланс!$F$26:$F$300,$F162,Баланс!$G$26:$G$300,"население")</f>
        <v>0</v>
      </c>
      <c r="BD162" s="148"/>
      <c r="BE162" s="148"/>
      <c r="BF162" s="148"/>
      <c r="BG162" s="148"/>
      <c r="BH162" s="148"/>
      <c r="BI162" s="148"/>
      <c r="BJ162" s="148"/>
      <c r="BK162" s="148"/>
      <c r="BL162" s="148"/>
      <c r="BM162" s="148"/>
      <c r="BN162" s="784"/>
      <c r="BO162" s="784"/>
      <c r="BP162" s="784"/>
      <c r="BS162" s="704" t="s">
        <v>1900</v>
      </c>
      <c r="BT162" s="711"/>
      <c r="BU162" s="711"/>
      <c r="BV162" s="522"/>
      <c r="BW162" s="522"/>
    </row>
    <row r="163" spans="1:75" ht="14.65" hidden="1" customHeight="1">
      <c r="C163" s="44"/>
      <c r="D163" s="44" cm="1">
        <f t="array" ref="D163">D162</f>
        <v>13</v>
      </c>
      <c r="E163" s="462">
        <v>15</v>
      </c>
      <c r="F163" s="3" cm="1">
        <f t="array" aca="1" ref="F163" ca="1">OFFSET(E163,-1,1)</f>
        <v>0</v>
      </c>
      <c r="G163" s="44" t="s">
        <v>1680</v>
      </c>
      <c r="H163" s="44"/>
      <c r="I163" s="44" t="s">
        <v>2202</v>
      </c>
      <c r="J163" s="44"/>
      <c r="K163" s="91" t="s">
        <v>2202</v>
      </c>
      <c r="L163" s="44" t="s">
        <v>1901</v>
      </c>
      <c r="M163" s="44"/>
      <c r="N163" s="44"/>
      <c r="O163" s="44"/>
      <c r="P163" s="44"/>
      <c r="Q163" s="44"/>
      <c r="R163" s="44"/>
      <c r="S163" s="44"/>
      <c r="T163" s="365" t="b" cm="1">
        <f t="array" aca="1" ref="T163" ca="1">T162</f>
        <v>0</v>
      </c>
      <c r="U163" s="44"/>
      <c r="V163" s="44"/>
      <c r="W163" s="44"/>
      <c r="X163" s="1094"/>
      <c r="Z163" s="1065"/>
      <c r="AB163" s="26" t="str">
        <f>D163&amp;".1"</f>
        <v>13.1</v>
      </c>
      <c r="AC163" s="146" t="s">
        <v>1903</v>
      </c>
      <c r="AD163" s="26" t="s">
        <v>534</v>
      </c>
      <c r="AE163" s="785">
        <f ca="1">IF(AE$24="2026 год",AE162/12*9,AE162/2)</f>
        <v>0</v>
      </c>
      <c r="AF163" s="785">
        <f ca="1">IF(AF$24="2026 год",AF162/12*9,AF162/2)</f>
        <v>0</v>
      </c>
      <c r="AG163" s="785">
        <f ca="1">IF(AG$24="2026 год",AG162/12*9,AG162/2)</f>
        <v>0</v>
      </c>
      <c r="AH163" s="568">
        <f t="shared" ca="1" si="44"/>
        <v>0</v>
      </c>
      <c r="AI163" s="785">
        <f t="shared" ref="AI163:BC163" ca="1" si="45">IF(AI$24="2026 год",AI162/12*9,AI162/2)</f>
        <v>0</v>
      </c>
      <c r="AJ163" s="785">
        <f t="shared" ca="1" si="45"/>
        <v>0</v>
      </c>
      <c r="AK163" s="785">
        <f t="shared" ca="1" si="45"/>
        <v>0</v>
      </c>
      <c r="AL163" s="785">
        <f t="shared" ca="1" si="45"/>
        <v>0</v>
      </c>
      <c r="AM163" s="785">
        <f t="shared" ca="1" si="45"/>
        <v>0</v>
      </c>
      <c r="AN163" s="785">
        <f t="shared" ca="1" si="45"/>
        <v>0</v>
      </c>
      <c r="AO163" s="785">
        <f t="shared" ca="1" si="45"/>
        <v>0</v>
      </c>
      <c r="AP163" s="785">
        <f t="shared" ca="1" si="45"/>
        <v>0</v>
      </c>
      <c r="AQ163" s="785">
        <f t="shared" ca="1" si="45"/>
        <v>0</v>
      </c>
      <c r="AR163" s="785">
        <f t="shared" ca="1" si="45"/>
        <v>0</v>
      </c>
      <c r="AS163" s="785">
        <f t="shared" ca="1" si="45"/>
        <v>0</v>
      </c>
      <c r="AT163" s="785">
        <f t="shared" ca="1" si="45"/>
        <v>0</v>
      </c>
      <c r="AU163" s="785">
        <f t="shared" ca="1" si="45"/>
        <v>0</v>
      </c>
      <c r="AV163" s="785">
        <f t="shared" ca="1" si="45"/>
        <v>0</v>
      </c>
      <c r="AW163" s="785">
        <f t="shared" ca="1" si="45"/>
        <v>0</v>
      </c>
      <c r="AX163" s="785">
        <f t="shared" ca="1" si="45"/>
        <v>0</v>
      </c>
      <c r="AY163" s="785">
        <f t="shared" ca="1" si="45"/>
        <v>0</v>
      </c>
      <c r="AZ163" s="785">
        <f t="shared" ca="1" si="45"/>
        <v>0</v>
      </c>
      <c r="BA163" s="785">
        <f t="shared" ca="1" si="45"/>
        <v>0</v>
      </c>
      <c r="BB163" s="785">
        <f t="shared" ca="1" si="45"/>
        <v>0</v>
      </c>
      <c r="BC163" s="785">
        <f t="shared" ca="1" si="45"/>
        <v>0</v>
      </c>
      <c r="BD163" s="552"/>
      <c r="BE163" s="552"/>
      <c r="BF163" s="552"/>
      <c r="BG163" s="552"/>
      <c r="BH163" s="552"/>
      <c r="BI163" s="552"/>
      <c r="BJ163" s="552"/>
      <c r="BK163" s="552"/>
      <c r="BL163" s="552"/>
      <c r="BM163" s="552"/>
      <c r="BN163" s="784"/>
      <c r="BO163" s="784"/>
      <c r="BP163" s="784"/>
      <c r="BS163" s="703" t="s">
        <v>1904</v>
      </c>
    </row>
    <row r="164" spans="1:75" ht="14.65" hidden="1" customHeight="1">
      <c r="C164" s="44"/>
      <c r="D164" s="44" cm="1">
        <f t="array" ref="D164">D163</f>
        <v>13</v>
      </c>
      <c r="E164" s="462">
        <v>15</v>
      </c>
      <c r="F164" s="3" cm="1">
        <f t="array" aca="1" ref="F164" ca="1">OFFSET(E164,-1,1)</f>
        <v>0</v>
      </c>
      <c r="G164" s="44" t="s">
        <v>1636</v>
      </c>
      <c r="H164" s="44"/>
      <c r="I164" s="44" t="s">
        <v>2203</v>
      </c>
      <c r="J164" s="44"/>
      <c r="K164" s="91" t="s">
        <v>2203</v>
      </c>
      <c r="L164" s="44" t="s">
        <v>1905</v>
      </c>
      <c r="M164" s="44"/>
      <c r="N164" s="44"/>
      <c r="O164" s="44"/>
      <c r="P164" s="44"/>
      <c r="Q164" s="44"/>
      <c r="R164" s="44"/>
      <c r="S164" s="44"/>
      <c r="T164" s="365" t="b" cm="1">
        <f t="array" aca="1" ref="T164" ca="1">T163</f>
        <v>0</v>
      </c>
      <c r="U164" s="44"/>
      <c r="V164" s="44"/>
      <c r="W164" s="44"/>
      <c r="X164" s="1094"/>
      <c r="Z164" s="1065"/>
      <c r="AB164" s="26" t="str">
        <f>D164&amp;".2"</f>
        <v>13.2</v>
      </c>
      <c r="AC164" s="146" t="s">
        <v>1907</v>
      </c>
      <c r="AD164" s="26" t="s">
        <v>1624</v>
      </c>
      <c r="AE164" s="787">
        <f ca="1">IF(AE162=0,0,AE156*(1+Сценарии!AE$26/100))</f>
        <v>0</v>
      </c>
      <c r="AF164" s="787">
        <f ca="1">IF(AF162=0,0,AF156*(1+Сценарии!AF$26/100))</f>
        <v>0</v>
      </c>
      <c r="AG164" s="787">
        <f ca="1">IF(AG162=0,0,AG156*(1+Сценарии!AG$26/100))</f>
        <v>0</v>
      </c>
      <c r="AH164" s="190">
        <f t="shared" ca="1" si="44"/>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52"/>
      <c r="BE164" s="552"/>
      <c r="BF164" s="552"/>
      <c r="BG164" s="552"/>
      <c r="BH164" s="552"/>
      <c r="BI164" s="552"/>
      <c r="BJ164" s="552"/>
      <c r="BK164" s="552"/>
      <c r="BL164" s="552"/>
      <c r="BM164" s="552"/>
      <c r="BN164" s="784"/>
      <c r="BO164" s="784"/>
      <c r="BP164" s="784"/>
      <c r="BS164" s="703" t="s">
        <v>1908</v>
      </c>
    </row>
    <row r="165" spans="1:75" ht="14.65" hidden="1" customHeight="1">
      <c r="C165" s="44"/>
      <c r="D165" s="44" cm="1">
        <f t="array" ref="D165">D164</f>
        <v>13</v>
      </c>
      <c r="E165" s="462">
        <v>15</v>
      </c>
      <c r="F165" s="3" cm="1">
        <f t="array" aca="1" ref="F165" ca="1">OFFSET(E165,-1,1)</f>
        <v>0</v>
      </c>
      <c r="G165" s="44" t="s">
        <v>1687</v>
      </c>
      <c r="H165" s="44"/>
      <c r="I165" s="44" t="s">
        <v>2204</v>
      </c>
      <c r="J165" s="44"/>
      <c r="K165" s="44" t="s">
        <v>2204</v>
      </c>
      <c r="L165" s="44" t="s">
        <v>1909</v>
      </c>
      <c r="M165" s="44"/>
      <c r="N165" s="44"/>
      <c r="O165" s="44"/>
      <c r="P165" s="44"/>
      <c r="Q165" s="44"/>
      <c r="R165" s="44"/>
      <c r="S165" s="44"/>
      <c r="T165" s="365" t="b" cm="1">
        <f t="array" aca="1" ref="T165" ca="1">T164</f>
        <v>0</v>
      </c>
      <c r="U165" s="44"/>
      <c r="V165" s="44"/>
      <c r="W165" s="44"/>
      <c r="X165" s="1094"/>
      <c r="Z165" s="1065"/>
      <c r="AB165" s="26" t="str">
        <f>D165&amp;".3"</f>
        <v>13.3</v>
      </c>
      <c r="AC165" s="146" t="s">
        <v>1879</v>
      </c>
      <c r="AD165" s="26" t="s">
        <v>534</v>
      </c>
      <c r="AE165" s="568">
        <f ca="1">AE162-AE163</f>
        <v>0</v>
      </c>
      <c r="AF165" s="568">
        <f ca="1">AF162-AF163</f>
        <v>0</v>
      </c>
      <c r="AG165" s="568">
        <f ca="1">AG162-AG163</f>
        <v>0</v>
      </c>
      <c r="AH165" s="568">
        <f t="shared" ca="1" si="44"/>
        <v>0</v>
      </c>
      <c r="AI165" s="568">
        <f t="shared" ref="AI165:BC165" ca="1" si="46">AI162-AI163</f>
        <v>0</v>
      </c>
      <c r="AJ165" s="568">
        <f t="shared" ca="1" si="46"/>
        <v>0</v>
      </c>
      <c r="AK165" s="568">
        <f t="shared" ca="1" si="46"/>
        <v>0</v>
      </c>
      <c r="AL165" s="568">
        <f t="shared" ca="1" si="46"/>
        <v>0</v>
      </c>
      <c r="AM165" s="568">
        <f t="shared" ca="1" si="46"/>
        <v>0</v>
      </c>
      <c r="AN165" s="568">
        <f t="shared" ca="1" si="46"/>
        <v>0</v>
      </c>
      <c r="AO165" s="568">
        <f t="shared" ca="1" si="46"/>
        <v>0</v>
      </c>
      <c r="AP165" s="568">
        <f t="shared" ca="1" si="46"/>
        <v>0</v>
      </c>
      <c r="AQ165" s="568">
        <f t="shared" ca="1" si="46"/>
        <v>0</v>
      </c>
      <c r="AR165" s="568">
        <f t="shared" ca="1" si="46"/>
        <v>0</v>
      </c>
      <c r="AS165" s="568">
        <f t="shared" ca="1" si="46"/>
        <v>0</v>
      </c>
      <c r="AT165" s="568">
        <f t="shared" ca="1" si="46"/>
        <v>0</v>
      </c>
      <c r="AU165" s="568">
        <f t="shared" ca="1" si="46"/>
        <v>0</v>
      </c>
      <c r="AV165" s="568">
        <f t="shared" ca="1" si="46"/>
        <v>0</v>
      </c>
      <c r="AW165" s="568">
        <f t="shared" ca="1" si="46"/>
        <v>0</v>
      </c>
      <c r="AX165" s="568">
        <f t="shared" ca="1" si="46"/>
        <v>0</v>
      </c>
      <c r="AY165" s="568">
        <f t="shared" ca="1" si="46"/>
        <v>0</v>
      </c>
      <c r="AZ165" s="568">
        <f t="shared" ca="1" si="46"/>
        <v>0</v>
      </c>
      <c r="BA165" s="568">
        <f t="shared" ca="1" si="46"/>
        <v>0</v>
      </c>
      <c r="BB165" s="568">
        <f t="shared" ca="1" si="46"/>
        <v>0</v>
      </c>
      <c r="BC165" s="568">
        <f t="shared" ca="1" si="46"/>
        <v>0</v>
      </c>
      <c r="BD165" s="552"/>
      <c r="BE165" s="552"/>
      <c r="BF165" s="552"/>
      <c r="BG165" s="552"/>
      <c r="BH165" s="552"/>
      <c r="BI165" s="552"/>
      <c r="BJ165" s="552"/>
      <c r="BK165" s="552"/>
      <c r="BL165" s="552"/>
      <c r="BM165" s="552"/>
      <c r="BN165" s="784"/>
      <c r="BO165" s="784"/>
      <c r="BP165" s="784"/>
      <c r="BS165" s="703" t="s">
        <v>1911</v>
      </c>
    </row>
    <row r="166" spans="1:75" ht="14.65" hidden="1" customHeight="1">
      <c r="C166" s="44"/>
      <c r="D166" s="44" cm="1">
        <f t="array" ref="D166">D165</f>
        <v>13</v>
      </c>
      <c r="E166" s="462">
        <v>15</v>
      </c>
      <c r="F166" s="3" cm="1">
        <f t="array" aca="1" ref="F166" ca="1">OFFSET(E166,-1,1)</f>
        <v>0</v>
      </c>
      <c r="G166" s="44" t="s">
        <v>1640</v>
      </c>
      <c r="H166" s="44"/>
      <c r="I166" s="44" t="s">
        <v>2205</v>
      </c>
      <c r="J166" s="44"/>
      <c r="K166" s="44" t="s">
        <v>2205</v>
      </c>
      <c r="L166" s="44" t="s">
        <v>1912</v>
      </c>
      <c r="M166" s="44"/>
      <c r="N166" s="44"/>
      <c r="O166" s="44"/>
      <c r="P166" s="44"/>
      <c r="Q166" s="44"/>
      <c r="R166" s="44"/>
      <c r="S166" s="44"/>
      <c r="T166" s="365" t="b" cm="1">
        <f t="array" aca="1" ref="T166" ca="1">T165</f>
        <v>0</v>
      </c>
      <c r="U166" s="44"/>
      <c r="V166" s="44"/>
      <c r="W166" s="44"/>
      <c r="X166" s="1094"/>
      <c r="Z166" s="1065"/>
      <c r="AB166" s="26" t="str">
        <f>D166&amp;".4"</f>
        <v>13.4</v>
      </c>
      <c r="AC166" s="146" t="s">
        <v>1883</v>
      </c>
      <c r="AD166" s="26" t="s">
        <v>1624</v>
      </c>
      <c r="AE166" s="787">
        <f ca="1">IF(AE162=0,0,AE158*(1+Сценарии!AE$26/100))</f>
        <v>0</v>
      </c>
      <c r="AF166" s="787">
        <f ca="1">IF(AF162=0,0,AF158*(1+Сценарии!AF$26/100))</f>
        <v>0</v>
      </c>
      <c r="AG166" s="787">
        <f ca="1">IF(AG162=0,0,AG158*(1+Сценарии!AG$26/100))</f>
        <v>0</v>
      </c>
      <c r="AH166" s="190">
        <f t="shared" ca="1" si="44"/>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52"/>
      <c r="BE166" s="552"/>
      <c r="BF166" s="552"/>
      <c r="BG166" s="552"/>
      <c r="BH166" s="552"/>
      <c r="BI166" s="552"/>
      <c r="BJ166" s="552"/>
      <c r="BK166" s="552"/>
      <c r="BL166" s="552"/>
      <c r="BM166" s="552"/>
      <c r="BN166" s="784"/>
      <c r="BO166" s="784"/>
      <c r="BP166" s="784"/>
      <c r="BS166" s="703" t="s">
        <v>1915</v>
      </c>
    </row>
    <row r="167" spans="1:75" ht="14.65" hidden="1" customHeight="1">
      <c r="C167" s="44"/>
      <c r="D167" s="44">
        <f>D166+1</f>
        <v>14</v>
      </c>
      <c r="E167" s="462">
        <v>15</v>
      </c>
      <c r="F167" s="3" cm="1">
        <f t="array" aca="1" ref="F167" ca="1">OFFSET(E167,-1,1)</f>
        <v>0</v>
      </c>
      <c r="G167" s="44"/>
      <c r="H167" s="44"/>
      <c r="I167" s="44"/>
      <c r="J167" s="44"/>
      <c r="K167" s="44"/>
      <c r="L167" s="44"/>
      <c r="M167" s="44"/>
      <c r="N167" s="44"/>
      <c r="O167" s="44"/>
      <c r="P167" s="44"/>
      <c r="Q167" s="44"/>
      <c r="R167" s="44"/>
      <c r="S167" s="44"/>
      <c r="T167" s="365" t="b" cm="1">
        <f t="array" aca="1" ref="T167" ca="1">T166</f>
        <v>0</v>
      </c>
      <c r="U167" s="44"/>
      <c r="V167" s="44"/>
      <c r="W167" s="44"/>
      <c r="X167" s="1094"/>
      <c r="Z167" s="1065"/>
      <c r="AB167" s="143" cm="1">
        <f t="array" ref="AB167">D167</f>
        <v>14</v>
      </c>
      <c r="AC167" s="144" t="s">
        <v>1917</v>
      </c>
      <c r="AD167" s="143" t="s">
        <v>804</v>
      </c>
      <c r="AE167" s="787"/>
      <c r="AF167" s="787"/>
      <c r="AG167" s="787"/>
      <c r="AH167" s="190">
        <f t="shared" si="44"/>
        <v>0</v>
      </c>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52"/>
      <c r="BE167" s="552"/>
      <c r="BF167" s="552"/>
      <c r="BG167" s="552"/>
      <c r="BH167" s="552"/>
      <c r="BI167" s="552"/>
      <c r="BJ167" s="552"/>
      <c r="BK167" s="552"/>
      <c r="BL167" s="552"/>
      <c r="BM167" s="552"/>
      <c r="BN167" s="784"/>
      <c r="BO167" s="784"/>
      <c r="BP167" s="784"/>
      <c r="BS167" s="703" t="s">
        <v>1918</v>
      </c>
    </row>
    <row r="168" spans="1:75" s="388" customFormat="1" ht="20.45" hidden="1" customHeight="1">
      <c r="B168" s="548"/>
      <c r="C168" s="44"/>
      <c r="D168" s="44" cm="1">
        <f t="array" ref="D168">D167</f>
        <v>14</v>
      </c>
      <c r="E168" s="462">
        <v>21</v>
      </c>
      <c r="F168" s="3" cm="1">
        <f t="array" aca="1" ref="F168" ca="1">OFFSET(E168,-1,1)</f>
        <v>0</v>
      </c>
      <c r="G168" s="44"/>
      <c r="H168" s="44"/>
      <c r="I168" s="44"/>
      <c r="J168" s="44"/>
      <c r="K168" s="44"/>
      <c r="L168" s="44"/>
      <c r="M168" s="44"/>
      <c r="N168" s="44"/>
      <c r="O168" s="44"/>
      <c r="P168" s="44"/>
      <c r="Q168" s="44"/>
      <c r="R168" s="44"/>
      <c r="S168" s="44"/>
      <c r="T168" s="365" t="b" cm="1">
        <f t="array" aca="1" ref="T168" ca="1">T167</f>
        <v>0</v>
      </c>
      <c r="U168" s="44"/>
      <c r="V168" s="44"/>
      <c r="W168" s="44"/>
      <c r="X168" s="1094"/>
      <c r="Z168" s="1065"/>
      <c r="AB168" s="26" t="str">
        <f>D168&amp;".1"</f>
        <v>14.1</v>
      </c>
      <c r="AC168" s="146" t="s">
        <v>1920</v>
      </c>
      <c r="AD168" s="26" t="s">
        <v>804</v>
      </c>
      <c r="AE168" s="787"/>
      <c r="AF168" s="787"/>
      <c r="AG168" s="787"/>
      <c r="AH168" s="190">
        <f t="shared" si="44"/>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52"/>
      <c r="BE168" s="552"/>
      <c r="BF168" s="552"/>
      <c r="BG168" s="552"/>
      <c r="BH168" s="552"/>
      <c r="BI168" s="552"/>
      <c r="BJ168" s="552"/>
      <c r="BK168" s="552"/>
      <c r="BL168" s="552"/>
      <c r="BM168" s="552"/>
      <c r="BN168" s="784"/>
      <c r="BO168" s="784"/>
      <c r="BP168" s="784"/>
      <c r="BS168" s="703" t="s">
        <v>1921</v>
      </c>
      <c r="BT168" s="712"/>
      <c r="BU168" s="712"/>
      <c r="BV168" s="713"/>
      <c r="BW168" s="713"/>
    </row>
    <row r="169" spans="1:75" s="388" customFormat="1" ht="64.900000000000006" hidden="1" customHeight="1">
      <c r="B169" s="548"/>
      <c r="C169" s="44"/>
      <c r="D169" s="44" cm="1">
        <f t="array" ref="D169">D168</f>
        <v>14</v>
      </c>
      <c r="E169" s="462">
        <v>66.599999999999994</v>
      </c>
      <c r="F169" s="3" cm="1">
        <f t="array" aca="1" ref="F169" ca="1">OFFSET(E169,-1,1)</f>
        <v>0</v>
      </c>
      <c r="G169" s="44"/>
      <c r="H169" s="44"/>
      <c r="I169" s="44"/>
      <c r="J169" s="44"/>
      <c r="K169" s="44"/>
      <c r="L169" s="44"/>
      <c r="M169" s="44"/>
      <c r="N169" s="44"/>
      <c r="O169" s="44"/>
      <c r="P169" s="44"/>
      <c r="Q169" s="44"/>
      <c r="R169" s="44"/>
      <c r="S169" s="44"/>
      <c r="T169" s="365" t="b" cm="1">
        <f t="array" aca="1" ref="T169" ca="1">T168</f>
        <v>0</v>
      </c>
      <c r="U169" s="44"/>
      <c r="V169" s="44"/>
      <c r="W169" s="44"/>
      <c r="X169" s="1094"/>
      <c r="Z169" s="1065"/>
      <c r="AB169" s="26" t="str">
        <f>D169&amp;".2"</f>
        <v>14.2</v>
      </c>
      <c r="AC169" s="146" t="s">
        <v>1923</v>
      </c>
      <c r="AD169" s="26" t="s">
        <v>804</v>
      </c>
      <c r="AE169" s="787"/>
      <c r="AF169" s="787"/>
      <c r="AG169" s="787"/>
      <c r="AH169" s="190">
        <f t="shared" si="44"/>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52"/>
      <c r="BE169" s="552"/>
      <c r="BF169" s="552"/>
      <c r="BG169" s="552"/>
      <c r="BH169" s="552"/>
      <c r="BI169" s="552"/>
      <c r="BJ169" s="552"/>
      <c r="BK169" s="552"/>
      <c r="BL169" s="552"/>
      <c r="BM169" s="552"/>
      <c r="BN169" s="784"/>
      <c r="BO169" s="784"/>
      <c r="BP169" s="784"/>
      <c r="BS169" s="703" t="s">
        <v>1924</v>
      </c>
      <c r="BT169" s="712"/>
      <c r="BU169" s="712"/>
      <c r="BV169" s="713"/>
      <c r="BW169" s="713"/>
    </row>
    <row r="170" spans="1:75" s="388" customFormat="1" ht="44.45" hidden="1" customHeight="1">
      <c r="B170" s="548"/>
      <c r="C170" s="44"/>
      <c r="D170" s="44" cm="1">
        <f t="array" ref="D170">D169</f>
        <v>14</v>
      </c>
      <c r="E170" s="462">
        <v>45.6</v>
      </c>
      <c r="F170" s="3" cm="1">
        <f t="array" aca="1" ref="F170" ca="1">OFFSET(E170,-1,1)</f>
        <v>0</v>
      </c>
      <c r="G170" s="44"/>
      <c r="H170" s="44"/>
      <c r="I170" s="44"/>
      <c r="J170" s="44"/>
      <c r="K170" s="44"/>
      <c r="L170" s="44"/>
      <c r="M170" s="44"/>
      <c r="N170" s="44"/>
      <c r="O170" s="44"/>
      <c r="P170" s="44"/>
      <c r="Q170" s="44"/>
      <c r="R170" s="44"/>
      <c r="S170" s="44"/>
      <c r="T170" s="365" t="b" cm="1">
        <f t="array" aca="1" ref="T170" ca="1">T169</f>
        <v>0</v>
      </c>
      <c r="U170" s="44"/>
      <c r="V170" s="44"/>
      <c r="W170" s="44"/>
      <c r="X170" s="1094"/>
      <c r="Z170" s="1065"/>
      <c r="AB170" s="26" t="str">
        <f>D170&amp;".3"</f>
        <v>14.3</v>
      </c>
      <c r="AC170" s="146" t="s">
        <v>2206</v>
      </c>
      <c r="AD170" s="26" t="s">
        <v>804</v>
      </c>
      <c r="AE170" s="552"/>
      <c r="AF170" s="787"/>
      <c r="AG170" s="787"/>
      <c r="AH170" s="190">
        <f t="shared" si="44"/>
        <v>0</v>
      </c>
      <c r="AI170" s="552"/>
      <c r="AJ170" s="552"/>
      <c r="AK170" s="552"/>
      <c r="AL170" s="552"/>
      <c r="AM170" s="552"/>
      <c r="AN170" s="552"/>
      <c r="AO170" s="552"/>
      <c r="AP170" s="552"/>
      <c r="AQ170" s="552"/>
      <c r="AR170" s="552"/>
      <c r="AS170" s="552"/>
      <c r="AT170" s="552"/>
      <c r="AU170" s="552"/>
      <c r="AV170" s="552"/>
      <c r="AW170" s="552"/>
      <c r="AX170" s="552"/>
      <c r="AY170" s="552"/>
      <c r="AZ170" s="552"/>
      <c r="BA170" s="552"/>
      <c r="BB170" s="552"/>
      <c r="BC170" s="552"/>
      <c r="BD170" s="552"/>
      <c r="BE170" s="552"/>
      <c r="BF170" s="552"/>
      <c r="BG170" s="552"/>
      <c r="BH170" s="552"/>
      <c r="BI170" s="552"/>
      <c r="BJ170" s="552"/>
      <c r="BK170" s="552"/>
      <c r="BL170" s="552"/>
      <c r="BM170" s="552"/>
      <c r="BN170" s="784"/>
      <c r="BO170" s="784"/>
      <c r="BP170" s="784"/>
      <c r="BS170" s="712" t="s">
        <v>2207</v>
      </c>
      <c r="BT170" s="712"/>
      <c r="BU170" s="712"/>
      <c r="BV170" s="713"/>
      <c r="BW170" s="713"/>
    </row>
    <row r="171" spans="1:75" s="408" customFormat="1" ht="14.25" customHeight="1">
      <c r="A171" s="57"/>
      <c r="B171" s="62"/>
      <c r="C171" s="41"/>
      <c r="D171" s="41"/>
      <c r="E171" s="460">
        <v>15</v>
      </c>
      <c r="F171" s="78" t="str" cm="1">
        <f t="array" ref="F171">X171</f>
        <v>1</v>
      </c>
      <c r="G171" s="78" t="str" cm="1">
        <f t="array" ref="G171">INDEX('Общие сведения'!$AK$179:$AK$222,MATCH($X171,'Общие сведения'!$Z$179:$Z$222,0))</f>
        <v>одноставочный</v>
      </c>
      <c r="H171" s="41"/>
      <c r="I171" s="78"/>
      <c r="J171" s="41"/>
      <c r="K171" s="41"/>
      <c r="L171" s="41"/>
      <c r="M171" s="41"/>
      <c r="N171" s="41"/>
      <c r="O171" s="41"/>
      <c r="P171" s="41"/>
      <c r="Q171" s="41"/>
      <c r="R171" s="41"/>
      <c r="S171" s="41" t="str" cm="1">
        <f t="array" ref="S171">INDEX('Общие сведения'!$AE$179:$AE$222,MATCH($X171,'Общие сведения'!$Z$179:$Z$222,0))</f>
        <v>Водоснабжение</v>
      </c>
      <c r="T171" s="365" t="b">
        <f>X171&gt;0</f>
        <v>1</v>
      </c>
      <c r="U171" s="41"/>
      <c r="V171" s="41" t="str" cm="1">
        <f t="array" ref="V171">'Калькуляция (МЭОР)'!$AB$112</f>
        <v>Тариф 1 (Водоснабжение) - тариф на питьевую воду (Доп. признак не требуется)</v>
      </c>
      <c r="W171" s="41"/>
      <c r="X171" s="1094" t="s">
        <v>275</v>
      </c>
      <c r="Y171" s="57"/>
      <c r="Z171" s="1065"/>
      <c r="AA171" s="57"/>
      <c r="AB171" s="293" t="str" cm="1">
        <f t="array" ref="AB171">'Калькуляция (МЭОР)'!$AB$112</f>
        <v>Тариф 1 (Водоснабжение) - тариф на питьевую воду (Доп. признак не требуется)</v>
      </c>
      <c r="AC171" s="184"/>
      <c r="AD171" s="184"/>
      <c r="AE171" s="184"/>
      <c r="AF171" s="184"/>
      <c r="AG171" s="184"/>
      <c r="AH171" s="184"/>
      <c r="AI171" s="184"/>
      <c r="AJ171" s="184"/>
      <c r="AK171" s="184"/>
      <c r="AL171" s="184"/>
      <c r="AM171" s="184"/>
      <c r="AN171" s="184"/>
      <c r="AO171" s="184"/>
      <c r="AP171" s="184"/>
      <c r="AQ171" s="184"/>
      <c r="AR171" s="184"/>
      <c r="AS171" s="184"/>
      <c r="AT171" s="184"/>
      <c r="AU171" s="184"/>
      <c r="AV171" s="184"/>
      <c r="AW171" s="184"/>
      <c r="AX171" s="184"/>
      <c r="AY171" s="184"/>
      <c r="AZ171" s="184"/>
      <c r="BA171" s="184"/>
      <c r="BB171" s="184"/>
      <c r="BC171" s="184"/>
      <c r="BD171" s="184"/>
      <c r="BE171" s="184"/>
      <c r="BF171" s="184"/>
      <c r="BG171" s="184"/>
      <c r="BH171" s="184"/>
      <c r="BI171" s="184"/>
      <c r="BJ171" s="184"/>
      <c r="BK171" s="184"/>
      <c r="BL171" s="184"/>
      <c r="BM171" s="184"/>
      <c r="BN171" s="184"/>
      <c r="BO171" s="184"/>
      <c r="BP171" s="184"/>
      <c r="BQ171" s="57"/>
      <c r="BR171" s="57"/>
      <c r="BS171" s="665"/>
      <c r="BT171" s="665"/>
      <c r="BU171" s="665"/>
      <c r="BV171" s="459"/>
      <c r="BW171" s="459"/>
    </row>
    <row r="172" spans="1:75" s="949" customFormat="1" ht="107.25" customHeight="1">
      <c r="A172" s="94"/>
      <c r="B172" s="343"/>
      <c r="C172" s="585"/>
      <c r="D172" s="585"/>
      <c r="E172" s="586">
        <v>21</v>
      </c>
      <c r="F172" s="3" t="str" cm="1">
        <f t="array" aca="1" ref="F172" ca="1">OFFSET(E172,-1,1)</f>
        <v>1</v>
      </c>
      <c r="G172" s="585"/>
      <c r="H172" s="49"/>
      <c r="I172" s="49" t="s">
        <v>327</v>
      </c>
      <c r="J172" s="585"/>
      <c r="K172" s="289" t="s">
        <v>327</v>
      </c>
      <c r="L172" s="585"/>
      <c r="M172" s="585"/>
      <c r="N172" s="585"/>
      <c r="O172" s="585"/>
      <c r="P172" s="585"/>
      <c r="Q172" s="585"/>
      <c r="R172" s="585"/>
      <c r="S172" s="585"/>
      <c r="T172" s="365" t="b" cm="1">
        <f t="array" ref="T172">T171</f>
        <v>1</v>
      </c>
      <c r="U172" s="585"/>
      <c r="V172" s="585"/>
      <c r="W172" s="585"/>
      <c r="X172" s="1094"/>
      <c r="Y172" s="94"/>
      <c r="Z172" s="1065"/>
      <c r="AA172" s="94"/>
      <c r="AB172" s="166" t="s">
        <v>275</v>
      </c>
      <c r="AC172" s="144" t="s">
        <v>1931</v>
      </c>
      <c r="AD172" s="166" t="s">
        <v>804</v>
      </c>
      <c r="AE172" s="145">
        <f ca="1">SUM(AE174,AE191,AE197,AE217,AE218,AE219)</f>
        <v>11843.481339295999</v>
      </c>
      <c r="AF172" s="145">
        <f ca="1">SUM(AF174,AF191,AF197,AF217,AF218,AF219)</f>
        <v>0</v>
      </c>
      <c r="AG172" s="145">
        <f ca="1">SUM(AG174,AG191,AG197,AG217,AG218,AG219)</f>
        <v>0</v>
      </c>
      <c r="AH172" s="145">
        <f t="shared" ref="AH172:AH203" ca="1" si="47">AG172-AF172</f>
        <v>0</v>
      </c>
      <c r="AI172" s="145">
        <f ca="1">SUM(AI174,AI191,AI197,AI217,AI218,AI219)</f>
        <v>0</v>
      </c>
      <c r="AJ172" s="145">
        <f ca="1">SUM(AJ174,AJ191,AJ197,AJ217,AJ218,AJ219)</f>
        <v>0</v>
      </c>
      <c r="AK172" s="783">
        <f t="shared" ref="AK172:AS172" ca="1" si="48">AJ172*AK173</f>
        <v>0</v>
      </c>
      <c r="AL172" s="783">
        <f t="shared" ca="1" si="48"/>
        <v>0</v>
      </c>
      <c r="AM172" s="783">
        <f t="shared" ca="1" si="48"/>
        <v>0</v>
      </c>
      <c r="AN172" s="783">
        <f t="shared" ca="1" si="48"/>
        <v>0</v>
      </c>
      <c r="AO172" s="783">
        <f t="shared" ca="1" si="48"/>
        <v>0</v>
      </c>
      <c r="AP172" s="783">
        <f t="shared" ca="1" si="48"/>
        <v>0</v>
      </c>
      <c r="AQ172" s="783">
        <f t="shared" ca="1" si="48"/>
        <v>0</v>
      </c>
      <c r="AR172" s="783">
        <f t="shared" ca="1" si="48"/>
        <v>0</v>
      </c>
      <c r="AS172" s="783">
        <f t="shared" ca="1" si="48"/>
        <v>0</v>
      </c>
      <c r="AT172" s="145">
        <f ca="1">SUM(AT174,AT191,AT197,AT217,AT218,AT219)</f>
        <v>0</v>
      </c>
      <c r="AU172" s="783">
        <f t="shared" ref="AU172:BC172" ca="1" si="49">AT172*AU173</f>
        <v>0</v>
      </c>
      <c r="AV172" s="783">
        <f t="shared" ca="1" si="49"/>
        <v>0</v>
      </c>
      <c r="AW172" s="783">
        <f t="shared" ca="1" si="49"/>
        <v>0</v>
      </c>
      <c r="AX172" s="783">
        <f t="shared" ca="1" si="49"/>
        <v>0</v>
      </c>
      <c r="AY172" s="783">
        <f t="shared" ca="1" si="49"/>
        <v>0</v>
      </c>
      <c r="AZ172" s="783">
        <f t="shared" ca="1" si="49"/>
        <v>0</v>
      </c>
      <c r="BA172" s="783">
        <f t="shared" ca="1" si="49"/>
        <v>0</v>
      </c>
      <c r="BB172" s="783">
        <f t="shared" ca="1" si="49"/>
        <v>0</v>
      </c>
      <c r="BC172" s="783">
        <f t="shared" ca="1" si="49"/>
        <v>0</v>
      </c>
      <c r="BD172" s="145">
        <f t="shared" ref="BD172:BD203" ca="1" si="50">IF(AI172=0,0,(AT172-AI172)/AI172*100)</f>
        <v>0</v>
      </c>
      <c r="BE172" s="145">
        <f t="shared" ref="BE172:BM172" ca="1" si="51">IF(AT172=0,0,(AU172-AT172)/AT172*100)</f>
        <v>0</v>
      </c>
      <c r="BF172" s="145">
        <f t="shared" ca="1" si="51"/>
        <v>0</v>
      </c>
      <c r="BG172" s="145">
        <f t="shared" ca="1" si="51"/>
        <v>0</v>
      </c>
      <c r="BH172" s="145">
        <f t="shared" ca="1" si="51"/>
        <v>0</v>
      </c>
      <c r="BI172" s="145">
        <f t="shared" ca="1" si="51"/>
        <v>0</v>
      </c>
      <c r="BJ172" s="145">
        <f t="shared" ca="1" si="51"/>
        <v>0</v>
      </c>
      <c r="BK172" s="145">
        <f t="shared" ca="1" si="51"/>
        <v>0</v>
      </c>
      <c r="BL172" s="145">
        <f t="shared" ca="1" si="51"/>
        <v>0</v>
      </c>
      <c r="BM172" s="145">
        <f t="shared" ca="1" si="51"/>
        <v>0</v>
      </c>
      <c r="BN172" s="215"/>
      <c r="BO172" s="215" t="s">
        <v>2208</v>
      </c>
      <c r="BP172" s="215" t="s">
        <v>2209</v>
      </c>
      <c r="BQ172" s="93"/>
      <c r="BR172" s="94"/>
      <c r="BS172" s="709" t="s">
        <v>526</v>
      </c>
      <c r="BT172" s="709"/>
      <c r="BU172" s="709"/>
      <c r="BV172" s="520"/>
      <c r="BW172" s="520"/>
    </row>
    <row r="173" spans="1:75" ht="14.65" customHeight="1">
      <c r="C173" s="44"/>
      <c r="D173" s="44"/>
      <c r="E173" s="462">
        <v>15</v>
      </c>
      <c r="F173" s="3" t="str" cm="1">
        <f t="array" aca="1" ref="F173" ca="1">OFFSET(E173,-1,1)</f>
        <v>1</v>
      </c>
      <c r="G173" s="44"/>
      <c r="H173" s="587"/>
      <c r="I173" s="587" t="s">
        <v>461</v>
      </c>
      <c r="J173" s="44"/>
      <c r="K173" s="290" t="s">
        <v>461</v>
      </c>
      <c r="L173" s="44"/>
      <c r="M173" s="44"/>
      <c r="N173" s="44"/>
      <c r="O173" s="44"/>
      <c r="P173" s="44"/>
      <c r="Q173" s="44"/>
      <c r="R173" s="44"/>
      <c r="S173" s="44"/>
      <c r="T173" s="365" t="b" cm="1">
        <f t="array" ref="T173">T172</f>
        <v>1</v>
      </c>
      <c r="U173" s="44"/>
      <c r="V173" s="44"/>
      <c r="W173" s="44"/>
      <c r="X173" s="1094"/>
      <c r="Z173" s="1065"/>
      <c r="AB173" s="26" t="s">
        <v>897</v>
      </c>
      <c r="AC173" s="146" t="s">
        <v>1932</v>
      </c>
      <c r="AD173" s="26"/>
      <c r="AE173" s="455"/>
      <c r="AF173" s="455"/>
      <c r="AG173" s="455"/>
      <c r="AH173" s="568">
        <f t="shared" si="47"/>
        <v>0</v>
      </c>
      <c r="AI173" s="455">
        <v>1.0580000000000001</v>
      </c>
      <c r="AJ173" s="455"/>
      <c r="AK173" s="785">
        <f ca="1">SUMIFS(INDEX(Сценарии!$AE$25:$BF$109,,MATCH(AK$8,Сценарии!$AE$8:$BF$8,0)),Сценарии!$F$25:$F$109,$F173,Сценарии!$G$25:$G$109,"ИОР")</f>
        <v>1</v>
      </c>
      <c r="AL173" s="785">
        <f ca="1">SUMIFS(INDEX(Сценарии!$AE$25:$BF$109,,MATCH(AL$8,Сценарии!$AE$8:$BF$8,0)),Сценарии!$F$25:$F$109,$F173,Сценарии!$G$25:$G$109,"ИОР")</f>
        <v>1</v>
      </c>
      <c r="AM173" s="785">
        <f ca="1">SUMIFS(INDEX(Сценарии!$AE$25:$BF$109,,MATCH(AM$8,Сценарии!$AE$8:$BF$8,0)),Сценарии!$F$25:$F$109,$F173,Сценарии!$G$25:$G$109,"ИОР")</f>
        <v>1</v>
      </c>
      <c r="AN173" s="785">
        <f ca="1">SUMIFS(INDEX(Сценарии!$AE$25:$BF$109,,MATCH(AN$8,Сценарии!$AE$8:$BF$8,0)),Сценарии!$F$25:$F$109,$F173,Сценарии!$G$25:$G$109,"ИОР")</f>
        <v>1</v>
      </c>
      <c r="AO173" s="785">
        <f ca="1">SUMIFS(INDEX(Сценарии!$AE$25:$BF$109,,MATCH(AO$8,Сценарии!$AE$8:$BF$8,0)),Сценарии!$F$25:$F$109,$F173,Сценарии!$G$25:$G$109,"ИОР")</f>
        <v>1</v>
      </c>
      <c r="AP173" s="785">
        <f ca="1">SUMIFS(INDEX(Сценарии!$AE$25:$BF$109,,MATCH(AP$8,Сценарии!$AE$8:$BF$8,0)),Сценарии!$F$25:$F$109,$F173,Сценарии!$G$25:$G$109,"ИОР")</f>
        <v>1</v>
      </c>
      <c r="AQ173" s="785">
        <f ca="1">SUMIFS(INDEX(Сценарии!$AE$25:$BF$109,,MATCH(AQ$8,Сценарии!$AE$8:$BF$8,0)),Сценарии!$F$25:$F$109,$F173,Сценарии!$G$25:$G$109,"ИОР")</f>
        <v>1</v>
      </c>
      <c r="AR173" s="785">
        <f ca="1">SUMIFS(INDEX(Сценарии!$AE$25:$BF$109,,MATCH(AR$8,Сценарии!$AE$8:$BF$8,0)),Сценарии!$F$25:$F$109,$F173,Сценарии!$G$25:$G$109,"ИОР")</f>
        <v>1</v>
      </c>
      <c r="AS173" s="785">
        <f ca="1">SUMIFS(INDEX(Сценарии!$AE$25:$BF$109,,MATCH(AS$8,Сценарии!$AE$8:$BF$8,0)),Сценарии!$F$25:$F$109,$F173,Сценарии!$G$25:$G$109,"ИОР")</f>
        <v>1</v>
      </c>
      <c r="AT173" s="455"/>
      <c r="AU173" s="785">
        <f ca="1">SUMIFS(INDEX(Сценарии!$AE$25:$BF$109,,MATCH(AU$8,Сценарии!$AE$8:$BF$8,0)),Сценарии!$F$25:$F$109,$F173,Сценарии!$G$25:$G$109,"ИОР")</f>
        <v>1</v>
      </c>
      <c r="AV173" s="785">
        <f ca="1">SUMIFS(INDEX(Сценарии!$AE$25:$BF$109,,MATCH(AV$8,Сценарии!$AE$8:$BF$8,0)),Сценарии!$F$25:$F$109,$F173,Сценарии!$G$25:$G$109,"ИОР")</f>
        <v>1</v>
      </c>
      <c r="AW173" s="785">
        <f ca="1">SUMIFS(INDEX(Сценарии!$AE$25:$BF$109,,MATCH(AW$8,Сценарии!$AE$8:$BF$8,0)),Сценарии!$F$25:$F$109,$F173,Сценарии!$G$25:$G$109,"ИОР")</f>
        <v>1</v>
      </c>
      <c r="AX173" s="785">
        <f ca="1">SUMIFS(INDEX(Сценарии!$AE$25:$BF$109,,MATCH(AX$8,Сценарии!$AE$8:$BF$8,0)),Сценарии!$F$25:$F$109,$F173,Сценарии!$G$25:$G$109,"ИОР")</f>
        <v>1</v>
      </c>
      <c r="AY173" s="785">
        <f ca="1">SUMIFS(INDEX(Сценарии!$AE$25:$BF$109,,MATCH(AY$8,Сценарии!$AE$8:$BF$8,0)),Сценарии!$F$25:$F$109,$F173,Сценарии!$G$25:$G$109,"ИОР")</f>
        <v>1</v>
      </c>
      <c r="AZ173" s="785">
        <f ca="1">SUMIFS(INDEX(Сценарии!$AE$25:$BF$109,,MATCH(AZ$8,Сценарии!$AE$8:$BF$8,0)),Сценарии!$F$25:$F$109,$F173,Сценарии!$G$25:$G$109,"ИОР")</f>
        <v>1</v>
      </c>
      <c r="BA173" s="785">
        <f ca="1">SUMIFS(INDEX(Сценарии!$AE$25:$BF$109,,MATCH(BA$8,Сценарии!$AE$8:$BF$8,0)),Сценарии!$F$25:$F$109,$F173,Сценарии!$G$25:$G$109,"ИОР")</f>
        <v>1</v>
      </c>
      <c r="BB173" s="785">
        <f ca="1">SUMIFS(INDEX(Сценарии!$AE$25:$BF$109,,MATCH(BB$8,Сценарии!$AE$8:$BF$8,0)),Сценарии!$F$25:$F$109,$F173,Сценарии!$G$25:$G$109,"ИОР")</f>
        <v>1</v>
      </c>
      <c r="BC173" s="785">
        <f ca="1">SUMIFS(INDEX(Сценарии!$AE$25:$BF$109,,MATCH(BC$8,Сценарии!$AE$8:$BF$8,0)),Сценарии!$F$25:$F$109,$F173,Сценарии!$G$25:$G$109,"ИОР")</f>
        <v>1</v>
      </c>
      <c r="BD173" s="190">
        <f t="shared" si="50"/>
        <v>-100</v>
      </c>
      <c r="BE173" s="552"/>
      <c r="BF173" s="552"/>
      <c r="BG173" s="552"/>
      <c r="BH173" s="552"/>
      <c r="BI173" s="552"/>
      <c r="BJ173" s="552"/>
      <c r="BK173" s="552"/>
      <c r="BL173" s="552"/>
      <c r="BM173" s="552"/>
      <c r="BN173" s="215"/>
      <c r="BO173" s="215"/>
      <c r="BP173" s="215"/>
      <c r="BS173" s="705" t="s">
        <v>1933</v>
      </c>
    </row>
    <row r="174" spans="1:75" s="343" customFormat="1" ht="20.25" customHeight="1">
      <c r="A174" s="93"/>
      <c r="C174" s="588"/>
      <c r="D174" s="588"/>
      <c r="E174" s="589">
        <v>21</v>
      </c>
      <c r="F174" s="3" t="str" cm="1">
        <f t="array" aca="1" ref="F174" ca="1">OFFSET(E174,-1,1)</f>
        <v>1</v>
      </c>
      <c r="G174" s="588"/>
      <c r="H174" s="49"/>
      <c r="I174" s="49" t="s">
        <v>465</v>
      </c>
      <c r="J174" s="588"/>
      <c r="K174" s="289" t="s">
        <v>465</v>
      </c>
      <c r="L174" s="588" t="s">
        <v>327</v>
      </c>
      <c r="M174" s="588"/>
      <c r="N174" s="588"/>
      <c r="O174" s="588"/>
      <c r="P174" s="588"/>
      <c r="Q174" s="588"/>
      <c r="R174" s="588"/>
      <c r="S174" s="588"/>
      <c r="T174" s="365" t="b" cm="1">
        <f t="array" ref="T174">T173</f>
        <v>1</v>
      </c>
      <c r="U174" s="588"/>
      <c r="V174" s="588"/>
      <c r="W174" s="588"/>
      <c r="X174" s="1094"/>
      <c r="Y174" s="93"/>
      <c r="Z174" s="1065"/>
      <c r="AA174" s="93"/>
      <c r="AB174" s="166" t="s">
        <v>900</v>
      </c>
      <c r="AC174" s="276" t="s">
        <v>1721</v>
      </c>
      <c r="AD174" s="166" t="s">
        <v>804</v>
      </c>
      <c r="AE174" s="145">
        <f ca="1">SUM(AE175,AE178,AE179,AE182,AE183)</f>
        <v>10097.325952735999</v>
      </c>
      <c r="AF174" s="145">
        <f ca="1">SUM(AF175,AF178,AF179,AF182,AF183)</f>
        <v>0</v>
      </c>
      <c r="AG174" s="145">
        <f ca="1">SUM(AG175,AG178,AG179,AG182,AG183)</f>
        <v>0</v>
      </c>
      <c r="AH174" s="145">
        <f t="shared" ca="1" si="47"/>
        <v>0</v>
      </c>
      <c r="AI174" s="145">
        <f ca="1">SUM(AI175,AI178,AI179,AI182,AI183)</f>
        <v>0</v>
      </c>
      <c r="AJ174" s="145">
        <f ca="1">SUM(AJ175,AJ178,AJ179,AJ182,AJ183)</f>
        <v>0</v>
      </c>
      <c r="AK174" s="148"/>
      <c r="AL174" s="148"/>
      <c r="AM174" s="148"/>
      <c r="AN174" s="148"/>
      <c r="AO174" s="148"/>
      <c r="AP174" s="148"/>
      <c r="AQ174" s="148"/>
      <c r="AR174" s="148"/>
      <c r="AS174" s="148"/>
      <c r="AT174" s="145">
        <f ca="1">SUM(AT175,AT178,AT179,AT182,AT183)</f>
        <v>0</v>
      </c>
      <c r="AU174" s="148"/>
      <c r="AV174" s="148"/>
      <c r="AW174" s="148"/>
      <c r="AX174" s="148"/>
      <c r="AY174" s="148"/>
      <c r="AZ174" s="148"/>
      <c r="BA174" s="148"/>
      <c r="BB174" s="148"/>
      <c r="BC174" s="148"/>
      <c r="BD174" s="145">
        <f t="shared" ca="1" si="50"/>
        <v>0</v>
      </c>
      <c r="BE174" s="148"/>
      <c r="BF174" s="148"/>
      <c r="BG174" s="148"/>
      <c r="BH174" s="148"/>
      <c r="BI174" s="148"/>
      <c r="BJ174" s="148"/>
      <c r="BK174" s="148"/>
      <c r="BL174" s="148"/>
      <c r="BM174" s="148"/>
      <c r="BN174" s="566"/>
      <c r="BO174" s="566"/>
      <c r="BP174" s="566"/>
      <c r="BQ174" s="93"/>
      <c r="BR174" s="93"/>
      <c r="BS174" s="703" t="s">
        <v>516</v>
      </c>
      <c r="BT174" s="710"/>
      <c r="BU174" s="710"/>
      <c r="BV174" s="521"/>
      <c r="BW174" s="521"/>
    </row>
    <row r="175" spans="1:75" ht="14.25" customHeight="1">
      <c r="C175" s="44"/>
      <c r="D175" s="44"/>
      <c r="E175" s="462">
        <v>15</v>
      </c>
      <c r="F175" s="3" t="str" cm="1">
        <f t="array" aca="1" ref="F175" ca="1">OFFSET(E175,-1,1)</f>
        <v>1</v>
      </c>
      <c r="G175" s="44"/>
      <c r="H175" s="587"/>
      <c r="I175" s="587" t="s">
        <v>1336</v>
      </c>
      <c r="J175" s="44"/>
      <c r="K175" s="290" t="s">
        <v>1336</v>
      </c>
      <c r="L175" s="44" t="s">
        <v>461</v>
      </c>
      <c r="M175" s="44"/>
      <c r="N175" s="44"/>
      <c r="O175" s="44"/>
      <c r="P175" s="44"/>
      <c r="Q175" s="44"/>
      <c r="R175" s="44"/>
      <c r="S175" s="44"/>
      <c r="T175" s="365" t="b" cm="1">
        <f t="array" ref="T175">T174</f>
        <v>1</v>
      </c>
      <c r="U175" s="44"/>
      <c r="V175" s="44"/>
      <c r="W175" s="44"/>
      <c r="X175" s="1094"/>
      <c r="Z175" s="1065"/>
      <c r="AB175" s="26" t="s">
        <v>1337</v>
      </c>
      <c r="AC175" s="153" t="s">
        <v>1934</v>
      </c>
      <c r="AD175" s="28" t="s">
        <v>804</v>
      </c>
      <c r="AE175" s="190">
        <f ca="1">SUM(AE176,AE177)</f>
        <v>0</v>
      </c>
      <c r="AF175" s="190">
        <f ca="1">SUM(AF176,AF177)</f>
        <v>0</v>
      </c>
      <c r="AG175" s="190">
        <f ca="1">SUM(AG176,AG177)</f>
        <v>0</v>
      </c>
      <c r="AH175" s="190">
        <f t="shared" ca="1" si="47"/>
        <v>0</v>
      </c>
      <c r="AI175" s="190">
        <f ca="1">SUM(AI176,AI177)</f>
        <v>0</v>
      </c>
      <c r="AJ175" s="190">
        <f ca="1">SUM(AJ176,AJ177)</f>
        <v>0</v>
      </c>
      <c r="AK175" s="552"/>
      <c r="AL175" s="552"/>
      <c r="AM175" s="552"/>
      <c r="AN175" s="552"/>
      <c r="AO175" s="552"/>
      <c r="AP175" s="552"/>
      <c r="AQ175" s="552"/>
      <c r="AR175" s="552"/>
      <c r="AS175" s="552"/>
      <c r="AT175" s="190">
        <f ca="1">SUM(AT176,AT177)</f>
        <v>0</v>
      </c>
      <c r="AU175" s="552"/>
      <c r="AV175" s="552"/>
      <c r="AW175" s="552"/>
      <c r="AX175" s="552"/>
      <c r="AY175" s="552"/>
      <c r="AZ175" s="552"/>
      <c r="BA175" s="552"/>
      <c r="BB175" s="552"/>
      <c r="BC175" s="552"/>
      <c r="BD175" s="190">
        <f t="shared" ca="1" si="50"/>
        <v>0</v>
      </c>
      <c r="BE175" s="552"/>
      <c r="BF175" s="552"/>
      <c r="BG175" s="552"/>
      <c r="BH175" s="552"/>
      <c r="BI175" s="552"/>
      <c r="BJ175" s="552"/>
      <c r="BK175" s="552"/>
      <c r="BL175" s="552"/>
      <c r="BM175" s="552"/>
      <c r="BN175" s="215"/>
      <c r="BO175" s="215"/>
      <c r="BP175" s="215"/>
      <c r="BQ175" s="47"/>
      <c r="BS175" s="704" t="s">
        <v>1723</v>
      </c>
    </row>
    <row r="176" spans="1:75" ht="14.25" customHeight="1">
      <c r="C176" s="44"/>
      <c r="D176" s="44"/>
      <c r="E176" s="462">
        <v>15</v>
      </c>
      <c r="F176" s="3" t="str" cm="1">
        <f t="array" aca="1" ref="F176" ca="1">OFFSET(E176,-1,1)</f>
        <v>1</v>
      </c>
      <c r="G176" s="44"/>
      <c r="H176" s="587"/>
      <c r="I176" s="587" t="s">
        <v>1935</v>
      </c>
      <c r="J176" s="44"/>
      <c r="K176" s="290" t="s">
        <v>1935</v>
      </c>
      <c r="L176" s="44" t="s">
        <v>1008</v>
      </c>
      <c r="M176" s="44"/>
      <c r="N176" s="44"/>
      <c r="O176" s="44"/>
      <c r="P176" s="44"/>
      <c r="Q176" s="44"/>
      <c r="R176" s="44"/>
      <c r="S176" s="44"/>
      <c r="T176" s="365" t="b" cm="1">
        <f t="array" ref="T176">T175</f>
        <v>1</v>
      </c>
      <c r="U176" s="44"/>
      <c r="V176" s="44"/>
      <c r="W176" s="44"/>
      <c r="X176" s="1094"/>
      <c r="Z176" s="1065"/>
      <c r="AB176" s="26" t="s">
        <v>1936</v>
      </c>
      <c r="AC176" s="553" t="s">
        <v>1726</v>
      </c>
      <c r="AD176" s="28" t="s">
        <v>804</v>
      </c>
      <c r="AE176" s="190">
        <f ca="1">SUMIFS('Сырье и материалы'!AE$25:AE$96,'Сырье и материалы'!$F$25:$F$96,$F176,'Сырье и материалы'!$I$25:$I$96,"Горюче-смазочные материалы")</f>
        <v>0</v>
      </c>
      <c r="AF176" s="190">
        <f ca="1">SUMIFS('Сырье и материалы'!AF$25:AF$96,'Сырье и материалы'!$F$25:$F$96,$F176,'Сырье и материалы'!$I$25:$I$96,"Горюче-смазочные материалы")</f>
        <v>0</v>
      </c>
      <c r="AG176" s="190">
        <f ca="1">SUMIFS('Сырье и материалы'!AG$25:AG$96,'Сырье и материалы'!$F$25:$F$96,$F176,'Сырье и материалы'!$I$25:$I$96,"Горюче-смазочные материалы")</f>
        <v>0</v>
      </c>
      <c r="AH176" s="190">
        <f t="shared" ca="1" si="47"/>
        <v>0</v>
      </c>
      <c r="AI176" s="190">
        <f ca="1">SUMIFS('Сырье и материалы'!AH$25:AH$96,'Сырье и материалы'!$F$25:$F$96,$F176,'Сырье и материалы'!$I$25:$I$96,"Горюче-смазочные материалы")</f>
        <v>0</v>
      </c>
      <c r="AJ176" s="190">
        <f ca="1">SUMIFS('Сырье и материалы'!AI$25:AI$96,'Сырье и материалы'!$F$25:$F$96,$F176,'Сырье и материалы'!$I$25:$I$96,"Горюче-смазочные материалы")</f>
        <v>0</v>
      </c>
      <c r="AK176" s="552"/>
      <c r="AL176" s="552"/>
      <c r="AM176" s="552"/>
      <c r="AN176" s="552"/>
      <c r="AO176" s="552"/>
      <c r="AP176" s="552"/>
      <c r="AQ176" s="552"/>
      <c r="AR176" s="552"/>
      <c r="AS176" s="552"/>
      <c r="AT176" s="190">
        <f ca="1">SUMIFS('Сырье и материалы'!AS$25:AS$96,'Сырье и материалы'!$F$25:$F$96,$F176,'Сырье и материалы'!$I$25:$I$96,"Горюче-смазочные материалы")</f>
        <v>0</v>
      </c>
      <c r="AU176" s="552"/>
      <c r="AV176" s="552"/>
      <c r="AW176" s="552"/>
      <c r="AX176" s="552"/>
      <c r="AY176" s="552"/>
      <c r="AZ176" s="552"/>
      <c r="BA176" s="552"/>
      <c r="BB176" s="552"/>
      <c r="BC176" s="552"/>
      <c r="BD176" s="190">
        <f t="shared" ca="1" si="50"/>
        <v>0</v>
      </c>
      <c r="BE176" s="552"/>
      <c r="BF176" s="552"/>
      <c r="BG176" s="552"/>
      <c r="BH176" s="552"/>
      <c r="BI176" s="552"/>
      <c r="BJ176" s="552"/>
      <c r="BK176" s="552"/>
      <c r="BL176" s="552"/>
      <c r="BM176" s="552"/>
      <c r="BN176" s="215"/>
      <c r="BO176" s="215"/>
      <c r="BP176" s="215"/>
      <c r="BS176" s="703" t="s">
        <v>1727</v>
      </c>
    </row>
    <row r="177" spans="1:75" ht="14.25" customHeight="1">
      <c r="C177" s="44"/>
      <c r="D177" s="44"/>
      <c r="E177" s="462">
        <v>15</v>
      </c>
      <c r="F177" s="3" t="str" cm="1">
        <f t="array" aca="1" ref="F177" ca="1">OFFSET(E177,-1,1)</f>
        <v>1</v>
      </c>
      <c r="G177" s="44"/>
      <c r="H177" s="587"/>
      <c r="I177" s="587" t="s">
        <v>1937</v>
      </c>
      <c r="J177" s="44"/>
      <c r="K177" s="290" t="s">
        <v>1937</v>
      </c>
      <c r="L177" s="44" t="s">
        <v>1311</v>
      </c>
      <c r="M177" s="44"/>
      <c r="N177" s="44"/>
      <c r="O177" s="44"/>
      <c r="P177" s="44"/>
      <c r="Q177" s="44"/>
      <c r="R177" s="44"/>
      <c r="S177" s="44"/>
      <c r="T177" s="365" t="b" cm="1">
        <f t="array" ref="T177">T176</f>
        <v>1</v>
      </c>
      <c r="U177" s="44"/>
      <c r="V177" s="44"/>
      <c r="W177" s="44"/>
      <c r="X177" s="1094"/>
      <c r="Z177" s="1065"/>
      <c r="AB177" s="26" t="s">
        <v>1938</v>
      </c>
      <c r="AC177" s="553" t="s">
        <v>1728</v>
      </c>
      <c r="AD177" s="28" t="s">
        <v>804</v>
      </c>
      <c r="AE177" s="190">
        <f ca="1">SUMIFS('Сырье и материалы'!AE$25:AE$96,'Сырье и материалы'!$F$25:$F$96,$F177,'Сырье и материалы'!$I$25:$I$96,"Материалы")</f>
        <v>0</v>
      </c>
      <c r="AF177" s="190">
        <f ca="1">SUMIFS('Сырье и материалы'!AF$25:AF$96,'Сырье и материалы'!$F$25:$F$96,$F177,'Сырье и материалы'!$I$25:$I$96,"Материалы")</f>
        <v>0</v>
      </c>
      <c r="AG177" s="190">
        <f ca="1">SUMIFS('Сырье и материалы'!AG$25:AG$96,'Сырье и материалы'!$F$25:$F$96,$F177,'Сырье и материалы'!$I$25:$I$96,"Материалы")</f>
        <v>0</v>
      </c>
      <c r="AH177" s="190">
        <f t="shared" ca="1" si="47"/>
        <v>0</v>
      </c>
      <c r="AI177" s="190">
        <f ca="1">SUMIFS('Сырье и материалы'!AH$25:AH$96,'Сырье и материалы'!$F$25:$F$96,$F177,'Сырье и материалы'!$I$25:$I$96,"Материалы")</f>
        <v>0</v>
      </c>
      <c r="AJ177" s="190">
        <f ca="1">SUMIFS('Сырье и материалы'!AI$25:AI$96,'Сырье и материалы'!$F$25:$F$96,$F177,'Сырье и материалы'!$I$25:$I$96,"Материалы")</f>
        <v>0</v>
      </c>
      <c r="AK177" s="552"/>
      <c r="AL177" s="552"/>
      <c r="AM177" s="552"/>
      <c r="AN177" s="552"/>
      <c r="AO177" s="552"/>
      <c r="AP177" s="552"/>
      <c r="AQ177" s="552"/>
      <c r="AR177" s="552"/>
      <c r="AS177" s="552"/>
      <c r="AT177" s="190">
        <f ca="1">SUMIFS('Сырье и материалы'!AS$25:AS$96,'Сырье и материалы'!$F$25:$F$96,$F177,'Сырье и материалы'!$I$25:$I$96,"Материалы")</f>
        <v>0</v>
      </c>
      <c r="AU177" s="552"/>
      <c r="AV177" s="552"/>
      <c r="AW177" s="552"/>
      <c r="AX177" s="552"/>
      <c r="AY177" s="552"/>
      <c r="AZ177" s="552"/>
      <c r="BA177" s="552"/>
      <c r="BB177" s="552"/>
      <c r="BC177" s="552"/>
      <c r="BD177" s="190">
        <f t="shared" ca="1" si="50"/>
        <v>0</v>
      </c>
      <c r="BE177" s="552"/>
      <c r="BF177" s="552"/>
      <c r="BG177" s="552"/>
      <c r="BH177" s="552"/>
      <c r="BI177" s="552"/>
      <c r="BJ177" s="552"/>
      <c r="BK177" s="552"/>
      <c r="BL177" s="552"/>
      <c r="BM177" s="552"/>
      <c r="BN177" s="215"/>
      <c r="BO177" s="215"/>
      <c r="BP177" s="215"/>
      <c r="BS177" s="703" t="s">
        <v>1729</v>
      </c>
    </row>
    <row r="178" spans="1:75" ht="21.75" customHeight="1">
      <c r="C178" s="44"/>
      <c r="D178" s="44"/>
      <c r="E178" s="462">
        <v>22.5</v>
      </c>
      <c r="F178" s="3" t="str" cm="1">
        <f t="array" aca="1" ref="F178" ca="1">OFFSET(E178,-1,1)</f>
        <v>1</v>
      </c>
      <c r="G178" s="44"/>
      <c r="H178" s="587"/>
      <c r="I178" s="587" t="s">
        <v>1339</v>
      </c>
      <c r="J178" s="44"/>
      <c r="K178" s="290" t="s">
        <v>1339</v>
      </c>
      <c r="L178" s="44" t="s">
        <v>468</v>
      </c>
      <c r="M178" s="44"/>
      <c r="N178" s="44"/>
      <c r="O178" s="44"/>
      <c r="P178" s="44"/>
      <c r="Q178" s="44"/>
      <c r="R178" s="44"/>
      <c r="S178" s="44"/>
      <c r="T178" s="365" t="b" cm="1">
        <f t="array" ref="T178">T177</f>
        <v>1</v>
      </c>
      <c r="U178" s="44"/>
      <c r="V178" s="44"/>
      <c r="W178" s="44"/>
      <c r="X178" s="1094"/>
      <c r="Z178" s="1065"/>
      <c r="AB178" s="26" t="s">
        <v>1340</v>
      </c>
      <c r="AC178" s="153" t="s">
        <v>1939</v>
      </c>
      <c r="AD178" s="28" t="s">
        <v>804</v>
      </c>
      <c r="AE178" s="147"/>
      <c r="AF178" s="147"/>
      <c r="AG178" s="147"/>
      <c r="AH178" s="190">
        <f t="shared" si="47"/>
        <v>0</v>
      </c>
      <c r="AI178" s="147"/>
      <c r="AJ178" s="147"/>
      <c r="AK178" s="552"/>
      <c r="AL178" s="552"/>
      <c r="AM178" s="552"/>
      <c r="AN178" s="552"/>
      <c r="AO178" s="552"/>
      <c r="AP178" s="552"/>
      <c r="AQ178" s="552"/>
      <c r="AR178" s="552"/>
      <c r="AS178" s="552"/>
      <c r="AT178" s="147"/>
      <c r="AU178" s="552"/>
      <c r="AV178" s="552"/>
      <c r="AW178" s="552"/>
      <c r="AX178" s="552"/>
      <c r="AY178" s="552"/>
      <c r="AZ178" s="552"/>
      <c r="BA178" s="552"/>
      <c r="BB178" s="552"/>
      <c r="BC178" s="552"/>
      <c r="BD178" s="190">
        <f t="shared" si="50"/>
        <v>0</v>
      </c>
      <c r="BE178" s="552"/>
      <c r="BF178" s="552"/>
      <c r="BG178" s="552"/>
      <c r="BH178" s="552"/>
      <c r="BI178" s="552"/>
      <c r="BJ178" s="552"/>
      <c r="BK178" s="552"/>
      <c r="BL178" s="552"/>
      <c r="BM178" s="552"/>
      <c r="BN178" s="215"/>
      <c r="BO178" s="215"/>
      <c r="BP178" s="215"/>
      <c r="BS178" s="704" t="s">
        <v>1754</v>
      </c>
    </row>
    <row r="179" spans="1:75" ht="21.75" customHeight="1">
      <c r="C179" s="44"/>
      <c r="D179" s="44"/>
      <c r="E179" s="462">
        <v>22.5</v>
      </c>
      <c r="F179" s="3" t="str" cm="1">
        <f t="array" aca="1" ref="F179" ca="1">OFFSET(E179,-1,1)</f>
        <v>1</v>
      </c>
      <c r="G179" s="44"/>
      <c r="H179" s="587"/>
      <c r="I179" s="587" t="s">
        <v>1343</v>
      </c>
      <c r="J179" s="44"/>
      <c r="K179" s="290" t="s">
        <v>1343</v>
      </c>
      <c r="L179" s="44" t="s">
        <v>472</v>
      </c>
      <c r="M179" s="44"/>
      <c r="N179" s="44"/>
      <c r="O179" s="44"/>
      <c r="P179" s="44"/>
      <c r="Q179" s="44"/>
      <c r="R179" s="44"/>
      <c r="S179" s="44"/>
      <c r="T179" s="365" t="b" cm="1">
        <f t="array" ref="T179">T178</f>
        <v>1</v>
      </c>
      <c r="U179" s="44"/>
      <c r="V179" s="44"/>
      <c r="W179" s="44"/>
      <c r="X179" s="1094"/>
      <c r="Z179" s="1065"/>
      <c r="AB179" s="26" t="s">
        <v>1344</v>
      </c>
      <c r="AC179" s="153" t="s">
        <v>1940</v>
      </c>
      <c r="AD179" s="28" t="s">
        <v>804</v>
      </c>
      <c r="AE179" s="190">
        <f ca="1">AE180+AE181</f>
        <v>0</v>
      </c>
      <c r="AF179" s="190">
        <f ca="1">AF180+AF181</f>
        <v>0</v>
      </c>
      <c r="AG179" s="190">
        <f ca="1">AG180+AG181</f>
        <v>0</v>
      </c>
      <c r="AH179" s="190">
        <f t="shared" ca="1" si="47"/>
        <v>0</v>
      </c>
      <c r="AI179" s="190">
        <f ca="1">AI180+AI181</f>
        <v>0</v>
      </c>
      <c r="AJ179" s="190">
        <f ca="1">AJ180+AJ181</f>
        <v>0</v>
      </c>
      <c r="AK179" s="552"/>
      <c r="AL179" s="552"/>
      <c r="AM179" s="552"/>
      <c r="AN179" s="552"/>
      <c r="AO179" s="552"/>
      <c r="AP179" s="552"/>
      <c r="AQ179" s="552"/>
      <c r="AR179" s="552"/>
      <c r="AS179" s="552"/>
      <c r="AT179" s="190">
        <f ca="1">AT180+AT181</f>
        <v>0</v>
      </c>
      <c r="AU179" s="552"/>
      <c r="AV179" s="552"/>
      <c r="AW179" s="552"/>
      <c r="AX179" s="552"/>
      <c r="AY179" s="552"/>
      <c r="AZ179" s="552"/>
      <c r="BA179" s="552"/>
      <c r="BB179" s="552"/>
      <c r="BC179" s="552"/>
      <c r="BD179" s="190">
        <f t="shared" ca="1" si="50"/>
        <v>0</v>
      </c>
      <c r="BE179" s="552"/>
      <c r="BF179" s="552"/>
      <c r="BG179" s="552"/>
      <c r="BH179" s="552"/>
      <c r="BI179" s="552"/>
      <c r="BJ179" s="552"/>
      <c r="BK179" s="552"/>
      <c r="BL179" s="552"/>
      <c r="BM179" s="552"/>
      <c r="BN179" s="215"/>
      <c r="BO179" s="215"/>
      <c r="BP179" s="215"/>
      <c r="BS179" s="704" t="s">
        <v>1941</v>
      </c>
    </row>
    <row r="180" spans="1:75" ht="14.25" customHeight="1">
      <c r="C180" s="44"/>
      <c r="D180" s="44"/>
      <c r="E180" s="462">
        <v>15</v>
      </c>
      <c r="F180" s="3" t="str" cm="1">
        <f t="array" aca="1" ref="F180" ca="1">OFFSET(E180,-1,1)</f>
        <v>1</v>
      </c>
      <c r="G180" s="280" t="s">
        <v>1156</v>
      </c>
      <c r="H180" s="587"/>
      <c r="I180" s="587" t="s">
        <v>1487</v>
      </c>
      <c r="J180" s="44"/>
      <c r="K180" s="290" t="s">
        <v>1487</v>
      </c>
      <c r="L180" s="44" t="s">
        <v>1363</v>
      </c>
      <c r="M180" s="44"/>
      <c r="N180" s="44"/>
      <c r="O180" s="44"/>
      <c r="P180" s="44"/>
      <c r="Q180" s="44"/>
      <c r="R180" s="44"/>
      <c r="S180" s="44"/>
      <c r="T180" s="365" t="b" cm="1">
        <f t="array" ref="T180">T179</f>
        <v>1</v>
      </c>
      <c r="U180" s="44"/>
      <c r="V180" s="44"/>
      <c r="W180" s="44"/>
      <c r="X180" s="1094"/>
      <c r="Z180" s="1065"/>
      <c r="AB180" s="26" t="s">
        <v>1942</v>
      </c>
      <c r="AC180" s="553" t="s">
        <v>1757</v>
      </c>
      <c r="AD180" s="28" t="s">
        <v>804</v>
      </c>
      <c r="AE180" s="190">
        <f ca="1">SUMIFS(ФОТ!AE$25:AE$102,ФОТ!$F$25:$F$102,$F180,ФОТ!$G$25:$G$102,$G180)</f>
        <v>0</v>
      </c>
      <c r="AF180" s="190">
        <f ca="1">SUMIFS(ФОТ!AF$25:AF$102,ФОТ!$F$25:$F$102,$F180,ФОТ!$G$25:$G$102,$G180)</f>
        <v>0</v>
      </c>
      <c r="AG180" s="190">
        <f ca="1">SUMIFS(ФОТ!AG$25:AG$102,ФОТ!$F$25:$F$102,$F180,ФОТ!$G$25:$G$102,$G180)</f>
        <v>0</v>
      </c>
      <c r="AH180" s="190">
        <f t="shared" ca="1" si="47"/>
        <v>0</v>
      </c>
      <c r="AI180" s="190">
        <f ca="1">SUMIFS(ФОТ!AH$25:AH$102,ФОТ!$F$25:$F$102,$F180,ФОТ!$G$25:$G$102,$G180)</f>
        <v>0</v>
      </c>
      <c r="AJ180" s="190">
        <f ca="1">SUMIFS(ФОТ!AI$25:AI$102,ФОТ!$F$25:$F$102,$F180,ФОТ!$G$25:$G$102,$G180)</f>
        <v>0</v>
      </c>
      <c r="AK180" s="552"/>
      <c r="AL180" s="552"/>
      <c r="AM180" s="552"/>
      <c r="AN180" s="552"/>
      <c r="AO180" s="552"/>
      <c r="AP180" s="552"/>
      <c r="AQ180" s="552"/>
      <c r="AR180" s="552"/>
      <c r="AS180" s="552"/>
      <c r="AT180" s="190">
        <f ca="1">SUMIFS(ФОТ!AJ$25:AJ$102,ФОТ!$F$25:$F$102,$F180,ФОТ!$G$25:$G$102,$G180)</f>
        <v>0</v>
      </c>
      <c r="AU180" s="552"/>
      <c r="AV180" s="552"/>
      <c r="AW180" s="552"/>
      <c r="AX180" s="552"/>
      <c r="AY180" s="552"/>
      <c r="AZ180" s="552"/>
      <c r="BA180" s="552"/>
      <c r="BB180" s="552"/>
      <c r="BC180" s="552"/>
      <c r="BD180" s="190">
        <f t="shared" ca="1" si="50"/>
        <v>0</v>
      </c>
      <c r="BE180" s="552"/>
      <c r="BF180" s="552"/>
      <c r="BG180" s="552"/>
      <c r="BH180" s="552"/>
      <c r="BI180" s="552"/>
      <c r="BJ180" s="552"/>
      <c r="BK180" s="552"/>
      <c r="BL180" s="552"/>
      <c r="BM180" s="552"/>
      <c r="BN180" s="215"/>
      <c r="BO180" s="610" t="str">
        <f ca="1">IF(IFERROR(INDEX(ФОТ!$K$26:$L$102,MATCH($F180&amp;"1komm",ФОТ!$K$26:$K$102,0),2),"")=0,"",IFERROR(INDEX(ФОТ!$K$26:$L$102,MATCH($F180&amp;"1komm",ФОТ!$K$26:$K$102,0),2),""))</f>
        <v/>
      </c>
      <c r="BP180" s="215"/>
      <c r="BS180" s="703" t="s">
        <v>1758</v>
      </c>
    </row>
    <row r="181" spans="1:75" ht="21.75" customHeight="1">
      <c r="C181" s="44"/>
      <c r="D181" s="44"/>
      <c r="E181" s="462">
        <v>22.5</v>
      </c>
      <c r="F181" s="3" t="str" cm="1">
        <f t="array" aca="1" ref="F181" ca="1">OFFSET(E181,-1,1)</f>
        <v>1</v>
      </c>
      <c r="G181" s="280" t="s">
        <v>1168</v>
      </c>
      <c r="H181" s="587"/>
      <c r="I181" s="587" t="s">
        <v>1491</v>
      </c>
      <c r="J181" s="44"/>
      <c r="K181" s="290" t="s">
        <v>1491</v>
      </c>
      <c r="L181" s="44" t="s">
        <v>1364</v>
      </c>
      <c r="M181" s="44"/>
      <c r="N181" s="44"/>
      <c r="O181" s="44"/>
      <c r="P181" s="44"/>
      <c r="Q181" s="44"/>
      <c r="R181" s="44"/>
      <c r="S181" s="44"/>
      <c r="T181" s="365" t="b" cm="1">
        <f t="array" ref="T181">T180</f>
        <v>1</v>
      </c>
      <c r="U181" s="44"/>
      <c r="V181" s="44"/>
      <c r="W181" s="44"/>
      <c r="X181" s="1094"/>
      <c r="Z181" s="1065"/>
      <c r="AB181" s="26" t="s">
        <v>1943</v>
      </c>
      <c r="AC181" s="553" t="s">
        <v>1944</v>
      </c>
      <c r="AD181" s="28" t="s">
        <v>804</v>
      </c>
      <c r="AE181" s="190">
        <f ca="1">SUMIFS(ФОТ!AE$25:AE$102,ФОТ!$F$25:$F$102,$F181,ФОТ!$G$25:$G$102,$G181)</f>
        <v>0</v>
      </c>
      <c r="AF181" s="190">
        <f ca="1">SUMIFS(ФОТ!AF$25:AF$102,ФОТ!$F$25:$F$102,$F181,ФОТ!$G$25:$G$102,$G181)</f>
        <v>0</v>
      </c>
      <c r="AG181" s="190">
        <f ca="1">SUMIFS(ФОТ!AG$25:AG$102,ФОТ!$F$25:$F$102,$F181,ФОТ!$G$25:$G$102,$G181)</f>
        <v>0</v>
      </c>
      <c r="AH181" s="190">
        <f t="shared" ca="1" si="47"/>
        <v>0</v>
      </c>
      <c r="AI181" s="190">
        <f ca="1">SUMIFS(ФОТ!AH$25:AH$102,ФОТ!$F$25:$F$102,$F181,ФОТ!$G$25:$G$102,$G181)</f>
        <v>0</v>
      </c>
      <c r="AJ181" s="190">
        <f ca="1">SUMIFS(ФОТ!AI$25:AI$102,ФОТ!$F$25:$F$102,$F181,ФОТ!$G$25:$G$102,$G181)</f>
        <v>0</v>
      </c>
      <c r="AK181" s="552"/>
      <c r="AL181" s="552"/>
      <c r="AM181" s="552"/>
      <c r="AN181" s="552"/>
      <c r="AO181" s="552"/>
      <c r="AP181" s="552"/>
      <c r="AQ181" s="552"/>
      <c r="AR181" s="552"/>
      <c r="AS181" s="552"/>
      <c r="AT181" s="190">
        <f ca="1">SUMIFS(ФОТ!AJ$25:AJ$102,ФОТ!$F$25:$F$102,$F181,ФОТ!$G$25:$G$102,$G181)</f>
        <v>0</v>
      </c>
      <c r="AU181" s="552"/>
      <c r="AV181" s="552"/>
      <c r="AW181" s="552"/>
      <c r="AX181" s="552"/>
      <c r="AY181" s="552"/>
      <c r="AZ181" s="552"/>
      <c r="BA181" s="552"/>
      <c r="BB181" s="552"/>
      <c r="BC181" s="552"/>
      <c r="BD181" s="190">
        <f t="shared" ca="1" si="50"/>
        <v>0</v>
      </c>
      <c r="BE181" s="552"/>
      <c r="BF181" s="552"/>
      <c r="BG181" s="552"/>
      <c r="BH181" s="552"/>
      <c r="BI181" s="552"/>
      <c r="BJ181" s="552"/>
      <c r="BK181" s="552"/>
      <c r="BL181" s="552"/>
      <c r="BM181" s="552"/>
      <c r="BN181" s="215"/>
      <c r="BO181" s="610" t="str">
        <f ca="1">IF(IFERROR(INDEX(ФОТ!$K$26:$L$102,MATCH($F181&amp;"2komm",ФОТ!$K$26:$K$102,0),2),"")=0,"",IFERROR(INDEX(ФОТ!$K$26:$L$102,MATCH($F181&amp;"2komm",ФОТ!$K$26:$K$102,0),2),""))</f>
        <v/>
      </c>
      <c r="BP181" s="215"/>
      <c r="BS181" s="703" t="s">
        <v>1760</v>
      </c>
    </row>
    <row r="182" spans="1:75" ht="14.25" customHeight="1">
      <c r="C182" s="44"/>
      <c r="D182" s="44"/>
      <c r="E182" s="462">
        <v>15</v>
      </c>
      <c r="F182" s="3" t="str" cm="1">
        <f t="array" aca="1" ref="F182" ca="1">OFFSET(E182,-1,1)</f>
        <v>1</v>
      </c>
      <c r="G182" s="44"/>
      <c r="H182" s="587"/>
      <c r="I182" s="587" t="s">
        <v>1502</v>
      </c>
      <c r="J182" s="44"/>
      <c r="K182" s="290" t="s">
        <v>1502</v>
      </c>
      <c r="L182" s="44" t="s">
        <v>1762</v>
      </c>
      <c r="M182" s="44"/>
      <c r="N182" s="44"/>
      <c r="O182" s="44"/>
      <c r="P182" s="44"/>
      <c r="Q182" s="44"/>
      <c r="R182" s="44"/>
      <c r="S182" s="44"/>
      <c r="T182" s="365" t="b" cm="1">
        <f t="array" ref="T182">T181</f>
        <v>1</v>
      </c>
      <c r="U182" s="44"/>
      <c r="V182" s="44"/>
      <c r="W182" s="44"/>
      <c r="X182" s="1094"/>
      <c r="Z182" s="1065"/>
      <c r="AB182" s="26" t="s">
        <v>1736</v>
      </c>
      <c r="AC182" s="153" t="s">
        <v>1945</v>
      </c>
      <c r="AD182" s="28" t="s">
        <v>804</v>
      </c>
      <c r="AE182" s="147"/>
      <c r="AF182" s="147"/>
      <c r="AG182" s="147"/>
      <c r="AH182" s="190">
        <f t="shared" si="47"/>
        <v>0</v>
      </c>
      <c r="AI182" s="147"/>
      <c r="AJ182" s="147"/>
      <c r="AK182" s="552"/>
      <c r="AL182" s="552"/>
      <c r="AM182" s="552"/>
      <c r="AN182" s="552"/>
      <c r="AO182" s="552"/>
      <c r="AP182" s="552"/>
      <c r="AQ182" s="552"/>
      <c r="AR182" s="552"/>
      <c r="AS182" s="552"/>
      <c r="AT182" s="147"/>
      <c r="AU182" s="552"/>
      <c r="AV182" s="552"/>
      <c r="AW182" s="552"/>
      <c r="AX182" s="552"/>
      <c r="AY182" s="552"/>
      <c r="AZ182" s="552"/>
      <c r="BA182" s="552"/>
      <c r="BB182" s="552"/>
      <c r="BC182" s="552"/>
      <c r="BD182" s="190">
        <f t="shared" si="50"/>
        <v>0</v>
      </c>
      <c r="BE182" s="552"/>
      <c r="BF182" s="552"/>
      <c r="BG182" s="552"/>
      <c r="BH182" s="552"/>
      <c r="BI182" s="552"/>
      <c r="BJ182" s="552"/>
      <c r="BK182" s="552"/>
      <c r="BL182" s="552"/>
      <c r="BM182" s="552"/>
      <c r="BN182" s="215"/>
      <c r="BO182" s="215"/>
      <c r="BP182" s="215"/>
      <c r="BS182" s="704" t="s">
        <v>1765</v>
      </c>
    </row>
    <row r="183" spans="1:75" ht="14.25" customHeight="1">
      <c r="C183" s="44"/>
      <c r="D183" s="44"/>
      <c r="E183" s="462">
        <v>15</v>
      </c>
      <c r="F183" s="3" t="str" cm="1">
        <f t="array" aca="1" ref="F183" ca="1">OFFSET(E183,-1,1)</f>
        <v>1</v>
      </c>
      <c r="G183" s="44"/>
      <c r="H183" s="587"/>
      <c r="I183" s="587" t="s">
        <v>1506</v>
      </c>
      <c r="J183" s="44"/>
      <c r="K183" s="290" t="s">
        <v>1506</v>
      </c>
      <c r="L183" s="44" t="s">
        <v>1766</v>
      </c>
      <c r="N183" s="44"/>
      <c r="O183" s="44"/>
      <c r="P183" s="44"/>
      <c r="Q183" s="44"/>
      <c r="R183" s="44"/>
      <c r="S183" s="44"/>
      <c r="T183" s="365" t="b" cm="1">
        <f t="array" ref="T183">T182</f>
        <v>1</v>
      </c>
      <c r="U183" s="44"/>
      <c r="V183" s="44"/>
      <c r="W183" s="44"/>
      <c r="X183" s="1094"/>
      <c r="Z183" s="1065"/>
      <c r="AB183" s="26" t="s">
        <v>1738</v>
      </c>
      <c r="AC183" s="153" t="s">
        <v>1946</v>
      </c>
      <c r="AD183" s="26" t="s">
        <v>804</v>
      </c>
      <c r="AE183" s="190">
        <f>SUM(AE184:AE190)</f>
        <v>10097.325952735999</v>
      </c>
      <c r="AF183" s="190">
        <f>SUM(AF184:AF190)</f>
        <v>0</v>
      </c>
      <c r="AG183" s="190">
        <f>SUM(AG184:AG190)</f>
        <v>0</v>
      </c>
      <c r="AH183" s="190">
        <f t="shared" si="47"/>
        <v>0</v>
      </c>
      <c r="AI183" s="190">
        <f>SUM(AI184:AI190)</f>
        <v>0</v>
      </c>
      <c r="AJ183" s="190">
        <f>SUM(AJ184:AJ190)</f>
        <v>0</v>
      </c>
      <c r="AK183" s="552"/>
      <c r="AL183" s="552"/>
      <c r="AM183" s="552"/>
      <c r="AN183" s="552"/>
      <c r="AO183" s="552"/>
      <c r="AP183" s="552"/>
      <c r="AQ183" s="552"/>
      <c r="AR183" s="552"/>
      <c r="AS183" s="552"/>
      <c r="AT183" s="190">
        <f>SUM(AT184:AT190)</f>
        <v>0</v>
      </c>
      <c r="AU183" s="552"/>
      <c r="AV183" s="552"/>
      <c r="AW183" s="552"/>
      <c r="AX183" s="552"/>
      <c r="AY183" s="552"/>
      <c r="AZ183" s="552"/>
      <c r="BA183" s="552"/>
      <c r="BB183" s="552"/>
      <c r="BC183" s="552"/>
      <c r="BD183" s="190">
        <f t="shared" si="50"/>
        <v>0</v>
      </c>
      <c r="BE183" s="552"/>
      <c r="BF183" s="552"/>
      <c r="BG183" s="552"/>
      <c r="BH183" s="552"/>
      <c r="BI183" s="552"/>
      <c r="BJ183" s="552"/>
      <c r="BK183" s="552"/>
      <c r="BL183" s="552"/>
      <c r="BM183" s="552"/>
      <c r="BN183" s="215"/>
      <c r="BO183" s="215"/>
      <c r="BP183" s="215"/>
      <c r="BS183" s="704" t="s">
        <v>1947</v>
      </c>
    </row>
    <row r="184" spans="1:75" ht="14.25" customHeight="1">
      <c r="C184" s="44"/>
      <c r="D184" s="44"/>
      <c r="E184" s="462">
        <v>15</v>
      </c>
      <c r="F184" s="3" t="str" cm="1">
        <f t="array" aca="1" ref="F184" ca="1">OFFSET(E184,-1,1)</f>
        <v>1</v>
      </c>
      <c r="G184" s="44"/>
      <c r="H184" s="587"/>
      <c r="I184" s="587" t="s">
        <v>1948</v>
      </c>
      <c r="J184" s="44"/>
      <c r="K184" s="290" t="s">
        <v>1948</v>
      </c>
      <c r="L184" s="44" t="s">
        <v>1766</v>
      </c>
      <c r="M184" s="44" t="s">
        <v>1774</v>
      </c>
      <c r="N184" s="44"/>
      <c r="O184" s="44"/>
      <c r="P184" s="44"/>
      <c r="Q184" s="44"/>
      <c r="R184" s="44"/>
      <c r="S184" s="44"/>
      <c r="T184" s="365" t="b" cm="1">
        <f t="array" ref="T184">T183</f>
        <v>1</v>
      </c>
      <c r="U184" s="44"/>
      <c r="V184" s="44"/>
      <c r="W184" s="44"/>
      <c r="X184" s="1094"/>
      <c r="Z184" s="1065"/>
      <c r="AB184" s="26" t="s">
        <v>1949</v>
      </c>
      <c r="AC184" s="553" t="s">
        <v>1950</v>
      </c>
      <c r="AD184" s="26" t="s">
        <v>804</v>
      </c>
      <c r="AE184" s="147"/>
      <c r="AF184" s="147"/>
      <c r="AG184" s="147"/>
      <c r="AH184" s="190">
        <f t="shared" si="47"/>
        <v>0</v>
      </c>
      <c r="AI184" s="147"/>
      <c r="AJ184" s="147"/>
      <c r="AK184" s="552"/>
      <c r="AL184" s="552"/>
      <c r="AM184" s="552"/>
      <c r="AN184" s="552"/>
      <c r="AO184" s="552"/>
      <c r="AP184" s="552"/>
      <c r="AQ184" s="552"/>
      <c r="AR184" s="552"/>
      <c r="AS184" s="552"/>
      <c r="AT184" s="147"/>
      <c r="AU184" s="552"/>
      <c r="AV184" s="552"/>
      <c r="AW184" s="552"/>
      <c r="AX184" s="552"/>
      <c r="AY184" s="552"/>
      <c r="AZ184" s="552"/>
      <c r="BA184" s="552"/>
      <c r="BB184" s="552"/>
      <c r="BC184" s="552"/>
      <c r="BD184" s="190">
        <f t="shared" si="50"/>
        <v>0</v>
      </c>
      <c r="BE184" s="552"/>
      <c r="BF184" s="552"/>
      <c r="BG184" s="552"/>
      <c r="BH184" s="552"/>
      <c r="BI184" s="552"/>
      <c r="BJ184" s="552"/>
      <c r="BK184" s="552"/>
      <c r="BL184" s="552"/>
      <c r="BM184" s="552"/>
      <c r="BN184" s="215"/>
      <c r="BO184" s="215"/>
      <c r="BP184" s="215"/>
      <c r="BS184" s="703" t="s">
        <v>1777</v>
      </c>
    </row>
    <row r="185" spans="1:75" ht="21.75" customHeight="1">
      <c r="C185" s="44"/>
      <c r="D185" s="44"/>
      <c r="E185" s="462">
        <v>22.5</v>
      </c>
      <c r="F185" s="3" t="str" cm="1">
        <f t="array" aca="1" ref="F185" ca="1">OFFSET(E185,-1,1)</f>
        <v>1</v>
      </c>
      <c r="G185" s="44"/>
      <c r="H185" s="587"/>
      <c r="I185" s="587" t="s">
        <v>1951</v>
      </c>
      <c r="J185" s="44"/>
      <c r="K185" s="290" t="s">
        <v>1951</v>
      </c>
      <c r="L185" s="44" t="s">
        <v>1766</v>
      </c>
      <c r="M185" s="44" t="s">
        <v>1770</v>
      </c>
      <c r="N185" s="44"/>
      <c r="O185" s="44"/>
      <c r="P185" s="44"/>
      <c r="Q185" s="44"/>
      <c r="R185" s="44"/>
      <c r="S185" s="44"/>
      <c r="T185" s="365" t="b" cm="1">
        <f t="array" ref="T185">T184</f>
        <v>1</v>
      </c>
      <c r="U185" s="44"/>
      <c r="V185" s="44"/>
      <c r="W185" s="44"/>
      <c r="X185" s="1094"/>
      <c r="Z185" s="1065"/>
      <c r="AB185" s="26" t="s">
        <v>1952</v>
      </c>
      <c r="AC185" s="553" t="s">
        <v>1953</v>
      </c>
      <c r="AD185" s="26" t="s">
        <v>804</v>
      </c>
      <c r="AE185" s="147"/>
      <c r="AF185" s="147"/>
      <c r="AG185" s="147"/>
      <c r="AH185" s="190">
        <f t="shared" si="47"/>
        <v>0</v>
      </c>
      <c r="AI185" s="147"/>
      <c r="AJ185" s="147"/>
      <c r="AK185" s="552"/>
      <c r="AL185" s="552"/>
      <c r="AM185" s="552"/>
      <c r="AN185" s="552"/>
      <c r="AO185" s="552"/>
      <c r="AP185" s="552"/>
      <c r="AQ185" s="552"/>
      <c r="AR185" s="552"/>
      <c r="AS185" s="552"/>
      <c r="AT185" s="147"/>
      <c r="AU185" s="552"/>
      <c r="AV185" s="552"/>
      <c r="AW185" s="552"/>
      <c r="AX185" s="552"/>
      <c r="AY185" s="552"/>
      <c r="AZ185" s="552"/>
      <c r="BA185" s="552"/>
      <c r="BB185" s="552"/>
      <c r="BC185" s="552"/>
      <c r="BD185" s="190">
        <f t="shared" si="50"/>
        <v>0</v>
      </c>
      <c r="BE185" s="552"/>
      <c r="BF185" s="552"/>
      <c r="BG185" s="552"/>
      <c r="BH185" s="552"/>
      <c r="BI185" s="552"/>
      <c r="BJ185" s="552"/>
      <c r="BK185" s="552"/>
      <c r="BL185" s="552"/>
      <c r="BM185" s="552"/>
      <c r="BN185" s="215"/>
      <c r="BO185" s="215"/>
      <c r="BP185" s="215"/>
      <c r="BS185" s="705" t="s">
        <v>1954</v>
      </c>
    </row>
    <row r="186" spans="1:75" ht="21.75" customHeight="1">
      <c r="C186" s="44"/>
      <c r="D186" s="44"/>
      <c r="E186" s="462">
        <v>22.5</v>
      </c>
      <c r="F186" s="3" t="str" cm="1">
        <f t="array" aca="1" ref="F186" ca="1">OFFSET(E186,-1,1)</f>
        <v>1</v>
      </c>
      <c r="G186" s="44"/>
      <c r="H186" s="587"/>
      <c r="I186" s="587" t="s">
        <v>1955</v>
      </c>
      <c r="J186" s="44"/>
      <c r="K186" s="290" t="s">
        <v>1955</v>
      </c>
      <c r="N186" s="44"/>
      <c r="O186" s="44"/>
      <c r="P186" s="44"/>
      <c r="Q186" s="44"/>
      <c r="R186" s="44"/>
      <c r="S186" s="44"/>
      <c r="T186" s="365" t="b" cm="1">
        <f t="array" ref="T186">T185</f>
        <v>1</v>
      </c>
      <c r="U186" s="44"/>
      <c r="V186" s="44"/>
      <c r="W186" s="44"/>
      <c r="X186" s="1094"/>
      <c r="Z186" s="1065"/>
      <c r="AB186" s="26" t="s">
        <v>1956</v>
      </c>
      <c r="AC186" s="554" t="s">
        <v>1957</v>
      </c>
      <c r="AD186" s="26" t="s">
        <v>804</v>
      </c>
      <c r="AE186" s="147"/>
      <c r="AF186" s="147"/>
      <c r="AG186" s="147"/>
      <c r="AH186" s="190">
        <f t="shared" si="47"/>
        <v>0</v>
      </c>
      <c r="AI186" s="147"/>
      <c r="AJ186" s="147"/>
      <c r="AK186" s="552"/>
      <c r="AL186" s="552"/>
      <c r="AM186" s="552"/>
      <c r="AN186" s="552"/>
      <c r="AO186" s="552"/>
      <c r="AP186" s="552"/>
      <c r="AQ186" s="552"/>
      <c r="AR186" s="552"/>
      <c r="AS186" s="552"/>
      <c r="AT186" s="147"/>
      <c r="AU186" s="552"/>
      <c r="AV186" s="552"/>
      <c r="AW186" s="552"/>
      <c r="AX186" s="552"/>
      <c r="AY186" s="552"/>
      <c r="AZ186" s="552"/>
      <c r="BA186" s="552"/>
      <c r="BB186" s="552"/>
      <c r="BC186" s="552"/>
      <c r="BD186" s="190">
        <f t="shared" si="50"/>
        <v>0</v>
      </c>
      <c r="BE186" s="552"/>
      <c r="BF186" s="552"/>
      <c r="BG186" s="552"/>
      <c r="BH186" s="552"/>
      <c r="BI186" s="552"/>
      <c r="BJ186" s="552"/>
      <c r="BK186" s="552"/>
      <c r="BL186" s="552"/>
      <c r="BM186" s="552"/>
      <c r="BN186" s="215"/>
      <c r="BO186" s="215"/>
      <c r="BP186" s="215"/>
      <c r="BS186" s="705" t="s">
        <v>1958</v>
      </c>
    </row>
    <row r="187" spans="1:75" ht="21.95" customHeight="1">
      <c r="C187" s="44"/>
      <c r="D187" s="44"/>
      <c r="E187" s="462">
        <v>22.5</v>
      </c>
      <c r="F187" s="3" t="str" cm="1">
        <f t="array" aca="1" ref="F187" ca="1">OFFSET(E187,-1,1)</f>
        <v>1</v>
      </c>
      <c r="G187" s="44"/>
      <c r="H187" s="587"/>
      <c r="I187" s="587" t="s">
        <v>1959</v>
      </c>
      <c r="J187" s="44"/>
      <c r="K187" s="290" t="s">
        <v>1959</v>
      </c>
      <c r="L187" s="44"/>
      <c r="N187" s="44"/>
      <c r="O187" s="44"/>
      <c r="P187" s="44"/>
      <c r="Q187" s="44"/>
      <c r="R187" s="44"/>
      <c r="S187" s="44"/>
      <c r="T187" s="365" t="b" cm="1">
        <f t="array" ref="T187">T186</f>
        <v>1</v>
      </c>
      <c r="U187" s="44"/>
      <c r="V187" s="44"/>
      <c r="W187" s="44"/>
      <c r="X187" s="1094"/>
      <c r="Z187" s="1065"/>
      <c r="AB187" s="26" t="s">
        <v>1960</v>
      </c>
      <c r="AC187" s="554" t="s">
        <v>1961</v>
      </c>
      <c r="AD187" s="26" t="s">
        <v>804</v>
      </c>
      <c r="AE187" s="147">
        <v>7521.05</v>
      </c>
      <c r="AF187" s="147"/>
      <c r="AG187" s="147"/>
      <c r="AH187" s="190">
        <f t="shared" si="47"/>
        <v>0</v>
      </c>
      <c r="AI187" s="147"/>
      <c r="AJ187" s="147"/>
      <c r="AK187" s="552"/>
      <c r="AL187" s="552"/>
      <c r="AM187" s="552"/>
      <c r="AN187" s="552"/>
      <c r="AO187" s="552"/>
      <c r="AP187" s="552"/>
      <c r="AQ187" s="552"/>
      <c r="AR187" s="552"/>
      <c r="AS187" s="552"/>
      <c r="AT187" s="147"/>
      <c r="AU187" s="552"/>
      <c r="AV187" s="552"/>
      <c r="AW187" s="552"/>
      <c r="AX187" s="552"/>
      <c r="AY187" s="552"/>
      <c r="AZ187" s="552"/>
      <c r="BA187" s="552"/>
      <c r="BB187" s="552"/>
      <c r="BC187" s="552"/>
      <c r="BD187" s="190">
        <f t="shared" si="50"/>
        <v>0</v>
      </c>
      <c r="BE187" s="552"/>
      <c r="BF187" s="552"/>
      <c r="BG187" s="552"/>
      <c r="BH187" s="552"/>
      <c r="BI187" s="552"/>
      <c r="BJ187" s="552"/>
      <c r="BK187" s="552"/>
      <c r="BL187" s="552"/>
      <c r="BM187" s="552"/>
      <c r="BN187" s="215"/>
      <c r="BO187" s="215"/>
      <c r="BP187" s="215"/>
      <c r="BS187" s="705" t="s">
        <v>1962</v>
      </c>
    </row>
    <row r="188" spans="1:75" ht="44.25" customHeight="1">
      <c r="C188" s="44"/>
      <c r="D188" s="44"/>
      <c r="E188" s="462">
        <v>45</v>
      </c>
      <c r="F188" s="3" t="str" cm="1">
        <f t="array" aca="1" ref="F188" ca="1">OFFSET(E188,-1,1)</f>
        <v>1</v>
      </c>
      <c r="G188" s="44"/>
      <c r="H188" s="587"/>
      <c r="I188" s="587" t="s">
        <v>1963</v>
      </c>
      <c r="J188" s="44"/>
      <c r="K188" s="290" t="s">
        <v>1963</v>
      </c>
      <c r="L188" s="44" t="s">
        <v>1766</v>
      </c>
      <c r="M188" s="44" t="s">
        <v>1778</v>
      </c>
      <c r="N188" s="44"/>
      <c r="O188" s="44"/>
      <c r="P188" s="44"/>
      <c r="Q188" s="44"/>
      <c r="R188" s="44"/>
      <c r="S188" s="44"/>
      <c r="T188" s="365" t="b" cm="1">
        <f t="array" ref="T188">T187</f>
        <v>1</v>
      </c>
      <c r="U188" s="44"/>
      <c r="V188" s="44"/>
      <c r="W188" s="44"/>
      <c r="X188" s="1094"/>
      <c r="Z188" s="1065"/>
      <c r="AB188" s="26" t="s">
        <v>1964</v>
      </c>
      <c r="AC188" s="553" t="s">
        <v>1965</v>
      </c>
      <c r="AD188" s="26" t="s">
        <v>804</v>
      </c>
      <c r="AE188" s="147">
        <v>323.59402291200001</v>
      </c>
      <c r="AF188" s="147"/>
      <c r="AG188" s="147"/>
      <c r="AH188" s="190">
        <f t="shared" si="47"/>
        <v>0</v>
      </c>
      <c r="AI188" s="147"/>
      <c r="AJ188" s="147"/>
      <c r="AK188" s="552"/>
      <c r="AL188" s="552"/>
      <c r="AM188" s="552"/>
      <c r="AN188" s="552"/>
      <c r="AO188" s="552"/>
      <c r="AP188" s="552"/>
      <c r="AQ188" s="552"/>
      <c r="AR188" s="552"/>
      <c r="AS188" s="552"/>
      <c r="AT188" s="147"/>
      <c r="AU188" s="552"/>
      <c r="AV188" s="552"/>
      <c r="AW188" s="552"/>
      <c r="AX188" s="552"/>
      <c r="AY188" s="552"/>
      <c r="AZ188" s="552"/>
      <c r="BA188" s="552"/>
      <c r="BB188" s="552"/>
      <c r="BC188" s="552"/>
      <c r="BD188" s="190">
        <f t="shared" si="50"/>
        <v>0</v>
      </c>
      <c r="BE188" s="552"/>
      <c r="BF188" s="552"/>
      <c r="BG188" s="552"/>
      <c r="BH188" s="552"/>
      <c r="BI188" s="552"/>
      <c r="BJ188" s="552"/>
      <c r="BK188" s="552"/>
      <c r="BL188" s="552"/>
      <c r="BM188" s="552"/>
      <c r="BN188" s="215"/>
      <c r="BO188" s="215"/>
      <c r="BP188" s="215"/>
      <c r="BS188" s="705" t="s">
        <v>1781</v>
      </c>
    </row>
    <row r="189" spans="1:75" ht="14.25" customHeight="1">
      <c r="C189" s="44"/>
      <c r="D189" s="44"/>
      <c r="E189" s="462">
        <v>15</v>
      </c>
      <c r="F189" s="3" t="str" cm="1">
        <f t="array" aca="1" ref="F189" ca="1">OFFSET(E189,-1,1)</f>
        <v>1</v>
      </c>
      <c r="G189" s="44"/>
      <c r="H189" s="587"/>
      <c r="I189" s="587" t="s">
        <v>1966</v>
      </c>
      <c r="J189" s="44"/>
      <c r="K189" s="290" t="s">
        <v>1966</v>
      </c>
      <c r="L189" s="44" t="s">
        <v>1766</v>
      </c>
      <c r="M189" s="44" t="s">
        <v>1782</v>
      </c>
      <c r="N189" s="44"/>
      <c r="O189" s="44"/>
      <c r="P189" s="44"/>
      <c r="Q189" s="44"/>
      <c r="R189" s="44"/>
      <c r="S189" s="44"/>
      <c r="T189" s="365" t="b" cm="1">
        <f t="array" ref="T189">T188</f>
        <v>1</v>
      </c>
      <c r="U189" s="44"/>
      <c r="V189" s="44"/>
      <c r="W189" s="44"/>
      <c r="X189" s="1094"/>
      <c r="Z189" s="1065"/>
      <c r="AB189" s="26" t="s">
        <v>1967</v>
      </c>
      <c r="AC189" s="553" t="s">
        <v>1784</v>
      </c>
      <c r="AD189" s="26" t="s">
        <v>804</v>
      </c>
      <c r="AE189" s="147"/>
      <c r="AF189" s="147"/>
      <c r="AG189" s="147"/>
      <c r="AH189" s="190">
        <f t="shared" si="47"/>
        <v>0</v>
      </c>
      <c r="AI189" s="147"/>
      <c r="AJ189" s="147"/>
      <c r="AK189" s="552"/>
      <c r="AL189" s="552"/>
      <c r="AM189" s="552"/>
      <c r="AN189" s="552"/>
      <c r="AO189" s="552"/>
      <c r="AP189" s="552"/>
      <c r="AQ189" s="552"/>
      <c r="AR189" s="552"/>
      <c r="AS189" s="552"/>
      <c r="AT189" s="147"/>
      <c r="AU189" s="552"/>
      <c r="AV189" s="552"/>
      <c r="AW189" s="552"/>
      <c r="AX189" s="552"/>
      <c r="AY189" s="552"/>
      <c r="AZ189" s="552"/>
      <c r="BA189" s="552"/>
      <c r="BB189" s="552"/>
      <c r="BC189" s="552"/>
      <c r="BD189" s="190">
        <f t="shared" si="50"/>
        <v>0</v>
      </c>
      <c r="BE189" s="552"/>
      <c r="BF189" s="552"/>
      <c r="BG189" s="552"/>
      <c r="BH189" s="552"/>
      <c r="BI189" s="552"/>
      <c r="BJ189" s="552"/>
      <c r="BK189" s="552"/>
      <c r="BL189" s="552"/>
      <c r="BM189" s="552"/>
      <c r="BN189" s="215"/>
      <c r="BO189" s="215"/>
      <c r="BP189" s="215"/>
      <c r="BS189" s="705" t="s">
        <v>1785</v>
      </c>
    </row>
    <row r="190" spans="1:75" ht="14.65" customHeight="1">
      <c r="C190" s="44"/>
      <c r="D190" s="44"/>
      <c r="E190" s="462">
        <v>15</v>
      </c>
      <c r="F190" s="3" t="str" cm="1">
        <f t="array" aca="1" ref="F190" ca="1">OFFSET(E190,-1,1)</f>
        <v>1</v>
      </c>
      <c r="G190" s="44"/>
      <c r="H190" s="587"/>
      <c r="I190" s="587" t="s">
        <v>1968</v>
      </c>
      <c r="J190" s="44"/>
      <c r="K190" s="290" t="s">
        <v>1968</v>
      </c>
      <c r="L190" s="44"/>
      <c r="M190" s="44"/>
      <c r="N190" s="44"/>
      <c r="O190" s="44"/>
      <c r="P190" s="44"/>
      <c r="Q190" s="44"/>
      <c r="R190" s="44"/>
      <c r="S190" s="44"/>
      <c r="T190" s="365" t="b" cm="1">
        <f t="array" ref="T190">T189</f>
        <v>1</v>
      </c>
      <c r="U190" s="44"/>
      <c r="V190" s="44"/>
      <c r="W190" s="44"/>
      <c r="X190" s="1094"/>
      <c r="Z190" s="1065"/>
      <c r="AB190" s="26" t="s">
        <v>1969</v>
      </c>
      <c r="AC190" s="553" t="s">
        <v>1970</v>
      </c>
      <c r="AD190" s="26" t="s">
        <v>804</v>
      </c>
      <c r="AE190" s="147">
        <v>2252.6819298239998</v>
      </c>
      <c r="AF190" s="147"/>
      <c r="AG190" s="147"/>
      <c r="AH190" s="190">
        <f t="shared" si="47"/>
        <v>0</v>
      </c>
      <c r="AI190" s="147"/>
      <c r="AJ190" s="147"/>
      <c r="AK190" s="552"/>
      <c r="AL190" s="552"/>
      <c r="AM190" s="552"/>
      <c r="AN190" s="552"/>
      <c r="AO190" s="552"/>
      <c r="AP190" s="552"/>
      <c r="AQ190" s="552"/>
      <c r="AR190" s="552"/>
      <c r="AS190" s="552"/>
      <c r="AT190" s="147"/>
      <c r="AU190" s="552"/>
      <c r="AV190" s="552"/>
      <c r="AW190" s="552"/>
      <c r="AX190" s="552"/>
      <c r="AY190" s="552"/>
      <c r="AZ190" s="552"/>
      <c r="BA190" s="552"/>
      <c r="BB190" s="552"/>
      <c r="BC190" s="552"/>
      <c r="BD190" s="190">
        <f t="shared" si="50"/>
        <v>0</v>
      </c>
      <c r="BE190" s="552"/>
      <c r="BF190" s="552"/>
      <c r="BG190" s="552"/>
      <c r="BH190" s="552"/>
      <c r="BI190" s="552"/>
      <c r="BJ190" s="552"/>
      <c r="BK190" s="552"/>
      <c r="BL190" s="552"/>
      <c r="BM190" s="552"/>
      <c r="BN190" s="215"/>
      <c r="BO190" s="215"/>
      <c r="BP190" s="215"/>
      <c r="BS190" s="705" t="s">
        <v>1769</v>
      </c>
    </row>
    <row r="191" spans="1:75" s="950" customFormat="1" ht="20.25" customHeight="1">
      <c r="A191" s="95"/>
      <c r="B191" s="344"/>
      <c r="C191" s="46"/>
      <c r="D191" s="46"/>
      <c r="E191" s="569">
        <v>21</v>
      </c>
      <c r="F191" s="3" t="str" cm="1">
        <f t="array" aca="1" ref="F191" ca="1">OFFSET(E191,-1,1)</f>
        <v>1</v>
      </c>
      <c r="G191" s="46"/>
      <c r="H191" s="587"/>
      <c r="I191" s="587" t="s">
        <v>468</v>
      </c>
      <c r="J191" s="46"/>
      <c r="K191" s="290" t="s">
        <v>468</v>
      </c>
      <c r="L191" s="46"/>
      <c r="M191" s="46"/>
      <c r="N191" s="46"/>
      <c r="O191" s="46"/>
      <c r="P191" s="46"/>
      <c r="Q191" s="46"/>
      <c r="R191" s="46"/>
      <c r="S191" s="46"/>
      <c r="T191" s="365" t="b" cm="1">
        <f t="array" ref="T191">T190</f>
        <v>1</v>
      </c>
      <c r="U191" s="46"/>
      <c r="V191" s="46"/>
      <c r="W191" s="46"/>
      <c r="X191" s="1094"/>
      <c r="Y191" s="95"/>
      <c r="Z191" s="1065"/>
      <c r="AA191" s="95"/>
      <c r="AB191" s="143" t="s">
        <v>903</v>
      </c>
      <c r="AC191" s="276" t="s">
        <v>1788</v>
      </c>
      <c r="AD191" s="143" t="s">
        <v>804</v>
      </c>
      <c r="AE191" s="145">
        <f ca="1">AE192+AE193+AE194</f>
        <v>1746.1553865599999</v>
      </c>
      <c r="AF191" s="145">
        <f ca="1">AF192+AF193+AF194</f>
        <v>0</v>
      </c>
      <c r="AG191" s="145">
        <f ca="1">AG192+AG193+AG194</f>
        <v>0</v>
      </c>
      <c r="AH191" s="145">
        <f t="shared" ca="1" si="47"/>
        <v>0</v>
      </c>
      <c r="AI191" s="145">
        <f ca="1">AI192+AI193+AI194</f>
        <v>0</v>
      </c>
      <c r="AJ191" s="145">
        <f ca="1">AJ192+AJ193+AJ194</f>
        <v>0</v>
      </c>
      <c r="AK191" s="148"/>
      <c r="AL191" s="148"/>
      <c r="AM191" s="148"/>
      <c r="AN191" s="148"/>
      <c r="AO191" s="148"/>
      <c r="AP191" s="148"/>
      <c r="AQ191" s="148"/>
      <c r="AR191" s="148"/>
      <c r="AS191" s="148"/>
      <c r="AT191" s="145">
        <f ca="1">AT192+AT193+AT194</f>
        <v>0</v>
      </c>
      <c r="AU191" s="148"/>
      <c r="AV191" s="148"/>
      <c r="AW191" s="148"/>
      <c r="AX191" s="148"/>
      <c r="AY191" s="148"/>
      <c r="AZ191" s="148"/>
      <c r="BA191" s="148"/>
      <c r="BB191" s="148"/>
      <c r="BC191" s="148"/>
      <c r="BD191" s="145">
        <f t="shared" ca="1" si="50"/>
        <v>0</v>
      </c>
      <c r="BE191" s="148"/>
      <c r="BF191" s="148"/>
      <c r="BG191" s="148"/>
      <c r="BH191" s="148"/>
      <c r="BI191" s="148"/>
      <c r="BJ191" s="148"/>
      <c r="BK191" s="148"/>
      <c r="BL191" s="148"/>
      <c r="BM191" s="148"/>
      <c r="BN191" s="566"/>
      <c r="BO191" s="566"/>
      <c r="BP191" s="566"/>
      <c r="BQ191" s="95"/>
      <c r="BR191" s="95"/>
      <c r="BS191" s="704" t="s">
        <v>1789</v>
      </c>
      <c r="BT191" s="711"/>
      <c r="BU191" s="711"/>
      <c r="BV191" s="522"/>
      <c r="BW191" s="522"/>
    </row>
    <row r="192" spans="1:75" ht="23.25" customHeight="1">
      <c r="C192" s="44"/>
      <c r="D192" s="44"/>
      <c r="E192" s="462">
        <v>22.5</v>
      </c>
      <c r="F192" s="3" t="str" cm="1">
        <f t="array" aca="1" ref="F192" ca="1">OFFSET(E192,-1,1)</f>
        <v>1</v>
      </c>
      <c r="G192" s="44"/>
      <c r="H192" s="587"/>
      <c r="I192" s="587" t="s">
        <v>1349</v>
      </c>
      <c r="J192" s="44"/>
      <c r="K192" s="290" t="s">
        <v>1349</v>
      </c>
      <c r="L192" s="44"/>
      <c r="M192" s="44"/>
      <c r="N192" s="44"/>
      <c r="O192" s="44"/>
      <c r="P192" s="44"/>
      <c r="Q192" s="44"/>
      <c r="R192" s="44"/>
      <c r="S192" s="44"/>
      <c r="T192" s="365" t="b" cm="1">
        <f t="array" ref="T192">T191</f>
        <v>1</v>
      </c>
      <c r="U192" s="44"/>
      <c r="V192" s="44"/>
      <c r="W192" s="44"/>
      <c r="X192" s="1094"/>
      <c r="Z192" s="1065"/>
      <c r="AB192" s="26" t="s">
        <v>1350</v>
      </c>
      <c r="AC192" s="153" t="s">
        <v>1971</v>
      </c>
      <c r="AD192" s="26" t="s">
        <v>804</v>
      </c>
      <c r="AE192" s="147">
        <v>359.88538655999997</v>
      </c>
      <c r="AF192" s="147"/>
      <c r="AG192" s="147"/>
      <c r="AH192" s="190">
        <f t="shared" si="47"/>
        <v>0</v>
      </c>
      <c r="AI192" s="147"/>
      <c r="AJ192" s="147"/>
      <c r="AK192" s="552"/>
      <c r="AL192" s="552"/>
      <c r="AM192" s="552"/>
      <c r="AN192" s="552"/>
      <c r="AO192" s="552"/>
      <c r="AP192" s="552"/>
      <c r="AQ192" s="552"/>
      <c r="AR192" s="552"/>
      <c r="AS192" s="552"/>
      <c r="AT192" s="147"/>
      <c r="AU192" s="552"/>
      <c r="AV192" s="552"/>
      <c r="AW192" s="552"/>
      <c r="AX192" s="552"/>
      <c r="AY192" s="552"/>
      <c r="AZ192" s="552"/>
      <c r="BA192" s="552"/>
      <c r="BB192" s="552"/>
      <c r="BC192" s="552"/>
      <c r="BD192" s="190">
        <f t="shared" si="50"/>
        <v>0</v>
      </c>
      <c r="BE192" s="552"/>
      <c r="BF192" s="552"/>
      <c r="BG192" s="552"/>
      <c r="BH192" s="552"/>
      <c r="BI192" s="552"/>
      <c r="BJ192" s="552"/>
      <c r="BK192" s="552"/>
      <c r="BL192" s="552"/>
      <c r="BM192" s="552"/>
      <c r="BN192" s="215"/>
      <c r="BO192" s="215"/>
      <c r="BP192" s="215"/>
      <c r="BS192" s="703" t="s">
        <v>1791</v>
      </c>
    </row>
    <row r="193" spans="1:75" ht="23.25" customHeight="1">
      <c r="C193" s="44"/>
      <c r="D193" s="44"/>
      <c r="E193" s="462">
        <v>22.5</v>
      </c>
      <c r="F193" s="3" t="str" cm="1">
        <f t="array" aca="1" ref="F193" ca="1">OFFSET(E193,-1,1)</f>
        <v>1</v>
      </c>
      <c r="G193" s="44"/>
      <c r="H193" s="587"/>
      <c r="I193" s="587" t="s">
        <v>1353</v>
      </c>
      <c r="J193" s="44"/>
      <c r="K193" s="290" t="s">
        <v>1353</v>
      </c>
      <c r="L193" s="44"/>
      <c r="M193" s="44"/>
      <c r="N193" s="44"/>
      <c r="O193" s="44"/>
      <c r="P193" s="44"/>
      <c r="Q193" s="44"/>
      <c r="R193" s="44"/>
      <c r="S193" s="44"/>
      <c r="T193" s="365" t="b" cm="1">
        <f t="array" ref="T193">T192</f>
        <v>1</v>
      </c>
      <c r="U193" s="44"/>
      <c r="V193" s="44"/>
      <c r="W193" s="44"/>
      <c r="X193" s="1094"/>
      <c r="Z193" s="1065"/>
      <c r="AB193" s="26" t="s">
        <v>1354</v>
      </c>
      <c r="AC193" s="153" t="s">
        <v>1972</v>
      </c>
      <c r="AD193" s="26" t="s">
        <v>804</v>
      </c>
      <c r="AE193" s="147">
        <v>1386.27</v>
      </c>
      <c r="AF193" s="147"/>
      <c r="AG193" s="147"/>
      <c r="AH193" s="190">
        <f t="shared" si="47"/>
        <v>0</v>
      </c>
      <c r="AI193" s="147"/>
      <c r="AJ193" s="147"/>
      <c r="AK193" s="552"/>
      <c r="AL193" s="552"/>
      <c r="AM193" s="552"/>
      <c r="AN193" s="552"/>
      <c r="AO193" s="552"/>
      <c r="AP193" s="552"/>
      <c r="AQ193" s="552"/>
      <c r="AR193" s="552"/>
      <c r="AS193" s="552"/>
      <c r="AT193" s="147"/>
      <c r="AU193" s="552"/>
      <c r="AV193" s="552"/>
      <c r="AW193" s="552"/>
      <c r="AX193" s="552"/>
      <c r="AY193" s="552"/>
      <c r="AZ193" s="552"/>
      <c r="BA193" s="552"/>
      <c r="BB193" s="552"/>
      <c r="BC193" s="552"/>
      <c r="BD193" s="190">
        <f t="shared" si="50"/>
        <v>0</v>
      </c>
      <c r="BE193" s="552"/>
      <c r="BF193" s="552"/>
      <c r="BG193" s="552"/>
      <c r="BH193" s="552"/>
      <c r="BI193" s="552"/>
      <c r="BJ193" s="552"/>
      <c r="BK193" s="552"/>
      <c r="BL193" s="552"/>
      <c r="BM193" s="552"/>
      <c r="BN193" s="215"/>
      <c r="BO193" s="215"/>
      <c r="BP193" s="215"/>
      <c r="BS193" s="705" t="s">
        <v>1973</v>
      </c>
    </row>
    <row r="194" spans="1:75" ht="21.75" customHeight="1">
      <c r="C194" s="44"/>
      <c r="D194" s="44"/>
      <c r="E194" s="462">
        <v>22.5</v>
      </c>
      <c r="F194" s="3" t="str" cm="1">
        <f t="array" aca="1" ref="F194" ca="1">OFFSET(E194,-1,1)</f>
        <v>1</v>
      </c>
      <c r="G194" s="44"/>
      <c r="H194" s="587"/>
      <c r="I194" s="587" t="s">
        <v>1357</v>
      </c>
      <c r="J194" s="44"/>
      <c r="K194" s="290" t="s">
        <v>1357</v>
      </c>
      <c r="L194" s="44" t="s">
        <v>482</v>
      </c>
      <c r="M194" s="44"/>
      <c r="N194" s="44"/>
      <c r="O194" s="44"/>
      <c r="P194" s="44"/>
      <c r="Q194" s="44"/>
      <c r="R194" s="44"/>
      <c r="S194" s="44"/>
      <c r="T194" s="365" t="b" cm="1">
        <f t="array" ref="T194">T193</f>
        <v>1</v>
      </c>
      <c r="U194" s="44"/>
      <c r="V194" s="44"/>
      <c r="W194" s="44"/>
      <c r="X194" s="1094"/>
      <c r="Z194" s="1065"/>
      <c r="AB194" s="26" t="s">
        <v>1358</v>
      </c>
      <c r="AC194" s="153" t="s">
        <v>1974</v>
      </c>
      <c r="AD194" s="26" t="s">
        <v>804</v>
      </c>
      <c r="AE194" s="190">
        <f ca="1">AE195+AE196</f>
        <v>0</v>
      </c>
      <c r="AF194" s="190">
        <f ca="1">AF195+AF196</f>
        <v>0</v>
      </c>
      <c r="AG194" s="190">
        <f ca="1">AG195+AG196</f>
        <v>0</v>
      </c>
      <c r="AH194" s="190">
        <f t="shared" ca="1" si="47"/>
        <v>0</v>
      </c>
      <c r="AI194" s="190">
        <f ca="1">AI195+AI196</f>
        <v>0</v>
      </c>
      <c r="AJ194" s="190">
        <f ca="1">AJ195+AJ196</f>
        <v>0</v>
      </c>
      <c r="AK194" s="552"/>
      <c r="AL194" s="552"/>
      <c r="AM194" s="552"/>
      <c r="AN194" s="552"/>
      <c r="AO194" s="552"/>
      <c r="AP194" s="552"/>
      <c r="AQ194" s="552"/>
      <c r="AR194" s="552"/>
      <c r="AS194" s="552"/>
      <c r="AT194" s="190">
        <f ca="1">AT195+AT196</f>
        <v>0</v>
      </c>
      <c r="AU194" s="552"/>
      <c r="AV194" s="552"/>
      <c r="AW194" s="552"/>
      <c r="AX194" s="552"/>
      <c r="AY194" s="552"/>
      <c r="AZ194" s="552"/>
      <c r="BA194" s="552"/>
      <c r="BB194" s="552"/>
      <c r="BC194" s="552"/>
      <c r="BD194" s="190">
        <f t="shared" ca="1" si="50"/>
        <v>0</v>
      </c>
      <c r="BE194" s="552"/>
      <c r="BF194" s="552"/>
      <c r="BG194" s="552"/>
      <c r="BH194" s="552"/>
      <c r="BI194" s="552"/>
      <c r="BJ194" s="552"/>
      <c r="BK194" s="552"/>
      <c r="BL194" s="552"/>
      <c r="BM194" s="552"/>
      <c r="BN194" s="215"/>
      <c r="BO194" s="215"/>
      <c r="BP194" s="215"/>
      <c r="BS194" s="703" t="s">
        <v>1793</v>
      </c>
    </row>
    <row r="195" spans="1:75" ht="14.25" customHeight="1">
      <c r="C195" s="44"/>
      <c r="D195" s="44"/>
      <c r="E195" s="462">
        <v>15</v>
      </c>
      <c r="F195" s="3" t="str" cm="1">
        <f t="array" aca="1" ref="F195" ca="1">OFFSET(E195,-1,1)</f>
        <v>1</v>
      </c>
      <c r="G195" s="581" t="s">
        <v>1171</v>
      </c>
      <c r="H195" s="587"/>
      <c r="I195" s="587" t="s">
        <v>1975</v>
      </c>
      <c r="J195" s="44"/>
      <c r="K195" s="290" t="s">
        <v>1975</v>
      </c>
      <c r="L195" s="44" t="s">
        <v>1794</v>
      </c>
      <c r="M195" s="44"/>
      <c r="N195" s="44"/>
      <c r="O195" s="44"/>
      <c r="P195" s="44"/>
      <c r="Q195" s="44"/>
      <c r="R195" s="44"/>
      <c r="S195" s="44"/>
      <c r="T195" s="365" t="b" cm="1">
        <f t="array" ref="T195">T194</f>
        <v>1</v>
      </c>
      <c r="U195" s="44"/>
      <c r="V195" s="44"/>
      <c r="W195" s="44"/>
      <c r="X195" s="1094"/>
      <c r="Z195" s="1065"/>
      <c r="AB195" s="26" t="s">
        <v>1976</v>
      </c>
      <c r="AC195" s="553" t="s">
        <v>1795</v>
      </c>
      <c r="AD195" s="26" t="s">
        <v>804</v>
      </c>
      <c r="AE195" s="190">
        <f ca="1">SUMIFS(ФОТ!AE$25:AE$102,ФОТ!$F$25:$F$102,$F195,ФОТ!$G$25:$G$102,$G195)</f>
        <v>0</v>
      </c>
      <c r="AF195" s="190">
        <f ca="1">SUMIFS(ФОТ!AF$25:AF$102,ФОТ!$F$25:$F$102,$F195,ФОТ!$G$25:$G$102,$G195)</f>
        <v>0</v>
      </c>
      <c r="AG195" s="190">
        <f ca="1">SUMIFS(ФОТ!AG$25:AG$102,ФОТ!$F$25:$F$102,$F195,ФОТ!$G$25:$G$102,$G195)</f>
        <v>0</v>
      </c>
      <c r="AH195" s="190">
        <f t="shared" ca="1" si="47"/>
        <v>0</v>
      </c>
      <c r="AI195" s="190">
        <f ca="1">SUMIFS(ФОТ!AH$25:AH$102,ФОТ!$F$25:$F$102,$F195,ФОТ!$G$25:$G$102,$G195)</f>
        <v>0</v>
      </c>
      <c r="AJ195" s="190">
        <f ca="1">SUMIFS(ФОТ!AI$25:AI$102,ФОТ!$F$25:$F$102,$F195,ФОТ!$G$25:$G$102,$G195)</f>
        <v>0</v>
      </c>
      <c r="AK195" s="552"/>
      <c r="AL195" s="552"/>
      <c r="AM195" s="552"/>
      <c r="AN195" s="552"/>
      <c r="AO195" s="552"/>
      <c r="AP195" s="552"/>
      <c r="AQ195" s="552"/>
      <c r="AR195" s="552"/>
      <c r="AS195" s="552"/>
      <c r="AT195" s="190">
        <f ca="1">SUMIFS(ФОТ!AJ$25:AJ$102,ФОТ!$F$25:$F$102,$F195,ФОТ!$G$25:$G$102,$G195)</f>
        <v>0</v>
      </c>
      <c r="AU195" s="552"/>
      <c r="AV195" s="552"/>
      <c r="AW195" s="552"/>
      <c r="AX195" s="552"/>
      <c r="AY195" s="552"/>
      <c r="AZ195" s="552"/>
      <c r="BA195" s="552"/>
      <c r="BB195" s="552"/>
      <c r="BC195" s="552"/>
      <c r="BD195" s="190">
        <f t="shared" ca="1" si="50"/>
        <v>0</v>
      </c>
      <c r="BE195" s="552"/>
      <c r="BF195" s="552"/>
      <c r="BG195" s="552"/>
      <c r="BH195" s="552"/>
      <c r="BI195" s="552"/>
      <c r="BJ195" s="552"/>
      <c r="BK195" s="552"/>
      <c r="BL195" s="552"/>
      <c r="BM195" s="552"/>
      <c r="BN195" s="215"/>
      <c r="BO195" s="610" t="str">
        <f ca="1">IF(IFERROR(INDEX(ФОТ!$K$26:$L$102,MATCH($F195&amp;"3komm",ФОТ!$K$26:$K$102,0),2),"")=0,"",IFERROR(INDEX(ФОТ!$K$26:$L$102,MATCH($F195&amp;"3komm",ФОТ!$K$26:$K$102,0),2),""))</f>
        <v/>
      </c>
      <c r="BP195" s="215"/>
      <c r="BS195" s="703" t="s">
        <v>1796</v>
      </c>
    </row>
    <row r="196" spans="1:75" ht="21.75" customHeight="1">
      <c r="C196" s="44"/>
      <c r="D196" s="44"/>
      <c r="E196" s="462">
        <v>22.5</v>
      </c>
      <c r="F196" s="3" t="str" cm="1">
        <f t="array" aca="1" ref="F196" ca="1">OFFSET(E196,-1,1)</f>
        <v>1</v>
      </c>
      <c r="G196" s="581" t="s">
        <v>1176</v>
      </c>
      <c r="H196" s="587"/>
      <c r="I196" s="587" t="s">
        <v>1977</v>
      </c>
      <c r="J196" s="44"/>
      <c r="K196" s="290" t="s">
        <v>1977</v>
      </c>
      <c r="L196" s="44" t="s">
        <v>1797</v>
      </c>
      <c r="M196" s="44"/>
      <c r="N196" s="44"/>
      <c r="O196" s="44"/>
      <c r="P196" s="44"/>
      <c r="Q196" s="44"/>
      <c r="R196" s="44"/>
      <c r="S196" s="44"/>
      <c r="T196" s="365" t="b" cm="1">
        <f t="array" ref="T196">T195</f>
        <v>1</v>
      </c>
      <c r="U196" s="44"/>
      <c r="V196" s="44"/>
      <c r="W196" s="44"/>
      <c r="X196" s="1094"/>
      <c r="Z196" s="1065"/>
      <c r="AB196" s="26" t="s">
        <v>1978</v>
      </c>
      <c r="AC196" s="553" t="s">
        <v>1979</v>
      </c>
      <c r="AD196" s="26" t="s">
        <v>804</v>
      </c>
      <c r="AE196" s="190">
        <f ca="1">SUMIFS(ФОТ!AE$25:AE$102,ФОТ!$F$25:$F$102,$F196,ФОТ!$G$25:$G$102,$G196)</f>
        <v>0</v>
      </c>
      <c r="AF196" s="190">
        <f ca="1">SUMIFS(ФОТ!AF$25:AF$102,ФОТ!$F$25:$F$102,$F196,ФОТ!$G$25:$G$102,$G196)</f>
        <v>0</v>
      </c>
      <c r="AG196" s="190">
        <f ca="1">SUMIFS(ФОТ!AG$25:AG$102,ФОТ!$F$25:$F$102,$F196,ФОТ!$G$25:$G$102,$G196)</f>
        <v>0</v>
      </c>
      <c r="AH196" s="190">
        <f t="shared" ca="1" si="47"/>
        <v>0</v>
      </c>
      <c r="AI196" s="190">
        <f ca="1">SUMIFS(ФОТ!AH$25:AH$102,ФОТ!$F$25:$F$102,$F196,ФОТ!$G$25:$G$102,$G196)</f>
        <v>0</v>
      </c>
      <c r="AJ196" s="190">
        <f ca="1">SUMIFS(ФОТ!AI$25:AI$102,ФОТ!$F$25:$F$102,$F196,ФОТ!$G$25:$G$102,$G196)</f>
        <v>0</v>
      </c>
      <c r="AK196" s="552"/>
      <c r="AL196" s="552"/>
      <c r="AM196" s="552"/>
      <c r="AN196" s="552"/>
      <c r="AO196" s="552"/>
      <c r="AP196" s="552"/>
      <c r="AQ196" s="552"/>
      <c r="AR196" s="552"/>
      <c r="AS196" s="552"/>
      <c r="AT196" s="190">
        <f ca="1">SUMIFS(ФОТ!AJ$25:AJ$102,ФОТ!$F$25:$F$102,$F196,ФОТ!$G$25:$G$102,$G196)</f>
        <v>0</v>
      </c>
      <c r="AU196" s="552"/>
      <c r="AV196" s="552"/>
      <c r="AW196" s="552"/>
      <c r="AX196" s="552"/>
      <c r="AY196" s="552"/>
      <c r="AZ196" s="552"/>
      <c r="BA196" s="552"/>
      <c r="BB196" s="552"/>
      <c r="BC196" s="552"/>
      <c r="BD196" s="190">
        <f t="shared" ca="1" si="50"/>
        <v>0</v>
      </c>
      <c r="BE196" s="552"/>
      <c r="BF196" s="552"/>
      <c r="BG196" s="552"/>
      <c r="BH196" s="552"/>
      <c r="BI196" s="552"/>
      <c r="BJ196" s="552"/>
      <c r="BK196" s="552"/>
      <c r="BL196" s="552"/>
      <c r="BM196" s="552"/>
      <c r="BN196" s="215"/>
      <c r="BO196" s="610" t="str">
        <f ca="1">IF(IFERROR(INDEX(ФОТ!$K$26:$L$102,MATCH($F196&amp;"4komm",ФОТ!$K$26:$K$102,0),2),"")=0,"",IFERROR(INDEX(ФОТ!$K$26:$L$102,MATCH($F196&amp;"4komm",ФОТ!$K$26:$K$102,0),2),""))</f>
        <v/>
      </c>
      <c r="BP196" s="215"/>
      <c r="BS196" s="703" t="s">
        <v>1799</v>
      </c>
    </row>
    <row r="197" spans="1:75" s="950" customFormat="1" ht="20.25" customHeight="1">
      <c r="A197" s="95"/>
      <c r="B197" s="344"/>
      <c r="C197" s="46"/>
      <c r="D197" s="46"/>
      <c r="E197" s="569">
        <v>21</v>
      </c>
      <c r="F197" s="3" t="str" cm="1">
        <f t="array" aca="1" ref="F197" ca="1">OFFSET(E197,-1,1)</f>
        <v>1</v>
      </c>
      <c r="G197" s="46"/>
      <c r="H197" s="587"/>
      <c r="I197" s="587" t="s">
        <v>472</v>
      </c>
      <c r="J197" s="46"/>
      <c r="K197" s="290" t="s">
        <v>472</v>
      </c>
      <c r="L197" s="46" t="s">
        <v>329</v>
      </c>
      <c r="M197" s="46"/>
      <c r="N197" s="46"/>
      <c r="O197" s="46"/>
      <c r="P197" s="46"/>
      <c r="Q197" s="46"/>
      <c r="R197" s="46"/>
      <c r="S197" s="46"/>
      <c r="T197" s="365" t="b" cm="1">
        <f t="array" ref="T197">T196</f>
        <v>1</v>
      </c>
      <c r="U197" s="46"/>
      <c r="V197" s="46"/>
      <c r="W197" s="46"/>
      <c r="X197" s="1094"/>
      <c r="Y197" s="95"/>
      <c r="Z197" s="1065"/>
      <c r="AA197" s="95"/>
      <c r="AB197" s="143" t="s">
        <v>906</v>
      </c>
      <c r="AC197" s="276" t="s">
        <v>1980</v>
      </c>
      <c r="AD197" s="143" t="s">
        <v>804</v>
      </c>
      <c r="AE197" s="145">
        <f ca="1">AE198+AE206+AE209+AE210+AE211+AE212+AE213</f>
        <v>0</v>
      </c>
      <c r="AF197" s="145">
        <f ca="1">AF198+AF206+AF209+AF210+AF211+AF212+AF213</f>
        <v>0</v>
      </c>
      <c r="AG197" s="145">
        <f ca="1">AG198+AG206+AG209+AG210+AG211+AG212+AG213</f>
        <v>0</v>
      </c>
      <c r="AH197" s="145">
        <f t="shared" ca="1" si="47"/>
        <v>0</v>
      </c>
      <c r="AI197" s="145">
        <f ca="1">AI198+AI206+AI209+AI210+AI211+AI212+AI213</f>
        <v>0</v>
      </c>
      <c r="AJ197" s="145">
        <f ca="1">AJ198+AJ206+AJ209+AJ210+AJ211+AJ212+AJ213</f>
        <v>0</v>
      </c>
      <c r="AK197" s="148"/>
      <c r="AL197" s="148"/>
      <c r="AM197" s="148"/>
      <c r="AN197" s="148"/>
      <c r="AO197" s="148"/>
      <c r="AP197" s="148"/>
      <c r="AQ197" s="148"/>
      <c r="AR197" s="148"/>
      <c r="AS197" s="148"/>
      <c r="AT197" s="145">
        <f ca="1">AT198+AT206+AT209+AT210+AT211+AT212+AT213</f>
        <v>0</v>
      </c>
      <c r="AU197" s="148"/>
      <c r="AV197" s="148"/>
      <c r="AW197" s="148"/>
      <c r="AX197" s="148"/>
      <c r="AY197" s="148"/>
      <c r="AZ197" s="148"/>
      <c r="BA197" s="148"/>
      <c r="BB197" s="148"/>
      <c r="BC197" s="148"/>
      <c r="BD197" s="145">
        <f t="shared" ca="1" si="50"/>
        <v>0</v>
      </c>
      <c r="BE197" s="148"/>
      <c r="BF197" s="148"/>
      <c r="BG197" s="148"/>
      <c r="BH197" s="148"/>
      <c r="BI197" s="148"/>
      <c r="BJ197" s="148"/>
      <c r="BK197" s="148"/>
      <c r="BL197" s="148"/>
      <c r="BM197" s="148"/>
      <c r="BN197" s="566"/>
      <c r="BO197" s="566"/>
      <c r="BP197" s="566"/>
      <c r="BQ197" s="95"/>
      <c r="BR197" s="95"/>
      <c r="BS197" s="704" t="s">
        <v>1801</v>
      </c>
      <c r="BT197" s="711"/>
      <c r="BU197" s="711"/>
      <c r="BV197" s="522"/>
      <c r="BW197" s="522"/>
    </row>
    <row r="198" spans="1:75" ht="21.75" customHeight="1">
      <c r="C198" s="44"/>
      <c r="D198" s="44"/>
      <c r="E198" s="462">
        <v>22.5</v>
      </c>
      <c r="F198" s="3" t="str" cm="1">
        <f t="array" aca="1" ref="F198" ca="1">OFFSET(E198,-1,1)</f>
        <v>1</v>
      </c>
      <c r="G198" s="44" t="s">
        <v>1197</v>
      </c>
      <c r="H198" s="587"/>
      <c r="I198" s="587" t="s">
        <v>1363</v>
      </c>
      <c r="J198" s="44"/>
      <c r="K198" s="290" t="s">
        <v>1363</v>
      </c>
      <c r="L198" s="44" t="s">
        <v>927</v>
      </c>
      <c r="M198" s="44"/>
      <c r="N198" s="44"/>
      <c r="O198" s="44"/>
      <c r="P198" s="44"/>
      <c r="Q198" s="44"/>
      <c r="R198" s="44"/>
      <c r="S198" s="44"/>
      <c r="T198" s="365" t="b" cm="1">
        <f t="array" ref="T198">T197</f>
        <v>1</v>
      </c>
      <c r="U198" s="44"/>
      <c r="V198" s="44"/>
      <c r="W198" s="44"/>
      <c r="X198" s="1094"/>
      <c r="Z198" s="1065"/>
      <c r="AB198" s="26" t="s">
        <v>1021</v>
      </c>
      <c r="AC198" s="153" t="s">
        <v>1981</v>
      </c>
      <c r="AD198" s="26" t="s">
        <v>804</v>
      </c>
      <c r="AE198" s="190">
        <f ca="1">SUMIFS(Административные!AE$25:AE$84,Административные!$F$25:$F$84,$F198,Административные!$G$25:$G$84,$G198)</f>
        <v>0</v>
      </c>
      <c r="AF198" s="190">
        <f ca="1">SUMIFS(Административные!AF$25:AF$84,Административные!$F$25:$F$84,$F198,Административные!$G$25:$G$84,$G198)</f>
        <v>0</v>
      </c>
      <c r="AG198" s="190">
        <f ca="1">SUMIFS(Административные!AG$25:AG$84,Административные!$F$25:$F$84,$F198,Административные!$G$25:$G$84,$G198)</f>
        <v>0</v>
      </c>
      <c r="AH198" s="190">
        <f t="shared" ca="1" si="47"/>
        <v>0</v>
      </c>
      <c r="AI198" s="190">
        <f ca="1">SUMIFS(Административные!AH$25:AH$84,Административные!$F$25:$F$84,$F198,Административные!$G$25:$G$84,$G198)</f>
        <v>0</v>
      </c>
      <c r="AJ198" s="190">
        <f ca="1">SUMIFS(Административные!AI$25:AI$84,Административные!$F$25:$F$84,$F198,Административные!$G$25:$G$84,$G198)</f>
        <v>0</v>
      </c>
      <c r="AK198" s="552"/>
      <c r="AL198" s="552"/>
      <c r="AM198" s="552"/>
      <c r="AN198" s="552"/>
      <c r="AO198" s="552"/>
      <c r="AP198" s="552"/>
      <c r="AQ198" s="552"/>
      <c r="AR198" s="552"/>
      <c r="AS198" s="552"/>
      <c r="AT198" s="190">
        <f ca="1">SUMIFS(Административные!AJ$25:AJ$84,Административные!$F$25:$F$84,$F198,Административные!$G$25:$G$84,$G198)</f>
        <v>0</v>
      </c>
      <c r="AU198" s="552"/>
      <c r="AV198" s="552"/>
      <c r="AW198" s="552"/>
      <c r="AX198" s="552"/>
      <c r="AY198" s="552"/>
      <c r="AZ198" s="552"/>
      <c r="BA198" s="552"/>
      <c r="BB198" s="552"/>
      <c r="BC198" s="552"/>
      <c r="BD198" s="190">
        <f t="shared" ca="1" si="50"/>
        <v>0</v>
      </c>
      <c r="BE198" s="552"/>
      <c r="BF198" s="552"/>
      <c r="BG198" s="552"/>
      <c r="BH198" s="552"/>
      <c r="BI198" s="552"/>
      <c r="BJ198" s="552"/>
      <c r="BK198" s="552"/>
      <c r="BL198" s="552"/>
      <c r="BM198" s="552"/>
      <c r="BN198" s="215"/>
      <c r="BO198" s="610" t="str">
        <f ca="1">IF(IFERROR(INDEX(Административные!$K$26:$L$84,MATCH($F198&amp;"17komm",Административные!$K$26:$K$84,0),2),"")=0,"",IFERROR(INDEX(Административные!$K$26:$L$84,MATCH($F198&amp;"17komm",Административные!$K$26:$K$84,0),2),""))</f>
        <v/>
      </c>
      <c r="BP198" s="215"/>
      <c r="BS198" s="703" t="s">
        <v>1199</v>
      </c>
    </row>
    <row r="199" spans="1:75" ht="14.25" customHeight="1">
      <c r="C199" s="44"/>
      <c r="D199" s="44"/>
      <c r="E199" s="462">
        <v>15</v>
      </c>
      <c r="F199" s="3" t="str" cm="1">
        <f t="array" aca="1" ref="F199" ca="1">OFFSET(E199,-1,1)</f>
        <v>1</v>
      </c>
      <c r="G199" s="44" t="s">
        <v>1200</v>
      </c>
      <c r="H199" s="587"/>
      <c r="I199" s="587" t="s">
        <v>1982</v>
      </c>
      <c r="J199" s="44"/>
      <c r="K199" s="290" t="s">
        <v>1982</v>
      </c>
      <c r="L199" s="44"/>
      <c r="M199" s="44"/>
      <c r="N199" s="44"/>
      <c r="O199" s="44"/>
      <c r="P199" s="44"/>
      <c r="Q199" s="44"/>
      <c r="R199" s="44"/>
      <c r="S199" s="44"/>
      <c r="T199" s="365" t="b" cm="1">
        <f t="array" ref="T199">T198</f>
        <v>1</v>
      </c>
      <c r="U199" s="44"/>
      <c r="V199" s="44"/>
      <c r="W199" s="44"/>
      <c r="X199" s="1094"/>
      <c r="Z199" s="1065"/>
      <c r="AB199" s="26" t="s">
        <v>1983</v>
      </c>
      <c r="AC199" s="553" t="s">
        <v>1201</v>
      </c>
      <c r="AD199" s="26" t="s">
        <v>804</v>
      </c>
      <c r="AE199" s="190">
        <f ca="1">SUMIFS(Административные!AE$25:AE$84,Административные!$F$25:$F$84,$F199,Административные!$G$25:$G$84,$G199)</f>
        <v>0</v>
      </c>
      <c r="AF199" s="190">
        <f ca="1">SUMIFS(Административные!AF$25:AF$84,Административные!$F$25:$F$84,$F199,Административные!$G$25:$G$84,$G199)</f>
        <v>0</v>
      </c>
      <c r="AG199" s="190">
        <f ca="1">SUMIFS(Административные!AG$25:AG$84,Административные!$F$25:$F$84,$F199,Административные!$G$25:$G$84,$G199)</f>
        <v>0</v>
      </c>
      <c r="AH199" s="190">
        <f t="shared" ca="1" si="47"/>
        <v>0</v>
      </c>
      <c r="AI199" s="190">
        <f ca="1">SUMIFS(Административные!AH$25:AH$84,Административные!$F$25:$F$84,$F199,Административные!$G$25:$G$84,$G199)</f>
        <v>0</v>
      </c>
      <c r="AJ199" s="190">
        <f ca="1">SUMIFS(Административные!AI$25:AI$84,Административные!$F$25:$F$84,$F199,Административные!$G$25:$G$84,$G199)</f>
        <v>0</v>
      </c>
      <c r="AK199" s="552"/>
      <c r="AL199" s="552"/>
      <c r="AM199" s="552"/>
      <c r="AN199" s="552"/>
      <c r="AO199" s="552"/>
      <c r="AP199" s="552"/>
      <c r="AQ199" s="552"/>
      <c r="AR199" s="552"/>
      <c r="AS199" s="552"/>
      <c r="AT199" s="190">
        <f ca="1">SUMIFS(Административные!AJ$25:AJ$84,Административные!$F$25:$F$84,$F199,Административные!$G$25:$G$84,$G199)</f>
        <v>0</v>
      </c>
      <c r="AU199" s="552"/>
      <c r="AV199" s="552"/>
      <c r="AW199" s="552"/>
      <c r="AX199" s="552"/>
      <c r="AY199" s="552"/>
      <c r="AZ199" s="552"/>
      <c r="BA199" s="552"/>
      <c r="BB199" s="552"/>
      <c r="BC199" s="552"/>
      <c r="BD199" s="190">
        <f t="shared" ca="1" si="50"/>
        <v>0</v>
      </c>
      <c r="BE199" s="552"/>
      <c r="BF199" s="552"/>
      <c r="BG199" s="552"/>
      <c r="BH199" s="552"/>
      <c r="BI199" s="552"/>
      <c r="BJ199" s="552"/>
      <c r="BK199" s="552"/>
      <c r="BL199" s="552"/>
      <c r="BM199" s="552"/>
      <c r="BN199" s="215"/>
      <c r="BO199" s="610" t="str">
        <f ca="1">IF(IFERROR(INDEX(Административные!$K$26:$L$84,MATCH($F199&amp;"18komm",Административные!$K$26:$K$84,0),2),"")=0,"",IFERROR(INDEX(Административные!$K$26:$L$84,MATCH($F199&amp;"18komm",Административные!$K$26:$K$84,0),2),""))</f>
        <v/>
      </c>
      <c r="BP199" s="215"/>
      <c r="BS199" s="705" t="s">
        <v>1202</v>
      </c>
    </row>
    <row r="200" spans="1:75" ht="14.25" customHeight="1">
      <c r="C200" s="44"/>
      <c r="D200" s="44"/>
      <c r="E200" s="462">
        <v>15</v>
      </c>
      <c r="F200" s="3" t="str" cm="1">
        <f t="array" aca="1" ref="F200" ca="1">OFFSET(E200,-1,1)</f>
        <v>1</v>
      </c>
      <c r="G200" s="44" t="s">
        <v>1203</v>
      </c>
      <c r="H200" s="587"/>
      <c r="I200" s="587" t="s">
        <v>1984</v>
      </c>
      <c r="J200" s="44"/>
      <c r="K200" s="290" t="s">
        <v>1984</v>
      </c>
      <c r="L200" s="44"/>
      <c r="M200" s="44"/>
      <c r="N200" s="44"/>
      <c r="O200" s="44"/>
      <c r="P200" s="44"/>
      <c r="Q200" s="44"/>
      <c r="R200" s="44"/>
      <c r="S200" s="44"/>
      <c r="T200" s="365" t="b" cm="1">
        <f t="array" ref="T200">T199</f>
        <v>1</v>
      </c>
      <c r="U200" s="44"/>
      <c r="V200" s="44"/>
      <c r="W200" s="44"/>
      <c r="X200" s="1094"/>
      <c r="Z200" s="1065"/>
      <c r="AB200" s="26" t="s">
        <v>1985</v>
      </c>
      <c r="AC200" s="553" t="s">
        <v>1204</v>
      </c>
      <c r="AD200" s="26" t="s">
        <v>804</v>
      </c>
      <c r="AE200" s="190">
        <f ca="1">SUMIFS(Административные!AE$25:AE$84,Административные!$F$25:$F$84,$F200,Административные!$G$25:$G$84,$G200)</f>
        <v>0</v>
      </c>
      <c r="AF200" s="190">
        <f ca="1">SUMIFS(Административные!AF$25:AF$84,Административные!$F$25:$F$84,$F200,Административные!$G$25:$G$84,$G200)</f>
        <v>0</v>
      </c>
      <c r="AG200" s="190">
        <f ca="1">SUMIFS(Административные!AG$25:AG$84,Административные!$F$25:$F$84,$F200,Административные!$G$25:$G$84,$G200)</f>
        <v>0</v>
      </c>
      <c r="AH200" s="190">
        <f t="shared" ca="1" si="47"/>
        <v>0</v>
      </c>
      <c r="AI200" s="190">
        <f ca="1">SUMIFS(Административные!AH$25:AH$84,Административные!$F$25:$F$84,$F200,Административные!$G$25:$G$84,$G200)</f>
        <v>0</v>
      </c>
      <c r="AJ200" s="190">
        <f ca="1">SUMIFS(Административные!AI$25:AI$84,Административные!$F$25:$F$84,$F200,Административные!$G$25:$G$84,$G200)</f>
        <v>0</v>
      </c>
      <c r="AK200" s="552"/>
      <c r="AL200" s="552"/>
      <c r="AM200" s="552"/>
      <c r="AN200" s="552"/>
      <c r="AO200" s="552"/>
      <c r="AP200" s="552"/>
      <c r="AQ200" s="552"/>
      <c r="AR200" s="552"/>
      <c r="AS200" s="552"/>
      <c r="AT200" s="190">
        <f ca="1">SUMIFS(Административные!AJ$25:AJ$84,Административные!$F$25:$F$84,$F200,Административные!$G$25:$G$84,$G200)</f>
        <v>0</v>
      </c>
      <c r="AU200" s="552"/>
      <c r="AV200" s="552"/>
      <c r="AW200" s="552"/>
      <c r="AX200" s="552"/>
      <c r="AY200" s="552"/>
      <c r="AZ200" s="552"/>
      <c r="BA200" s="552"/>
      <c r="BB200" s="552"/>
      <c r="BC200" s="552"/>
      <c r="BD200" s="190">
        <f t="shared" ca="1" si="50"/>
        <v>0</v>
      </c>
      <c r="BE200" s="552"/>
      <c r="BF200" s="552"/>
      <c r="BG200" s="552"/>
      <c r="BH200" s="552"/>
      <c r="BI200" s="552"/>
      <c r="BJ200" s="552"/>
      <c r="BK200" s="552"/>
      <c r="BL200" s="552"/>
      <c r="BM200" s="552"/>
      <c r="BN200" s="215"/>
      <c r="BO200" s="610" t="str">
        <f ca="1">IF(IFERROR(INDEX(Административные!$K$26:$L$84,MATCH($F200&amp;"11komm",Административные!$K$26:$K$84,0),2),"")=0,"",IFERROR(INDEX(Административные!$K$26:$L$84,MATCH($F200&amp;"11komm",Административные!$K$26:$K$84,0),2),""))</f>
        <v/>
      </c>
      <c r="BP200" s="215"/>
      <c r="BS200" s="705" t="s">
        <v>1205</v>
      </c>
    </row>
    <row r="201" spans="1:75" ht="14.25" customHeight="1">
      <c r="C201" s="44"/>
      <c r="D201" s="44"/>
      <c r="E201" s="462">
        <v>15</v>
      </c>
      <c r="F201" s="3" t="str" cm="1">
        <f t="array" aca="1" ref="F201" ca="1">OFFSET(E201,-1,1)</f>
        <v>1</v>
      </c>
      <c r="G201" s="44" t="s">
        <v>1206</v>
      </c>
      <c r="H201" s="587"/>
      <c r="I201" s="587" t="s">
        <v>1986</v>
      </c>
      <c r="J201" s="44"/>
      <c r="K201" s="290" t="s">
        <v>1986</v>
      </c>
      <c r="L201" s="44"/>
      <c r="M201" s="44"/>
      <c r="N201" s="44"/>
      <c r="O201" s="44"/>
      <c r="P201" s="44"/>
      <c r="Q201" s="44"/>
      <c r="R201" s="44"/>
      <c r="S201" s="44"/>
      <c r="T201" s="365" t="b" cm="1">
        <f t="array" ref="T201">T200</f>
        <v>1</v>
      </c>
      <c r="U201" s="44"/>
      <c r="V201" s="44"/>
      <c r="W201" s="44"/>
      <c r="X201" s="1094"/>
      <c r="Z201" s="1065"/>
      <c r="AB201" s="26" t="s">
        <v>1987</v>
      </c>
      <c r="AC201" s="553" t="s">
        <v>1207</v>
      </c>
      <c r="AD201" s="26" t="s">
        <v>804</v>
      </c>
      <c r="AE201" s="190">
        <f ca="1">SUMIFS(Административные!AE$25:AE$84,Административные!$F$25:$F$84,$F201,Административные!$G$25:$G$84,$G201)</f>
        <v>0</v>
      </c>
      <c r="AF201" s="190">
        <f ca="1">SUMIFS(Административные!AF$25:AF$84,Административные!$F$25:$F$84,$F201,Административные!$G$25:$G$84,$G201)</f>
        <v>0</v>
      </c>
      <c r="AG201" s="190">
        <f ca="1">SUMIFS(Административные!AG$25:AG$84,Административные!$F$25:$F$84,$F201,Административные!$G$25:$G$84,$G201)</f>
        <v>0</v>
      </c>
      <c r="AH201" s="190">
        <f t="shared" ca="1" si="47"/>
        <v>0</v>
      </c>
      <c r="AI201" s="190">
        <f ca="1">SUMIFS(Административные!AH$25:AH$84,Административные!$F$25:$F$84,$F201,Административные!$G$25:$G$84,$G201)</f>
        <v>0</v>
      </c>
      <c r="AJ201" s="190">
        <f ca="1">SUMIFS(Административные!AI$25:AI$84,Административные!$F$25:$F$84,$F201,Административные!$G$25:$G$84,$G201)</f>
        <v>0</v>
      </c>
      <c r="AK201" s="552"/>
      <c r="AL201" s="552"/>
      <c r="AM201" s="552"/>
      <c r="AN201" s="552"/>
      <c r="AO201" s="552"/>
      <c r="AP201" s="552"/>
      <c r="AQ201" s="552"/>
      <c r="AR201" s="552"/>
      <c r="AS201" s="552"/>
      <c r="AT201" s="190">
        <f ca="1">SUMIFS(Административные!AJ$25:AJ$84,Административные!$F$25:$F$84,$F201,Административные!$G$25:$G$84,$G201)</f>
        <v>0</v>
      </c>
      <c r="AU201" s="552"/>
      <c r="AV201" s="552"/>
      <c r="AW201" s="552"/>
      <c r="AX201" s="552"/>
      <c r="AY201" s="552"/>
      <c r="AZ201" s="552"/>
      <c r="BA201" s="552"/>
      <c r="BB201" s="552"/>
      <c r="BC201" s="552"/>
      <c r="BD201" s="190">
        <f t="shared" ca="1" si="50"/>
        <v>0</v>
      </c>
      <c r="BE201" s="552"/>
      <c r="BF201" s="552"/>
      <c r="BG201" s="552"/>
      <c r="BH201" s="552"/>
      <c r="BI201" s="552"/>
      <c r="BJ201" s="552"/>
      <c r="BK201" s="552"/>
      <c r="BL201" s="552"/>
      <c r="BM201" s="552"/>
      <c r="BN201" s="215"/>
      <c r="BO201" s="610" t="str">
        <f ca="1">IF(IFERROR(INDEX(Административные!$K$26:$L$84,MATCH($F201&amp;"12komm",Административные!$K$26:$K$84,0),2),"")=0,"",IFERROR(INDEX(Административные!$K$26:$L$84,MATCH($F201&amp;"12komm",Административные!$K$26:$K$84,0),2),""))</f>
        <v/>
      </c>
      <c r="BP201" s="215"/>
      <c r="BS201" s="705" t="s">
        <v>1208</v>
      </c>
    </row>
    <row r="202" spans="1:75" ht="14.25" customHeight="1">
      <c r="C202" s="44"/>
      <c r="D202" s="44"/>
      <c r="E202" s="462">
        <v>15</v>
      </c>
      <c r="F202" s="3" t="str" cm="1">
        <f t="array" aca="1" ref="F202" ca="1">OFFSET(E202,-1,1)</f>
        <v>1</v>
      </c>
      <c r="G202" s="44" t="s">
        <v>1209</v>
      </c>
      <c r="H202" s="587"/>
      <c r="I202" s="587" t="s">
        <v>1988</v>
      </c>
      <c r="J202" s="44"/>
      <c r="K202" s="290" t="s">
        <v>1988</v>
      </c>
      <c r="L202" s="44"/>
      <c r="M202" s="44"/>
      <c r="N202" s="44"/>
      <c r="O202" s="44"/>
      <c r="P202" s="44"/>
      <c r="Q202" s="44"/>
      <c r="R202" s="44"/>
      <c r="S202" s="44"/>
      <c r="T202" s="365" t="b" cm="1">
        <f t="array" ref="T202">T201</f>
        <v>1</v>
      </c>
      <c r="U202" s="44"/>
      <c r="V202" s="44"/>
      <c r="W202" s="44"/>
      <c r="X202" s="1094"/>
      <c r="Z202" s="1065"/>
      <c r="AB202" s="26" t="s">
        <v>1989</v>
      </c>
      <c r="AC202" s="553" t="s">
        <v>1210</v>
      </c>
      <c r="AD202" s="26" t="s">
        <v>804</v>
      </c>
      <c r="AE202" s="190">
        <f ca="1">SUMIFS(Административные!AE$25:AE$84,Административные!$F$25:$F$84,$F202,Административные!$G$25:$G$84,$G202)</f>
        <v>0</v>
      </c>
      <c r="AF202" s="190">
        <f ca="1">SUMIFS(Административные!AF$25:AF$84,Административные!$F$25:$F$84,$F202,Административные!$G$25:$G$84,$G202)</f>
        <v>0</v>
      </c>
      <c r="AG202" s="190">
        <f ca="1">SUMIFS(Административные!AG$25:AG$84,Административные!$F$25:$F$84,$F202,Административные!$G$25:$G$84,$G202)</f>
        <v>0</v>
      </c>
      <c r="AH202" s="190">
        <f t="shared" ca="1" si="47"/>
        <v>0</v>
      </c>
      <c r="AI202" s="190">
        <f ca="1">SUMIFS(Административные!AH$25:AH$84,Административные!$F$25:$F$84,$F202,Административные!$G$25:$G$84,$G202)</f>
        <v>0</v>
      </c>
      <c r="AJ202" s="190">
        <f ca="1">SUMIFS(Административные!AI$25:AI$84,Административные!$F$25:$F$84,$F202,Административные!$G$25:$G$84,$G202)</f>
        <v>0</v>
      </c>
      <c r="AK202" s="552"/>
      <c r="AL202" s="552"/>
      <c r="AM202" s="552"/>
      <c r="AN202" s="552"/>
      <c r="AO202" s="552"/>
      <c r="AP202" s="552"/>
      <c r="AQ202" s="552"/>
      <c r="AR202" s="552"/>
      <c r="AS202" s="552"/>
      <c r="AT202" s="190">
        <f ca="1">SUMIFS(Административные!AJ$25:AJ$84,Административные!$F$25:$F$84,$F202,Административные!$G$25:$G$84,$G202)</f>
        <v>0</v>
      </c>
      <c r="AU202" s="552"/>
      <c r="AV202" s="552"/>
      <c r="AW202" s="552"/>
      <c r="AX202" s="552"/>
      <c r="AY202" s="552"/>
      <c r="AZ202" s="552"/>
      <c r="BA202" s="552"/>
      <c r="BB202" s="552"/>
      <c r="BC202" s="552"/>
      <c r="BD202" s="190">
        <f t="shared" ca="1" si="50"/>
        <v>0</v>
      </c>
      <c r="BE202" s="552"/>
      <c r="BF202" s="552"/>
      <c r="BG202" s="552"/>
      <c r="BH202" s="552"/>
      <c r="BI202" s="552"/>
      <c r="BJ202" s="552"/>
      <c r="BK202" s="552"/>
      <c r="BL202" s="552"/>
      <c r="BM202" s="552"/>
      <c r="BN202" s="215"/>
      <c r="BO202" s="610" t="str">
        <f ca="1">IF(IFERROR(INDEX(Административные!$K$26:$L$84,MATCH($F202&amp;"13komm",Административные!$K$26:$K$84,0),2),"")=0,"",IFERROR(INDEX(Административные!$K$26:$L$84,MATCH($F202&amp;"13komm",Административные!$K$26:$K$84,0),2),""))</f>
        <v/>
      </c>
      <c r="BP202" s="215"/>
      <c r="BS202" s="705" t="s">
        <v>1211</v>
      </c>
    </row>
    <row r="203" spans="1:75" ht="14.25" customHeight="1">
      <c r="C203" s="44"/>
      <c r="D203" s="44"/>
      <c r="E203" s="462">
        <v>15</v>
      </c>
      <c r="F203" s="3" t="str" cm="1">
        <f t="array" aca="1" ref="F203" ca="1">OFFSET(E203,-1,1)</f>
        <v>1</v>
      </c>
      <c r="G203" s="44" t="s">
        <v>1212</v>
      </c>
      <c r="H203" s="587"/>
      <c r="I203" s="587" t="s">
        <v>1990</v>
      </c>
      <c r="J203" s="44"/>
      <c r="K203" s="290" t="s">
        <v>1990</v>
      </c>
      <c r="L203" s="44"/>
      <c r="M203" s="44"/>
      <c r="N203" s="44"/>
      <c r="O203" s="44"/>
      <c r="P203" s="44"/>
      <c r="Q203" s="44"/>
      <c r="R203" s="44"/>
      <c r="S203" s="44"/>
      <c r="T203" s="365" t="b" cm="1">
        <f t="array" ref="T203">T202</f>
        <v>1</v>
      </c>
      <c r="U203" s="44"/>
      <c r="V203" s="44"/>
      <c r="W203" s="44"/>
      <c r="X203" s="1094"/>
      <c r="Z203" s="1065"/>
      <c r="AB203" s="26" t="s">
        <v>1991</v>
      </c>
      <c r="AC203" s="553" t="s">
        <v>1213</v>
      </c>
      <c r="AD203" s="26" t="s">
        <v>804</v>
      </c>
      <c r="AE203" s="190">
        <f ca="1">SUMIFS(Административные!AE$25:AE$84,Административные!$F$25:$F$84,$F203,Административные!$G$25:$G$84,$G203)</f>
        <v>0</v>
      </c>
      <c r="AF203" s="190">
        <f ca="1">SUMIFS(Административные!AF$25:AF$84,Административные!$F$25:$F$84,$F203,Административные!$G$25:$G$84,$G203)</f>
        <v>0</v>
      </c>
      <c r="AG203" s="190">
        <f ca="1">SUMIFS(Административные!AG$25:AG$84,Административные!$F$25:$F$84,$F203,Административные!$G$25:$G$84,$G203)</f>
        <v>0</v>
      </c>
      <c r="AH203" s="190">
        <f t="shared" ca="1" si="47"/>
        <v>0</v>
      </c>
      <c r="AI203" s="190">
        <f ca="1">SUMIFS(Административные!AH$25:AH$84,Административные!$F$25:$F$84,$F203,Административные!$G$25:$G$84,$G203)</f>
        <v>0</v>
      </c>
      <c r="AJ203" s="190">
        <f ca="1">SUMIFS(Административные!AI$25:AI$84,Административные!$F$25:$F$84,$F203,Административные!$G$25:$G$84,$G203)</f>
        <v>0</v>
      </c>
      <c r="AK203" s="552"/>
      <c r="AL203" s="552"/>
      <c r="AM203" s="552"/>
      <c r="AN203" s="552"/>
      <c r="AO203" s="552"/>
      <c r="AP203" s="552"/>
      <c r="AQ203" s="552"/>
      <c r="AR203" s="552"/>
      <c r="AS203" s="552"/>
      <c r="AT203" s="190">
        <f ca="1">SUMIFS(Административные!AJ$25:AJ$84,Административные!$F$25:$F$84,$F203,Административные!$G$25:$G$84,$G203)</f>
        <v>0</v>
      </c>
      <c r="AU203" s="552"/>
      <c r="AV203" s="552"/>
      <c r="AW203" s="552"/>
      <c r="AX203" s="552"/>
      <c r="AY203" s="552"/>
      <c r="AZ203" s="552"/>
      <c r="BA203" s="552"/>
      <c r="BB203" s="552"/>
      <c r="BC203" s="552"/>
      <c r="BD203" s="190">
        <f t="shared" ca="1" si="50"/>
        <v>0</v>
      </c>
      <c r="BE203" s="552"/>
      <c r="BF203" s="552"/>
      <c r="BG203" s="552"/>
      <c r="BH203" s="552"/>
      <c r="BI203" s="552"/>
      <c r="BJ203" s="552"/>
      <c r="BK203" s="552"/>
      <c r="BL203" s="552"/>
      <c r="BM203" s="552"/>
      <c r="BN203" s="215"/>
      <c r="BO203" s="610" t="str">
        <f ca="1">IF(IFERROR(INDEX(Административные!$K$26:$L$84,MATCH($F203&amp;"14komm",Административные!$K$26:$K$84,0),2),"")=0,"",IFERROR(INDEX(Административные!$K$26:$L$84,MATCH($F203&amp;"14komm",Административные!$K$26:$K$84,0),2),""))</f>
        <v/>
      </c>
      <c r="BP203" s="215"/>
      <c r="BS203" s="705" t="s">
        <v>1992</v>
      </c>
    </row>
    <row r="204" spans="1:75" ht="14.25" customHeight="1">
      <c r="C204" s="44"/>
      <c r="D204" s="44"/>
      <c r="E204" s="462">
        <v>15</v>
      </c>
      <c r="F204" s="3" t="str" cm="1">
        <f t="array" aca="1" ref="F204" ca="1">OFFSET(E204,-1,1)</f>
        <v>1</v>
      </c>
      <c r="G204" s="44" t="s">
        <v>1215</v>
      </c>
      <c r="H204" s="587"/>
      <c r="I204" s="587" t="s">
        <v>1993</v>
      </c>
      <c r="J204" s="44"/>
      <c r="K204" s="290" t="s">
        <v>1993</v>
      </c>
      <c r="L204" s="44"/>
      <c r="M204" s="44"/>
      <c r="N204" s="44"/>
      <c r="O204" s="44"/>
      <c r="P204" s="44"/>
      <c r="Q204" s="44"/>
      <c r="R204" s="44"/>
      <c r="S204" s="44"/>
      <c r="T204" s="365" t="b" cm="1">
        <f t="array" ref="T204">T203</f>
        <v>1</v>
      </c>
      <c r="U204" s="44"/>
      <c r="V204" s="44"/>
      <c r="W204" s="44"/>
      <c r="X204" s="1094"/>
      <c r="Z204" s="1065"/>
      <c r="AB204" s="26" t="s">
        <v>1994</v>
      </c>
      <c r="AC204" s="553" t="s">
        <v>1218</v>
      </c>
      <c r="AD204" s="26" t="s">
        <v>804</v>
      </c>
      <c r="AE204" s="190">
        <f ca="1">SUMIFS(Административные!AE$25:AE$84,Административные!$F$25:$F$84,$F204,Административные!$G$25:$G$84,$G204)</f>
        <v>0</v>
      </c>
      <c r="AF204" s="190">
        <f ca="1">SUMIFS(Административные!AF$25:AF$84,Административные!$F$25:$F$84,$F204,Административные!$G$25:$G$84,$G204)</f>
        <v>0</v>
      </c>
      <c r="AG204" s="190">
        <f ca="1">SUMIFS(Административные!AG$25:AG$84,Административные!$F$25:$F$84,$F204,Административные!$G$25:$G$84,$G204)</f>
        <v>0</v>
      </c>
      <c r="AH204" s="190">
        <f t="shared" ref="AH204:AH220" ca="1" si="52">AG204-AF204</f>
        <v>0</v>
      </c>
      <c r="AI204" s="190">
        <f ca="1">SUMIFS(Административные!AH$25:AH$84,Административные!$F$25:$F$84,$F204,Административные!$G$25:$G$84,$G204)</f>
        <v>0</v>
      </c>
      <c r="AJ204" s="190">
        <f ca="1">SUMIFS(Административные!AI$25:AI$84,Административные!$F$25:$F$84,$F204,Административные!$G$25:$G$84,$G204)</f>
        <v>0</v>
      </c>
      <c r="AK204" s="552"/>
      <c r="AL204" s="552"/>
      <c r="AM204" s="552"/>
      <c r="AN204" s="552"/>
      <c r="AO204" s="552"/>
      <c r="AP204" s="552"/>
      <c r="AQ204" s="552"/>
      <c r="AR204" s="552"/>
      <c r="AS204" s="552"/>
      <c r="AT204" s="190">
        <f ca="1">SUMIFS(Административные!AJ$25:AJ$84,Административные!$F$25:$F$84,$F204,Административные!$G$25:$G$84,$G204)</f>
        <v>0</v>
      </c>
      <c r="AU204" s="552"/>
      <c r="AV204" s="552"/>
      <c r="AW204" s="552"/>
      <c r="AX204" s="552"/>
      <c r="AY204" s="552"/>
      <c r="AZ204" s="552"/>
      <c r="BA204" s="552"/>
      <c r="BB204" s="552"/>
      <c r="BC204" s="552"/>
      <c r="BD204" s="190">
        <f t="shared" ref="BD204:BD220" ca="1" si="53">IF(AI204=0,0,(AT204-AI204)/AI204*100)</f>
        <v>0</v>
      </c>
      <c r="BE204" s="552"/>
      <c r="BF204" s="552"/>
      <c r="BG204" s="552"/>
      <c r="BH204" s="552"/>
      <c r="BI204" s="552"/>
      <c r="BJ204" s="552"/>
      <c r="BK204" s="552"/>
      <c r="BL204" s="552"/>
      <c r="BM204" s="552"/>
      <c r="BN204" s="215"/>
      <c r="BO204" s="610" t="str">
        <f ca="1">IF(IFERROR(INDEX(Административные!$K$26:$L$84,MATCH($F204&amp;"15komm",Административные!$K$26:$K$84,0),2),"")=0,"",IFERROR(INDEX(Административные!$K$26:$L$84,MATCH($F204&amp;"15komm",Административные!$K$26:$K$84,0),2),""))</f>
        <v/>
      </c>
      <c r="BP204" s="215"/>
      <c r="BS204" s="705" t="s">
        <v>1219</v>
      </c>
    </row>
    <row r="205" spans="1:75" ht="14.25" customHeight="1">
      <c r="C205" s="44"/>
      <c r="D205" s="44"/>
      <c r="E205" s="462">
        <v>15</v>
      </c>
      <c r="F205" s="3" t="str" cm="1">
        <f t="array" aca="1" ref="F205" ca="1">OFFSET(E205,-1,1)</f>
        <v>1</v>
      </c>
      <c r="G205" s="44" t="s">
        <v>1220</v>
      </c>
      <c r="H205" s="587"/>
      <c r="I205" s="587" t="s">
        <v>1995</v>
      </c>
      <c r="J205" s="44"/>
      <c r="K205" s="290" t="s">
        <v>1995</v>
      </c>
      <c r="L205" s="44"/>
      <c r="M205" s="44"/>
      <c r="N205" s="44"/>
      <c r="O205" s="44"/>
      <c r="P205" s="44"/>
      <c r="Q205" s="44"/>
      <c r="R205" s="44"/>
      <c r="S205" s="44"/>
      <c r="T205" s="365" t="b" cm="1">
        <f t="array" ref="T205">T204</f>
        <v>1</v>
      </c>
      <c r="U205" s="44"/>
      <c r="V205" s="44"/>
      <c r="W205" s="44"/>
      <c r="X205" s="1094"/>
      <c r="Z205" s="1065"/>
      <c r="AB205" s="26" t="s">
        <v>1996</v>
      </c>
      <c r="AC205" s="553" t="s">
        <v>1223</v>
      </c>
      <c r="AD205" s="26" t="s">
        <v>804</v>
      </c>
      <c r="AE205" s="190">
        <f ca="1">SUMIFS(Административные!AE$25:AE$84,Административные!$F$25:$F$84,$F205,Административные!$G$25:$G$84,$G205)</f>
        <v>0</v>
      </c>
      <c r="AF205" s="190">
        <f ca="1">SUMIFS(Административные!AF$25:AF$84,Административные!$F$25:$F$84,$F205,Административные!$G$25:$G$84,$G205)</f>
        <v>0</v>
      </c>
      <c r="AG205" s="190">
        <f ca="1">SUMIFS(Административные!AG$25:AG$84,Административные!$F$25:$F$84,$F205,Административные!$G$25:$G$84,$G205)</f>
        <v>0</v>
      </c>
      <c r="AH205" s="190">
        <f t="shared" ca="1" si="52"/>
        <v>0</v>
      </c>
      <c r="AI205" s="190">
        <f ca="1">SUMIFS(Административные!AH$25:AH$84,Административные!$F$25:$F$84,$F205,Административные!$G$25:$G$84,$G205)</f>
        <v>0</v>
      </c>
      <c r="AJ205" s="190">
        <f ca="1">SUMIFS(Административные!AI$25:AI$84,Административные!$F$25:$F$84,$F205,Административные!$G$25:$G$84,$G205)</f>
        <v>0</v>
      </c>
      <c r="AK205" s="552"/>
      <c r="AL205" s="552"/>
      <c r="AM205" s="552"/>
      <c r="AN205" s="552"/>
      <c r="AO205" s="552"/>
      <c r="AP205" s="552"/>
      <c r="AQ205" s="552"/>
      <c r="AR205" s="552"/>
      <c r="AS205" s="552"/>
      <c r="AT205" s="190">
        <f ca="1">SUMIFS(Административные!AJ$25:AJ$84,Административные!$F$25:$F$84,$F205,Административные!$G$25:$G$84,$G205)</f>
        <v>0</v>
      </c>
      <c r="AU205" s="552"/>
      <c r="AV205" s="552"/>
      <c r="AW205" s="552"/>
      <c r="AX205" s="552"/>
      <c r="AY205" s="552"/>
      <c r="AZ205" s="552"/>
      <c r="BA205" s="552"/>
      <c r="BB205" s="552"/>
      <c r="BC205" s="552"/>
      <c r="BD205" s="190">
        <f t="shared" ca="1" si="53"/>
        <v>0</v>
      </c>
      <c r="BE205" s="552"/>
      <c r="BF205" s="552"/>
      <c r="BG205" s="552"/>
      <c r="BH205" s="552"/>
      <c r="BI205" s="552"/>
      <c r="BJ205" s="552"/>
      <c r="BK205" s="552"/>
      <c r="BL205" s="552"/>
      <c r="BM205" s="552"/>
      <c r="BN205" s="215"/>
      <c r="BO205" s="610" t="str">
        <f ca="1">IF(IFERROR(INDEX(Административные!$K$26:$L$84,MATCH($F205&amp;"16komm",Административные!$K$26:$K$84,0),2),"")=0,"",IFERROR(INDEX(Административные!$K$26:$L$84,MATCH($F205&amp;"16komm",Административные!$K$26:$K$84,0),2),""))</f>
        <v/>
      </c>
      <c r="BP205" s="215"/>
      <c r="BS205" s="705" t="s">
        <v>1997</v>
      </c>
    </row>
    <row r="206" spans="1:75" ht="21.75" customHeight="1">
      <c r="C206" s="44"/>
      <c r="D206" s="44"/>
      <c r="E206" s="462">
        <v>22.5</v>
      </c>
      <c r="F206" s="3" t="str" cm="1">
        <f t="array" aca="1" ref="F206" ca="1">OFFSET(E206,-1,1)</f>
        <v>1</v>
      </c>
      <c r="G206" s="44"/>
      <c r="H206" s="587"/>
      <c r="I206" s="587" t="s">
        <v>1364</v>
      </c>
      <c r="J206" s="44"/>
      <c r="K206" s="290" t="s">
        <v>1364</v>
      </c>
      <c r="L206" s="44" t="s">
        <v>929</v>
      </c>
      <c r="M206" s="44"/>
      <c r="N206" s="44"/>
      <c r="O206" s="44"/>
      <c r="P206" s="44"/>
      <c r="Q206" s="44"/>
      <c r="R206" s="44"/>
      <c r="S206" s="44"/>
      <c r="T206" s="365" t="b" cm="1">
        <f t="array" ref="T206">T205</f>
        <v>1</v>
      </c>
      <c r="U206" s="44"/>
      <c r="V206" s="44"/>
      <c r="W206" s="44"/>
      <c r="X206" s="1094"/>
      <c r="Z206" s="1065"/>
      <c r="AB206" s="26" t="s">
        <v>1024</v>
      </c>
      <c r="AC206" s="153" t="s">
        <v>1998</v>
      </c>
      <c r="AD206" s="26" t="s">
        <v>804</v>
      </c>
      <c r="AE206" s="190">
        <f ca="1">AE207+AE208</f>
        <v>0</v>
      </c>
      <c r="AF206" s="190">
        <f ca="1">AF207+AF208</f>
        <v>0</v>
      </c>
      <c r="AG206" s="190">
        <f ca="1">AG207+AG208</f>
        <v>0</v>
      </c>
      <c r="AH206" s="190">
        <f t="shared" ca="1" si="52"/>
        <v>0</v>
      </c>
      <c r="AI206" s="190">
        <f ca="1">AI207+AI208</f>
        <v>0</v>
      </c>
      <c r="AJ206" s="190">
        <f ca="1">AJ207+AJ208</f>
        <v>0</v>
      </c>
      <c r="AK206" s="552"/>
      <c r="AL206" s="552"/>
      <c r="AM206" s="552"/>
      <c r="AN206" s="552"/>
      <c r="AO206" s="552"/>
      <c r="AP206" s="552"/>
      <c r="AQ206" s="552"/>
      <c r="AR206" s="552"/>
      <c r="AS206" s="552"/>
      <c r="AT206" s="190">
        <f ca="1">AT207+AT208</f>
        <v>0</v>
      </c>
      <c r="AU206" s="552"/>
      <c r="AV206" s="552"/>
      <c r="AW206" s="552"/>
      <c r="AX206" s="552"/>
      <c r="AY206" s="552"/>
      <c r="AZ206" s="552"/>
      <c r="BA206" s="552"/>
      <c r="BB206" s="552"/>
      <c r="BC206" s="552"/>
      <c r="BD206" s="190">
        <f t="shared" ca="1" si="53"/>
        <v>0</v>
      </c>
      <c r="BE206" s="552"/>
      <c r="BF206" s="552"/>
      <c r="BG206" s="552"/>
      <c r="BH206" s="552"/>
      <c r="BI206" s="552"/>
      <c r="BJ206" s="552"/>
      <c r="BK206" s="552"/>
      <c r="BL206" s="552"/>
      <c r="BM206" s="552"/>
      <c r="BN206" s="215"/>
      <c r="BO206" s="215"/>
      <c r="BP206" s="215"/>
      <c r="BS206" s="703" t="s">
        <v>1804</v>
      </c>
    </row>
    <row r="207" spans="1:75" ht="14.25" customHeight="1">
      <c r="C207" s="44"/>
      <c r="D207" s="44"/>
      <c r="E207" s="462">
        <v>15</v>
      </c>
      <c r="F207" s="3" t="str" cm="1">
        <f t="array" aca="1" ref="F207" ca="1">OFFSET(E207,-1,1)</f>
        <v>1</v>
      </c>
      <c r="G207" s="44" t="s">
        <v>1179</v>
      </c>
      <c r="H207" s="587"/>
      <c r="I207" s="587" t="s">
        <v>1999</v>
      </c>
      <c r="J207" s="44"/>
      <c r="K207" s="290" t="s">
        <v>1999</v>
      </c>
      <c r="L207" s="44" t="s">
        <v>497</v>
      </c>
      <c r="M207" s="44"/>
      <c r="N207" s="44"/>
      <c r="O207" s="44"/>
      <c r="P207" s="44"/>
      <c r="Q207" s="44"/>
      <c r="R207" s="44"/>
      <c r="S207" s="44"/>
      <c r="T207" s="365" t="b" cm="1">
        <f t="array" ref="T207">T206</f>
        <v>1</v>
      </c>
      <c r="U207" s="44"/>
      <c r="V207" s="44"/>
      <c r="W207" s="44"/>
      <c r="X207" s="1094"/>
      <c r="Z207" s="1065"/>
      <c r="AB207" s="26" t="s">
        <v>2000</v>
      </c>
      <c r="AC207" s="553" t="s">
        <v>1805</v>
      </c>
      <c r="AD207" s="555" t="s">
        <v>804</v>
      </c>
      <c r="AE207" s="190">
        <f ca="1">SUMIFS(ФОТ!AE$25:AE$102,ФОТ!$F$25:$F$102,$F207,ФОТ!$G$25:$G$102,$G207)</f>
        <v>0</v>
      </c>
      <c r="AF207" s="190">
        <f ca="1">SUMIFS(ФОТ!AF$25:AF$102,ФОТ!$F$25:$F$102,$F207,ФОТ!$G$25:$G$102,$G207)</f>
        <v>0</v>
      </c>
      <c r="AG207" s="190">
        <f ca="1">SUMIFS(ФОТ!AG$25:AG$102,ФОТ!$F$25:$F$102,$F207,ФОТ!$G$25:$G$102,$G207)</f>
        <v>0</v>
      </c>
      <c r="AH207" s="190">
        <f t="shared" ca="1" si="52"/>
        <v>0</v>
      </c>
      <c r="AI207" s="190">
        <f ca="1">SUMIFS(ФОТ!AH$25:AH$102,ФОТ!$F$25:$F$102,$F207,ФОТ!$G$25:$G$102,$G207)</f>
        <v>0</v>
      </c>
      <c r="AJ207" s="190">
        <f ca="1">SUMIFS(ФОТ!AI$25:AI$102,ФОТ!$F$25:$F$102,$F207,ФОТ!$G$25:$G$102,$G207)</f>
        <v>0</v>
      </c>
      <c r="AK207" s="552"/>
      <c r="AL207" s="552"/>
      <c r="AM207" s="552"/>
      <c r="AN207" s="552"/>
      <c r="AO207" s="552"/>
      <c r="AP207" s="552"/>
      <c r="AQ207" s="552"/>
      <c r="AR207" s="552"/>
      <c r="AS207" s="552"/>
      <c r="AT207" s="190">
        <f ca="1">SUMIFS(ФОТ!AJ$25:AJ$102,ФОТ!$F$25:$F$102,$F207,ФОТ!$G$25:$G$102,$G207)</f>
        <v>0</v>
      </c>
      <c r="AU207" s="552"/>
      <c r="AV207" s="552"/>
      <c r="AW207" s="552"/>
      <c r="AX207" s="552"/>
      <c r="AY207" s="552"/>
      <c r="AZ207" s="552"/>
      <c r="BA207" s="552"/>
      <c r="BB207" s="552"/>
      <c r="BC207" s="552"/>
      <c r="BD207" s="190">
        <f t="shared" ca="1" si="53"/>
        <v>0</v>
      </c>
      <c r="BE207" s="552"/>
      <c r="BF207" s="552"/>
      <c r="BG207" s="552"/>
      <c r="BH207" s="552"/>
      <c r="BI207" s="552"/>
      <c r="BJ207" s="552"/>
      <c r="BK207" s="552"/>
      <c r="BL207" s="552"/>
      <c r="BM207" s="552"/>
      <c r="BN207" s="215"/>
      <c r="BO207" s="610" t="str">
        <f ca="1">IF(IFERROR(INDEX(ФОТ!$K$26:$L$102,MATCH($F207&amp;"5komm",ФОТ!$K$26:$K$102,0),2),"")=0,"",IFERROR(INDEX(ФОТ!$K$26:$L$102,MATCH($F207&amp;"5komm",ФОТ!$K$26:$K$102,0),2),""))</f>
        <v/>
      </c>
      <c r="BP207" s="215"/>
      <c r="BS207" s="703" t="s">
        <v>1196</v>
      </c>
    </row>
    <row r="208" spans="1:75" ht="21.75" customHeight="1">
      <c r="C208" s="44"/>
      <c r="D208" s="44"/>
      <c r="E208" s="462">
        <v>22.5</v>
      </c>
      <c r="F208" s="3" t="str" cm="1">
        <f t="array" aca="1" ref="F208" ca="1">OFFSET(E208,-1,1)</f>
        <v>1</v>
      </c>
      <c r="G208" s="44" t="s">
        <v>1184</v>
      </c>
      <c r="H208" s="587"/>
      <c r="I208" s="587" t="s">
        <v>2001</v>
      </c>
      <c r="J208" s="44"/>
      <c r="K208" s="290" t="s">
        <v>2001</v>
      </c>
      <c r="L208" s="44" t="s">
        <v>502</v>
      </c>
      <c r="M208" s="44"/>
      <c r="N208" s="44"/>
      <c r="O208" s="44"/>
      <c r="P208" s="44"/>
      <c r="Q208" s="44"/>
      <c r="R208" s="44"/>
      <c r="S208" s="44"/>
      <c r="T208" s="365" t="b" cm="1">
        <f t="array" ref="T208">T207</f>
        <v>1</v>
      </c>
      <c r="U208" s="44"/>
      <c r="V208" s="44"/>
      <c r="W208" s="44"/>
      <c r="X208" s="1094"/>
      <c r="Z208" s="1065"/>
      <c r="AB208" s="26" t="s">
        <v>2002</v>
      </c>
      <c r="AC208" s="553" t="s">
        <v>2003</v>
      </c>
      <c r="AD208" s="26" t="s">
        <v>804</v>
      </c>
      <c r="AE208" s="190">
        <f ca="1">SUMIFS(ФОТ!AE$25:AE$102,ФОТ!$F$25:$F$102,$F208,ФОТ!$G$25:$G$102,$G208)</f>
        <v>0</v>
      </c>
      <c r="AF208" s="190">
        <f ca="1">SUMIFS(ФОТ!AF$25:AF$102,ФОТ!$F$25:$F$102,$F208,ФОТ!$G$25:$G$102,$G208)</f>
        <v>0</v>
      </c>
      <c r="AG208" s="190">
        <f ca="1">SUMIFS(ФОТ!AG$25:AG$102,ФОТ!$F$25:$F$102,$F208,ФОТ!$G$25:$G$102,$G208)</f>
        <v>0</v>
      </c>
      <c r="AH208" s="190">
        <f t="shared" ca="1" si="52"/>
        <v>0</v>
      </c>
      <c r="AI208" s="190">
        <f ca="1">SUMIFS(ФОТ!AH$25:AH$102,ФОТ!$F$25:$F$102,$F208,ФОТ!$G$25:$G$102,$G208)</f>
        <v>0</v>
      </c>
      <c r="AJ208" s="190">
        <f ca="1">SUMIFS(ФОТ!AI$25:AI$102,ФОТ!$F$25:$F$102,$F208,ФОТ!$G$25:$G$102,$G208)</f>
        <v>0</v>
      </c>
      <c r="AK208" s="552"/>
      <c r="AL208" s="552"/>
      <c r="AM208" s="552"/>
      <c r="AN208" s="552"/>
      <c r="AO208" s="552"/>
      <c r="AP208" s="552"/>
      <c r="AQ208" s="552"/>
      <c r="AR208" s="552"/>
      <c r="AS208" s="552"/>
      <c r="AT208" s="190">
        <f ca="1">SUMIFS(ФОТ!AJ$25:AJ$102,ФОТ!$F$25:$F$102,$F208,ФОТ!$G$25:$G$102,$G208)</f>
        <v>0</v>
      </c>
      <c r="AU208" s="552"/>
      <c r="AV208" s="552"/>
      <c r="AW208" s="552"/>
      <c r="AX208" s="552"/>
      <c r="AY208" s="552"/>
      <c r="AZ208" s="552"/>
      <c r="BA208" s="552"/>
      <c r="BB208" s="552"/>
      <c r="BC208" s="552"/>
      <c r="BD208" s="190">
        <f t="shared" ca="1" si="53"/>
        <v>0</v>
      </c>
      <c r="BE208" s="552"/>
      <c r="BF208" s="552"/>
      <c r="BG208" s="552"/>
      <c r="BH208" s="552"/>
      <c r="BI208" s="552"/>
      <c r="BJ208" s="552"/>
      <c r="BK208" s="552"/>
      <c r="BL208" s="552"/>
      <c r="BM208" s="552"/>
      <c r="BN208" s="215"/>
      <c r="BO208" s="610" t="str">
        <f ca="1">IF(IFERROR(INDEX(ФОТ!$K$26:$L$102,MATCH($F208&amp;"6komm",ФОТ!$K$26:$K$102,0),2),"")=0,"",IFERROR(INDEX(ФОТ!$K$26:$L$102,MATCH($F208&amp;"6komm",ФОТ!$K$26:$K$102,0),2),""))</f>
        <v/>
      </c>
      <c r="BP208" s="215"/>
      <c r="BS208" s="703" t="s">
        <v>1807</v>
      </c>
    </row>
    <row r="209" spans="1:75" ht="32.25" customHeight="1">
      <c r="C209" s="44"/>
      <c r="D209" s="44"/>
      <c r="E209" s="462">
        <v>33.75</v>
      </c>
      <c r="F209" s="3" t="str" cm="1">
        <f t="array" aca="1" ref="F209" ca="1">OFFSET(E209,-1,1)</f>
        <v>1</v>
      </c>
      <c r="G209" s="581" t="s">
        <v>1225</v>
      </c>
      <c r="H209" s="587"/>
      <c r="I209" s="587" t="s">
        <v>1367</v>
      </c>
      <c r="J209" s="44"/>
      <c r="K209" s="290" t="s">
        <v>1367</v>
      </c>
      <c r="L209" s="44" t="s">
        <v>931</v>
      </c>
      <c r="M209" s="44"/>
      <c r="N209" s="44"/>
      <c r="O209" s="44"/>
      <c r="P209" s="44"/>
      <c r="Q209" s="44"/>
      <c r="R209" s="44"/>
      <c r="S209" s="44"/>
      <c r="T209" s="365" t="b" cm="1">
        <f t="array" ref="T209">T208</f>
        <v>1</v>
      </c>
      <c r="U209" s="44"/>
      <c r="V209" s="44"/>
      <c r="W209" s="44"/>
      <c r="X209" s="1094"/>
      <c r="Z209" s="1065"/>
      <c r="AB209" s="26" t="s">
        <v>1368</v>
      </c>
      <c r="AC209" s="153" t="s">
        <v>2004</v>
      </c>
      <c r="AD209" s="26" t="s">
        <v>804</v>
      </c>
      <c r="AE209" s="190">
        <f ca="1">SUMIFS(Административные!AE$25:AE$84,Административные!$F$25:$F$84,$F209,Административные!$G$25:$G$84,$G209)</f>
        <v>0</v>
      </c>
      <c r="AF209" s="190">
        <f ca="1">SUMIFS(Административные!AF$25:AF$84,Административные!$F$25:$F$84,$F209,Административные!$G$25:$G$84,$G209)</f>
        <v>0</v>
      </c>
      <c r="AG209" s="190">
        <f ca="1">SUMIFS(Административные!AG$25:AG$84,Административные!$F$25:$F$84,$F209,Административные!$G$25:$G$84,$G209)</f>
        <v>0</v>
      </c>
      <c r="AH209" s="190">
        <f t="shared" ca="1" si="52"/>
        <v>0</v>
      </c>
      <c r="AI209" s="190">
        <f ca="1">SUMIFS(Административные!AH$25:AH$84,Административные!$F$25:$F$84,$F209,Административные!$G$25:$G$84,$G209)</f>
        <v>0</v>
      </c>
      <c r="AJ209" s="190">
        <f ca="1">SUMIFS(Административные!AI$25:AI$84,Административные!$F$25:$F$84,$F209,Административные!$G$25:$G$84,$G209)</f>
        <v>0</v>
      </c>
      <c r="AK209" s="552"/>
      <c r="AL209" s="552"/>
      <c r="AM209" s="552"/>
      <c r="AN209" s="552"/>
      <c r="AO209" s="552"/>
      <c r="AP209" s="552"/>
      <c r="AQ209" s="552"/>
      <c r="AR209" s="552"/>
      <c r="AS209" s="552"/>
      <c r="AT209" s="190">
        <f ca="1">SUMIFS(Административные!AJ$25:AJ$84,Административные!$F$25:$F$84,$F209,Административные!$G$25:$G$84,$G209)</f>
        <v>0</v>
      </c>
      <c r="AU209" s="552"/>
      <c r="AV209" s="552"/>
      <c r="AW209" s="552"/>
      <c r="AX209" s="552"/>
      <c r="AY209" s="552"/>
      <c r="AZ209" s="552"/>
      <c r="BA209" s="552"/>
      <c r="BB209" s="552"/>
      <c r="BC209" s="552"/>
      <c r="BD209" s="190">
        <f t="shared" ca="1" si="53"/>
        <v>0</v>
      </c>
      <c r="BE209" s="552"/>
      <c r="BF209" s="552"/>
      <c r="BG209" s="552"/>
      <c r="BH209" s="552"/>
      <c r="BI209" s="552"/>
      <c r="BJ209" s="552"/>
      <c r="BK209" s="552"/>
      <c r="BL209" s="552"/>
      <c r="BM209" s="552"/>
      <c r="BN209" s="215"/>
      <c r="BO209" s="610" t="str">
        <f ca="1">IF(IFERROR(INDEX(Административные!$K$26:$L$84,MATCH($F209&amp;"2komm",Административные!$K$26:$K$84,0),2),"")=0,"",IFERROR(INDEX(Административные!$K$26:$L$84,MATCH($F209&amp;"2komm",Административные!$K$26:$K$84,0),2),""))</f>
        <v/>
      </c>
      <c r="BP209" s="215"/>
      <c r="BS209" s="703" t="s">
        <v>1227</v>
      </c>
    </row>
    <row r="210" spans="1:75" ht="14.25" customHeight="1">
      <c r="C210" s="44"/>
      <c r="D210" s="44"/>
      <c r="E210" s="462">
        <v>15</v>
      </c>
      <c r="F210" s="3" t="str" cm="1">
        <f t="array" aca="1" ref="F210" ca="1">OFFSET(E210,-1,1)</f>
        <v>1</v>
      </c>
      <c r="G210" s="581" t="s">
        <v>1228</v>
      </c>
      <c r="H210" s="587"/>
      <c r="I210" s="587" t="s">
        <v>1371</v>
      </c>
      <c r="J210" s="44"/>
      <c r="K210" s="290" t="s">
        <v>1371</v>
      </c>
      <c r="L210" s="44" t="s">
        <v>933</v>
      </c>
      <c r="M210" s="44"/>
      <c r="N210" s="44"/>
      <c r="O210" s="44"/>
      <c r="P210" s="44"/>
      <c r="Q210" s="44"/>
      <c r="R210" s="44"/>
      <c r="S210" s="44"/>
      <c r="T210" s="365" t="b" cm="1">
        <f t="array" ref="T210">T209</f>
        <v>1</v>
      </c>
      <c r="U210" s="44"/>
      <c r="V210" s="44"/>
      <c r="W210" s="44"/>
      <c r="X210" s="1094"/>
      <c r="Z210" s="1065"/>
      <c r="AB210" s="26" t="s">
        <v>1372</v>
      </c>
      <c r="AC210" s="153" t="s">
        <v>2005</v>
      </c>
      <c r="AD210" s="26" t="s">
        <v>804</v>
      </c>
      <c r="AE210" s="190">
        <f ca="1">SUMIFS(Административные!AE$25:AE$84,Административные!$F$25:$F$84,$F210,Административные!$G$25:$G$84,$G210)</f>
        <v>0</v>
      </c>
      <c r="AF210" s="190">
        <f ca="1">SUMIFS(Административные!AF$25:AF$84,Административные!$F$25:$F$84,$F210,Административные!$G$25:$G$84,$G210)</f>
        <v>0</v>
      </c>
      <c r="AG210" s="190">
        <f ca="1">SUMIFS(Административные!AG$25:AG$84,Административные!$F$25:$F$84,$F210,Административные!$G$25:$G$84,$G210)</f>
        <v>0</v>
      </c>
      <c r="AH210" s="190">
        <f t="shared" ca="1" si="52"/>
        <v>0</v>
      </c>
      <c r="AI210" s="190">
        <f ca="1">SUMIFS(Административные!AH$25:AH$84,Административные!$F$25:$F$84,$F210,Административные!$G$25:$G$84,$G210)</f>
        <v>0</v>
      </c>
      <c r="AJ210" s="190">
        <f ca="1">SUMIFS(Административные!AI$25:AI$84,Административные!$F$25:$F$84,$F210,Административные!$G$25:$G$84,$G210)</f>
        <v>0</v>
      </c>
      <c r="AK210" s="552"/>
      <c r="AL210" s="552"/>
      <c r="AM210" s="552"/>
      <c r="AN210" s="552"/>
      <c r="AO210" s="552"/>
      <c r="AP210" s="552"/>
      <c r="AQ210" s="552"/>
      <c r="AR210" s="552"/>
      <c r="AS210" s="552"/>
      <c r="AT210" s="190">
        <f ca="1">SUMIFS(Административные!AJ$25:AJ$84,Административные!$F$25:$F$84,$F210,Административные!$G$25:$G$84,$G210)</f>
        <v>0</v>
      </c>
      <c r="AU210" s="552"/>
      <c r="AV210" s="552"/>
      <c r="AW210" s="552"/>
      <c r="AX210" s="552"/>
      <c r="AY210" s="552"/>
      <c r="AZ210" s="552"/>
      <c r="BA210" s="552"/>
      <c r="BB210" s="552"/>
      <c r="BC210" s="552"/>
      <c r="BD210" s="190">
        <f t="shared" ca="1" si="53"/>
        <v>0</v>
      </c>
      <c r="BE210" s="552"/>
      <c r="BF210" s="552"/>
      <c r="BG210" s="552"/>
      <c r="BH210" s="552"/>
      <c r="BI210" s="552"/>
      <c r="BJ210" s="552"/>
      <c r="BK210" s="552"/>
      <c r="BL210" s="552"/>
      <c r="BM210" s="552"/>
      <c r="BN210" s="215"/>
      <c r="BO210" s="610" t="str">
        <f ca="1">IF(IFERROR(INDEX(Административные!$K$26:$L$84,MATCH($F210&amp;"3komm",Административные!$K$26:$K$84,0),2),"")=0,"",IFERROR(INDEX(Административные!$K$26:$L$84,MATCH($F210&amp;"3komm",Административные!$K$26:$K$84,0),2),""))</f>
        <v/>
      </c>
      <c r="BP210" s="215"/>
      <c r="BS210" s="703" t="s">
        <v>1230</v>
      </c>
    </row>
    <row r="211" spans="1:75" ht="14.25" customHeight="1">
      <c r="C211" s="44"/>
      <c r="D211" s="44"/>
      <c r="E211" s="462">
        <v>15</v>
      </c>
      <c r="F211" s="3" t="str" cm="1">
        <f t="array" aca="1" ref="F211" ca="1">OFFSET(E211,-1,1)</f>
        <v>1</v>
      </c>
      <c r="G211" s="581" t="s">
        <v>1231</v>
      </c>
      <c r="H211" s="587"/>
      <c r="I211" s="587" t="s">
        <v>2006</v>
      </c>
      <c r="J211" s="44"/>
      <c r="K211" s="290" t="s">
        <v>2006</v>
      </c>
      <c r="L211" s="44" t="s">
        <v>936</v>
      </c>
      <c r="M211" s="44"/>
      <c r="N211" s="44"/>
      <c r="O211" s="44"/>
      <c r="P211" s="44"/>
      <c r="Q211" s="44"/>
      <c r="R211" s="44"/>
      <c r="S211" s="44"/>
      <c r="T211" s="365" t="b" cm="1">
        <f t="array" ref="T211">T210</f>
        <v>1</v>
      </c>
      <c r="U211" s="44"/>
      <c r="V211" s="44"/>
      <c r="W211" s="44"/>
      <c r="X211" s="1094"/>
      <c r="Z211" s="1065"/>
      <c r="AB211" s="26" t="s">
        <v>2007</v>
      </c>
      <c r="AC211" s="153" t="s">
        <v>2008</v>
      </c>
      <c r="AD211" s="26" t="s">
        <v>804</v>
      </c>
      <c r="AE211" s="190">
        <f ca="1">SUMIFS(Административные!AE$25:AE$84,Административные!$F$25:$F$84,$F211,Административные!$G$25:$G$84,$G211)</f>
        <v>0</v>
      </c>
      <c r="AF211" s="190">
        <f ca="1">SUMIFS(Административные!AF$25:AF$84,Административные!$F$25:$F$84,$F211,Административные!$G$25:$G$84,$G211)</f>
        <v>0</v>
      </c>
      <c r="AG211" s="190">
        <f ca="1">SUMIFS(Административные!AG$25:AG$84,Административные!$F$25:$F$84,$F211,Административные!$G$25:$G$84,$G211)</f>
        <v>0</v>
      </c>
      <c r="AH211" s="190">
        <f t="shared" ca="1" si="52"/>
        <v>0</v>
      </c>
      <c r="AI211" s="190">
        <f ca="1">SUMIFS(Административные!AH$25:AH$84,Административные!$F$25:$F$84,$F211,Административные!$G$25:$G$84,$G211)</f>
        <v>0</v>
      </c>
      <c r="AJ211" s="190">
        <f ca="1">SUMIFS(Административные!AI$25:AI$84,Административные!$F$25:$F$84,$F211,Административные!$G$25:$G$84,$G211)</f>
        <v>0</v>
      </c>
      <c r="AK211" s="552"/>
      <c r="AL211" s="552"/>
      <c r="AM211" s="552"/>
      <c r="AN211" s="552"/>
      <c r="AO211" s="552"/>
      <c r="AP211" s="552"/>
      <c r="AQ211" s="552"/>
      <c r="AR211" s="552"/>
      <c r="AS211" s="552"/>
      <c r="AT211" s="190">
        <f ca="1">SUMIFS(Административные!AJ$25:AJ$84,Административные!$F$25:$F$84,$F211,Административные!$G$25:$G$84,$G211)</f>
        <v>0</v>
      </c>
      <c r="AU211" s="552"/>
      <c r="AV211" s="552"/>
      <c r="AW211" s="552"/>
      <c r="AX211" s="552"/>
      <c r="AY211" s="552"/>
      <c r="AZ211" s="552"/>
      <c r="BA211" s="552"/>
      <c r="BB211" s="552"/>
      <c r="BC211" s="552"/>
      <c r="BD211" s="190">
        <f t="shared" ca="1" si="53"/>
        <v>0</v>
      </c>
      <c r="BE211" s="552"/>
      <c r="BF211" s="552"/>
      <c r="BG211" s="552"/>
      <c r="BH211" s="552"/>
      <c r="BI211" s="552"/>
      <c r="BJ211" s="552"/>
      <c r="BK211" s="552"/>
      <c r="BL211" s="552"/>
      <c r="BM211" s="552"/>
      <c r="BN211" s="215"/>
      <c r="BO211" s="610" t="str">
        <f ca="1">IF(IFERROR(INDEX(Административные!$K$26:$L$84,MATCH($F211&amp;"4komm",Административные!$K$26:$K$84,0),2),"")=0,"",IFERROR(INDEX(Административные!$K$26:$L$84,MATCH($F211&amp;"4komm",Административные!$K$26:$K$84,0),2),""))</f>
        <v/>
      </c>
      <c r="BP211" s="215"/>
      <c r="BS211" s="703" t="s">
        <v>1233</v>
      </c>
    </row>
    <row r="212" spans="1:75" ht="14.25" customHeight="1">
      <c r="C212" s="44"/>
      <c r="D212" s="44"/>
      <c r="E212" s="462">
        <v>15</v>
      </c>
      <c r="F212" s="3" t="str" cm="1">
        <f t="array" aca="1" ref="F212" ca="1">OFFSET(E212,-1,1)</f>
        <v>1</v>
      </c>
      <c r="G212" s="581" t="s">
        <v>1234</v>
      </c>
      <c r="H212" s="587"/>
      <c r="I212" s="587" t="s">
        <v>2009</v>
      </c>
      <c r="J212" s="44"/>
      <c r="K212" s="290" t="s">
        <v>2009</v>
      </c>
      <c r="L212" s="44" t="s">
        <v>1216</v>
      </c>
      <c r="M212" s="44"/>
      <c r="N212" s="44"/>
      <c r="O212" s="44"/>
      <c r="P212" s="44"/>
      <c r="Q212" s="44"/>
      <c r="R212" s="44"/>
      <c r="S212" s="44"/>
      <c r="T212" s="365" t="b" cm="1">
        <f t="array" ref="T212">T211</f>
        <v>1</v>
      </c>
      <c r="U212" s="44"/>
      <c r="V212" s="44"/>
      <c r="W212" s="44"/>
      <c r="X212" s="1094"/>
      <c r="Z212" s="1065"/>
      <c r="AB212" s="26" t="s">
        <v>2010</v>
      </c>
      <c r="AC212" s="153" t="s">
        <v>2011</v>
      </c>
      <c r="AD212" s="26" t="s">
        <v>804</v>
      </c>
      <c r="AE212" s="190">
        <f ca="1">SUMIFS(Административные!AE$25:AE$84,Административные!$F$25:$F$84,$F212,Административные!$G$25:$G$84,$G212)</f>
        <v>0</v>
      </c>
      <c r="AF212" s="190">
        <f ca="1">SUMIFS(Административные!AF$25:AF$84,Административные!$F$25:$F$84,$F212,Административные!$G$25:$G$84,$G212)</f>
        <v>0</v>
      </c>
      <c r="AG212" s="190">
        <f ca="1">SUMIFS(Административные!AG$25:AG$84,Административные!$F$25:$F$84,$F212,Административные!$G$25:$G$84,$G212)</f>
        <v>0</v>
      </c>
      <c r="AH212" s="190">
        <f t="shared" ca="1" si="52"/>
        <v>0</v>
      </c>
      <c r="AI212" s="190">
        <f ca="1">SUMIFS(Административные!AH$25:AH$84,Административные!$F$25:$F$84,$F212,Административные!$G$25:$G$84,$G212)</f>
        <v>0</v>
      </c>
      <c r="AJ212" s="190">
        <f ca="1">SUMIFS(Административные!AI$25:AI$84,Административные!$F$25:$F$84,$F212,Административные!$G$25:$G$84,$G212)</f>
        <v>0</v>
      </c>
      <c r="AK212" s="552"/>
      <c r="AL212" s="552"/>
      <c r="AM212" s="552"/>
      <c r="AN212" s="552"/>
      <c r="AO212" s="552"/>
      <c r="AP212" s="552"/>
      <c r="AQ212" s="552"/>
      <c r="AR212" s="552"/>
      <c r="AS212" s="552"/>
      <c r="AT212" s="190">
        <f ca="1">SUMIFS(Административные!AJ$25:AJ$84,Административные!$F$25:$F$84,$F212,Административные!$G$25:$G$84,$G212)</f>
        <v>0</v>
      </c>
      <c r="AU212" s="552"/>
      <c r="AV212" s="552"/>
      <c r="AW212" s="552"/>
      <c r="AX212" s="552"/>
      <c r="AY212" s="552"/>
      <c r="AZ212" s="552"/>
      <c r="BA212" s="552"/>
      <c r="BB212" s="552"/>
      <c r="BC212" s="552"/>
      <c r="BD212" s="190">
        <f t="shared" ca="1" si="53"/>
        <v>0</v>
      </c>
      <c r="BE212" s="552"/>
      <c r="BF212" s="552"/>
      <c r="BG212" s="552"/>
      <c r="BH212" s="552"/>
      <c r="BI212" s="552"/>
      <c r="BJ212" s="552"/>
      <c r="BK212" s="552"/>
      <c r="BL212" s="552"/>
      <c r="BM212" s="552"/>
      <c r="BN212" s="215"/>
      <c r="BO212" s="610" t="str">
        <f ca="1">IF(IFERROR(INDEX(Административные!$K$26:$L$84,MATCH($F212&amp;"5komm",Административные!$K$26:$K$84,0),2),"")=0,"",IFERROR(INDEX(Административные!$K$26:$L$84,MATCH($F212&amp;"5komm",Административные!$K$26:$K$84,0),2),""))</f>
        <v/>
      </c>
      <c r="BP212" s="215"/>
      <c r="BS212" s="703" t="s">
        <v>1809</v>
      </c>
    </row>
    <row r="213" spans="1:75" ht="14.25" customHeight="1">
      <c r="C213" s="44"/>
      <c r="D213" s="44"/>
      <c r="E213" s="462">
        <v>15</v>
      </c>
      <c r="F213" s="3" t="str" cm="1">
        <f t="array" aca="1" ref="F213" ca="1">OFFSET(E213,-1,1)</f>
        <v>1</v>
      </c>
      <c r="G213" s="581" t="s">
        <v>1237</v>
      </c>
      <c r="H213" s="587"/>
      <c r="I213" s="587" t="s">
        <v>2012</v>
      </c>
      <c r="J213" s="44"/>
      <c r="K213" s="290" t="s">
        <v>2012</v>
      </c>
      <c r="L213" s="44" t="s">
        <v>1221</v>
      </c>
      <c r="M213" s="44"/>
      <c r="N213" s="44"/>
      <c r="O213" s="44"/>
      <c r="P213" s="44"/>
      <c r="Q213" s="44"/>
      <c r="R213" s="44"/>
      <c r="S213" s="44"/>
      <c r="T213" s="365" t="b" cm="1">
        <f t="array" ref="T213">T212</f>
        <v>1</v>
      </c>
      <c r="U213" s="44"/>
      <c r="V213" s="44"/>
      <c r="W213" s="44"/>
      <c r="X213" s="1094"/>
      <c r="Z213" s="1065"/>
      <c r="AB213" s="26" t="s">
        <v>2013</v>
      </c>
      <c r="AC213" s="153" t="s">
        <v>2014</v>
      </c>
      <c r="AD213" s="26" t="s">
        <v>804</v>
      </c>
      <c r="AE213" s="190">
        <f ca="1">SUMIFS(Административные!AE$25:AE$84,Административные!$F$25:$F$84,$F213,Административные!$G$25:$G$84,$G213)</f>
        <v>0</v>
      </c>
      <c r="AF213" s="190">
        <f ca="1">SUMIFS(Административные!AF$25:AF$84,Административные!$F$25:$F$84,$F213,Административные!$G$25:$G$84,$G213)</f>
        <v>0</v>
      </c>
      <c r="AG213" s="190">
        <f ca="1">SUMIFS(Административные!AG$25:AG$84,Административные!$F$25:$F$84,$F213,Административные!$G$25:$G$84,$G213)</f>
        <v>0</v>
      </c>
      <c r="AH213" s="190">
        <f t="shared" ca="1" si="52"/>
        <v>0</v>
      </c>
      <c r="AI213" s="190">
        <f ca="1">SUMIFS(Административные!AH$25:AH$84,Административные!$F$25:$F$84,$F213,Административные!$G$25:$G$84,$G213)</f>
        <v>0</v>
      </c>
      <c r="AJ213" s="190">
        <f ca="1">SUMIFS(Административные!AI$25:AI$84,Административные!$F$25:$F$84,$F213,Административные!$G$25:$G$84,$G213)</f>
        <v>0</v>
      </c>
      <c r="AK213" s="552"/>
      <c r="AL213" s="552"/>
      <c r="AM213" s="552"/>
      <c r="AN213" s="552"/>
      <c r="AO213" s="552"/>
      <c r="AP213" s="552"/>
      <c r="AQ213" s="552"/>
      <c r="AR213" s="552"/>
      <c r="AS213" s="552"/>
      <c r="AT213" s="190">
        <f ca="1">SUMIFS(Административные!AJ$25:AJ$84,Административные!$F$25:$F$84,$F213,Административные!$G$25:$G$84,$G213)</f>
        <v>0</v>
      </c>
      <c r="AU213" s="552"/>
      <c r="AV213" s="552"/>
      <c r="AW213" s="552"/>
      <c r="AX213" s="552"/>
      <c r="AY213" s="552"/>
      <c r="AZ213" s="552"/>
      <c r="BA213" s="552"/>
      <c r="BB213" s="552"/>
      <c r="BC213" s="552"/>
      <c r="BD213" s="190">
        <f t="shared" ca="1" si="53"/>
        <v>0</v>
      </c>
      <c r="BE213" s="552"/>
      <c r="BF213" s="552"/>
      <c r="BG213" s="552"/>
      <c r="BH213" s="552"/>
      <c r="BI213" s="552"/>
      <c r="BJ213" s="552"/>
      <c r="BK213" s="552"/>
      <c r="BL213" s="552"/>
      <c r="BM213" s="552"/>
      <c r="BN213" s="215"/>
      <c r="BO213" s="610" t="str">
        <f ca="1">IF(IFERROR(INDEX(Административные!$K$26:$L$84,MATCH($F213&amp;"6komm",Административные!$K$26:$K$84,0),2),"")=0,"",IFERROR(INDEX(Административные!$K$26:$L$84,MATCH($F213&amp;"6komm",Административные!$K$26:$K$84,0),2),""))</f>
        <v/>
      </c>
      <c r="BP213" s="215"/>
      <c r="BS213" s="703" t="s">
        <v>1811</v>
      </c>
    </row>
    <row r="214" spans="1:75" ht="14.25" customHeight="1">
      <c r="C214" s="44"/>
      <c r="D214" s="44"/>
      <c r="E214" s="462">
        <v>15</v>
      </c>
      <c r="F214" s="3" t="str" cm="1">
        <f t="array" aca="1" ref="F214" ca="1">OFFSET(E214,-1,1)</f>
        <v>1</v>
      </c>
      <c r="G214" s="581" t="s">
        <v>1239</v>
      </c>
      <c r="H214" s="587"/>
      <c r="I214" s="587" t="s">
        <v>2015</v>
      </c>
      <c r="J214" s="44"/>
      <c r="K214" s="290" t="s">
        <v>2015</v>
      </c>
      <c r="L214" s="44" t="s">
        <v>1812</v>
      </c>
      <c r="M214" s="44"/>
      <c r="N214" s="44"/>
      <c r="O214" s="44"/>
      <c r="P214" s="44"/>
      <c r="Q214" s="44"/>
      <c r="R214" s="44"/>
      <c r="S214" s="44"/>
      <c r="T214" s="365" t="b" cm="1">
        <f t="array" ref="T214">T213</f>
        <v>1</v>
      </c>
      <c r="U214" s="44"/>
      <c r="V214" s="44"/>
      <c r="W214" s="44"/>
      <c r="X214" s="1094"/>
      <c r="Z214" s="1065"/>
      <c r="AB214" s="26" t="s">
        <v>2016</v>
      </c>
      <c r="AC214" s="553" t="s">
        <v>1814</v>
      </c>
      <c r="AD214" s="26" t="s">
        <v>804</v>
      </c>
      <c r="AE214" s="190">
        <f ca="1">SUMIFS(Административные!AE$25:AE$84,Административные!$F$25:$F$84,$F214,Административные!$G$25:$G$84,$G214)</f>
        <v>0</v>
      </c>
      <c r="AF214" s="190">
        <f ca="1">SUMIFS(Административные!AF$25:AF$84,Административные!$F$25:$F$84,$F214,Административные!$G$25:$G$84,$G214)</f>
        <v>0</v>
      </c>
      <c r="AG214" s="190">
        <f ca="1">SUMIFS(Административные!AG$25:AG$84,Административные!$F$25:$F$84,$F214,Административные!$G$25:$G$84,$G214)</f>
        <v>0</v>
      </c>
      <c r="AH214" s="190">
        <f t="shared" ca="1" si="52"/>
        <v>0</v>
      </c>
      <c r="AI214" s="190">
        <f ca="1">SUMIFS(Административные!AH$25:AH$84,Административные!$F$25:$F$84,$F214,Административные!$G$25:$G$84,$G214)</f>
        <v>0</v>
      </c>
      <c r="AJ214" s="190">
        <f ca="1">SUMIFS(Административные!AI$25:AI$84,Административные!$F$25:$F$84,$F214,Административные!$G$25:$G$84,$G214)</f>
        <v>0</v>
      </c>
      <c r="AK214" s="552"/>
      <c r="AL214" s="552"/>
      <c r="AM214" s="552"/>
      <c r="AN214" s="552"/>
      <c r="AO214" s="552"/>
      <c r="AP214" s="552"/>
      <c r="AQ214" s="552"/>
      <c r="AR214" s="552"/>
      <c r="AS214" s="552"/>
      <c r="AT214" s="190">
        <f ca="1">SUMIFS(Административные!AJ$25:AJ$84,Административные!$F$25:$F$84,$F214,Административные!$G$25:$G$84,$G214)</f>
        <v>0</v>
      </c>
      <c r="AU214" s="552"/>
      <c r="AV214" s="552"/>
      <c r="AW214" s="552"/>
      <c r="AX214" s="552"/>
      <c r="AY214" s="552"/>
      <c r="AZ214" s="552"/>
      <c r="BA214" s="552"/>
      <c r="BB214" s="552"/>
      <c r="BC214" s="552"/>
      <c r="BD214" s="190">
        <f t="shared" ca="1" si="53"/>
        <v>0</v>
      </c>
      <c r="BE214" s="552"/>
      <c r="BF214" s="552"/>
      <c r="BG214" s="552"/>
      <c r="BH214" s="552"/>
      <c r="BI214" s="552"/>
      <c r="BJ214" s="552"/>
      <c r="BK214" s="552"/>
      <c r="BL214" s="552"/>
      <c r="BM214" s="552"/>
      <c r="BN214" s="215"/>
      <c r="BO214" s="610" t="str">
        <f ca="1">IF(IFERROR(INDEX(Административные!$K$26:$L$84,MATCH($F214&amp;"7komm",Административные!$K$26:$K$84,0),2),"")=0,"",IFERROR(INDEX(Административные!$K$26:$L$84,MATCH($F214&amp;"7komm",Административные!$K$26:$K$84,0),2),""))</f>
        <v/>
      </c>
      <c r="BP214" s="215"/>
      <c r="BS214" s="703" t="s">
        <v>1815</v>
      </c>
    </row>
    <row r="215" spans="1:75" ht="14.25" customHeight="1">
      <c r="C215" s="44"/>
      <c r="D215" s="44"/>
      <c r="E215" s="462">
        <v>15</v>
      </c>
      <c r="F215" s="3" t="str" cm="1">
        <f t="array" aca="1" ref="F215" ca="1">OFFSET(E215,-1,1)</f>
        <v>1</v>
      </c>
      <c r="G215" s="581" t="s">
        <v>1242</v>
      </c>
      <c r="H215" s="587"/>
      <c r="I215" s="587" t="s">
        <v>2017</v>
      </c>
      <c r="J215" s="44"/>
      <c r="K215" s="290" t="s">
        <v>2017</v>
      </c>
      <c r="L215" s="44" t="s">
        <v>1816</v>
      </c>
      <c r="M215" s="44"/>
      <c r="N215" s="44"/>
      <c r="O215" s="44"/>
      <c r="P215" s="44"/>
      <c r="Q215" s="44"/>
      <c r="R215" s="44"/>
      <c r="S215" s="44"/>
      <c r="T215" s="365" t="b" cm="1">
        <f t="array" ref="T215">T214</f>
        <v>1</v>
      </c>
      <c r="U215" s="44"/>
      <c r="V215" s="44"/>
      <c r="W215" s="44"/>
      <c r="X215" s="1094"/>
      <c r="Z215" s="1065"/>
      <c r="AB215" s="26" t="s">
        <v>2018</v>
      </c>
      <c r="AC215" s="553" t="s">
        <v>1243</v>
      </c>
      <c r="AD215" s="26" t="s">
        <v>804</v>
      </c>
      <c r="AE215" s="190">
        <f ca="1">SUMIFS(Административные!AE$25:AE$84,Административные!$F$25:$F$84,$F215,Административные!$G$25:$G$84,$G215)</f>
        <v>0</v>
      </c>
      <c r="AF215" s="190">
        <f ca="1">SUMIFS(Административные!AF$25:AF$84,Административные!$F$25:$F$84,$F215,Административные!$G$25:$G$84,$G215)</f>
        <v>0</v>
      </c>
      <c r="AG215" s="190">
        <f ca="1">SUMIFS(Административные!AG$25:AG$84,Административные!$F$25:$F$84,$F215,Административные!$G$25:$G$84,$G215)</f>
        <v>0</v>
      </c>
      <c r="AH215" s="190">
        <f t="shared" ca="1" si="52"/>
        <v>0</v>
      </c>
      <c r="AI215" s="190">
        <f ca="1">SUMIFS(Административные!AH$25:AH$84,Административные!$F$25:$F$84,$F215,Административные!$G$25:$G$84,$G215)</f>
        <v>0</v>
      </c>
      <c r="AJ215" s="190">
        <f ca="1">SUMIFS(Административные!AI$25:AI$84,Административные!$F$25:$F$84,$F215,Административные!$G$25:$G$84,$G215)</f>
        <v>0</v>
      </c>
      <c r="AK215" s="552"/>
      <c r="AL215" s="552"/>
      <c r="AM215" s="552"/>
      <c r="AN215" s="552"/>
      <c r="AO215" s="552"/>
      <c r="AP215" s="552"/>
      <c r="AQ215" s="552"/>
      <c r="AR215" s="552"/>
      <c r="AS215" s="552"/>
      <c r="AT215" s="190">
        <f ca="1">SUMIFS(Административные!AJ$25:AJ$84,Административные!$F$25:$F$84,$F215,Административные!$G$25:$G$84,$G215)</f>
        <v>0</v>
      </c>
      <c r="AU215" s="552"/>
      <c r="AV215" s="552"/>
      <c r="AW215" s="552"/>
      <c r="AX215" s="552"/>
      <c r="AY215" s="552"/>
      <c r="AZ215" s="552"/>
      <c r="BA215" s="552"/>
      <c r="BB215" s="552"/>
      <c r="BC215" s="552"/>
      <c r="BD215" s="190">
        <f t="shared" ca="1" si="53"/>
        <v>0</v>
      </c>
      <c r="BE215" s="552"/>
      <c r="BF215" s="552"/>
      <c r="BG215" s="552"/>
      <c r="BH215" s="552"/>
      <c r="BI215" s="552"/>
      <c r="BJ215" s="552"/>
      <c r="BK215" s="552"/>
      <c r="BL215" s="552"/>
      <c r="BM215" s="552"/>
      <c r="BN215" s="215"/>
      <c r="BO215" s="610" t="str">
        <f ca="1">IF(IFERROR(INDEX(Административные!$K$26:$L$84,MATCH($F215&amp;"8komm",Административные!$K$26:$K$84,0),2),"")=0,"",IFERROR(INDEX(Административные!$K$26:$L$84,MATCH($F215&amp;"8komm",Административные!$K$26:$K$84,0),2),""))</f>
        <v/>
      </c>
      <c r="BP215" s="215"/>
      <c r="BS215" s="703" t="s">
        <v>1818</v>
      </c>
    </row>
    <row r="216" spans="1:75" ht="14.25" customHeight="1">
      <c r="C216" s="44"/>
      <c r="D216" s="44"/>
      <c r="E216" s="462">
        <v>15</v>
      </c>
      <c r="F216" s="3" t="str" cm="1">
        <f t="array" aca="1" ref="F216" ca="1">OFFSET(E216,-1,1)</f>
        <v>1</v>
      </c>
      <c r="G216" s="44" t="s">
        <v>1245</v>
      </c>
      <c r="H216" s="587"/>
      <c r="I216" s="587" t="s">
        <v>2019</v>
      </c>
      <c r="J216" s="44"/>
      <c r="K216" s="290" t="s">
        <v>2019</v>
      </c>
      <c r="L216" s="44" t="s">
        <v>1819</v>
      </c>
      <c r="M216" s="44"/>
      <c r="N216" s="44"/>
      <c r="O216" s="44"/>
      <c r="P216" s="44"/>
      <c r="Q216" s="44"/>
      <c r="R216" s="44"/>
      <c r="S216" s="44"/>
      <c r="T216" s="365" t="b" cm="1">
        <f t="array" ref="T216">T215</f>
        <v>1</v>
      </c>
      <c r="U216" s="44"/>
      <c r="V216" s="44"/>
      <c r="W216" s="44"/>
      <c r="X216" s="1094"/>
      <c r="Z216" s="1065"/>
      <c r="AB216" s="26" t="s">
        <v>2020</v>
      </c>
      <c r="AC216" s="553" t="s">
        <v>1246</v>
      </c>
      <c r="AD216" s="26" t="s">
        <v>804</v>
      </c>
      <c r="AE216" s="190">
        <f ca="1">SUMIFS(Административные!AE$25:AE$84,Административные!$F$25:$F$84,$F216,Административные!$G$25:$G$84,$G216)</f>
        <v>0</v>
      </c>
      <c r="AF216" s="190">
        <f ca="1">SUMIFS(Административные!AF$25:AF$84,Административные!$F$25:$F$84,$F216,Административные!$G$25:$G$84,$G216)</f>
        <v>0</v>
      </c>
      <c r="AG216" s="190">
        <f ca="1">SUMIFS(Административные!AG$25:AG$84,Административные!$F$25:$F$84,$F216,Административные!$G$25:$G$84,$G216)</f>
        <v>0</v>
      </c>
      <c r="AH216" s="190">
        <f t="shared" ca="1" si="52"/>
        <v>0</v>
      </c>
      <c r="AI216" s="190">
        <f ca="1">SUMIFS(Административные!AH$25:AH$84,Административные!$F$25:$F$84,$F216,Административные!$G$25:$G$84,$G216)</f>
        <v>0</v>
      </c>
      <c r="AJ216" s="190">
        <f ca="1">SUMIFS(Административные!AI$25:AI$84,Административные!$F$25:$F$84,$F216,Административные!$G$25:$G$84,$G216)</f>
        <v>0</v>
      </c>
      <c r="AK216" s="552"/>
      <c r="AL216" s="552"/>
      <c r="AM216" s="552"/>
      <c r="AN216" s="552"/>
      <c r="AO216" s="552"/>
      <c r="AP216" s="552"/>
      <c r="AQ216" s="552"/>
      <c r="AR216" s="552"/>
      <c r="AS216" s="552"/>
      <c r="AT216" s="190">
        <f ca="1">SUMIFS(Административные!AJ$25:AJ$84,Административные!$F$25:$F$84,$F216,Административные!$G$25:$G$84,$G216)</f>
        <v>0</v>
      </c>
      <c r="AU216" s="552"/>
      <c r="AV216" s="552"/>
      <c r="AW216" s="552"/>
      <c r="AX216" s="552"/>
      <c r="AY216" s="552"/>
      <c r="AZ216" s="552"/>
      <c r="BA216" s="552"/>
      <c r="BB216" s="552"/>
      <c r="BC216" s="552"/>
      <c r="BD216" s="190">
        <f t="shared" ca="1" si="53"/>
        <v>0</v>
      </c>
      <c r="BE216" s="552"/>
      <c r="BF216" s="552"/>
      <c r="BG216" s="552"/>
      <c r="BH216" s="552"/>
      <c r="BI216" s="552"/>
      <c r="BJ216" s="552"/>
      <c r="BK216" s="552"/>
      <c r="BL216" s="552"/>
      <c r="BM216" s="552"/>
      <c r="BN216" s="215"/>
      <c r="BO216" s="610" t="str">
        <f ca="1">IF(IFERROR(INDEX(Административные!$K$26:$L$84,MATCH($F216&amp;"9komm",Административные!$K$26:$K$84,0),2),"")=0,"",IFERROR(INDEX(Административные!$K$26:$L$84,MATCH($F216&amp;"9komm",Административные!$K$26:$K$84,0),2),""))</f>
        <v/>
      </c>
      <c r="BP216" s="215"/>
      <c r="BS216" s="703" t="s">
        <v>1821</v>
      </c>
    </row>
    <row r="217" spans="1:75" ht="21.75" customHeight="1">
      <c r="B217" s="341" t="b">
        <f>STATUS_GO="да"</f>
        <v>0</v>
      </c>
      <c r="C217" s="44"/>
      <c r="D217" s="44"/>
      <c r="E217" s="462">
        <v>22.5</v>
      </c>
      <c r="F217" s="3" t="str" cm="1">
        <f t="array" aca="1" ref="F217" ca="1">OFFSET(E217,-1,1)</f>
        <v>1</v>
      </c>
      <c r="G217" s="44"/>
      <c r="H217" s="587"/>
      <c r="I217" s="587" t="s">
        <v>909</v>
      </c>
      <c r="J217" s="44"/>
      <c r="K217" s="290" t="s">
        <v>909</v>
      </c>
      <c r="L217" s="44" t="s">
        <v>331</v>
      </c>
      <c r="M217" s="44"/>
      <c r="N217" s="44"/>
      <c r="O217" s="44"/>
      <c r="P217" s="44"/>
      <c r="Q217" s="44"/>
      <c r="R217" s="44"/>
      <c r="S217" s="44"/>
      <c r="T217" s="365" t="b" cm="1">
        <f t="array" ref="T217">T216</f>
        <v>1</v>
      </c>
      <c r="U217" s="44"/>
      <c r="V217" s="44"/>
      <c r="W217" s="44"/>
      <c r="X217" s="1094"/>
      <c r="Z217" s="1065"/>
      <c r="AB217" s="26" t="s">
        <v>910</v>
      </c>
      <c r="AC217" s="146" t="s">
        <v>2021</v>
      </c>
      <c r="AD217" s="26" t="s">
        <v>804</v>
      </c>
      <c r="AE217" s="190">
        <f ca="1">SUMIFS('Сбытовые расходы ГО'!AE$25:AE$63,'Сбытовые расходы ГО'!$F$25:$F$63,$F217,'Сбытовые расходы ГО'!$G$25:$G$63,"L0")-SUMIFS('Сбытовые расходы ГО'!AE$25:AE$63,'Сбытовые расходы ГО'!$F$25:$F$63,$F217,'Сбытовые расходы ГО'!$G$25:$G$63,"L1")</f>
        <v>0</v>
      </c>
      <c r="AF217" s="190">
        <f ca="1">SUMIFS('Сбытовые расходы ГО'!AF$25:AF$63,'Сбытовые расходы ГО'!$F$25:$F$63,$F217,'Сбытовые расходы ГО'!$G$25:$G$63,"L0")-SUMIFS('Сбытовые расходы ГО'!AF$25:AF$63,'Сбытовые расходы ГО'!$F$25:$F$63,$F217,'Сбытовые расходы ГО'!$G$25:$G$63,"L1")</f>
        <v>0</v>
      </c>
      <c r="AG217" s="190">
        <f ca="1">SUMIFS('Сбытовые расходы ГО'!AG$25:AG$63,'Сбытовые расходы ГО'!$F$25:$F$63,$F217,'Сбытовые расходы ГО'!$G$25:$G$63,"L0")-SUMIFS('Сбытовые расходы ГО'!AG$25:AG$63,'Сбытовые расходы ГО'!$F$25:$F$63,$F217,'Сбытовые расходы ГО'!$G$25:$G$63,"L1")</f>
        <v>0</v>
      </c>
      <c r="AH217" s="190">
        <f t="shared" ca="1" si="52"/>
        <v>0</v>
      </c>
      <c r="AI217" s="190">
        <f ca="1">SUMIFS('Сбытовые расходы ГО'!AH$25:AH$63,'Сбытовые расходы ГО'!$F$25:$F$63,$F217,'Сбытовые расходы ГО'!$G$25:$G$63,"L0")-SUMIFS('Сбытовые расходы ГО'!AH$25:AH$63,'Сбытовые расходы ГО'!$F$25:$F$63,$F217,'Сбытовые расходы ГО'!$G$25:$G$63,"L1")</f>
        <v>0</v>
      </c>
      <c r="AJ217" s="190">
        <f ca="1">SUMIFS('Сбытовые расходы ГО'!AI$25:AI$63,'Сбытовые расходы ГО'!$F$25:$F$63,$F217,'Сбытовые расходы ГО'!$G$25:$G$63,"L0")-SUMIFS('Сбытовые расходы ГО'!AI$25:AI$63,'Сбытовые расходы ГО'!$F$25:$F$63,$F217,'Сбытовые расходы ГО'!$G$25:$G$63,"L1")</f>
        <v>0</v>
      </c>
      <c r="AK217" s="552"/>
      <c r="AL217" s="552"/>
      <c r="AM217" s="552"/>
      <c r="AN217" s="552"/>
      <c r="AO217" s="552"/>
      <c r="AP217" s="552"/>
      <c r="AQ217" s="552"/>
      <c r="AR217" s="552"/>
      <c r="AS217" s="552"/>
      <c r="AT217" s="190">
        <f ca="1">SUMIFS('Сбытовые расходы ГО'!AJ$25:AJ$63,'Сбытовые расходы ГО'!$F$25:$F$63,$F217,'Сбытовые расходы ГО'!$G$25:$G$63,"L0")-SUMIFS('Сбытовые расходы ГО'!AJ$25:AJ$63,'Сбытовые расходы ГО'!$F$25:$F$63,$F217,'Сбытовые расходы ГО'!$G$25:$G$63,"L1")</f>
        <v>0</v>
      </c>
      <c r="AU217" s="552"/>
      <c r="AV217" s="552"/>
      <c r="AW217" s="552"/>
      <c r="AX217" s="552"/>
      <c r="AY217" s="552"/>
      <c r="AZ217" s="552"/>
      <c r="BA217" s="552"/>
      <c r="BB217" s="552"/>
      <c r="BC217" s="552"/>
      <c r="BD217" s="190">
        <f t="shared" ca="1" si="53"/>
        <v>0</v>
      </c>
      <c r="BE217" s="552"/>
      <c r="BF217" s="552"/>
      <c r="BG217" s="552"/>
      <c r="BH217" s="552"/>
      <c r="BI217" s="552"/>
      <c r="BJ217" s="552"/>
      <c r="BK217" s="552"/>
      <c r="BL217" s="552"/>
      <c r="BM217" s="552"/>
      <c r="BN217" s="215"/>
      <c r="BO217" s="215"/>
      <c r="BP217" s="215"/>
      <c r="BS217" s="704" t="s">
        <v>1823</v>
      </c>
    </row>
    <row r="218" spans="1:75" ht="14.25" customHeight="1">
      <c r="C218" s="44"/>
      <c r="D218" s="44"/>
      <c r="E218" s="462">
        <v>15</v>
      </c>
      <c r="F218" s="3" t="str" cm="1">
        <f t="array" aca="1" ref="F218" ca="1">OFFSET(E218,-1,1)</f>
        <v>1</v>
      </c>
      <c r="G218" s="44"/>
      <c r="H218" s="587"/>
      <c r="I218" s="587" t="s">
        <v>1762</v>
      </c>
      <c r="J218" s="44"/>
      <c r="K218" s="290" t="s">
        <v>1762</v>
      </c>
      <c r="L218" s="44"/>
      <c r="M218" s="44"/>
      <c r="N218" s="44"/>
      <c r="O218" s="44"/>
      <c r="P218" s="44"/>
      <c r="Q218" s="44"/>
      <c r="R218" s="44"/>
      <c r="S218" s="44"/>
      <c r="T218" s="365" t="b" cm="1">
        <f t="array" ref="T218">T217</f>
        <v>1</v>
      </c>
      <c r="U218" s="44"/>
      <c r="V218" s="44"/>
      <c r="W218" s="44"/>
      <c r="X218" s="1094"/>
      <c r="Z218" s="1065"/>
      <c r="AB218" s="26" t="s">
        <v>1763</v>
      </c>
      <c r="AC218" s="146" t="s">
        <v>2022</v>
      </c>
      <c r="AD218" s="26" t="s">
        <v>804</v>
      </c>
      <c r="AE218" s="147"/>
      <c r="AF218" s="147"/>
      <c r="AG218" s="147"/>
      <c r="AH218" s="190">
        <f t="shared" si="52"/>
        <v>0</v>
      </c>
      <c r="AI218" s="147"/>
      <c r="AJ218" s="147"/>
      <c r="AK218" s="552"/>
      <c r="AL218" s="552"/>
      <c r="AM218" s="552"/>
      <c r="AN218" s="552"/>
      <c r="AO218" s="552"/>
      <c r="AP218" s="552"/>
      <c r="AQ218" s="552"/>
      <c r="AR218" s="552"/>
      <c r="AS218" s="552"/>
      <c r="AT218" s="147"/>
      <c r="AU218" s="552"/>
      <c r="AV218" s="552"/>
      <c r="AW218" s="552"/>
      <c r="AX218" s="552"/>
      <c r="AY218" s="552"/>
      <c r="AZ218" s="552"/>
      <c r="BA218" s="552"/>
      <c r="BB218" s="552"/>
      <c r="BC218" s="552"/>
      <c r="BD218" s="190">
        <f t="shared" si="53"/>
        <v>0</v>
      </c>
      <c r="BE218" s="552"/>
      <c r="BF218" s="552"/>
      <c r="BG218" s="552"/>
      <c r="BH218" s="552"/>
      <c r="BI218" s="552"/>
      <c r="BJ218" s="552"/>
      <c r="BK218" s="552"/>
      <c r="BL218" s="552"/>
      <c r="BM218" s="552"/>
      <c r="BN218" s="215"/>
      <c r="BO218" s="215"/>
      <c r="BP218" s="215"/>
      <c r="BS218" s="705" t="s">
        <v>2023</v>
      </c>
    </row>
    <row r="219" spans="1:75" s="950" customFormat="1" ht="20.25" customHeight="1">
      <c r="A219" s="95"/>
      <c r="B219" s="344"/>
      <c r="C219" s="46"/>
      <c r="D219" s="46"/>
      <c r="E219" s="569">
        <v>21</v>
      </c>
      <c r="F219" s="3" t="str" cm="1">
        <f t="array" aca="1" ref="F219" ca="1">OFFSET(E219,-1,1)</f>
        <v>1</v>
      </c>
      <c r="G219" s="46"/>
      <c r="H219" s="587"/>
      <c r="I219" s="587" t="s">
        <v>1766</v>
      </c>
      <c r="J219" s="46"/>
      <c r="K219" s="290" t="s">
        <v>1766</v>
      </c>
      <c r="L219" s="46"/>
      <c r="M219" s="46"/>
      <c r="N219" s="46"/>
      <c r="O219" s="46"/>
      <c r="P219" s="46"/>
      <c r="Q219" s="46"/>
      <c r="R219" s="46"/>
      <c r="S219" s="46"/>
      <c r="T219" s="365" t="b">
        <f ca="1">AND(F219&gt;0,method_reg="Метод индексации")</f>
        <v>1</v>
      </c>
      <c r="U219" s="46"/>
      <c r="V219" s="46"/>
      <c r="W219" s="46"/>
      <c r="X219" s="1094"/>
      <c r="Y219" s="95"/>
      <c r="Z219" s="1065"/>
      <c r="AA219" s="95"/>
      <c r="AB219" s="143" t="s">
        <v>1767</v>
      </c>
      <c r="AC219" s="276" t="s">
        <v>2024</v>
      </c>
      <c r="AD219" s="143" t="s">
        <v>804</v>
      </c>
      <c r="AE219" s="145">
        <f>SUM(AE220:AE221)</f>
        <v>0</v>
      </c>
      <c r="AF219" s="145">
        <f>SUM(AF220:AF221)</f>
        <v>0</v>
      </c>
      <c r="AG219" s="145">
        <f>SUM(AG220:AG221)</f>
        <v>0</v>
      </c>
      <c r="AH219" s="145">
        <f t="shared" si="52"/>
        <v>0</v>
      </c>
      <c r="AI219" s="145">
        <f>SUM(AI220:AI221)</f>
        <v>0</v>
      </c>
      <c r="AJ219" s="145">
        <f>SUM(AJ220:AJ221)</f>
        <v>0</v>
      </c>
      <c r="AK219" s="148"/>
      <c r="AL219" s="148"/>
      <c r="AM219" s="148"/>
      <c r="AN219" s="148"/>
      <c r="AO219" s="148"/>
      <c r="AP219" s="148"/>
      <c r="AQ219" s="148"/>
      <c r="AR219" s="148"/>
      <c r="AS219" s="148"/>
      <c r="AT219" s="145">
        <f>SUM(AT220:AT221)</f>
        <v>0</v>
      </c>
      <c r="AU219" s="148"/>
      <c r="AV219" s="148"/>
      <c r="AW219" s="148"/>
      <c r="AX219" s="148"/>
      <c r="AY219" s="148"/>
      <c r="AZ219" s="148"/>
      <c r="BA219" s="148"/>
      <c r="BB219" s="148"/>
      <c r="BC219" s="148"/>
      <c r="BD219" s="145">
        <f t="shared" si="53"/>
        <v>0</v>
      </c>
      <c r="BE219" s="148"/>
      <c r="BF219" s="148"/>
      <c r="BG219" s="148"/>
      <c r="BH219" s="148"/>
      <c r="BI219" s="148"/>
      <c r="BJ219" s="148"/>
      <c r="BK219" s="148"/>
      <c r="BL219" s="148"/>
      <c r="BM219" s="148"/>
      <c r="BN219" s="566"/>
      <c r="BO219" s="566"/>
      <c r="BP219" s="566"/>
      <c r="BQ219" s="95"/>
      <c r="BR219" s="95"/>
      <c r="BS219" s="711" t="s">
        <v>2025</v>
      </c>
      <c r="BT219" s="711"/>
      <c r="BU219" s="711"/>
      <c r="BV219" s="522"/>
      <c r="BW219" s="522"/>
    </row>
    <row r="220" spans="1:75" ht="14.25" hidden="1" customHeight="1">
      <c r="B220" s="341" t="b">
        <f>method_reg="Метод индексации"</f>
        <v>1</v>
      </c>
      <c r="C220" s="44"/>
      <c r="D220" s="44"/>
      <c r="E220" s="462">
        <v>15</v>
      </c>
      <c r="F220" s="3" t="str" cm="1">
        <f t="array" aca="1" ref="F220" ca="1">OFFSET(E220,-1,1)</f>
        <v>1</v>
      </c>
      <c r="G220" s="44"/>
      <c r="H220" s="44"/>
      <c r="I220" s="587" t="s">
        <v>1766</v>
      </c>
      <c r="J220" s="44" cm="1">
        <f t="array" ref="J220">AC220</f>
        <v>0</v>
      </c>
      <c r="K220" s="290" t="s">
        <v>1766</v>
      </c>
      <c r="L220" s="44"/>
      <c r="M220" s="44"/>
      <c r="N220" s="44"/>
      <c r="O220" s="44"/>
      <c r="P220" s="44"/>
      <c r="Q220" s="44"/>
      <c r="R220" s="44"/>
      <c r="S220" s="44"/>
      <c r="T220" s="365" t="b">
        <f ca="1">AND(F220&gt;0,Y220&gt;0)</f>
        <v>0</v>
      </c>
      <c r="U220" s="44"/>
      <c r="V220" s="44"/>
      <c r="W220" s="44" t="s">
        <v>173</v>
      </c>
      <c r="X220" s="1094"/>
      <c r="Y220" s="91">
        <v>0</v>
      </c>
      <c r="Z220" s="1065"/>
      <c r="AA220" s="332" t="s">
        <v>174</v>
      </c>
      <c r="AB220" s="26" t="str">
        <f>"1.7."&amp;Y220</f>
        <v>1.7.0</v>
      </c>
      <c r="AC220" s="789"/>
      <c r="AD220" s="26" t="s">
        <v>804</v>
      </c>
      <c r="AE220" s="787"/>
      <c r="AF220" s="787"/>
      <c r="AG220" s="787"/>
      <c r="AH220" s="190">
        <f t="shared" si="52"/>
        <v>0</v>
      </c>
      <c r="AI220" s="787"/>
      <c r="AJ220" s="787"/>
      <c r="AK220" s="552"/>
      <c r="AL220" s="552"/>
      <c r="AM220" s="552"/>
      <c r="AN220" s="552"/>
      <c r="AO220" s="552"/>
      <c r="AP220" s="552"/>
      <c r="AQ220" s="552"/>
      <c r="AR220" s="552"/>
      <c r="AS220" s="552"/>
      <c r="AT220" s="787"/>
      <c r="AU220" s="552"/>
      <c r="AV220" s="552"/>
      <c r="AW220" s="552"/>
      <c r="AX220" s="552"/>
      <c r="AY220" s="552"/>
      <c r="AZ220" s="552"/>
      <c r="BA220" s="552"/>
      <c r="BB220" s="552"/>
      <c r="BC220" s="552"/>
      <c r="BD220" s="190">
        <f t="shared" si="53"/>
        <v>0</v>
      </c>
      <c r="BE220" s="552"/>
      <c r="BF220" s="552"/>
      <c r="BG220" s="552"/>
      <c r="BH220" s="552"/>
      <c r="BI220" s="552"/>
      <c r="BJ220" s="552"/>
      <c r="BK220" s="552"/>
      <c r="BL220" s="552"/>
      <c r="BM220" s="552"/>
      <c r="BN220" s="784"/>
      <c r="BO220" s="784"/>
      <c r="BP220" s="784"/>
      <c r="BS220" s="705" t="s">
        <v>2025</v>
      </c>
      <c r="BT220" s="705" t="s">
        <v>2026</v>
      </c>
      <c r="BU220" s="705" cm="1">
        <f t="array" ref="BU220">AC220</f>
        <v>0</v>
      </c>
      <c r="BW220" s="518" t="b">
        <v>1</v>
      </c>
    </row>
    <row r="221" spans="1:75" ht="14.25" customHeight="1">
      <c r="B221" s="341" t="b" cm="1">
        <f t="array" ref="B221">B220</f>
        <v>1</v>
      </c>
      <c r="C221" s="44"/>
      <c r="D221" s="44"/>
      <c r="E221" s="462">
        <v>15</v>
      </c>
      <c r="F221" s="3" t="str" cm="1">
        <f t="array" aca="1" ref="F221" ca="1">OFFSET(E221,-1,1)</f>
        <v>1</v>
      </c>
      <c r="G221" s="374"/>
      <c r="H221" s="44"/>
      <c r="I221" s="44"/>
      <c r="J221" s="44" t="s">
        <v>2027</v>
      </c>
      <c r="L221" s="44"/>
      <c r="M221" s="44"/>
      <c r="N221" s="44"/>
      <c r="O221" s="44"/>
      <c r="P221" s="44"/>
      <c r="Q221" s="44"/>
      <c r="R221" s="44"/>
      <c r="S221" s="44"/>
      <c r="T221" s="365" t="b">
        <f ca="1">F221&gt;0</f>
        <v>1</v>
      </c>
      <c r="U221" s="44"/>
      <c r="V221" s="44"/>
      <c r="W221" s="517" t="s">
        <v>392</v>
      </c>
      <c r="X221" s="1094"/>
      <c r="Z221" s="1065"/>
      <c r="AB221" s="599"/>
      <c r="AC221" s="191" t="s">
        <v>177</v>
      </c>
      <c r="AD221" s="557"/>
      <c r="AE221" s="557"/>
      <c r="AF221" s="557"/>
      <c r="AG221" s="557"/>
      <c r="AH221" s="557"/>
      <c r="AI221" s="557"/>
      <c r="AJ221" s="557"/>
      <c r="AK221" s="557"/>
      <c r="AL221" s="557"/>
      <c r="AM221" s="557"/>
      <c r="AN221" s="557"/>
      <c r="AO221" s="557"/>
      <c r="AP221" s="557"/>
      <c r="AQ221" s="557"/>
      <c r="AR221" s="557"/>
      <c r="AS221" s="557"/>
      <c r="AT221" s="557"/>
      <c r="AU221" s="557"/>
      <c r="AV221" s="557"/>
      <c r="AW221" s="557"/>
      <c r="AX221" s="557"/>
      <c r="AY221" s="557"/>
      <c r="AZ221" s="557"/>
      <c r="BA221" s="557"/>
      <c r="BB221" s="557"/>
      <c r="BC221" s="557"/>
      <c r="BD221" s="557"/>
      <c r="BE221" s="557"/>
      <c r="BF221" s="557"/>
      <c r="BG221" s="557"/>
      <c r="BH221" s="557"/>
      <c r="BI221" s="557"/>
      <c r="BJ221" s="557"/>
      <c r="BK221" s="557"/>
      <c r="BL221" s="557"/>
      <c r="BM221" s="557"/>
      <c r="BN221" s="557"/>
      <c r="BO221" s="557"/>
      <c r="BP221" s="558"/>
      <c r="BV221" s="518" t="s">
        <v>2026</v>
      </c>
    </row>
    <row r="222" spans="1:75" s="950" customFormat="1" ht="96.75" customHeight="1">
      <c r="A222" s="95"/>
      <c r="B222" s="344"/>
      <c r="C222" s="46"/>
      <c r="D222" s="46"/>
      <c r="E222" s="569">
        <v>21</v>
      </c>
      <c r="F222" s="3" t="str" cm="1">
        <f t="array" aca="1" ref="F222" ca="1">OFFSET(E222,-1,1)</f>
        <v>1</v>
      </c>
      <c r="G222" s="46"/>
      <c r="H222" s="44"/>
      <c r="I222" s="44" t="s">
        <v>328</v>
      </c>
      <c r="J222" s="46"/>
      <c r="K222" s="91" t="s">
        <v>328</v>
      </c>
      <c r="L222" s="46"/>
      <c r="M222" s="46"/>
      <c r="N222" s="46"/>
      <c r="O222" s="46"/>
      <c r="P222" s="46"/>
      <c r="Q222" s="46"/>
      <c r="R222" s="46"/>
      <c r="S222" s="46"/>
      <c r="T222" s="365" t="b">
        <f ca="1">F222&gt;0</f>
        <v>1</v>
      </c>
      <c r="U222" s="46"/>
      <c r="V222" s="46"/>
      <c r="W222" s="46"/>
      <c r="X222" s="1094"/>
      <c r="Y222" s="95"/>
      <c r="Z222" s="1065"/>
      <c r="AA222" s="95"/>
      <c r="AB222" s="166" t="s">
        <v>285</v>
      </c>
      <c r="AC222" s="144" t="s">
        <v>2028</v>
      </c>
      <c r="AD222" s="166" t="s">
        <v>804</v>
      </c>
      <c r="AE222" s="145">
        <f ca="1">AE223+AE235+AE236++AE247+AE248+AE249+AE251+AE252+AE253+AE254+AE257</f>
        <v>4205.7411569584201</v>
      </c>
      <c r="AF222" s="145">
        <f ca="1">AF223+AF235+AF236++AF247+AF248+AF249+AF251+AF252+AF253+AF254+AF257</f>
        <v>5343.5107599999992</v>
      </c>
      <c r="AG222" s="145">
        <f ca="1">AG223+AG235+AG236++AG247+AG248+AG249+AG251+AG252+AG253+AG254+AG257</f>
        <v>4892.8107599999994</v>
      </c>
      <c r="AH222" s="145">
        <f t="shared" ref="AH222:AH267" ca="1" si="54">AG222-AF222</f>
        <v>-450.69999999999982</v>
      </c>
      <c r="AI222" s="145">
        <f t="shared" ref="AI222:BC222" ca="1" si="55">AI223+AI235+AI236++AI247+AI248+AI249+AI251+AI252+AI253+AI254+AI257</f>
        <v>5586.6774900140008</v>
      </c>
      <c r="AJ222" s="145">
        <f t="shared" ca="1" si="55"/>
        <v>6684.5758000000005</v>
      </c>
      <c r="AK222" s="145">
        <f t="shared" ca="1" si="55"/>
        <v>0</v>
      </c>
      <c r="AL222" s="145">
        <f t="shared" ca="1" si="55"/>
        <v>0</v>
      </c>
      <c r="AM222" s="145">
        <f t="shared" ca="1" si="55"/>
        <v>0</v>
      </c>
      <c r="AN222" s="145">
        <f t="shared" ca="1" si="55"/>
        <v>0</v>
      </c>
      <c r="AO222" s="145">
        <f t="shared" ca="1" si="55"/>
        <v>0</v>
      </c>
      <c r="AP222" s="145">
        <f t="shared" ca="1" si="55"/>
        <v>0</v>
      </c>
      <c r="AQ222" s="145">
        <f t="shared" ca="1" si="55"/>
        <v>0</v>
      </c>
      <c r="AR222" s="145">
        <f t="shared" ca="1" si="55"/>
        <v>0</v>
      </c>
      <c r="AS222" s="145">
        <f t="shared" ca="1" si="55"/>
        <v>0</v>
      </c>
      <c r="AT222" s="145">
        <f t="shared" ca="1" si="55"/>
        <v>5564.2899999999991</v>
      </c>
      <c r="AU222" s="145">
        <f t="shared" ca="1" si="55"/>
        <v>0</v>
      </c>
      <c r="AV222" s="145">
        <f t="shared" ca="1" si="55"/>
        <v>0</v>
      </c>
      <c r="AW222" s="145">
        <f t="shared" ca="1" si="55"/>
        <v>0</v>
      </c>
      <c r="AX222" s="145">
        <f t="shared" ca="1" si="55"/>
        <v>0</v>
      </c>
      <c r="AY222" s="145">
        <f t="shared" ca="1" si="55"/>
        <v>0</v>
      </c>
      <c r="AZ222" s="145">
        <f t="shared" ca="1" si="55"/>
        <v>0</v>
      </c>
      <c r="BA222" s="145">
        <f t="shared" ca="1" si="55"/>
        <v>0</v>
      </c>
      <c r="BB222" s="145">
        <f t="shared" ca="1" si="55"/>
        <v>0</v>
      </c>
      <c r="BC222" s="145">
        <f t="shared" ca="1" si="55"/>
        <v>0</v>
      </c>
      <c r="BD222" s="145">
        <f t="shared" ref="BD222:BD267" ca="1" si="56">IF(AI222=0,0,(AT222-AI222)/AI222*100)</f>
        <v>-0.40072995181874432</v>
      </c>
      <c r="BE222" s="145">
        <f t="shared" ref="BE222:BE267" ca="1" si="57">IF(AT222=0,0,(AU222-AT222)/AT222*100)</f>
        <v>-100</v>
      </c>
      <c r="BF222" s="145">
        <f t="shared" ref="BF222:BF267" ca="1" si="58">IF(AU222=0,0,(AV222-AU222)/AU222*100)</f>
        <v>0</v>
      </c>
      <c r="BG222" s="145">
        <f t="shared" ref="BG222:BG267" ca="1" si="59">IF(AV222=0,0,(AW222-AV222)/AV222*100)</f>
        <v>0</v>
      </c>
      <c r="BH222" s="145">
        <f t="shared" ref="BH222:BH267" ca="1" si="60">IF(AW222=0,0,(AX222-AW222)/AW222*100)</f>
        <v>0</v>
      </c>
      <c r="BI222" s="145">
        <f t="shared" ref="BI222:BI267" ca="1" si="61">IF(AX222=0,0,(AY222-AX222)/AX222*100)</f>
        <v>0</v>
      </c>
      <c r="BJ222" s="145">
        <f t="shared" ref="BJ222:BJ267" ca="1" si="62">IF(AY222=0,0,(AZ222-AY222)/AY222*100)</f>
        <v>0</v>
      </c>
      <c r="BK222" s="145">
        <f t="shared" ref="BK222:BK267" ca="1" si="63">IF(AZ222=0,0,(BA222-AZ222)/AZ222*100)</f>
        <v>0</v>
      </c>
      <c r="BL222" s="145">
        <f t="shared" ref="BL222:BL267" ca="1" si="64">IF(BA222=0,0,(BB222-BA222)/BA222*100)</f>
        <v>0</v>
      </c>
      <c r="BM222" s="145">
        <f t="shared" ref="BM222:BM267" ca="1" si="65">IF(BB222=0,0,(BC222-BB222)/BB222*100)</f>
        <v>0</v>
      </c>
      <c r="BN222" s="215"/>
      <c r="BO222" s="215" t="s">
        <v>2210</v>
      </c>
      <c r="BP222" s="215" t="s">
        <v>2211</v>
      </c>
      <c r="BQ222" s="93"/>
      <c r="BR222" s="95"/>
      <c r="BS222" s="711" t="s">
        <v>2029</v>
      </c>
      <c r="BT222" s="711"/>
      <c r="BU222" s="711"/>
      <c r="BV222" s="522"/>
      <c r="BW222" s="522"/>
    </row>
    <row r="223" spans="1:75" s="950" customFormat="1" ht="21.75" customHeight="1">
      <c r="A223" s="95"/>
      <c r="B223" s="344"/>
      <c r="C223" s="46"/>
      <c r="D223" s="46"/>
      <c r="E223" s="569">
        <v>22.5</v>
      </c>
      <c r="F223" s="3" t="str" cm="1">
        <f t="array" aca="1" ref="F223" ca="1">OFFSET(E223,-1,1)</f>
        <v>1</v>
      </c>
      <c r="G223" s="280" t="str" cm="1">
        <f t="array" aca="1" ref="G223" ca="1">F222</f>
        <v>1</v>
      </c>
      <c r="H223" s="44"/>
      <c r="I223" s="44" t="s">
        <v>479</v>
      </c>
      <c r="J223" s="46"/>
      <c r="K223" s="91" t="s">
        <v>479</v>
      </c>
      <c r="L223" s="46" t="s">
        <v>465</v>
      </c>
      <c r="M223" s="46"/>
      <c r="N223" s="46"/>
      <c r="O223" s="46"/>
      <c r="P223" s="46"/>
      <c r="Q223" s="46"/>
      <c r="R223" s="46"/>
      <c r="S223" s="46"/>
      <c r="T223" s="365" t="b" cm="1">
        <f t="array" aca="1" ref="T223" ca="1">T222</f>
        <v>1</v>
      </c>
      <c r="U223" s="46"/>
      <c r="V223" s="46"/>
      <c r="W223" s="46"/>
      <c r="X223" s="1094"/>
      <c r="Y223" s="95"/>
      <c r="Z223" s="1065"/>
      <c r="AA223" s="95"/>
      <c r="AB223" s="143" t="s">
        <v>537</v>
      </c>
      <c r="AC223" s="276" t="s">
        <v>2030</v>
      </c>
      <c r="AD223" s="143" t="s">
        <v>804</v>
      </c>
      <c r="AE223" s="145">
        <f ca="1">SUM(AE224:AE234)</f>
        <v>3110.8092914131203</v>
      </c>
      <c r="AF223" s="145">
        <f ca="1">SUM(AF224:AF234)</f>
        <v>3750.7807599999996</v>
      </c>
      <c r="AG223" s="145">
        <f ca="1">SUM(AG224:AG234)</f>
        <v>3750.7807599999996</v>
      </c>
      <c r="AH223" s="145">
        <f t="shared" ca="1" si="54"/>
        <v>0</v>
      </c>
      <c r="AI223" s="145">
        <f t="shared" ref="AI223:BC223" ca="1" si="66">SUM(AI224:AI234)</f>
        <v>3612.8588191999997</v>
      </c>
      <c r="AJ223" s="145">
        <f t="shared" ca="1" si="66"/>
        <v>4564.2457999999997</v>
      </c>
      <c r="AK223" s="145">
        <f t="shared" ca="1" si="66"/>
        <v>0</v>
      </c>
      <c r="AL223" s="145">
        <f t="shared" ca="1" si="66"/>
        <v>0</v>
      </c>
      <c r="AM223" s="145">
        <f t="shared" ca="1" si="66"/>
        <v>0</v>
      </c>
      <c r="AN223" s="145">
        <f t="shared" ca="1" si="66"/>
        <v>0</v>
      </c>
      <c r="AO223" s="145">
        <f t="shared" ca="1" si="66"/>
        <v>0</v>
      </c>
      <c r="AP223" s="145">
        <f t="shared" ca="1" si="66"/>
        <v>0</v>
      </c>
      <c r="AQ223" s="145">
        <f t="shared" ca="1" si="66"/>
        <v>0</v>
      </c>
      <c r="AR223" s="145">
        <f t="shared" ca="1" si="66"/>
        <v>0</v>
      </c>
      <c r="AS223" s="145">
        <f t="shared" ca="1" si="66"/>
        <v>0</v>
      </c>
      <c r="AT223" s="145">
        <f t="shared" ca="1" si="66"/>
        <v>4306.12</v>
      </c>
      <c r="AU223" s="145">
        <f t="shared" ca="1" si="66"/>
        <v>0</v>
      </c>
      <c r="AV223" s="145">
        <f t="shared" ca="1" si="66"/>
        <v>0</v>
      </c>
      <c r="AW223" s="145">
        <f t="shared" ca="1" si="66"/>
        <v>0</v>
      </c>
      <c r="AX223" s="145">
        <f t="shared" ca="1" si="66"/>
        <v>0</v>
      </c>
      <c r="AY223" s="145">
        <f t="shared" ca="1" si="66"/>
        <v>0</v>
      </c>
      <c r="AZ223" s="145">
        <f t="shared" ca="1" si="66"/>
        <v>0</v>
      </c>
      <c r="BA223" s="145">
        <f t="shared" ca="1" si="66"/>
        <v>0</v>
      </c>
      <c r="BB223" s="145">
        <f t="shared" ca="1" si="66"/>
        <v>0</v>
      </c>
      <c r="BC223" s="145">
        <f t="shared" ca="1" si="66"/>
        <v>0</v>
      </c>
      <c r="BD223" s="145">
        <f t="shared" ca="1" si="56"/>
        <v>19.188714962117174</v>
      </c>
      <c r="BE223" s="145">
        <f t="shared" ca="1" si="57"/>
        <v>-100</v>
      </c>
      <c r="BF223" s="145">
        <f t="shared" ca="1" si="58"/>
        <v>0</v>
      </c>
      <c r="BG223" s="145">
        <f t="shared" ca="1" si="59"/>
        <v>0</v>
      </c>
      <c r="BH223" s="145">
        <f t="shared" ca="1" si="60"/>
        <v>0</v>
      </c>
      <c r="BI223" s="145">
        <f t="shared" ca="1" si="61"/>
        <v>0</v>
      </c>
      <c r="BJ223" s="145">
        <f t="shared" ca="1" si="62"/>
        <v>0</v>
      </c>
      <c r="BK223" s="145">
        <f t="shared" ca="1" si="63"/>
        <v>0</v>
      </c>
      <c r="BL223" s="145">
        <f t="shared" ca="1" si="64"/>
        <v>0</v>
      </c>
      <c r="BM223" s="145">
        <f t="shared" ca="1" si="65"/>
        <v>0</v>
      </c>
      <c r="BN223" s="566"/>
      <c r="BO223" s="566"/>
      <c r="BP223" s="566"/>
      <c r="BQ223" s="95"/>
      <c r="BR223" s="95"/>
      <c r="BS223" s="711" t="s">
        <v>2031</v>
      </c>
      <c r="BT223" s="711"/>
      <c r="BU223" s="711"/>
      <c r="BV223" s="522"/>
      <c r="BW223" s="522"/>
    </row>
    <row r="224" spans="1:75" ht="14.25" customHeight="1">
      <c r="C224" s="44"/>
      <c r="D224" s="44"/>
      <c r="E224" s="462">
        <v>15</v>
      </c>
      <c r="F224" s="3" t="str" cm="1">
        <f t="array" aca="1" ref="F224" ca="1">OFFSET(E224,-1,1)</f>
        <v>1</v>
      </c>
      <c r="G224" s="44" t="s">
        <v>1106</v>
      </c>
      <c r="H224" s="44"/>
      <c r="I224" s="44" t="s">
        <v>1562</v>
      </c>
      <c r="J224" s="44"/>
      <c r="K224" s="91" t="s">
        <v>1562</v>
      </c>
      <c r="L224" s="44" t="s">
        <v>1339</v>
      </c>
      <c r="M224" s="44"/>
      <c r="N224" s="44"/>
      <c r="O224" s="44"/>
      <c r="P224" s="44"/>
      <c r="Q224" s="44"/>
      <c r="R224" s="44"/>
      <c r="S224" s="44"/>
      <c r="T224" s="365" t="b" cm="1">
        <f t="array" aca="1" ref="T224" ca="1">T223</f>
        <v>1</v>
      </c>
      <c r="U224" s="44"/>
      <c r="V224" s="44"/>
      <c r="W224" s="44"/>
      <c r="X224" s="1094"/>
      <c r="Z224" s="1065"/>
      <c r="AB224" s="26" t="s">
        <v>487</v>
      </c>
      <c r="AC224" s="153" t="s">
        <v>2032</v>
      </c>
      <c r="AD224" s="26" t="s">
        <v>804</v>
      </c>
      <c r="AE224" s="190">
        <f ca="1">SUMIFS(Покупка!AE$25:AE$254,Покупка!$F$25:$F$254,$F224,Покупка!$AC$25:$AC$254,$G224)</f>
        <v>294.14821341312</v>
      </c>
      <c r="AF224" s="190">
        <f ca="1">SUMIFS(Покупка!AF$25:AF$254,Покупка!$F$25:$F$254,$F224,Покупка!$AC$25:$AC$254,$G224)</f>
        <v>563.56075999999996</v>
      </c>
      <c r="AG224" s="190">
        <f ca="1">SUMIFS(Покупка!AG$25:AG$254,Покупка!$F$25:$F$254,$F224,Покупка!$AC$25:$AC$254,$G224)</f>
        <v>563.56075999999996</v>
      </c>
      <c r="AH224" s="190">
        <f t="shared" ca="1" si="54"/>
        <v>0</v>
      </c>
      <c r="AI224" s="190">
        <f ca="1">SUMIFS(Покупка!AH$25:AH$254,Покупка!$F$25:$F$254,$F224,Покупка!$AC$25:$AC$254,$G224)</f>
        <v>259.85000000000002</v>
      </c>
      <c r="AJ224" s="190">
        <f ca="1">SUMIFS(Покупка!AI$25:AI$254,Покупка!$F$25:$F$254,$F224,Покупка!$AC$25:$AC$254,$G224)</f>
        <v>897.78579999999999</v>
      </c>
      <c r="AK224" s="190">
        <f ca="1">SUMIFS(Покупка!AJ$25:AJ$254,Покупка!$F$25:$F$254,$F224,Покупка!$AC$25:$AC$254,$G224)</f>
        <v>0</v>
      </c>
      <c r="AL224" s="190">
        <f ca="1">SUMIFS(Покупка!AK$25:AK$254,Покупка!$F$25:$F$254,$F224,Покупка!$AC$25:$AC$254,$G224)</f>
        <v>0</v>
      </c>
      <c r="AM224" s="190">
        <f ca="1">SUMIFS(Покупка!AL$25:AL$254,Покупка!$F$25:$F$254,$F224,Покупка!$AC$25:$AC$254,$G224)</f>
        <v>0</v>
      </c>
      <c r="AN224" s="190">
        <f ca="1">SUMIFS(Покупка!AM$25:AM$254,Покупка!$F$25:$F$254,$F224,Покупка!$AC$25:$AC$254,$G224)</f>
        <v>0</v>
      </c>
      <c r="AO224" s="190">
        <f ca="1">SUMIFS(Покупка!AN$25:AN$254,Покупка!$F$25:$F$254,$F224,Покупка!$AC$25:$AC$254,$G224)</f>
        <v>0</v>
      </c>
      <c r="AP224" s="190">
        <f ca="1">SUMIFS(Покупка!AO$25:AO$254,Покупка!$F$25:$F$254,$F224,Покупка!$AC$25:$AC$254,$G224)</f>
        <v>0</v>
      </c>
      <c r="AQ224" s="190">
        <f ca="1">SUMIFS(Покупка!AP$25:AP$254,Покупка!$F$25:$F$254,$F224,Покупка!$AC$25:$AC$254,$G224)</f>
        <v>0</v>
      </c>
      <c r="AR224" s="190">
        <f ca="1">SUMIFS(Покупка!AQ$25:AQ$254,Покупка!$F$25:$F$254,$F224,Покупка!$AC$25:$AC$254,$G224)</f>
        <v>0</v>
      </c>
      <c r="AS224" s="190">
        <f ca="1">SUMIFS(Покупка!AR$25:AR$254,Покупка!$F$25:$F$254,$F224,Покупка!$AC$25:$AC$254,$G224)</f>
        <v>0</v>
      </c>
      <c r="AT224" s="190">
        <f ca="1">SUMIFS(Покупка!AS$25:AS$254,Покупка!$F$25:$F$254,$F224,Покупка!$AC$25:$AC$254,$G224)</f>
        <v>753.56</v>
      </c>
      <c r="AU224" s="190">
        <f ca="1">SUMIFS(Покупка!AT$25:AT$254,Покупка!$F$25:$F$254,$F224,Покупка!$AC$25:$AC$254,$G224)</f>
        <v>0</v>
      </c>
      <c r="AV224" s="190">
        <f ca="1">SUMIFS(Покупка!AU$25:AU$254,Покупка!$F$25:$F$254,$F224,Покупка!$AC$25:$AC$254,$G224)</f>
        <v>0</v>
      </c>
      <c r="AW224" s="190">
        <f ca="1">SUMIFS(Покупка!AV$25:AV$254,Покупка!$F$25:$F$254,$F224,Покупка!$AC$25:$AC$254,$G224)</f>
        <v>0</v>
      </c>
      <c r="AX224" s="190">
        <f ca="1">SUMIFS(Покупка!AW$25:AW$254,Покупка!$F$25:$F$254,$F224,Покупка!$AC$25:$AC$254,$G224)</f>
        <v>0</v>
      </c>
      <c r="AY224" s="190">
        <f ca="1">SUMIFS(Покупка!AX$25:AX$254,Покупка!$F$25:$F$254,$F224,Покупка!$AC$25:$AC$254,$G224)</f>
        <v>0</v>
      </c>
      <c r="AZ224" s="190">
        <f ca="1">SUMIFS(Покупка!AY$25:AY$254,Покупка!$F$25:$F$254,$F224,Покупка!$AC$25:$AC$254,$G224)</f>
        <v>0</v>
      </c>
      <c r="BA224" s="190">
        <f ca="1">SUMIFS(Покупка!AZ$25:AZ$254,Покупка!$F$25:$F$254,$F224,Покупка!$AC$25:$AC$254,$G224)</f>
        <v>0</v>
      </c>
      <c r="BB224" s="190">
        <f ca="1">SUMIFS(Покупка!BA$25:BA$254,Покупка!$F$25:$F$254,$F224,Покупка!$AC$25:$AC$254,$G224)</f>
        <v>0</v>
      </c>
      <c r="BC224" s="190">
        <f ca="1">SUMIFS(Покупка!BB$25:BB$254,Покупка!$F$25:$F$254,$F224,Покупка!$AC$25:$AC$254,$G224)</f>
        <v>0</v>
      </c>
      <c r="BD224" s="190">
        <f t="shared" ca="1" si="56"/>
        <v>189.99807581296898</v>
      </c>
      <c r="BE224" s="190">
        <f t="shared" ca="1" si="57"/>
        <v>-100</v>
      </c>
      <c r="BF224" s="190">
        <f t="shared" ca="1" si="58"/>
        <v>0</v>
      </c>
      <c r="BG224" s="190">
        <f t="shared" ca="1" si="59"/>
        <v>0</v>
      </c>
      <c r="BH224" s="190">
        <f t="shared" ca="1" si="60"/>
        <v>0</v>
      </c>
      <c r="BI224" s="190">
        <f t="shared" ca="1" si="61"/>
        <v>0</v>
      </c>
      <c r="BJ224" s="190">
        <f t="shared" ca="1" si="62"/>
        <v>0</v>
      </c>
      <c r="BK224" s="190">
        <f t="shared" ca="1" si="63"/>
        <v>0</v>
      </c>
      <c r="BL224" s="190">
        <f t="shared" ca="1" si="64"/>
        <v>0</v>
      </c>
      <c r="BM224" s="190">
        <f t="shared" ca="1" si="65"/>
        <v>0</v>
      </c>
      <c r="BN224" s="215"/>
      <c r="BO224" s="610" t="str">
        <f ca="1">IF(IFERROR(INDEX(Покупка!$K$26:$L$254,MATCH($F224&amp;"6komm",Покупка!$K$26:$K$254,0),2),"")=0,"",IFERROR(INDEX(Покупка!$K$26:$L$254,MATCH($F224&amp;"6komm",Покупка!$K$26:$K$254,0),2),""))</f>
        <v>рассчитаны по фактическому расходу Гкалл 2024 года, тарифы с 01.01 по 30.09 на уровне декабря 2025 года (пост. от 09.12.2025 № 403), тарифы с 01.10. по 31.12. с применением ИПЦ Минэкономразвития России на 2026 год 105,1%.</v>
      </c>
      <c r="BP224" s="215"/>
      <c r="BS224" s="705" t="s">
        <v>1107</v>
      </c>
    </row>
    <row r="225" spans="1:75" ht="14.25" customHeight="1">
      <c r="C225" s="44"/>
      <c r="D225" s="44"/>
      <c r="E225" s="462">
        <v>15</v>
      </c>
      <c r="F225" s="3" t="str" cm="1">
        <f t="array" aca="1" ref="F225" ca="1">OFFSET(E225,-1,1)</f>
        <v>1</v>
      </c>
      <c r="G225" s="44" t="s">
        <v>1128</v>
      </c>
      <c r="H225" s="44"/>
      <c r="I225" s="44" t="s">
        <v>1566</v>
      </c>
      <c r="J225" s="44"/>
      <c r="K225" s="44" t="s">
        <v>1566</v>
      </c>
      <c r="L225" s="44" t="s">
        <v>1343</v>
      </c>
      <c r="M225" s="44"/>
      <c r="N225" s="44"/>
      <c r="O225" s="44"/>
      <c r="P225" s="44"/>
      <c r="Q225" s="44"/>
      <c r="R225" s="44"/>
      <c r="S225" s="44"/>
      <c r="T225" s="365" t="b" cm="1">
        <f t="array" aca="1" ref="T225" ca="1">T224</f>
        <v>1</v>
      </c>
      <c r="U225" s="44"/>
      <c r="V225" s="44"/>
      <c r="W225" s="44"/>
      <c r="X225" s="1094"/>
      <c r="Z225" s="1065"/>
      <c r="AB225" s="26" t="s">
        <v>2033</v>
      </c>
      <c r="AC225" s="153" t="s">
        <v>2034</v>
      </c>
      <c r="AD225" s="26" t="s">
        <v>804</v>
      </c>
      <c r="AE225" s="190">
        <f ca="1">SUMIFS(Покупка!AE$25:AE$254,Покупка!$F$25:$F$254,$F225,Покупка!$AC$25:$AC$254,$G225)</f>
        <v>0</v>
      </c>
      <c r="AF225" s="190">
        <f ca="1">SUMIFS(Покупка!AF$25:AF$254,Покупка!$F$25:$F$254,$F225,Покупка!$AC$25:$AC$254,$G225)</f>
        <v>0</v>
      </c>
      <c r="AG225" s="190">
        <f ca="1">SUMIFS(Покупка!AG$25:AG$254,Покупка!$F$25:$F$254,$F225,Покупка!$AC$25:$AC$254,$G225)</f>
        <v>0</v>
      </c>
      <c r="AH225" s="190">
        <f t="shared" ca="1" si="54"/>
        <v>0</v>
      </c>
      <c r="AI225" s="190">
        <f ca="1">SUMIFS(Покупка!AH$25:AH$254,Покупка!$F$25:$F$254,$F225,Покупка!$AC$25:$AC$254,$G225)</f>
        <v>0</v>
      </c>
      <c r="AJ225" s="190">
        <f ca="1">SUMIFS(Покупка!AI$25:AI$254,Покупка!$F$25:$F$254,$F225,Покупка!$AC$25:$AC$254,$G225)</f>
        <v>0</v>
      </c>
      <c r="AK225" s="190">
        <f ca="1">SUMIFS(Покупка!AJ$25:AJ$254,Покупка!$F$25:$F$254,$F225,Покупка!$AC$25:$AC$254,$G225)</f>
        <v>0</v>
      </c>
      <c r="AL225" s="190">
        <f ca="1">SUMIFS(Покупка!AK$25:AK$254,Покупка!$F$25:$F$254,$F225,Покупка!$AC$25:$AC$254,$G225)</f>
        <v>0</v>
      </c>
      <c r="AM225" s="190">
        <f ca="1">SUMIFS(Покупка!AL$25:AL$254,Покупка!$F$25:$F$254,$F225,Покупка!$AC$25:$AC$254,$G225)</f>
        <v>0</v>
      </c>
      <c r="AN225" s="190">
        <f ca="1">SUMIFS(Покупка!AM$25:AM$254,Покупка!$F$25:$F$254,$F225,Покупка!$AC$25:$AC$254,$G225)</f>
        <v>0</v>
      </c>
      <c r="AO225" s="190">
        <f ca="1">SUMIFS(Покупка!AN$25:AN$254,Покупка!$F$25:$F$254,$F225,Покупка!$AC$25:$AC$254,$G225)</f>
        <v>0</v>
      </c>
      <c r="AP225" s="190">
        <f ca="1">SUMIFS(Покупка!AO$25:AO$254,Покупка!$F$25:$F$254,$F225,Покупка!$AC$25:$AC$254,$G225)</f>
        <v>0</v>
      </c>
      <c r="AQ225" s="190">
        <f ca="1">SUMIFS(Покупка!AP$25:AP$254,Покупка!$F$25:$F$254,$F225,Покупка!$AC$25:$AC$254,$G225)</f>
        <v>0</v>
      </c>
      <c r="AR225" s="190">
        <f ca="1">SUMIFS(Покупка!AQ$25:AQ$254,Покупка!$F$25:$F$254,$F225,Покупка!$AC$25:$AC$254,$G225)</f>
        <v>0</v>
      </c>
      <c r="AS225" s="190">
        <f ca="1">SUMIFS(Покупка!AR$25:AR$254,Покупка!$F$25:$F$254,$F225,Покупка!$AC$25:$AC$254,$G225)</f>
        <v>0</v>
      </c>
      <c r="AT225" s="190">
        <f ca="1">SUMIFS(Покупка!AS$25:AS$254,Покупка!$F$25:$F$254,$F225,Покупка!$AC$25:$AC$254,$G225)</f>
        <v>0</v>
      </c>
      <c r="AU225" s="190">
        <f ca="1">SUMIFS(Покупка!AT$25:AT$254,Покупка!$F$25:$F$254,$F225,Покупка!$AC$25:$AC$254,$G225)</f>
        <v>0</v>
      </c>
      <c r="AV225" s="190">
        <f ca="1">SUMIFS(Покупка!AU$25:AU$254,Покупка!$F$25:$F$254,$F225,Покупка!$AC$25:$AC$254,$G225)</f>
        <v>0</v>
      </c>
      <c r="AW225" s="190">
        <f ca="1">SUMIFS(Покупка!AV$25:AV$254,Покупка!$F$25:$F$254,$F225,Покупка!$AC$25:$AC$254,$G225)</f>
        <v>0</v>
      </c>
      <c r="AX225" s="190">
        <f ca="1">SUMIFS(Покупка!AW$25:AW$254,Покупка!$F$25:$F$254,$F225,Покупка!$AC$25:$AC$254,$G225)</f>
        <v>0</v>
      </c>
      <c r="AY225" s="190">
        <f ca="1">SUMIFS(Покупка!AX$25:AX$254,Покупка!$F$25:$F$254,$F225,Покупка!$AC$25:$AC$254,$G225)</f>
        <v>0</v>
      </c>
      <c r="AZ225" s="190">
        <f ca="1">SUMIFS(Покупка!AY$25:AY$254,Покупка!$F$25:$F$254,$F225,Покупка!$AC$25:$AC$254,$G225)</f>
        <v>0</v>
      </c>
      <c r="BA225" s="190">
        <f ca="1">SUMIFS(Покупка!AZ$25:AZ$254,Покупка!$F$25:$F$254,$F225,Покупка!$AC$25:$AC$254,$G225)</f>
        <v>0</v>
      </c>
      <c r="BB225" s="190">
        <f ca="1">SUMIFS(Покупка!BA$25:BA$254,Покупка!$F$25:$F$254,$F225,Покупка!$AC$25:$AC$254,$G225)</f>
        <v>0</v>
      </c>
      <c r="BC225" s="190">
        <f ca="1">SUMIFS(Покупка!BB$25:BB$254,Покупка!$F$25:$F$254,$F225,Покупка!$AC$25:$AC$254,$G225)</f>
        <v>0</v>
      </c>
      <c r="BD225" s="190">
        <f t="shared" ca="1" si="56"/>
        <v>0</v>
      </c>
      <c r="BE225" s="190">
        <f t="shared" ca="1" si="57"/>
        <v>0</v>
      </c>
      <c r="BF225" s="190">
        <f t="shared" ca="1" si="58"/>
        <v>0</v>
      </c>
      <c r="BG225" s="190">
        <f t="shared" ca="1" si="59"/>
        <v>0</v>
      </c>
      <c r="BH225" s="190">
        <f t="shared" ca="1" si="60"/>
        <v>0</v>
      </c>
      <c r="BI225" s="190">
        <f t="shared" ca="1" si="61"/>
        <v>0</v>
      </c>
      <c r="BJ225" s="190">
        <f t="shared" ca="1" si="62"/>
        <v>0</v>
      </c>
      <c r="BK225" s="190">
        <f t="shared" ca="1" si="63"/>
        <v>0</v>
      </c>
      <c r="BL225" s="190">
        <f t="shared" ca="1" si="64"/>
        <v>0</v>
      </c>
      <c r="BM225" s="190">
        <f t="shared" ca="1" si="65"/>
        <v>0</v>
      </c>
      <c r="BN225" s="215"/>
      <c r="BO225" s="610" t="str">
        <f ca="1">IF(IFERROR(INDEX(Покупка!$K$26:$L$254,MATCH($F225&amp;"7komm",Покупка!$K$26:$K$254,0),2),"")=0,"",IFERROR(INDEX(Покупка!$K$26:$L$254,MATCH($F225&amp;"7komm",Покупка!$K$26:$K$254,0),2),""))</f>
        <v/>
      </c>
      <c r="BP225" s="215"/>
      <c r="BS225" s="705" t="s">
        <v>1129</v>
      </c>
    </row>
    <row r="226" spans="1:75" ht="14.25" customHeight="1">
      <c r="C226" s="44"/>
      <c r="D226" s="44"/>
      <c r="E226" s="462">
        <v>15</v>
      </c>
      <c r="F226" s="3" t="str" cm="1">
        <f t="array" aca="1" ref="F226" ca="1">OFFSET(E226,-1,1)</f>
        <v>1</v>
      </c>
      <c r="G226" s="44" t="s">
        <v>1080</v>
      </c>
      <c r="H226" s="44"/>
      <c r="I226" s="44" t="s">
        <v>1661</v>
      </c>
      <c r="J226" s="44"/>
      <c r="K226" s="44" t="s">
        <v>1661</v>
      </c>
      <c r="L226" s="44" t="s">
        <v>1511</v>
      </c>
      <c r="M226" s="44"/>
      <c r="N226" s="44"/>
      <c r="O226" s="44"/>
      <c r="P226" s="44"/>
      <c r="Q226" s="44"/>
      <c r="R226" s="44"/>
      <c r="S226" s="44"/>
      <c r="T226" s="365" t="b" cm="1">
        <f t="array" aca="1" ref="T226" ca="1">T225</f>
        <v>1</v>
      </c>
      <c r="U226" s="44"/>
      <c r="V226" s="44"/>
      <c r="W226" s="44"/>
      <c r="X226" s="1094"/>
      <c r="Z226" s="1065"/>
      <c r="AB226" s="26" t="s">
        <v>2035</v>
      </c>
      <c r="AC226" s="153" t="s">
        <v>2036</v>
      </c>
      <c r="AD226" s="26" t="s">
        <v>804</v>
      </c>
      <c r="AE226" s="190">
        <f ca="1">SUMIFS(Покупка!AE$25:AE$254,Покупка!$F$25:$F$254,$F226,Покупка!$AC$25:$AC$254,$G226)</f>
        <v>0</v>
      </c>
      <c r="AF226" s="190">
        <f ca="1">SUMIFS(Покупка!AF$25:AF$254,Покупка!$F$25:$F$254,$F226,Покупка!$AC$25:$AC$254,$G226)</f>
        <v>0</v>
      </c>
      <c r="AG226" s="190">
        <f ca="1">SUMIFS(Покупка!AG$25:AG$254,Покупка!$F$25:$F$254,$F226,Покупка!$AC$25:$AC$254,$G226)</f>
        <v>0</v>
      </c>
      <c r="AH226" s="190">
        <f t="shared" ca="1" si="54"/>
        <v>0</v>
      </c>
      <c r="AI226" s="190">
        <f ca="1">SUMIFS(Покупка!AH$25:AH$254,Покупка!$F$25:$F$254,$F226,Покупка!$AC$25:$AC$254,$G226)</f>
        <v>0</v>
      </c>
      <c r="AJ226" s="190">
        <f ca="1">SUMIFS(Покупка!AI$25:AI$254,Покупка!$F$25:$F$254,$F226,Покупка!$AC$25:$AC$254,$G226)</f>
        <v>0</v>
      </c>
      <c r="AK226" s="190">
        <f ca="1">SUMIFS(Покупка!AJ$25:AJ$254,Покупка!$F$25:$F$254,$F226,Покупка!$AC$25:$AC$254,$G226)</f>
        <v>0</v>
      </c>
      <c r="AL226" s="190">
        <f ca="1">SUMIFS(Покупка!AK$25:AK$254,Покупка!$F$25:$F$254,$F226,Покупка!$AC$25:$AC$254,$G226)</f>
        <v>0</v>
      </c>
      <c r="AM226" s="190">
        <f ca="1">SUMIFS(Покупка!AL$25:AL$254,Покупка!$F$25:$F$254,$F226,Покупка!$AC$25:$AC$254,$G226)</f>
        <v>0</v>
      </c>
      <c r="AN226" s="190">
        <f ca="1">SUMIFS(Покупка!AM$25:AM$254,Покупка!$F$25:$F$254,$F226,Покупка!$AC$25:$AC$254,$G226)</f>
        <v>0</v>
      </c>
      <c r="AO226" s="190">
        <f ca="1">SUMIFS(Покупка!AN$25:AN$254,Покупка!$F$25:$F$254,$F226,Покупка!$AC$25:$AC$254,$G226)</f>
        <v>0</v>
      </c>
      <c r="AP226" s="190">
        <f ca="1">SUMIFS(Покупка!AO$25:AO$254,Покупка!$F$25:$F$254,$F226,Покупка!$AC$25:$AC$254,$G226)</f>
        <v>0</v>
      </c>
      <c r="AQ226" s="190">
        <f ca="1">SUMIFS(Покупка!AP$25:AP$254,Покупка!$F$25:$F$254,$F226,Покупка!$AC$25:$AC$254,$G226)</f>
        <v>0</v>
      </c>
      <c r="AR226" s="190">
        <f ca="1">SUMIFS(Покупка!AQ$25:AQ$254,Покупка!$F$25:$F$254,$F226,Покупка!$AC$25:$AC$254,$G226)</f>
        <v>0</v>
      </c>
      <c r="AS226" s="190">
        <f ca="1">SUMIFS(Покупка!AR$25:AR$254,Покупка!$F$25:$F$254,$F226,Покупка!$AC$25:$AC$254,$G226)</f>
        <v>0</v>
      </c>
      <c r="AT226" s="190">
        <f ca="1">SUMIFS(Покупка!AS$25:AS$254,Покупка!$F$25:$F$254,$F226,Покупка!$AC$25:$AC$254,$G226)</f>
        <v>0</v>
      </c>
      <c r="AU226" s="190">
        <f ca="1">SUMIFS(Покупка!AT$25:AT$254,Покупка!$F$25:$F$254,$F226,Покупка!$AC$25:$AC$254,$G226)</f>
        <v>0</v>
      </c>
      <c r="AV226" s="190">
        <f ca="1">SUMIFS(Покупка!AU$25:AU$254,Покупка!$F$25:$F$254,$F226,Покупка!$AC$25:$AC$254,$G226)</f>
        <v>0</v>
      </c>
      <c r="AW226" s="190">
        <f ca="1">SUMIFS(Покупка!AV$25:AV$254,Покупка!$F$25:$F$254,$F226,Покупка!$AC$25:$AC$254,$G226)</f>
        <v>0</v>
      </c>
      <c r="AX226" s="190">
        <f ca="1">SUMIFS(Покупка!AW$25:AW$254,Покупка!$F$25:$F$254,$F226,Покупка!$AC$25:$AC$254,$G226)</f>
        <v>0</v>
      </c>
      <c r="AY226" s="190">
        <f ca="1">SUMIFS(Покупка!AX$25:AX$254,Покупка!$F$25:$F$254,$F226,Покупка!$AC$25:$AC$254,$G226)</f>
        <v>0</v>
      </c>
      <c r="AZ226" s="190">
        <f ca="1">SUMIFS(Покупка!AY$25:AY$254,Покупка!$F$25:$F$254,$F226,Покупка!$AC$25:$AC$254,$G226)</f>
        <v>0</v>
      </c>
      <c r="BA226" s="190">
        <f ca="1">SUMIFS(Покупка!AZ$25:AZ$254,Покупка!$F$25:$F$254,$F226,Покупка!$AC$25:$AC$254,$G226)</f>
        <v>0</v>
      </c>
      <c r="BB226" s="190">
        <f ca="1">SUMIFS(Покупка!BA$25:BA$254,Покупка!$F$25:$F$254,$F226,Покупка!$AC$25:$AC$254,$G226)</f>
        <v>0</v>
      </c>
      <c r="BC226" s="190">
        <f ca="1">SUMIFS(Покупка!BB$25:BB$254,Покупка!$F$25:$F$254,$F226,Покупка!$AC$25:$AC$254,$G226)</f>
        <v>0</v>
      </c>
      <c r="BD226" s="190">
        <f t="shared" ca="1" si="56"/>
        <v>0</v>
      </c>
      <c r="BE226" s="190">
        <f t="shared" ca="1" si="57"/>
        <v>0</v>
      </c>
      <c r="BF226" s="190">
        <f t="shared" ca="1" si="58"/>
        <v>0</v>
      </c>
      <c r="BG226" s="190">
        <f t="shared" ca="1" si="59"/>
        <v>0</v>
      </c>
      <c r="BH226" s="190">
        <f t="shared" ca="1" si="60"/>
        <v>0</v>
      </c>
      <c r="BI226" s="190">
        <f t="shared" ca="1" si="61"/>
        <v>0</v>
      </c>
      <c r="BJ226" s="190">
        <f t="shared" ca="1" si="62"/>
        <v>0</v>
      </c>
      <c r="BK226" s="190">
        <f t="shared" ca="1" si="63"/>
        <v>0</v>
      </c>
      <c r="BL226" s="190">
        <f t="shared" ca="1" si="64"/>
        <v>0</v>
      </c>
      <c r="BM226" s="190">
        <f t="shared" ca="1" si="65"/>
        <v>0</v>
      </c>
      <c r="BN226" s="215"/>
      <c r="BO226" s="610" t="str">
        <f ca="1">IF(IFERROR(INDEX(Покупка!$K$26:$L$254,MATCH($F226&amp;"2komm",Покупка!$K$26:$K$254,0),2),"")=0,"",IFERROR(INDEX(Покупка!$K$26:$L$254,MATCH($F226&amp;"2komm",Покупка!$K$26:$K$254,0),2),""))</f>
        <v/>
      </c>
      <c r="BP226" s="215"/>
      <c r="BS226" s="705" t="s">
        <v>2037</v>
      </c>
    </row>
    <row r="227" spans="1:75" ht="14.25" customHeight="1">
      <c r="C227" s="44"/>
      <c r="D227" s="44"/>
      <c r="E227" s="462">
        <v>15</v>
      </c>
      <c r="F227" s="3" t="str" cm="1">
        <f t="array" aca="1" ref="F227" ca="1">OFFSET(E227,-1,1)</f>
        <v>1</v>
      </c>
      <c r="G227" s="44" t="s">
        <v>1067</v>
      </c>
      <c r="H227" s="44"/>
      <c r="I227" s="44" t="s">
        <v>1663</v>
      </c>
      <c r="J227" s="44"/>
      <c r="K227" s="44" t="s">
        <v>1663</v>
      </c>
      <c r="L227" s="44" t="s">
        <v>1506</v>
      </c>
      <c r="M227" s="44"/>
      <c r="N227" s="44"/>
      <c r="O227" s="44"/>
      <c r="P227" s="44"/>
      <c r="Q227" s="44"/>
      <c r="R227" s="44"/>
      <c r="S227" s="44"/>
      <c r="T227" s="365" t="b" cm="1">
        <f t="array" aca="1" ref="T227" ca="1">T226</f>
        <v>1</v>
      </c>
      <c r="U227" s="44"/>
      <c r="V227" s="44"/>
      <c r="W227" s="44"/>
      <c r="X227" s="1094"/>
      <c r="Z227" s="1065"/>
      <c r="AB227" s="26" t="s">
        <v>2038</v>
      </c>
      <c r="AC227" s="153" t="s">
        <v>2039</v>
      </c>
      <c r="AD227" s="26" t="s">
        <v>804</v>
      </c>
      <c r="AE227" s="190">
        <f ca="1">SUMIFS(Покупка!AE$25:AE$254,Покупка!$F$25:$F$254,$F227,Покупка!$AC$25:$AC$254,$G227)</f>
        <v>2816.6610780000001</v>
      </c>
      <c r="AF227" s="190">
        <f ca="1">SUMIFS(Покупка!AF$25:AF$254,Покупка!$F$25:$F$254,$F227,Покупка!$AC$25:$AC$254,$G227)</f>
        <v>3187.22</v>
      </c>
      <c r="AG227" s="190">
        <f ca="1">SUMIFS(Покупка!AG$25:AG$254,Покупка!$F$25:$F$254,$F227,Покупка!$AC$25:$AC$254,$G227)</f>
        <v>3187.22</v>
      </c>
      <c r="AH227" s="190">
        <f t="shared" ca="1" si="54"/>
        <v>0</v>
      </c>
      <c r="AI227" s="190">
        <f ca="1">SUMIFS(Покупка!AH$25:AH$254,Покупка!$F$25:$F$254,$F227,Покупка!$AC$25:$AC$254,$G227)</f>
        <v>3353.0088191999998</v>
      </c>
      <c r="AJ227" s="190">
        <f ca="1">SUMIFS(Покупка!AI$25:AI$254,Покупка!$F$25:$F$254,$F227,Покупка!$AC$25:$AC$254,$G227)</f>
        <v>3666.46</v>
      </c>
      <c r="AK227" s="190">
        <f ca="1">SUMIFS(Покупка!AJ$25:AJ$254,Покупка!$F$25:$F$254,$F227,Покупка!$AC$25:$AC$254,$G227)</f>
        <v>0</v>
      </c>
      <c r="AL227" s="190">
        <f ca="1">SUMIFS(Покупка!AK$25:AK$254,Покупка!$F$25:$F$254,$F227,Покупка!$AC$25:$AC$254,$G227)</f>
        <v>0</v>
      </c>
      <c r="AM227" s="190">
        <f ca="1">SUMIFS(Покупка!AL$25:AL$254,Покупка!$F$25:$F$254,$F227,Покупка!$AC$25:$AC$254,$G227)</f>
        <v>0</v>
      </c>
      <c r="AN227" s="190">
        <f ca="1">SUMIFS(Покупка!AM$25:AM$254,Покупка!$F$25:$F$254,$F227,Покупка!$AC$25:$AC$254,$G227)</f>
        <v>0</v>
      </c>
      <c r="AO227" s="190">
        <f ca="1">SUMIFS(Покупка!AN$25:AN$254,Покупка!$F$25:$F$254,$F227,Покупка!$AC$25:$AC$254,$G227)</f>
        <v>0</v>
      </c>
      <c r="AP227" s="190">
        <f ca="1">SUMIFS(Покупка!AO$25:AO$254,Покупка!$F$25:$F$254,$F227,Покупка!$AC$25:$AC$254,$G227)</f>
        <v>0</v>
      </c>
      <c r="AQ227" s="190">
        <f ca="1">SUMIFS(Покупка!AP$25:AP$254,Покупка!$F$25:$F$254,$F227,Покупка!$AC$25:$AC$254,$G227)</f>
        <v>0</v>
      </c>
      <c r="AR227" s="190">
        <f ca="1">SUMIFS(Покупка!AQ$25:AQ$254,Покупка!$F$25:$F$254,$F227,Покупка!$AC$25:$AC$254,$G227)</f>
        <v>0</v>
      </c>
      <c r="AS227" s="190">
        <f ca="1">SUMIFS(Покупка!AR$25:AR$254,Покупка!$F$25:$F$254,$F227,Покупка!$AC$25:$AC$254,$G227)</f>
        <v>0</v>
      </c>
      <c r="AT227" s="190">
        <f ca="1">SUMIFS(Покупка!AS$25:AS$254,Покупка!$F$25:$F$254,$F227,Покупка!$AC$25:$AC$254,$G227)</f>
        <v>3552.56</v>
      </c>
      <c r="AU227" s="190">
        <f ca="1">SUMIFS(Покупка!AT$25:AT$254,Покупка!$F$25:$F$254,$F227,Покупка!$AC$25:$AC$254,$G227)</f>
        <v>0</v>
      </c>
      <c r="AV227" s="190">
        <f ca="1">SUMIFS(Покупка!AU$25:AU$254,Покупка!$F$25:$F$254,$F227,Покупка!$AC$25:$AC$254,$G227)</f>
        <v>0</v>
      </c>
      <c r="AW227" s="190">
        <f ca="1">SUMIFS(Покупка!AV$25:AV$254,Покупка!$F$25:$F$254,$F227,Покупка!$AC$25:$AC$254,$G227)</f>
        <v>0</v>
      </c>
      <c r="AX227" s="190">
        <f ca="1">SUMIFS(Покупка!AW$25:AW$254,Покупка!$F$25:$F$254,$F227,Покупка!$AC$25:$AC$254,$G227)</f>
        <v>0</v>
      </c>
      <c r="AY227" s="190">
        <f ca="1">SUMIFS(Покупка!AX$25:AX$254,Покупка!$F$25:$F$254,$F227,Покупка!$AC$25:$AC$254,$G227)</f>
        <v>0</v>
      </c>
      <c r="AZ227" s="190">
        <f ca="1">SUMIFS(Покупка!AY$25:AY$254,Покупка!$F$25:$F$254,$F227,Покупка!$AC$25:$AC$254,$G227)</f>
        <v>0</v>
      </c>
      <c r="BA227" s="190">
        <f ca="1">SUMIFS(Покупка!AZ$25:AZ$254,Покупка!$F$25:$F$254,$F227,Покупка!$AC$25:$AC$254,$G227)</f>
        <v>0</v>
      </c>
      <c r="BB227" s="190">
        <f ca="1">SUMIFS(Покупка!BA$25:BA$254,Покупка!$F$25:$F$254,$F227,Покупка!$AC$25:$AC$254,$G227)</f>
        <v>0</v>
      </c>
      <c r="BC227" s="190">
        <f ca="1">SUMIFS(Покупка!BB$25:BB$254,Покупка!$F$25:$F$254,$F227,Покупка!$AC$25:$AC$254,$G227)</f>
        <v>0</v>
      </c>
      <c r="BD227" s="190">
        <f t="shared" ca="1" si="56"/>
        <v>5.9514063803629176</v>
      </c>
      <c r="BE227" s="190">
        <f t="shared" ca="1" si="57"/>
        <v>-100</v>
      </c>
      <c r="BF227" s="190">
        <f t="shared" ca="1" si="58"/>
        <v>0</v>
      </c>
      <c r="BG227" s="190">
        <f t="shared" ca="1" si="59"/>
        <v>0</v>
      </c>
      <c r="BH227" s="190">
        <f t="shared" ca="1" si="60"/>
        <v>0</v>
      </c>
      <c r="BI227" s="190">
        <f t="shared" ca="1" si="61"/>
        <v>0</v>
      </c>
      <c r="BJ227" s="190">
        <f t="shared" ca="1" si="62"/>
        <v>0</v>
      </c>
      <c r="BK227" s="190">
        <f t="shared" ca="1" si="63"/>
        <v>0</v>
      </c>
      <c r="BL227" s="190">
        <f t="shared" ca="1" si="64"/>
        <v>0</v>
      </c>
      <c r="BM227" s="190">
        <f t="shared" ca="1" si="65"/>
        <v>0</v>
      </c>
      <c r="BN227" s="215"/>
      <c r="BO227" s="610" t="str">
        <f ca="1">IF(IFERROR(INDEX(Покупка!$K$26:$L$254,MATCH($F227&amp;"1komm",Покупка!$K$26:$K$254,0),2),"")=0,"",IFERROR(INDEX(Покупка!$K$26:$L$254,MATCH($F227&amp;"1komm",Покупка!$K$26:$K$254,0),2),""))</f>
        <v/>
      </c>
      <c r="BP227" s="215"/>
      <c r="BS227" s="705" t="s">
        <v>2040</v>
      </c>
    </row>
    <row r="228" spans="1:75" ht="14.25" customHeight="1">
      <c r="C228" s="44"/>
      <c r="D228" s="44"/>
      <c r="E228" s="462">
        <v>15</v>
      </c>
      <c r="F228" s="3" t="str" cm="1">
        <f t="array" aca="1" ref="F228" ca="1">OFFSET(E228,-1,1)</f>
        <v>1</v>
      </c>
      <c r="G228" s="44" t="s">
        <v>1134</v>
      </c>
      <c r="H228" s="44"/>
      <c r="I228" s="44" t="s">
        <v>1666</v>
      </c>
      <c r="J228" s="44"/>
      <c r="K228" s="44" t="s">
        <v>1666</v>
      </c>
      <c r="L228" s="44"/>
      <c r="M228" s="44"/>
      <c r="N228" s="44"/>
      <c r="O228" s="44"/>
      <c r="P228" s="44"/>
      <c r="Q228" s="44"/>
      <c r="R228" s="44"/>
      <c r="S228" s="44"/>
      <c r="T228" s="365" t="b" cm="1">
        <f t="array" aca="1" ref="T228" ca="1">T227</f>
        <v>1</v>
      </c>
      <c r="U228" s="44"/>
      <c r="V228" s="44"/>
      <c r="W228" s="44"/>
      <c r="X228" s="1094"/>
      <c r="Z228" s="1065"/>
      <c r="AB228" s="26" t="s">
        <v>2041</v>
      </c>
      <c r="AC228" s="153" t="s">
        <v>2042</v>
      </c>
      <c r="AD228" s="26" t="s">
        <v>804</v>
      </c>
      <c r="AE228" s="190">
        <f ca="1">SUMIFS(Покупка!AE$25:AE$254,Покупка!$F$25:$F$254,$F228,Покупка!$AC$25:$AC$254,$G228)</f>
        <v>0</v>
      </c>
      <c r="AF228" s="190">
        <f ca="1">SUMIFS(Покупка!AF$25:AF$254,Покупка!$F$25:$F$254,$F228,Покупка!$AC$25:$AC$254,$G228)</f>
        <v>0</v>
      </c>
      <c r="AG228" s="190">
        <f ca="1">SUMIFS(Покупка!AG$25:AG$254,Покупка!$F$25:$F$254,$F228,Покупка!$AC$25:$AC$254,$G228)</f>
        <v>0</v>
      </c>
      <c r="AH228" s="190">
        <f t="shared" ca="1" si="54"/>
        <v>0</v>
      </c>
      <c r="AI228" s="190">
        <f ca="1">SUMIFS(Покупка!AH$25:AH$254,Покупка!$F$25:$F$254,$F228,Покупка!$AC$25:$AC$254,$G228)</f>
        <v>0</v>
      </c>
      <c r="AJ228" s="190">
        <f ca="1">SUMIFS(Покупка!AI$25:AI$254,Покупка!$F$25:$F$254,$F228,Покупка!$AC$25:$AC$254,$G228)</f>
        <v>0</v>
      </c>
      <c r="AK228" s="190">
        <f ca="1">SUMIFS(Покупка!AJ$25:AJ$254,Покупка!$F$25:$F$254,$F228,Покупка!$AC$25:$AC$254,$G228)</f>
        <v>0</v>
      </c>
      <c r="AL228" s="190">
        <f ca="1">SUMIFS(Покупка!AK$25:AK$254,Покупка!$F$25:$F$254,$F228,Покупка!$AC$25:$AC$254,$G228)</f>
        <v>0</v>
      </c>
      <c r="AM228" s="190">
        <f ca="1">SUMIFS(Покупка!AL$25:AL$254,Покупка!$F$25:$F$254,$F228,Покупка!$AC$25:$AC$254,$G228)</f>
        <v>0</v>
      </c>
      <c r="AN228" s="190">
        <f ca="1">SUMIFS(Покупка!AM$25:AM$254,Покупка!$F$25:$F$254,$F228,Покупка!$AC$25:$AC$254,$G228)</f>
        <v>0</v>
      </c>
      <c r="AO228" s="190">
        <f ca="1">SUMIFS(Покупка!AN$25:AN$254,Покупка!$F$25:$F$254,$F228,Покупка!$AC$25:$AC$254,$G228)</f>
        <v>0</v>
      </c>
      <c r="AP228" s="190">
        <f ca="1">SUMIFS(Покупка!AO$25:AO$254,Покупка!$F$25:$F$254,$F228,Покупка!$AC$25:$AC$254,$G228)</f>
        <v>0</v>
      </c>
      <c r="AQ228" s="190">
        <f ca="1">SUMIFS(Покупка!AP$25:AP$254,Покупка!$F$25:$F$254,$F228,Покупка!$AC$25:$AC$254,$G228)</f>
        <v>0</v>
      </c>
      <c r="AR228" s="190">
        <f ca="1">SUMIFS(Покупка!AQ$25:AQ$254,Покупка!$F$25:$F$254,$F228,Покупка!$AC$25:$AC$254,$G228)</f>
        <v>0</v>
      </c>
      <c r="AS228" s="190">
        <f ca="1">SUMIFS(Покупка!AR$25:AR$254,Покупка!$F$25:$F$254,$F228,Покупка!$AC$25:$AC$254,$G228)</f>
        <v>0</v>
      </c>
      <c r="AT228" s="190">
        <f ca="1">SUMIFS(Покупка!AS$25:AS$254,Покупка!$F$25:$F$254,$F228,Покупка!$AC$25:$AC$254,$G228)</f>
        <v>0</v>
      </c>
      <c r="AU228" s="190">
        <f ca="1">SUMIFS(Покупка!AT$25:AT$254,Покупка!$F$25:$F$254,$F228,Покупка!$AC$25:$AC$254,$G228)</f>
        <v>0</v>
      </c>
      <c r="AV228" s="190">
        <f ca="1">SUMIFS(Покупка!AU$25:AU$254,Покупка!$F$25:$F$254,$F228,Покупка!$AC$25:$AC$254,$G228)</f>
        <v>0</v>
      </c>
      <c r="AW228" s="190">
        <f ca="1">SUMIFS(Покупка!AV$25:AV$254,Покупка!$F$25:$F$254,$F228,Покупка!$AC$25:$AC$254,$G228)</f>
        <v>0</v>
      </c>
      <c r="AX228" s="190">
        <f ca="1">SUMIFS(Покупка!AW$25:AW$254,Покупка!$F$25:$F$254,$F228,Покупка!$AC$25:$AC$254,$G228)</f>
        <v>0</v>
      </c>
      <c r="AY228" s="190">
        <f ca="1">SUMIFS(Покупка!AX$25:AX$254,Покупка!$F$25:$F$254,$F228,Покупка!$AC$25:$AC$254,$G228)</f>
        <v>0</v>
      </c>
      <c r="AZ228" s="190">
        <f ca="1">SUMIFS(Покупка!AY$25:AY$254,Покупка!$F$25:$F$254,$F228,Покупка!$AC$25:$AC$254,$G228)</f>
        <v>0</v>
      </c>
      <c r="BA228" s="190">
        <f ca="1">SUMIFS(Покупка!AZ$25:AZ$254,Покупка!$F$25:$F$254,$F228,Покупка!$AC$25:$AC$254,$G228)</f>
        <v>0</v>
      </c>
      <c r="BB228" s="190">
        <f ca="1">SUMIFS(Покупка!BA$25:BA$254,Покупка!$F$25:$F$254,$F228,Покупка!$AC$25:$AC$254,$G228)</f>
        <v>0</v>
      </c>
      <c r="BC228" s="190">
        <f ca="1">SUMIFS(Покупка!BB$25:BB$254,Покупка!$F$25:$F$254,$F228,Покупка!$AC$25:$AC$254,$G228)</f>
        <v>0</v>
      </c>
      <c r="BD228" s="190">
        <f t="shared" ca="1" si="56"/>
        <v>0</v>
      </c>
      <c r="BE228" s="190">
        <f t="shared" ca="1" si="57"/>
        <v>0</v>
      </c>
      <c r="BF228" s="190">
        <f t="shared" ca="1" si="58"/>
        <v>0</v>
      </c>
      <c r="BG228" s="190">
        <f t="shared" ca="1" si="59"/>
        <v>0</v>
      </c>
      <c r="BH228" s="190">
        <f t="shared" ca="1" si="60"/>
        <v>0</v>
      </c>
      <c r="BI228" s="190">
        <f t="shared" ca="1" si="61"/>
        <v>0</v>
      </c>
      <c r="BJ228" s="190">
        <f t="shared" ca="1" si="62"/>
        <v>0</v>
      </c>
      <c r="BK228" s="190">
        <f t="shared" ca="1" si="63"/>
        <v>0</v>
      </c>
      <c r="BL228" s="190">
        <f t="shared" ca="1" si="64"/>
        <v>0</v>
      </c>
      <c r="BM228" s="190">
        <f t="shared" ca="1" si="65"/>
        <v>0</v>
      </c>
      <c r="BN228" s="215"/>
      <c r="BO228" s="610" t="str">
        <f ca="1">IF(IFERROR(INDEX(Покупка!$K$26:$L$254,MATCH($F228&amp;"8komm",Покупка!$K$26:$K$254,0),2),"")=0,"",IFERROR(INDEX(Покупка!$K$26:$L$254,MATCH($F228&amp;"8komm",Покупка!$K$26:$K$254,0),2),""))</f>
        <v/>
      </c>
      <c r="BP228" s="215"/>
      <c r="BS228" s="705" t="s">
        <v>1135</v>
      </c>
    </row>
    <row r="229" spans="1:75" ht="14.25" customHeight="1">
      <c r="C229" s="44"/>
      <c r="D229" s="44"/>
      <c r="E229" s="462">
        <v>15</v>
      </c>
      <c r="F229" s="3" t="str" cm="1">
        <f t="array" aca="1" ref="F229" ca="1">OFFSET(E229,-1,1)</f>
        <v>1</v>
      </c>
      <c r="G229" s="44"/>
      <c r="H229" s="44"/>
      <c r="I229" s="44" t="s">
        <v>2043</v>
      </c>
      <c r="J229" s="44"/>
      <c r="K229" s="44" t="s">
        <v>2043</v>
      </c>
      <c r="L229" s="44"/>
      <c r="M229" s="44"/>
      <c r="N229" s="44"/>
      <c r="O229" s="44"/>
      <c r="P229" s="44"/>
      <c r="Q229" s="44"/>
      <c r="R229" s="44"/>
      <c r="S229" s="44"/>
      <c r="T229" s="365" t="b" cm="1">
        <f t="array" aca="1" ref="T229" ca="1">T228</f>
        <v>1</v>
      </c>
      <c r="U229" s="44"/>
      <c r="V229" s="44"/>
      <c r="W229" s="44"/>
      <c r="X229" s="1094"/>
      <c r="Z229" s="1065"/>
      <c r="AB229" s="26" t="s">
        <v>2044</v>
      </c>
      <c r="AC229" s="153" t="s">
        <v>2045</v>
      </c>
      <c r="AD229" s="26" t="s">
        <v>804</v>
      </c>
      <c r="AE229" s="147"/>
      <c r="AF229" s="147"/>
      <c r="AG229" s="147"/>
      <c r="AH229" s="190">
        <f t="shared" si="54"/>
        <v>0</v>
      </c>
      <c r="AI229" s="147"/>
      <c r="AJ229" s="147"/>
      <c r="AK229" s="787"/>
      <c r="AL229" s="787"/>
      <c r="AM229" s="787"/>
      <c r="AN229" s="787"/>
      <c r="AO229" s="787"/>
      <c r="AP229" s="787"/>
      <c r="AQ229" s="787"/>
      <c r="AR229" s="787"/>
      <c r="AS229" s="787"/>
      <c r="AT229" s="147"/>
      <c r="AU229" s="787"/>
      <c r="AV229" s="787"/>
      <c r="AW229" s="787"/>
      <c r="AX229" s="787"/>
      <c r="AY229" s="787"/>
      <c r="AZ229" s="787"/>
      <c r="BA229" s="787"/>
      <c r="BB229" s="787"/>
      <c r="BC229" s="787"/>
      <c r="BD229" s="190">
        <f t="shared" si="56"/>
        <v>0</v>
      </c>
      <c r="BE229" s="190">
        <f t="shared" si="57"/>
        <v>0</v>
      </c>
      <c r="BF229" s="190">
        <f t="shared" si="58"/>
        <v>0</v>
      </c>
      <c r="BG229" s="190">
        <f t="shared" si="59"/>
        <v>0</v>
      </c>
      <c r="BH229" s="190">
        <f t="shared" si="60"/>
        <v>0</v>
      </c>
      <c r="BI229" s="190">
        <f t="shared" si="61"/>
        <v>0</v>
      </c>
      <c r="BJ229" s="190">
        <f t="shared" si="62"/>
        <v>0</v>
      </c>
      <c r="BK229" s="190">
        <f t="shared" si="63"/>
        <v>0</v>
      </c>
      <c r="BL229" s="190">
        <f t="shared" si="64"/>
        <v>0</v>
      </c>
      <c r="BM229" s="190">
        <f t="shared" si="65"/>
        <v>0</v>
      </c>
      <c r="BN229" s="215"/>
      <c r="BO229" s="215"/>
      <c r="BP229" s="215"/>
      <c r="BS229" s="705" t="s">
        <v>2046</v>
      </c>
    </row>
    <row r="230" spans="1:75" ht="14.25" customHeight="1">
      <c r="C230" s="44"/>
      <c r="D230" s="44"/>
      <c r="E230" s="462">
        <v>15</v>
      </c>
      <c r="F230" s="3" t="str" cm="1">
        <f t="array" aca="1" ref="F230" ca="1">OFFSET(E230,-1,1)</f>
        <v>1</v>
      </c>
      <c r="G230" s="44"/>
      <c r="H230" s="44"/>
      <c r="I230" s="44" t="s">
        <v>2047</v>
      </c>
      <c r="J230" s="44"/>
      <c r="K230" s="44" t="s">
        <v>2047</v>
      </c>
      <c r="L230" s="44"/>
      <c r="M230" s="44"/>
      <c r="N230" s="44"/>
      <c r="O230" s="44"/>
      <c r="P230" s="44"/>
      <c r="Q230" s="44"/>
      <c r="R230" s="44"/>
      <c r="S230" s="44"/>
      <c r="T230" s="365" t="b" cm="1">
        <f t="array" aca="1" ref="T230" ca="1">T229</f>
        <v>1</v>
      </c>
      <c r="U230" s="44"/>
      <c r="V230" s="44"/>
      <c r="W230" s="44"/>
      <c r="X230" s="1094"/>
      <c r="Z230" s="1065"/>
      <c r="AB230" s="26" t="s">
        <v>2048</v>
      </c>
      <c r="AC230" s="153" t="s">
        <v>2049</v>
      </c>
      <c r="AD230" s="26" t="s">
        <v>804</v>
      </c>
      <c r="AE230" s="147"/>
      <c r="AF230" s="147"/>
      <c r="AG230" s="147"/>
      <c r="AH230" s="190">
        <f t="shared" si="54"/>
        <v>0</v>
      </c>
      <c r="AI230" s="147"/>
      <c r="AJ230" s="147"/>
      <c r="AK230" s="787"/>
      <c r="AL230" s="787"/>
      <c r="AM230" s="787"/>
      <c r="AN230" s="787"/>
      <c r="AO230" s="787"/>
      <c r="AP230" s="787"/>
      <c r="AQ230" s="787"/>
      <c r="AR230" s="787"/>
      <c r="AS230" s="787"/>
      <c r="AT230" s="147"/>
      <c r="AU230" s="787"/>
      <c r="AV230" s="787"/>
      <c r="AW230" s="787"/>
      <c r="AX230" s="787"/>
      <c r="AY230" s="787"/>
      <c r="AZ230" s="787"/>
      <c r="BA230" s="787"/>
      <c r="BB230" s="787"/>
      <c r="BC230" s="787"/>
      <c r="BD230" s="190">
        <f t="shared" si="56"/>
        <v>0</v>
      </c>
      <c r="BE230" s="190">
        <f t="shared" si="57"/>
        <v>0</v>
      </c>
      <c r="BF230" s="190">
        <f t="shared" si="58"/>
        <v>0</v>
      </c>
      <c r="BG230" s="190">
        <f t="shared" si="59"/>
        <v>0</v>
      </c>
      <c r="BH230" s="190">
        <f t="shared" si="60"/>
        <v>0</v>
      </c>
      <c r="BI230" s="190">
        <f t="shared" si="61"/>
        <v>0</v>
      </c>
      <c r="BJ230" s="190">
        <f t="shared" si="62"/>
        <v>0</v>
      </c>
      <c r="BK230" s="190">
        <f t="shared" si="63"/>
        <v>0</v>
      </c>
      <c r="BL230" s="190">
        <f t="shared" si="64"/>
        <v>0</v>
      </c>
      <c r="BM230" s="190">
        <f t="shared" si="65"/>
        <v>0</v>
      </c>
      <c r="BN230" s="215"/>
      <c r="BO230" s="215"/>
      <c r="BP230" s="215"/>
      <c r="BS230" s="705" t="s">
        <v>2050</v>
      </c>
    </row>
    <row r="231" spans="1:75" ht="14.25" customHeight="1">
      <c r="C231" s="44"/>
      <c r="D231" s="44"/>
      <c r="E231" s="462">
        <v>15</v>
      </c>
      <c r="F231" s="3" t="str" cm="1">
        <f t="array" aca="1" ref="F231" ca="1">OFFSET(E231,-1,1)</f>
        <v>1</v>
      </c>
      <c r="G231" s="44" t="s">
        <v>1086</v>
      </c>
      <c r="H231" s="44"/>
      <c r="I231" s="44" t="s">
        <v>2051</v>
      </c>
      <c r="J231" s="44"/>
      <c r="K231" s="44" t="s">
        <v>2051</v>
      </c>
      <c r="L231" s="44" t="s">
        <v>1520</v>
      </c>
      <c r="M231" s="44"/>
      <c r="N231" s="44"/>
      <c r="O231" s="44"/>
      <c r="P231" s="44"/>
      <c r="Q231" s="44"/>
      <c r="R231" s="44"/>
      <c r="S231" s="44"/>
      <c r="T231" s="365" t="b" cm="1">
        <f t="array" aca="1" ref="T231" ca="1">T230</f>
        <v>1</v>
      </c>
      <c r="U231" s="44"/>
      <c r="V231" s="44"/>
      <c r="W231" s="44"/>
      <c r="X231" s="1094"/>
      <c r="Z231" s="1065"/>
      <c r="AB231" s="26" t="s">
        <v>2052</v>
      </c>
      <c r="AC231" s="153" t="s">
        <v>2053</v>
      </c>
      <c r="AD231" s="26" t="s">
        <v>804</v>
      </c>
      <c r="AE231" s="190">
        <f ca="1">SUMIFS(Покупка!AE$25:AE$254,Покупка!$F$25:$F$254,$F231,Покупка!$AC$25:$AC$254,$G231)</f>
        <v>0</v>
      </c>
      <c r="AF231" s="190">
        <f ca="1">SUMIFS(Покупка!AF$25:AF$254,Покупка!$F$25:$F$254,$F231,Покупка!$AC$25:$AC$254,$G231)</f>
        <v>0</v>
      </c>
      <c r="AG231" s="190">
        <f ca="1">SUMIFS(Покупка!AG$25:AG$254,Покупка!$F$25:$F$254,$F231,Покупка!$AC$25:$AC$254,$G231)</f>
        <v>0</v>
      </c>
      <c r="AH231" s="190">
        <f t="shared" ca="1" si="54"/>
        <v>0</v>
      </c>
      <c r="AI231" s="190">
        <f ca="1">SUMIFS(Покупка!AH$25:AH$254,Покупка!$F$25:$F$254,$F231,Покупка!$AC$25:$AC$254,$G231)</f>
        <v>0</v>
      </c>
      <c r="AJ231" s="190">
        <f ca="1">SUMIFS(Покупка!AI$25:AI$254,Покупка!$F$25:$F$254,$F231,Покупка!$AC$25:$AC$254,$G231)</f>
        <v>0</v>
      </c>
      <c r="AK231" s="190">
        <f ca="1">SUMIFS(Покупка!AJ$25:AJ$254,Покупка!$F$25:$F$254,$F231,Покупка!$AC$25:$AC$254,$G231)</f>
        <v>0</v>
      </c>
      <c r="AL231" s="190">
        <f ca="1">SUMIFS(Покупка!AK$25:AK$254,Покупка!$F$25:$F$254,$F231,Покупка!$AC$25:$AC$254,$G231)</f>
        <v>0</v>
      </c>
      <c r="AM231" s="190">
        <f ca="1">SUMIFS(Покупка!AL$25:AL$254,Покупка!$F$25:$F$254,$F231,Покупка!$AC$25:$AC$254,$G231)</f>
        <v>0</v>
      </c>
      <c r="AN231" s="190">
        <f ca="1">SUMIFS(Покупка!AM$25:AM$254,Покупка!$F$25:$F$254,$F231,Покупка!$AC$25:$AC$254,$G231)</f>
        <v>0</v>
      </c>
      <c r="AO231" s="190">
        <f ca="1">SUMIFS(Покупка!AN$25:AN$254,Покупка!$F$25:$F$254,$F231,Покупка!$AC$25:$AC$254,$G231)</f>
        <v>0</v>
      </c>
      <c r="AP231" s="190">
        <f ca="1">SUMIFS(Покупка!AO$25:AO$254,Покупка!$F$25:$F$254,$F231,Покупка!$AC$25:$AC$254,$G231)</f>
        <v>0</v>
      </c>
      <c r="AQ231" s="190">
        <f ca="1">SUMIFS(Покупка!AP$25:AP$254,Покупка!$F$25:$F$254,$F231,Покупка!$AC$25:$AC$254,$G231)</f>
        <v>0</v>
      </c>
      <c r="AR231" s="190">
        <f ca="1">SUMIFS(Покупка!AQ$25:AQ$254,Покупка!$F$25:$F$254,$F231,Покупка!$AC$25:$AC$254,$G231)</f>
        <v>0</v>
      </c>
      <c r="AS231" s="190">
        <f ca="1">SUMIFS(Покупка!AR$25:AR$254,Покупка!$F$25:$F$254,$F231,Покупка!$AC$25:$AC$254,$G231)</f>
        <v>0</v>
      </c>
      <c r="AT231" s="190">
        <f ca="1">SUMIFS(Покупка!AS$25:AS$254,Покупка!$F$25:$F$254,$F231,Покупка!$AC$25:$AC$254,$G231)</f>
        <v>0</v>
      </c>
      <c r="AU231" s="190">
        <f ca="1">SUMIFS(Покупка!AT$25:AT$254,Покупка!$F$25:$F$254,$F231,Покупка!$AC$25:$AC$254,$G231)</f>
        <v>0</v>
      </c>
      <c r="AV231" s="190">
        <f ca="1">SUMIFS(Покупка!AU$25:AU$254,Покупка!$F$25:$F$254,$F231,Покупка!$AC$25:$AC$254,$G231)</f>
        <v>0</v>
      </c>
      <c r="AW231" s="190">
        <f ca="1">SUMIFS(Покупка!AV$25:AV$254,Покупка!$F$25:$F$254,$F231,Покупка!$AC$25:$AC$254,$G231)</f>
        <v>0</v>
      </c>
      <c r="AX231" s="190">
        <f ca="1">SUMIFS(Покупка!AW$25:AW$254,Покупка!$F$25:$F$254,$F231,Покупка!$AC$25:$AC$254,$G231)</f>
        <v>0</v>
      </c>
      <c r="AY231" s="190">
        <f ca="1">SUMIFS(Покупка!AX$25:AX$254,Покупка!$F$25:$F$254,$F231,Покупка!$AC$25:$AC$254,$G231)</f>
        <v>0</v>
      </c>
      <c r="AZ231" s="190">
        <f ca="1">SUMIFS(Покупка!AY$25:AY$254,Покупка!$F$25:$F$254,$F231,Покупка!$AC$25:$AC$254,$G231)</f>
        <v>0</v>
      </c>
      <c r="BA231" s="190">
        <f ca="1">SUMIFS(Покупка!AZ$25:AZ$254,Покупка!$F$25:$F$254,$F231,Покупка!$AC$25:$AC$254,$G231)</f>
        <v>0</v>
      </c>
      <c r="BB231" s="190">
        <f ca="1">SUMIFS(Покупка!BA$25:BA$254,Покупка!$F$25:$F$254,$F231,Покупка!$AC$25:$AC$254,$G231)</f>
        <v>0</v>
      </c>
      <c r="BC231" s="190">
        <f ca="1">SUMIFS(Покупка!BB$25:BB$254,Покупка!$F$25:$F$254,$F231,Покупка!$AC$25:$AC$254,$G231)</f>
        <v>0</v>
      </c>
      <c r="BD231" s="190">
        <f t="shared" ca="1" si="56"/>
        <v>0</v>
      </c>
      <c r="BE231" s="190">
        <f t="shared" ca="1" si="57"/>
        <v>0</v>
      </c>
      <c r="BF231" s="190">
        <f t="shared" ca="1" si="58"/>
        <v>0</v>
      </c>
      <c r="BG231" s="190">
        <f t="shared" ca="1" si="59"/>
        <v>0</v>
      </c>
      <c r="BH231" s="190">
        <f t="shared" ca="1" si="60"/>
        <v>0</v>
      </c>
      <c r="BI231" s="190">
        <f t="shared" ca="1" si="61"/>
        <v>0</v>
      </c>
      <c r="BJ231" s="190">
        <f t="shared" ca="1" si="62"/>
        <v>0</v>
      </c>
      <c r="BK231" s="190">
        <f t="shared" ca="1" si="63"/>
        <v>0</v>
      </c>
      <c r="BL231" s="190">
        <f t="shared" ca="1" si="64"/>
        <v>0</v>
      </c>
      <c r="BM231" s="190">
        <f t="shared" ca="1" si="65"/>
        <v>0</v>
      </c>
      <c r="BN231" s="215"/>
      <c r="BO231" s="610" t="str">
        <f ca="1">IF(IFERROR(INDEX(Покупка!$K$26:$L$254,MATCH($F231&amp;"3komm",Покупка!$K$26:$K$254,0),2),"")=0,"",IFERROR(INDEX(Покупка!$K$26:$L$254,MATCH($F231&amp;"3komm",Покупка!$K$26:$K$254,0),2),""))</f>
        <v/>
      </c>
      <c r="BP231" s="215"/>
      <c r="BS231" s="705" t="s">
        <v>1746</v>
      </c>
    </row>
    <row r="232" spans="1:75" ht="14.25" customHeight="1">
      <c r="C232" s="44"/>
      <c r="D232" s="44"/>
      <c r="E232" s="462">
        <v>15</v>
      </c>
      <c r="F232" s="3" t="str" cm="1">
        <f t="array" aca="1" ref="F232" ca="1">OFFSET(E232,-1,1)</f>
        <v>1</v>
      </c>
      <c r="G232" s="44" t="s">
        <v>1092</v>
      </c>
      <c r="H232" s="44"/>
      <c r="I232" s="44" t="s">
        <v>2054</v>
      </c>
      <c r="J232" s="44"/>
      <c r="K232" s="44" t="s">
        <v>2054</v>
      </c>
      <c r="L232" s="44" t="s">
        <v>1525</v>
      </c>
      <c r="M232" s="44"/>
      <c r="N232" s="44"/>
      <c r="O232" s="44"/>
      <c r="P232" s="44"/>
      <c r="Q232" s="44"/>
      <c r="R232" s="44"/>
      <c r="S232" s="44"/>
      <c r="T232" s="365" t="b" cm="1">
        <f t="array" aca="1" ref="T232" ca="1">T231</f>
        <v>1</v>
      </c>
      <c r="U232" s="44"/>
      <c r="V232" s="44"/>
      <c r="W232" s="44"/>
      <c r="X232" s="1094"/>
      <c r="Z232" s="1065"/>
      <c r="AB232" s="26" t="s">
        <v>2055</v>
      </c>
      <c r="AC232" s="153" t="s">
        <v>2056</v>
      </c>
      <c r="AD232" s="26" t="s">
        <v>804</v>
      </c>
      <c r="AE232" s="190">
        <f ca="1">SUMIFS(Покупка!AE$25:AE$254,Покупка!$F$25:$F$254,$F232,Покупка!$AC$25:$AC$254,$G232)</f>
        <v>0</v>
      </c>
      <c r="AF232" s="190">
        <f ca="1">SUMIFS(Покупка!AF$25:AF$254,Покупка!$F$25:$F$254,$F232,Покупка!$AC$25:$AC$254,$G232)</f>
        <v>0</v>
      </c>
      <c r="AG232" s="190">
        <f ca="1">SUMIFS(Покупка!AG$25:AG$254,Покупка!$F$25:$F$254,$F232,Покупка!$AC$25:$AC$254,$G232)</f>
        <v>0</v>
      </c>
      <c r="AH232" s="190">
        <f t="shared" ca="1" si="54"/>
        <v>0</v>
      </c>
      <c r="AI232" s="190">
        <f ca="1">SUMIFS(Покупка!AH$25:AH$254,Покупка!$F$25:$F$254,$F232,Покупка!$AC$25:$AC$254,$G232)</f>
        <v>0</v>
      </c>
      <c r="AJ232" s="190">
        <f ca="1">SUMIFS(Покупка!AI$25:AI$254,Покупка!$F$25:$F$254,$F232,Покупка!$AC$25:$AC$254,$G232)</f>
        <v>0</v>
      </c>
      <c r="AK232" s="190">
        <f ca="1">SUMIFS(Покупка!AJ$25:AJ$254,Покупка!$F$25:$F$254,$F232,Покупка!$AC$25:$AC$254,$G232)</f>
        <v>0</v>
      </c>
      <c r="AL232" s="190">
        <f ca="1">SUMIFS(Покупка!AK$25:AK$254,Покупка!$F$25:$F$254,$F232,Покупка!$AC$25:$AC$254,$G232)</f>
        <v>0</v>
      </c>
      <c r="AM232" s="190">
        <f ca="1">SUMIFS(Покупка!AL$25:AL$254,Покупка!$F$25:$F$254,$F232,Покупка!$AC$25:$AC$254,$G232)</f>
        <v>0</v>
      </c>
      <c r="AN232" s="190">
        <f ca="1">SUMIFS(Покупка!AM$25:AM$254,Покупка!$F$25:$F$254,$F232,Покупка!$AC$25:$AC$254,$G232)</f>
        <v>0</v>
      </c>
      <c r="AO232" s="190">
        <f ca="1">SUMIFS(Покупка!AN$25:AN$254,Покупка!$F$25:$F$254,$F232,Покупка!$AC$25:$AC$254,$G232)</f>
        <v>0</v>
      </c>
      <c r="AP232" s="190">
        <f ca="1">SUMIFS(Покупка!AO$25:AO$254,Покупка!$F$25:$F$254,$F232,Покупка!$AC$25:$AC$254,$G232)</f>
        <v>0</v>
      </c>
      <c r="AQ232" s="190">
        <f ca="1">SUMIFS(Покупка!AP$25:AP$254,Покупка!$F$25:$F$254,$F232,Покупка!$AC$25:$AC$254,$G232)</f>
        <v>0</v>
      </c>
      <c r="AR232" s="190">
        <f ca="1">SUMIFS(Покупка!AQ$25:AQ$254,Покупка!$F$25:$F$254,$F232,Покупка!$AC$25:$AC$254,$G232)</f>
        <v>0</v>
      </c>
      <c r="AS232" s="190">
        <f ca="1">SUMIFS(Покупка!AR$25:AR$254,Покупка!$F$25:$F$254,$F232,Покупка!$AC$25:$AC$254,$G232)</f>
        <v>0</v>
      </c>
      <c r="AT232" s="190">
        <f ca="1">SUMIFS(Покупка!AS$25:AS$254,Покупка!$F$25:$F$254,$F232,Покупка!$AC$25:$AC$254,$G232)</f>
        <v>0</v>
      </c>
      <c r="AU232" s="190">
        <f ca="1">SUMIFS(Покупка!AT$25:AT$254,Покупка!$F$25:$F$254,$F232,Покупка!$AC$25:$AC$254,$G232)</f>
        <v>0</v>
      </c>
      <c r="AV232" s="190">
        <f ca="1">SUMIFS(Покупка!AU$25:AU$254,Покупка!$F$25:$F$254,$F232,Покупка!$AC$25:$AC$254,$G232)</f>
        <v>0</v>
      </c>
      <c r="AW232" s="190">
        <f ca="1">SUMIFS(Покупка!AV$25:AV$254,Покупка!$F$25:$F$254,$F232,Покупка!$AC$25:$AC$254,$G232)</f>
        <v>0</v>
      </c>
      <c r="AX232" s="190">
        <f ca="1">SUMIFS(Покупка!AW$25:AW$254,Покупка!$F$25:$F$254,$F232,Покупка!$AC$25:$AC$254,$G232)</f>
        <v>0</v>
      </c>
      <c r="AY232" s="190">
        <f ca="1">SUMIFS(Покупка!AX$25:AX$254,Покупка!$F$25:$F$254,$F232,Покупка!$AC$25:$AC$254,$G232)</f>
        <v>0</v>
      </c>
      <c r="AZ232" s="190">
        <f ca="1">SUMIFS(Покупка!AY$25:AY$254,Покупка!$F$25:$F$254,$F232,Покупка!$AC$25:$AC$254,$G232)</f>
        <v>0</v>
      </c>
      <c r="BA232" s="190">
        <f ca="1">SUMIFS(Покупка!AZ$25:AZ$254,Покупка!$F$25:$F$254,$F232,Покупка!$AC$25:$AC$254,$G232)</f>
        <v>0</v>
      </c>
      <c r="BB232" s="190">
        <f ca="1">SUMIFS(Покупка!BA$25:BA$254,Покупка!$F$25:$F$254,$F232,Покупка!$AC$25:$AC$254,$G232)</f>
        <v>0</v>
      </c>
      <c r="BC232" s="190">
        <f ca="1">SUMIFS(Покупка!BB$25:BB$254,Покупка!$F$25:$F$254,$F232,Покупка!$AC$25:$AC$254,$G232)</f>
        <v>0</v>
      </c>
      <c r="BD232" s="190">
        <f t="shared" ca="1" si="56"/>
        <v>0</v>
      </c>
      <c r="BE232" s="190">
        <f t="shared" ca="1" si="57"/>
        <v>0</v>
      </c>
      <c r="BF232" s="190">
        <f t="shared" ca="1" si="58"/>
        <v>0</v>
      </c>
      <c r="BG232" s="190">
        <f t="shared" ca="1" si="59"/>
        <v>0</v>
      </c>
      <c r="BH232" s="190">
        <f t="shared" ca="1" si="60"/>
        <v>0</v>
      </c>
      <c r="BI232" s="190">
        <f t="shared" ca="1" si="61"/>
        <v>0</v>
      </c>
      <c r="BJ232" s="190">
        <f t="shared" ca="1" si="62"/>
        <v>0</v>
      </c>
      <c r="BK232" s="190">
        <f t="shared" ca="1" si="63"/>
        <v>0</v>
      </c>
      <c r="BL232" s="190">
        <f t="shared" ca="1" si="64"/>
        <v>0</v>
      </c>
      <c r="BM232" s="190">
        <f t="shared" ca="1" si="65"/>
        <v>0</v>
      </c>
      <c r="BN232" s="215"/>
      <c r="BO232" s="610" t="str">
        <f ca="1">IF(IFERROR(INDEX(Покупка!$K$26:$L$254,MATCH($F232&amp;"4komm",Покупка!$K$26:$K$254,0),2),"")=0,"",IFERROR(INDEX(Покупка!$K$26:$L$254,MATCH($F231&amp;"3komm",Покупка!$K$26:$K$254,0),2),""))</f>
        <v/>
      </c>
      <c r="BP232" s="215"/>
      <c r="BS232" s="705" t="s">
        <v>1749</v>
      </c>
    </row>
    <row r="233" spans="1:75" ht="14.25" customHeight="1">
      <c r="C233" s="44"/>
      <c r="D233" s="44"/>
      <c r="E233" s="462">
        <v>15</v>
      </c>
      <c r="F233" s="3" t="str" cm="1">
        <f t="array" aca="1" ref="F233" ca="1">OFFSET(E233,-1,1)</f>
        <v>1</v>
      </c>
      <c r="G233" s="44" t="s">
        <v>1099</v>
      </c>
      <c r="H233" s="44"/>
      <c r="I233" s="44" t="s">
        <v>2057</v>
      </c>
      <c r="J233" s="44"/>
      <c r="K233" s="44" t="s">
        <v>2057</v>
      </c>
      <c r="L233" s="44" t="s">
        <v>1535</v>
      </c>
      <c r="M233" s="44"/>
      <c r="N233" s="44"/>
      <c r="O233" s="44"/>
      <c r="P233" s="44"/>
      <c r="Q233" s="44"/>
      <c r="R233" s="44"/>
      <c r="S233" s="44"/>
      <c r="T233" s="365" t="b" cm="1">
        <f t="array" aca="1" ref="T233" ca="1">T232</f>
        <v>1</v>
      </c>
      <c r="U233" s="44"/>
      <c r="V233" s="44"/>
      <c r="W233" s="44"/>
      <c r="X233" s="1094"/>
      <c r="Z233" s="1065"/>
      <c r="AB233" s="26" t="s">
        <v>2058</v>
      </c>
      <c r="AC233" s="153" t="s">
        <v>2059</v>
      </c>
      <c r="AD233" s="26" t="s">
        <v>804</v>
      </c>
      <c r="AE233" s="190">
        <f ca="1">SUMIFS(Покупка!AE$25:AE$254,Покупка!$F$25:$F$254,$F233,Покупка!$AC$25:$AC$254,$G233)</f>
        <v>0</v>
      </c>
      <c r="AF233" s="190">
        <f ca="1">SUMIFS(Покупка!AF$25:AF$254,Покупка!$F$25:$F$254,$F233,Покупка!$AC$25:$AC$254,$G233)</f>
        <v>0</v>
      </c>
      <c r="AG233" s="190">
        <f ca="1">SUMIFS(Покупка!AG$25:AG$254,Покупка!$F$25:$F$254,$F233,Покупка!$AC$25:$AC$254,$G233)</f>
        <v>0</v>
      </c>
      <c r="AH233" s="190">
        <f t="shared" ca="1" si="54"/>
        <v>0</v>
      </c>
      <c r="AI233" s="190">
        <f ca="1">SUMIFS(Покупка!AH$25:AH$254,Покупка!$F$25:$F$254,$F233,Покупка!$AC$25:$AC$254,$G233)</f>
        <v>0</v>
      </c>
      <c r="AJ233" s="190">
        <f ca="1">SUMIFS(Покупка!AI$25:AI$254,Покупка!$F$25:$F$254,$F233,Покупка!$AC$25:$AC$254,$G233)</f>
        <v>0</v>
      </c>
      <c r="AK233" s="190">
        <f ca="1">SUMIFS(Покупка!AJ$25:AJ$254,Покупка!$F$25:$F$254,$F233,Покупка!$AC$25:$AC$254,$G233)</f>
        <v>0</v>
      </c>
      <c r="AL233" s="190">
        <f ca="1">SUMIFS(Покупка!AK$25:AK$254,Покупка!$F$25:$F$254,$F233,Покупка!$AC$25:$AC$254,$G233)</f>
        <v>0</v>
      </c>
      <c r="AM233" s="190">
        <f ca="1">SUMIFS(Покупка!AL$25:AL$254,Покупка!$F$25:$F$254,$F233,Покупка!$AC$25:$AC$254,$G233)</f>
        <v>0</v>
      </c>
      <c r="AN233" s="190">
        <f ca="1">SUMIFS(Покупка!AM$25:AM$254,Покупка!$F$25:$F$254,$F233,Покупка!$AC$25:$AC$254,$G233)</f>
        <v>0</v>
      </c>
      <c r="AO233" s="190">
        <f ca="1">SUMIFS(Покупка!AN$25:AN$254,Покупка!$F$25:$F$254,$F233,Покупка!$AC$25:$AC$254,$G233)</f>
        <v>0</v>
      </c>
      <c r="AP233" s="190">
        <f ca="1">SUMIFS(Покупка!AO$25:AO$254,Покупка!$F$25:$F$254,$F233,Покупка!$AC$25:$AC$254,$G233)</f>
        <v>0</v>
      </c>
      <c r="AQ233" s="190">
        <f ca="1">SUMIFS(Покупка!AP$25:AP$254,Покупка!$F$25:$F$254,$F233,Покупка!$AC$25:$AC$254,$G233)</f>
        <v>0</v>
      </c>
      <c r="AR233" s="190">
        <f ca="1">SUMIFS(Покупка!AQ$25:AQ$254,Покупка!$F$25:$F$254,$F233,Покупка!$AC$25:$AC$254,$G233)</f>
        <v>0</v>
      </c>
      <c r="AS233" s="190">
        <f ca="1">SUMIFS(Покупка!AR$25:AR$254,Покупка!$F$25:$F$254,$F233,Покупка!$AC$25:$AC$254,$G233)</f>
        <v>0</v>
      </c>
      <c r="AT233" s="190">
        <f ca="1">SUMIFS(Покупка!AS$25:AS$254,Покупка!$F$25:$F$254,$F233,Покупка!$AC$25:$AC$254,$G233)</f>
        <v>0</v>
      </c>
      <c r="AU233" s="190">
        <f ca="1">SUMIFS(Покупка!AT$25:AT$254,Покупка!$F$25:$F$254,$F233,Покупка!$AC$25:$AC$254,$G233)</f>
        <v>0</v>
      </c>
      <c r="AV233" s="190">
        <f ca="1">SUMIFS(Покупка!AU$25:AU$254,Покупка!$F$25:$F$254,$F233,Покупка!$AC$25:$AC$254,$G233)</f>
        <v>0</v>
      </c>
      <c r="AW233" s="190">
        <f ca="1">SUMIFS(Покупка!AV$25:AV$254,Покупка!$F$25:$F$254,$F233,Покупка!$AC$25:$AC$254,$G233)</f>
        <v>0</v>
      </c>
      <c r="AX233" s="190">
        <f ca="1">SUMIFS(Покупка!AW$25:AW$254,Покупка!$F$25:$F$254,$F233,Покупка!$AC$25:$AC$254,$G233)</f>
        <v>0</v>
      </c>
      <c r="AY233" s="190">
        <f ca="1">SUMIFS(Покупка!AX$25:AX$254,Покупка!$F$25:$F$254,$F233,Покупка!$AC$25:$AC$254,$G233)</f>
        <v>0</v>
      </c>
      <c r="AZ233" s="190">
        <f ca="1">SUMIFS(Покупка!AY$25:AY$254,Покупка!$F$25:$F$254,$F233,Покупка!$AC$25:$AC$254,$G233)</f>
        <v>0</v>
      </c>
      <c r="BA233" s="190">
        <f ca="1">SUMIFS(Покупка!AZ$25:AZ$254,Покупка!$F$25:$F$254,$F233,Покупка!$AC$25:$AC$254,$G233)</f>
        <v>0</v>
      </c>
      <c r="BB233" s="190">
        <f ca="1">SUMIFS(Покупка!BA$25:BA$254,Покупка!$F$25:$F$254,$F233,Покупка!$AC$25:$AC$254,$G233)</f>
        <v>0</v>
      </c>
      <c r="BC233" s="190">
        <f ca="1">SUMIFS(Покупка!BB$25:BB$254,Покупка!$F$25:$F$254,$F233,Покупка!$AC$25:$AC$254,$G233)</f>
        <v>0</v>
      </c>
      <c r="BD233" s="190">
        <f t="shared" ca="1" si="56"/>
        <v>0</v>
      </c>
      <c r="BE233" s="190">
        <f t="shared" ca="1" si="57"/>
        <v>0</v>
      </c>
      <c r="BF233" s="190">
        <f t="shared" ca="1" si="58"/>
        <v>0</v>
      </c>
      <c r="BG233" s="190">
        <f t="shared" ca="1" si="59"/>
        <v>0</v>
      </c>
      <c r="BH233" s="190">
        <f t="shared" ca="1" si="60"/>
        <v>0</v>
      </c>
      <c r="BI233" s="190">
        <f t="shared" ca="1" si="61"/>
        <v>0</v>
      </c>
      <c r="BJ233" s="190">
        <f t="shared" ca="1" si="62"/>
        <v>0</v>
      </c>
      <c r="BK233" s="190">
        <f t="shared" ca="1" si="63"/>
        <v>0</v>
      </c>
      <c r="BL233" s="190">
        <f t="shared" ca="1" si="64"/>
        <v>0</v>
      </c>
      <c r="BM233" s="190">
        <f t="shared" ca="1" si="65"/>
        <v>0</v>
      </c>
      <c r="BN233" s="215"/>
      <c r="BO233" s="610" t="str">
        <f ca="1">IF(IFERROR(INDEX(Покупка!$K$26:$L$254,MATCH($F233&amp;"5komm",Покупка!$K$26:$K$254,0),2),"")=0,"",IFERROR(INDEX(Покупка!$K$26:$L$254,MATCH($F233&amp;"5komm",Покупка!$K$26:$K$254,0),2),""))</f>
        <v/>
      </c>
      <c r="BP233" s="215"/>
      <c r="BS233" s="705" t="s">
        <v>1752</v>
      </c>
    </row>
    <row r="234" spans="1:75" ht="14.25" customHeight="1">
      <c r="C234" s="44"/>
      <c r="D234" s="44"/>
      <c r="E234" s="462">
        <v>15</v>
      </c>
      <c r="F234" s="3" t="str" cm="1">
        <f t="array" aca="1" ref="F234" ca="1">OFFSET(E234,-1,1)</f>
        <v>1</v>
      </c>
      <c r="G234" s="44" t="s">
        <v>1140</v>
      </c>
      <c r="H234" s="44"/>
      <c r="I234" s="44"/>
      <c r="J234" s="44"/>
      <c r="K234" s="44"/>
      <c r="L234" s="44" t="s">
        <v>1502</v>
      </c>
      <c r="M234" s="44"/>
      <c r="N234" s="44"/>
      <c r="O234" s="44"/>
      <c r="P234" s="44"/>
      <c r="Q234" s="44"/>
      <c r="R234" s="44"/>
      <c r="S234" s="44"/>
      <c r="T234" s="365" t="b" cm="1">
        <f t="array" aca="1" ref="T234" ca="1">T233</f>
        <v>1</v>
      </c>
      <c r="U234" s="44"/>
      <c r="V234" s="44"/>
      <c r="W234" s="44"/>
      <c r="X234" s="1094"/>
      <c r="Z234" s="1065"/>
      <c r="AB234" s="26" t="s">
        <v>2060</v>
      </c>
      <c r="AC234" s="153" t="s">
        <v>2061</v>
      </c>
      <c r="AD234" s="26" t="s">
        <v>804</v>
      </c>
      <c r="AE234" s="190">
        <f ca="1">SUMIFS(Покупка!AE$25:AE$254,Покупка!$F$25:$F$254,$F234,Покупка!$AC$25:$AC$254,$G234)</f>
        <v>0</v>
      </c>
      <c r="AF234" s="190">
        <f ca="1">SUMIFS(Покупка!AF$25:AF$254,Покупка!$F$25:$F$254,$F234,Покупка!$AC$25:$AC$254,$G234)</f>
        <v>0</v>
      </c>
      <c r="AG234" s="190">
        <f ca="1">SUMIFS(Покупка!AG$25:AG$254,Покупка!$F$25:$F$254,$F234,Покупка!$AC$25:$AC$254,$G234)</f>
        <v>0</v>
      </c>
      <c r="AH234" s="190">
        <f t="shared" ca="1" si="54"/>
        <v>0</v>
      </c>
      <c r="AI234" s="190">
        <f ca="1">SUMIFS(Покупка!AH$25:AH$254,Покупка!$F$25:$F$254,$F234,Покупка!$AC$25:$AC$254,$G234)</f>
        <v>0</v>
      </c>
      <c r="AJ234" s="190">
        <f ca="1">SUMIFS(Покупка!AI$25:AI$254,Покупка!$F$25:$F$254,$F234,Покупка!$AC$25:$AC$254,$G234)</f>
        <v>0</v>
      </c>
      <c r="AK234" s="190">
        <f ca="1">SUMIFS(Покупка!AJ$25:AJ$254,Покупка!$F$25:$F$254,$F234,Покупка!$AC$25:$AC$254,$G234)</f>
        <v>0</v>
      </c>
      <c r="AL234" s="190">
        <f ca="1">SUMIFS(Покупка!AK$25:AK$254,Покупка!$F$25:$F$254,$F234,Покупка!$AC$25:$AC$254,$G234)</f>
        <v>0</v>
      </c>
      <c r="AM234" s="190">
        <f ca="1">SUMIFS(Покупка!AL$25:AL$254,Покупка!$F$25:$F$254,$F234,Покупка!$AC$25:$AC$254,$G234)</f>
        <v>0</v>
      </c>
      <c r="AN234" s="190">
        <f ca="1">SUMIFS(Покупка!AM$25:AM$254,Покупка!$F$25:$F$254,$F234,Покупка!$AC$25:$AC$254,$G234)</f>
        <v>0</v>
      </c>
      <c r="AO234" s="190">
        <f ca="1">SUMIFS(Покупка!AN$25:AN$254,Покупка!$F$25:$F$254,$F234,Покупка!$AC$25:$AC$254,$G234)</f>
        <v>0</v>
      </c>
      <c r="AP234" s="190">
        <f ca="1">SUMIFS(Покупка!AO$25:AO$254,Покупка!$F$25:$F$254,$F234,Покупка!$AC$25:$AC$254,$G234)</f>
        <v>0</v>
      </c>
      <c r="AQ234" s="190">
        <f ca="1">SUMIFS(Покупка!AP$25:AP$254,Покупка!$F$25:$F$254,$F234,Покупка!$AC$25:$AC$254,$G234)</f>
        <v>0</v>
      </c>
      <c r="AR234" s="190">
        <f ca="1">SUMIFS(Покупка!AQ$25:AQ$254,Покупка!$F$25:$F$254,$F234,Покупка!$AC$25:$AC$254,$G234)</f>
        <v>0</v>
      </c>
      <c r="AS234" s="190">
        <f ca="1">SUMIFS(Покупка!AR$25:AR$254,Покупка!$F$25:$F$254,$F234,Покупка!$AC$25:$AC$254,$G234)</f>
        <v>0</v>
      </c>
      <c r="AT234" s="190">
        <f ca="1">SUMIFS(Покупка!AS$25:AS$254,Покупка!$F$25:$F$254,$F234,Покупка!$AC$25:$AC$254,$G234)</f>
        <v>0</v>
      </c>
      <c r="AU234" s="190">
        <f ca="1">SUMIFS(Покупка!AT$25:AT$254,Покупка!$F$25:$F$254,$F234,Покупка!$AC$25:$AC$254,$G234)</f>
        <v>0</v>
      </c>
      <c r="AV234" s="190">
        <f ca="1">SUMIFS(Покупка!AU$25:AU$254,Покупка!$F$25:$F$254,$F234,Покупка!$AC$25:$AC$254,$G234)</f>
        <v>0</v>
      </c>
      <c r="AW234" s="190">
        <f ca="1">SUMIFS(Покупка!AV$25:AV$254,Покупка!$F$25:$F$254,$F234,Покупка!$AC$25:$AC$254,$G234)</f>
        <v>0</v>
      </c>
      <c r="AX234" s="190">
        <f ca="1">SUMIFS(Покупка!AW$25:AW$254,Покупка!$F$25:$F$254,$F234,Покупка!$AC$25:$AC$254,$G234)</f>
        <v>0</v>
      </c>
      <c r="AY234" s="190">
        <f ca="1">SUMIFS(Покупка!AX$25:AX$254,Покупка!$F$25:$F$254,$F234,Покупка!$AC$25:$AC$254,$G234)</f>
        <v>0</v>
      </c>
      <c r="AZ234" s="190">
        <f ca="1">SUMIFS(Покупка!AY$25:AY$254,Покупка!$F$25:$F$254,$F234,Покупка!$AC$25:$AC$254,$G234)</f>
        <v>0</v>
      </c>
      <c r="BA234" s="190">
        <f ca="1">SUMIFS(Покупка!AZ$25:AZ$254,Покупка!$F$25:$F$254,$F234,Покупка!$AC$25:$AC$254,$G234)</f>
        <v>0</v>
      </c>
      <c r="BB234" s="190">
        <f ca="1">SUMIFS(Покупка!BA$25:BA$254,Покупка!$F$25:$F$254,$F234,Покупка!$AC$25:$AC$254,$G234)</f>
        <v>0</v>
      </c>
      <c r="BC234" s="190">
        <f ca="1">SUMIFS(Покупка!BB$25:BB$254,Покупка!$F$25:$F$254,$F234,Покупка!$AC$25:$AC$254,$G234)</f>
        <v>0</v>
      </c>
      <c r="BD234" s="190">
        <f t="shared" ca="1" si="56"/>
        <v>0</v>
      </c>
      <c r="BE234" s="190">
        <f t="shared" ca="1" si="57"/>
        <v>0</v>
      </c>
      <c r="BF234" s="190">
        <f t="shared" ca="1" si="58"/>
        <v>0</v>
      </c>
      <c r="BG234" s="190">
        <f t="shared" ca="1" si="59"/>
        <v>0</v>
      </c>
      <c r="BH234" s="190">
        <f t="shared" ca="1" si="60"/>
        <v>0</v>
      </c>
      <c r="BI234" s="190">
        <f t="shared" ca="1" si="61"/>
        <v>0</v>
      </c>
      <c r="BJ234" s="190">
        <f t="shared" ca="1" si="62"/>
        <v>0</v>
      </c>
      <c r="BK234" s="190">
        <f t="shared" ca="1" si="63"/>
        <v>0</v>
      </c>
      <c r="BL234" s="190">
        <f t="shared" ca="1" si="64"/>
        <v>0</v>
      </c>
      <c r="BM234" s="190">
        <f t="shared" ca="1" si="65"/>
        <v>0</v>
      </c>
      <c r="BN234" s="215"/>
      <c r="BO234" s="610" t="str">
        <f ca="1">IF(IFERROR(INDEX(Покупка!$K$26:$L$254,MATCH($F234&amp;"9komm",Покупка!$K$26:$K$254,0),2),"")=0,"",IFERROR(INDEX(Покупка!$K$26:$L$254,MATCH($F234&amp;"9komm",Покупка!$K$26:$K$254,0),2),""))</f>
        <v/>
      </c>
      <c r="BP234" s="215"/>
      <c r="BS234" s="705" t="s">
        <v>1141</v>
      </c>
    </row>
    <row r="235" spans="1:75" ht="14.25" customHeight="1">
      <c r="C235" s="44"/>
      <c r="D235" s="44"/>
      <c r="E235" s="462">
        <v>15</v>
      </c>
      <c r="F235" s="3" t="str" cm="1">
        <f t="array" aca="1" ref="F235" ca="1">OFFSET(E235,-1,1)</f>
        <v>1</v>
      </c>
      <c r="G235" s="44"/>
      <c r="H235" s="44"/>
      <c r="I235" s="44" t="s">
        <v>482</v>
      </c>
      <c r="J235" s="44"/>
      <c r="K235" s="44" t="s">
        <v>482</v>
      </c>
      <c r="L235" s="44"/>
      <c r="M235" s="44"/>
      <c r="N235" s="44"/>
      <c r="O235" s="44"/>
      <c r="P235" s="44"/>
      <c r="Q235" s="44"/>
      <c r="R235" s="44"/>
      <c r="S235" s="44"/>
      <c r="T235" s="365" t="b" cm="1">
        <f t="array" aca="1" ref="T235" ca="1">T234</f>
        <v>1</v>
      </c>
      <c r="U235" s="44"/>
      <c r="V235" s="44"/>
      <c r="W235" s="44"/>
      <c r="X235" s="1094"/>
      <c r="Z235" s="1065"/>
      <c r="AB235" s="26" t="s">
        <v>541</v>
      </c>
      <c r="AC235" s="146" t="s">
        <v>2062</v>
      </c>
      <c r="AD235" s="118" t="s">
        <v>804</v>
      </c>
      <c r="AE235" s="190">
        <f ca="1">SUMIFS('Сырье и материалы'!AE$25:AE$96,'Сырье и материалы'!$F$25:$F$96,$F235,'Сырье и материалы'!$I$25:$I$96,"Реагенты")</f>
        <v>164.85367654550001</v>
      </c>
      <c r="AF235" s="190">
        <f ca="1">SUMIFS('Сырье и материалы'!AF$25:AF$96,'Сырье и материалы'!$F$25:$F$96,$F235,'Сырье и материалы'!$I$25:$I$96,"Реагенты")</f>
        <v>174.23</v>
      </c>
      <c r="AG235" s="190">
        <f ca="1">SUMIFS('Сырье и материалы'!AG$25:AG$96,'Сырье и материалы'!$F$25:$F$96,$F235,'Сырье и материалы'!$I$25:$I$96,"Реагенты")</f>
        <v>174.23</v>
      </c>
      <c r="AH235" s="190">
        <f t="shared" ca="1" si="54"/>
        <v>0</v>
      </c>
      <c r="AI235" s="190">
        <f ca="1">SUMIFS('Сырье и материалы'!AH$25:AH$96,'Сырье и материалы'!$F$25:$F$96,$F235,'Сырье и материалы'!$I$25:$I$96,"Реагенты")</f>
        <v>184.2570761982</v>
      </c>
      <c r="AJ235" s="190">
        <f ca="1">SUMIFS('Сырье и материалы'!AI$25:AI$96,'Сырье и материалы'!$F$25:$F$96,$F235,'Сырье и материалы'!$I$25:$I$96,"Реагенты")</f>
        <v>201.27</v>
      </c>
      <c r="AK235" s="190">
        <f ca="1">SUMIFS('Сырье и материалы'!AJ$25:AJ$96,'Сырье и материалы'!$F$25:$F$96,$F235,'Сырье и материалы'!$I$25:$I$96,"Реагенты")</f>
        <v>0</v>
      </c>
      <c r="AL235" s="190">
        <f ca="1">SUMIFS('Сырье и материалы'!AK$25:AK$96,'Сырье и материалы'!$F$25:$F$96,$F235,'Сырье и материалы'!$I$25:$I$96,"Реагенты")</f>
        <v>0</v>
      </c>
      <c r="AM235" s="190">
        <f ca="1">SUMIFS('Сырье и материалы'!AL$25:AL$96,'Сырье и материалы'!$F$25:$F$96,$F235,'Сырье и материалы'!$I$25:$I$96,"Реагенты")</f>
        <v>0</v>
      </c>
      <c r="AN235" s="190">
        <f ca="1">SUMIFS('Сырье и материалы'!AM$25:AM$96,'Сырье и материалы'!$F$25:$F$96,$F235,'Сырье и материалы'!$I$25:$I$96,"Реагенты")</f>
        <v>0</v>
      </c>
      <c r="AO235" s="190">
        <f ca="1">SUMIFS('Сырье и материалы'!AN$25:AN$96,'Сырье и материалы'!$F$25:$F$96,$F235,'Сырье и материалы'!$I$25:$I$96,"Реагенты")</f>
        <v>0</v>
      </c>
      <c r="AP235" s="190">
        <f ca="1">SUMIFS('Сырье и материалы'!AO$25:AO$96,'Сырье и материалы'!$F$25:$F$96,$F235,'Сырье и материалы'!$I$25:$I$96,"Реагенты")</f>
        <v>0</v>
      </c>
      <c r="AQ235" s="190">
        <f ca="1">SUMIFS('Сырье и материалы'!AP$25:AP$96,'Сырье и материалы'!$F$25:$F$96,$F235,'Сырье и материалы'!$I$25:$I$96,"Реагенты")</f>
        <v>0</v>
      </c>
      <c r="AR235" s="190">
        <f ca="1">SUMIFS('Сырье и материалы'!AQ$25:AQ$96,'Сырье и материалы'!$F$25:$F$96,$F235,'Сырье и материалы'!$I$25:$I$96,"Реагенты")</f>
        <v>0</v>
      </c>
      <c r="AS235" s="190">
        <f ca="1">SUMIFS('Сырье и материалы'!AR$25:AR$96,'Сырье и материалы'!$F$25:$F$96,$F235,'Сырье и материалы'!$I$25:$I$96,"Реагенты")</f>
        <v>0</v>
      </c>
      <c r="AT235" s="190">
        <f ca="1">SUMIFS('Сырье и материалы'!AS$25:AS$96,'Сырье и материалы'!$F$25:$F$96,$F235,'Сырье и материалы'!$I$25:$I$96,"Реагенты")</f>
        <v>180.65</v>
      </c>
      <c r="AU235" s="190">
        <f ca="1">SUMIFS('Сырье и материалы'!AT$25:AT$96,'Сырье и материалы'!$F$25:$F$96,$F235,'Сырье и материалы'!$I$25:$I$96,"Реагенты")</f>
        <v>0</v>
      </c>
      <c r="AV235" s="190">
        <f ca="1">SUMIFS('Сырье и материалы'!AU$25:AU$96,'Сырье и материалы'!$F$25:$F$96,$F235,'Сырье и материалы'!$I$25:$I$96,"Реагенты")</f>
        <v>0</v>
      </c>
      <c r="AW235" s="190">
        <f ca="1">SUMIFS('Сырье и материалы'!AV$25:AV$96,'Сырье и материалы'!$F$25:$F$96,$F235,'Сырье и материалы'!$I$25:$I$96,"Реагенты")</f>
        <v>0</v>
      </c>
      <c r="AX235" s="190">
        <f ca="1">SUMIFS('Сырье и материалы'!AW$25:AW$96,'Сырье и материалы'!$F$25:$F$96,$F235,'Сырье и материалы'!$I$25:$I$96,"Реагенты")</f>
        <v>0</v>
      </c>
      <c r="AY235" s="190">
        <f ca="1">SUMIFS('Сырье и материалы'!AX$25:AX$96,'Сырье и материалы'!$F$25:$F$96,$F235,'Сырье и материалы'!$I$25:$I$96,"Реагенты")</f>
        <v>0</v>
      </c>
      <c r="AZ235" s="190">
        <f ca="1">SUMIFS('Сырье и материалы'!AY$25:AY$96,'Сырье и материалы'!$F$25:$F$96,$F235,'Сырье и материалы'!$I$25:$I$96,"Реагенты")</f>
        <v>0</v>
      </c>
      <c r="BA235" s="190">
        <f ca="1">SUMIFS('Сырье и материалы'!AZ$25:AZ$96,'Сырье и материалы'!$F$25:$F$96,$F235,'Сырье и материалы'!$I$25:$I$96,"Реагенты")</f>
        <v>0</v>
      </c>
      <c r="BB235" s="190">
        <f ca="1">SUMIFS('Сырье и материалы'!BA$25:BA$96,'Сырье и материалы'!$F$25:$F$96,$F235,'Сырье и материалы'!$I$25:$I$96,"Реагенты")</f>
        <v>0</v>
      </c>
      <c r="BC235" s="190">
        <f ca="1">SUMIFS('Сырье и материалы'!BB$25:BB$96,'Сырье и материалы'!$F$25:$F$96,$F235,'Сырье и материалы'!$I$25:$I$96,"Реагенты")</f>
        <v>0</v>
      </c>
      <c r="BD235" s="190">
        <f t="shared" ca="1" si="56"/>
        <v>-1.9576323865684069</v>
      </c>
      <c r="BE235" s="190">
        <f t="shared" ca="1" si="57"/>
        <v>-100</v>
      </c>
      <c r="BF235" s="190">
        <f t="shared" ca="1" si="58"/>
        <v>0</v>
      </c>
      <c r="BG235" s="190">
        <f t="shared" ca="1" si="59"/>
        <v>0</v>
      </c>
      <c r="BH235" s="190">
        <f t="shared" ca="1" si="60"/>
        <v>0</v>
      </c>
      <c r="BI235" s="190">
        <f t="shared" ca="1" si="61"/>
        <v>0</v>
      </c>
      <c r="BJ235" s="190">
        <f t="shared" ca="1" si="62"/>
        <v>0</v>
      </c>
      <c r="BK235" s="190">
        <f t="shared" ca="1" si="63"/>
        <v>0</v>
      </c>
      <c r="BL235" s="190">
        <f t="shared" ca="1" si="64"/>
        <v>0</v>
      </c>
      <c r="BM235" s="190">
        <f t="shared" ca="1" si="65"/>
        <v>0</v>
      </c>
      <c r="BN235" s="215"/>
      <c r="BO235" s="610" t="str">
        <f ca="1">IF(IFERROR(INDEX('Сырье и материалы'!$K$26:$L$96,MATCH($F235&amp;"komm",'Сырье и материалы'!$K$26:$K$96,0),2),"")=0,"",IFERROR(INDEX('Сырье и материалы'!$K$26:$L$96,MATCH($F235&amp;"komm",'Сырье и материалы'!$K$26:$K$96,0),2),""))</f>
        <v>п.п. 10 п. 49 Методических указаний 1746-э.</v>
      </c>
      <c r="BP235" s="215"/>
      <c r="BS235" s="705" t="s">
        <v>1725</v>
      </c>
    </row>
    <row r="236" spans="1:75" s="950" customFormat="1" ht="20.25" customHeight="1">
      <c r="A236" s="95"/>
      <c r="B236" s="344"/>
      <c r="C236" s="46"/>
      <c r="D236" s="46"/>
      <c r="E236" s="569">
        <v>21</v>
      </c>
      <c r="F236" s="3" t="str" cm="1">
        <f t="array" aca="1" ref="F236" ca="1">OFFSET(E236,-1,1)</f>
        <v>1</v>
      </c>
      <c r="G236" s="46"/>
      <c r="H236" s="44"/>
      <c r="I236" s="44" t="s">
        <v>917</v>
      </c>
      <c r="J236" s="46"/>
      <c r="K236" s="44" t="s">
        <v>917</v>
      </c>
      <c r="L236" s="46" t="s">
        <v>514</v>
      </c>
      <c r="M236" s="46"/>
      <c r="N236" s="46"/>
      <c r="O236" s="46"/>
      <c r="P236" s="46"/>
      <c r="Q236" s="46"/>
      <c r="R236" s="46"/>
      <c r="S236" s="46"/>
      <c r="T236" s="365" t="b" cm="1">
        <f t="array" aca="1" ref="T236" ca="1">T235</f>
        <v>1</v>
      </c>
      <c r="U236" s="46"/>
      <c r="V236" s="46"/>
      <c r="W236" s="46"/>
      <c r="X236" s="1094"/>
      <c r="Y236" s="95"/>
      <c r="Z236" s="1065"/>
      <c r="AA236" s="95"/>
      <c r="AB236" s="143" t="s">
        <v>545</v>
      </c>
      <c r="AC236" s="276" t="s">
        <v>2063</v>
      </c>
      <c r="AD236" s="143" t="s">
        <v>804</v>
      </c>
      <c r="AE236" s="145">
        <f ca="1">SUM(AE237:AE246)</f>
        <v>802.33002467979998</v>
      </c>
      <c r="AF236" s="145">
        <f ca="1">SUM(AF237:AF246)</f>
        <v>862.56</v>
      </c>
      <c r="AG236" s="145">
        <f ca="1">SUM(AG237:AG246)</f>
        <v>840.05</v>
      </c>
      <c r="AH236" s="145">
        <f t="shared" ca="1" si="54"/>
        <v>-22.509999999999991</v>
      </c>
      <c r="AI236" s="145">
        <f t="shared" ref="AI236:BC236" ca="1" si="67">SUM(AI237:AI246)</f>
        <v>908.82600000000002</v>
      </c>
      <c r="AJ236" s="145">
        <f t="shared" ca="1" si="67"/>
        <v>1363.12</v>
      </c>
      <c r="AK236" s="145">
        <f t="shared" ca="1" si="67"/>
        <v>0</v>
      </c>
      <c r="AL236" s="145">
        <f t="shared" ca="1" si="67"/>
        <v>0</v>
      </c>
      <c r="AM236" s="145">
        <f t="shared" ca="1" si="67"/>
        <v>0</v>
      </c>
      <c r="AN236" s="145">
        <f t="shared" ca="1" si="67"/>
        <v>0</v>
      </c>
      <c r="AO236" s="145">
        <f t="shared" ca="1" si="67"/>
        <v>0</v>
      </c>
      <c r="AP236" s="145">
        <f t="shared" ca="1" si="67"/>
        <v>0</v>
      </c>
      <c r="AQ236" s="145">
        <f t="shared" ca="1" si="67"/>
        <v>0</v>
      </c>
      <c r="AR236" s="145">
        <f t="shared" ca="1" si="67"/>
        <v>0</v>
      </c>
      <c r="AS236" s="145">
        <f t="shared" ca="1" si="67"/>
        <v>0</v>
      </c>
      <c r="AT236" s="145">
        <f t="shared" ca="1" si="67"/>
        <v>949.77</v>
      </c>
      <c r="AU236" s="145">
        <f t="shared" ca="1" si="67"/>
        <v>0</v>
      </c>
      <c r="AV236" s="145">
        <f t="shared" ca="1" si="67"/>
        <v>0</v>
      </c>
      <c r="AW236" s="145">
        <f t="shared" ca="1" si="67"/>
        <v>0</v>
      </c>
      <c r="AX236" s="145">
        <f t="shared" ca="1" si="67"/>
        <v>0</v>
      </c>
      <c r="AY236" s="145">
        <f t="shared" ca="1" si="67"/>
        <v>0</v>
      </c>
      <c r="AZ236" s="145">
        <f t="shared" ca="1" si="67"/>
        <v>0</v>
      </c>
      <c r="BA236" s="145">
        <f t="shared" ca="1" si="67"/>
        <v>0</v>
      </c>
      <c r="BB236" s="145">
        <f t="shared" ca="1" si="67"/>
        <v>0</v>
      </c>
      <c r="BC236" s="145">
        <f t="shared" ca="1" si="67"/>
        <v>0</v>
      </c>
      <c r="BD236" s="145">
        <f t="shared" ca="1" si="56"/>
        <v>4.5051528015263607</v>
      </c>
      <c r="BE236" s="145">
        <f t="shared" ca="1" si="57"/>
        <v>-100</v>
      </c>
      <c r="BF236" s="145">
        <f t="shared" ca="1" si="58"/>
        <v>0</v>
      </c>
      <c r="BG236" s="145">
        <f t="shared" ca="1" si="59"/>
        <v>0</v>
      </c>
      <c r="BH236" s="145">
        <f t="shared" ca="1" si="60"/>
        <v>0</v>
      </c>
      <c r="BI236" s="145">
        <f t="shared" ca="1" si="61"/>
        <v>0</v>
      </c>
      <c r="BJ236" s="145">
        <f t="shared" ca="1" si="62"/>
        <v>0</v>
      </c>
      <c r="BK236" s="145">
        <f t="shared" ca="1" si="63"/>
        <v>0</v>
      </c>
      <c r="BL236" s="145">
        <f t="shared" ca="1" si="64"/>
        <v>0</v>
      </c>
      <c r="BM236" s="145">
        <f t="shared" ca="1" si="65"/>
        <v>0</v>
      </c>
      <c r="BN236" s="566"/>
      <c r="BO236" s="610" t="str">
        <f ca="1">IF(IFERROR(INDEX(Налоги!$K$26:$L$69,MATCH($F236&amp;"komm",Налоги!$K$26:$K$69,0),2),"")=0,"",IFERROR(INDEX(Налоги!$K$26:$L$69,MATCH($F236&amp;"komm",Налоги!$K$26:$K$69,0),2),""))</f>
        <v>В соответствии с п.п.2 п. 49 Методических указаний 1746-э.</v>
      </c>
      <c r="BP236" s="566"/>
      <c r="BQ236" s="95"/>
      <c r="BR236" s="95"/>
      <c r="BS236" s="711" t="s">
        <v>1270</v>
      </c>
      <c r="BT236" s="711"/>
      <c r="BU236" s="711"/>
      <c r="BV236" s="522"/>
      <c r="BW236" s="522"/>
    </row>
    <row r="237" spans="1:75" ht="14.25" customHeight="1">
      <c r="C237" s="44"/>
      <c r="D237" s="44"/>
      <c r="E237" s="462">
        <v>15</v>
      </c>
      <c r="F237" s="3" t="str" cm="1">
        <f t="array" aca="1" ref="F237" ca="1">OFFSET(E237,-1,1)</f>
        <v>1</v>
      </c>
      <c r="G237" s="620">
        <v>7</v>
      </c>
      <c r="H237" s="44"/>
      <c r="I237" s="44" t="s">
        <v>2064</v>
      </c>
      <c r="J237" s="44"/>
      <c r="K237" s="44" t="s">
        <v>2064</v>
      </c>
      <c r="L237" s="44"/>
      <c r="M237" s="44"/>
      <c r="N237" s="44"/>
      <c r="O237" s="44"/>
      <c r="P237" s="44"/>
      <c r="Q237" s="44"/>
      <c r="R237" s="44"/>
      <c r="S237" s="44"/>
      <c r="T237" s="365" t="b" cm="1">
        <f t="array" aca="1" ref="T237" ca="1">T236</f>
        <v>1</v>
      </c>
      <c r="U237" s="44"/>
      <c r="V237" s="44"/>
      <c r="W237" s="44"/>
      <c r="X237" s="1094"/>
      <c r="Z237" s="1065"/>
      <c r="AB237" s="26" t="s">
        <v>498</v>
      </c>
      <c r="AC237" s="153" t="s">
        <v>1284</v>
      </c>
      <c r="AD237" s="26" t="s">
        <v>804</v>
      </c>
      <c r="AE237" s="190">
        <f ca="1">SUMIFS(Налоги!AE$25:AE$69,Налоги!$F$25:$F$69,$F237,Налоги!$AB$25:$AB$69,$G237)</f>
        <v>0</v>
      </c>
      <c r="AF237" s="190">
        <f ca="1">SUMIFS(Налоги!AF$25:AF$69,Налоги!$F$25:$F$69,$F237,Налоги!$AB$25:$AB$69,$G237)</f>
        <v>0</v>
      </c>
      <c r="AG237" s="190">
        <f ca="1">SUMIFS(Налоги!AG$25:AG$69,Налоги!$F$25:$F$69,$F237,Налоги!$AB$25:$AB$69,$G237)</f>
        <v>0</v>
      </c>
      <c r="AH237" s="190">
        <f t="shared" ca="1" si="54"/>
        <v>0</v>
      </c>
      <c r="AI237" s="190">
        <f ca="1">SUMIFS(Налоги!AH$25:AH$69,Налоги!$F$25:$F$69,$F237,Налоги!$AB$25:$AB$69,$G237)</f>
        <v>0</v>
      </c>
      <c r="AJ237" s="190">
        <f ca="1">SUMIFS(Налоги!AI$25:AI$69,Налоги!$F$25:$F$69,$F237,Налоги!$AB$25:$AB$69,$G237)</f>
        <v>0</v>
      </c>
      <c r="AK237" s="190">
        <f ca="1">SUMIFS(Налоги!AJ$25:AJ$69,Налоги!$F$25:$F$69,$F237,Налоги!$AB$25:$AB$69,$G237)</f>
        <v>0</v>
      </c>
      <c r="AL237" s="190">
        <f ca="1">SUMIFS(Налоги!AK$25:AK$69,Налоги!$F$25:$F$69,$F237,Налоги!$AB$25:$AB$69,$G237)</f>
        <v>0</v>
      </c>
      <c r="AM237" s="190">
        <f ca="1">SUMIFS(Налоги!AL$25:AL$69,Налоги!$F$25:$F$69,$F237,Налоги!$AB$25:$AB$69,$G237)</f>
        <v>0</v>
      </c>
      <c r="AN237" s="190">
        <f ca="1">SUMIFS(Налоги!AM$25:AM$69,Налоги!$F$25:$F$69,$F237,Налоги!$AB$25:$AB$69,$G237)</f>
        <v>0</v>
      </c>
      <c r="AO237" s="190">
        <f ca="1">SUMIFS(Налоги!AN$25:AN$69,Налоги!$F$25:$F$69,$F237,Налоги!$AB$25:$AB$69,$G237)</f>
        <v>0</v>
      </c>
      <c r="AP237" s="190">
        <f ca="1">SUMIFS(Налоги!AO$25:AO$69,Налоги!$F$25:$F$69,$F237,Налоги!$AB$25:$AB$69,$G237)</f>
        <v>0</v>
      </c>
      <c r="AQ237" s="190">
        <f ca="1">SUMIFS(Налоги!AP$25:AP$69,Налоги!$F$25:$F$69,$F237,Налоги!$AB$25:$AB$69,$G237)</f>
        <v>0</v>
      </c>
      <c r="AR237" s="190">
        <f ca="1">SUMIFS(Налоги!AQ$25:AQ$69,Налоги!$F$25:$F$69,$F237,Налоги!$AB$25:$AB$69,$G237)</f>
        <v>0</v>
      </c>
      <c r="AS237" s="190">
        <f ca="1">SUMIFS(Налоги!AR$25:AR$69,Налоги!$F$25:$F$69,$F237,Налоги!$AB$25:$AB$69,$G237)</f>
        <v>0</v>
      </c>
      <c r="AT237" s="190">
        <f ca="1">SUMIFS(Налоги!AS$25:AS$69,Налоги!$F$25:$F$69,$F237,Налоги!$AB$25:$AB$69,$G237)</f>
        <v>0</v>
      </c>
      <c r="AU237" s="190">
        <f ca="1">SUMIFS(Налоги!AT$25:AT$69,Налоги!$F$25:$F$69,$F237,Налоги!$AB$25:$AB$69,$G237)</f>
        <v>0</v>
      </c>
      <c r="AV237" s="190">
        <f ca="1">SUMIFS(Налоги!AU$25:AU$69,Налоги!$F$25:$F$69,$F237,Налоги!$AB$25:$AB$69,$G237)</f>
        <v>0</v>
      </c>
      <c r="AW237" s="190">
        <f ca="1">SUMIFS(Налоги!AV$25:AV$69,Налоги!$F$25:$F$69,$F237,Налоги!$AB$25:$AB$69,$G237)</f>
        <v>0</v>
      </c>
      <c r="AX237" s="190">
        <f ca="1">SUMIFS(Налоги!AW$25:AW$69,Налоги!$F$25:$F$69,$F237,Налоги!$AB$25:$AB$69,$G237)</f>
        <v>0</v>
      </c>
      <c r="AY237" s="190">
        <f ca="1">SUMIFS(Налоги!AX$25:AX$69,Налоги!$F$25:$F$69,$F237,Налоги!$AB$25:$AB$69,$G237)</f>
        <v>0</v>
      </c>
      <c r="AZ237" s="190">
        <f ca="1">SUMIFS(Налоги!AY$25:AY$69,Налоги!$F$25:$F$69,$F237,Налоги!$AB$25:$AB$69,$G237)</f>
        <v>0</v>
      </c>
      <c r="BA237" s="190">
        <f ca="1">SUMIFS(Налоги!AZ$25:AZ$69,Налоги!$F$25:$F$69,$F237,Налоги!$AB$25:$AB$69,$G237)</f>
        <v>0</v>
      </c>
      <c r="BB237" s="190">
        <f ca="1">SUMIFS(Налоги!BA$25:BA$69,Налоги!$F$25:$F$69,$F237,Налоги!$AB$25:$AB$69,$G237)</f>
        <v>0</v>
      </c>
      <c r="BC237" s="190">
        <f ca="1">SUMIFS(Налоги!BB$25:BB$69,Налоги!$F$25:$F$69,$F237,Налоги!$AB$25:$AB$69,$G237)</f>
        <v>0</v>
      </c>
      <c r="BD237" s="190">
        <f t="shared" ca="1" si="56"/>
        <v>0</v>
      </c>
      <c r="BE237" s="190">
        <f t="shared" ca="1" si="57"/>
        <v>0</v>
      </c>
      <c r="BF237" s="190">
        <f t="shared" ca="1" si="58"/>
        <v>0</v>
      </c>
      <c r="BG237" s="190">
        <f t="shared" ca="1" si="59"/>
        <v>0</v>
      </c>
      <c r="BH237" s="190">
        <f t="shared" ca="1" si="60"/>
        <v>0</v>
      </c>
      <c r="BI237" s="190">
        <f t="shared" ca="1" si="61"/>
        <v>0</v>
      </c>
      <c r="BJ237" s="190">
        <f t="shared" ca="1" si="62"/>
        <v>0</v>
      </c>
      <c r="BK237" s="190">
        <f t="shared" ca="1" si="63"/>
        <v>0</v>
      </c>
      <c r="BL237" s="190">
        <f t="shared" ca="1" si="64"/>
        <v>0</v>
      </c>
      <c r="BM237" s="190">
        <f t="shared" ca="1" si="65"/>
        <v>0</v>
      </c>
      <c r="BN237" s="215"/>
      <c r="BO237" s="610" t="str">
        <f ca="1">IF(IFERROR(INDEX(Налоги!$K$26:$L$69,MATCH($F237&amp;"7komm",Налоги!$K$26:$K$69,0),2),"")=0,"",IFERROR(INDEX(Налоги!$K$26:$L$69,MATCH($F237&amp;"7komm",Налоги!$K$26:$K$69,0),2),""))</f>
        <v/>
      </c>
      <c r="BP237" s="215"/>
      <c r="BS237" s="705" t="s">
        <v>2065</v>
      </c>
    </row>
    <row r="238" spans="1:75" ht="14.25" customHeight="1">
      <c r="C238" s="44"/>
      <c r="D238" s="44"/>
      <c r="E238" s="462">
        <v>15</v>
      </c>
      <c r="F238" s="3" t="str" cm="1">
        <f t="array" aca="1" ref="F238" ca="1">OFFSET(E238,-1,1)</f>
        <v>1</v>
      </c>
      <c r="G238" s="620">
        <v>6</v>
      </c>
      <c r="H238" s="44"/>
      <c r="I238" s="44" t="s">
        <v>2066</v>
      </c>
      <c r="J238" s="44"/>
      <c r="K238" s="44" t="s">
        <v>2066</v>
      </c>
      <c r="L238" s="44"/>
      <c r="M238" s="44"/>
      <c r="N238" s="44"/>
      <c r="O238" s="44"/>
      <c r="P238" s="44"/>
      <c r="Q238" s="44"/>
      <c r="R238" s="44"/>
      <c r="S238" s="44"/>
      <c r="T238" s="365" t="b" cm="1">
        <f t="array" aca="1" ref="T238" ca="1">T237</f>
        <v>1</v>
      </c>
      <c r="U238" s="44"/>
      <c r="V238" s="44"/>
      <c r="W238" s="44"/>
      <c r="X238" s="1094"/>
      <c r="Z238" s="1065"/>
      <c r="AB238" s="26" t="s">
        <v>1492</v>
      </c>
      <c r="AC238" s="153" t="s">
        <v>2067</v>
      </c>
      <c r="AD238" s="26" t="s">
        <v>804</v>
      </c>
      <c r="AE238" s="190">
        <f ca="1">SUMIFS(Налоги!AE$25:AE$69,Налоги!$F$25:$F$69,$F238,Налоги!$AB$25:$AB$69,$G238)</f>
        <v>0</v>
      </c>
      <c r="AF238" s="190">
        <f ca="1">SUMIFS(Налоги!AF$25:AF$69,Налоги!$F$25:$F$69,$F238,Налоги!$AB$25:$AB$69,$G238)</f>
        <v>0</v>
      </c>
      <c r="AG238" s="190">
        <f ca="1">SUMIFS(Налоги!AG$25:AG$69,Налоги!$F$25:$F$69,$F238,Налоги!$AB$25:$AB$69,$G238)</f>
        <v>0</v>
      </c>
      <c r="AH238" s="190">
        <f t="shared" ca="1" si="54"/>
        <v>0</v>
      </c>
      <c r="AI238" s="190">
        <f ca="1">SUMIFS(Налоги!AH$25:AH$69,Налоги!$F$25:$F$69,$F238,Налоги!$AB$25:$AB$69,$G238)</f>
        <v>0</v>
      </c>
      <c r="AJ238" s="190">
        <f ca="1">SUMIFS(Налоги!AI$25:AI$69,Налоги!$F$25:$F$69,$F238,Налоги!$AB$25:$AB$69,$G238)</f>
        <v>0</v>
      </c>
      <c r="AK238" s="190">
        <f ca="1">SUMIFS(Налоги!AJ$25:AJ$69,Налоги!$F$25:$F$69,$F238,Налоги!$AB$25:$AB$69,$G238)</f>
        <v>0</v>
      </c>
      <c r="AL238" s="190">
        <f ca="1">SUMIFS(Налоги!AK$25:AK$69,Налоги!$F$25:$F$69,$F238,Налоги!$AB$25:$AB$69,$G238)</f>
        <v>0</v>
      </c>
      <c r="AM238" s="190">
        <f ca="1">SUMIFS(Налоги!AL$25:AL$69,Налоги!$F$25:$F$69,$F238,Налоги!$AB$25:$AB$69,$G238)</f>
        <v>0</v>
      </c>
      <c r="AN238" s="190">
        <f ca="1">SUMIFS(Налоги!AM$25:AM$69,Налоги!$F$25:$F$69,$F238,Налоги!$AB$25:$AB$69,$G238)</f>
        <v>0</v>
      </c>
      <c r="AO238" s="190">
        <f ca="1">SUMIFS(Налоги!AN$25:AN$69,Налоги!$F$25:$F$69,$F238,Налоги!$AB$25:$AB$69,$G238)</f>
        <v>0</v>
      </c>
      <c r="AP238" s="190">
        <f ca="1">SUMIFS(Налоги!AO$25:AO$69,Налоги!$F$25:$F$69,$F238,Налоги!$AB$25:$AB$69,$G238)</f>
        <v>0</v>
      </c>
      <c r="AQ238" s="190">
        <f ca="1">SUMIFS(Налоги!AP$25:AP$69,Налоги!$F$25:$F$69,$F238,Налоги!$AB$25:$AB$69,$G238)</f>
        <v>0</v>
      </c>
      <c r="AR238" s="190">
        <f ca="1">SUMIFS(Налоги!AQ$25:AQ$69,Налоги!$F$25:$F$69,$F238,Налоги!$AB$25:$AB$69,$G238)</f>
        <v>0</v>
      </c>
      <c r="AS238" s="190">
        <f ca="1">SUMIFS(Налоги!AR$25:AR$69,Налоги!$F$25:$F$69,$F238,Налоги!$AB$25:$AB$69,$G238)</f>
        <v>0</v>
      </c>
      <c r="AT238" s="190">
        <f ca="1">SUMIFS(Налоги!AS$25:AS$69,Налоги!$F$25:$F$69,$F238,Налоги!$AB$25:$AB$69,$G238)</f>
        <v>0</v>
      </c>
      <c r="AU238" s="190">
        <f ca="1">SUMIFS(Налоги!AT$25:AT$69,Налоги!$F$25:$F$69,$F238,Налоги!$AB$25:$AB$69,$G238)</f>
        <v>0</v>
      </c>
      <c r="AV238" s="190">
        <f ca="1">SUMIFS(Налоги!AU$25:AU$69,Налоги!$F$25:$F$69,$F238,Налоги!$AB$25:$AB$69,$G238)</f>
        <v>0</v>
      </c>
      <c r="AW238" s="190">
        <f ca="1">SUMIFS(Налоги!AV$25:AV$69,Налоги!$F$25:$F$69,$F238,Налоги!$AB$25:$AB$69,$G238)</f>
        <v>0</v>
      </c>
      <c r="AX238" s="190">
        <f ca="1">SUMIFS(Налоги!AW$25:AW$69,Налоги!$F$25:$F$69,$F238,Налоги!$AB$25:$AB$69,$G238)</f>
        <v>0</v>
      </c>
      <c r="AY238" s="190">
        <f ca="1">SUMIFS(Налоги!AX$25:AX$69,Налоги!$F$25:$F$69,$F238,Налоги!$AB$25:$AB$69,$G238)</f>
        <v>0</v>
      </c>
      <c r="AZ238" s="190">
        <f ca="1">SUMIFS(Налоги!AY$25:AY$69,Налоги!$F$25:$F$69,$F238,Налоги!$AB$25:$AB$69,$G238)</f>
        <v>0</v>
      </c>
      <c r="BA238" s="190">
        <f ca="1">SUMIFS(Налоги!AZ$25:AZ$69,Налоги!$F$25:$F$69,$F238,Налоги!$AB$25:$AB$69,$G238)</f>
        <v>0</v>
      </c>
      <c r="BB238" s="190">
        <f ca="1">SUMIFS(Налоги!BA$25:BA$69,Налоги!$F$25:$F$69,$F238,Налоги!$AB$25:$AB$69,$G238)</f>
        <v>0</v>
      </c>
      <c r="BC238" s="190">
        <f ca="1">SUMIFS(Налоги!BB$25:BB$69,Налоги!$F$25:$F$69,$F238,Налоги!$AB$25:$AB$69,$G238)</f>
        <v>0</v>
      </c>
      <c r="BD238" s="190">
        <f t="shared" ca="1" si="56"/>
        <v>0</v>
      </c>
      <c r="BE238" s="190">
        <f t="shared" ca="1" si="57"/>
        <v>0</v>
      </c>
      <c r="BF238" s="190">
        <f t="shared" ca="1" si="58"/>
        <v>0</v>
      </c>
      <c r="BG238" s="190">
        <f t="shared" ca="1" si="59"/>
        <v>0</v>
      </c>
      <c r="BH238" s="190">
        <f t="shared" ca="1" si="60"/>
        <v>0</v>
      </c>
      <c r="BI238" s="190">
        <f t="shared" ca="1" si="61"/>
        <v>0</v>
      </c>
      <c r="BJ238" s="190">
        <f t="shared" ca="1" si="62"/>
        <v>0</v>
      </c>
      <c r="BK238" s="190">
        <f t="shared" ca="1" si="63"/>
        <v>0</v>
      </c>
      <c r="BL238" s="190">
        <f t="shared" ca="1" si="64"/>
        <v>0</v>
      </c>
      <c r="BM238" s="190">
        <f t="shared" ca="1" si="65"/>
        <v>0</v>
      </c>
      <c r="BN238" s="215"/>
      <c r="BO238" s="610" t="str">
        <f ca="1">IF(IFERROR(INDEX(Налоги!$K$26:$L$69,MATCH($F238&amp;"6komm",Налоги!$K$26:$K$69,0),2),"")=0,"",IFERROR(INDEX(Налоги!$K$26:$L$69,MATCH($F238&amp;"6komm",Налоги!$K$26:$K$69,0),2),""))</f>
        <v/>
      </c>
      <c r="BP238" s="215"/>
      <c r="BS238" s="705" t="s">
        <v>2068</v>
      </c>
    </row>
    <row r="239" spans="1:75" ht="14.25" customHeight="1">
      <c r="C239" s="44"/>
      <c r="D239" s="44"/>
      <c r="E239" s="462">
        <v>15</v>
      </c>
      <c r="F239" s="3" t="str" cm="1">
        <f t="array" aca="1" ref="F239" ca="1">OFFSET(E239,-1,1)</f>
        <v>1</v>
      </c>
      <c r="G239" s="620">
        <v>2</v>
      </c>
      <c r="H239" s="44"/>
      <c r="I239" s="44" t="s">
        <v>2069</v>
      </c>
      <c r="J239" s="44"/>
      <c r="K239" s="44" t="s">
        <v>2069</v>
      </c>
      <c r="L239" s="44"/>
      <c r="M239" s="44"/>
      <c r="N239" s="44"/>
      <c r="O239" s="44"/>
      <c r="P239" s="44"/>
      <c r="Q239" s="44"/>
      <c r="R239" s="44"/>
      <c r="S239" s="44"/>
      <c r="T239" s="365" t="b" cm="1">
        <f t="array" aca="1" ref="T239" ca="1">T238</f>
        <v>1</v>
      </c>
      <c r="U239" s="44"/>
      <c r="V239" s="44"/>
      <c r="W239" s="44"/>
      <c r="X239" s="1094"/>
      <c r="Z239" s="1065"/>
      <c r="AB239" s="26" t="s">
        <v>1497</v>
      </c>
      <c r="AC239" s="153" t="s">
        <v>2070</v>
      </c>
      <c r="AD239" s="26" t="s">
        <v>804</v>
      </c>
      <c r="AE239" s="190">
        <f ca="1">SUMIFS(Налоги!AE$25:AE$69,Налоги!$F$25:$F$69,$F239,Налоги!$AB$25:$AB$69,$G239)</f>
        <v>0</v>
      </c>
      <c r="AF239" s="190">
        <f ca="1">SUMIFS(Налоги!AF$25:AF$69,Налоги!$F$25:$F$69,$F239,Налоги!$AB$25:$AB$69,$G239)</f>
        <v>0</v>
      </c>
      <c r="AG239" s="190">
        <f ca="1">SUMIFS(Налоги!AG$25:AG$69,Налоги!$F$25:$F$69,$F239,Налоги!$AB$25:$AB$69,$G239)</f>
        <v>0</v>
      </c>
      <c r="AH239" s="190">
        <f t="shared" ca="1" si="54"/>
        <v>0</v>
      </c>
      <c r="AI239" s="190">
        <f ca="1">SUMIFS(Налоги!AH$25:AH$69,Налоги!$F$25:$F$69,$F239,Налоги!$AB$25:$AB$69,$G239)</f>
        <v>0</v>
      </c>
      <c r="AJ239" s="190">
        <f ca="1">SUMIFS(Налоги!AI$25:AI$69,Налоги!$F$25:$F$69,$F239,Налоги!$AB$25:$AB$69,$G239)</f>
        <v>0</v>
      </c>
      <c r="AK239" s="190">
        <f ca="1">SUMIFS(Налоги!AJ$25:AJ$69,Налоги!$F$25:$F$69,$F239,Налоги!$AB$25:$AB$69,$G239)</f>
        <v>0</v>
      </c>
      <c r="AL239" s="190">
        <f ca="1">SUMIFS(Налоги!AK$25:AK$69,Налоги!$F$25:$F$69,$F239,Налоги!$AB$25:$AB$69,$G239)</f>
        <v>0</v>
      </c>
      <c r="AM239" s="190">
        <f ca="1">SUMIFS(Налоги!AL$25:AL$69,Налоги!$F$25:$F$69,$F239,Налоги!$AB$25:$AB$69,$G239)</f>
        <v>0</v>
      </c>
      <c r="AN239" s="190">
        <f ca="1">SUMIFS(Налоги!AM$25:AM$69,Налоги!$F$25:$F$69,$F239,Налоги!$AB$25:$AB$69,$G239)</f>
        <v>0</v>
      </c>
      <c r="AO239" s="190">
        <f ca="1">SUMIFS(Налоги!AN$25:AN$69,Налоги!$F$25:$F$69,$F239,Налоги!$AB$25:$AB$69,$G239)</f>
        <v>0</v>
      </c>
      <c r="AP239" s="190">
        <f ca="1">SUMIFS(Налоги!AO$25:AO$69,Налоги!$F$25:$F$69,$F239,Налоги!$AB$25:$AB$69,$G239)</f>
        <v>0</v>
      </c>
      <c r="AQ239" s="190">
        <f ca="1">SUMIFS(Налоги!AP$25:AP$69,Налоги!$F$25:$F$69,$F239,Налоги!$AB$25:$AB$69,$G239)</f>
        <v>0</v>
      </c>
      <c r="AR239" s="190">
        <f ca="1">SUMIFS(Налоги!AQ$25:AQ$69,Налоги!$F$25:$F$69,$F239,Налоги!$AB$25:$AB$69,$G239)</f>
        <v>0</v>
      </c>
      <c r="AS239" s="190">
        <f ca="1">SUMIFS(Налоги!AR$25:AR$69,Налоги!$F$25:$F$69,$F239,Налоги!$AB$25:$AB$69,$G239)</f>
        <v>0</v>
      </c>
      <c r="AT239" s="190">
        <f ca="1">SUMIFS(Налоги!AS$25:AS$69,Налоги!$F$25:$F$69,$F239,Налоги!$AB$25:$AB$69,$G239)</f>
        <v>0</v>
      </c>
      <c r="AU239" s="190">
        <f ca="1">SUMIFS(Налоги!AT$25:AT$69,Налоги!$F$25:$F$69,$F239,Налоги!$AB$25:$AB$69,$G239)</f>
        <v>0</v>
      </c>
      <c r="AV239" s="190">
        <f ca="1">SUMIFS(Налоги!AU$25:AU$69,Налоги!$F$25:$F$69,$F239,Налоги!$AB$25:$AB$69,$G239)</f>
        <v>0</v>
      </c>
      <c r="AW239" s="190">
        <f ca="1">SUMIFS(Налоги!AV$25:AV$69,Налоги!$F$25:$F$69,$F239,Налоги!$AB$25:$AB$69,$G239)</f>
        <v>0</v>
      </c>
      <c r="AX239" s="190">
        <f ca="1">SUMIFS(Налоги!AW$25:AW$69,Налоги!$F$25:$F$69,$F239,Налоги!$AB$25:$AB$69,$G239)</f>
        <v>0</v>
      </c>
      <c r="AY239" s="190">
        <f ca="1">SUMIFS(Налоги!AX$25:AX$69,Налоги!$F$25:$F$69,$F239,Налоги!$AB$25:$AB$69,$G239)</f>
        <v>0</v>
      </c>
      <c r="AZ239" s="190">
        <f ca="1">SUMIFS(Налоги!AY$25:AY$69,Налоги!$F$25:$F$69,$F239,Налоги!$AB$25:$AB$69,$G239)</f>
        <v>0</v>
      </c>
      <c r="BA239" s="190">
        <f ca="1">SUMIFS(Налоги!AZ$25:AZ$69,Налоги!$F$25:$F$69,$F239,Налоги!$AB$25:$AB$69,$G239)</f>
        <v>0</v>
      </c>
      <c r="BB239" s="190">
        <f ca="1">SUMIFS(Налоги!BA$25:BA$69,Налоги!$F$25:$F$69,$F239,Налоги!$AB$25:$AB$69,$G239)</f>
        <v>0</v>
      </c>
      <c r="BC239" s="190">
        <f ca="1">SUMIFS(Налоги!BB$25:BB$69,Налоги!$F$25:$F$69,$F239,Налоги!$AB$25:$AB$69,$G239)</f>
        <v>0</v>
      </c>
      <c r="BD239" s="190">
        <f t="shared" ca="1" si="56"/>
        <v>0</v>
      </c>
      <c r="BE239" s="190">
        <f t="shared" ca="1" si="57"/>
        <v>0</v>
      </c>
      <c r="BF239" s="190">
        <f t="shared" ca="1" si="58"/>
        <v>0</v>
      </c>
      <c r="BG239" s="190">
        <f t="shared" ca="1" si="59"/>
        <v>0</v>
      </c>
      <c r="BH239" s="190">
        <f t="shared" ca="1" si="60"/>
        <v>0</v>
      </c>
      <c r="BI239" s="190">
        <f t="shared" ca="1" si="61"/>
        <v>0</v>
      </c>
      <c r="BJ239" s="190">
        <f t="shared" ca="1" si="62"/>
        <v>0</v>
      </c>
      <c r="BK239" s="190">
        <f t="shared" ca="1" si="63"/>
        <v>0</v>
      </c>
      <c r="BL239" s="190">
        <f t="shared" ca="1" si="64"/>
        <v>0</v>
      </c>
      <c r="BM239" s="190">
        <f t="shared" ca="1" si="65"/>
        <v>0</v>
      </c>
      <c r="BN239" s="215"/>
      <c r="BO239" s="610" t="str">
        <f ca="1">IF(IFERROR(INDEX(Налоги!$K$26:$L$69,MATCH($F239&amp;"2komm",Налоги!$K$26:$K$69,0),2),"")=0,"",IFERROR(INDEX(Налоги!$K$26:$L$69,MATCH($F239&amp;"2komm",Налоги!$K$26:$K$69,0),2),""))</f>
        <v/>
      </c>
      <c r="BP239" s="215"/>
      <c r="BS239" s="705" t="s">
        <v>2071</v>
      </c>
    </row>
    <row r="240" spans="1:75" ht="14.25" customHeight="1">
      <c r="C240" s="44"/>
      <c r="D240" s="44"/>
      <c r="E240" s="462">
        <v>15</v>
      </c>
      <c r="F240" s="3" t="str" cm="1">
        <f t="array" aca="1" ref="F240" ca="1">OFFSET(E240,-1,1)</f>
        <v>1</v>
      </c>
      <c r="G240" s="620">
        <v>4</v>
      </c>
      <c r="H240" s="44"/>
      <c r="I240" s="44" t="s">
        <v>2072</v>
      </c>
      <c r="J240" s="44"/>
      <c r="K240" s="44" t="s">
        <v>2072</v>
      </c>
      <c r="L240" s="44"/>
      <c r="M240" s="44"/>
      <c r="N240" s="44"/>
      <c r="O240" s="44"/>
      <c r="P240" s="44"/>
      <c r="Q240" s="44"/>
      <c r="R240" s="44"/>
      <c r="S240" s="44"/>
      <c r="T240" s="365" t="b" cm="1">
        <f t="array" aca="1" ref="T240" ca="1">T239</f>
        <v>1</v>
      </c>
      <c r="U240" s="44"/>
      <c r="V240" s="44"/>
      <c r="W240" s="44"/>
      <c r="X240" s="1094"/>
      <c r="Z240" s="1065"/>
      <c r="AB240" s="26" t="s">
        <v>2073</v>
      </c>
      <c r="AC240" s="153" t="s">
        <v>2074</v>
      </c>
      <c r="AD240" s="26" t="s">
        <v>804</v>
      </c>
      <c r="AE240" s="190">
        <f ca="1">SUMIFS(Налоги!AE$25:AE$69,Налоги!$F$25:$F$69,$F240,Налоги!$AB$25:$AB$69,$G240)</f>
        <v>426.29325799999998</v>
      </c>
      <c r="AF240" s="190">
        <f ca="1">SUMIFS(Налоги!AF$25:AF$69,Налоги!$F$25:$F$69,$F240,Налоги!$AB$25:$AB$69,$G240)</f>
        <v>451.78</v>
      </c>
      <c r="AG240" s="190">
        <f ca="1">SUMIFS(Налоги!AG$25:AG$69,Налоги!$F$25:$F$69,$F240,Налоги!$AB$25:$AB$69,$G240)</f>
        <v>451.78</v>
      </c>
      <c r="AH240" s="190">
        <f t="shared" ca="1" si="54"/>
        <v>0</v>
      </c>
      <c r="AI240" s="190">
        <f ca="1">SUMIFS(Налоги!AH$25:AH$69,Налоги!$F$25:$F$69,$F240,Налоги!$AB$25:$AB$69,$G240)</f>
        <v>499.24599999999998</v>
      </c>
      <c r="AJ240" s="190">
        <f ca="1">SUMIFS(Налоги!AI$25:AI$69,Налоги!$F$25:$F$69,$F240,Налоги!$AB$25:$AB$69,$G240)</f>
        <v>558.63</v>
      </c>
      <c r="AK240" s="190">
        <f ca="1">SUMIFS(Налоги!AJ$25:AJ$69,Налоги!$F$25:$F$69,$F240,Налоги!$AB$25:$AB$69,$G240)</f>
        <v>0</v>
      </c>
      <c r="AL240" s="190">
        <f ca="1">SUMIFS(Налоги!AK$25:AK$69,Налоги!$F$25:$F$69,$F240,Налоги!$AB$25:$AB$69,$G240)</f>
        <v>0</v>
      </c>
      <c r="AM240" s="190">
        <f ca="1">SUMIFS(Налоги!AL$25:AL$69,Налоги!$F$25:$F$69,$F240,Налоги!$AB$25:$AB$69,$G240)</f>
        <v>0</v>
      </c>
      <c r="AN240" s="190">
        <f ca="1">SUMIFS(Налоги!AM$25:AM$69,Налоги!$F$25:$F$69,$F240,Налоги!$AB$25:$AB$69,$G240)</f>
        <v>0</v>
      </c>
      <c r="AO240" s="190">
        <f ca="1">SUMIFS(Налоги!AN$25:AN$69,Налоги!$F$25:$F$69,$F240,Налоги!$AB$25:$AB$69,$G240)</f>
        <v>0</v>
      </c>
      <c r="AP240" s="190">
        <f ca="1">SUMIFS(Налоги!AO$25:AO$69,Налоги!$F$25:$F$69,$F240,Налоги!$AB$25:$AB$69,$G240)</f>
        <v>0</v>
      </c>
      <c r="AQ240" s="190">
        <f ca="1">SUMIFS(Налоги!AP$25:AP$69,Налоги!$F$25:$F$69,$F240,Налоги!$AB$25:$AB$69,$G240)</f>
        <v>0</v>
      </c>
      <c r="AR240" s="190">
        <f ca="1">SUMIFS(Налоги!AQ$25:AQ$69,Налоги!$F$25:$F$69,$F240,Налоги!$AB$25:$AB$69,$G240)</f>
        <v>0</v>
      </c>
      <c r="AS240" s="190">
        <f ca="1">SUMIFS(Налоги!AR$25:AR$69,Налоги!$F$25:$F$69,$F240,Налоги!$AB$25:$AB$69,$G240)</f>
        <v>0</v>
      </c>
      <c r="AT240" s="190">
        <f ca="1">SUMIFS(Налоги!AS$25:AS$69,Налоги!$F$25:$F$69,$F240,Налоги!$AB$25:$AB$69,$G240)</f>
        <v>501.56</v>
      </c>
      <c r="AU240" s="190">
        <f ca="1">SUMIFS(Налоги!AT$25:AT$69,Налоги!$F$25:$F$69,$F240,Налоги!$AB$25:$AB$69,$G240)</f>
        <v>0</v>
      </c>
      <c r="AV240" s="190">
        <f ca="1">SUMIFS(Налоги!AU$25:AU$69,Налоги!$F$25:$F$69,$F240,Налоги!$AB$25:$AB$69,$G240)</f>
        <v>0</v>
      </c>
      <c r="AW240" s="190">
        <f ca="1">SUMIFS(Налоги!AV$25:AV$69,Налоги!$F$25:$F$69,$F240,Налоги!$AB$25:$AB$69,$G240)</f>
        <v>0</v>
      </c>
      <c r="AX240" s="190">
        <f ca="1">SUMIFS(Налоги!AW$25:AW$69,Налоги!$F$25:$F$69,$F240,Налоги!$AB$25:$AB$69,$G240)</f>
        <v>0</v>
      </c>
      <c r="AY240" s="190">
        <f ca="1">SUMIFS(Налоги!AX$25:AX$69,Налоги!$F$25:$F$69,$F240,Налоги!$AB$25:$AB$69,$G240)</f>
        <v>0</v>
      </c>
      <c r="AZ240" s="190">
        <f ca="1">SUMIFS(Налоги!AY$25:AY$69,Налоги!$F$25:$F$69,$F240,Налоги!$AB$25:$AB$69,$G240)</f>
        <v>0</v>
      </c>
      <c r="BA240" s="190">
        <f ca="1">SUMIFS(Налоги!AZ$25:AZ$69,Налоги!$F$25:$F$69,$F240,Налоги!$AB$25:$AB$69,$G240)</f>
        <v>0</v>
      </c>
      <c r="BB240" s="190">
        <f ca="1">SUMIFS(Налоги!BA$25:BA$69,Налоги!$F$25:$F$69,$F240,Налоги!$AB$25:$AB$69,$G240)</f>
        <v>0</v>
      </c>
      <c r="BC240" s="190">
        <f ca="1">SUMIFS(Налоги!BB$25:BB$69,Налоги!$F$25:$F$69,$F240,Налоги!$AB$25:$AB$69,$G240)</f>
        <v>0</v>
      </c>
      <c r="BD240" s="190">
        <f t="shared" ca="1" si="56"/>
        <v>0.46349895642629513</v>
      </c>
      <c r="BE240" s="190">
        <f t="shared" ca="1" si="57"/>
        <v>-100</v>
      </c>
      <c r="BF240" s="190">
        <f t="shared" ca="1" si="58"/>
        <v>0</v>
      </c>
      <c r="BG240" s="190">
        <f t="shared" ca="1" si="59"/>
        <v>0</v>
      </c>
      <c r="BH240" s="190">
        <f t="shared" ca="1" si="60"/>
        <v>0</v>
      </c>
      <c r="BI240" s="190">
        <f t="shared" ca="1" si="61"/>
        <v>0</v>
      </c>
      <c r="BJ240" s="190">
        <f t="shared" ca="1" si="62"/>
        <v>0</v>
      </c>
      <c r="BK240" s="190">
        <f t="shared" ca="1" si="63"/>
        <v>0</v>
      </c>
      <c r="BL240" s="190">
        <f t="shared" ca="1" si="64"/>
        <v>0</v>
      </c>
      <c r="BM240" s="190">
        <f t="shared" ca="1" si="65"/>
        <v>0</v>
      </c>
      <c r="BN240" s="215"/>
      <c r="BO240" s="610" t="str">
        <f ca="1">IF(IFERROR(INDEX(Налоги!$K$26:$L$69,MATCH($F240&amp;"4komm",Налоги!$K$26:$K$69,0),2),"")=0,"",IFERROR(INDEX(Налоги!$K$26:$L$69,MATCH($F240&amp;"4komm",Налоги!$K$26:$K$69,0),2),""))</f>
        <v>рассчитано по фактическим объемам 2024 года, указанных в декларации, с учетом ставок в соответствии с п.1.1. ст. 333.12 НК РФ (часть вторая) от 05.08.2000 № 117-ФЗ.</v>
      </c>
      <c r="BP240" s="215"/>
      <c r="BS240" s="705" t="s">
        <v>2075</v>
      </c>
    </row>
    <row r="241" spans="2:75" ht="14.25" customHeight="1">
      <c r="C241" s="44"/>
      <c r="D241" s="44"/>
      <c r="E241" s="462">
        <v>15</v>
      </c>
      <c r="F241" s="3" t="str" cm="1">
        <f t="array" aca="1" ref="F241" ca="1">OFFSET(E241,-1,1)</f>
        <v>1</v>
      </c>
      <c r="G241" s="620">
        <v>5</v>
      </c>
      <c r="H241" s="44"/>
      <c r="I241" s="44" t="s">
        <v>2076</v>
      </c>
      <c r="J241" s="44"/>
      <c r="K241" s="44" t="s">
        <v>2076</v>
      </c>
      <c r="L241" s="44"/>
      <c r="M241" s="44"/>
      <c r="N241" s="44"/>
      <c r="O241" s="44"/>
      <c r="P241" s="44"/>
      <c r="Q241" s="44"/>
      <c r="R241" s="44"/>
      <c r="S241" s="44"/>
      <c r="T241" s="365" t="b" cm="1">
        <f t="array" aca="1" ref="T241" ca="1">T240</f>
        <v>1</v>
      </c>
      <c r="U241" s="44"/>
      <c r="V241" s="44"/>
      <c r="W241" s="44"/>
      <c r="X241" s="1094"/>
      <c r="Z241" s="1065"/>
      <c r="AB241" s="26" t="s">
        <v>2077</v>
      </c>
      <c r="AC241" s="153" t="s">
        <v>2078</v>
      </c>
      <c r="AD241" s="26" t="s">
        <v>804</v>
      </c>
      <c r="AE241" s="190">
        <f ca="1">SUMIFS(Налоги!AE$25:AE$69,Налоги!$F$25:$F$69,$F241,Налоги!$AB$25:$AB$69,$G241)</f>
        <v>0</v>
      </c>
      <c r="AF241" s="190">
        <f ca="1">SUMIFS(Налоги!AF$25:AF$69,Налоги!$F$25:$F$69,$F241,Налоги!$AB$25:$AB$69,$G241)</f>
        <v>0</v>
      </c>
      <c r="AG241" s="190">
        <f ca="1">SUMIFS(Налоги!AG$25:AG$69,Налоги!$F$25:$F$69,$F241,Налоги!$AB$25:$AB$69,$G241)</f>
        <v>0</v>
      </c>
      <c r="AH241" s="190">
        <f t="shared" ca="1" si="54"/>
        <v>0</v>
      </c>
      <c r="AI241" s="190">
        <f ca="1">SUMIFS(Налоги!AH$25:AH$69,Налоги!$F$25:$F$69,$F241,Налоги!$AB$25:$AB$69,$G241)</f>
        <v>0</v>
      </c>
      <c r="AJ241" s="190">
        <f ca="1">SUMIFS(Налоги!AI$25:AI$69,Налоги!$F$25:$F$69,$F241,Налоги!$AB$25:$AB$69,$G241)</f>
        <v>0</v>
      </c>
      <c r="AK241" s="190">
        <f ca="1">SUMIFS(Налоги!AJ$25:AJ$69,Налоги!$F$25:$F$69,$F241,Налоги!$AB$25:$AB$69,$G241)</f>
        <v>0</v>
      </c>
      <c r="AL241" s="190">
        <f ca="1">SUMIFS(Налоги!AK$25:AK$69,Налоги!$F$25:$F$69,$F241,Налоги!$AB$25:$AB$69,$G241)</f>
        <v>0</v>
      </c>
      <c r="AM241" s="190">
        <f ca="1">SUMIFS(Налоги!AL$25:AL$69,Налоги!$F$25:$F$69,$F241,Налоги!$AB$25:$AB$69,$G241)</f>
        <v>0</v>
      </c>
      <c r="AN241" s="190">
        <f ca="1">SUMIFS(Налоги!AM$25:AM$69,Налоги!$F$25:$F$69,$F241,Налоги!$AB$25:$AB$69,$G241)</f>
        <v>0</v>
      </c>
      <c r="AO241" s="190">
        <f ca="1">SUMIFS(Налоги!AN$25:AN$69,Налоги!$F$25:$F$69,$F241,Налоги!$AB$25:$AB$69,$G241)</f>
        <v>0</v>
      </c>
      <c r="AP241" s="190">
        <f ca="1">SUMIFS(Налоги!AO$25:AO$69,Налоги!$F$25:$F$69,$F241,Налоги!$AB$25:$AB$69,$G241)</f>
        <v>0</v>
      </c>
      <c r="AQ241" s="190">
        <f ca="1">SUMIFS(Налоги!AP$25:AP$69,Налоги!$F$25:$F$69,$F241,Налоги!$AB$25:$AB$69,$G241)</f>
        <v>0</v>
      </c>
      <c r="AR241" s="190">
        <f ca="1">SUMIFS(Налоги!AQ$25:AQ$69,Налоги!$F$25:$F$69,$F241,Налоги!$AB$25:$AB$69,$G241)</f>
        <v>0</v>
      </c>
      <c r="AS241" s="190">
        <f ca="1">SUMIFS(Налоги!AR$25:AR$69,Налоги!$F$25:$F$69,$F241,Налоги!$AB$25:$AB$69,$G241)</f>
        <v>0</v>
      </c>
      <c r="AT241" s="190">
        <f ca="1">SUMIFS(Налоги!AS$25:AS$69,Налоги!$F$25:$F$69,$F241,Налоги!$AB$25:$AB$69,$G241)</f>
        <v>0</v>
      </c>
      <c r="AU241" s="190">
        <f ca="1">SUMIFS(Налоги!AT$25:AT$69,Налоги!$F$25:$F$69,$F241,Налоги!$AB$25:$AB$69,$G241)</f>
        <v>0</v>
      </c>
      <c r="AV241" s="190">
        <f ca="1">SUMIFS(Налоги!AU$25:AU$69,Налоги!$F$25:$F$69,$F241,Налоги!$AB$25:$AB$69,$G241)</f>
        <v>0</v>
      </c>
      <c r="AW241" s="190">
        <f ca="1">SUMIFS(Налоги!AV$25:AV$69,Налоги!$F$25:$F$69,$F241,Налоги!$AB$25:$AB$69,$G241)</f>
        <v>0</v>
      </c>
      <c r="AX241" s="190">
        <f ca="1">SUMIFS(Налоги!AW$25:AW$69,Налоги!$F$25:$F$69,$F241,Налоги!$AB$25:$AB$69,$G241)</f>
        <v>0</v>
      </c>
      <c r="AY241" s="190">
        <f ca="1">SUMIFS(Налоги!AX$25:AX$69,Налоги!$F$25:$F$69,$F241,Налоги!$AB$25:$AB$69,$G241)</f>
        <v>0</v>
      </c>
      <c r="AZ241" s="190">
        <f ca="1">SUMIFS(Налоги!AY$25:AY$69,Налоги!$F$25:$F$69,$F241,Налоги!$AB$25:$AB$69,$G241)</f>
        <v>0</v>
      </c>
      <c r="BA241" s="190">
        <f ca="1">SUMIFS(Налоги!AZ$25:AZ$69,Налоги!$F$25:$F$69,$F241,Налоги!$AB$25:$AB$69,$G241)</f>
        <v>0</v>
      </c>
      <c r="BB241" s="190">
        <f ca="1">SUMIFS(Налоги!BA$25:BA$69,Налоги!$F$25:$F$69,$F241,Налоги!$AB$25:$AB$69,$G241)</f>
        <v>0</v>
      </c>
      <c r="BC241" s="190">
        <f ca="1">SUMIFS(Налоги!BB$25:BB$69,Налоги!$F$25:$F$69,$F241,Налоги!$AB$25:$AB$69,$G241)</f>
        <v>0</v>
      </c>
      <c r="BD241" s="190">
        <f t="shared" ca="1" si="56"/>
        <v>0</v>
      </c>
      <c r="BE241" s="190">
        <f t="shared" ca="1" si="57"/>
        <v>0</v>
      </c>
      <c r="BF241" s="190">
        <f t="shared" ca="1" si="58"/>
        <v>0</v>
      </c>
      <c r="BG241" s="190">
        <f t="shared" ca="1" si="59"/>
        <v>0</v>
      </c>
      <c r="BH241" s="190">
        <f t="shared" ca="1" si="60"/>
        <v>0</v>
      </c>
      <c r="BI241" s="190">
        <f t="shared" ca="1" si="61"/>
        <v>0</v>
      </c>
      <c r="BJ241" s="190">
        <f t="shared" ca="1" si="62"/>
        <v>0</v>
      </c>
      <c r="BK241" s="190">
        <f t="shared" ca="1" si="63"/>
        <v>0</v>
      </c>
      <c r="BL241" s="190">
        <f t="shared" ca="1" si="64"/>
        <v>0</v>
      </c>
      <c r="BM241" s="190">
        <f t="shared" ca="1" si="65"/>
        <v>0</v>
      </c>
      <c r="BN241" s="215"/>
      <c r="BO241" s="610" t="str">
        <f ca="1">IF(IFERROR(INDEX(Налоги!$K$26:$L$69,MATCH($F241&amp;"5komm",Налоги!$K$26:$K$69,0),2),"")=0,"",IFERROR(INDEX(Налоги!$K$26:$L$69,MATCH($F241&amp;"5komm",Налоги!$K$26:$K$69,0),2),""))</f>
        <v/>
      </c>
      <c r="BP241" s="215"/>
      <c r="BS241" s="705" t="s">
        <v>2079</v>
      </c>
    </row>
    <row r="242" spans="2:75" ht="14.25" customHeight="1">
      <c r="C242" s="44"/>
      <c r="D242" s="44"/>
      <c r="E242" s="462">
        <v>15</v>
      </c>
      <c r="F242" s="3" t="str" cm="1">
        <f t="array" aca="1" ref="F242" ca="1">OFFSET(E242,-1,1)</f>
        <v>1</v>
      </c>
      <c r="G242" s="620">
        <v>1</v>
      </c>
      <c r="H242" s="44"/>
      <c r="I242" s="44" t="s">
        <v>2080</v>
      </c>
      <c r="J242" s="44"/>
      <c r="K242" s="44" t="s">
        <v>2080</v>
      </c>
      <c r="L242" s="44"/>
      <c r="M242" s="44"/>
      <c r="N242" s="44"/>
      <c r="O242" s="44"/>
      <c r="P242" s="44"/>
      <c r="Q242" s="44"/>
      <c r="R242" s="44"/>
      <c r="S242" s="44"/>
      <c r="T242" s="365" t="b" cm="1">
        <f t="array" aca="1" ref="T242" ca="1">T241</f>
        <v>1</v>
      </c>
      <c r="U242" s="44"/>
      <c r="V242" s="44"/>
      <c r="W242" s="44"/>
      <c r="X242" s="1094"/>
      <c r="Z242" s="1065"/>
      <c r="AB242" s="26" t="s">
        <v>2081</v>
      </c>
      <c r="AC242" s="153" t="s">
        <v>2082</v>
      </c>
      <c r="AD242" s="26" t="s">
        <v>804</v>
      </c>
      <c r="AE242" s="190">
        <f ca="1">SUMIFS(Налоги!AE$25:AE$69,Налоги!$F$25:$F$69,$F242,Налоги!$AB$25:$AB$69,$G242)</f>
        <v>0</v>
      </c>
      <c r="AF242" s="190">
        <f ca="1">SUMIFS(Налоги!AF$25:AF$69,Налоги!$F$25:$F$69,$F242,Налоги!$AB$25:$AB$69,$G242)</f>
        <v>0</v>
      </c>
      <c r="AG242" s="190">
        <f ca="1">SUMIFS(Налоги!AG$25:AG$69,Налоги!$F$25:$F$69,$F242,Налоги!$AB$25:$AB$69,$G242)</f>
        <v>0</v>
      </c>
      <c r="AH242" s="190">
        <f t="shared" ca="1" si="54"/>
        <v>0</v>
      </c>
      <c r="AI242" s="190">
        <f ca="1">SUMIFS(Налоги!AH$25:AH$69,Налоги!$F$25:$F$69,$F242,Налоги!$AB$25:$AB$69,$G242)</f>
        <v>0</v>
      </c>
      <c r="AJ242" s="190">
        <f ca="1">SUMIFS(Налоги!AI$25:AI$69,Налоги!$F$25:$F$69,$F242,Налоги!$AB$25:$AB$69,$G242)</f>
        <v>0</v>
      </c>
      <c r="AK242" s="190">
        <f ca="1">SUMIFS(Налоги!AJ$25:AJ$69,Налоги!$F$25:$F$69,$F242,Налоги!$AB$25:$AB$69,$G242)</f>
        <v>0</v>
      </c>
      <c r="AL242" s="190">
        <f ca="1">SUMIFS(Налоги!AK$25:AK$69,Налоги!$F$25:$F$69,$F242,Налоги!$AB$25:$AB$69,$G242)</f>
        <v>0</v>
      </c>
      <c r="AM242" s="190">
        <f ca="1">SUMIFS(Налоги!AL$25:AL$69,Налоги!$F$25:$F$69,$F242,Налоги!$AB$25:$AB$69,$G242)</f>
        <v>0</v>
      </c>
      <c r="AN242" s="190">
        <f ca="1">SUMIFS(Налоги!AM$25:AM$69,Налоги!$F$25:$F$69,$F242,Налоги!$AB$25:$AB$69,$G242)</f>
        <v>0</v>
      </c>
      <c r="AO242" s="190">
        <f ca="1">SUMIFS(Налоги!AN$25:AN$69,Налоги!$F$25:$F$69,$F242,Налоги!$AB$25:$AB$69,$G242)</f>
        <v>0</v>
      </c>
      <c r="AP242" s="190">
        <f ca="1">SUMIFS(Налоги!AO$25:AO$69,Налоги!$F$25:$F$69,$F242,Налоги!$AB$25:$AB$69,$G242)</f>
        <v>0</v>
      </c>
      <c r="AQ242" s="190">
        <f ca="1">SUMIFS(Налоги!AP$25:AP$69,Налоги!$F$25:$F$69,$F242,Налоги!$AB$25:$AB$69,$G242)</f>
        <v>0</v>
      </c>
      <c r="AR242" s="190">
        <f ca="1">SUMIFS(Налоги!AQ$25:AQ$69,Налоги!$F$25:$F$69,$F242,Налоги!$AB$25:$AB$69,$G242)</f>
        <v>0</v>
      </c>
      <c r="AS242" s="190">
        <f ca="1">SUMIFS(Налоги!AR$25:AR$69,Налоги!$F$25:$F$69,$F242,Налоги!$AB$25:$AB$69,$G242)</f>
        <v>0</v>
      </c>
      <c r="AT242" s="190">
        <f ca="1">SUMIFS(Налоги!AS$25:AS$69,Налоги!$F$25:$F$69,$F242,Налоги!$AB$25:$AB$69,$G242)</f>
        <v>0</v>
      </c>
      <c r="AU242" s="190">
        <f ca="1">SUMIFS(Налоги!AT$25:AT$69,Налоги!$F$25:$F$69,$F242,Налоги!$AB$25:$AB$69,$G242)</f>
        <v>0</v>
      </c>
      <c r="AV242" s="190">
        <f ca="1">SUMIFS(Налоги!AU$25:AU$69,Налоги!$F$25:$F$69,$F242,Налоги!$AB$25:$AB$69,$G242)</f>
        <v>0</v>
      </c>
      <c r="AW242" s="190">
        <f ca="1">SUMIFS(Налоги!AV$25:AV$69,Налоги!$F$25:$F$69,$F242,Налоги!$AB$25:$AB$69,$G242)</f>
        <v>0</v>
      </c>
      <c r="AX242" s="190">
        <f ca="1">SUMIFS(Налоги!AW$25:AW$69,Налоги!$F$25:$F$69,$F242,Налоги!$AB$25:$AB$69,$G242)</f>
        <v>0</v>
      </c>
      <c r="AY242" s="190">
        <f ca="1">SUMIFS(Налоги!AX$25:AX$69,Налоги!$F$25:$F$69,$F242,Налоги!$AB$25:$AB$69,$G242)</f>
        <v>0</v>
      </c>
      <c r="AZ242" s="190">
        <f ca="1">SUMIFS(Налоги!AY$25:AY$69,Налоги!$F$25:$F$69,$F242,Налоги!$AB$25:$AB$69,$G242)</f>
        <v>0</v>
      </c>
      <c r="BA242" s="190">
        <f ca="1">SUMIFS(Налоги!AZ$25:AZ$69,Налоги!$F$25:$F$69,$F242,Налоги!$AB$25:$AB$69,$G242)</f>
        <v>0</v>
      </c>
      <c r="BB242" s="190">
        <f ca="1">SUMIFS(Налоги!BA$25:BA$69,Налоги!$F$25:$F$69,$F242,Налоги!$AB$25:$AB$69,$G242)</f>
        <v>0</v>
      </c>
      <c r="BC242" s="190">
        <f ca="1">SUMIFS(Налоги!BB$25:BB$69,Налоги!$F$25:$F$69,$F242,Налоги!$AB$25:$AB$69,$G242)</f>
        <v>0</v>
      </c>
      <c r="BD242" s="190">
        <f t="shared" ca="1" si="56"/>
        <v>0</v>
      </c>
      <c r="BE242" s="190">
        <f t="shared" ca="1" si="57"/>
        <v>0</v>
      </c>
      <c r="BF242" s="190">
        <f t="shared" ca="1" si="58"/>
        <v>0</v>
      </c>
      <c r="BG242" s="190">
        <f t="shared" ca="1" si="59"/>
        <v>0</v>
      </c>
      <c r="BH242" s="190">
        <f t="shared" ca="1" si="60"/>
        <v>0</v>
      </c>
      <c r="BI242" s="190">
        <f t="shared" ca="1" si="61"/>
        <v>0</v>
      </c>
      <c r="BJ242" s="190">
        <f t="shared" ca="1" si="62"/>
        <v>0</v>
      </c>
      <c r="BK242" s="190">
        <f t="shared" ca="1" si="63"/>
        <v>0</v>
      </c>
      <c r="BL242" s="190">
        <f t="shared" ca="1" si="64"/>
        <v>0</v>
      </c>
      <c r="BM242" s="190">
        <f t="shared" ca="1" si="65"/>
        <v>0</v>
      </c>
      <c r="BN242" s="215"/>
      <c r="BO242" s="610" t="str">
        <f ca="1">IF(IFERROR(INDEX(Налоги!$K$26:$L$69,MATCH($F242&amp;"1komm",Налоги!$K$26:$K$69,0),2),"")=0,"",IFERROR(INDEX(Налоги!$K$26:$L$69,MATCH($F242&amp;"1komm",Налоги!$K$26:$K$69,0),2),""))</f>
        <v/>
      </c>
      <c r="BP242" s="215"/>
      <c r="BS242" s="705" t="s">
        <v>2083</v>
      </c>
    </row>
    <row r="243" spans="2:75" ht="14.25" customHeight="1">
      <c r="C243" s="44"/>
      <c r="D243" s="44"/>
      <c r="E243" s="462">
        <v>15</v>
      </c>
      <c r="F243" s="3" t="str" cm="1">
        <f t="array" aca="1" ref="F243" ca="1">OFFSET(E243,-1,1)</f>
        <v>1</v>
      </c>
      <c r="G243" s="620">
        <v>3</v>
      </c>
      <c r="H243" s="44"/>
      <c r="I243" s="44" t="s">
        <v>2084</v>
      </c>
      <c r="J243" s="44"/>
      <c r="K243" s="44" t="s">
        <v>2084</v>
      </c>
      <c r="L243" s="44"/>
      <c r="M243" s="44"/>
      <c r="N243" s="44"/>
      <c r="O243" s="44"/>
      <c r="P243" s="44"/>
      <c r="Q243" s="44"/>
      <c r="R243" s="44"/>
      <c r="S243" s="44"/>
      <c r="T243" s="365" t="b" cm="1">
        <f t="array" aca="1" ref="T243" ca="1">T242</f>
        <v>1</v>
      </c>
      <c r="U243" s="44"/>
      <c r="V243" s="44"/>
      <c r="W243" s="44"/>
      <c r="X243" s="1094"/>
      <c r="Z243" s="1065"/>
      <c r="AB243" s="26" t="s">
        <v>2085</v>
      </c>
      <c r="AC243" s="153" t="s">
        <v>2086</v>
      </c>
      <c r="AD243" s="26" t="s">
        <v>804</v>
      </c>
      <c r="AE243" s="190">
        <f ca="1">SUMIFS(Налоги!AE$25:AE$69,Налоги!$F$25:$F$69,$F243,Налоги!$AB$25:$AB$69,$G243)</f>
        <v>0</v>
      </c>
      <c r="AF243" s="190">
        <f ca="1">SUMIFS(Налоги!AF$25:AF$69,Налоги!$F$25:$F$69,$F243,Налоги!$AB$25:$AB$69,$G243)</f>
        <v>0</v>
      </c>
      <c r="AG243" s="190">
        <f ca="1">SUMIFS(Налоги!AG$25:AG$69,Налоги!$F$25:$F$69,$F243,Налоги!$AB$25:$AB$69,$G243)</f>
        <v>0</v>
      </c>
      <c r="AH243" s="190">
        <f t="shared" ca="1" si="54"/>
        <v>0</v>
      </c>
      <c r="AI243" s="190">
        <f ca="1">SUMIFS(Налоги!AH$25:AH$69,Налоги!$F$25:$F$69,$F243,Налоги!$AB$25:$AB$69,$G243)</f>
        <v>0</v>
      </c>
      <c r="AJ243" s="190">
        <f ca="1">SUMIFS(Налоги!AI$25:AI$69,Налоги!$F$25:$F$69,$F243,Налоги!$AB$25:$AB$69,$G243)</f>
        <v>0</v>
      </c>
      <c r="AK243" s="190">
        <f ca="1">SUMIFS(Налоги!AJ$25:AJ$69,Налоги!$F$25:$F$69,$F243,Налоги!$AB$25:$AB$69,$G243)</f>
        <v>0</v>
      </c>
      <c r="AL243" s="190">
        <f ca="1">SUMIFS(Налоги!AK$25:AK$69,Налоги!$F$25:$F$69,$F243,Налоги!$AB$25:$AB$69,$G243)</f>
        <v>0</v>
      </c>
      <c r="AM243" s="190">
        <f ca="1">SUMIFS(Налоги!AL$25:AL$69,Налоги!$F$25:$F$69,$F243,Налоги!$AB$25:$AB$69,$G243)</f>
        <v>0</v>
      </c>
      <c r="AN243" s="190">
        <f ca="1">SUMIFS(Налоги!AM$25:AM$69,Налоги!$F$25:$F$69,$F243,Налоги!$AB$25:$AB$69,$G243)</f>
        <v>0</v>
      </c>
      <c r="AO243" s="190">
        <f ca="1">SUMIFS(Налоги!AN$25:AN$69,Налоги!$F$25:$F$69,$F243,Налоги!$AB$25:$AB$69,$G243)</f>
        <v>0</v>
      </c>
      <c r="AP243" s="190">
        <f ca="1">SUMIFS(Налоги!AO$25:AO$69,Налоги!$F$25:$F$69,$F243,Налоги!$AB$25:$AB$69,$G243)</f>
        <v>0</v>
      </c>
      <c r="AQ243" s="190">
        <f ca="1">SUMIFS(Налоги!AP$25:AP$69,Налоги!$F$25:$F$69,$F243,Налоги!$AB$25:$AB$69,$G243)</f>
        <v>0</v>
      </c>
      <c r="AR243" s="190">
        <f ca="1">SUMIFS(Налоги!AQ$25:AQ$69,Налоги!$F$25:$F$69,$F243,Налоги!$AB$25:$AB$69,$G243)</f>
        <v>0</v>
      </c>
      <c r="AS243" s="190">
        <f ca="1">SUMIFS(Налоги!AR$25:AR$69,Налоги!$F$25:$F$69,$F243,Налоги!$AB$25:$AB$69,$G243)</f>
        <v>0</v>
      </c>
      <c r="AT243" s="190">
        <f ca="1">SUMIFS(Налоги!AS$25:AS$69,Налоги!$F$25:$F$69,$F243,Налоги!$AB$25:$AB$69,$G243)</f>
        <v>0</v>
      </c>
      <c r="AU243" s="190">
        <f ca="1">SUMIFS(Налоги!AT$25:AT$69,Налоги!$F$25:$F$69,$F243,Налоги!$AB$25:$AB$69,$G243)</f>
        <v>0</v>
      </c>
      <c r="AV243" s="190">
        <f ca="1">SUMIFS(Налоги!AU$25:AU$69,Налоги!$F$25:$F$69,$F243,Налоги!$AB$25:$AB$69,$G243)</f>
        <v>0</v>
      </c>
      <c r="AW243" s="190">
        <f ca="1">SUMIFS(Налоги!AV$25:AV$69,Налоги!$F$25:$F$69,$F243,Налоги!$AB$25:$AB$69,$G243)</f>
        <v>0</v>
      </c>
      <c r="AX243" s="190">
        <f ca="1">SUMIFS(Налоги!AW$25:AW$69,Налоги!$F$25:$F$69,$F243,Налоги!$AB$25:$AB$69,$G243)</f>
        <v>0</v>
      </c>
      <c r="AY243" s="190">
        <f ca="1">SUMIFS(Налоги!AX$25:AX$69,Налоги!$F$25:$F$69,$F243,Налоги!$AB$25:$AB$69,$G243)</f>
        <v>0</v>
      </c>
      <c r="AZ243" s="190">
        <f ca="1">SUMIFS(Налоги!AY$25:AY$69,Налоги!$F$25:$F$69,$F243,Налоги!$AB$25:$AB$69,$G243)</f>
        <v>0</v>
      </c>
      <c r="BA243" s="190">
        <f ca="1">SUMIFS(Налоги!AZ$25:AZ$69,Налоги!$F$25:$F$69,$F243,Налоги!$AB$25:$AB$69,$G243)</f>
        <v>0</v>
      </c>
      <c r="BB243" s="190">
        <f ca="1">SUMIFS(Налоги!BA$25:BA$69,Налоги!$F$25:$F$69,$F243,Налоги!$AB$25:$AB$69,$G243)</f>
        <v>0</v>
      </c>
      <c r="BC243" s="190">
        <f ca="1">SUMIFS(Налоги!BB$25:BB$69,Налоги!$F$25:$F$69,$F243,Налоги!$AB$25:$AB$69,$G243)</f>
        <v>0</v>
      </c>
      <c r="BD243" s="190">
        <f t="shared" ca="1" si="56"/>
        <v>0</v>
      </c>
      <c r="BE243" s="190">
        <f t="shared" ca="1" si="57"/>
        <v>0</v>
      </c>
      <c r="BF243" s="190">
        <f t="shared" ca="1" si="58"/>
        <v>0</v>
      </c>
      <c r="BG243" s="190">
        <f t="shared" ca="1" si="59"/>
        <v>0</v>
      </c>
      <c r="BH243" s="190">
        <f t="shared" ca="1" si="60"/>
        <v>0</v>
      </c>
      <c r="BI243" s="190">
        <f t="shared" ca="1" si="61"/>
        <v>0</v>
      </c>
      <c r="BJ243" s="190">
        <f t="shared" ca="1" si="62"/>
        <v>0</v>
      </c>
      <c r="BK243" s="190">
        <f t="shared" ca="1" si="63"/>
        <v>0</v>
      </c>
      <c r="BL243" s="190">
        <f t="shared" ca="1" si="64"/>
        <v>0</v>
      </c>
      <c r="BM243" s="190">
        <f t="shared" ca="1" si="65"/>
        <v>0</v>
      </c>
      <c r="BN243" s="215"/>
      <c r="BO243" s="610" t="str">
        <f ca="1">IF(IFERROR(INDEX(Налоги!$K$26:$L$69,MATCH($F243&amp;"5komm",Налоги!$K$26:$K$69,0),2),"")=0,"",IFERROR(INDEX(Налоги!$K$26:$L$69,MATCH($F243&amp;"5komm",Налоги!$K$26:$K$69,0),2),""))</f>
        <v/>
      </c>
      <c r="BP243" s="215"/>
      <c r="BS243" s="705" t="s">
        <v>2087</v>
      </c>
    </row>
    <row r="244" spans="2:75" ht="14.25" customHeight="1">
      <c r="C244" s="44"/>
      <c r="D244" s="44"/>
      <c r="E244" s="462">
        <v>15</v>
      </c>
      <c r="F244" s="3" t="str" cm="1">
        <f t="array" aca="1" ref="F244" ca="1">OFFSET(E244,-1,1)</f>
        <v>1</v>
      </c>
      <c r="G244" s="620">
        <v>8</v>
      </c>
      <c r="H244" s="44"/>
      <c r="I244" s="44" t="s">
        <v>2088</v>
      </c>
      <c r="J244" s="44"/>
      <c r="K244" s="44" t="s">
        <v>2088</v>
      </c>
      <c r="L244" s="44"/>
      <c r="M244" s="44"/>
      <c r="N244" s="44"/>
      <c r="O244" s="44"/>
      <c r="P244" s="44"/>
      <c r="Q244" s="44"/>
      <c r="R244" s="44"/>
      <c r="S244" s="44"/>
      <c r="T244" s="365" t="b" cm="1">
        <f t="array" aca="1" ref="T244" ca="1">T243</f>
        <v>1</v>
      </c>
      <c r="U244" s="44"/>
      <c r="V244" s="44"/>
      <c r="W244" s="44"/>
      <c r="X244" s="1094"/>
      <c r="Z244" s="1065"/>
      <c r="AB244" s="26" t="s">
        <v>2089</v>
      </c>
      <c r="AC244" s="153" t="s">
        <v>2090</v>
      </c>
      <c r="AD244" s="26" t="s">
        <v>804</v>
      </c>
      <c r="AE244" s="190">
        <f ca="1">SUMIFS(Налоги!AE$25:AE$69,Налоги!$F$25:$F$69,$F244,Налоги!$AB$25:$AB$69,$G244)</f>
        <v>376.0367666798</v>
      </c>
      <c r="AF244" s="190">
        <f ca="1">SUMIFS(Налоги!AF$25:AF$69,Налоги!$F$25:$F$69,$F244,Налоги!$AB$25:$AB$69,$G244)</f>
        <v>410.78</v>
      </c>
      <c r="AG244" s="190">
        <f ca="1">SUMIFS(Налоги!AG$25:AG$69,Налоги!$F$25:$F$69,$F244,Налоги!$AB$25:$AB$69,$G244)</f>
        <v>388.27</v>
      </c>
      <c r="AH244" s="190">
        <f t="shared" ca="1" si="54"/>
        <v>-22.509999999999991</v>
      </c>
      <c r="AI244" s="190">
        <f ca="1">SUMIFS(Налоги!AH$25:AH$69,Налоги!$F$25:$F$69,$F244,Налоги!$AB$25:$AB$69,$G244)</f>
        <v>409.58</v>
      </c>
      <c r="AJ244" s="190">
        <f ca="1">SUMIFS(Налоги!AI$25:AI$69,Налоги!$F$25:$F$69,$F244,Налоги!$AB$25:$AB$69,$G244)</f>
        <v>804.49</v>
      </c>
      <c r="AK244" s="190">
        <f ca="1">SUMIFS(Налоги!AJ$25:AJ$69,Налоги!$F$25:$F$69,$F244,Налоги!$AB$25:$AB$69,$G244)</f>
        <v>0</v>
      </c>
      <c r="AL244" s="190">
        <f ca="1">SUMIFS(Налоги!AK$25:AK$69,Налоги!$F$25:$F$69,$F244,Налоги!$AB$25:$AB$69,$G244)</f>
        <v>0</v>
      </c>
      <c r="AM244" s="190">
        <f ca="1">SUMIFS(Налоги!AL$25:AL$69,Налоги!$F$25:$F$69,$F244,Налоги!$AB$25:$AB$69,$G244)</f>
        <v>0</v>
      </c>
      <c r="AN244" s="190">
        <f ca="1">SUMIFS(Налоги!AM$25:AM$69,Налоги!$F$25:$F$69,$F244,Налоги!$AB$25:$AB$69,$G244)</f>
        <v>0</v>
      </c>
      <c r="AO244" s="190">
        <f ca="1">SUMIFS(Налоги!AN$25:AN$69,Налоги!$F$25:$F$69,$F244,Налоги!$AB$25:$AB$69,$G244)</f>
        <v>0</v>
      </c>
      <c r="AP244" s="190">
        <f ca="1">SUMIFS(Налоги!AO$25:AO$69,Налоги!$F$25:$F$69,$F244,Налоги!$AB$25:$AB$69,$G244)</f>
        <v>0</v>
      </c>
      <c r="AQ244" s="190">
        <f ca="1">SUMIFS(Налоги!AP$25:AP$69,Налоги!$F$25:$F$69,$F244,Налоги!$AB$25:$AB$69,$G244)</f>
        <v>0</v>
      </c>
      <c r="AR244" s="190">
        <f ca="1">SUMIFS(Налоги!AQ$25:AQ$69,Налоги!$F$25:$F$69,$F244,Налоги!$AB$25:$AB$69,$G244)</f>
        <v>0</v>
      </c>
      <c r="AS244" s="190">
        <f ca="1">SUMIFS(Налоги!AR$25:AR$69,Налоги!$F$25:$F$69,$F244,Налоги!$AB$25:$AB$69,$G244)</f>
        <v>0</v>
      </c>
      <c r="AT244" s="190">
        <f ca="1">SUMIFS(Налоги!AS$25:AS$69,Налоги!$F$25:$F$69,$F244,Налоги!$AB$25:$AB$69,$G244)</f>
        <v>448.21</v>
      </c>
      <c r="AU244" s="190">
        <f ca="1">SUMIFS(Налоги!AT$25:AT$69,Налоги!$F$25:$F$69,$F244,Налоги!$AB$25:$AB$69,$G244)</f>
        <v>0</v>
      </c>
      <c r="AV244" s="190">
        <f ca="1">SUMIFS(Налоги!AU$25:AU$69,Налоги!$F$25:$F$69,$F244,Налоги!$AB$25:$AB$69,$G244)</f>
        <v>0</v>
      </c>
      <c r="AW244" s="190">
        <f ca="1">SUMIFS(Налоги!AV$25:AV$69,Налоги!$F$25:$F$69,$F244,Налоги!$AB$25:$AB$69,$G244)</f>
        <v>0</v>
      </c>
      <c r="AX244" s="190">
        <f ca="1">SUMIFS(Налоги!AW$25:AW$69,Налоги!$F$25:$F$69,$F244,Налоги!$AB$25:$AB$69,$G244)</f>
        <v>0</v>
      </c>
      <c r="AY244" s="190">
        <f ca="1">SUMIFS(Налоги!AX$25:AX$69,Налоги!$F$25:$F$69,$F244,Налоги!$AB$25:$AB$69,$G244)</f>
        <v>0</v>
      </c>
      <c r="AZ244" s="190">
        <f ca="1">SUMIFS(Налоги!AY$25:AY$69,Налоги!$F$25:$F$69,$F244,Налоги!$AB$25:$AB$69,$G244)</f>
        <v>0</v>
      </c>
      <c r="BA244" s="190">
        <f ca="1">SUMIFS(Налоги!AZ$25:AZ$69,Налоги!$F$25:$F$69,$F244,Налоги!$AB$25:$AB$69,$G244)</f>
        <v>0</v>
      </c>
      <c r="BB244" s="190">
        <f ca="1">SUMIFS(Налоги!BA$25:BA$69,Налоги!$F$25:$F$69,$F244,Налоги!$AB$25:$AB$69,$G244)</f>
        <v>0</v>
      </c>
      <c r="BC244" s="190">
        <f ca="1">SUMIFS(Налоги!BB$25:BB$69,Налоги!$F$25:$F$69,$F244,Налоги!$AB$25:$AB$69,$G244)</f>
        <v>0</v>
      </c>
      <c r="BD244" s="190">
        <f t="shared" ca="1" si="56"/>
        <v>9.4316128717222512</v>
      </c>
      <c r="BE244" s="190">
        <f t="shared" ca="1" si="57"/>
        <v>-100</v>
      </c>
      <c r="BF244" s="190">
        <f t="shared" ca="1" si="58"/>
        <v>0</v>
      </c>
      <c r="BG244" s="190">
        <f t="shared" ca="1" si="59"/>
        <v>0</v>
      </c>
      <c r="BH244" s="190">
        <f t="shared" ca="1" si="60"/>
        <v>0</v>
      </c>
      <c r="BI244" s="190">
        <f t="shared" ca="1" si="61"/>
        <v>0</v>
      </c>
      <c r="BJ244" s="190">
        <f t="shared" ca="1" si="62"/>
        <v>0</v>
      </c>
      <c r="BK244" s="190">
        <f t="shared" ca="1" si="63"/>
        <v>0</v>
      </c>
      <c r="BL244" s="190">
        <f t="shared" ca="1" si="64"/>
        <v>0</v>
      </c>
      <c r="BM244" s="190">
        <f t="shared" ca="1" si="65"/>
        <v>0</v>
      </c>
      <c r="BN244" s="215"/>
      <c r="BO244" s="610" t="str">
        <f ca="1">IF(IFERROR(INDEX(Налоги!$K$26:$L$69,MATCH($F244&amp;"8komm",Налоги!$K$26:$K$69,0),2),"")=0,"",IFERROR(INDEX(Налоги!$K$26:$L$69,MATCH($F244&amp;"8komm",Налоги!$K$26:$K$69,0),2),""))</f>
        <v>Расходы рассчитаны в размере 1% от необходимой валовой выручки, в соответствии с абзацем 2 п. 1 ст. 346.20 Налогового кодекса Российской Федерации (часть вторая) от 05.08.2000 № 117-ФЗ.</v>
      </c>
      <c r="BP244" s="215"/>
      <c r="BS244" s="705" t="s">
        <v>1288</v>
      </c>
    </row>
    <row r="245" spans="2:75" s="388" customFormat="1" ht="14.25" customHeight="1">
      <c r="B245" s="548"/>
      <c r="C245" s="44"/>
      <c r="D245" s="44"/>
      <c r="E245" s="462">
        <v>15</v>
      </c>
      <c r="F245" s="3" t="str" cm="1">
        <f t="array" aca="1" ref="F245" ca="1">OFFSET(E245,-1,1)</f>
        <v>1</v>
      </c>
      <c r="G245" s="620">
        <v>9</v>
      </c>
      <c r="H245" s="44"/>
      <c r="I245" s="44"/>
      <c r="J245" s="44"/>
      <c r="K245" s="44"/>
      <c r="L245" s="44"/>
      <c r="M245" s="44"/>
      <c r="N245" s="44"/>
      <c r="O245" s="44"/>
      <c r="P245" s="44"/>
      <c r="Q245" s="44"/>
      <c r="R245" s="44"/>
      <c r="S245" s="44"/>
      <c r="T245" s="365" t="b" cm="1">
        <f t="array" aca="1" ref="T245" ca="1">T244</f>
        <v>1</v>
      </c>
      <c r="U245" s="44"/>
      <c r="V245" s="44"/>
      <c r="W245" s="44"/>
      <c r="X245" s="1094"/>
      <c r="Z245" s="1065"/>
      <c r="AB245" s="26" t="s">
        <v>2091</v>
      </c>
      <c r="AC245" s="559" t="s">
        <v>2092</v>
      </c>
      <c r="AD245" s="26" t="s">
        <v>804</v>
      </c>
      <c r="AE245" s="190">
        <f ca="1">SUMIFS(Налоги!AE$25:AE$69,Налоги!$F$25:$F$69,$F245,Налоги!$AB$25:$AB$69,$G245)</f>
        <v>0</v>
      </c>
      <c r="AF245" s="190">
        <f ca="1">SUMIFS(Налоги!AF$25:AF$69,Налоги!$F$25:$F$69,$F245,Налоги!$AB$25:$AB$69,$G245)</f>
        <v>0</v>
      </c>
      <c r="AG245" s="190">
        <f ca="1">SUMIFS(Налоги!AG$25:AG$69,Налоги!$F$25:$F$69,$F245,Налоги!$AB$25:$AB$69,$G245)</f>
        <v>0</v>
      </c>
      <c r="AH245" s="190">
        <f t="shared" ca="1" si="54"/>
        <v>0</v>
      </c>
      <c r="AI245" s="190">
        <f ca="1">SUMIFS(Налоги!AH$25:AH$69,Налоги!$F$25:$F$69,$F245,Налоги!$AB$25:$AB$69,$G245)</f>
        <v>0</v>
      </c>
      <c r="AJ245" s="190">
        <f ca="1">SUMIFS(Налоги!AI$25:AI$69,Налоги!$F$25:$F$69,$F245,Налоги!$AB$25:$AB$69,$G245)</f>
        <v>0</v>
      </c>
      <c r="AK245" s="190">
        <f ca="1">SUMIFS(Налоги!AJ$25:AJ$69,Налоги!$F$25:$F$69,$F245,Налоги!$AB$25:$AB$69,$G245)</f>
        <v>0</v>
      </c>
      <c r="AL245" s="190">
        <f ca="1">SUMIFS(Налоги!AK$25:AK$69,Налоги!$F$25:$F$69,$F245,Налоги!$AB$25:$AB$69,$G245)</f>
        <v>0</v>
      </c>
      <c r="AM245" s="190">
        <f ca="1">SUMIFS(Налоги!AL$25:AL$69,Налоги!$F$25:$F$69,$F245,Налоги!$AB$25:$AB$69,$G245)</f>
        <v>0</v>
      </c>
      <c r="AN245" s="190">
        <f ca="1">SUMIFS(Налоги!AM$25:AM$69,Налоги!$F$25:$F$69,$F245,Налоги!$AB$25:$AB$69,$G245)</f>
        <v>0</v>
      </c>
      <c r="AO245" s="190">
        <f ca="1">SUMIFS(Налоги!AN$25:AN$69,Налоги!$F$25:$F$69,$F245,Налоги!$AB$25:$AB$69,$G245)</f>
        <v>0</v>
      </c>
      <c r="AP245" s="190">
        <f ca="1">SUMIFS(Налоги!AO$25:AO$69,Налоги!$F$25:$F$69,$F245,Налоги!$AB$25:$AB$69,$G245)</f>
        <v>0</v>
      </c>
      <c r="AQ245" s="190">
        <f ca="1">SUMIFS(Налоги!AP$25:AP$69,Налоги!$F$25:$F$69,$F245,Налоги!$AB$25:$AB$69,$G245)</f>
        <v>0</v>
      </c>
      <c r="AR245" s="190">
        <f ca="1">SUMIFS(Налоги!AQ$25:AQ$69,Налоги!$F$25:$F$69,$F245,Налоги!$AB$25:$AB$69,$G245)</f>
        <v>0</v>
      </c>
      <c r="AS245" s="190">
        <f ca="1">SUMIFS(Налоги!AR$25:AR$69,Налоги!$F$25:$F$69,$F245,Налоги!$AB$25:$AB$69,$G245)</f>
        <v>0</v>
      </c>
      <c r="AT245" s="190">
        <f ca="1">SUMIFS(Налоги!AS$25:AS$69,Налоги!$F$25:$F$69,$F245,Налоги!$AB$25:$AB$69,$G245)</f>
        <v>0</v>
      </c>
      <c r="AU245" s="190">
        <f ca="1">SUMIFS(Налоги!AT$25:AT$69,Налоги!$F$25:$F$69,$F245,Налоги!$AB$25:$AB$69,$G245)</f>
        <v>0</v>
      </c>
      <c r="AV245" s="190">
        <f ca="1">SUMIFS(Налоги!AU$25:AU$69,Налоги!$F$25:$F$69,$F245,Налоги!$AB$25:$AB$69,$G245)</f>
        <v>0</v>
      </c>
      <c r="AW245" s="190">
        <f ca="1">SUMIFS(Налоги!AV$25:AV$69,Налоги!$F$25:$F$69,$F245,Налоги!$AB$25:$AB$69,$G245)</f>
        <v>0</v>
      </c>
      <c r="AX245" s="190">
        <f ca="1">SUMIFS(Налоги!AW$25:AW$69,Налоги!$F$25:$F$69,$F245,Налоги!$AB$25:$AB$69,$G245)</f>
        <v>0</v>
      </c>
      <c r="AY245" s="190">
        <f ca="1">SUMIFS(Налоги!AX$25:AX$69,Налоги!$F$25:$F$69,$F245,Налоги!$AB$25:$AB$69,$G245)</f>
        <v>0</v>
      </c>
      <c r="AZ245" s="190">
        <f ca="1">SUMIFS(Налоги!AY$25:AY$69,Налоги!$F$25:$F$69,$F245,Налоги!$AB$25:$AB$69,$G245)</f>
        <v>0</v>
      </c>
      <c r="BA245" s="190">
        <f ca="1">SUMIFS(Налоги!AZ$25:AZ$69,Налоги!$F$25:$F$69,$F245,Налоги!$AB$25:$AB$69,$G245)</f>
        <v>0</v>
      </c>
      <c r="BB245" s="190">
        <f ca="1">SUMIFS(Налоги!BA$25:BA$69,Налоги!$F$25:$F$69,$F245,Налоги!$AB$25:$AB$69,$G245)</f>
        <v>0</v>
      </c>
      <c r="BC245" s="190">
        <f ca="1">SUMIFS(Налоги!BB$25:BB$69,Налоги!$F$25:$F$69,$F245,Налоги!$AB$25:$AB$69,$G245)</f>
        <v>0</v>
      </c>
      <c r="BD245" s="190">
        <f t="shared" ca="1" si="56"/>
        <v>0</v>
      </c>
      <c r="BE245" s="190">
        <f t="shared" ca="1" si="57"/>
        <v>0</v>
      </c>
      <c r="BF245" s="190">
        <f t="shared" ca="1" si="58"/>
        <v>0</v>
      </c>
      <c r="BG245" s="190">
        <f t="shared" ca="1" si="59"/>
        <v>0</v>
      </c>
      <c r="BH245" s="190">
        <f t="shared" ca="1" si="60"/>
        <v>0</v>
      </c>
      <c r="BI245" s="190">
        <f t="shared" ca="1" si="61"/>
        <v>0</v>
      </c>
      <c r="BJ245" s="190">
        <f t="shared" ca="1" si="62"/>
        <v>0</v>
      </c>
      <c r="BK245" s="190">
        <f t="shared" ca="1" si="63"/>
        <v>0</v>
      </c>
      <c r="BL245" s="190">
        <f t="shared" ca="1" si="64"/>
        <v>0</v>
      </c>
      <c r="BM245" s="190">
        <f t="shared" ca="1" si="65"/>
        <v>0</v>
      </c>
      <c r="BN245" s="215"/>
      <c r="BO245" s="610" t="str">
        <f ca="1">IF(IFERROR(INDEX(Налоги!$K$26:$L$69,MATCH($F245&amp;"9komm",Налоги!$K$26:$K$69,0),2),"")=0,"",IFERROR(INDEX(Налоги!$K$26:$L$69,MATCH($F245&amp;"9komm",Налоги!$K$26:$K$69,0),2),""))</f>
        <v/>
      </c>
      <c r="BP245" s="215"/>
      <c r="BS245" s="712" t="s">
        <v>2093</v>
      </c>
      <c r="BT245" s="712"/>
      <c r="BU245" s="712"/>
      <c r="BV245" s="713"/>
      <c r="BW245" s="713"/>
    </row>
    <row r="246" spans="2:75" ht="14.25" customHeight="1">
      <c r="C246" s="44"/>
      <c r="D246" s="44"/>
      <c r="E246" s="462">
        <v>15</v>
      </c>
      <c r="F246" s="3" t="str" cm="1">
        <f t="array" aca="1" ref="F246" ca="1">OFFSET(E246,-1,1)</f>
        <v>1</v>
      </c>
      <c r="G246" s="620">
        <v>10</v>
      </c>
      <c r="H246" s="44"/>
      <c r="I246" s="44" t="s">
        <v>2094</v>
      </c>
      <c r="J246" s="44"/>
      <c r="K246" s="44" t="s">
        <v>2094</v>
      </c>
      <c r="L246" s="44"/>
      <c r="M246" s="44"/>
      <c r="N246" s="44"/>
      <c r="O246" s="44"/>
      <c r="P246" s="44"/>
      <c r="Q246" s="44"/>
      <c r="R246" s="44"/>
      <c r="S246" s="44"/>
      <c r="T246" s="365" t="b" cm="1">
        <f t="array" aca="1" ref="T246" ca="1">T245</f>
        <v>1</v>
      </c>
      <c r="U246" s="44"/>
      <c r="V246" s="44"/>
      <c r="W246" s="44"/>
      <c r="X246" s="1094"/>
      <c r="Z246" s="1065"/>
      <c r="AB246" s="26" t="s">
        <v>2095</v>
      </c>
      <c r="AC246" s="559" t="s">
        <v>2096</v>
      </c>
      <c r="AD246" s="26" t="s">
        <v>804</v>
      </c>
      <c r="AE246" s="190">
        <f ca="1">SUMIFS(Налоги!AE$25:AE$69,Налоги!$F$25:$F$69,$F246,Налоги!$AB$25:$AB$69,$G246)</f>
        <v>0</v>
      </c>
      <c r="AF246" s="190">
        <f ca="1">SUMIFS(Налоги!AF$25:AF$69,Налоги!$F$25:$F$69,$F246,Налоги!$AB$25:$AB$69,$G246)</f>
        <v>0</v>
      </c>
      <c r="AG246" s="190">
        <f ca="1">SUMIFS(Налоги!AG$25:AG$69,Налоги!$F$25:$F$69,$F246,Налоги!$AB$25:$AB$69,$G246)</f>
        <v>0</v>
      </c>
      <c r="AH246" s="190">
        <f t="shared" ca="1" si="54"/>
        <v>0</v>
      </c>
      <c r="AI246" s="190">
        <f ca="1">SUMIFS(Налоги!AH$25:AH$69,Налоги!$F$25:$F$69,$F246,Налоги!$AB$25:$AB$69,$G246)</f>
        <v>0</v>
      </c>
      <c r="AJ246" s="190">
        <f ca="1">SUMIFS(Налоги!AI$25:AI$69,Налоги!$F$25:$F$69,$F246,Налоги!$AB$25:$AB$69,$G246)</f>
        <v>0</v>
      </c>
      <c r="AK246" s="190">
        <f ca="1">SUMIFS(Налоги!AJ$25:AJ$69,Налоги!$F$25:$F$69,$F246,Налоги!$AB$25:$AB$69,$G246)</f>
        <v>0</v>
      </c>
      <c r="AL246" s="190">
        <f ca="1">SUMIFS(Налоги!AK$25:AK$69,Налоги!$F$25:$F$69,$F246,Налоги!$AB$25:$AB$69,$G246)</f>
        <v>0</v>
      </c>
      <c r="AM246" s="190">
        <f ca="1">SUMIFS(Налоги!AL$25:AL$69,Налоги!$F$25:$F$69,$F246,Налоги!$AB$25:$AB$69,$G246)</f>
        <v>0</v>
      </c>
      <c r="AN246" s="190">
        <f ca="1">SUMIFS(Налоги!AM$25:AM$69,Налоги!$F$25:$F$69,$F246,Налоги!$AB$25:$AB$69,$G246)</f>
        <v>0</v>
      </c>
      <c r="AO246" s="190">
        <f ca="1">SUMIFS(Налоги!AN$25:AN$69,Налоги!$F$25:$F$69,$F246,Налоги!$AB$25:$AB$69,$G246)</f>
        <v>0</v>
      </c>
      <c r="AP246" s="190">
        <f ca="1">SUMIFS(Налоги!AO$25:AO$69,Налоги!$F$25:$F$69,$F246,Налоги!$AB$25:$AB$69,$G246)</f>
        <v>0</v>
      </c>
      <c r="AQ246" s="190">
        <f ca="1">SUMIFS(Налоги!AP$25:AP$69,Налоги!$F$25:$F$69,$F246,Налоги!$AB$25:$AB$69,$G246)</f>
        <v>0</v>
      </c>
      <c r="AR246" s="190">
        <f ca="1">SUMIFS(Налоги!AQ$25:AQ$69,Налоги!$F$25:$F$69,$F246,Налоги!$AB$25:$AB$69,$G246)</f>
        <v>0</v>
      </c>
      <c r="AS246" s="190">
        <f ca="1">SUMIFS(Налоги!AR$25:AR$69,Налоги!$F$25:$F$69,$F246,Налоги!$AB$25:$AB$69,$G246)</f>
        <v>0</v>
      </c>
      <c r="AT246" s="190">
        <f ca="1">SUMIFS(Налоги!AS$25:AS$69,Налоги!$F$25:$F$69,$F246,Налоги!$AB$25:$AB$69,$G246)</f>
        <v>0</v>
      </c>
      <c r="AU246" s="190">
        <f ca="1">SUMIFS(Налоги!AT$25:AT$69,Налоги!$F$25:$F$69,$F246,Налоги!$AB$25:$AB$69,$G246)</f>
        <v>0</v>
      </c>
      <c r="AV246" s="190">
        <f ca="1">SUMIFS(Налоги!AU$25:AU$69,Налоги!$F$25:$F$69,$F246,Налоги!$AB$25:$AB$69,$G246)</f>
        <v>0</v>
      </c>
      <c r="AW246" s="190">
        <f ca="1">SUMIFS(Налоги!AV$25:AV$69,Налоги!$F$25:$F$69,$F246,Налоги!$AB$25:$AB$69,$G246)</f>
        <v>0</v>
      </c>
      <c r="AX246" s="190">
        <f ca="1">SUMIFS(Налоги!AW$25:AW$69,Налоги!$F$25:$F$69,$F246,Налоги!$AB$25:$AB$69,$G246)</f>
        <v>0</v>
      </c>
      <c r="AY246" s="190">
        <f ca="1">SUMIFS(Налоги!AX$25:AX$69,Налоги!$F$25:$F$69,$F246,Налоги!$AB$25:$AB$69,$G246)</f>
        <v>0</v>
      </c>
      <c r="AZ246" s="190">
        <f ca="1">SUMIFS(Налоги!AY$25:AY$69,Налоги!$F$25:$F$69,$F246,Налоги!$AB$25:$AB$69,$G246)</f>
        <v>0</v>
      </c>
      <c r="BA246" s="190">
        <f ca="1">SUMIFS(Налоги!AZ$25:AZ$69,Налоги!$F$25:$F$69,$F246,Налоги!$AB$25:$AB$69,$G246)</f>
        <v>0</v>
      </c>
      <c r="BB246" s="190">
        <f ca="1">SUMIFS(Налоги!BA$25:BA$69,Налоги!$F$25:$F$69,$F246,Налоги!$AB$25:$AB$69,$G246)</f>
        <v>0</v>
      </c>
      <c r="BC246" s="190">
        <f ca="1">SUMIFS(Налоги!BB$25:BB$69,Налоги!$F$25:$F$69,$F246,Налоги!$AB$25:$AB$69,$G246)</f>
        <v>0</v>
      </c>
      <c r="BD246" s="190">
        <f t="shared" ca="1" si="56"/>
        <v>0</v>
      </c>
      <c r="BE246" s="190">
        <f t="shared" ca="1" si="57"/>
        <v>0</v>
      </c>
      <c r="BF246" s="190">
        <f t="shared" ca="1" si="58"/>
        <v>0</v>
      </c>
      <c r="BG246" s="190">
        <f t="shared" ca="1" si="59"/>
        <v>0</v>
      </c>
      <c r="BH246" s="190">
        <f t="shared" ca="1" si="60"/>
        <v>0</v>
      </c>
      <c r="BI246" s="190">
        <f t="shared" ca="1" si="61"/>
        <v>0</v>
      </c>
      <c r="BJ246" s="190">
        <f t="shared" ca="1" si="62"/>
        <v>0</v>
      </c>
      <c r="BK246" s="190">
        <f t="shared" ca="1" si="63"/>
        <v>0</v>
      </c>
      <c r="BL246" s="190">
        <f t="shared" ca="1" si="64"/>
        <v>0</v>
      </c>
      <c r="BM246" s="190">
        <f t="shared" ca="1" si="65"/>
        <v>0</v>
      </c>
      <c r="BN246" s="215"/>
      <c r="BO246" s="610" t="str">
        <f ca="1">IF(IFERROR(INDEX(Налоги!$K$26:$L$69,MATCH($F246&amp;"10komm",Налоги!$K$26:$K$69,0),2),"")=0,"",IFERROR(INDEX(Налоги!$K$26:$L$69,MATCH($F246&amp;"10komm",Налоги!$K$26:$K$69,0),2),""))</f>
        <v/>
      </c>
      <c r="BP246" s="215"/>
      <c r="BS246" s="705" t="s">
        <v>2097</v>
      </c>
    </row>
    <row r="247" spans="2:75" ht="65.25" customHeight="1">
      <c r="C247" s="44"/>
      <c r="D247" s="44"/>
      <c r="E247" s="462">
        <v>67.5</v>
      </c>
      <c r="F247" s="3" t="str" cm="1">
        <f t="array" aca="1" ref="F247" ca="1">OFFSET(E247,-1,1)</f>
        <v>1</v>
      </c>
      <c r="G247" s="44" t="s">
        <v>1445</v>
      </c>
      <c r="H247" s="44"/>
      <c r="I247" s="44" t="s">
        <v>919</v>
      </c>
      <c r="J247" s="44"/>
      <c r="K247" s="91" t="s">
        <v>919</v>
      </c>
      <c r="L247" s="44"/>
      <c r="M247" s="44"/>
      <c r="N247" s="44"/>
      <c r="O247" s="44"/>
      <c r="P247" s="44"/>
      <c r="Q247" s="44"/>
      <c r="R247" s="44"/>
      <c r="S247" s="44"/>
      <c r="T247" s="365" t="b" cm="1">
        <f t="array" aca="1" ref="T247" ca="1">T246</f>
        <v>1</v>
      </c>
      <c r="U247" s="44"/>
      <c r="V247" s="44"/>
      <c r="W247" s="44"/>
      <c r="X247" s="1094"/>
      <c r="Z247" s="1065"/>
      <c r="AB247" s="26" t="s">
        <v>920</v>
      </c>
      <c r="AC247" s="560" t="s">
        <v>1448</v>
      </c>
      <c r="AD247" s="26" t="s">
        <v>804</v>
      </c>
      <c r="AE247" s="160"/>
      <c r="AF247" s="160"/>
      <c r="AG247" s="160"/>
      <c r="AH247" s="190">
        <f t="shared" si="54"/>
        <v>0</v>
      </c>
      <c r="AI247" s="160"/>
      <c r="AJ247" s="160"/>
      <c r="AK247" s="790"/>
      <c r="AL247" s="790"/>
      <c r="AM247" s="790"/>
      <c r="AN247" s="790"/>
      <c r="AO247" s="790"/>
      <c r="AP247" s="790"/>
      <c r="AQ247" s="790"/>
      <c r="AR247" s="790"/>
      <c r="AS247" s="790"/>
      <c r="AT247" s="160"/>
      <c r="AU247" s="790"/>
      <c r="AV247" s="790"/>
      <c r="AW247" s="790"/>
      <c r="AX247" s="790"/>
      <c r="AY247" s="790"/>
      <c r="AZ247" s="790"/>
      <c r="BA247" s="790"/>
      <c r="BB247" s="790"/>
      <c r="BC247" s="790"/>
      <c r="BD247" s="190">
        <f t="shared" si="56"/>
        <v>0</v>
      </c>
      <c r="BE247" s="190">
        <f t="shared" si="57"/>
        <v>0</v>
      </c>
      <c r="BF247" s="190">
        <f t="shared" si="58"/>
        <v>0</v>
      </c>
      <c r="BG247" s="190">
        <f t="shared" si="59"/>
        <v>0</v>
      </c>
      <c r="BH247" s="190">
        <f t="shared" si="60"/>
        <v>0</v>
      </c>
      <c r="BI247" s="190">
        <f t="shared" si="61"/>
        <v>0</v>
      </c>
      <c r="BJ247" s="190">
        <f t="shared" si="62"/>
        <v>0</v>
      </c>
      <c r="BK247" s="190">
        <f t="shared" si="63"/>
        <v>0</v>
      </c>
      <c r="BL247" s="190">
        <f t="shared" si="64"/>
        <v>0</v>
      </c>
      <c r="BM247" s="190">
        <f t="shared" si="65"/>
        <v>0</v>
      </c>
      <c r="BN247" s="215"/>
      <c r="BO247" s="215"/>
      <c r="BP247" s="215"/>
      <c r="BS247" s="705" t="s">
        <v>2098</v>
      </c>
    </row>
    <row r="248" spans="2:75" ht="14.25" customHeight="1">
      <c r="C248" s="44"/>
      <c r="D248" s="44"/>
      <c r="E248" s="462">
        <v>15</v>
      </c>
      <c r="F248" s="3" t="str" cm="1">
        <f t="array" aca="1" ref="F248" ca="1">OFFSET(E248,-1,1)</f>
        <v>1</v>
      </c>
      <c r="G248" s="44" t="s">
        <v>999</v>
      </c>
      <c r="H248" s="44"/>
      <c r="I248" s="44" t="s">
        <v>922</v>
      </c>
      <c r="J248" s="44"/>
      <c r="K248" s="91" t="s">
        <v>922</v>
      </c>
      <c r="L248" s="44" t="s">
        <v>511</v>
      </c>
      <c r="M248" s="44"/>
      <c r="N248" s="44"/>
      <c r="O248" s="44"/>
      <c r="P248" s="44"/>
      <c r="Q248" s="44"/>
      <c r="R248" s="44"/>
      <c r="S248" s="44"/>
      <c r="T248" s="365" t="b" cm="1">
        <f t="array" aca="1" ref="T248" ca="1">T247</f>
        <v>1</v>
      </c>
      <c r="U248" s="44"/>
      <c r="V248" s="44"/>
      <c r="W248" s="44"/>
      <c r="X248" s="1094"/>
      <c r="Z248" s="1065"/>
      <c r="AB248" s="26" t="s">
        <v>923</v>
      </c>
      <c r="AC248" s="146" t="s">
        <v>999</v>
      </c>
      <c r="AD248" s="26" t="s">
        <v>804</v>
      </c>
      <c r="AE248" s="190">
        <f ca="1">SUMIFS(Аренда!AE$25:AE$57,Аренда!$F$25:$F$57,$F248,Аренда!$G$25:$G$57,"Арендная и концессионная плата, лизинговые платежи")</f>
        <v>127.74816432</v>
      </c>
      <c r="AF248" s="190">
        <f ca="1">SUMIFS(Аренда!AF$25:AF$57,Аренда!$F$25:$F$57,$F248,Аренда!$G$25:$G$57,"Арендная и концессионная плата, лизинговые платежи")</f>
        <v>555.94000000000005</v>
      </c>
      <c r="AG248" s="190">
        <f ca="1">SUMIFS(Аренда!AG$25:AG$57,Аренда!$F$25:$F$57,$F248,Аренда!$G$25:$G$57,"Арендная и концессионная плата, лизинговые платежи")</f>
        <v>127.75</v>
      </c>
      <c r="AH248" s="190">
        <f t="shared" ca="1" si="54"/>
        <v>-428.19000000000005</v>
      </c>
      <c r="AI248" s="190">
        <f ca="1">SUMIFS(Аренда!AH$25:AH$57,Аренда!$F$25:$F$57,$F248,Аренда!$G$25:$G$57,"Арендная и концессионная плата, лизинговые платежи")</f>
        <v>330.38816431999999</v>
      </c>
      <c r="AJ248" s="190">
        <f ca="1">SUMIFS(Аренда!AI$25:AI$57,Аренда!$F$25:$F$57,$F248,Аренда!$G$25:$G$57,"Арендная и концессионная плата, лизинговые платежи")</f>
        <v>555.94000000000005</v>
      </c>
      <c r="AK248" s="190">
        <f ca="1">SUMIFS(Аренда!AJ$25:AJ$57,Аренда!$F$25:$F$57,$F248,Аренда!$G$25:$G$57,"Арендная и концессионная плата, лизинговые платежи")</f>
        <v>0</v>
      </c>
      <c r="AL248" s="190">
        <f ca="1">SUMIFS(Аренда!AK$25:AK$57,Аренда!$F$25:$F$57,$F248,Аренда!$G$25:$G$57,"Арендная и концессионная плата, лизинговые платежи")</f>
        <v>0</v>
      </c>
      <c r="AM248" s="190">
        <f ca="1">SUMIFS(Аренда!AL$25:AL$57,Аренда!$F$25:$F$57,$F248,Аренда!$G$25:$G$57,"Арендная и концессионная плата, лизинговые платежи")</f>
        <v>0</v>
      </c>
      <c r="AN248" s="190">
        <f ca="1">SUMIFS(Аренда!AM$25:AM$57,Аренда!$F$25:$F$57,$F248,Аренда!$G$25:$G$57,"Арендная и концессионная плата, лизинговые платежи")</f>
        <v>0</v>
      </c>
      <c r="AO248" s="190">
        <f ca="1">SUMIFS(Аренда!AN$25:AN$57,Аренда!$F$25:$F$57,$F248,Аренда!$G$25:$G$57,"Арендная и концессионная плата, лизинговые платежи")</f>
        <v>0</v>
      </c>
      <c r="AP248" s="190">
        <f ca="1">SUMIFS(Аренда!AO$25:AO$57,Аренда!$F$25:$F$57,$F248,Аренда!$G$25:$G$57,"Арендная и концессионная плата, лизинговые платежи")</f>
        <v>0</v>
      </c>
      <c r="AQ248" s="190">
        <f ca="1">SUMIFS(Аренда!AP$25:AP$57,Аренда!$F$25:$F$57,$F248,Аренда!$G$25:$G$57,"Арендная и концессионная плата, лизинговые платежи")</f>
        <v>0</v>
      </c>
      <c r="AR248" s="190">
        <f ca="1">SUMIFS(Аренда!AQ$25:AQ$57,Аренда!$F$25:$F$57,$F248,Аренда!$G$25:$G$57,"Арендная и концессионная плата, лизинговые платежи")</f>
        <v>0</v>
      </c>
      <c r="AS248" s="190">
        <f ca="1">SUMIFS(Аренда!AR$25:AR$57,Аренда!$F$25:$F$57,$F248,Аренда!$G$25:$G$57,"Арендная и концессионная плата, лизинговые платежи")</f>
        <v>0</v>
      </c>
      <c r="AT248" s="190">
        <f ca="1">SUMIFS(Аренда!AS$25:AS$57,Аренда!$F$25:$F$57,$F248,Аренда!$G$25:$G$57,"Арендная и концессионная плата, лизинговые платежи")</f>
        <v>127.75</v>
      </c>
      <c r="AU248" s="190">
        <f ca="1">SUMIFS(Аренда!AT$25:AT$57,Аренда!$F$25:$F$57,$F248,Аренда!$G$25:$G$57,"Арендная и концессионная плата, лизинговые платежи")</f>
        <v>0</v>
      </c>
      <c r="AV248" s="190">
        <f ca="1">SUMIFS(Аренда!AU$25:AU$57,Аренда!$F$25:$F$57,$F248,Аренда!$G$25:$G$57,"Арендная и концессионная плата, лизинговые платежи")</f>
        <v>0</v>
      </c>
      <c r="AW248" s="190">
        <f ca="1">SUMIFS(Аренда!AV$25:AV$57,Аренда!$F$25:$F$57,$F248,Аренда!$G$25:$G$57,"Арендная и концессионная плата, лизинговые платежи")</f>
        <v>0</v>
      </c>
      <c r="AX248" s="190">
        <f ca="1">SUMIFS(Аренда!AW$25:AW$57,Аренда!$F$25:$F$57,$F248,Аренда!$G$25:$G$57,"Арендная и концессионная плата, лизинговые платежи")</f>
        <v>0</v>
      </c>
      <c r="AY248" s="190">
        <f ca="1">SUMIFS(Аренда!AX$25:AX$57,Аренда!$F$25:$F$57,$F248,Аренда!$G$25:$G$57,"Арендная и концессионная плата, лизинговые платежи")</f>
        <v>0</v>
      </c>
      <c r="AZ248" s="190">
        <f ca="1">SUMIFS(Аренда!AY$25:AY$57,Аренда!$F$25:$F$57,$F248,Аренда!$G$25:$G$57,"Арендная и концессионная плата, лизинговые платежи")</f>
        <v>0</v>
      </c>
      <c r="BA248" s="190">
        <f ca="1">SUMIFS(Аренда!AZ$25:AZ$57,Аренда!$F$25:$F$57,$F248,Аренда!$G$25:$G$57,"Арендная и концессионная плата, лизинговые платежи")</f>
        <v>0</v>
      </c>
      <c r="BB248" s="190">
        <f ca="1">SUMIFS(Аренда!BA$25:BA$57,Аренда!$F$25:$F$57,$F248,Аренда!$G$25:$G$57,"Арендная и концессионная плата, лизинговые платежи")</f>
        <v>0</v>
      </c>
      <c r="BC248" s="190">
        <f ca="1">SUMIFS(Аренда!BB$25:BB$57,Аренда!$F$25:$F$57,$F248,Аренда!$G$25:$G$57,"Арендная и концессионная плата, лизинговые платежи")</f>
        <v>0</v>
      </c>
      <c r="BD248" s="190">
        <f t="shared" ca="1" si="56"/>
        <v>-61.333360635683441</v>
      </c>
      <c r="BE248" s="190">
        <f t="shared" ca="1" si="57"/>
        <v>-100</v>
      </c>
      <c r="BF248" s="190">
        <f t="shared" ca="1" si="58"/>
        <v>0</v>
      </c>
      <c r="BG248" s="190">
        <f t="shared" ca="1" si="59"/>
        <v>0</v>
      </c>
      <c r="BH248" s="190">
        <f t="shared" ca="1" si="60"/>
        <v>0</v>
      </c>
      <c r="BI248" s="190">
        <f t="shared" ca="1" si="61"/>
        <v>0</v>
      </c>
      <c r="BJ248" s="190">
        <f t="shared" ca="1" si="62"/>
        <v>0</v>
      </c>
      <c r="BK248" s="190">
        <f t="shared" ca="1" si="63"/>
        <v>0</v>
      </c>
      <c r="BL248" s="190">
        <f t="shared" ca="1" si="64"/>
        <v>0</v>
      </c>
      <c r="BM248" s="190">
        <f t="shared" ca="1" si="65"/>
        <v>0</v>
      </c>
      <c r="BN248" s="215"/>
      <c r="BO248" s="610" t="str">
        <f ca="1">IF(IFERROR(INDEX(Аренда!$K$26:$L$57,MATCH($F248&amp;"komm",Аренда!$K$26:$K$57,0),2),"")=0,"",IFERROR(INDEX(Аренда!$K$26:$L$57,MATCH($F248&amp;"komm",Аренда!$K$26:$K$57,0),2),""))</f>
        <v/>
      </c>
      <c r="BP248" s="215"/>
      <c r="BS248" s="705" t="s">
        <v>2099</v>
      </c>
    </row>
    <row r="249" spans="2:75" ht="14.25" customHeight="1">
      <c r="B249" s="341" t="b">
        <f>STATUS_GO="да"</f>
        <v>0</v>
      </c>
      <c r="C249" s="44"/>
      <c r="D249" s="44"/>
      <c r="E249" s="462">
        <v>15</v>
      </c>
      <c r="F249" s="3" t="str" cm="1">
        <f t="array" aca="1" ref="F249" ca="1">OFFSET(E249,-1,1)</f>
        <v>1</v>
      </c>
      <c r="G249" s="44"/>
      <c r="H249" s="44"/>
      <c r="I249" s="44" t="s">
        <v>2100</v>
      </c>
      <c r="J249" s="44"/>
      <c r="K249" s="91" t="s">
        <v>2100</v>
      </c>
      <c r="L249" s="44"/>
      <c r="M249" s="44"/>
      <c r="N249" s="44"/>
      <c r="O249" s="44"/>
      <c r="P249" s="44"/>
      <c r="Q249" s="44"/>
      <c r="R249" s="44"/>
      <c r="S249" s="44"/>
      <c r="T249" s="365" t="b" cm="1">
        <f t="array" aca="1" ref="T249" ca="1">T248</f>
        <v>1</v>
      </c>
      <c r="U249" s="44"/>
      <c r="V249" s="44"/>
      <c r="W249" s="44"/>
      <c r="X249" s="1094"/>
      <c r="Z249" s="1065"/>
      <c r="AB249" s="26" t="s">
        <v>1512</v>
      </c>
      <c r="AC249" s="146" t="s">
        <v>2101</v>
      </c>
      <c r="AD249" s="26" t="s">
        <v>804</v>
      </c>
      <c r="AE249" s="147" cm="1">
        <f t="array" aca="1" ref="AE249" ca="1">AE250</f>
        <v>0</v>
      </c>
      <c r="AF249" s="147" cm="1">
        <f t="array" aca="1" ref="AF249" ca="1">AF250</f>
        <v>0</v>
      </c>
      <c r="AG249" s="147" cm="1">
        <f t="array" aca="1" ref="AG249" ca="1">AG250</f>
        <v>0</v>
      </c>
      <c r="AH249" s="190">
        <f t="shared" ca="1" si="54"/>
        <v>0</v>
      </c>
      <c r="AI249" s="147" cm="1">
        <f t="array" aca="1" ref="AI249" ca="1">AI250</f>
        <v>0</v>
      </c>
      <c r="AJ249" s="147" cm="1">
        <f t="array" aca="1" ref="AJ249" ca="1">AJ250</f>
        <v>0</v>
      </c>
      <c r="AK249" s="787" cm="1">
        <f t="array" ref="AK249">AK250</f>
        <v>0</v>
      </c>
      <c r="AL249" s="787" cm="1">
        <f t="array" ref="AL249">AL250</f>
        <v>0</v>
      </c>
      <c r="AM249" s="787" cm="1">
        <f t="array" ref="AM249">AM250</f>
        <v>0</v>
      </c>
      <c r="AN249" s="787" cm="1">
        <f t="array" ref="AN249">AN250</f>
        <v>0</v>
      </c>
      <c r="AO249" s="787" cm="1">
        <f t="array" ref="AO249">AO250</f>
        <v>0</v>
      </c>
      <c r="AP249" s="787" cm="1">
        <f t="array" ref="AP249">AP250</f>
        <v>0</v>
      </c>
      <c r="AQ249" s="787" cm="1">
        <f t="array" ref="AQ249">AQ250</f>
        <v>0</v>
      </c>
      <c r="AR249" s="787" cm="1">
        <f t="array" ref="AR249">AR250</f>
        <v>0</v>
      </c>
      <c r="AS249" s="787" cm="1">
        <f t="array" ref="AS249">AS250</f>
        <v>0</v>
      </c>
      <c r="AT249" s="147" cm="1">
        <f t="array" aca="1" ref="AT249" ca="1">AT250</f>
        <v>0</v>
      </c>
      <c r="AU249" s="787" cm="1">
        <f t="array" ref="AU249">AU250</f>
        <v>0</v>
      </c>
      <c r="AV249" s="787" cm="1">
        <f t="array" ref="AV249">AV250</f>
        <v>0</v>
      </c>
      <c r="AW249" s="787" cm="1">
        <f t="array" ref="AW249">AW250</f>
        <v>0</v>
      </c>
      <c r="AX249" s="787" cm="1">
        <f t="array" ref="AX249">AX250</f>
        <v>0</v>
      </c>
      <c r="AY249" s="787" cm="1">
        <f t="array" ref="AY249">AY250</f>
        <v>0</v>
      </c>
      <c r="AZ249" s="787" cm="1">
        <f t="array" ref="AZ249">AZ250</f>
        <v>0</v>
      </c>
      <c r="BA249" s="787" cm="1">
        <f t="array" ref="BA249">BA250</f>
        <v>0</v>
      </c>
      <c r="BB249" s="787" cm="1">
        <f t="array" ref="BB249">BB250</f>
        <v>0</v>
      </c>
      <c r="BC249" s="787" cm="1">
        <f t="array" ref="BC249">BC250</f>
        <v>0</v>
      </c>
      <c r="BD249" s="190">
        <f t="shared" ca="1" si="56"/>
        <v>0</v>
      </c>
      <c r="BE249" s="190">
        <f t="shared" ca="1" si="57"/>
        <v>0</v>
      </c>
      <c r="BF249" s="190">
        <f t="shared" si="58"/>
        <v>0</v>
      </c>
      <c r="BG249" s="190">
        <f t="shared" si="59"/>
        <v>0</v>
      </c>
      <c r="BH249" s="190">
        <f t="shared" si="60"/>
        <v>0</v>
      </c>
      <c r="BI249" s="190">
        <f t="shared" si="61"/>
        <v>0</v>
      </c>
      <c r="BJ249" s="190">
        <f t="shared" si="62"/>
        <v>0</v>
      </c>
      <c r="BK249" s="190">
        <f t="shared" si="63"/>
        <v>0</v>
      </c>
      <c r="BL249" s="190">
        <f t="shared" si="64"/>
        <v>0</v>
      </c>
      <c r="BM249" s="190">
        <f t="shared" si="65"/>
        <v>0</v>
      </c>
      <c r="BN249" s="215"/>
      <c r="BO249" s="215"/>
      <c r="BP249" s="215"/>
      <c r="BS249" s="705" t="s">
        <v>2102</v>
      </c>
    </row>
    <row r="250" spans="2:75" ht="14.25" customHeight="1">
      <c r="B250" s="341" t="b">
        <f>STATUS_GO="да"</f>
        <v>0</v>
      </c>
      <c r="C250" s="44"/>
      <c r="D250" s="44"/>
      <c r="E250" s="462">
        <v>15</v>
      </c>
      <c r="F250" s="3" t="str" cm="1">
        <f t="array" aca="1" ref="F250" ca="1">OFFSET(E250,-1,1)</f>
        <v>1</v>
      </c>
      <c r="G250" s="44" t="s">
        <v>1454</v>
      </c>
      <c r="H250" s="44"/>
      <c r="I250" s="44" t="s">
        <v>2103</v>
      </c>
      <c r="J250" s="44"/>
      <c r="K250" s="91" t="s">
        <v>2103</v>
      </c>
      <c r="L250" s="44"/>
      <c r="M250" s="44"/>
      <c r="N250" s="44"/>
      <c r="O250" s="44"/>
      <c r="P250" s="44"/>
      <c r="Q250" s="44"/>
      <c r="R250" s="44"/>
      <c r="S250" s="44"/>
      <c r="T250" s="365" t="b" cm="1">
        <f t="array" aca="1" ref="T250" ca="1">T249</f>
        <v>1</v>
      </c>
      <c r="U250" s="44"/>
      <c r="V250" s="44"/>
      <c r="W250" s="44"/>
      <c r="X250" s="1094"/>
      <c r="Z250" s="1065"/>
      <c r="AB250" s="26" t="s">
        <v>2104</v>
      </c>
      <c r="AC250" s="153" t="s">
        <v>1454</v>
      </c>
      <c r="AD250" s="26" t="s">
        <v>804</v>
      </c>
      <c r="AE250" s="190">
        <f ca="1">SUMIFS('Сбытовые расходы ГО'!AE$25:AE$63,'Сбытовые расходы ГО'!$F$25:$F$63,$F250,'Сбытовые расходы ГО'!$G$25:$G$63,"l1")</f>
        <v>0</v>
      </c>
      <c r="AF250" s="190">
        <f ca="1">SUMIFS('Сбытовые расходы ГО'!AF$25:AF$63,'Сбытовые расходы ГО'!$F$25:$F$63,$F250,'Сбытовые расходы ГО'!$G$25:$G$63,"l1")</f>
        <v>0</v>
      </c>
      <c r="AG250" s="190">
        <f ca="1">SUMIFS('Сбытовые расходы ГО'!AG$25:AG$63,'Сбытовые расходы ГО'!$F$25:$F$63,$F250,'Сбытовые расходы ГО'!$G$25:$G$63,"l1")</f>
        <v>0</v>
      </c>
      <c r="AH250" s="190">
        <f t="shared" ca="1" si="54"/>
        <v>0</v>
      </c>
      <c r="AI250" s="190">
        <f ca="1">SUMIFS('Сбытовые расходы ГО'!AH$25:AH$63,'Сбытовые расходы ГО'!$F$25:$F$63,$F250,'Сбытовые расходы ГО'!$G$25:$G$63,"l1")</f>
        <v>0</v>
      </c>
      <c r="AJ250" s="190">
        <f ca="1">SUMIFS('Сбытовые расходы ГО'!AI$25:AI$63,'Сбытовые расходы ГО'!$F$25:$F$63,$F250,'Сбытовые расходы ГО'!$G$25:$G$63,"l1")</f>
        <v>0</v>
      </c>
      <c r="AK250" s="787"/>
      <c r="AL250" s="787"/>
      <c r="AM250" s="787"/>
      <c r="AN250" s="787"/>
      <c r="AO250" s="787"/>
      <c r="AP250" s="787"/>
      <c r="AQ250" s="787"/>
      <c r="AR250" s="787"/>
      <c r="AS250" s="787"/>
      <c r="AT250" s="190">
        <f ca="1">SUMIFS('Сбытовые расходы ГО'!AJ$25:AJ$63,'Сбытовые расходы ГО'!$F$25:$F$63,$F250,'Сбытовые расходы ГО'!$G$25:$G$63,"l1")</f>
        <v>0</v>
      </c>
      <c r="AU250" s="787"/>
      <c r="AV250" s="787"/>
      <c r="AW250" s="787"/>
      <c r="AX250" s="787"/>
      <c r="AY250" s="787"/>
      <c r="AZ250" s="787"/>
      <c r="BA250" s="787"/>
      <c r="BB250" s="787"/>
      <c r="BC250" s="787"/>
      <c r="BD250" s="190">
        <f t="shared" ca="1" si="56"/>
        <v>0</v>
      </c>
      <c r="BE250" s="190">
        <f t="shared" ca="1" si="57"/>
        <v>0</v>
      </c>
      <c r="BF250" s="190">
        <f t="shared" si="58"/>
        <v>0</v>
      </c>
      <c r="BG250" s="190">
        <f t="shared" si="59"/>
        <v>0</v>
      </c>
      <c r="BH250" s="190">
        <f t="shared" si="60"/>
        <v>0</v>
      </c>
      <c r="BI250" s="190">
        <f t="shared" si="61"/>
        <v>0</v>
      </c>
      <c r="BJ250" s="190">
        <f t="shared" si="62"/>
        <v>0</v>
      </c>
      <c r="BK250" s="190">
        <f t="shared" si="63"/>
        <v>0</v>
      </c>
      <c r="BL250" s="190">
        <f t="shared" si="64"/>
        <v>0</v>
      </c>
      <c r="BM250" s="190">
        <f t="shared" si="65"/>
        <v>0</v>
      </c>
      <c r="BN250" s="215"/>
      <c r="BO250" s="610" t="str">
        <f ca="1">IF(IFERROR(INDEX('Сбытовые расходы ГО'!$K$26:$M$63,MATCH($F250&amp;"komm",'Сбытовые расходы ГО'!$K$26:$K$63,0),2),"")=0,"",IFERROR(INDEX('Сбытовые расходы ГО'!$K$26:$M$63,MATCH($F250&amp;"komm",'Сбытовые расходы ГО'!$K$26:$K$63,0),2),""))</f>
        <v/>
      </c>
      <c r="BP250" s="215"/>
      <c r="BS250" s="705" t="s">
        <v>2105</v>
      </c>
    </row>
    <row r="251" spans="2:75" ht="14.25" customHeight="1">
      <c r="C251" s="44"/>
      <c r="D251" s="44"/>
      <c r="E251" s="462">
        <v>15</v>
      </c>
      <c r="F251" s="3" t="str" cm="1">
        <f t="array" aca="1" ref="F251" ca="1">OFFSET(E251,-1,1)</f>
        <v>1</v>
      </c>
      <c r="G251" s="44" t="s">
        <v>1459</v>
      </c>
      <c r="H251" s="44"/>
      <c r="I251" s="44" t="s">
        <v>2106</v>
      </c>
      <c r="J251" s="44"/>
      <c r="K251" s="91" t="s">
        <v>2106</v>
      </c>
      <c r="L251" s="44"/>
      <c r="M251" s="44"/>
      <c r="N251" s="44"/>
      <c r="O251" s="44"/>
      <c r="P251" s="44"/>
      <c r="Q251" s="44"/>
      <c r="R251" s="44"/>
      <c r="S251" s="44"/>
      <c r="T251" s="365" t="b" cm="1">
        <f t="array" aca="1" ref="T251" ca="1">T250</f>
        <v>1</v>
      </c>
      <c r="U251" s="44"/>
      <c r="V251" s="44"/>
      <c r="W251" s="44"/>
      <c r="X251" s="1094"/>
      <c r="Z251" s="1065"/>
      <c r="AB251" s="26" t="s">
        <v>1517</v>
      </c>
      <c r="AC251" s="146" t="s">
        <v>1459</v>
      </c>
      <c r="AD251" s="26" t="s">
        <v>804</v>
      </c>
      <c r="AE251" s="147"/>
      <c r="AF251" s="147"/>
      <c r="AG251" s="147"/>
      <c r="AH251" s="190">
        <f t="shared" si="54"/>
        <v>0</v>
      </c>
      <c r="AI251" s="147"/>
      <c r="AJ251" s="147">
        <f ca="1">SUMIFS(Экономия_корр!AE$25:AE$51,Экономия_корр!$F$25:$F$51,$F251,Экономия_корр!$AC$25:$AC$51,"Экономия расходов с учетом ИПЦ")</f>
        <v>0</v>
      </c>
      <c r="AK251" s="787">
        <f ca="1">SUMIFS(Экономия_корр!AF$25:AF$51,Экономия_корр!$F$25:$F$51,$F251,Экономия_корр!$AC$25:$AC$51,"Экономия расходов с учетом ИПЦ")</f>
        <v>0</v>
      </c>
      <c r="AL251" s="787">
        <f ca="1">SUMIFS(Экономия_корр!AG$25:AG$51,Экономия_корр!$F$25:$F$51,$F251,Экономия_корр!$AC$25:$AC$51,"Экономия расходов с учетом ИПЦ")</f>
        <v>0</v>
      </c>
      <c r="AM251" s="787">
        <f ca="1">SUMIFS(Экономия_корр!AH$25:AH$51,Экономия_корр!$F$25:$F$51,$F251,Экономия_корр!$AC$25:$AC$51,"Экономия расходов с учетом ИПЦ")</f>
        <v>0</v>
      </c>
      <c r="AN251" s="787">
        <f ca="1">SUMIFS(Экономия_корр!AI$25:AI$51,Экономия_корр!$F$25:$F$51,$F251,Экономия_корр!$AC$25:$AC$51,"Экономия расходов с учетом ИПЦ")</f>
        <v>0</v>
      </c>
      <c r="AO251" s="787">
        <f ca="1">SUMIFS(Экономия_корр!AJ$25:AJ$51,Экономия_корр!$F$25:$F$51,$F251,Экономия_корр!$AC$25:$AC$51,"Экономия расходов с учетом ИПЦ")</f>
        <v>0</v>
      </c>
      <c r="AP251" s="787">
        <f ca="1">SUMIFS(Экономия_корр!AK$25:AK$51,Экономия_корр!$F$25:$F$51,$F251,Экономия_корр!$AC$25:$AC$51,"Экономия расходов с учетом ИПЦ")</f>
        <v>0</v>
      </c>
      <c r="AQ251" s="787">
        <f ca="1">SUMIFS(Экономия_корр!AL$25:AL$51,Экономия_корр!$F$25:$F$51,$F251,Экономия_корр!$AC$25:$AC$51,"Экономия расходов с учетом ИПЦ")</f>
        <v>0</v>
      </c>
      <c r="AR251" s="787">
        <f ca="1">SUMIFS(Экономия_корр!AM$25:AM$51,Экономия_корр!$F$25:$F$51,$F251,Экономия_корр!$AC$25:$AC$51,"Экономия расходов с учетом ИПЦ")</f>
        <v>0</v>
      </c>
      <c r="AS251" s="787">
        <f ca="1">SUMIFS(Экономия_корр!AN$25:AN$51,Экономия_корр!$F$25:$F$51,$F251,Экономия_корр!$AC$25:$AC$51,"Экономия расходов с учетом ИПЦ")</f>
        <v>0</v>
      </c>
      <c r="AT251" s="147">
        <f ca="1">SUMIFS(Экономия_корр!AO$25:AO$51,Экономия_корр!$F$25:$F$51,$F251,Экономия_корр!$AC$25:$AC$51,"Экономия расходов с учетом ИПЦ")</f>
        <v>0</v>
      </c>
      <c r="AU251" s="787">
        <f ca="1">SUMIFS(Экономия_корр!AP$25:AP$51,Экономия_корр!$F$25:$F$51,$F251,Экономия_корр!$AC$25:$AC$51,"Экономия расходов с учетом ИПЦ")</f>
        <v>0</v>
      </c>
      <c r="AV251" s="787">
        <f ca="1">SUMIFS(Экономия_корр!AQ$25:AQ$51,Экономия_корр!$F$25:$F$51,$F251,Экономия_корр!$AC$25:$AC$51,"Экономия расходов с учетом ИПЦ")</f>
        <v>0</v>
      </c>
      <c r="AW251" s="787">
        <f ca="1">SUMIFS(Экономия_корр!AR$25:AR$51,Экономия_корр!$F$25:$F$51,$F251,Экономия_корр!$AC$25:$AC$51,"Экономия расходов с учетом ИПЦ")</f>
        <v>0</v>
      </c>
      <c r="AX251" s="787">
        <f ca="1">SUMIFS(Экономия_корр!AS$25:AS$51,Экономия_корр!$F$25:$F$51,$F251,Экономия_корр!$AC$25:$AC$51,"Экономия расходов с учетом ИПЦ")</f>
        <v>0</v>
      </c>
      <c r="AY251" s="787">
        <f ca="1">SUMIFS(Экономия_корр!AT$25:AT$51,Экономия_корр!$F$25:$F$51,$F251,Экономия_корр!$AC$25:$AC$51,"Экономия расходов с учетом ИПЦ")</f>
        <v>0</v>
      </c>
      <c r="AZ251" s="787">
        <f ca="1">SUMIFS(Экономия_корр!AU$25:AU$51,Экономия_корр!$F$25:$F$51,$F251,Экономия_корр!$AC$25:$AC$51,"Экономия расходов с учетом ИПЦ")</f>
        <v>0</v>
      </c>
      <c r="BA251" s="787">
        <f ca="1">SUMIFS(Экономия_корр!AV$25:AV$51,Экономия_корр!$F$25:$F$51,$F251,Экономия_корр!$AC$25:$AC$51,"Экономия расходов с учетом ИПЦ")</f>
        <v>0</v>
      </c>
      <c r="BB251" s="787">
        <f ca="1">SUMIFS(Экономия_корр!AW$25:AW$51,Экономия_корр!$F$25:$F$51,$F251,Экономия_корр!$AC$25:$AC$51,"Экономия расходов с учетом ИПЦ")</f>
        <v>0</v>
      </c>
      <c r="BC251" s="787">
        <f ca="1">SUMIFS(Экономия_корр!AX$25:AX$51,Экономия_корр!$F$25:$F$51,$F251,Экономия_корр!$AC$25:$AC$51,"Экономия расходов с учетом ИПЦ")</f>
        <v>0</v>
      </c>
      <c r="BD251" s="190">
        <f t="shared" si="56"/>
        <v>0</v>
      </c>
      <c r="BE251" s="190">
        <f t="shared" ca="1" si="57"/>
        <v>0</v>
      </c>
      <c r="BF251" s="190">
        <f t="shared" ca="1" si="58"/>
        <v>0</v>
      </c>
      <c r="BG251" s="190">
        <f t="shared" ca="1" si="59"/>
        <v>0</v>
      </c>
      <c r="BH251" s="190">
        <f t="shared" ca="1" si="60"/>
        <v>0</v>
      </c>
      <c r="BI251" s="190">
        <f t="shared" ca="1" si="61"/>
        <v>0</v>
      </c>
      <c r="BJ251" s="190">
        <f t="shared" ca="1" si="62"/>
        <v>0</v>
      </c>
      <c r="BK251" s="190">
        <f t="shared" ca="1" si="63"/>
        <v>0</v>
      </c>
      <c r="BL251" s="190">
        <f t="shared" ca="1" si="64"/>
        <v>0</v>
      </c>
      <c r="BM251" s="190">
        <f t="shared" ca="1" si="65"/>
        <v>0</v>
      </c>
      <c r="BN251" s="215"/>
      <c r="BO251" s="215"/>
      <c r="BP251" s="215"/>
      <c r="BS251" s="705" t="s">
        <v>2107</v>
      </c>
    </row>
    <row r="252" spans="2:75" ht="14.25" customHeight="1">
      <c r="C252" s="44"/>
      <c r="D252" s="44"/>
      <c r="E252" s="462">
        <v>15</v>
      </c>
      <c r="F252" s="3" t="str" cm="1">
        <f t="array" aca="1" ref="F252" ca="1">OFFSET(E252,-1,1)</f>
        <v>1</v>
      </c>
      <c r="G252" s="44" t="s">
        <v>1464</v>
      </c>
      <c r="H252" s="44"/>
      <c r="I252" s="44" t="s">
        <v>2108</v>
      </c>
      <c r="J252" s="44"/>
      <c r="K252" s="91" t="s">
        <v>2108</v>
      </c>
      <c r="L252" s="44"/>
      <c r="M252" s="44"/>
      <c r="N252" s="44"/>
      <c r="O252" s="44"/>
      <c r="P252" s="44"/>
      <c r="Q252" s="44"/>
      <c r="R252" s="44"/>
      <c r="S252" s="44"/>
      <c r="T252" s="365" t="b" cm="1">
        <f t="array" aca="1" ref="T252" ca="1">T251</f>
        <v>1</v>
      </c>
      <c r="U252" s="44"/>
      <c r="V252" s="44"/>
      <c r="W252" s="44"/>
      <c r="X252" s="1094"/>
      <c r="Z252" s="1065"/>
      <c r="AB252" s="26" t="s">
        <v>2109</v>
      </c>
      <c r="AC252" s="146" t="s">
        <v>1464</v>
      </c>
      <c r="AD252" s="26" t="s">
        <v>804</v>
      </c>
      <c r="AE252" s="147"/>
      <c r="AF252" s="147"/>
      <c r="AG252" s="147"/>
      <c r="AH252" s="190">
        <f t="shared" si="54"/>
        <v>0</v>
      </c>
      <c r="AI252" s="147"/>
      <c r="AJ252" s="147"/>
      <c r="AK252" s="787"/>
      <c r="AL252" s="787"/>
      <c r="AM252" s="787"/>
      <c r="AN252" s="787"/>
      <c r="AO252" s="787"/>
      <c r="AP252" s="787"/>
      <c r="AQ252" s="787"/>
      <c r="AR252" s="787"/>
      <c r="AS252" s="787"/>
      <c r="AT252" s="147"/>
      <c r="AU252" s="787"/>
      <c r="AV252" s="787"/>
      <c r="AW252" s="787"/>
      <c r="AX252" s="787"/>
      <c r="AY252" s="787"/>
      <c r="AZ252" s="787"/>
      <c r="BA252" s="787"/>
      <c r="BB252" s="787"/>
      <c r="BC252" s="787"/>
      <c r="BD252" s="190">
        <f t="shared" si="56"/>
        <v>0</v>
      </c>
      <c r="BE252" s="190">
        <f t="shared" si="57"/>
        <v>0</v>
      </c>
      <c r="BF252" s="190">
        <f t="shared" si="58"/>
        <v>0</v>
      </c>
      <c r="BG252" s="190">
        <f t="shared" si="59"/>
        <v>0</v>
      </c>
      <c r="BH252" s="190">
        <f t="shared" si="60"/>
        <v>0</v>
      </c>
      <c r="BI252" s="190">
        <f t="shared" si="61"/>
        <v>0</v>
      </c>
      <c r="BJ252" s="190">
        <f t="shared" si="62"/>
        <v>0</v>
      </c>
      <c r="BK252" s="190">
        <f t="shared" si="63"/>
        <v>0</v>
      </c>
      <c r="BL252" s="190">
        <f t="shared" si="64"/>
        <v>0</v>
      </c>
      <c r="BM252" s="190">
        <f t="shared" si="65"/>
        <v>0</v>
      </c>
      <c r="BN252" s="215"/>
      <c r="BO252" s="215"/>
      <c r="BP252" s="215"/>
      <c r="BS252" s="705" t="s">
        <v>1838</v>
      </c>
    </row>
    <row r="253" spans="2:75" ht="14.65" customHeight="1">
      <c r="C253" s="44"/>
      <c r="D253" s="44"/>
      <c r="E253" s="462">
        <v>15</v>
      </c>
      <c r="F253" s="3" t="str" cm="1">
        <f t="array" aca="1" ref="F253" ca="1">OFFSET(E253,-1,1)</f>
        <v>1</v>
      </c>
      <c r="G253" s="44" t="s">
        <v>1469</v>
      </c>
      <c r="H253" s="44"/>
      <c r="I253" s="44" t="s">
        <v>2110</v>
      </c>
      <c r="J253" s="44"/>
      <c r="K253" s="91" t="s">
        <v>2110</v>
      </c>
      <c r="L253" s="44"/>
      <c r="M253" s="44"/>
      <c r="N253" s="44"/>
      <c r="O253" s="44"/>
      <c r="P253" s="44"/>
      <c r="Q253" s="44"/>
      <c r="R253" s="44"/>
      <c r="S253" s="44"/>
      <c r="T253" s="365" t="b" cm="1">
        <f t="array" aca="1" ref="T253" ca="1">T252</f>
        <v>1</v>
      </c>
      <c r="U253" s="44"/>
      <c r="V253" s="44"/>
      <c r="W253" s="44"/>
      <c r="X253" s="1094"/>
      <c r="Z253" s="1065"/>
      <c r="AB253" s="26" t="s">
        <v>1536</v>
      </c>
      <c r="AC253" s="146" t="s">
        <v>1469</v>
      </c>
      <c r="AD253" s="26" t="s">
        <v>804</v>
      </c>
      <c r="AE253" s="147"/>
      <c r="AF253" s="147"/>
      <c r="AG253" s="147"/>
      <c r="AH253" s="190">
        <f t="shared" si="54"/>
        <v>0</v>
      </c>
      <c r="AI253" s="147">
        <v>550.3474302958</v>
      </c>
      <c r="AJ253" s="147"/>
      <c r="AK253" s="787"/>
      <c r="AL253" s="787"/>
      <c r="AM253" s="787"/>
      <c r="AN253" s="787"/>
      <c r="AO253" s="787"/>
      <c r="AP253" s="787"/>
      <c r="AQ253" s="787"/>
      <c r="AR253" s="787"/>
      <c r="AS253" s="787"/>
      <c r="AT253" s="147"/>
      <c r="AU253" s="787"/>
      <c r="AV253" s="787"/>
      <c r="AW253" s="787"/>
      <c r="AX253" s="787"/>
      <c r="AY253" s="787"/>
      <c r="AZ253" s="787"/>
      <c r="BA253" s="787"/>
      <c r="BB253" s="787"/>
      <c r="BC253" s="787"/>
      <c r="BD253" s="190">
        <f t="shared" si="56"/>
        <v>-100</v>
      </c>
      <c r="BE253" s="190">
        <f t="shared" si="57"/>
        <v>0</v>
      </c>
      <c r="BF253" s="190">
        <f t="shared" si="58"/>
        <v>0</v>
      </c>
      <c r="BG253" s="190">
        <f t="shared" si="59"/>
        <v>0</v>
      </c>
      <c r="BH253" s="190">
        <f t="shared" si="60"/>
        <v>0</v>
      </c>
      <c r="BI253" s="190">
        <f t="shared" si="61"/>
        <v>0</v>
      </c>
      <c r="BJ253" s="190">
        <f t="shared" si="62"/>
        <v>0</v>
      </c>
      <c r="BK253" s="190">
        <f t="shared" si="63"/>
        <v>0</v>
      </c>
      <c r="BL253" s="190">
        <f t="shared" si="64"/>
        <v>0</v>
      </c>
      <c r="BM253" s="190">
        <f t="shared" si="65"/>
        <v>0</v>
      </c>
      <c r="BN253" s="215"/>
      <c r="BO253" s="215"/>
      <c r="BP253" s="215"/>
      <c r="BS253" s="705" t="s">
        <v>2111</v>
      </c>
    </row>
    <row r="254" spans="2:75" ht="14.25" customHeight="1">
      <c r="C254" s="44"/>
      <c r="D254" s="44"/>
      <c r="E254" s="462">
        <v>15</v>
      </c>
      <c r="F254" s="3" t="str" cm="1">
        <f t="array" aca="1" ref="F254" ca="1">OFFSET(E254,-1,1)</f>
        <v>1</v>
      </c>
      <c r="G254" s="44" t="s">
        <v>1474</v>
      </c>
      <c r="H254" s="44"/>
      <c r="I254" s="44" t="s">
        <v>2112</v>
      </c>
      <c r="J254" s="44"/>
      <c r="K254" s="91" t="s">
        <v>2112</v>
      </c>
      <c r="L254" s="44"/>
      <c r="M254" s="44"/>
      <c r="N254" s="44"/>
      <c r="O254" s="44"/>
      <c r="P254" s="44"/>
      <c r="Q254" s="44"/>
      <c r="R254" s="44"/>
      <c r="S254" s="44"/>
      <c r="T254" s="365" t="b" cm="1">
        <f t="array" aca="1" ref="T254" ca="1">T253</f>
        <v>1</v>
      </c>
      <c r="U254" s="44"/>
      <c r="V254" s="44"/>
      <c r="W254" s="44"/>
      <c r="X254" s="1094"/>
      <c r="Z254" s="1065"/>
      <c r="AB254" s="26" t="s">
        <v>1540</v>
      </c>
      <c r="AC254" s="146" t="s">
        <v>1474</v>
      </c>
      <c r="AD254" s="26" t="s">
        <v>804</v>
      </c>
      <c r="AE254" s="190">
        <f>SUM(AE255,AE256)</f>
        <v>0</v>
      </c>
      <c r="AF254" s="190">
        <f>SUM(AF255,AF256)</f>
        <v>0</v>
      </c>
      <c r="AG254" s="190">
        <f>SUM(AG255,AG256)</f>
        <v>0</v>
      </c>
      <c r="AH254" s="190">
        <f t="shared" si="54"/>
        <v>0</v>
      </c>
      <c r="AI254" s="190">
        <f t="shared" ref="AI254:BC254" si="68">SUM(AI255,AI256)</f>
        <v>0</v>
      </c>
      <c r="AJ254" s="190">
        <f t="shared" si="68"/>
        <v>0</v>
      </c>
      <c r="AK254" s="190">
        <f t="shared" si="68"/>
        <v>0</v>
      </c>
      <c r="AL254" s="190">
        <f t="shared" si="68"/>
        <v>0</v>
      </c>
      <c r="AM254" s="190">
        <f t="shared" si="68"/>
        <v>0</v>
      </c>
      <c r="AN254" s="190">
        <f t="shared" si="68"/>
        <v>0</v>
      </c>
      <c r="AO254" s="190">
        <f t="shared" si="68"/>
        <v>0</v>
      </c>
      <c r="AP254" s="190">
        <f t="shared" si="68"/>
        <v>0</v>
      </c>
      <c r="AQ254" s="190">
        <f t="shared" si="68"/>
        <v>0</v>
      </c>
      <c r="AR254" s="190">
        <f t="shared" si="68"/>
        <v>0</v>
      </c>
      <c r="AS254" s="190">
        <f t="shared" si="68"/>
        <v>0</v>
      </c>
      <c r="AT254" s="190">
        <f t="shared" si="68"/>
        <v>0</v>
      </c>
      <c r="AU254" s="190">
        <f t="shared" si="68"/>
        <v>0</v>
      </c>
      <c r="AV254" s="190">
        <f t="shared" si="68"/>
        <v>0</v>
      </c>
      <c r="AW254" s="190">
        <f t="shared" si="68"/>
        <v>0</v>
      </c>
      <c r="AX254" s="190">
        <f t="shared" si="68"/>
        <v>0</v>
      </c>
      <c r="AY254" s="190">
        <f t="shared" si="68"/>
        <v>0</v>
      </c>
      <c r="AZ254" s="190">
        <f t="shared" si="68"/>
        <v>0</v>
      </c>
      <c r="BA254" s="190">
        <f t="shared" si="68"/>
        <v>0</v>
      </c>
      <c r="BB254" s="190">
        <f t="shared" si="68"/>
        <v>0</v>
      </c>
      <c r="BC254" s="190">
        <f t="shared" si="68"/>
        <v>0</v>
      </c>
      <c r="BD254" s="190">
        <f t="shared" si="56"/>
        <v>0</v>
      </c>
      <c r="BE254" s="190">
        <f t="shared" si="57"/>
        <v>0</v>
      </c>
      <c r="BF254" s="190">
        <f t="shared" si="58"/>
        <v>0</v>
      </c>
      <c r="BG254" s="190">
        <f t="shared" si="59"/>
        <v>0</v>
      </c>
      <c r="BH254" s="190">
        <f t="shared" si="60"/>
        <v>0</v>
      </c>
      <c r="BI254" s="190">
        <f t="shared" si="61"/>
        <v>0</v>
      </c>
      <c r="BJ254" s="190">
        <f t="shared" si="62"/>
        <v>0</v>
      </c>
      <c r="BK254" s="190">
        <f t="shared" si="63"/>
        <v>0</v>
      </c>
      <c r="BL254" s="190">
        <f t="shared" si="64"/>
        <v>0</v>
      </c>
      <c r="BM254" s="190">
        <f t="shared" si="65"/>
        <v>0</v>
      </c>
      <c r="BN254" s="215"/>
      <c r="BO254" s="215"/>
      <c r="BP254" s="215"/>
      <c r="BS254" s="705" t="s">
        <v>2113</v>
      </c>
    </row>
    <row r="255" spans="2:75" ht="14.25" customHeight="1">
      <c r="C255" s="44"/>
      <c r="D255" s="44"/>
      <c r="E255" s="462">
        <v>15</v>
      </c>
      <c r="F255" s="3" t="str" cm="1">
        <f t="array" aca="1" ref="F255" ca="1">OFFSET(E255,-1,1)</f>
        <v>1</v>
      </c>
      <c r="G255" s="44"/>
      <c r="H255" s="44"/>
      <c r="I255" s="44" t="s">
        <v>2114</v>
      </c>
      <c r="J255" s="44"/>
      <c r="K255" s="91" t="s">
        <v>2114</v>
      </c>
      <c r="L255" s="44"/>
      <c r="M255" s="44"/>
      <c r="N255" s="44"/>
      <c r="O255" s="44"/>
      <c r="P255" s="44"/>
      <c r="Q255" s="44"/>
      <c r="R255" s="44"/>
      <c r="S255" s="44"/>
      <c r="T255" s="365" t="b" cm="1">
        <f t="array" aca="1" ref="T255" ca="1">T254</f>
        <v>1</v>
      </c>
      <c r="U255" s="44"/>
      <c r="V255" s="44"/>
      <c r="W255" s="44"/>
      <c r="X255" s="1094"/>
      <c r="Z255" s="1065"/>
      <c r="AB255" s="26" t="s">
        <v>2115</v>
      </c>
      <c r="AC255" s="153" t="s">
        <v>2116</v>
      </c>
      <c r="AD255" s="26" t="s">
        <v>804</v>
      </c>
      <c r="AE255" s="147"/>
      <c r="AF255" s="147"/>
      <c r="AG255" s="147"/>
      <c r="AH255" s="190">
        <f t="shared" si="54"/>
        <v>0</v>
      </c>
      <c r="AI255" s="147"/>
      <c r="AJ255" s="147"/>
      <c r="AK255" s="787"/>
      <c r="AL255" s="787"/>
      <c r="AM255" s="787"/>
      <c r="AN255" s="787"/>
      <c r="AO255" s="787"/>
      <c r="AP255" s="787"/>
      <c r="AQ255" s="787"/>
      <c r="AR255" s="787"/>
      <c r="AS255" s="787"/>
      <c r="AT255" s="147"/>
      <c r="AU255" s="787"/>
      <c r="AV255" s="787"/>
      <c r="AW255" s="787"/>
      <c r="AX255" s="787"/>
      <c r="AY255" s="787"/>
      <c r="AZ255" s="787"/>
      <c r="BA255" s="787"/>
      <c r="BB255" s="787"/>
      <c r="BC255" s="787"/>
      <c r="BD255" s="190">
        <f t="shared" si="56"/>
        <v>0</v>
      </c>
      <c r="BE255" s="190">
        <f t="shared" si="57"/>
        <v>0</v>
      </c>
      <c r="BF255" s="190">
        <f t="shared" si="58"/>
        <v>0</v>
      </c>
      <c r="BG255" s="190">
        <f t="shared" si="59"/>
        <v>0</v>
      </c>
      <c r="BH255" s="190">
        <f t="shared" si="60"/>
        <v>0</v>
      </c>
      <c r="BI255" s="190">
        <f t="shared" si="61"/>
        <v>0</v>
      </c>
      <c r="BJ255" s="190">
        <f t="shared" si="62"/>
        <v>0</v>
      </c>
      <c r="BK255" s="190">
        <f t="shared" si="63"/>
        <v>0</v>
      </c>
      <c r="BL255" s="190">
        <f t="shared" si="64"/>
        <v>0</v>
      </c>
      <c r="BM255" s="190">
        <f t="shared" si="65"/>
        <v>0</v>
      </c>
      <c r="BN255" s="215"/>
      <c r="BO255" s="215"/>
      <c r="BP255" s="215"/>
      <c r="BS255" s="705" t="s">
        <v>1262</v>
      </c>
    </row>
    <row r="256" spans="2:75" ht="14.25" customHeight="1">
      <c r="C256" s="44"/>
      <c r="D256" s="44"/>
      <c r="E256" s="462">
        <v>15</v>
      </c>
      <c r="F256" s="3" t="str" cm="1">
        <f t="array" aca="1" ref="F256" ca="1">OFFSET(E256,-1,1)</f>
        <v>1</v>
      </c>
      <c r="G256" s="44"/>
      <c r="H256" s="44"/>
      <c r="I256" s="44" t="s">
        <v>2117</v>
      </c>
      <c r="J256" s="44"/>
      <c r="K256" s="91" t="s">
        <v>2117</v>
      </c>
      <c r="L256" s="44" t="s">
        <v>909</v>
      </c>
      <c r="M256" s="44"/>
      <c r="N256" s="44"/>
      <c r="O256" s="44"/>
      <c r="P256" s="44"/>
      <c r="Q256" s="44"/>
      <c r="R256" s="44"/>
      <c r="S256" s="44"/>
      <c r="T256" s="365" t="b" cm="1">
        <f t="array" aca="1" ref="T256" ca="1">T255</f>
        <v>1</v>
      </c>
      <c r="U256" s="44"/>
      <c r="V256" s="44"/>
      <c r="W256" s="44"/>
      <c r="X256" s="1094"/>
      <c r="Z256" s="1065"/>
      <c r="AB256" s="26" t="s">
        <v>2118</v>
      </c>
      <c r="AC256" s="153" t="s">
        <v>2119</v>
      </c>
      <c r="AD256" s="26" t="s">
        <v>804</v>
      </c>
      <c r="AE256" s="147"/>
      <c r="AF256" s="147"/>
      <c r="AG256" s="147"/>
      <c r="AH256" s="190">
        <f t="shared" si="54"/>
        <v>0</v>
      </c>
      <c r="AI256" s="147"/>
      <c r="AJ256" s="147"/>
      <c r="AK256" s="787"/>
      <c r="AL256" s="787"/>
      <c r="AM256" s="787"/>
      <c r="AN256" s="787"/>
      <c r="AO256" s="787"/>
      <c r="AP256" s="787"/>
      <c r="AQ256" s="787"/>
      <c r="AR256" s="787"/>
      <c r="AS256" s="787"/>
      <c r="AT256" s="147"/>
      <c r="AU256" s="787"/>
      <c r="AV256" s="787"/>
      <c r="AW256" s="787"/>
      <c r="AX256" s="787"/>
      <c r="AY256" s="787"/>
      <c r="AZ256" s="787"/>
      <c r="BA256" s="787"/>
      <c r="BB256" s="787"/>
      <c r="BC256" s="787"/>
      <c r="BD256" s="190">
        <f t="shared" si="56"/>
        <v>0</v>
      </c>
      <c r="BE256" s="190">
        <f t="shared" si="57"/>
        <v>0</v>
      </c>
      <c r="BF256" s="190">
        <f t="shared" si="58"/>
        <v>0</v>
      </c>
      <c r="BG256" s="190">
        <f t="shared" si="59"/>
        <v>0</v>
      </c>
      <c r="BH256" s="190">
        <f t="shared" si="60"/>
        <v>0</v>
      </c>
      <c r="BI256" s="190">
        <f t="shared" si="61"/>
        <v>0</v>
      </c>
      <c r="BJ256" s="190">
        <f t="shared" si="62"/>
        <v>0</v>
      </c>
      <c r="BK256" s="190">
        <f t="shared" si="63"/>
        <v>0</v>
      </c>
      <c r="BL256" s="190">
        <f t="shared" si="64"/>
        <v>0</v>
      </c>
      <c r="BM256" s="190">
        <f t="shared" si="65"/>
        <v>0</v>
      </c>
      <c r="BN256" s="215"/>
      <c r="BO256" s="215"/>
      <c r="BP256" s="215"/>
      <c r="BS256" s="705" t="s">
        <v>2120</v>
      </c>
    </row>
    <row r="257" spans="1:75" ht="21.75" customHeight="1">
      <c r="C257" s="44"/>
      <c r="D257" s="44"/>
      <c r="E257" s="462">
        <v>22.5</v>
      </c>
      <c r="F257" s="3" t="str" cm="1">
        <f t="array" aca="1" ref="F257" ca="1">OFFSET(E257,-1,1)</f>
        <v>1</v>
      </c>
      <c r="G257" s="44" t="s">
        <v>1479</v>
      </c>
      <c r="H257" s="44"/>
      <c r="I257" s="44" t="s">
        <v>2121</v>
      </c>
      <c r="J257" s="44"/>
      <c r="K257" s="91" t="s">
        <v>2121</v>
      </c>
      <c r="L257" s="44"/>
      <c r="M257" s="44"/>
      <c r="N257" s="44"/>
      <c r="O257" s="44"/>
      <c r="P257" s="44"/>
      <c r="Q257" s="44"/>
      <c r="R257" s="44"/>
      <c r="S257" s="44"/>
      <c r="T257" s="365" t="b" cm="1">
        <f t="array" aca="1" ref="T257" ca="1">T256</f>
        <v>1</v>
      </c>
      <c r="U257" s="44"/>
      <c r="V257" s="44"/>
      <c r="W257" s="44"/>
      <c r="X257" s="1094"/>
      <c r="Z257" s="1065"/>
      <c r="AB257" s="26" t="s">
        <v>1543</v>
      </c>
      <c r="AC257" s="146" t="s">
        <v>2122</v>
      </c>
      <c r="AD257" s="26" t="s">
        <v>804</v>
      </c>
      <c r="AE257" s="147"/>
      <c r="AF257" s="147"/>
      <c r="AG257" s="147"/>
      <c r="AH257" s="190">
        <f t="shared" si="54"/>
        <v>0</v>
      </c>
      <c r="AI257" s="147"/>
      <c r="AJ257" s="147"/>
      <c r="AK257" s="787"/>
      <c r="AL257" s="787"/>
      <c r="AM257" s="787"/>
      <c r="AN257" s="787"/>
      <c r="AO257" s="787"/>
      <c r="AP257" s="787"/>
      <c r="AQ257" s="787"/>
      <c r="AR257" s="787"/>
      <c r="AS257" s="787"/>
      <c r="AT257" s="147"/>
      <c r="AU257" s="787"/>
      <c r="AV257" s="787"/>
      <c r="AW257" s="787"/>
      <c r="AX257" s="787"/>
      <c r="AY257" s="787"/>
      <c r="AZ257" s="787"/>
      <c r="BA257" s="787"/>
      <c r="BB257" s="787"/>
      <c r="BC257" s="787"/>
      <c r="BD257" s="190">
        <f t="shared" si="56"/>
        <v>0</v>
      </c>
      <c r="BE257" s="190">
        <f t="shared" si="57"/>
        <v>0</v>
      </c>
      <c r="BF257" s="190">
        <f t="shared" si="58"/>
        <v>0</v>
      </c>
      <c r="BG257" s="190">
        <f t="shared" si="59"/>
        <v>0</v>
      </c>
      <c r="BH257" s="190">
        <f t="shared" si="60"/>
        <v>0</v>
      </c>
      <c r="BI257" s="190">
        <f t="shared" si="61"/>
        <v>0</v>
      </c>
      <c r="BJ257" s="190">
        <f t="shared" si="62"/>
        <v>0</v>
      </c>
      <c r="BK257" s="190">
        <f t="shared" si="63"/>
        <v>0</v>
      </c>
      <c r="BL257" s="190">
        <f t="shared" si="64"/>
        <v>0</v>
      </c>
      <c r="BM257" s="190">
        <f t="shared" si="65"/>
        <v>0</v>
      </c>
      <c r="BN257" s="215"/>
      <c r="BO257" s="215"/>
      <c r="BP257" s="215"/>
      <c r="BS257" s="705" t="s">
        <v>2123</v>
      </c>
    </row>
    <row r="258" spans="1:75" s="950" customFormat="1" ht="96.75" customHeight="1">
      <c r="A258" s="95"/>
      <c r="B258" s="344"/>
      <c r="C258" s="46"/>
      <c r="D258" s="46"/>
      <c r="E258" s="569">
        <v>21</v>
      </c>
      <c r="F258" s="3" t="str" cm="1">
        <f t="array" aca="1" ref="F258" ca="1">OFFSET(E258,-1,1)</f>
        <v>1</v>
      </c>
      <c r="G258" s="44" t="s">
        <v>2124</v>
      </c>
      <c r="H258" s="44"/>
      <c r="I258" s="44" t="s">
        <v>329</v>
      </c>
      <c r="J258" s="46"/>
      <c r="K258" s="91" t="s">
        <v>329</v>
      </c>
      <c r="L258" s="46" t="s">
        <v>1336</v>
      </c>
      <c r="M258" s="46"/>
      <c r="N258" s="46"/>
      <c r="O258" s="46"/>
      <c r="P258" s="46"/>
      <c r="Q258" s="46"/>
      <c r="R258" s="46"/>
      <c r="S258" s="46"/>
      <c r="T258" s="365" t="b" cm="1">
        <f t="array" aca="1" ref="T258" ca="1">T257</f>
        <v>1</v>
      </c>
      <c r="U258" s="46"/>
      <c r="V258" s="46"/>
      <c r="W258" s="46"/>
      <c r="X258" s="1094"/>
      <c r="Y258" s="95"/>
      <c r="Z258" s="1065"/>
      <c r="AA258" s="95"/>
      <c r="AB258" s="143" t="s">
        <v>325</v>
      </c>
      <c r="AC258" s="144" t="s">
        <v>2125</v>
      </c>
      <c r="AD258" s="143" t="s">
        <v>804</v>
      </c>
      <c r="AE258" s="145">
        <f ca="1">SUMIFS(ЭЭ!AE$25:AE$109,ЭЭ!$F$25:$F$109,$F258,ЭЭ!$AC$25:$AC$109,"Всего по тарифу")</f>
        <v>7312.7743869921005</v>
      </c>
      <c r="AF258" s="145">
        <f ca="1">SUMIFS(ЭЭ!AF$25:AF$109,ЭЭ!$F$25:$F$109,$F258,ЭЭ!$AC$25:$AC$109,"Всего по тарифу")</f>
        <v>8020.5199999999995</v>
      </c>
      <c r="AG258" s="145">
        <f ca="1">SUMIFS(ЭЭ!AG$25:AG$109,ЭЭ!$F$25:$F$109,$F258,ЭЭ!$AC$25:$AC$109,"Всего по тарифу")</f>
        <v>7740.74</v>
      </c>
      <c r="AH258" s="145">
        <f t="shared" ca="1" si="54"/>
        <v>-279.77999999999975</v>
      </c>
      <c r="AI258" s="145">
        <f ca="1">SUMIFS(ЭЭ!AH$25:AH$109,ЭЭ!$F$25:$F$109,$F258,ЭЭ!$AC$25:$AC$109,"Всего по тарифу")</f>
        <v>7643.4825164316999</v>
      </c>
      <c r="AJ258" s="145">
        <f ca="1">SUMIFS(ЭЭ!AI$25:AI$109,ЭЭ!$F$25:$F$109,$F258,ЭЭ!$AC$25:$AC$109,"Всего по тарифу")</f>
        <v>9416.4500000000007</v>
      </c>
      <c r="AK258" s="145">
        <f ca="1">SUMIFS(ЭЭ!AJ$25:AJ$109,ЭЭ!$F$25:$F$109,$F258,ЭЭ!$AC$25:$AC$109,"Всего по тарифу")</f>
        <v>0</v>
      </c>
      <c r="AL258" s="145">
        <f ca="1">SUMIFS(ЭЭ!AK$25:AK$109,ЭЭ!$F$25:$F$109,$F258,ЭЭ!$AC$25:$AC$109,"Всего по тарифу")</f>
        <v>0</v>
      </c>
      <c r="AM258" s="145">
        <f ca="1">SUMIFS(ЭЭ!AL$25:AL$109,ЭЭ!$F$25:$F$109,$F258,ЭЭ!$AC$25:$AC$109,"Всего по тарифу")</f>
        <v>0</v>
      </c>
      <c r="AN258" s="145">
        <f ca="1">SUMIFS(ЭЭ!AM$25:AM$109,ЭЭ!$F$25:$F$109,$F258,ЭЭ!$AC$25:$AC$109,"Всего по тарифу")</f>
        <v>0</v>
      </c>
      <c r="AO258" s="145">
        <f ca="1">SUMIFS(ЭЭ!AN$25:AN$109,ЭЭ!$F$25:$F$109,$F258,ЭЭ!$AC$25:$AC$109,"Всего по тарифу")</f>
        <v>0</v>
      </c>
      <c r="AP258" s="145">
        <f ca="1">SUMIFS(ЭЭ!AO$25:AO$109,ЭЭ!$F$25:$F$109,$F258,ЭЭ!$AC$25:$AC$109,"Всего по тарифу")</f>
        <v>0</v>
      </c>
      <c r="AQ258" s="145">
        <f ca="1">SUMIFS(ЭЭ!AP$25:AP$109,ЭЭ!$F$25:$F$109,$F258,ЭЭ!$AC$25:$AC$109,"Всего по тарифу")</f>
        <v>0</v>
      </c>
      <c r="AR258" s="145">
        <f ca="1">SUMIFS(ЭЭ!AQ$25:AQ$109,ЭЭ!$F$25:$F$109,$F258,ЭЭ!$AC$25:$AC$109,"Всего по тарифу")</f>
        <v>0</v>
      </c>
      <c r="AS258" s="145">
        <f ca="1">SUMIFS(ЭЭ!AR$25:AR$109,ЭЭ!$F$25:$F$109,$F258,ЭЭ!$AC$25:$AC$109,"Всего по тарифу")</f>
        <v>0</v>
      </c>
      <c r="AT258" s="145">
        <f ca="1">SUMIFS(ЭЭ!AS$25:AS$109,ЭЭ!$F$25:$F$109,$F258,ЭЭ!$AC$25:$AC$109,"Всего по тарифу")</f>
        <v>9292.8333000000002</v>
      </c>
      <c r="AU258" s="145">
        <f ca="1">SUMIFS(ЭЭ!AT$25:AT$109,ЭЭ!$F$25:$F$109,$F258,ЭЭ!$AC$25:$AC$109,"Всего по тарифу")</f>
        <v>0</v>
      </c>
      <c r="AV258" s="145">
        <f ca="1">SUMIFS(ЭЭ!AU$25:AU$109,ЭЭ!$F$25:$F$109,$F258,ЭЭ!$AC$25:$AC$109,"Всего по тарифу")</f>
        <v>0</v>
      </c>
      <c r="AW258" s="145">
        <f ca="1">SUMIFS(ЭЭ!AV$25:AV$109,ЭЭ!$F$25:$F$109,$F258,ЭЭ!$AC$25:$AC$109,"Всего по тарифу")</f>
        <v>0</v>
      </c>
      <c r="AX258" s="145">
        <f ca="1">SUMIFS(ЭЭ!AW$25:AW$109,ЭЭ!$F$25:$F$109,$F258,ЭЭ!$AC$25:$AC$109,"Всего по тарифу")</f>
        <v>0</v>
      </c>
      <c r="AY258" s="145">
        <f ca="1">SUMIFS(ЭЭ!AX$25:AX$109,ЭЭ!$F$25:$F$109,$F258,ЭЭ!$AC$25:$AC$109,"Всего по тарифу")</f>
        <v>0</v>
      </c>
      <c r="AZ258" s="145">
        <f ca="1">SUMIFS(ЭЭ!AY$25:AY$109,ЭЭ!$F$25:$F$109,$F258,ЭЭ!$AC$25:$AC$109,"Всего по тарифу")</f>
        <v>0</v>
      </c>
      <c r="BA258" s="145">
        <f ca="1">SUMIFS(ЭЭ!AZ$25:AZ$109,ЭЭ!$F$25:$F$109,$F258,ЭЭ!$AC$25:$AC$109,"Всего по тарифу")</f>
        <v>0</v>
      </c>
      <c r="BB258" s="145">
        <f ca="1">SUMIFS(ЭЭ!BA$25:BA$109,ЭЭ!$F$25:$F$109,$F258,ЭЭ!$AC$25:$AC$109,"Всего по тарифу")</f>
        <v>0</v>
      </c>
      <c r="BC258" s="145">
        <f ca="1">SUMIFS(ЭЭ!BB$25:BB$109,ЭЭ!$F$25:$F$109,$F258,ЭЭ!$AC$25:$AC$109,"Всего по тарифу")</f>
        <v>0</v>
      </c>
      <c r="BD258" s="145">
        <f t="shared" ca="1" si="56"/>
        <v>21.578524972387676</v>
      </c>
      <c r="BE258" s="145">
        <f t="shared" ca="1" si="57"/>
        <v>-100</v>
      </c>
      <c r="BF258" s="145">
        <f t="shared" ca="1" si="58"/>
        <v>0</v>
      </c>
      <c r="BG258" s="145">
        <f t="shared" ca="1" si="59"/>
        <v>0</v>
      </c>
      <c r="BH258" s="145">
        <f t="shared" ca="1" si="60"/>
        <v>0</v>
      </c>
      <c r="BI258" s="145">
        <f t="shared" ca="1" si="61"/>
        <v>0</v>
      </c>
      <c r="BJ258" s="145">
        <f t="shared" ca="1" si="62"/>
        <v>0</v>
      </c>
      <c r="BK258" s="145">
        <f t="shared" ca="1" si="63"/>
        <v>0</v>
      </c>
      <c r="BL258" s="145">
        <f t="shared" ca="1" si="64"/>
        <v>0</v>
      </c>
      <c r="BM258" s="145">
        <f t="shared" ca="1" si="65"/>
        <v>0</v>
      </c>
      <c r="BN258" s="215"/>
      <c r="BO258" s="610" t="s">
        <v>2210</v>
      </c>
      <c r="BP258" s="215" t="s">
        <v>2211</v>
      </c>
      <c r="BQ258" s="95"/>
      <c r="BR258" s="95"/>
      <c r="BS258" s="711" t="s">
        <v>1733</v>
      </c>
      <c r="BT258" s="711"/>
      <c r="BU258" s="711"/>
      <c r="BV258" s="522"/>
      <c r="BW258" s="522"/>
    </row>
    <row r="259" spans="1:75" s="950" customFormat="1" ht="96.75" customHeight="1">
      <c r="A259" s="95"/>
      <c r="B259" s="95" t="b">
        <f>method_reg="Метод индексации"</f>
        <v>1</v>
      </c>
      <c r="C259" s="46"/>
      <c r="D259" s="46"/>
      <c r="E259" s="569">
        <v>22.5</v>
      </c>
      <c r="F259" s="3" t="str" cm="1">
        <f t="array" aca="1" ref="F259" ca="1">OFFSET(E259,-1,1)</f>
        <v>1</v>
      </c>
      <c r="G259" s="44" t="s">
        <v>1501</v>
      </c>
      <c r="H259" s="44"/>
      <c r="I259" s="44" t="s">
        <v>331</v>
      </c>
      <c r="J259" s="46"/>
      <c r="K259" s="91"/>
      <c r="L259" s="46" t="s">
        <v>330</v>
      </c>
      <c r="M259" s="46"/>
      <c r="N259" s="46"/>
      <c r="O259" s="46"/>
      <c r="P259" s="46"/>
      <c r="Q259" s="46"/>
      <c r="R259" s="46"/>
      <c r="S259" s="46"/>
      <c r="T259" s="365" t="b" cm="1">
        <f t="array" aca="1" ref="T259" ca="1">T258</f>
        <v>1</v>
      </c>
      <c r="U259" s="46"/>
      <c r="V259" s="46"/>
      <c r="W259" s="46"/>
      <c r="X259" s="1094"/>
      <c r="Y259" s="95"/>
      <c r="Z259" s="1065"/>
      <c r="AA259" s="95"/>
      <c r="AB259" s="143" t="s">
        <v>433</v>
      </c>
      <c r="AC259" s="144" t="s">
        <v>2126</v>
      </c>
      <c r="AD259" s="143" t="s">
        <v>804</v>
      </c>
      <c r="AE259" s="145">
        <f ca="1">SUMIFS(Амортизация!AE$25:AE$174,Амортизация!$F$25:$F$174,$F259,Амортизация!$AC$25:$AC$174,"Сумма амортизационных отчислений")</f>
        <v>424.93</v>
      </c>
      <c r="AF259" s="145">
        <f ca="1">SUMIFS(Амортизация!AF$25:AF$174,Амортизация!$F$25:$F$174,$F259,Амортизация!$AC$25:$AC$174,"Сумма амортизационных отчислений")</f>
        <v>533.19000000000005</v>
      </c>
      <c r="AG259" s="145">
        <f ca="1">SUMIFS(Амортизация!AG$25:AG$174,Амортизация!$F$25:$F$174,$F259,Амортизация!$AC$25:$AC$174,"Сумма амортизационных отчислений")</f>
        <v>533.19000000000005</v>
      </c>
      <c r="AH259" s="145">
        <f t="shared" ca="1" si="54"/>
        <v>0</v>
      </c>
      <c r="AI259" s="145">
        <f ca="1">SUMIFS(Амортизация!AH$25:AH$174,Амортизация!$F$25:$F$174,$F259,Амортизация!$AC$25:$AC$174,"Сумма амортизационных отчислений")</f>
        <v>400.83</v>
      </c>
      <c r="AJ259" s="145">
        <f ca="1">SUMIFS(Амортизация!AI$25:AI$174,Амортизация!$F$25:$F$174,$F259,Амортизация!$AC$25:$AC$174,"Сумма амортизационных отчислений")</f>
        <v>229.66</v>
      </c>
      <c r="AK259" s="145">
        <f ca="1">SUMIFS(Амортизация!AJ$25:AJ$174,Амортизация!$F$25:$F$174,$F259,Амортизация!$AC$25:$AC$174,"Сумма амортизационных отчислений")</f>
        <v>0</v>
      </c>
      <c r="AL259" s="145">
        <f ca="1">SUMIFS(Амортизация!AK$25:AK$174,Амортизация!$F$25:$F$174,$F259,Амортизация!$AC$25:$AC$174,"Сумма амортизационных отчислений")</f>
        <v>0</v>
      </c>
      <c r="AM259" s="145">
        <f ca="1">SUMIFS(Амортизация!AL$25:AL$174,Амортизация!$F$25:$F$174,$F259,Амортизация!$AC$25:$AC$174,"Сумма амортизационных отчислений")</f>
        <v>0</v>
      </c>
      <c r="AN259" s="145">
        <f ca="1">SUMIFS(Амортизация!AM$25:AM$174,Амортизация!$F$25:$F$174,$F259,Амортизация!$AC$25:$AC$174,"Сумма амортизационных отчислений")</f>
        <v>0</v>
      </c>
      <c r="AO259" s="145">
        <f ca="1">SUMIFS(Амортизация!AN$25:AN$174,Амортизация!$F$25:$F$174,$F259,Амортизация!$AC$25:$AC$174,"Сумма амортизационных отчислений")</f>
        <v>0</v>
      </c>
      <c r="AP259" s="145">
        <f ca="1">SUMIFS(Амортизация!AO$25:AO$174,Амортизация!$F$25:$F$174,$F259,Амортизация!$AC$25:$AC$174,"Сумма амортизационных отчислений")</f>
        <v>0</v>
      </c>
      <c r="AQ259" s="145">
        <f ca="1">SUMIFS(Амортизация!AP$25:AP$174,Амортизация!$F$25:$F$174,$F259,Амортизация!$AC$25:$AC$174,"Сумма амортизационных отчислений")</f>
        <v>0</v>
      </c>
      <c r="AR259" s="145">
        <f ca="1">SUMIFS(Амортизация!AQ$25:AQ$174,Амортизация!$F$25:$F$174,$F259,Амортизация!$AC$25:$AC$174,"Сумма амортизационных отчислений")</f>
        <v>0</v>
      </c>
      <c r="AS259" s="145">
        <f ca="1">SUMIFS(Амортизация!AR$25:AR$174,Амортизация!$F$25:$F$174,$F259,Амортизация!$AC$25:$AC$174,"Сумма амортизационных отчислений")</f>
        <v>0</v>
      </c>
      <c r="AT259" s="145">
        <f ca="1">SUMIFS(Амортизация!AS$25:AS$174,Амортизация!$F$25:$F$174,$F259,Амортизация!$AC$25:$AC$174,"Сумма амортизационных отчислений")</f>
        <v>229.66</v>
      </c>
      <c r="AU259" s="145">
        <f ca="1">SUMIFS(Амортизация!AT$25:AT$174,Амортизация!$F$25:$F$174,$F259,Амортизация!$AC$25:$AC$174,"Сумма амортизационных отчислений")</f>
        <v>0</v>
      </c>
      <c r="AV259" s="145">
        <f ca="1">SUMIFS(Амортизация!AU$25:AU$174,Амортизация!$F$25:$F$174,$F259,Амортизация!$AC$25:$AC$174,"Сумма амортизационных отчислений")</f>
        <v>0</v>
      </c>
      <c r="AW259" s="145">
        <f ca="1">SUMIFS(Амортизация!AV$25:AV$174,Амортизация!$F$25:$F$174,$F259,Амортизация!$AC$25:$AC$174,"Сумма амортизационных отчислений")</f>
        <v>0</v>
      </c>
      <c r="AX259" s="145">
        <f ca="1">SUMIFS(Амортизация!AW$25:AW$174,Амортизация!$F$25:$F$174,$F259,Амортизация!$AC$25:$AC$174,"Сумма амортизационных отчислений")</f>
        <v>0</v>
      </c>
      <c r="AY259" s="145">
        <f ca="1">SUMIFS(Амортизация!AX$25:AX$174,Амортизация!$F$25:$F$174,$F259,Амортизация!$AC$25:$AC$174,"Сумма амортизационных отчислений")</f>
        <v>0</v>
      </c>
      <c r="AZ259" s="145">
        <f ca="1">SUMIFS(Амортизация!AY$25:AY$174,Амортизация!$F$25:$F$174,$F259,Амортизация!$AC$25:$AC$174,"Сумма амортизационных отчислений")</f>
        <v>0</v>
      </c>
      <c r="BA259" s="145">
        <f ca="1">SUMIFS(Амортизация!AZ$25:AZ$174,Амортизация!$F$25:$F$174,$F259,Амортизация!$AC$25:$AC$174,"Сумма амортизационных отчислений")</f>
        <v>0</v>
      </c>
      <c r="BB259" s="145">
        <f ca="1">SUMIFS(Амортизация!BA$25:BA$174,Амортизация!$F$25:$F$174,$F259,Амортизация!$AC$25:$AC$174,"Сумма амортизационных отчислений")</f>
        <v>0</v>
      </c>
      <c r="BC259" s="145">
        <f ca="1">SUMIFS(Амортизация!BB$25:BB$174,Амортизация!$F$25:$F$174,$F259,Амортизация!$AC$25:$AC$174,"Сумма амортизационных отчислений")</f>
        <v>0</v>
      </c>
      <c r="BD259" s="145">
        <f t="shared" ca="1" si="56"/>
        <v>-42.703889429433922</v>
      </c>
      <c r="BE259" s="145">
        <f t="shared" ca="1" si="57"/>
        <v>-100</v>
      </c>
      <c r="BF259" s="145">
        <f t="shared" ca="1" si="58"/>
        <v>0</v>
      </c>
      <c r="BG259" s="145">
        <f t="shared" ca="1" si="59"/>
        <v>0</v>
      </c>
      <c r="BH259" s="145">
        <f t="shared" ca="1" si="60"/>
        <v>0</v>
      </c>
      <c r="BI259" s="145">
        <f t="shared" ca="1" si="61"/>
        <v>0</v>
      </c>
      <c r="BJ259" s="145">
        <f t="shared" ca="1" si="62"/>
        <v>0</v>
      </c>
      <c r="BK259" s="145">
        <f t="shared" ca="1" si="63"/>
        <v>0</v>
      </c>
      <c r="BL259" s="145">
        <f t="shared" ca="1" si="64"/>
        <v>0</v>
      </c>
      <c r="BM259" s="145">
        <f t="shared" ca="1" si="65"/>
        <v>0</v>
      </c>
      <c r="BN259" s="215"/>
      <c r="BO259" s="610" t="s">
        <v>2210</v>
      </c>
      <c r="BP259" s="215" t="s">
        <v>2211</v>
      </c>
      <c r="BQ259" s="95"/>
      <c r="BR259" s="95"/>
      <c r="BS259" s="711" t="s">
        <v>1241</v>
      </c>
      <c r="BT259" s="711"/>
      <c r="BU259" s="711"/>
      <c r="BV259" s="522"/>
      <c r="BW259" s="522"/>
    </row>
    <row r="260" spans="1:75" ht="14.25" customHeight="1">
      <c r="B260" s="341" t="b" cm="1">
        <f t="array" ref="B260">B259</f>
        <v>1</v>
      </c>
      <c r="C260" s="44"/>
      <c r="D260" s="44"/>
      <c r="E260" s="462">
        <v>15</v>
      </c>
      <c r="F260" s="3" t="str" cm="1">
        <f t="array" aca="1" ref="F260" ca="1">OFFSET(E260,-1,1)</f>
        <v>1</v>
      </c>
      <c r="G260" s="44"/>
      <c r="H260" s="44"/>
      <c r="I260" s="44" t="s">
        <v>536</v>
      </c>
      <c r="J260" s="44"/>
      <c r="L260" s="44" t="s">
        <v>550</v>
      </c>
      <c r="M260" s="44"/>
      <c r="N260" s="44"/>
      <c r="O260" s="44"/>
      <c r="P260" s="44"/>
      <c r="Q260" s="44"/>
      <c r="R260" s="44"/>
      <c r="S260" s="44"/>
      <c r="T260" s="365" t="b" cm="1">
        <f t="array" aca="1" ref="T260" ca="1">T259</f>
        <v>1</v>
      </c>
      <c r="U260" s="44"/>
      <c r="V260" s="44"/>
      <c r="W260" s="44"/>
      <c r="X260" s="1094"/>
      <c r="Z260" s="1065"/>
      <c r="AB260" s="26" t="s">
        <v>673</v>
      </c>
      <c r="AC260" s="146" t="s">
        <v>1825</v>
      </c>
      <c r="AD260" s="26" t="s">
        <v>804</v>
      </c>
      <c r="AE260" s="147">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47">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47">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190">
        <f t="shared" ca="1" si="54"/>
        <v>0</v>
      </c>
      <c r="AI260" s="147">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47">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787">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787">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787">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787">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787">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787">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787">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787">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787">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47">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787">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787">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787">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787">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787">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787">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787">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787">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787">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190">
        <f t="shared" ca="1" si="56"/>
        <v>0</v>
      </c>
      <c r="BE260" s="190">
        <f t="shared" ca="1" si="57"/>
        <v>0</v>
      </c>
      <c r="BF260" s="190">
        <f t="shared" ca="1" si="58"/>
        <v>0</v>
      </c>
      <c r="BG260" s="190">
        <f t="shared" ca="1" si="59"/>
        <v>0</v>
      </c>
      <c r="BH260" s="190">
        <f t="shared" ca="1" si="60"/>
        <v>0</v>
      </c>
      <c r="BI260" s="190">
        <f t="shared" ca="1" si="61"/>
        <v>0</v>
      </c>
      <c r="BJ260" s="190">
        <f t="shared" ca="1" si="62"/>
        <v>0</v>
      </c>
      <c r="BK260" s="190">
        <f t="shared" ca="1" si="63"/>
        <v>0</v>
      </c>
      <c r="BL260" s="190">
        <f t="shared" ca="1" si="64"/>
        <v>0</v>
      </c>
      <c r="BM260" s="190">
        <f t="shared" ca="1" si="65"/>
        <v>0</v>
      </c>
      <c r="BN260" s="215"/>
      <c r="BO260" s="215"/>
      <c r="BP260" s="215"/>
      <c r="BS260" s="705" t="s">
        <v>1826</v>
      </c>
    </row>
    <row r="261" spans="1:75" s="950" customFormat="1" ht="20.25" customHeight="1">
      <c r="A261" s="95"/>
      <c r="B261" s="341" t="b" cm="1">
        <f t="array" ref="B261">B260</f>
        <v>1</v>
      </c>
      <c r="C261" s="46"/>
      <c r="D261" s="46"/>
      <c r="E261" s="569">
        <v>21</v>
      </c>
      <c r="F261" s="3" t="str" cm="1">
        <f t="array" aca="1" ref="F261" ca="1">OFFSET(E261,-1,1)</f>
        <v>1</v>
      </c>
      <c r="G261" s="44" t="s">
        <v>1505</v>
      </c>
      <c r="H261" s="44"/>
      <c r="I261" s="44" t="s">
        <v>330</v>
      </c>
      <c r="J261" s="46"/>
      <c r="K261" s="91"/>
      <c r="L261" s="46" t="s">
        <v>562</v>
      </c>
      <c r="M261" s="46"/>
      <c r="N261" s="46"/>
      <c r="O261" s="46"/>
      <c r="P261" s="46"/>
      <c r="Q261" s="46"/>
      <c r="R261" s="46"/>
      <c r="S261" s="46"/>
      <c r="T261" s="365" t="b" cm="1">
        <f t="array" aca="1" ref="T261" ca="1">T260</f>
        <v>1</v>
      </c>
      <c r="U261" s="46"/>
      <c r="V261" s="46"/>
      <c r="W261" s="46"/>
      <c r="X261" s="1094"/>
      <c r="Y261" s="95"/>
      <c r="Z261" s="1065"/>
      <c r="AA261" s="95"/>
      <c r="AB261" s="143" t="s">
        <v>444</v>
      </c>
      <c r="AC261" s="144" t="s">
        <v>1505</v>
      </c>
      <c r="AD261" s="166" t="s">
        <v>804</v>
      </c>
      <c r="AE261" s="145">
        <f ca="1">AE262+AE263+AE264+AE265</f>
        <v>0</v>
      </c>
      <c r="AF261" s="145">
        <f ca="1">AF262+AF263+AF264+AF265</f>
        <v>0</v>
      </c>
      <c r="AG261" s="145">
        <f ca="1">AG262+AG263+AG264+AG265</f>
        <v>0</v>
      </c>
      <c r="AH261" s="145">
        <f t="shared" ca="1" si="54"/>
        <v>0</v>
      </c>
      <c r="AI261" s="145">
        <f t="shared" ref="AI261:BC261" ca="1" si="69">AI262+AI263+AI264+AI265</f>
        <v>0</v>
      </c>
      <c r="AJ261" s="145">
        <f t="shared" ca="1" si="69"/>
        <v>0</v>
      </c>
      <c r="AK261" s="145">
        <f t="shared" ca="1" si="69"/>
        <v>0</v>
      </c>
      <c r="AL261" s="145">
        <f t="shared" ca="1" si="69"/>
        <v>0</v>
      </c>
      <c r="AM261" s="145">
        <f t="shared" ca="1" si="69"/>
        <v>0</v>
      </c>
      <c r="AN261" s="145">
        <f t="shared" ca="1" si="69"/>
        <v>0</v>
      </c>
      <c r="AO261" s="145">
        <f t="shared" ca="1" si="69"/>
        <v>0</v>
      </c>
      <c r="AP261" s="145">
        <f t="shared" ca="1" si="69"/>
        <v>0</v>
      </c>
      <c r="AQ261" s="145">
        <f t="shared" ca="1" si="69"/>
        <v>0</v>
      </c>
      <c r="AR261" s="145">
        <f t="shared" ca="1" si="69"/>
        <v>0</v>
      </c>
      <c r="AS261" s="145">
        <f t="shared" ca="1" si="69"/>
        <v>0</v>
      </c>
      <c r="AT261" s="145">
        <f t="shared" ca="1" si="69"/>
        <v>0</v>
      </c>
      <c r="AU261" s="145">
        <f t="shared" ca="1" si="69"/>
        <v>0</v>
      </c>
      <c r="AV261" s="145">
        <f t="shared" ca="1" si="69"/>
        <v>0</v>
      </c>
      <c r="AW261" s="145">
        <f t="shared" ca="1" si="69"/>
        <v>0</v>
      </c>
      <c r="AX261" s="145">
        <f t="shared" ca="1" si="69"/>
        <v>0</v>
      </c>
      <c r="AY261" s="145">
        <f t="shared" ca="1" si="69"/>
        <v>0</v>
      </c>
      <c r="AZ261" s="145">
        <f t="shared" ca="1" si="69"/>
        <v>0</v>
      </c>
      <c r="BA261" s="145">
        <f t="shared" ca="1" si="69"/>
        <v>0</v>
      </c>
      <c r="BB261" s="145">
        <f t="shared" ca="1" si="69"/>
        <v>0</v>
      </c>
      <c r="BC261" s="145">
        <f t="shared" ca="1" si="69"/>
        <v>0</v>
      </c>
      <c r="BD261" s="145">
        <f t="shared" ca="1" si="56"/>
        <v>0</v>
      </c>
      <c r="BE261" s="145">
        <f t="shared" ca="1" si="57"/>
        <v>0</v>
      </c>
      <c r="BF261" s="145">
        <f t="shared" ca="1" si="58"/>
        <v>0</v>
      </c>
      <c r="BG261" s="145">
        <f t="shared" ca="1" si="59"/>
        <v>0</v>
      </c>
      <c r="BH261" s="145">
        <f t="shared" ca="1" si="60"/>
        <v>0</v>
      </c>
      <c r="BI261" s="145">
        <f t="shared" ca="1" si="61"/>
        <v>0</v>
      </c>
      <c r="BJ261" s="145">
        <f t="shared" ca="1" si="62"/>
        <v>0</v>
      </c>
      <c r="BK261" s="145">
        <f t="shared" ca="1" si="63"/>
        <v>0</v>
      </c>
      <c r="BL261" s="145">
        <f t="shared" ca="1" si="64"/>
        <v>0</v>
      </c>
      <c r="BM261" s="145">
        <f t="shared" ca="1" si="65"/>
        <v>0</v>
      </c>
      <c r="BN261" s="215"/>
      <c r="BO261" s="215"/>
      <c r="BP261" s="215"/>
      <c r="BQ261" s="95"/>
      <c r="BR261" s="95"/>
      <c r="BS261" s="704" t="s">
        <v>1509</v>
      </c>
      <c r="BT261" s="711"/>
      <c r="BU261" s="711"/>
      <c r="BV261" s="522"/>
      <c r="BW261" s="522"/>
    </row>
    <row r="262" spans="1:75" ht="14.25" customHeight="1">
      <c r="B262" s="341" t="b" cm="1">
        <f t="array" ref="B262">B261</f>
        <v>1</v>
      </c>
      <c r="C262" s="44"/>
      <c r="D262" s="44"/>
      <c r="E262" s="462">
        <v>15</v>
      </c>
      <c r="F262" s="3" t="str" cm="1">
        <f t="array" aca="1" ref="F262" ca="1">OFFSET(E262,-1,1)</f>
        <v>1</v>
      </c>
      <c r="G262" s="44"/>
      <c r="H262" s="44"/>
      <c r="I262" s="44" t="s">
        <v>550</v>
      </c>
      <c r="J262" s="44"/>
      <c r="L262" s="44"/>
      <c r="M262" s="44"/>
      <c r="N262" s="44"/>
      <c r="O262" s="44"/>
      <c r="P262" s="44"/>
      <c r="Q262" s="44"/>
      <c r="R262" s="44"/>
      <c r="S262" s="44"/>
      <c r="T262" s="365" t="b" cm="1">
        <f t="array" aca="1" ref="T262" ca="1">T261</f>
        <v>1</v>
      </c>
      <c r="U262" s="44"/>
      <c r="V262" s="44"/>
      <c r="W262" s="44"/>
      <c r="X262" s="1094"/>
      <c r="Z262" s="1065"/>
      <c r="AB262" s="26" t="s">
        <v>680</v>
      </c>
      <c r="AC262" s="146" t="s">
        <v>2127</v>
      </c>
      <c r="AD262" s="26" t="s">
        <v>804</v>
      </c>
      <c r="AE262" s="147">
        <f ca="1">SUMIFS('ИП + источники'!AF$27:AF$145,'ИП + источники'!$F$27:$F$145,$F262,'ИП + источники'!$AC$27:$AC$145,"погашение займов и кредитов из нормативной прибыли")</f>
        <v>0</v>
      </c>
      <c r="AF262" s="147">
        <f ca="1">SUMIFS('ИП + источники'!AG$27:AG$145,'ИП + источники'!$F$27:$F$145,$F262,'ИП + источники'!$AC$27:$AC$145,"погашение займов и кредитов из нормативной прибыли")</f>
        <v>0</v>
      </c>
      <c r="AG262" s="147">
        <f ca="1">SUMIFS('ИП + источники'!AH$27:AH$145,'ИП + источники'!$F$27:$F$145,$F262,'ИП + источники'!$AC$27:$AC$145,"погашение займов и кредитов из нормативной прибыли")</f>
        <v>0</v>
      </c>
      <c r="AH262" s="190">
        <f t="shared" ca="1" si="54"/>
        <v>0</v>
      </c>
      <c r="AI262" s="147">
        <f ca="1">SUMIFS('ИП + источники'!AJ$27:AJ$145,'ИП + источники'!$F$27:$F$145,$F262,'ИП + источники'!$AC$27:$AC$145,"погашение займов и кредитов из нормативной прибыли")</f>
        <v>0</v>
      </c>
      <c r="AJ262" s="147">
        <f ca="1">SUMIFS('ИП + источники'!AK$27:AK$145,'ИП + источники'!$F$27:$F$145,$F262,'ИП + источники'!$AC$27:$AC$145,"погашение займов и кредитов из нормативной прибыли")</f>
        <v>0</v>
      </c>
      <c r="AK262" s="787">
        <f ca="1">SUMIFS('ИП + источники'!AL$27:AL$145,'ИП + источники'!$F$27:$F$145,$F262,'ИП + источники'!$AC$27:$AC$145,"погашение займов и кредитов из нормативной прибыли")</f>
        <v>0</v>
      </c>
      <c r="AL262" s="787">
        <f ca="1">SUMIFS('ИП + источники'!AM$27:AM$145,'ИП + источники'!$F$27:$F$145,$F262,'ИП + источники'!$AC$27:$AC$145,"погашение займов и кредитов из нормативной прибыли")</f>
        <v>0</v>
      </c>
      <c r="AM262" s="787">
        <f ca="1">SUMIFS('ИП + источники'!AN$27:AN$145,'ИП + источники'!$F$27:$F$145,$F262,'ИП + источники'!$AC$27:$AC$145,"погашение займов и кредитов из нормативной прибыли")</f>
        <v>0</v>
      </c>
      <c r="AN262" s="787">
        <f ca="1">SUMIFS('ИП + источники'!AO$27:AO$145,'ИП + источники'!$F$27:$F$145,$F262,'ИП + источники'!$AC$27:$AC$145,"погашение займов и кредитов из нормативной прибыли")</f>
        <v>0</v>
      </c>
      <c r="AO262" s="787">
        <f ca="1">SUMIFS('ИП + источники'!AP$27:AP$145,'ИП + источники'!$F$27:$F$145,$F262,'ИП + источники'!$AC$27:$AC$145,"погашение займов и кредитов из нормативной прибыли")</f>
        <v>0</v>
      </c>
      <c r="AP262" s="787">
        <f ca="1">SUMIFS('ИП + источники'!AQ$27:AQ$145,'ИП + источники'!$F$27:$F$145,$F262,'ИП + источники'!$AC$27:$AC$145,"погашение займов и кредитов из нормативной прибыли")</f>
        <v>0</v>
      </c>
      <c r="AQ262" s="787">
        <f ca="1">SUMIFS('ИП + источники'!AR$27:AR$145,'ИП + источники'!$F$27:$F$145,$F262,'ИП + источники'!$AC$27:$AC$145,"погашение займов и кредитов из нормативной прибыли")</f>
        <v>0</v>
      </c>
      <c r="AR262" s="787">
        <f ca="1">SUMIFS('ИП + источники'!AS$27:AS$145,'ИП + источники'!$F$27:$F$145,$F262,'ИП + источники'!$AC$27:$AC$145,"погашение займов и кредитов из нормативной прибыли")</f>
        <v>0</v>
      </c>
      <c r="AS262" s="787">
        <f ca="1">SUMIFS('ИП + источники'!AT$27:AT$145,'ИП + источники'!$F$27:$F$145,$F262,'ИП + источники'!$AC$27:$AC$145,"погашение займов и кредитов из нормативной прибыли")</f>
        <v>0</v>
      </c>
      <c r="AT262" s="147">
        <f ca="1">SUMIFS('ИП + источники'!AU$27:AU$145,'ИП + источники'!$F$27:$F$145,$F262,'ИП + источники'!$AC$27:$AC$145,"погашение займов и кредитов из нормативной прибыли")</f>
        <v>0</v>
      </c>
      <c r="AU262" s="787">
        <f ca="1">SUMIFS('ИП + источники'!AV$27:AV$145,'ИП + источники'!$F$27:$F$145,$F262,'ИП + источники'!$AC$27:$AC$145,"погашение займов и кредитов из нормативной прибыли")</f>
        <v>0</v>
      </c>
      <c r="AV262" s="787">
        <f ca="1">SUMIFS('ИП + источники'!AW$27:AW$145,'ИП + источники'!$F$27:$F$145,$F262,'ИП + источники'!$AC$27:$AC$145,"погашение займов и кредитов из нормативной прибыли")</f>
        <v>0</v>
      </c>
      <c r="AW262" s="787">
        <f ca="1">SUMIFS('ИП + источники'!AX$27:AX$145,'ИП + источники'!$F$27:$F$145,$F262,'ИП + источники'!$AC$27:$AC$145,"погашение займов и кредитов из нормативной прибыли")</f>
        <v>0</v>
      </c>
      <c r="AX262" s="787">
        <f ca="1">SUMIFS('ИП + источники'!AY$27:AY$145,'ИП + источники'!$F$27:$F$145,$F262,'ИП + источники'!$AC$27:$AC$145,"погашение займов и кредитов из нормативной прибыли")</f>
        <v>0</v>
      </c>
      <c r="AY262" s="787">
        <f ca="1">SUMIFS('ИП + источники'!AZ$27:AZ$145,'ИП + источники'!$F$27:$F$145,$F262,'ИП + источники'!$AC$27:$AC$145,"погашение займов и кредитов из нормативной прибыли")</f>
        <v>0</v>
      </c>
      <c r="AZ262" s="787">
        <f ca="1">SUMIFS('ИП + источники'!BA$27:BA$145,'ИП + источники'!$F$27:$F$145,$F262,'ИП + источники'!$AC$27:$AC$145,"погашение займов и кредитов из нормативной прибыли")</f>
        <v>0</v>
      </c>
      <c r="BA262" s="787">
        <f ca="1">SUMIFS('ИП + источники'!BB$27:BB$145,'ИП + источники'!$F$27:$F$145,$F262,'ИП + источники'!$AC$27:$AC$145,"погашение займов и кредитов из нормативной прибыли")</f>
        <v>0</v>
      </c>
      <c r="BB262" s="787">
        <f ca="1">SUMIFS('ИП + источники'!BC$27:BC$145,'ИП + источники'!$F$27:$F$145,$F262,'ИП + источники'!$AC$27:$AC$145,"погашение займов и кредитов из нормативной прибыли")</f>
        <v>0</v>
      </c>
      <c r="BC262" s="787">
        <f ca="1">SUMIFS('ИП + источники'!BD$27:BD$145,'ИП + источники'!$F$27:$F$145,$F262,'ИП + источники'!$AC$27:$AC$145,"погашение займов и кредитов из нормативной прибыли")</f>
        <v>0</v>
      </c>
      <c r="BD262" s="190">
        <f t="shared" ca="1" si="56"/>
        <v>0</v>
      </c>
      <c r="BE262" s="190">
        <f t="shared" ca="1" si="57"/>
        <v>0</v>
      </c>
      <c r="BF262" s="190">
        <f t="shared" ca="1" si="58"/>
        <v>0</v>
      </c>
      <c r="BG262" s="190">
        <f t="shared" ca="1" si="59"/>
        <v>0</v>
      </c>
      <c r="BH262" s="190">
        <f t="shared" ca="1" si="60"/>
        <v>0</v>
      </c>
      <c r="BI262" s="190">
        <f t="shared" ca="1" si="61"/>
        <v>0</v>
      </c>
      <c r="BJ262" s="190">
        <f t="shared" ca="1" si="62"/>
        <v>0</v>
      </c>
      <c r="BK262" s="190">
        <f t="shared" ca="1" si="63"/>
        <v>0</v>
      </c>
      <c r="BL262" s="190">
        <f t="shared" ca="1" si="64"/>
        <v>0</v>
      </c>
      <c r="BM262" s="190">
        <f t="shared" ca="1" si="65"/>
        <v>0</v>
      </c>
      <c r="BN262" s="215"/>
      <c r="BO262" s="610" t="str">
        <f ca="1">IF(IFERROR(INDEX('ИП + источники'!$K$57:$L$145,MATCH($F262&amp;"2komm",'ИП + источники'!$K$57:$K$145,0),2),"")=0,"",IFERROR(INDEX('ИП + источники'!$K$57:$L$145,MATCH($F262&amp;"2komm",'ИП + источники'!$K$57:$K$145,0),2),""))</f>
        <v/>
      </c>
      <c r="BP262" s="215"/>
      <c r="BS262" s="705" t="s">
        <v>2128</v>
      </c>
    </row>
    <row r="263" spans="1:75" ht="14.25" customHeight="1">
      <c r="B263" s="341" t="b" cm="1">
        <f t="array" ref="B263">B262</f>
        <v>1</v>
      </c>
      <c r="C263" s="44"/>
      <c r="D263" s="44"/>
      <c r="E263" s="462">
        <v>15</v>
      </c>
      <c r="F263" s="3" t="str" cm="1">
        <f t="array" aca="1" ref="F263" ca="1">OFFSET(E263,-1,1)</f>
        <v>1</v>
      </c>
      <c r="G263" s="44"/>
      <c r="H263" s="44"/>
      <c r="I263" s="44" t="s">
        <v>554</v>
      </c>
      <c r="J263" s="44"/>
      <c r="L263" s="44"/>
      <c r="M263" s="44"/>
      <c r="N263" s="44"/>
      <c r="O263" s="44"/>
      <c r="P263" s="44"/>
      <c r="Q263" s="44"/>
      <c r="R263" s="44"/>
      <c r="S263" s="44"/>
      <c r="T263" s="365" t="b" cm="1">
        <f t="array" aca="1" ref="T263" ca="1">T262</f>
        <v>1</v>
      </c>
      <c r="U263" s="44"/>
      <c r="V263" s="44"/>
      <c r="W263" s="44"/>
      <c r="X263" s="1094"/>
      <c r="Z263" s="1065"/>
      <c r="AB263" s="26" t="s">
        <v>683</v>
      </c>
      <c r="AC263" s="146" t="s">
        <v>2129</v>
      </c>
      <c r="AD263" s="26" t="s">
        <v>804</v>
      </c>
      <c r="AE263" s="147">
        <f ca="1">SUMIFS('ИП + источники'!AF$27:AF$145,'ИП + источники'!$F$27:$F$145,$F263,'ИП + источники'!$AC$27:$AC$145,"уплата процентов по кредитам из нормативной прибыли")</f>
        <v>0</v>
      </c>
      <c r="AF263" s="147">
        <f ca="1">SUMIFS('ИП + источники'!AG$27:AG$145,'ИП + источники'!$F$27:$F$145,$F263,'ИП + источники'!$AC$27:$AC$145,"уплата процентов по кредитам из нормативной прибыли")</f>
        <v>0</v>
      </c>
      <c r="AG263" s="147">
        <f ca="1">SUMIFS('ИП + источники'!AH$27:AH$145,'ИП + источники'!$F$27:$F$145,$F263,'ИП + источники'!$AC$27:$AC$145,"уплата процентов по кредитам из нормативной прибыли")</f>
        <v>0</v>
      </c>
      <c r="AH263" s="190">
        <f t="shared" ca="1" si="54"/>
        <v>0</v>
      </c>
      <c r="AI263" s="147">
        <f ca="1">SUMIFS('ИП + источники'!AJ$27:AJ$145,'ИП + источники'!$F$27:$F$145,$F263,'ИП + источники'!$AC$27:$AC$145,"уплата процентов по кредитам из нормативной прибыли")</f>
        <v>0</v>
      </c>
      <c r="AJ263" s="147">
        <f ca="1">SUMIFS('ИП + источники'!AK$27:AK$145,'ИП + источники'!$F$27:$F$145,$F263,'ИП + источники'!$AC$27:$AC$145,"уплата процентов по кредитам из нормативной прибыли")</f>
        <v>0</v>
      </c>
      <c r="AK263" s="787">
        <f ca="1">SUMIFS('ИП + источники'!AL$27:AL$145,'ИП + источники'!$F$27:$F$145,$F263,'ИП + источники'!$AC$27:$AC$145,"уплата процентов по кредитам из нормативной прибыли")</f>
        <v>0</v>
      </c>
      <c r="AL263" s="787">
        <f ca="1">SUMIFS('ИП + источники'!AM$27:AM$145,'ИП + источники'!$F$27:$F$145,$F263,'ИП + источники'!$AC$27:$AC$145,"уплата процентов по кредитам из нормативной прибыли")</f>
        <v>0</v>
      </c>
      <c r="AM263" s="787">
        <f ca="1">SUMIFS('ИП + источники'!AN$27:AN$145,'ИП + источники'!$F$27:$F$145,$F263,'ИП + источники'!$AC$27:$AC$145,"уплата процентов по кредитам из нормативной прибыли")</f>
        <v>0</v>
      </c>
      <c r="AN263" s="787">
        <f ca="1">SUMIFS('ИП + источники'!AO$27:AO$145,'ИП + источники'!$F$27:$F$145,$F263,'ИП + источники'!$AC$27:$AC$145,"уплата процентов по кредитам из нормативной прибыли")</f>
        <v>0</v>
      </c>
      <c r="AO263" s="787">
        <f ca="1">SUMIFS('ИП + источники'!AP$27:AP$145,'ИП + источники'!$F$27:$F$145,$F263,'ИП + источники'!$AC$27:$AC$145,"уплата процентов по кредитам из нормативной прибыли")</f>
        <v>0</v>
      </c>
      <c r="AP263" s="787">
        <f ca="1">SUMIFS('ИП + источники'!AQ$27:AQ$145,'ИП + источники'!$F$27:$F$145,$F263,'ИП + источники'!$AC$27:$AC$145,"уплата процентов по кредитам из нормативной прибыли")</f>
        <v>0</v>
      </c>
      <c r="AQ263" s="787">
        <f ca="1">SUMIFS('ИП + источники'!AR$27:AR$145,'ИП + источники'!$F$27:$F$145,$F263,'ИП + источники'!$AC$27:$AC$145,"уплата процентов по кредитам из нормативной прибыли")</f>
        <v>0</v>
      </c>
      <c r="AR263" s="787">
        <f ca="1">SUMIFS('ИП + источники'!AS$27:AS$145,'ИП + источники'!$F$27:$F$145,$F263,'ИП + источники'!$AC$27:$AC$145,"уплата процентов по кредитам из нормативной прибыли")</f>
        <v>0</v>
      </c>
      <c r="AS263" s="787">
        <f ca="1">SUMIFS('ИП + источники'!AT$27:AT$145,'ИП + источники'!$F$27:$F$145,$F263,'ИП + источники'!$AC$27:$AC$145,"уплата процентов по кредитам из нормативной прибыли")</f>
        <v>0</v>
      </c>
      <c r="AT263" s="147">
        <f ca="1">SUMIFS('ИП + источники'!AU$27:AU$145,'ИП + источники'!$F$27:$F$145,$F263,'ИП + источники'!$AC$27:$AC$145,"уплата процентов по кредитам из нормативной прибыли")</f>
        <v>0</v>
      </c>
      <c r="AU263" s="787">
        <f ca="1">SUMIFS('ИП + источники'!AV$27:AV$145,'ИП + источники'!$F$27:$F$145,$F263,'ИП + источники'!$AC$27:$AC$145,"уплата процентов по кредитам из нормативной прибыли")</f>
        <v>0</v>
      </c>
      <c r="AV263" s="787">
        <f ca="1">SUMIFS('ИП + источники'!AW$27:AW$145,'ИП + источники'!$F$27:$F$145,$F263,'ИП + источники'!$AC$27:$AC$145,"уплата процентов по кредитам из нормативной прибыли")</f>
        <v>0</v>
      </c>
      <c r="AW263" s="787">
        <f ca="1">SUMIFS('ИП + источники'!AX$27:AX$145,'ИП + источники'!$F$27:$F$145,$F263,'ИП + источники'!$AC$27:$AC$145,"уплата процентов по кредитам из нормативной прибыли")</f>
        <v>0</v>
      </c>
      <c r="AX263" s="787">
        <f ca="1">SUMIFS('ИП + источники'!AY$27:AY$145,'ИП + источники'!$F$27:$F$145,$F263,'ИП + источники'!$AC$27:$AC$145,"уплата процентов по кредитам из нормативной прибыли")</f>
        <v>0</v>
      </c>
      <c r="AY263" s="787">
        <f ca="1">SUMIFS('ИП + источники'!AZ$27:AZ$145,'ИП + источники'!$F$27:$F$145,$F263,'ИП + источники'!$AC$27:$AC$145,"уплата процентов по кредитам из нормативной прибыли")</f>
        <v>0</v>
      </c>
      <c r="AZ263" s="787">
        <f ca="1">SUMIFS('ИП + источники'!BA$27:BA$145,'ИП + источники'!$F$27:$F$145,$F263,'ИП + источники'!$AC$27:$AC$145,"уплата процентов по кредитам из нормативной прибыли")</f>
        <v>0</v>
      </c>
      <c r="BA263" s="787">
        <f ca="1">SUMIFS('ИП + источники'!BB$27:BB$145,'ИП + источники'!$F$27:$F$145,$F263,'ИП + источники'!$AC$27:$AC$145,"уплата процентов по кредитам из нормативной прибыли")</f>
        <v>0</v>
      </c>
      <c r="BB263" s="787">
        <f ca="1">SUMIFS('ИП + источники'!BC$27:BC$145,'ИП + источники'!$F$27:$F$145,$F263,'ИП + источники'!$AC$27:$AC$145,"уплата процентов по кредитам из нормативной прибыли")</f>
        <v>0</v>
      </c>
      <c r="BC263" s="787">
        <f ca="1">SUMIFS('ИП + источники'!BD$27:BD$145,'ИП + источники'!$F$27:$F$145,$F263,'ИП + источники'!$AC$27:$AC$145,"уплата процентов по кредитам из нормативной прибыли")</f>
        <v>0</v>
      </c>
      <c r="BD263" s="190">
        <f t="shared" ca="1" si="56"/>
        <v>0</v>
      </c>
      <c r="BE263" s="190">
        <f t="shared" ca="1" si="57"/>
        <v>0</v>
      </c>
      <c r="BF263" s="190">
        <f t="shared" ca="1" si="58"/>
        <v>0</v>
      </c>
      <c r="BG263" s="190">
        <f t="shared" ca="1" si="59"/>
        <v>0</v>
      </c>
      <c r="BH263" s="190">
        <f t="shared" ca="1" si="60"/>
        <v>0</v>
      </c>
      <c r="BI263" s="190">
        <f t="shared" ca="1" si="61"/>
        <v>0</v>
      </c>
      <c r="BJ263" s="190">
        <f t="shared" ca="1" si="62"/>
        <v>0</v>
      </c>
      <c r="BK263" s="190">
        <f t="shared" ca="1" si="63"/>
        <v>0</v>
      </c>
      <c r="BL263" s="190">
        <f t="shared" ca="1" si="64"/>
        <v>0</v>
      </c>
      <c r="BM263" s="190">
        <f t="shared" ca="1" si="65"/>
        <v>0</v>
      </c>
      <c r="BN263" s="215"/>
      <c r="BO263" s="610" t="str">
        <f ca="1">IF(IFERROR(INDEX('ИП + источники'!$K$57:$L$145,MATCH($F263&amp;"3komm",'ИП + источники'!$K$57:$K$145,0),2),"")=0,"",IFERROR(INDEX('ИП + источники'!$K$57:$L$145,MATCH($F263&amp;"3komm",'ИП + источники'!$K$57:$K$145,0),2),""))</f>
        <v/>
      </c>
      <c r="BP263" s="215"/>
      <c r="BS263" s="705" t="s">
        <v>2130</v>
      </c>
    </row>
    <row r="264" spans="1:75" ht="14.25" customHeight="1">
      <c r="B264" s="341" t="b" cm="1">
        <f t="array" ref="B264">B263</f>
        <v>1</v>
      </c>
      <c r="C264" s="44"/>
      <c r="D264" s="44"/>
      <c r="E264" s="462">
        <v>15</v>
      </c>
      <c r="F264" s="3" t="str" cm="1">
        <f t="array" aca="1" ref="F264" ca="1">OFFSET(E264,-1,1)</f>
        <v>1</v>
      </c>
      <c r="G264" s="44"/>
      <c r="H264" s="44"/>
      <c r="I264" s="44" t="s">
        <v>770</v>
      </c>
      <c r="J264" s="44"/>
      <c r="L264" s="44" t="s">
        <v>569</v>
      </c>
      <c r="M264" s="44"/>
      <c r="N264" s="44"/>
      <c r="O264" s="44"/>
      <c r="P264" s="44"/>
      <c r="Q264" s="44"/>
      <c r="R264" s="44"/>
      <c r="S264" s="44"/>
      <c r="T264" s="365" t="b" cm="1">
        <f t="array" aca="1" ref="T264" ca="1">T263</f>
        <v>1</v>
      </c>
      <c r="U264" s="44"/>
      <c r="V264" s="44"/>
      <c r="W264" s="44"/>
      <c r="X264" s="1094"/>
      <c r="Z264" s="1065"/>
      <c r="AB264" s="26" t="s">
        <v>952</v>
      </c>
      <c r="AC264" s="146" t="s">
        <v>2131</v>
      </c>
      <c r="AD264" s="26" t="s">
        <v>804</v>
      </c>
      <c r="AE264" s="147">
        <f ca="1">SUMIFS('ИП + источники'!AF$27:AF$145,'ИП + источники'!$F$27:$F$145,$F264,'ИП + источники'!$AC$27:$AC$145,"Прибыль на капвложения")</f>
        <v>0</v>
      </c>
      <c r="AF264" s="147">
        <f ca="1">SUMIFS('ИП + источники'!AG$27:AG$145,'ИП + источники'!$F$27:$F$145,$F264,'ИП + источники'!$AC$27:$AC$145,"Прибыль на капвложения")</f>
        <v>0</v>
      </c>
      <c r="AG264" s="147">
        <f ca="1">SUMIFS('ИП + источники'!AH$27:AH$145,'ИП + источники'!$F$27:$F$145,$F264,'ИП + источники'!$AC$27:$AC$145,"Прибыль на капвложения")</f>
        <v>0</v>
      </c>
      <c r="AH264" s="190">
        <f t="shared" ca="1" si="54"/>
        <v>0</v>
      </c>
      <c r="AI264" s="147">
        <f ca="1">SUMIFS('ИП + источники'!AJ$27:AJ$145,'ИП + источники'!$F$27:$F$145,$F264,'ИП + источники'!$AC$27:$AC$145,"Прибыль на капвложения")</f>
        <v>0</v>
      </c>
      <c r="AJ264" s="147">
        <f ca="1">SUMIFS('ИП + источники'!AK$27:AK$145,'ИП + источники'!$F$27:$F$145,$F264,'ИП + источники'!$AC$27:$AC$145,"Прибыль на капвложения")</f>
        <v>0</v>
      </c>
      <c r="AK264" s="787">
        <f ca="1">SUMIFS('ИП + источники'!AL$27:AL$145,'ИП + источники'!$F$27:$F$145,$F264,'ИП + источники'!$AC$27:$AC$145,"Прибыль на капвложения")</f>
        <v>0</v>
      </c>
      <c r="AL264" s="787">
        <f ca="1">SUMIFS('ИП + источники'!AM$27:AM$145,'ИП + источники'!$F$27:$F$145,$F264,'ИП + источники'!$AC$27:$AC$145,"Прибыль на капвложения")</f>
        <v>0</v>
      </c>
      <c r="AM264" s="787">
        <f ca="1">SUMIFS('ИП + источники'!AN$27:AN$145,'ИП + источники'!$F$27:$F$145,$F264,'ИП + источники'!$AC$27:$AC$145,"Прибыль на капвложения")</f>
        <v>0</v>
      </c>
      <c r="AN264" s="787">
        <f ca="1">SUMIFS('ИП + источники'!AO$27:AO$145,'ИП + источники'!$F$27:$F$145,$F264,'ИП + источники'!$AC$27:$AC$145,"Прибыль на капвложения")</f>
        <v>0</v>
      </c>
      <c r="AO264" s="787">
        <f ca="1">SUMIFS('ИП + источники'!AP$27:AP$145,'ИП + источники'!$F$27:$F$145,$F264,'ИП + источники'!$AC$27:$AC$145,"Прибыль на капвложения")</f>
        <v>0</v>
      </c>
      <c r="AP264" s="787">
        <f ca="1">SUMIFS('ИП + источники'!AQ$27:AQ$145,'ИП + источники'!$F$27:$F$145,$F264,'ИП + источники'!$AC$27:$AC$145,"Прибыль на капвложения")</f>
        <v>0</v>
      </c>
      <c r="AQ264" s="787">
        <f ca="1">SUMIFS('ИП + источники'!AR$27:AR$145,'ИП + источники'!$F$27:$F$145,$F264,'ИП + источники'!$AC$27:$AC$145,"Прибыль на капвложения")</f>
        <v>0</v>
      </c>
      <c r="AR264" s="787">
        <f ca="1">SUMIFS('ИП + источники'!AS$27:AS$145,'ИП + источники'!$F$27:$F$145,$F264,'ИП + источники'!$AC$27:$AC$145,"Прибыль на капвложения")</f>
        <v>0</v>
      </c>
      <c r="AS264" s="787">
        <f ca="1">SUMIFS('ИП + источники'!AT$27:AT$145,'ИП + источники'!$F$27:$F$145,$F264,'ИП + источники'!$AC$27:$AC$145,"Прибыль на капвложения")</f>
        <v>0</v>
      </c>
      <c r="AT264" s="147">
        <f ca="1">SUMIFS('ИП + источники'!AU$27:AU$145,'ИП + источники'!$F$27:$F$145,$F264,'ИП + источники'!$AC$27:$AC$145,"Прибыль на капвложения")</f>
        <v>0</v>
      </c>
      <c r="AU264" s="787">
        <f ca="1">SUMIFS('ИП + источники'!AV$27:AV$145,'ИП + источники'!$F$27:$F$145,$F264,'ИП + источники'!$AC$27:$AC$145,"Прибыль на капвложения")</f>
        <v>0</v>
      </c>
      <c r="AV264" s="787">
        <f ca="1">SUMIFS('ИП + источники'!AW$27:AW$145,'ИП + источники'!$F$27:$F$145,$F264,'ИП + источники'!$AC$27:$AC$145,"Прибыль на капвложения")</f>
        <v>0</v>
      </c>
      <c r="AW264" s="787">
        <f ca="1">SUMIFS('ИП + источники'!AX$27:AX$145,'ИП + источники'!$F$27:$F$145,$F264,'ИП + источники'!$AC$27:$AC$145,"Прибыль на капвложения")</f>
        <v>0</v>
      </c>
      <c r="AX264" s="787">
        <f ca="1">SUMIFS('ИП + источники'!AY$27:AY$145,'ИП + источники'!$F$27:$F$145,$F264,'ИП + источники'!$AC$27:$AC$145,"Прибыль на капвложения")</f>
        <v>0</v>
      </c>
      <c r="AY264" s="787">
        <f ca="1">SUMIFS('ИП + источники'!AZ$27:AZ$145,'ИП + источники'!$F$27:$F$145,$F264,'ИП + источники'!$AC$27:$AC$145,"Прибыль на капвложения")</f>
        <v>0</v>
      </c>
      <c r="AZ264" s="787">
        <f ca="1">SUMIFS('ИП + источники'!BA$27:BA$145,'ИП + источники'!$F$27:$F$145,$F264,'ИП + источники'!$AC$27:$AC$145,"Прибыль на капвложения")</f>
        <v>0</v>
      </c>
      <c r="BA264" s="787">
        <f ca="1">SUMIFS('ИП + источники'!BB$27:BB$145,'ИП + источники'!$F$27:$F$145,$F264,'ИП + источники'!$AC$27:$AC$145,"Прибыль на капвложения")</f>
        <v>0</v>
      </c>
      <c r="BB264" s="787">
        <f ca="1">SUMIFS('ИП + источники'!BC$27:BC$145,'ИП + источники'!$F$27:$F$145,$F264,'ИП + источники'!$AC$27:$AC$145,"Прибыль на капвложения")</f>
        <v>0</v>
      </c>
      <c r="BC264" s="787">
        <f ca="1">SUMIFS('ИП + источники'!BD$27:BD$145,'ИП + источники'!$F$27:$F$145,$F264,'ИП + источники'!$AC$27:$AC$145,"Прибыль на капвложения")</f>
        <v>0</v>
      </c>
      <c r="BD264" s="190">
        <f t="shared" ca="1" si="56"/>
        <v>0</v>
      </c>
      <c r="BE264" s="190">
        <f t="shared" ca="1" si="57"/>
        <v>0</v>
      </c>
      <c r="BF264" s="190">
        <f t="shared" ca="1" si="58"/>
        <v>0</v>
      </c>
      <c r="BG264" s="190">
        <f t="shared" ca="1" si="59"/>
        <v>0</v>
      </c>
      <c r="BH264" s="190">
        <f t="shared" ca="1" si="60"/>
        <v>0</v>
      </c>
      <c r="BI264" s="190">
        <f t="shared" ca="1" si="61"/>
        <v>0</v>
      </c>
      <c r="BJ264" s="190">
        <f t="shared" ca="1" si="62"/>
        <v>0</v>
      </c>
      <c r="BK264" s="190">
        <f t="shared" ca="1" si="63"/>
        <v>0</v>
      </c>
      <c r="BL264" s="190">
        <f t="shared" ca="1" si="64"/>
        <v>0</v>
      </c>
      <c r="BM264" s="190">
        <f t="shared" ca="1" si="65"/>
        <v>0</v>
      </c>
      <c r="BN264" s="215"/>
      <c r="BO264" s="610" t="str">
        <f ca="1">IF(IFERROR(INDEX('ИП + источники'!$K$57:$L$145,MATCH($F264&amp;"1komm",'ИП + источники'!$K$57:$K$145,0),2),"")=0,"",IFERROR(INDEX('ИП + источники'!$K$57:$L$145,MATCH($F264&amp;"1komm",'ИП + источники'!$K$57:$K$145,0),2),""))</f>
        <v/>
      </c>
      <c r="BP264" s="215"/>
      <c r="BS264" s="705" t="s">
        <v>1833</v>
      </c>
    </row>
    <row r="265" spans="1:75" ht="21.75" customHeight="1">
      <c r="B265" s="341" t="b" cm="1">
        <f t="array" ref="B265">B264</f>
        <v>1</v>
      </c>
      <c r="C265" s="44"/>
      <c r="D265" s="44"/>
      <c r="E265" s="462">
        <v>22.5</v>
      </c>
      <c r="F265" s="3" t="str" cm="1">
        <f t="array" aca="1" ref="F265" ca="1">OFFSET(E265,-1,1)</f>
        <v>1</v>
      </c>
      <c r="G265" s="44" t="s">
        <v>2132</v>
      </c>
      <c r="H265" s="44"/>
      <c r="I265" s="44" t="s">
        <v>954</v>
      </c>
      <c r="J265" s="44"/>
      <c r="L265" s="44" t="s">
        <v>573</v>
      </c>
      <c r="M265" s="44"/>
      <c r="N265" s="44"/>
      <c r="O265" s="44"/>
      <c r="P265" s="44"/>
      <c r="Q265" s="44"/>
      <c r="R265" s="44"/>
      <c r="S265" s="44"/>
      <c r="T265" s="365" t="b" cm="1">
        <f t="array" aca="1" ref="T265" ca="1">T264</f>
        <v>1</v>
      </c>
      <c r="U265" s="44"/>
      <c r="V265" s="44"/>
      <c r="W265" s="44"/>
      <c r="X265" s="1094"/>
      <c r="Z265" s="1065"/>
      <c r="AB265" s="26" t="s">
        <v>955</v>
      </c>
      <c r="AC265" s="146" t="s">
        <v>2133</v>
      </c>
      <c r="AD265" s="26" t="s">
        <v>804</v>
      </c>
      <c r="AE265" s="147"/>
      <c r="AF265" s="147"/>
      <c r="AG265" s="147"/>
      <c r="AH265" s="190">
        <f t="shared" si="54"/>
        <v>0</v>
      </c>
      <c r="AI265" s="147"/>
      <c r="AJ265" s="147"/>
      <c r="AK265" s="787"/>
      <c r="AL265" s="787"/>
      <c r="AM265" s="787"/>
      <c r="AN265" s="787"/>
      <c r="AO265" s="787"/>
      <c r="AP265" s="787"/>
      <c r="AQ265" s="787"/>
      <c r="AR265" s="787"/>
      <c r="AS265" s="787"/>
      <c r="AT265" s="147"/>
      <c r="AU265" s="787"/>
      <c r="AV265" s="787"/>
      <c r="AW265" s="787"/>
      <c r="AX265" s="787"/>
      <c r="AY265" s="787"/>
      <c r="AZ265" s="787"/>
      <c r="BA265" s="787"/>
      <c r="BB265" s="787"/>
      <c r="BC265" s="787"/>
      <c r="BD265" s="190">
        <f t="shared" si="56"/>
        <v>0</v>
      </c>
      <c r="BE265" s="190">
        <f t="shared" si="57"/>
        <v>0</v>
      </c>
      <c r="BF265" s="190">
        <f t="shared" si="58"/>
        <v>0</v>
      </c>
      <c r="BG265" s="190">
        <f t="shared" si="59"/>
        <v>0</v>
      </c>
      <c r="BH265" s="190">
        <f t="shared" si="60"/>
        <v>0</v>
      </c>
      <c r="BI265" s="190">
        <f t="shared" si="61"/>
        <v>0</v>
      </c>
      <c r="BJ265" s="190">
        <f t="shared" si="62"/>
        <v>0</v>
      </c>
      <c r="BK265" s="190">
        <f t="shared" si="63"/>
        <v>0</v>
      </c>
      <c r="BL265" s="190">
        <f t="shared" si="64"/>
        <v>0</v>
      </c>
      <c r="BM265" s="190">
        <f t="shared" si="65"/>
        <v>0</v>
      </c>
      <c r="BN265" s="215"/>
      <c r="BO265" s="215"/>
      <c r="BP265" s="215"/>
      <c r="BS265" s="705" t="s">
        <v>2134</v>
      </c>
    </row>
    <row r="266" spans="1:75" ht="96.75" customHeight="1">
      <c r="B266" s="341" t="b">
        <f>AND(method_reg="Метод индексации",STATUS_GO="да")</f>
        <v>0</v>
      </c>
      <c r="C266" s="44"/>
      <c r="D266" s="44"/>
      <c r="E266" s="462">
        <v>15</v>
      </c>
      <c r="F266" s="3" t="str" cm="1">
        <f t="array" aca="1" ref="F266" ca="1">OFFSET(E266,-1,1)</f>
        <v>1</v>
      </c>
      <c r="G266" s="44" t="s">
        <v>1836</v>
      </c>
      <c r="H266" s="44"/>
      <c r="I266" s="44" t="s">
        <v>511</v>
      </c>
      <c r="J266" s="44"/>
      <c r="L266" s="44" t="s">
        <v>577</v>
      </c>
      <c r="M266" s="44"/>
      <c r="N266" s="44"/>
      <c r="O266" s="44"/>
      <c r="P266" s="44"/>
      <c r="Q266" s="44"/>
      <c r="R266" s="44"/>
      <c r="S266" s="44"/>
      <c r="T266" s="365" t="b" cm="1">
        <f t="array" aca="1" ref="T266" ca="1">T265</f>
        <v>1</v>
      </c>
      <c r="U266" s="44"/>
      <c r="V266" s="44"/>
      <c r="W266" s="44"/>
      <c r="X266" s="1094"/>
      <c r="Z266" s="1065"/>
      <c r="AB266" s="26" t="s">
        <v>447</v>
      </c>
      <c r="AC266" s="358" t="s">
        <v>1836</v>
      </c>
      <c r="AD266" s="26" t="s">
        <v>804</v>
      </c>
      <c r="AE266" s="147">
        <v>1964.2655380444</v>
      </c>
      <c r="AF266" s="147"/>
      <c r="AG266" s="147"/>
      <c r="AH266" s="190">
        <f t="shared" si="54"/>
        <v>0</v>
      </c>
      <c r="AI266" s="147">
        <v>2146.1499833063999</v>
      </c>
      <c r="AJ266" s="147"/>
      <c r="AK266" s="787"/>
      <c r="AL266" s="787"/>
      <c r="AM266" s="787"/>
      <c r="AN266" s="787"/>
      <c r="AO266" s="787"/>
      <c r="AP266" s="787"/>
      <c r="AQ266" s="787"/>
      <c r="AR266" s="787"/>
      <c r="AS266" s="787"/>
      <c r="AT266" s="147"/>
      <c r="AU266" s="787"/>
      <c r="AV266" s="787"/>
      <c r="AW266" s="787"/>
      <c r="AX266" s="787"/>
      <c r="AY266" s="787"/>
      <c r="AZ266" s="787"/>
      <c r="BA266" s="787"/>
      <c r="BB266" s="787"/>
      <c r="BC266" s="787"/>
      <c r="BD266" s="190">
        <f t="shared" si="56"/>
        <v>-100</v>
      </c>
      <c r="BE266" s="190">
        <f t="shared" si="57"/>
        <v>0</v>
      </c>
      <c r="BF266" s="190">
        <f t="shared" si="58"/>
        <v>0</v>
      </c>
      <c r="BG266" s="190">
        <f t="shared" si="59"/>
        <v>0</v>
      </c>
      <c r="BH266" s="190">
        <f t="shared" si="60"/>
        <v>0</v>
      </c>
      <c r="BI266" s="190">
        <f t="shared" si="61"/>
        <v>0</v>
      </c>
      <c r="BJ266" s="190">
        <f t="shared" si="62"/>
        <v>0</v>
      </c>
      <c r="BK266" s="190">
        <f t="shared" si="63"/>
        <v>0</v>
      </c>
      <c r="BL266" s="190">
        <f t="shared" si="64"/>
        <v>0</v>
      </c>
      <c r="BM266" s="190">
        <f t="shared" si="65"/>
        <v>0</v>
      </c>
      <c r="BN266" s="215"/>
      <c r="BO266" s="215" t="s">
        <v>2210</v>
      </c>
      <c r="BP266" s="215" t="s">
        <v>2211</v>
      </c>
      <c r="BS266" s="705" t="s">
        <v>1837</v>
      </c>
    </row>
    <row r="267" spans="1:75" ht="14.25" hidden="1" customHeight="1">
      <c r="B267" s="590" t="b">
        <f>method_reg="Метод обеспечения доходности инвестированного капитала"</f>
        <v>0</v>
      </c>
      <c r="C267" s="44"/>
      <c r="D267" s="44"/>
      <c r="E267" s="462">
        <v>15</v>
      </c>
      <c r="F267" s="3" t="str" cm="1">
        <f t="array" aca="1" ref="F267" ca="1">OFFSET(E267,-1,1)</f>
        <v>1</v>
      </c>
      <c r="G267" s="44"/>
      <c r="H267" s="44"/>
      <c r="I267" s="44"/>
      <c r="J267" s="44"/>
      <c r="K267" s="44" t="s">
        <v>331</v>
      </c>
      <c r="L267" s="44"/>
      <c r="M267" s="44"/>
      <c r="N267" s="44"/>
      <c r="O267" s="44"/>
      <c r="P267" s="44"/>
      <c r="Q267" s="44"/>
      <c r="R267" s="44"/>
      <c r="S267" s="44"/>
      <c r="T267" s="590" t="b" cm="1">
        <f t="array" aca="1" ref="T267" ca="1">T266</f>
        <v>1</v>
      </c>
      <c r="U267" s="44"/>
      <c r="V267" s="44"/>
      <c r="W267" s="44"/>
      <c r="X267" s="1094"/>
      <c r="Z267" s="1065"/>
      <c r="AB267" s="143" t="s">
        <v>433</v>
      </c>
      <c r="AC267" s="151" t="s">
        <v>2135</v>
      </c>
      <c r="AD267" s="143" t="s">
        <v>804</v>
      </c>
      <c r="AE267" s="783"/>
      <c r="AF267" s="783"/>
      <c r="AG267" s="783"/>
      <c r="AH267" s="145">
        <f t="shared" si="54"/>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145">
        <f t="shared" si="56"/>
        <v>0</v>
      </c>
      <c r="BE267" s="145">
        <f t="shared" si="57"/>
        <v>0</v>
      </c>
      <c r="BF267" s="145">
        <f t="shared" si="58"/>
        <v>0</v>
      </c>
      <c r="BG267" s="145">
        <f t="shared" si="59"/>
        <v>0</v>
      </c>
      <c r="BH267" s="145">
        <f t="shared" si="60"/>
        <v>0</v>
      </c>
      <c r="BI267" s="145">
        <f t="shared" si="61"/>
        <v>0</v>
      </c>
      <c r="BJ267" s="145">
        <f t="shared" si="62"/>
        <v>0</v>
      </c>
      <c r="BK267" s="145">
        <f t="shared" si="63"/>
        <v>0</v>
      </c>
      <c r="BL267" s="145">
        <f t="shared" si="64"/>
        <v>0</v>
      </c>
      <c r="BM267" s="145">
        <f t="shared" si="65"/>
        <v>0</v>
      </c>
      <c r="BN267" s="786"/>
      <c r="BO267" s="786"/>
      <c r="BP267" s="786"/>
      <c r="BS267" s="705" t="s">
        <v>2136</v>
      </c>
    </row>
    <row r="268" spans="1:75" ht="14.25" hidden="1" customHeight="1">
      <c r="B268" s="590" t="b" cm="1">
        <f t="array" ref="B268">B267</f>
        <v>0</v>
      </c>
      <c r="C268" s="44"/>
      <c r="D268" s="44"/>
      <c r="E268" s="462">
        <v>15</v>
      </c>
      <c r="F268" s="3" t="str" cm="1">
        <f t="array" aca="1" ref="F268" ca="1">OFFSET(E268,-1,1)</f>
        <v>1</v>
      </c>
      <c r="G268" s="44"/>
      <c r="H268" s="44"/>
      <c r="I268" s="44"/>
      <c r="J268" s="44"/>
      <c r="K268" s="44" t="s">
        <v>536</v>
      </c>
      <c r="L268" s="44"/>
      <c r="M268" s="44"/>
      <c r="N268" s="44"/>
      <c r="O268" s="44"/>
      <c r="P268" s="44"/>
      <c r="Q268" s="44"/>
      <c r="R268" s="44"/>
      <c r="S268" s="44"/>
      <c r="T268" s="590" t="b" cm="1">
        <f t="array" aca="1" ref="T268" ca="1">T267</f>
        <v>1</v>
      </c>
      <c r="U268" s="44"/>
      <c r="V268" s="44"/>
      <c r="W268" s="44"/>
      <c r="X268" s="1094"/>
      <c r="Z268" s="1065"/>
      <c r="AB268" s="26" t="s">
        <v>673</v>
      </c>
      <c r="AC268" s="146" t="s">
        <v>2137</v>
      </c>
      <c r="AD268" s="26" t="s">
        <v>804</v>
      </c>
      <c r="AE268" s="787"/>
      <c r="AF268" s="787"/>
      <c r="AG268" s="787"/>
      <c r="AH268" s="55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52"/>
      <c r="BE268" s="552"/>
      <c r="BF268" s="552"/>
      <c r="BG268" s="552"/>
      <c r="BH268" s="552"/>
      <c r="BI268" s="552"/>
      <c r="BJ268" s="552"/>
      <c r="BK268" s="552"/>
      <c r="BL268" s="552"/>
      <c r="BM268" s="552"/>
      <c r="BN268" s="784"/>
      <c r="BO268" s="784"/>
      <c r="BP268" s="784"/>
      <c r="BS268" s="705" t="s">
        <v>2138</v>
      </c>
    </row>
    <row r="269" spans="1:75" ht="14.25" hidden="1" customHeight="1">
      <c r="B269" s="590" t="b" cm="1">
        <f t="array" ref="B269">B268</f>
        <v>0</v>
      </c>
      <c r="C269" s="44"/>
      <c r="D269" s="44"/>
      <c r="E269" s="462">
        <v>15</v>
      </c>
      <c r="F269" s="3" t="str" cm="1">
        <f t="array" aca="1" ref="F269" ca="1">OFFSET(E269,-1,1)</f>
        <v>1</v>
      </c>
      <c r="G269" s="44"/>
      <c r="H269" s="44"/>
      <c r="I269" s="44"/>
      <c r="J269" s="44"/>
      <c r="K269" s="44" t="s">
        <v>540</v>
      </c>
      <c r="L269" s="44"/>
      <c r="M269" s="44"/>
      <c r="N269" s="44"/>
      <c r="O269" s="44"/>
      <c r="P269" s="44"/>
      <c r="Q269" s="44"/>
      <c r="R269" s="44"/>
      <c r="S269" s="44"/>
      <c r="T269" s="590" t="b" cm="1">
        <f t="array" aca="1" ref="T269" ca="1">T268</f>
        <v>1</v>
      </c>
      <c r="U269" s="44"/>
      <c r="V269" s="44"/>
      <c r="W269" s="44"/>
      <c r="X269" s="1094"/>
      <c r="Z269" s="1065"/>
      <c r="AB269" s="26" t="s">
        <v>676</v>
      </c>
      <c r="AC269" s="146" t="s">
        <v>2139</v>
      </c>
      <c r="AD269" s="26" t="s">
        <v>2140</v>
      </c>
      <c r="AE269" s="787"/>
      <c r="AF269" s="787"/>
      <c r="AG269" s="787"/>
      <c r="AH269" s="55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52"/>
      <c r="BE269" s="552"/>
      <c r="BF269" s="552"/>
      <c r="BG269" s="552"/>
      <c r="BH269" s="552"/>
      <c r="BI269" s="552"/>
      <c r="BJ269" s="552"/>
      <c r="BK269" s="552"/>
      <c r="BL269" s="552"/>
      <c r="BM269" s="552"/>
      <c r="BN269" s="784"/>
      <c r="BO269" s="784"/>
      <c r="BP269" s="784"/>
      <c r="BS269" s="705" t="s">
        <v>2141</v>
      </c>
    </row>
    <row r="270" spans="1:75" ht="14.25" hidden="1" customHeight="1">
      <c r="B270" s="590" t="b" cm="1">
        <f t="array" ref="B270">B269</f>
        <v>0</v>
      </c>
      <c r="C270" s="44"/>
      <c r="D270" s="44"/>
      <c r="E270" s="462">
        <v>15</v>
      </c>
      <c r="F270" s="3" t="str" cm="1">
        <f t="array" aca="1" ref="F270" ca="1">OFFSET(E270,-1,1)</f>
        <v>1</v>
      </c>
      <c r="G270" s="44"/>
      <c r="H270" s="44"/>
      <c r="I270" s="44"/>
      <c r="J270" s="44"/>
      <c r="K270" s="44" t="s">
        <v>330</v>
      </c>
      <c r="L270" s="44"/>
      <c r="M270" s="44"/>
      <c r="N270" s="44"/>
      <c r="O270" s="44"/>
      <c r="P270" s="44"/>
      <c r="Q270" s="44"/>
      <c r="R270" s="44"/>
      <c r="S270" s="44"/>
      <c r="T270" s="590" t="b" cm="1">
        <f t="array" aca="1" ref="T270" ca="1">T269</f>
        <v>1</v>
      </c>
      <c r="U270" s="44"/>
      <c r="V270" s="44"/>
      <c r="W270" s="44"/>
      <c r="X270" s="1094"/>
      <c r="Z270" s="1065"/>
      <c r="AB270" s="143" t="s">
        <v>444</v>
      </c>
      <c r="AC270" s="151" t="s">
        <v>2142</v>
      </c>
      <c r="AD270" s="143" t="s">
        <v>804</v>
      </c>
      <c r="AE270" s="783"/>
      <c r="AF270" s="783"/>
      <c r="AG270" s="783"/>
      <c r="AH270" s="145">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145">
        <f>IF(AI270=0,0,(AT270-AI270)/AI270*100)</f>
        <v>0</v>
      </c>
      <c r="BE270" s="145">
        <f t="shared" ref="BE270:BM270" si="70">IF(AT270=0,0,(AU270-AT270)/AT270*100)</f>
        <v>0</v>
      </c>
      <c r="BF270" s="145">
        <f t="shared" si="70"/>
        <v>0</v>
      </c>
      <c r="BG270" s="145">
        <f t="shared" si="70"/>
        <v>0</v>
      </c>
      <c r="BH270" s="145">
        <f t="shared" si="70"/>
        <v>0</v>
      </c>
      <c r="BI270" s="145">
        <f t="shared" si="70"/>
        <v>0</v>
      </c>
      <c r="BJ270" s="145">
        <f t="shared" si="70"/>
        <v>0</v>
      </c>
      <c r="BK270" s="145">
        <f t="shared" si="70"/>
        <v>0</v>
      </c>
      <c r="BL270" s="145">
        <f t="shared" si="70"/>
        <v>0</v>
      </c>
      <c r="BM270" s="145">
        <f t="shared" si="70"/>
        <v>0</v>
      </c>
      <c r="BN270" s="786"/>
      <c r="BO270" s="786"/>
      <c r="BP270" s="786"/>
      <c r="BS270" s="705" t="s">
        <v>2143</v>
      </c>
    </row>
    <row r="271" spans="1:75" ht="14.25" hidden="1" customHeight="1">
      <c r="B271" s="590" t="b" cm="1">
        <f t="array" ref="B271">B270</f>
        <v>0</v>
      </c>
      <c r="C271" s="44"/>
      <c r="D271" s="44"/>
      <c r="E271" s="462">
        <v>15</v>
      </c>
      <c r="F271" s="3" t="str" cm="1">
        <f t="array" aca="1" ref="F271" ca="1">OFFSET(E271,-1,1)</f>
        <v>1</v>
      </c>
      <c r="G271" s="44"/>
      <c r="H271" s="44"/>
      <c r="I271" s="44"/>
      <c r="J271" s="44"/>
      <c r="K271" s="44" t="s">
        <v>550</v>
      </c>
      <c r="L271" s="44"/>
      <c r="M271" s="44"/>
      <c r="N271" s="44"/>
      <c r="O271" s="44"/>
      <c r="P271" s="44"/>
      <c r="Q271" s="44"/>
      <c r="R271" s="44"/>
      <c r="S271" s="44"/>
      <c r="T271" s="590" t="b" cm="1">
        <f t="array" aca="1" ref="T271" ca="1">T270</f>
        <v>1</v>
      </c>
      <c r="U271" s="44"/>
      <c r="V271" s="44"/>
      <c r="W271" s="44"/>
      <c r="X271" s="1094"/>
      <c r="Z271" s="1065"/>
      <c r="AB271" s="26" t="s">
        <v>680</v>
      </c>
      <c r="AC271" s="146" t="s">
        <v>2144</v>
      </c>
      <c r="AD271" s="26" t="s">
        <v>804</v>
      </c>
      <c r="AE271" s="787"/>
      <c r="AF271" s="787"/>
      <c r="AG271" s="787"/>
      <c r="AH271" s="55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52"/>
      <c r="BE271" s="552"/>
      <c r="BF271" s="552"/>
      <c r="BG271" s="552"/>
      <c r="BH271" s="552"/>
      <c r="BI271" s="552"/>
      <c r="BJ271" s="552"/>
      <c r="BK271" s="552"/>
      <c r="BL271" s="552"/>
      <c r="BM271" s="552"/>
      <c r="BN271" s="784"/>
      <c r="BO271" s="784"/>
      <c r="BP271" s="784"/>
      <c r="BS271" s="705" t="s">
        <v>2145</v>
      </c>
    </row>
    <row r="272" spans="1:75" ht="14.25" hidden="1" customHeight="1">
      <c r="B272" s="590" t="b" cm="1">
        <f t="array" ref="B272">B271</f>
        <v>0</v>
      </c>
      <c r="C272" s="44"/>
      <c r="D272" s="44"/>
      <c r="E272" s="462">
        <v>15</v>
      </c>
      <c r="F272" s="3" t="str" cm="1">
        <f t="array" aca="1" ref="F272" ca="1">OFFSET(E272,-1,1)</f>
        <v>1</v>
      </c>
      <c r="G272" s="44"/>
      <c r="H272" s="44"/>
      <c r="I272" s="44"/>
      <c r="J272" s="44"/>
      <c r="K272" s="44" t="s">
        <v>554</v>
      </c>
      <c r="L272" s="44"/>
      <c r="M272" s="44"/>
      <c r="N272" s="44"/>
      <c r="O272" s="44"/>
      <c r="P272" s="44"/>
      <c r="Q272" s="44"/>
      <c r="R272" s="44"/>
      <c r="S272" s="44"/>
      <c r="T272" s="590" t="b" cm="1">
        <f t="array" aca="1" ref="T272" ca="1">T271</f>
        <v>1</v>
      </c>
      <c r="U272" s="44"/>
      <c r="V272" s="44"/>
      <c r="W272" s="44"/>
      <c r="X272" s="1094"/>
      <c r="Z272" s="1065"/>
      <c r="AB272" s="26" t="s">
        <v>683</v>
      </c>
      <c r="AC272" s="146" t="s">
        <v>2146</v>
      </c>
      <c r="AD272" s="26" t="s">
        <v>456</v>
      </c>
      <c r="AE272" s="787"/>
      <c r="AF272" s="787"/>
      <c r="AG272" s="787"/>
      <c r="AH272" s="55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52"/>
      <c r="BE272" s="552"/>
      <c r="BF272" s="552"/>
      <c r="BG272" s="552"/>
      <c r="BH272" s="552"/>
      <c r="BI272" s="552"/>
      <c r="BJ272" s="552"/>
      <c r="BK272" s="552"/>
      <c r="BL272" s="552"/>
      <c r="BM272" s="552"/>
      <c r="BN272" s="784"/>
      <c r="BO272" s="784"/>
      <c r="BP272" s="784"/>
      <c r="BS272" s="705" t="s">
        <v>2147</v>
      </c>
    </row>
    <row r="273" spans="1:75" ht="14.25" hidden="1" customHeight="1">
      <c r="B273" s="590" t="b" cm="1">
        <f t="array" ref="B273">B272</f>
        <v>0</v>
      </c>
      <c r="C273" s="44"/>
      <c r="D273" s="44"/>
      <c r="E273" s="462">
        <v>15</v>
      </c>
      <c r="F273" s="3" t="str" cm="1">
        <f t="array" aca="1" ref="F273" ca="1">OFFSET(E273,-1,1)</f>
        <v>1</v>
      </c>
      <c r="G273" s="44"/>
      <c r="H273" s="44"/>
      <c r="I273" s="44"/>
      <c r="J273" s="44"/>
      <c r="K273" s="44" t="s">
        <v>770</v>
      </c>
      <c r="L273" s="44"/>
      <c r="M273" s="44"/>
      <c r="N273" s="44"/>
      <c r="O273" s="44"/>
      <c r="P273" s="44"/>
      <c r="Q273" s="44"/>
      <c r="R273" s="44"/>
      <c r="S273" s="44"/>
      <c r="T273" s="590" t="b" cm="1">
        <f t="array" aca="1" ref="T273" ca="1">T272</f>
        <v>1</v>
      </c>
      <c r="U273" s="44"/>
      <c r="V273" s="44"/>
      <c r="W273" s="44"/>
      <c r="X273" s="1094"/>
      <c r="Z273" s="1065"/>
      <c r="AB273" s="26" t="s">
        <v>952</v>
      </c>
      <c r="AC273" s="146" t="s">
        <v>2148</v>
      </c>
      <c r="AD273" s="26" t="s">
        <v>804</v>
      </c>
      <c r="AE273" s="787"/>
      <c r="AF273" s="787"/>
      <c r="AG273" s="787"/>
      <c r="AH273" s="55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52"/>
      <c r="BE273" s="552"/>
      <c r="BF273" s="552"/>
      <c r="BG273" s="552"/>
      <c r="BH273" s="552"/>
      <c r="BI273" s="552"/>
      <c r="BJ273" s="552"/>
      <c r="BK273" s="552"/>
      <c r="BL273" s="552"/>
      <c r="BM273" s="552"/>
      <c r="BN273" s="784"/>
      <c r="BO273" s="784"/>
      <c r="BP273" s="784"/>
      <c r="BS273" s="705" t="s">
        <v>2149</v>
      </c>
    </row>
    <row r="274" spans="1:75" ht="14.25" hidden="1" customHeight="1">
      <c r="B274" s="590" t="b" cm="1">
        <f t="array" ref="B274">B273</f>
        <v>0</v>
      </c>
      <c r="C274" s="44"/>
      <c r="D274" s="44"/>
      <c r="E274" s="462">
        <v>15</v>
      </c>
      <c r="F274" s="3" t="str" cm="1">
        <f t="array" aca="1" ref="F274" ca="1">OFFSET(E274,-1,1)</f>
        <v>1</v>
      </c>
      <c r="G274" s="44"/>
      <c r="H274" s="44"/>
      <c r="I274" s="44"/>
      <c r="J274" s="44"/>
      <c r="K274" s="44" t="s">
        <v>954</v>
      </c>
      <c r="L274" s="44"/>
      <c r="M274" s="44"/>
      <c r="N274" s="44"/>
      <c r="O274" s="44"/>
      <c r="P274" s="44"/>
      <c r="Q274" s="44"/>
      <c r="R274" s="44"/>
      <c r="S274" s="44"/>
      <c r="T274" s="590" t="b" cm="1">
        <f t="array" aca="1" ref="T274" ca="1">T273</f>
        <v>1</v>
      </c>
      <c r="U274" s="44"/>
      <c r="V274" s="44"/>
      <c r="W274" s="44"/>
      <c r="X274" s="1094"/>
      <c r="Z274" s="1065"/>
      <c r="AB274" s="26" t="s">
        <v>955</v>
      </c>
      <c r="AC274" s="146" t="s">
        <v>2150</v>
      </c>
      <c r="AD274" s="26" t="s">
        <v>804</v>
      </c>
      <c r="AE274" s="787"/>
      <c r="AF274" s="787"/>
      <c r="AG274" s="787"/>
      <c r="AH274" s="55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52"/>
      <c r="BE274" s="552"/>
      <c r="BF274" s="552"/>
      <c r="BG274" s="552"/>
      <c r="BH274" s="552"/>
      <c r="BI274" s="552"/>
      <c r="BJ274" s="552"/>
      <c r="BK274" s="552"/>
      <c r="BL274" s="552"/>
      <c r="BM274" s="552"/>
      <c r="BN274" s="784"/>
      <c r="BO274" s="784"/>
      <c r="BP274" s="784"/>
      <c r="BS274" s="705" t="s">
        <v>2151</v>
      </c>
    </row>
    <row r="275" spans="1:75" ht="14.25" hidden="1" customHeight="1">
      <c r="B275" s="590" t="b" cm="1">
        <f t="array" ref="B275">B274</f>
        <v>0</v>
      </c>
      <c r="C275" s="44"/>
      <c r="D275" s="44"/>
      <c r="E275" s="462">
        <v>15</v>
      </c>
      <c r="F275" s="3" t="str" cm="1">
        <f t="array" aca="1" ref="F275" ca="1">OFFSET(E275,-1,1)</f>
        <v>1</v>
      </c>
      <c r="G275" s="44"/>
      <c r="H275" s="44"/>
      <c r="I275" s="44"/>
      <c r="J275" s="44"/>
      <c r="K275" s="44" t="s">
        <v>2152</v>
      </c>
      <c r="L275" s="44"/>
      <c r="M275" s="44"/>
      <c r="N275" s="44"/>
      <c r="O275" s="44"/>
      <c r="P275" s="44"/>
      <c r="Q275" s="44"/>
      <c r="R275" s="44"/>
      <c r="S275" s="44"/>
      <c r="T275" s="590" t="b" cm="1">
        <f t="array" aca="1" ref="T275" ca="1">T274</f>
        <v>1</v>
      </c>
      <c r="U275" s="44"/>
      <c r="V275" s="44"/>
      <c r="W275" s="44"/>
      <c r="X275" s="1094"/>
      <c r="Z275" s="1065"/>
      <c r="AB275" s="26" t="s">
        <v>2153</v>
      </c>
      <c r="AC275" s="153" t="s">
        <v>2154</v>
      </c>
      <c r="AD275" s="26" t="s">
        <v>456</v>
      </c>
      <c r="AE275" s="787"/>
      <c r="AF275" s="787"/>
      <c r="AG275" s="787"/>
      <c r="AH275" s="55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52"/>
      <c r="BE275" s="552"/>
      <c r="BF275" s="552"/>
      <c r="BG275" s="552"/>
      <c r="BH275" s="552"/>
      <c r="BI275" s="552"/>
      <c r="BJ275" s="552"/>
      <c r="BK275" s="552"/>
      <c r="BL275" s="552"/>
      <c r="BM275" s="552"/>
      <c r="BN275" s="784"/>
      <c r="BO275" s="784"/>
      <c r="BP275" s="784"/>
      <c r="BS275" s="705" t="s">
        <v>2155</v>
      </c>
    </row>
    <row r="276" spans="1:75" ht="14.25" hidden="1" customHeight="1">
      <c r="B276" s="590" t="b" cm="1">
        <f t="array" ref="B276">B275</f>
        <v>0</v>
      </c>
      <c r="C276" s="44"/>
      <c r="D276" s="44"/>
      <c r="E276" s="462">
        <v>15</v>
      </c>
      <c r="F276" s="3" t="str" cm="1">
        <f t="array" aca="1" ref="F276" ca="1">OFFSET(E276,-1,1)</f>
        <v>1</v>
      </c>
      <c r="G276" s="44"/>
      <c r="H276" s="44"/>
      <c r="I276" s="44"/>
      <c r="J276" s="44"/>
      <c r="K276" s="44" t="s">
        <v>957</v>
      </c>
      <c r="L276" s="44"/>
      <c r="M276" s="44"/>
      <c r="N276" s="44"/>
      <c r="O276" s="44"/>
      <c r="P276" s="44"/>
      <c r="Q276" s="44"/>
      <c r="R276" s="44"/>
      <c r="S276" s="44"/>
      <c r="T276" s="590" t="b" cm="1">
        <f t="array" aca="1" ref="T276" ca="1">T275</f>
        <v>1</v>
      </c>
      <c r="U276" s="44"/>
      <c r="V276" s="44"/>
      <c r="W276" s="44"/>
      <c r="X276" s="1094"/>
      <c r="Z276" s="1065"/>
      <c r="AB276" s="26" t="s">
        <v>958</v>
      </c>
      <c r="AC276" s="146" t="s">
        <v>2156</v>
      </c>
      <c r="AD276" s="26" t="s">
        <v>456</v>
      </c>
      <c r="AE276" s="787"/>
      <c r="AF276" s="787"/>
      <c r="AG276" s="787"/>
      <c r="AH276" s="55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52"/>
      <c r="BE276" s="552"/>
      <c r="BF276" s="552"/>
      <c r="BG276" s="552"/>
      <c r="BH276" s="552"/>
      <c r="BI276" s="552"/>
      <c r="BJ276" s="552"/>
      <c r="BK276" s="552"/>
      <c r="BL276" s="552"/>
      <c r="BM276" s="552"/>
      <c r="BN276" s="784"/>
      <c r="BO276" s="784"/>
      <c r="BP276" s="784"/>
      <c r="BS276" s="705" t="s">
        <v>2157</v>
      </c>
    </row>
    <row r="277" spans="1:75" ht="14.25" hidden="1" customHeight="1">
      <c r="B277" s="590" t="b" cm="1">
        <f t="array" ref="B277">B276</f>
        <v>0</v>
      </c>
      <c r="C277" s="44"/>
      <c r="D277" s="44"/>
      <c r="E277" s="462">
        <v>15</v>
      </c>
      <c r="F277" s="3" t="str" cm="1">
        <f t="array" aca="1" ref="F277" ca="1">OFFSET(E277,-1,1)</f>
        <v>1</v>
      </c>
      <c r="G277" s="44"/>
      <c r="H277" s="44"/>
      <c r="I277" s="44"/>
      <c r="J277" s="44"/>
      <c r="K277" s="44" t="s">
        <v>2158</v>
      </c>
      <c r="L277" s="44"/>
      <c r="M277" s="44"/>
      <c r="N277" s="44"/>
      <c r="O277" s="44"/>
      <c r="P277" s="44"/>
      <c r="Q277" s="44"/>
      <c r="R277" s="44"/>
      <c r="S277" s="44"/>
      <c r="T277" s="590" t="b" cm="1">
        <f t="array" aca="1" ref="T277" ca="1">T276</f>
        <v>1</v>
      </c>
      <c r="U277" s="44"/>
      <c r="V277" s="44"/>
      <c r="W277" s="44"/>
      <c r="X277" s="1094"/>
      <c r="Z277" s="1065"/>
      <c r="AB277" s="26" t="s">
        <v>2159</v>
      </c>
      <c r="AC277" s="153" t="s">
        <v>2160</v>
      </c>
      <c r="AD277" s="26" t="s">
        <v>456</v>
      </c>
      <c r="AE277" s="787"/>
      <c r="AF277" s="787"/>
      <c r="AG277" s="787"/>
      <c r="AH277" s="55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52"/>
      <c r="BE277" s="552"/>
      <c r="BF277" s="552"/>
      <c r="BG277" s="552"/>
      <c r="BH277" s="552"/>
      <c r="BI277" s="552"/>
      <c r="BJ277" s="552"/>
      <c r="BK277" s="552"/>
      <c r="BL277" s="552"/>
      <c r="BM277" s="552"/>
      <c r="BN277" s="784"/>
      <c r="BO277" s="784"/>
      <c r="BP277" s="784"/>
      <c r="BS277" s="705" t="s">
        <v>2161</v>
      </c>
    </row>
    <row r="278" spans="1:75" ht="14.25" hidden="1" customHeight="1">
      <c r="B278" s="590" t="b" cm="1">
        <f t="array" ref="B278">B277</f>
        <v>0</v>
      </c>
      <c r="C278" s="44"/>
      <c r="D278" s="44"/>
      <c r="E278" s="462">
        <v>15</v>
      </c>
      <c r="F278" s="3" t="str" cm="1">
        <f t="array" aca="1" ref="F278" ca="1">OFFSET(E278,-1,1)</f>
        <v>1</v>
      </c>
      <c r="G278" s="44"/>
      <c r="H278" s="44"/>
      <c r="I278" s="44"/>
      <c r="J278" s="44"/>
      <c r="K278" s="44" t="s">
        <v>2162</v>
      </c>
      <c r="L278" s="44"/>
      <c r="M278" s="44"/>
      <c r="N278" s="44"/>
      <c r="O278" s="44"/>
      <c r="P278" s="44"/>
      <c r="Q278" s="44"/>
      <c r="R278" s="44"/>
      <c r="S278" s="44"/>
      <c r="T278" s="590" t="b" cm="1">
        <f t="array" aca="1" ref="T278" ca="1">T277</f>
        <v>1</v>
      </c>
      <c r="U278" s="44"/>
      <c r="V278" s="44"/>
      <c r="W278" s="44"/>
      <c r="X278" s="1094"/>
      <c r="Z278" s="1065"/>
      <c r="AB278" s="26" t="s">
        <v>2163</v>
      </c>
      <c r="AC278" s="153" t="s">
        <v>2164</v>
      </c>
      <c r="AD278" s="26" t="s">
        <v>456</v>
      </c>
      <c r="AE278" s="787"/>
      <c r="AF278" s="787"/>
      <c r="AG278" s="787"/>
      <c r="AH278" s="55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52"/>
      <c r="BE278" s="552"/>
      <c r="BF278" s="552"/>
      <c r="BG278" s="552"/>
      <c r="BH278" s="552"/>
      <c r="BI278" s="552"/>
      <c r="BJ278" s="552"/>
      <c r="BK278" s="552"/>
      <c r="BL278" s="552"/>
      <c r="BM278" s="552"/>
      <c r="BN278" s="784"/>
      <c r="BO278" s="784"/>
      <c r="BP278" s="784"/>
      <c r="BS278" s="705" t="s">
        <v>2165</v>
      </c>
    </row>
    <row r="279" spans="1:75" s="950" customFormat="1" ht="20.45" customHeight="1">
      <c r="A279" s="95"/>
      <c r="B279" s="344"/>
      <c r="C279" s="46"/>
      <c r="D279" s="46" t="str">
        <f>IF(B278,"6","7")</f>
        <v>7</v>
      </c>
      <c r="E279" s="569">
        <v>21</v>
      </c>
      <c r="F279" s="3" t="str" cm="1">
        <f t="array" aca="1" ref="F279" ca="1">OFFSET(E279,-1,1)</f>
        <v>1</v>
      </c>
      <c r="G279" s="44" t="s">
        <v>2166</v>
      </c>
      <c r="H279" s="44"/>
      <c r="I279" s="296" t="s">
        <v>2167</v>
      </c>
      <c r="J279" s="46"/>
      <c r="K279" s="292" t="s">
        <v>2167</v>
      </c>
      <c r="L279" s="46"/>
      <c r="M279" s="46"/>
      <c r="N279" s="46"/>
      <c r="O279" s="46"/>
      <c r="P279" s="46"/>
      <c r="Q279" s="46"/>
      <c r="R279" s="46"/>
      <c r="S279" s="46"/>
      <c r="T279" s="365" t="b" cm="1">
        <f t="array" aca="1" ref="T279" ca="1">T278</f>
        <v>1</v>
      </c>
      <c r="U279" s="46"/>
      <c r="V279" s="46"/>
      <c r="W279" s="46"/>
      <c r="X279" s="1094"/>
      <c r="Y279" s="95"/>
      <c r="Z279" s="1065"/>
      <c r="AA279" s="95"/>
      <c r="AB279" s="143" t="str" cm="1">
        <f t="array" ref="AB279">D279</f>
        <v>7</v>
      </c>
      <c r="AC279" s="151" t="s">
        <v>1590</v>
      </c>
      <c r="AD279" s="143" t="s">
        <v>804</v>
      </c>
      <c r="AE279" s="157">
        <v>-634.2433967833</v>
      </c>
      <c r="AF279" s="157"/>
      <c r="AG279" s="157"/>
      <c r="AH279" s="145">
        <f>AG279-AF279</f>
        <v>0</v>
      </c>
      <c r="AI279" s="157">
        <v>1473.6363770465</v>
      </c>
      <c r="AJ279" s="157">
        <f ca="1">SUMIFS('Корректировка НВВ'!$AF$25:$AF$180,'Корректировка НВВ'!$F$25:$F$180,$F279,'Корректировка НВВ'!$I$25:$I$180,$G279)</f>
        <v>9198.2030000000104</v>
      </c>
      <c r="AK279" s="783"/>
      <c r="AL279" s="783"/>
      <c r="AM279" s="783"/>
      <c r="AN279" s="783"/>
      <c r="AO279" s="783"/>
      <c r="AP279" s="783"/>
      <c r="AQ279" s="783"/>
      <c r="AR279" s="783"/>
      <c r="AS279" s="783"/>
      <c r="AT279" s="157">
        <f ca="1">SUMIFS('Корректировка НВВ'!$AG$25:$AG$180,'Корректировка НВВ'!$F$25:$F$180,$F279,'Корректировка НВВ'!$I$25:$I$180,$G279)</f>
        <v>1791.1627599999938</v>
      </c>
      <c r="AU279" s="783"/>
      <c r="AV279" s="783"/>
      <c r="AW279" s="783"/>
      <c r="AX279" s="783"/>
      <c r="AY279" s="783"/>
      <c r="AZ279" s="783"/>
      <c r="BA279" s="783"/>
      <c r="BB279" s="783"/>
      <c r="BC279" s="783"/>
      <c r="BD279" s="145">
        <f ca="1">IF(AI279=0,0,(AT279-AI279)/AI279*100)</f>
        <v>21.547132515138394</v>
      </c>
      <c r="BE279" s="145">
        <f t="shared" ref="BE279:BM279" ca="1" si="71">IF(AT279=0,0,(AU279-AT279)/AT279*100)</f>
        <v>-100</v>
      </c>
      <c r="BF279" s="145">
        <f t="shared" si="71"/>
        <v>0</v>
      </c>
      <c r="BG279" s="145">
        <f t="shared" si="71"/>
        <v>0</v>
      </c>
      <c r="BH279" s="145">
        <f t="shared" si="71"/>
        <v>0</v>
      </c>
      <c r="BI279" s="145">
        <f t="shared" si="71"/>
        <v>0</v>
      </c>
      <c r="BJ279" s="145">
        <f t="shared" si="71"/>
        <v>0</v>
      </c>
      <c r="BK279" s="145">
        <f t="shared" si="71"/>
        <v>0</v>
      </c>
      <c r="BL279" s="145">
        <f t="shared" si="71"/>
        <v>0</v>
      </c>
      <c r="BM279" s="145">
        <f t="shared" si="71"/>
        <v>0</v>
      </c>
      <c r="BN279" s="566"/>
      <c r="BO279" s="610" t="str">
        <f ca="1">IF(IFERROR(INDEX('Корректировка НВВ'!$K$26:$L$180,MATCH($F279&amp;"11komm",'Корректировка НВВ'!$K$26:$K$180,0),2),"")=0,"",IFERROR(INDEX('Корректировка НВВ'!$K$26:$L$180,MATCH($F279&amp;"11komm",'Корректировка НВВ'!$K$26:$K$180,0),2),""))</f>
        <v/>
      </c>
      <c r="BP279" s="566"/>
      <c r="BQ279" s="95"/>
      <c r="BR279" s="95"/>
      <c r="BS279" s="711" t="s">
        <v>2168</v>
      </c>
      <c r="BT279" s="711"/>
      <c r="BU279" s="711"/>
      <c r="BV279" s="522"/>
      <c r="BW279" s="522"/>
    </row>
    <row r="280" spans="1:75" ht="14.25" customHeight="1">
      <c r="C280" s="44"/>
      <c r="D280" s="44" t="str" cm="1">
        <f t="array" ref="D280">D279</f>
        <v>7</v>
      </c>
      <c r="E280" s="462">
        <v>15</v>
      </c>
      <c r="F280" s="3" t="str" cm="1">
        <f t="array" aca="1" ref="F280" ca="1">OFFSET(E280,-1,1)</f>
        <v>1</v>
      </c>
      <c r="G280" s="44"/>
      <c r="H280" s="44"/>
      <c r="I280" s="44"/>
      <c r="J280" s="44"/>
      <c r="L280" s="44"/>
      <c r="M280" s="44"/>
      <c r="N280" s="44"/>
      <c r="O280" s="44"/>
      <c r="P280" s="44"/>
      <c r="Q280" s="44"/>
      <c r="R280" s="44"/>
      <c r="S280" s="44"/>
      <c r="T280" s="365" t="b" cm="1">
        <f t="array" aca="1" ref="T280" ca="1">T279</f>
        <v>1</v>
      </c>
      <c r="U280" s="44"/>
      <c r="V280" s="44"/>
      <c r="W280" s="44"/>
      <c r="X280" s="1094"/>
      <c r="Z280" s="1065"/>
      <c r="AB280" s="26"/>
      <c r="AC280" s="358" t="s">
        <v>2169</v>
      </c>
      <c r="AD280" s="26"/>
      <c r="AE280" s="552"/>
      <c r="AF280" s="552"/>
      <c r="AG280" s="552"/>
      <c r="AH280" s="552"/>
      <c r="AI280" s="552"/>
      <c r="AJ280" s="552"/>
      <c r="AK280" s="552"/>
      <c r="AL280" s="552"/>
      <c r="AM280" s="552"/>
      <c r="AN280" s="552"/>
      <c r="AO280" s="552"/>
      <c r="AP280" s="552"/>
      <c r="AQ280" s="552"/>
      <c r="AR280" s="552"/>
      <c r="AS280" s="552"/>
      <c r="AT280" s="552"/>
      <c r="AU280" s="552"/>
      <c r="AV280" s="552"/>
      <c r="AW280" s="552"/>
      <c r="AX280" s="552"/>
      <c r="AY280" s="552"/>
      <c r="AZ280" s="552"/>
      <c r="BA280" s="552"/>
      <c r="BB280" s="552"/>
      <c r="BC280" s="552"/>
      <c r="BD280" s="552"/>
      <c r="BE280" s="552"/>
      <c r="BF280" s="552"/>
      <c r="BG280" s="552"/>
      <c r="BH280" s="552"/>
      <c r="BI280" s="552"/>
      <c r="BJ280" s="552"/>
      <c r="BK280" s="552"/>
      <c r="BL280" s="552"/>
      <c r="BM280" s="552"/>
      <c r="BN280" s="398"/>
      <c r="BO280" s="398"/>
      <c r="BP280" s="398"/>
    </row>
    <row r="281" spans="1:75" ht="23.25" customHeight="1">
      <c r="C281" s="44"/>
      <c r="D281" s="44" t="str" cm="1">
        <f t="array" ref="D281">D280</f>
        <v>7</v>
      </c>
      <c r="E281" s="462">
        <v>22.5</v>
      </c>
      <c r="F281" s="3" t="str" cm="1">
        <f t="array" aca="1" ref="F281" ca="1">OFFSET(E281,-1,1)</f>
        <v>1</v>
      </c>
      <c r="G281" s="44" t="s">
        <v>368</v>
      </c>
      <c r="H281" s="44"/>
      <c r="I281" s="44" t="s">
        <v>514</v>
      </c>
      <c r="J281" s="44"/>
      <c r="K281" s="91" t="s">
        <v>514</v>
      </c>
      <c r="L281" s="44"/>
      <c r="M281" s="44"/>
      <c r="N281" s="44"/>
      <c r="O281" s="44"/>
      <c r="P281" s="44"/>
      <c r="Q281" s="44"/>
      <c r="R281" s="44"/>
      <c r="S281" s="44"/>
      <c r="T281" s="365" t="b" cm="1">
        <f t="array" aca="1" ref="T281" ca="1">T280</f>
        <v>1</v>
      </c>
      <c r="U281" s="44"/>
      <c r="V281" s="44"/>
      <c r="W281" s="44"/>
      <c r="X281" s="1094"/>
      <c r="Z281" s="1065"/>
      <c r="AB281" s="26" t="str">
        <f>D281&amp;".1"</f>
        <v>7.1</v>
      </c>
      <c r="AC281" s="146" t="s">
        <v>2170</v>
      </c>
      <c r="AD281" s="26" t="s">
        <v>804</v>
      </c>
      <c r="AE281" s="147">
        <v>0</v>
      </c>
      <c r="AF281" s="147"/>
      <c r="AG281" s="147"/>
      <c r="AH281" s="190">
        <f t="shared" ref="AH281:AH294" si="72">AG281-AF281</f>
        <v>0</v>
      </c>
      <c r="AI281" s="147">
        <v>0</v>
      </c>
      <c r="AJ281" s="147">
        <f ca="1">SUMIFS('Корректировка НВВ'!$AF$25:$AF$180,'Корректировка НВВ'!$F$25:$F$180,$F281,'Корректировка НВВ'!$I$25:$I$180,$G281)</f>
        <v>0</v>
      </c>
      <c r="AK281" s="787"/>
      <c r="AL281" s="787"/>
      <c r="AM281" s="787"/>
      <c r="AN281" s="787"/>
      <c r="AO281" s="787"/>
      <c r="AP281" s="787"/>
      <c r="AQ281" s="787"/>
      <c r="AR281" s="787"/>
      <c r="AS281" s="787"/>
      <c r="AT281" s="147">
        <f ca="1">SUMIFS('Корректировка НВВ'!$AG$25:$AG$180,'Корректировка НВВ'!$F$25:$F$180,$F281,'Корректировка НВВ'!$I$25:$I$180,$G281)</f>
        <v>0</v>
      </c>
      <c r="AU281" s="787"/>
      <c r="AV281" s="787"/>
      <c r="AW281" s="787"/>
      <c r="AX281" s="787"/>
      <c r="AY281" s="787"/>
      <c r="AZ281" s="787"/>
      <c r="BA281" s="787"/>
      <c r="BB281" s="787"/>
      <c r="BC281" s="787"/>
      <c r="BD281" s="552"/>
      <c r="BE281" s="552"/>
      <c r="BF281" s="552"/>
      <c r="BG281" s="552"/>
      <c r="BH281" s="552"/>
      <c r="BI281" s="552"/>
      <c r="BJ281" s="552"/>
      <c r="BK281" s="552"/>
      <c r="BL281" s="552"/>
      <c r="BM281" s="552"/>
      <c r="BN281" s="215"/>
      <c r="BO281" s="610" t="str">
        <f ca="1">IF(IFERROR(INDEX('Корректировка НВВ'!$K$26:$L$180,MATCH($F281&amp;"1komm",'Корректировка НВВ'!$K$26:$K$180,0),2),"")=0,"",IFERROR(INDEX('Корректировка НВВ'!$K$26:$L$180,MATCH($F281&amp;"1komm",'Корректировка НВВ'!$K$26:$K$180,0),2),""))</f>
        <v/>
      </c>
      <c r="BP281" s="215"/>
      <c r="BS281" s="705" t="s">
        <v>2171</v>
      </c>
    </row>
    <row r="282" spans="1:75" ht="98.65" customHeight="1">
      <c r="C282" s="44"/>
      <c r="D282" s="44" t="str" cm="1">
        <f t="array" ref="D282">D281</f>
        <v>7</v>
      </c>
      <c r="E282" s="462">
        <v>101.25</v>
      </c>
      <c r="F282" s="3" t="str" cm="1">
        <f t="array" aca="1" ref="F282" ca="1">OFFSET(E282,-1,1)</f>
        <v>1</v>
      </c>
      <c r="G282" s="44" t="s">
        <v>2172</v>
      </c>
      <c r="H282" s="44"/>
      <c r="I282" s="44" t="s">
        <v>562</v>
      </c>
      <c r="J282" s="44"/>
      <c r="K282" s="91" t="s">
        <v>562</v>
      </c>
      <c r="L282" s="44"/>
      <c r="M282" s="44"/>
      <c r="N282" s="44"/>
      <c r="O282" s="44"/>
      <c r="P282" s="44"/>
      <c r="Q282" s="44"/>
      <c r="R282" s="44"/>
      <c r="S282" s="44"/>
      <c r="T282" s="365" t="b" cm="1">
        <f t="array" aca="1" ref="T282" ca="1">T281</f>
        <v>1</v>
      </c>
      <c r="U282" s="44"/>
      <c r="V282" s="44"/>
      <c r="W282" s="44"/>
      <c r="X282" s="1094"/>
      <c r="Z282" s="1065"/>
      <c r="AB282" s="26" t="str">
        <f>D282&amp;".2"</f>
        <v>7.2</v>
      </c>
      <c r="AC282" s="146" t="s">
        <v>2173</v>
      </c>
      <c r="AD282" s="26" t="s">
        <v>804</v>
      </c>
      <c r="AE282" s="147">
        <v>0</v>
      </c>
      <c r="AF282" s="147"/>
      <c r="AG282" s="147"/>
      <c r="AH282" s="190">
        <f t="shared" si="72"/>
        <v>0</v>
      </c>
      <c r="AI282" s="147">
        <v>0</v>
      </c>
      <c r="AJ282" s="147">
        <f ca="1">SUMIFS('Корректировка НВВ'!$AF$25:$AF$180,'Корректировка НВВ'!$F$25:$F$180,$F282,'Корректировка НВВ'!$I$25:$I$180,$G282)</f>
        <v>0</v>
      </c>
      <c r="AK282" s="787"/>
      <c r="AL282" s="787"/>
      <c r="AM282" s="787"/>
      <c r="AN282" s="787"/>
      <c r="AO282" s="787"/>
      <c r="AP282" s="787"/>
      <c r="AQ282" s="787"/>
      <c r="AR282" s="787"/>
      <c r="AS282" s="787"/>
      <c r="AT282" s="147">
        <f ca="1">SUMIFS('Корректировка НВВ'!$AG$25:$AG$180,'Корректировка НВВ'!$F$25:$F$180,$F282,'Корректировка НВВ'!$I$25:$I$180,$G282)</f>
        <v>0</v>
      </c>
      <c r="AU282" s="787"/>
      <c r="AV282" s="787"/>
      <c r="AW282" s="787"/>
      <c r="AX282" s="787"/>
      <c r="AY282" s="787"/>
      <c r="AZ282" s="787"/>
      <c r="BA282" s="787"/>
      <c r="BB282" s="787"/>
      <c r="BC282" s="787"/>
      <c r="BD282" s="552"/>
      <c r="BE282" s="552"/>
      <c r="BF282" s="552"/>
      <c r="BG282" s="552"/>
      <c r="BH282" s="552"/>
      <c r="BI282" s="552"/>
      <c r="BJ282" s="552"/>
      <c r="BK282" s="552"/>
      <c r="BL282" s="552"/>
      <c r="BM282" s="552"/>
      <c r="BN282" s="215"/>
      <c r="BO282" s="610" t="str">
        <f ca="1">IF(IFERROR(INDEX('Корректировка НВВ'!$K$26:$L$180,MATCH($F282&amp;"2komm",'Корректировка НВВ'!$K$26:$K$180,0),2),"")=0,"",IFERROR(INDEX('Корректировка НВВ'!$K$26:$L$180,MATCH($F282&amp;"2komm",'Корректировка НВВ'!$K$26:$K$180,0),2),""))</f>
        <v/>
      </c>
      <c r="BP282" s="215"/>
      <c r="BS282" s="705" t="s">
        <v>2174</v>
      </c>
    </row>
    <row r="283" spans="1:75" ht="43.9" customHeight="1">
      <c r="C283" s="44"/>
      <c r="D283" s="44" t="str" cm="1">
        <f t="array" ref="D283">D282</f>
        <v>7</v>
      </c>
      <c r="E283" s="462">
        <v>45</v>
      </c>
      <c r="F283" s="3" t="str" cm="1">
        <f t="array" aca="1" ref="F283" ca="1">OFFSET(E283,-1,1)</f>
        <v>1</v>
      </c>
      <c r="G283" s="44"/>
      <c r="H283" s="44"/>
      <c r="I283" s="44" t="s">
        <v>577</v>
      </c>
      <c r="J283" s="44"/>
      <c r="K283" s="91" t="s">
        <v>577</v>
      </c>
      <c r="L283" s="44"/>
      <c r="M283" s="44"/>
      <c r="N283" s="44"/>
      <c r="O283" s="44"/>
      <c r="P283" s="44"/>
      <c r="Q283" s="44"/>
      <c r="R283" s="44"/>
      <c r="S283" s="44"/>
      <c r="T283" s="365" t="b" cm="1">
        <f t="array" aca="1" ref="T283" ca="1">T282</f>
        <v>1</v>
      </c>
      <c r="U283" s="44"/>
      <c r="V283" s="44"/>
      <c r="W283" s="44"/>
      <c r="X283" s="1094"/>
      <c r="Z283" s="1065"/>
      <c r="AB283" s="26" t="str">
        <f>D283&amp;".3"</f>
        <v>7.3</v>
      </c>
      <c r="AC283" s="146" t="s">
        <v>2175</v>
      </c>
      <c r="AD283" s="26" t="s">
        <v>804</v>
      </c>
      <c r="AE283" s="147">
        <v>0</v>
      </c>
      <c r="AF283" s="147"/>
      <c r="AG283" s="147"/>
      <c r="AH283" s="190">
        <f t="shared" si="72"/>
        <v>0</v>
      </c>
      <c r="AI283" s="147">
        <v>1484.3657732649001</v>
      </c>
      <c r="AJ283" s="147">
        <f ca="1">SUMIFS('Корректировка НВВ'!$AF$25:$AF$180,'Корректировка НВВ'!$F$25:$F$180,$F283,'Корректировка НВВ'!$I$25:$I$180,"L1")+SUMIFS('Корректировка НВВ'!$AF$25:$AF$180,'Корректировка НВВ'!$F$25:$F$180,$F283,'Корректировка НВВ'!$I$25:$I$180,"L2")</f>
        <v>9767.9760000000097</v>
      </c>
      <c r="AK283" s="787"/>
      <c r="AL283" s="787"/>
      <c r="AM283" s="787"/>
      <c r="AN283" s="787"/>
      <c r="AO283" s="787"/>
      <c r="AP283" s="787"/>
      <c r="AQ283" s="787"/>
      <c r="AR283" s="787"/>
      <c r="AS283" s="787"/>
      <c r="AT283" s="147">
        <f ca="1">SUMIFS('Корректировка НВВ'!$AG$25:$AG$180,'Корректировка НВВ'!$F$25:$F$180,$F283,'Корректировка НВВ'!$I$25:$I$180,"L1")+SUMIFS('Корректировка НВВ'!$AF$25:$AF$180,'Корректировка НВВ'!$F$25:$F$180,$F283,'Корректировка НВВ'!$I$25:$I$180,"L2")</f>
        <v>2223.2257599999939</v>
      </c>
      <c r="AU283" s="787"/>
      <c r="AV283" s="787"/>
      <c r="AW283" s="787"/>
      <c r="AX283" s="787"/>
      <c r="AY283" s="787"/>
      <c r="AZ283" s="787"/>
      <c r="BA283" s="787"/>
      <c r="BB283" s="787"/>
      <c r="BC283" s="787"/>
      <c r="BD283" s="552"/>
      <c r="BE283" s="552"/>
      <c r="BF283" s="552"/>
      <c r="BG283" s="552"/>
      <c r="BH283" s="552"/>
      <c r="BI283" s="552"/>
      <c r="BJ283" s="552"/>
      <c r="BK283" s="552"/>
      <c r="BL283" s="552"/>
      <c r="BM283" s="552"/>
      <c r="BN283" s="215"/>
      <c r="BO283" s="610"/>
      <c r="BP283" s="215"/>
      <c r="BS283" s="705" t="s">
        <v>2176</v>
      </c>
    </row>
    <row r="284" spans="1:75" ht="87.75" hidden="1" customHeight="1">
      <c r="B284" s="353" t="b">
        <f>S171="Водоотведение"</f>
        <v>0</v>
      </c>
      <c r="C284" s="44"/>
      <c r="D284" s="44" t="str" cm="1">
        <f t="array" ref="D284">D283</f>
        <v>7</v>
      </c>
      <c r="E284" s="462">
        <v>90</v>
      </c>
      <c r="F284" s="3" t="str" cm="1">
        <f t="array" aca="1" ref="F284" ca="1">OFFSET(E284,-1,1)</f>
        <v>1</v>
      </c>
      <c r="G284" s="44" t="s">
        <v>2177</v>
      </c>
      <c r="H284" s="581"/>
      <c r="I284" s="44" t="s">
        <v>746</v>
      </c>
      <c r="J284" s="44"/>
      <c r="K284" s="91" t="s">
        <v>746</v>
      </c>
      <c r="L284" s="44" t="s">
        <v>743</v>
      </c>
      <c r="M284" s="44"/>
      <c r="N284" s="44"/>
      <c r="O284" s="44"/>
      <c r="P284" s="44"/>
      <c r="Q284" s="44"/>
      <c r="R284" s="44"/>
      <c r="S284" s="44"/>
      <c r="T284" s="365" t="b" cm="1">
        <f t="array" aca="1" ref="T284" ca="1">T283</f>
        <v>1</v>
      </c>
      <c r="U284" s="44"/>
      <c r="V284" s="44"/>
      <c r="W284" s="44"/>
      <c r="X284" s="1094"/>
      <c r="Z284" s="1065"/>
      <c r="AB284" s="26" t="str">
        <f>D284&amp;".4"</f>
        <v>7.4</v>
      </c>
      <c r="AC284" s="146" t="s">
        <v>1839</v>
      </c>
      <c r="AD284" s="28" t="s">
        <v>804</v>
      </c>
      <c r="AE284" s="787"/>
      <c r="AF284" s="787"/>
      <c r="AG284" s="787"/>
      <c r="AH284" s="190">
        <f t="shared" si="72"/>
        <v>0</v>
      </c>
      <c r="AI284" s="787"/>
      <c r="AJ284" s="787">
        <f ca="1">SUMIFS('Корректировка НВВ'!$AF$25:$AF$180,'Корректировка НВВ'!$F$25:$F$180,$F284,'Корректировка НВВ'!$I$25:$I$180,$G284)</f>
        <v>0</v>
      </c>
      <c r="AK284" s="787"/>
      <c r="AL284" s="787"/>
      <c r="AM284" s="787"/>
      <c r="AN284" s="787"/>
      <c r="AO284" s="787"/>
      <c r="AP284" s="787"/>
      <c r="AQ284" s="787"/>
      <c r="AR284" s="787"/>
      <c r="AS284" s="787"/>
      <c r="AT284" s="787">
        <f ca="1">SUMIFS('Корректировка НВВ'!$AG$25:$AG$180,'Корректировка НВВ'!$F$25:$F$180,$F284,'Корректировка НВВ'!$I$25:$I$180,$G284)</f>
        <v>0</v>
      </c>
      <c r="AU284" s="787"/>
      <c r="AV284" s="787"/>
      <c r="AW284" s="787"/>
      <c r="AX284" s="787"/>
      <c r="AY284" s="787"/>
      <c r="AZ284" s="787"/>
      <c r="BA284" s="787"/>
      <c r="BB284" s="787"/>
      <c r="BC284" s="787"/>
      <c r="BD284" s="552"/>
      <c r="BE284" s="552"/>
      <c r="BF284" s="552"/>
      <c r="BG284" s="552"/>
      <c r="BH284" s="552"/>
      <c r="BI284" s="552"/>
      <c r="BJ284" s="552"/>
      <c r="BK284" s="552"/>
      <c r="BL284" s="552"/>
      <c r="BM284" s="552"/>
      <c r="BN284" s="784"/>
      <c r="BO284" s="788" t="str">
        <f ca="1">IF(IFERROR(INDEX('Корректировка НВВ'!$K$26:$L$180,MATCH($F284&amp;"3komm",'Корректировка НВВ'!$K$26:$K$180,0),2),"")=0,"",IFERROR(INDEX('Корректировка НВВ'!$K$26:$L$180,MATCH($F284&amp;"3komm",'Корректировка НВВ'!$K$26:$K$180,0),2),""))</f>
        <v/>
      </c>
      <c r="BP284" s="784"/>
      <c r="BS284" s="705" t="s">
        <v>1366</v>
      </c>
    </row>
    <row r="285" spans="1:75" ht="54.75" hidden="1" customHeight="1">
      <c r="B285" s="353" t="b" cm="1">
        <f t="array" ref="B285">B284</f>
        <v>0</v>
      </c>
      <c r="C285" s="44"/>
      <c r="D285" s="44" t="str" cm="1">
        <f t="array" ref="D285">D284</f>
        <v>7</v>
      </c>
      <c r="E285" s="462">
        <v>56.25</v>
      </c>
      <c r="F285" s="3" t="str" cm="1">
        <f t="array" aca="1" ref="F285" ca="1">OFFSET(E285,-1,1)</f>
        <v>1</v>
      </c>
      <c r="G285" s="44" t="s">
        <v>2178</v>
      </c>
      <c r="H285" s="581"/>
      <c r="I285" s="44" t="s">
        <v>782</v>
      </c>
      <c r="J285" s="44"/>
      <c r="K285" s="91" t="s">
        <v>782</v>
      </c>
      <c r="L285" s="44" t="s">
        <v>746</v>
      </c>
      <c r="M285" s="44"/>
      <c r="N285" s="44"/>
      <c r="O285" s="44"/>
      <c r="P285" s="44"/>
      <c r="Q285" s="44"/>
      <c r="R285" s="44"/>
      <c r="S285" s="44"/>
      <c r="T285" s="365" t="b" cm="1">
        <f t="array" aca="1" ref="T285" ca="1">T284</f>
        <v>1</v>
      </c>
      <c r="U285" s="44"/>
      <c r="V285" s="44"/>
      <c r="W285" s="44"/>
      <c r="X285" s="1094"/>
      <c r="Z285" s="1065"/>
      <c r="AB285" s="26" t="str">
        <f>D285&amp;".5"</f>
        <v>7.5</v>
      </c>
      <c r="AC285" s="146" t="s">
        <v>1841</v>
      </c>
      <c r="AD285" s="28" t="s">
        <v>804</v>
      </c>
      <c r="AE285" s="787"/>
      <c r="AF285" s="787"/>
      <c r="AG285" s="787"/>
      <c r="AH285" s="190">
        <f t="shared" si="72"/>
        <v>0</v>
      </c>
      <c r="AI285" s="787"/>
      <c r="AJ285" s="787">
        <f ca="1">SUMIFS('Корректировка НВВ'!$AF$25:$AF$180,'Корректировка НВВ'!$F$25:$F$180,$F285,'Корректировка НВВ'!$I$25:$I$180,$G285)</f>
        <v>0</v>
      </c>
      <c r="AK285" s="787"/>
      <c r="AL285" s="787"/>
      <c r="AM285" s="787"/>
      <c r="AN285" s="787"/>
      <c r="AO285" s="787"/>
      <c r="AP285" s="787"/>
      <c r="AQ285" s="787"/>
      <c r="AR285" s="787"/>
      <c r="AS285" s="787"/>
      <c r="AT285" s="787">
        <f ca="1">SUMIFS('Корректировка НВВ'!$AG$25:$AG$180,'Корректировка НВВ'!$F$25:$F$180,$F285,'Корректировка НВВ'!$I$25:$I$180,$G285)</f>
        <v>0</v>
      </c>
      <c r="AU285" s="787"/>
      <c r="AV285" s="787"/>
      <c r="AW285" s="787"/>
      <c r="AX285" s="787"/>
      <c r="AY285" s="787"/>
      <c r="AZ285" s="787"/>
      <c r="BA285" s="787"/>
      <c r="BB285" s="787"/>
      <c r="BC285" s="787"/>
      <c r="BD285" s="552"/>
      <c r="BE285" s="552"/>
      <c r="BF285" s="552"/>
      <c r="BG285" s="552"/>
      <c r="BH285" s="552"/>
      <c r="BI285" s="552"/>
      <c r="BJ285" s="552"/>
      <c r="BK285" s="552"/>
      <c r="BL285" s="552"/>
      <c r="BM285" s="552"/>
      <c r="BN285" s="784"/>
      <c r="BO285" s="788" t="str">
        <f ca="1">IF(IFERROR(INDEX('Корректировка НВВ'!$K$26:$L$180,MATCH($F285&amp;"4komm",'Корректировка НВВ'!$K$26:$K$180,0),2),"")=0,"",IFERROR(INDEX('Корректировка НВВ'!$K$26:$L$180,MATCH($F285&amp;"4komm",'Корректировка НВВ'!$K$26:$K$180,0),2),""))</f>
        <v/>
      </c>
      <c r="BP285" s="784"/>
      <c r="BS285" s="705" t="s">
        <v>1370</v>
      </c>
    </row>
    <row r="286" spans="1:75" ht="14.65" customHeight="1">
      <c r="B286" s="65"/>
      <c r="C286" s="44"/>
      <c r="D286" s="44" t="str" cm="1">
        <f t="array" ref="D286">D285</f>
        <v>7</v>
      </c>
      <c r="E286" s="462">
        <v>15</v>
      </c>
      <c r="F286" s="3" t="str" cm="1">
        <f t="array" aca="1" ref="F286" ca="1">OFFSET(E286,-1,1)</f>
        <v>1</v>
      </c>
      <c r="G286" s="44" t="s">
        <v>2179</v>
      </c>
      <c r="H286" s="44"/>
      <c r="I286" s="44" t="s">
        <v>783</v>
      </c>
      <c r="J286" s="44"/>
      <c r="K286" s="91" t="s">
        <v>783</v>
      </c>
      <c r="L286" s="44" t="s">
        <v>782</v>
      </c>
      <c r="M286" s="44"/>
      <c r="N286" s="44"/>
      <c r="O286" s="44"/>
      <c r="P286" s="44"/>
      <c r="Q286" s="44"/>
      <c r="R286" s="44"/>
      <c r="S286" s="44"/>
      <c r="T286" s="365" t="b" cm="1">
        <f t="array" aca="1" ref="T286" ca="1">T285</f>
        <v>1</v>
      </c>
      <c r="U286" s="44"/>
      <c r="V286" s="44"/>
      <c r="W286" s="44"/>
      <c r="X286" s="1094"/>
      <c r="Z286" s="1065"/>
      <c r="AB286" s="26" t="str">
        <f>IF(B285,D286&amp;".6",D286&amp;".4")</f>
        <v>7.4</v>
      </c>
      <c r="AC286" s="146" t="s">
        <v>1583</v>
      </c>
      <c r="AD286" s="26" t="s">
        <v>804</v>
      </c>
      <c r="AE286" s="147">
        <v>0</v>
      </c>
      <c r="AF286" s="147"/>
      <c r="AG286" s="147"/>
      <c r="AH286" s="190">
        <f t="shared" si="72"/>
        <v>0</v>
      </c>
      <c r="AI286" s="147">
        <v>0</v>
      </c>
      <c r="AJ286" s="147">
        <f ca="1">SUMIFS('Корректировка НВВ'!$AF$25:$AF$180,'Корректировка НВВ'!$F$25:$F$180,$F286,'Корректировка НВВ'!$I$25:$I$180,$G286)</f>
        <v>0</v>
      </c>
      <c r="AK286" s="787"/>
      <c r="AL286" s="787"/>
      <c r="AM286" s="787"/>
      <c r="AN286" s="787"/>
      <c r="AO286" s="787"/>
      <c r="AP286" s="787"/>
      <c r="AQ286" s="787"/>
      <c r="AR286" s="787"/>
      <c r="AS286" s="787"/>
      <c r="AT286" s="147">
        <f ca="1">SUMIFS('Корректировка НВВ'!$AG$25:$AG$180,'Корректировка НВВ'!$F$25:$F$180,$F286,'Корректировка НВВ'!$I$25:$I$180,$G286)</f>
        <v>0</v>
      </c>
      <c r="AU286" s="787"/>
      <c r="AV286" s="787"/>
      <c r="AW286" s="787"/>
      <c r="AX286" s="787"/>
      <c r="AY286" s="787"/>
      <c r="AZ286" s="787"/>
      <c r="BA286" s="787"/>
      <c r="BB286" s="787"/>
      <c r="BC286" s="787"/>
      <c r="BD286" s="552"/>
      <c r="BE286" s="552"/>
      <c r="BF286" s="552"/>
      <c r="BG286" s="552"/>
      <c r="BH286" s="552"/>
      <c r="BI286" s="552"/>
      <c r="BJ286" s="552"/>
      <c r="BK286" s="552"/>
      <c r="BL286" s="552"/>
      <c r="BM286" s="552"/>
      <c r="BN286" s="215"/>
      <c r="BO286" s="610" t="str">
        <f ca="1">IF(IFERROR(INDEX('Корректировка НВВ'!$K$26:$L$180,MATCH($F286&amp;"5komm",'Корректировка НВВ'!$K$26:$K$180,0),2),"")=0,"",IFERROR(INDEX('Корректировка НВВ'!$K$26:$L$180,MATCH($F286&amp;"5komm",'Корректировка НВВ'!$K$26:$K$180,0),2),""))</f>
        <v/>
      </c>
      <c r="BP286" s="215"/>
      <c r="BS286" s="705" t="s">
        <v>2180</v>
      </c>
    </row>
    <row r="287" spans="1:75" ht="14.65" customHeight="1">
      <c r="C287" s="44"/>
      <c r="D287" s="44" t="str" cm="1">
        <f t="array" ref="D287">D286</f>
        <v>7</v>
      </c>
      <c r="E287" s="462">
        <v>15</v>
      </c>
      <c r="F287" s="3" t="str" cm="1">
        <f t="array" aca="1" ref="F287" ca="1">OFFSET(E287,-1,1)</f>
        <v>1</v>
      </c>
      <c r="G287" s="44" t="s">
        <v>2181</v>
      </c>
      <c r="H287" s="44"/>
      <c r="I287" s="44" t="s">
        <v>1850</v>
      </c>
      <c r="J287" s="44"/>
      <c r="K287" s="91" t="s">
        <v>1850</v>
      </c>
      <c r="L287" s="44" t="s">
        <v>783</v>
      </c>
      <c r="M287" s="44"/>
      <c r="N287" s="44"/>
      <c r="O287" s="44"/>
      <c r="P287" s="44"/>
      <c r="Q287" s="44"/>
      <c r="R287" s="44"/>
      <c r="S287" s="44"/>
      <c r="T287" s="365" t="b" cm="1">
        <f t="array" aca="1" ref="T287" ca="1">T286</f>
        <v>1</v>
      </c>
      <c r="U287" s="44"/>
      <c r="V287" s="44"/>
      <c r="W287" s="44"/>
      <c r="X287" s="1094"/>
      <c r="Z287" s="1065"/>
      <c r="AB287" s="26" t="str">
        <f>IF(B285,D286&amp;".7",D286&amp;".5")</f>
        <v>7.5</v>
      </c>
      <c r="AC287" s="146" t="s">
        <v>1545</v>
      </c>
      <c r="AD287" s="26" t="s">
        <v>804</v>
      </c>
      <c r="AE287" s="147">
        <v>-634.2433967833</v>
      </c>
      <c r="AF287" s="147">
        <f>AF288+AF289</f>
        <v>0</v>
      </c>
      <c r="AG287" s="147">
        <f>AG288+AG289</f>
        <v>0</v>
      </c>
      <c r="AH287" s="190">
        <f t="shared" si="72"/>
        <v>0</v>
      </c>
      <c r="AI287" s="147">
        <v>-10.7293962184</v>
      </c>
      <c r="AJ287" s="147">
        <f ca="1">SUMIFS('Корректировка НВВ'!$AF$25:$AF$180,'Корректировка НВВ'!$F$25:$F$180,$F287,'Корректировка НВВ'!$I$25:$I$180,$G287)</f>
        <v>-569.77300000000002</v>
      </c>
      <c r="AK287" s="787">
        <f t="shared" ref="AK287:AS287" si="73">AK288+AK289</f>
        <v>0</v>
      </c>
      <c r="AL287" s="787">
        <f t="shared" si="73"/>
        <v>0</v>
      </c>
      <c r="AM287" s="787">
        <f t="shared" si="73"/>
        <v>0</v>
      </c>
      <c r="AN287" s="787">
        <f t="shared" si="73"/>
        <v>0</v>
      </c>
      <c r="AO287" s="787">
        <f t="shared" si="73"/>
        <v>0</v>
      </c>
      <c r="AP287" s="787">
        <f t="shared" si="73"/>
        <v>0</v>
      </c>
      <c r="AQ287" s="787">
        <f t="shared" si="73"/>
        <v>0</v>
      </c>
      <c r="AR287" s="787">
        <f t="shared" si="73"/>
        <v>0</v>
      </c>
      <c r="AS287" s="787">
        <f t="shared" si="73"/>
        <v>0</v>
      </c>
      <c r="AT287" s="147">
        <f ca="1">SUMIFS('Корректировка НВВ'!$AG$25:$AG$180,'Корректировка НВВ'!$F$25:$F$180,$F287,'Корректировка НВВ'!$I$25:$I$180,$G287)</f>
        <v>-432.06299999999999</v>
      </c>
      <c r="AU287" s="787">
        <f t="shared" ref="AU287:BC287" si="74">AU288+AU289</f>
        <v>0</v>
      </c>
      <c r="AV287" s="787">
        <f t="shared" si="74"/>
        <v>0</v>
      </c>
      <c r="AW287" s="787">
        <f t="shared" si="74"/>
        <v>0</v>
      </c>
      <c r="AX287" s="787">
        <f t="shared" si="74"/>
        <v>0</v>
      </c>
      <c r="AY287" s="787">
        <f t="shared" si="74"/>
        <v>0</v>
      </c>
      <c r="AZ287" s="787">
        <f t="shared" si="74"/>
        <v>0</v>
      </c>
      <c r="BA287" s="787">
        <f t="shared" si="74"/>
        <v>0</v>
      </c>
      <c r="BB287" s="787">
        <f t="shared" si="74"/>
        <v>0</v>
      </c>
      <c r="BC287" s="787">
        <f t="shared" si="74"/>
        <v>0</v>
      </c>
      <c r="BD287" s="190">
        <f ca="1">IF(AI287=0,0,(AT287-AI287)/AI287*100)</f>
        <v>3926.9087952875557</v>
      </c>
      <c r="BE287" s="190">
        <f t="shared" ref="BE287:BM287" ca="1" si="75">IF(AT287=0,0,(AU287-AT287)/AT287*100)</f>
        <v>-100</v>
      </c>
      <c r="BF287" s="190">
        <f t="shared" si="75"/>
        <v>0</v>
      </c>
      <c r="BG287" s="190">
        <f t="shared" si="75"/>
        <v>0</v>
      </c>
      <c r="BH287" s="190">
        <f t="shared" si="75"/>
        <v>0</v>
      </c>
      <c r="BI287" s="190">
        <f t="shared" si="75"/>
        <v>0</v>
      </c>
      <c r="BJ287" s="190">
        <f t="shared" si="75"/>
        <v>0</v>
      </c>
      <c r="BK287" s="190">
        <f t="shared" si="75"/>
        <v>0</v>
      </c>
      <c r="BL287" s="190">
        <f t="shared" si="75"/>
        <v>0</v>
      </c>
      <c r="BM287" s="190">
        <f t="shared" si="75"/>
        <v>0</v>
      </c>
      <c r="BN287" s="215"/>
      <c r="BO287" s="610" t="str">
        <f ca="1">IF(IFERROR(INDEX('Корректировка НВВ'!$K$26:$L$180,MATCH($F287&amp;"6komm",'Корректировка НВВ'!$K$26:$K$180,0),2),"")=0,"",IFERROR(INDEX('Корректировка НВВ'!$K$26:$L$180,MATCH($F287&amp;"6komm",'Корректировка НВВ'!$K$26:$K$180,0),2),""))</f>
        <v/>
      </c>
      <c r="BP287" s="215"/>
      <c r="BS287" s="705" t="s">
        <v>1547</v>
      </c>
    </row>
    <row r="288" spans="1:75" ht="21.95" customHeight="1">
      <c r="C288" s="44"/>
      <c r="D288" s="44" t="str" cm="1">
        <f t="array" ref="D288">D287</f>
        <v>7</v>
      </c>
      <c r="E288" s="462">
        <v>22.5</v>
      </c>
      <c r="F288" s="3" t="str" cm="1">
        <f t="array" aca="1" ref="F288" ca="1">OFFSET(E288,-1,1)</f>
        <v>1</v>
      </c>
      <c r="G288" s="44" t="s">
        <v>2182</v>
      </c>
      <c r="H288" s="44"/>
      <c r="I288" s="44" t="s">
        <v>2183</v>
      </c>
      <c r="J288" s="44"/>
      <c r="K288" s="91" t="s">
        <v>2183</v>
      </c>
      <c r="L288" s="44" t="s">
        <v>1845</v>
      </c>
      <c r="M288" s="44"/>
      <c r="N288" s="44"/>
      <c r="O288" s="44"/>
      <c r="P288" s="44"/>
      <c r="Q288" s="44"/>
      <c r="R288" s="44"/>
      <c r="S288" s="44"/>
      <c r="T288" s="365" t="b" cm="1">
        <f t="array" aca="1" ref="T288" ca="1">T287</f>
        <v>1</v>
      </c>
      <c r="U288" s="44"/>
      <c r="V288" s="44"/>
      <c r="W288" s="44"/>
      <c r="X288" s="1094"/>
      <c r="Z288" s="1065"/>
      <c r="AB288" s="26" t="str">
        <f>AB287&amp;".1"</f>
        <v>7.5.1</v>
      </c>
      <c r="AC288" s="559" t="s">
        <v>1548</v>
      </c>
      <c r="AD288" s="26" t="s">
        <v>804</v>
      </c>
      <c r="AE288" s="147">
        <v>-634.2433967833</v>
      </c>
      <c r="AF288" s="147"/>
      <c r="AG288" s="147"/>
      <c r="AH288" s="190">
        <f t="shared" si="72"/>
        <v>0</v>
      </c>
      <c r="AI288" s="147">
        <v>-10.7293962184</v>
      </c>
      <c r="AJ288" s="147">
        <f ca="1">SUMIFS('Корректировка НВВ'!$AF$25:$AF$180,'Корректировка НВВ'!$F$25:$F$180,$F288,'Корректировка НВВ'!$I$25:$I$180,$G288)</f>
        <v>-569.77300000000002</v>
      </c>
      <c r="AK288" s="787"/>
      <c r="AL288" s="787"/>
      <c r="AM288" s="787"/>
      <c r="AN288" s="787"/>
      <c r="AO288" s="787"/>
      <c r="AP288" s="787"/>
      <c r="AQ288" s="787"/>
      <c r="AR288" s="787"/>
      <c r="AS288" s="787"/>
      <c r="AT288" s="147">
        <f ca="1">SUMIFS('Корректировка НВВ'!$AG$25:$AG$180,'Корректировка НВВ'!$F$25:$F$180,$F288,'Корректировка НВВ'!$I$25:$I$180,$G288)</f>
        <v>-432.06299999999999</v>
      </c>
      <c r="AU288" s="787"/>
      <c r="AV288" s="787"/>
      <c r="AW288" s="787"/>
      <c r="AX288" s="787"/>
      <c r="AY288" s="787"/>
      <c r="AZ288" s="787"/>
      <c r="BA288" s="787"/>
      <c r="BB288" s="787"/>
      <c r="BC288" s="787"/>
      <c r="BD288" s="552"/>
      <c r="BE288" s="552"/>
      <c r="BF288" s="552"/>
      <c r="BG288" s="552"/>
      <c r="BH288" s="552"/>
      <c r="BI288" s="552"/>
      <c r="BJ288" s="552"/>
      <c r="BK288" s="552"/>
      <c r="BL288" s="552"/>
      <c r="BM288" s="552"/>
      <c r="BN288" s="215"/>
      <c r="BO288" s="610" t="str">
        <f ca="1">IF(IFERROR(INDEX('Корректировка НВВ'!$K$26:$L$180,MATCH($F288&amp;"7komm",'Корректировка НВВ'!$K$26:$K$180,0),2),"")=0,"",IFERROR(INDEX('Корректировка НВВ'!$K$26:$L$180,MATCH($F288&amp;"7komm",'Корректировка НВВ'!$K$26:$K$180,0),2),""))</f>
        <v>На уровне плановой сметы. Организацией рассчитано по разнице от плановой выручке 37603,677 т.р. и фактической выручкой 37033,907 т.р.</v>
      </c>
      <c r="BP288" s="215"/>
      <c r="BS288" s="705" t="s">
        <v>1549</v>
      </c>
    </row>
    <row r="289" spans="1:75" ht="21.95" customHeight="1">
      <c r="C289" s="44"/>
      <c r="D289" s="44" t="str" cm="1">
        <f t="array" ref="D289">D288</f>
        <v>7</v>
      </c>
      <c r="E289" s="462">
        <v>22.5</v>
      </c>
      <c r="F289" s="3" t="str" cm="1">
        <f t="array" aca="1" ref="F289" ca="1">OFFSET(E289,-1,1)</f>
        <v>1</v>
      </c>
      <c r="G289" s="44" t="s">
        <v>2184</v>
      </c>
      <c r="H289" s="44"/>
      <c r="I289" s="44" t="s">
        <v>2185</v>
      </c>
      <c r="J289" s="44"/>
      <c r="K289" s="91" t="s">
        <v>2185</v>
      </c>
      <c r="L289" s="44" t="s">
        <v>1847</v>
      </c>
      <c r="M289" s="44"/>
      <c r="N289" s="44"/>
      <c r="O289" s="44"/>
      <c r="P289" s="44"/>
      <c r="Q289" s="44"/>
      <c r="R289" s="44"/>
      <c r="S289" s="44"/>
      <c r="T289" s="365" t="b" cm="1">
        <f t="array" aca="1" ref="T289" ca="1">T288</f>
        <v>1</v>
      </c>
      <c r="U289" s="44"/>
      <c r="V289" s="44"/>
      <c r="W289" s="44"/>
      <c r="X289" s="1094"/>
      <c r="Z289" s="1065"/>
      <c r="AB289" s="26" t="str">
        <f>AB287&amp;".2"</f>
        <v>7.5.2</v>
      </c>
      <c r="AC289" s="559" t="s">
        <v>1550</v>
      </c>
      <c r="AD289" s="26" t="s">
        <v>804</v>
      </c>
      <c r="AE289" s="147">
        <v>0</v>
      </c>
      <c r="AF289" s="147"/>
      <c r="AG289" s="147"/>
      <c r="AH289" s="190">
        <f t="shared" si="72"/>
        <v>0</v>
      </c>
      <c r="AI289" s="147">
        <v>0</v>
      </c>
      <c r="AJ289" s="147">
        <f ca="1">SUMIFS('Корректировка НВВ'!$AF$25:$AF$180,'Корректировка НВВ'!$F$25:$F$180,$F289,'Корректировка НВВ'!$I$25:$I$180,$G289)</f>
        <v>0</v>
      </c>
      <c r="AK289" s="787"/>
      <c r="AL289" s="787"/>
      <c r="AM289" s="787"/>
      <c r="AN289" s="787"/>
      <c r="AO289" s="787"/>
      <c r="AP289" s="787"/>
      <c r="AQ289" s="787"/>
      <c r="AR289" s="787"/>
      <c r="AS289" s="787"/>
      <c r="AT289" s="147">
        <f ca="1">SUMIFS('Корректировка НВВ'!$AG$25:$AG$180,'Корректировка НВВ'!$F$25:$F$180,$F289,'Корректировка НВВ'!$I$25:$I$180,$G289)</f>
        <v>0</v>
      </c>
      <c r="AU289" s="787"/>
      <c r="AV289" s="787"/>
      <c r="AW289" s="787"/>
      <c r="AX289" s="787"/>
      <c r="AY289" s="787"/>
      <c r="AZ289" s="787"/>
      <c r="BA289" s="787"/>
      <c r="BB289" s="787"/>
      <c r="BC289" s="787"/>
      <c r="BD289" s="552"/>
      <c r="BE289" s="552"/>
      <c r="BF289" s="552"/>
      <c r="BG289" s="552"/>
      <c r="BH289" s="552"/>
      <c r="BI289" s="552"/>
      <c r="BJ289" s="552"/>
      <c r="BK289" s="552"/>
      <c r="BL289" s="552"/>
      <c r="BM289" s="552"/>
      <c r="BN289" s="215"/>
      <c r="BO289" s="610" t="str">
        <f ca="1">IF(IFERROR(INDEX('Корректировка НВВ'!$K$26:$L$180,MATCH($F289&amp;"8komm",'Корректировка НВВ'!$K$26:$K$180,0),2),"")=0,"",IFERROR(INDEX('Корректировка НВВ'!$K$26:$L$180,MATCH($F289&amp;"8komm",'Корректировка НВВ'!$K$26:$K$180,0),2),""))</f>
        <v/>
      </c>
      <c r="BP289" s="215"/>
      <c r="BS289" s="705" t="s">
        <v>1551</v>
      </c>
    </row>
    <row r="290" spans="1:75" ht="14.65" customHeight="1">
      <c r="C290" s="44"/>
      <c r="D290" s="44" t="str" cm="1">
        <f t="array" ref="D290">D289</f>
        <v>7</v>
      </c>
      <c r="E290" s="462">
        <v>15</v>
      </c>
      <c r="F290" s="3" t="str" cm="1">
        <f t="array" aca="1" ref="F290" ca="1">OFFSET(E290,-1,1)</f>
        <v>1</v>
      </c>
      <c r="G290" s="44" t="s">
        <v>314</v>
      </c>
      <c r="H290" s="44"/>
      <c r="I290" s="44" t="s">
        <v>1851</v>
      </c>
      <c r="J290" s="44"/>
      <c r="K290" s="91" t="s">
        <v>1851</v>
      </c>
      <c r="L290" s="44" t="s">
        <v>1850</v>
      </c>
      <c r="M290" s="44"/>
      <c r="N290" s="44"/>
      <c r="O290" s="44"/>
      <c r="P290" s="44"/>
      <c r="Q290" s="44"/>
      <c r="R290" s="44"/>
      <c r="S290" s="44"/>
      <c r="T290" s="365" t="b" cm="1">
        <f t="array" aca="1" ref="T290" ca="1">T289</f>
        <v>1</v>
      </c>
      <c r="U290" s="44"/>
      <c r="V290" s="44"/>
      <c r="W290" s="44"/>
      <c r="X290" s="1094"/>
      <c r="Z290" s="1065"/>
      <c r="AB290" s="26" t="str">
        <f>IF(B285,D286&amp;".8",D286&amp;".6")</f>
        <v>7.6</v>
      </c>
      <c r="AC290" s="560" t="s">
        <v>1552</v>
      </c>
      <c r="AD290" s="26" t="s">
        <v>804</v>
      </c>
      <c r="AE290" s="147">
        <v>0</v>
      </c>
      <c r="AF290" s="147"/>
      <c r="AG290" s="147"/>
      <c r="AH290" s="190">
        <f t="shared" si="72"/>
        <v>0</v>
      </c>
      <c r="AI290" s="147">
        <v>0</v>
      </c>
      <c r="AJ290" s="147">
        <f ca="1">SUMIFS('Корректировка НВВ'!$AF$25:$AF$180,'Корректировка НВВ'!$F$25:$F$180,$F290,'Корректировка НВВ'!$I$25:$I$180,$G290)</f>
        <v>0</v>
      </c>
      <c r="AK290" s="787"/>
      <c r="AL290" s="787"/>
      <c r="AM290" s="787"/>
      <c r="AN290" s="787"/>
      <c r="AO290" s="787"/>
      <c r="AP290" s="787"/>
      <c r="AQ290" s="787"/>
      <c r="AR290" s="787"/>
      <c r="AS290" s="787"/>
      <c r="AT290" s="147">
        <f ca="1">SUMIFS('Корректировка НВВ'!$AG$25:$AG$180,'Корректировка НВВ'!$F$25:$F$180,$F290,'Корректировка НВВ'!$I$25:$I$180,$G290)</f>
        <v>0</v>
      </c>
      <c r="AU290" s="787"/>
      <c r="AV290" s="787"/>
      <c r="AW290" s="787"/>
      <c r="AX290" s="787"/>
      <c r="AY290" s="787"/>
      <c r="AZ290" s="787"/>
      <c r="BA290" s="787"/>
      <c r="BB290" s="787"/>
      <c r="BC290" s="787"/>
      <c r="BD290" s="552"/>
      <c r="BE290" s="552"/>
      <c r="BF290" s="552"/>
      <c r="BG290" s="552"/>
      <c r="BH290" s="552"/>
      <c r="BI290" s="552"/>
      <c r="BJ290" s="552"/>
      <c r="BK290" s="552"/>
      <c r="BL290" s="552"/>
      <c r="BM290" s="552"/>
      <c r="BN290" s="215"/>
      <c r="BO290" s="610" t="str">
        <f ca="1">IF(IFERROR(INDEX('Корректировка НВВ'!$K$26:$L$180,MATCH($F290&amp;"9komm",'Корректировка НВВ'!$K$26:$K$180,0),2),"")=0,"",IFERROR(INDEX('Корректировка НВВ'!$K$26:$L$180,MATCH($F290&amp;"9komm",'Корректировка НВВ'!$K$26:$K$180,0),2),""))</f>
        <v/>
      </c>
      <c r="BP290" s="215"/>
      <c r="BS290" s="705" t="s">
        <v>2186</v>
      </c>
    </row>
    <row r="291" spans="1:75" ht="14.65" customHeight="1">
      <c r="C291" s="44"/>
      <c r="D291" s="44" t="str" cm="1">
        <f t="array" ref="D291">D290</f>
        <v>7</v>
      </c>
      <c r="E291" s="462">
        <v>15</v>
      </c>
      <c r="F291" s="3" t="str" cm="1">
        <f t="array" aca="1" ref="F291" ca="1">OFFSET(E291,-1,1)</f>
        <v>1</v>
      </c>
      <c r="G291" s="44" t="s">
        <v>2187</v>
      </c>
      <c r="H291" s="44"/>
      <c r="I291" s="44" t="s">
        <v>1853</v>
      </c>
      <c r="J291" s="44"/>
      <c r="K291" s="91" t="s">
        <v>1853</v>
      </c>
      <c r="L291" s="44" t="s">
        <v>1851</v>
      </c>
      <c r="M291" s="44"/>
      <c r="N291" s="44"/>
      <c r="O291" s="44"/>
      <c r="P291" s="44"/>
      <c r="Q291" s="44"/>
      <c r="R291" s="44"/>
      <c r="S291" s="44"/>
      <c r="T291" s="365" t="b" cm="1">
        <f t="array" aca="1" ref="T291" ca="1">T290</f>
        <v>1</v>
      </c>
      <c r="U291" s="44"/>
      <c r="V291" s="44"/>
      <c r="W291" s="44"/>
      <c r="X291" s="1094"/>
      <c r="Z291" s="1065"/>
      <c r="AB291" s="26" t="str">
        <f>IF(B285,D286&amp;".9",D286&amp;".7")</f>
        <v>7.7</v>
      </c>
      <c r="AC291" s="560" t="s">
        <v>1554</v>
      </c>
      <c r="AD291" s="26" t="s">
        <v>804</v>
      </c>
      <c r="AE291" s="147">
        <v>0</v>
      </c>
      <c r="AF291" s="147"/>
      <c r="AG291" s="147"/>
      <c r="AH291" s="190">
        <f t="shared" si="72"/>
        <v>0</v>
      </c>
      <c r="AI291" s="147">
        <v>0</v>
      </c>
      <c r="AJ291" s="147">
        <f ca="1">SUMIFS('Корректировка НВВ'!$AF$25:$AF$180,'Корректировка НВВ'!$F$25:$F$180,$F291,'Корректировка НВВ'!$I$25:$I$180,$G291)</f>
        <v>0</v>
      </c>
      <c r="AK291" s="787"/>
      <c r="AL291" s="787"/>
      <c r="AM291" s="787"/>
      <c r="AN291" s="787"/>
      <c r="AO291" s="787"/>
      <c r="AP291" s="787"/>
      <c r="AQ291" s="787"/>
      <c r="AR291" s="787"/>
      <c r="AS291" s="787"/>
      <c r="AT291" s="147">
        <f ca="1">SUMIFS('Корректировка НВВ'!$AG$25:$AG$180,'Корректировка НВВ'!$F$25:$F$180,$F291,'Корректировка НВВ'!$I$25:$I$180,$G291)</f>
        <v>0</v>
      </c>
      <c r="AU291" s="787"/>
      <c r="AV291" s="787"/>
      <c r="AW291" s="787"/>
      <c r="AX291" s="787"/>
      <c r="AY291" s="787"/>
      <c r="AZ291" s="787"/>
      <c r="BA291" s="787"/>
      <c r="BB291" s="787"/>
      <c r="BC291" s="787"/>
      <c r="BD291" s="552"/>
      <c r="BE291" s="552"/>
      <c r="BF291" s="552"/>
      <c r="BG291" s="552"/>
      <c r="BH291" s="552"/>
      <c r="BI291" s="552"/>
      <c r="BJ291" s="552"/>
      <c r="BK291" s="552"/>
      <c r="BL291" s="552"/>
      <c r="BM291" s="552"/>
      <c r="BN291" s="215"/>
      <c r="BO291" s="610" t="str">
        <f ca="1">IF(IFERROR(INDEX('Корректировка НВВ'!$K$26:$L$180,MATCH($F291&amp;"10komm",'Корректировка НВВ'!$K$26:$K$180,0),2),"")=0,"",IFERROR(INDEX('Корректировка НВВ'!$K$26:$L$180,MATCH($F291&amp;"10komm",'Корректировка НВВ'!$K$26:$K$180,0),2),""))</f>
        <v/>
      </c>
      <c r="BP291" s="215"/>
      <c r="BS291" s="705" t="s">
        <v>1555</v>
      </c>
    </row>
    <row r="292" spans="1:75" s="950" customFormat="1" ht="96.75" customHeight="1">
      <c r="A292" s="95"/>
      <c r="B292" s="344"/>
      <c r="C292" s="46"/>
      <c r="D292" s="46">
        <f>D291+1</f>
        <v>8</v>
      </c>
      <c r="E292" s="569">
        <v>21</v>
      </c>
      <c r="F292" s="3" t="str" cm="1">
        <f t="array" aca="1" ref="F292" ca="1">OFFSET(E292,-1,1)</f>
        <v>1</v>
      </c>
      <c r="G292" s="46"/>
      <c r="H292" s="46"/>
      <c r="I292" s="46" t="s">
        <v>585</v>
      </c>
      <c r="J292" s="46"/>
      <c r="K292" s="95" t="s">
        <v>585</v>
      </c>
      <c r="L292" s="46"/>
      <c r="M292" s="46"/>
      <c r="N292" s="46"/>
      <c r="O292" s="46"/>
      <c r="P292" s="46"/>
      <c r="Q292" s="46"/>
      <c r="R292" s="46"/>
      <c r="S292" s="46"/>
      <c r="T292" s="365" t="b" cm="1">
        <f t="array" aca="1" ref="T292" ca="1">T291</f>
        <v>1</v>
      </c>
      <c r="U292" s="46"/>
      <c r="V292" s="46"/>
      <c r="W292" s="46"/>
      <c r="X292" s="1094"/>
      <c r="Y292" s="95"/>
      <c r="Z292" s="1065"/>
      <c r="AA292" s="95"/>
      <c r="AB292" s="143" cm="1">
        <f t="array" ref="AB292">D292</f>
        <v>8</v>
      </c>
      <c r="AC292" s="144" t="s">
        <v>2188</v>
      </c>
      <c r="AD292" s="143" t="s">
        <v>804</v>
      </c>
      <c r="AE292" s="157">
        <v>-3645.8989999999999</v>
      </c>
      <c r="AF292" s="157"/>
      <c r="AG292" s="157"/>
      <c r="AH292" s="145">
        <f t="shared" si="72"/>
        <v>0</v>
      </c>
      <c r="AI292" s="157">
        <v>-7118.6058999999996</v>
      </c>
      <c r="AJ292" s="157"/>
      <c r="AK292" s="783"/>
      <c r="AL292" s="783"/>
      <c r="AM292" s="783"/>
      <c r="AN292" s="783"/>
      <c r="AO292" s="783"/>
      <c r="AP292" s="783"/>
      <c r="AQ292" s="783"/>
      <c r="AR292" s="783"/>
      <c r="AS292" s="783"/>
      <c r="AT292" s="157"/>
      <c r="AU292" s="783"/>
      <c r="AV292" s="783"/>
      <c r="AW292" s="783"/>
      <c r="AX292" s="783"/>
      <c r="AY292" s="783"/>
      <c r="AZ292" s="783"/>
      <c r="BA292" s="783"/>
      <c r="BB292" s="783"/>
      <c r="BC292" s="783"/>
      <c r="BD292" s="148"/>
      <c r="BE292" s="148"/>
      <c r="BF292" s="148"/>
      <c r="BG292" s="148"/>
      <c r="BH292" s="148"/>
      <c r="BI292" s="148"/>
      <c r="BJ292" s="148"/>
      <c r="BK292" s="148"/>
      <c r="BL292" s="148"/>
      <c r="BM292" s="148"/>
      <c r="BN292" s="566"/>
      <c r="BO292" s="566" t="s">
        <v>2212</v>
      </c>
      <c r="BP292" s="566"/>
      <c r="BQ292" s="95"/>
      <c r="BR292" s="95"/>
      <c r="BS292" s="711" t="s">
        <v>2189</v>
      </c>
      <c r="BT292" s="711"/>
      <c r="BU292" s="711"/>
      <c r="BV292" s="522"/>
      <c r="BW292" s="522"/>
    </row>
    <row r="293" spans="1:75" ht="14.25" customHeight="1">
      <c r="C293" s="44"/>
      <c r="D293" s="46" cm="1">
        <f t="array" ref="D293">D292</f>
        <v>8</v>
      </c>
      <c r="E293" s="462">
        <v>15</v>
      </c>
      <c r="F293" s="3" t="str" cm="1">
        <f t="array" aca="1" ref="F293" ca="1">OFFSET(E293,-1,1)</f>
        <v>1</v>
      </c>
      <c r="G293" s="44"/>
      <c r="H293" s="44"/>
      <c r="I293" s="44" t="s">
        <v>589</v>
      </c>
      <c r="J293" s="44"/>
      <c r="K293" s="91" t="s">
        <v>589</v>
      </c>
      <c r="L293" s="44"/>
      <c r="M293" s="44"/>
      <c r="N293" s="44"/>
      <c r="O293" s="44"/>
      <c r="P293" s="44"/>
      <c r="Q293" s="44"/>
      <c r="R293" s="44"/>
      <c r="S293" s="44"/>
      <c r="T293" s="365" t="b" cm="1">
        <f t="array" aca="1" ref="T293" ca="1">T292</f>
        <v>1</v>
      </c>
      <c r="U293" s="44"/>
      <c r="V293" s="44"/>
      <c r="W293" s="44"/>
      <c r="X293" s="1094"/>
      <c r="Z293" s="1065"/>
      <c r="AB293" s="26" t="str">
        <f>D293&amp;".1"</f>
        <v>8.1</v>
      </c>
      <c r="AC293" s="146" t="s">
        <v>2190</v>
      </c>
      <c r="AD293" s="26" t="s">
        <v>456</v>
      </c>
      <c r="AE293" s="190">
        <f ca="1">IF(AE294=0,0,AE292/(AE294+AE279)*100)</f>
        <v>-14.515692158480508</v>
      </c>
      <c r="AF293" s="190">
        <f ca="1">IF(AF294=0,0,AF292/(AF294+AF279)*100)</f>
        <v>0</v>
      </c>
      <c r="AG293" s="190">
        <f ca="1">IF(AG294=0,0,AG292/(AG294+AG279)*100)</f>
        <v>0</v>
      </c>
      <c r="AH293" s="190">
        <f t="shared" ca="1" si="72"/>
        <v>0</v>
      </c>
      <c r="AI293" s="190">
        <f t="shared" ref="AI293:BC293" ca="1" si="76">IF(AI294=0,0,AI292/(AI294+AI279)*100)</f>
        <v>-41.265423356253677</v>
      </c>
      <c r="AJ293" s="190">
        <f t="shared" ca="1" si="76"/>
        <v>0</v>
      </c>
      <c r="AK293" s="190">
        <f t="shared" ca="1" si="76"/>
        <v>0</v>
      </c>
      <c r="AL293" s="190">
        <f t="shared" ca="1" si="76"/>
        <v>0</v>
      </c>
      <c r="AM293" s="190">
        <f t="shared" ca="1" si="76"/>
        <v>0</v>
      </c>
      <c r="AN293" s="190">
        <f t="shared" ca="1" si="76"/>
        <v>0</v>
      </c>
      <c r="AO293" s="190">
        <f t="shared" ca="1" si="76"/>
        <v>0</v>
      </c>
      <c r="AP293" s="190">
        <f t="shared" ca="1" si="76"/>
        <v>0</v>
      </c>
      <c r="AQ293" s="190">
        <f t="shared" ca="1" si="76"/>
        <v>0</v>
      </c>
      <c r="AR293" s="190">
        <f t="shared" ca="1" si="76"/>
        <v>0</v>
      </c>
      <c r="AS293" s="190">
        <f t="shared" ca="1" si="76"/>
        <v>0</v>
      </c>
      <c r="AT293" s="190">
        <f t="shared" ca="1" si="76"/>
        <v>0</v>
      </c>
      <c r="AU293" s="190">
        <f t="shared" ca="1" si="76"/>
        <v>0</v>
      </c>
      <c r="AV293" s="190">
        <f t="shared" ca="1" si="76"/>
        <v>0</v>
      </c>
      <c r="AW293" s="190">
        <f t="shared" ca="1" si="76"/>
        <v>0</v>
      </c>
      <c r="AX293" s="190">
        <f t="shared" ca="1" si="76"/>
        <v>0</v>
      </c>
      <c r="AY293" s="190">
        <f t="shared" ca="1" si="76"/>
        <v>0</v>
      </c>
      <c r="AZ293" s="190">
        <f t="shared" ca="1" si="76"/>
        <v>0</v>
      </c>
      <c r="BA293" s="190">
        <f t="shared" ca="1" si="76"/>
        <v>0</v>
      </c>
      <c r="BB293" s="190">
        <f t="shared" ca="1" si="76"/>
        <v>0</v>
      </c>
      <c r="BC293" s="190">
        <f t="shared" ca="1" si="76"/>
        <v>0</v>
      </c>
      <c r="BD293" s="552"/>
      <c r="BE293" s="552"/>
      <c r="BF293" s="552"/>
      <c r="BG293" s="552"/>
      <c r="BH293" s="552"/>
      <c r="BI293" s="552"/>
      <c r="BJ293" s="552"/>
      <c r="BK293" s="552"/>
      <c r="BL293" s="552"/>
      <c r="BM293" s="552"/>
      <c r="BN293" s="215"/>
      <c r="BO293" s="215"/>
      <c r="BP293" s="215"/>
      <c r="BS293" s="705" t="s">
        <v>2191</v>
      </c>
    </row>
    <row r="294" spans="1:75" s="950" customFormat="1" ht="222.75" customHeight="1">
      <c r="A294" s="95"/>
      <c r="B294" s="344"/>
      <c r="C294" s="46"/>
      <c r="D294" s="46">
        <f>D293+1</f>
        <v>9</v>
      </c>
      <c r="E294" s="569">
        <v>21</v>
      </c>
      <c r="F294" s="3" t="str" cm="1">
        <f t="array" aca="1" ref="F294" ca="1">OFFSET(E294,-1,1)</f>
        <v>1</v>
      </c>
      <c r="G294" s="46"/>
      <c r="H294" s="44"/>
      <c r="I294" s="44" t="s">
        <v>743</v>
      </c>
      <c r="J294" s="46"/>
      <c r="K294" s="91" t="s">
        <v>743</v>
      </c>
      <c r="L294" s="46" t="s">
        <v>1853</v>
      </c>
      <c r="M294" s="46"/>
      <c r="N294" s="46"/>
      <c r="O294" s="46"/>
      <c r="P294" s="46"/>
      <c r="Q294" s="46"/>
      <c r="R294" s="46"/>
      <c r="S294" s="46"/>
      <c r="T294" s="365" t="b" cm="1">
        <f t="array" aca="1" ref="T294" ca="1">T293</f>
        <v>1</v>
      </c>
      <c r="U294" s="46"/>
      <c r="V294" s="46"/>
      <c r="W294" s="46"/>
      <c r="X294" s="1094"/>
      <c r="Y294" s="95"/>
      <c r="Z294" s="1065"/>
      <c r="AA294" s="95"/>
      <c r="AB294" s="143" cm="1">
        <f t="array" ref="AB294">D294</f>
        <v>9</v>
      </c>
      <c r="AC294" s="144" t="s">
        <v>1855</v>
      </c>
      <c r="AD294" s="166" t="s">
        <v>804</v>
      </c>
      <c r="AE294" s="145">
        <f ca="1">AE172+AE222+AE258+AE259+AE261+AE266+AE267+AE270</f>
        <v>25751.192421290922</v>
      </c>
      <c r="AF294" s="145">
        <f ca="1">AF172+AF222+AF258+AF259+AF261+AF266+AF267+AF270</f>
        <v>13897.220759999998</v>
      </c>
      <c r="AG294" s="145">
        <f ca="1">AG172+AG222+AG258+AG259+AG261+AG266+AG267+AG270</f>
        <v>13166.740759999999</v>
      </c>
      <c r="AH294" s="145">
        <f t="shared" ca="1" si="72"/>
        <v>-730.47999999999956</v>
      </c>
      <c r="AI294" s="145">
        <f t="shared" ref="AI294:BC294" ca="1" si="77">AI172+AI222+AI258+AI259+AI261+AI266+AI267+AI270</f>
        <v>15777.139989752101</v>
      </c>
      <c r="AJ294" s="145">
        <f t="shared" ca="1" si="77"/>
        <v>16330.685800000001</v>
      </c>
      <c r="AK294" s="145">
        <f t="shared" ca="1" si="77"/>
        <v>0</v>
      </c>
      <c r="AL294" s="145">
        <f t="shared" ca="1" si="77"/>
        <v>0</v>
      </c>
      <c r="AM294" s="145">
        <f t="shared" ca="1" si="77"/>
        <v>0</v>
      </c>
      <c r="AN294" s="145">
        <f t="shared" ca="1" si="77"/>
        <v>0</v>
      </c>
      <c r="AO294" s="145">
        <f t="shared" ca="1" si="77"/>
        <v>0</v>
      </c>
      <c r="AP294" s="145">
        <f t="shared" ca="1" si="77"/>
        <v>0</v>
      </c>
      <c r="AQ294" s="145">
        <f t="shared" ca="1" si="77"/>
        <v>0</v>
      </c>
      <c r="AR294" s="145">
        <f t="shared" ca="1" si="77"/>
        <v>0</v>
      </c>
      <c r="AS294" s="145">
        <f t="shared" ca="1" si="77"/>
        <v>0</v>
      </c>
      <c r="AT294" s="145">
        <f t="shared" ca="1" si="77"/>
        <v>15086.783299999999</v>
      </c>
      <c r="AU294" s="145">
        <f t="shared" ca="1" si="77"/>
        <v>0</v>
      </c>
      <c r="AV294" s="145">
        <f t="shared" ca="1" si="77"/>
        <v>0</v>
      </c>
      <c r="AW294" s="145">
        <f t="shared" ca="1" si="77"/>
        <v>0</v>
      </c>
      <c r="AX294" s="145">
        <f t="shared" ca="1" si="77"/>
        <v>0</v>
      </c>
      <c r="AY294" s="145">
        <f t="shared" ca="1" si="77"/>
        <v>0</v>
      </c>
      <c r="AZ294" s="145">
        <f t="shared" ca="1" si="77"/>
        <v>0</v>
      </c>
      <c r="BA294" s="145">
        <f t="shared" ca="1" si="77"/>
        <v>0</v>
      </c>
      <c r="BB294" s="145">
        <f t="shared" ca="1" si="77"/>
        <v>0</v>
      </c>
      <c r="BC294" s="145">
        <f t="shared" ca="1" si="77"/>
        <v>0</v>
      </c>
      <c r="BD294" s="145">
        <f ca="1">IF(AI294=0,0,(AT294-AI294)/AI294*100)</f>
        <v>-4.3756770251168229</v>
      </c>
      <c r="BE294" s="145">
        <f t="shared" ref="BE294:BM295" ca="1" si="78">IF(AT294=0,0,(AU294-AT294)/AT294*100)</f>
        <v>-100</v>
      </c>
      <c r="BF294" s="145">
        <f t="shared" ca="1" si="78"/>
        <v>0</v>
      </c>
      <c r="BG294" s="145">
        <f t="shared" ca="1" si="78"/>
        <v>0</v>
      </c>
      <c r="BH294" s="145">
        <f t="shared" ca="1" si="78"/>
        <v>0</v>
      </c>
      <c r="BI294" s="145">
        <f t="shared" ca="1" si="78"/>
        <v>0</v>
      </c>
      <c r="BJ294" s="145">
        <f t="shared" ca="1" si="78"/>
        <v>0</v>
      </c>
      <c r="BK294" s="145">
        <f t="shared" ca="1" si="78"/>
        <v>0</v>
      </c>
      <c r="BL294" s="145">
        <f t="shared" ca="1" si="78"/>
        <v>0</v>
      </c>
      <c r="BM294" s="145">
        <f t="shared" ca="1" si="78"/>
        <v>0</v>
      </c>
      <c r="BN294" s="215"/>
      <c r="BO294" s="215" t="s">
        <v>2213</v>
      </c>
      <c r="BP294" s="215"/>
      <c r="BQ294" s="95"/>
      <c r="BR294" s="95"/>
      <c r="BS294" s="711" t="s">
        <v>1856</v>
      </c>
      <c r="BT294" s="711"/>
      <c r="BU294" s="711"/>
      <c r="BV294" s="522"/>
      <c r="BW294" s="522"/>
    </row>
    <row r="295" spans="1:75" s="950" customFormat="1" ht="20.25" customHeight="1">
      <c r="A295" s="95"/>
      <c r="B295" s="344"/>
      <c r="C295" s="46"/>
      <c r="D295" s="46">
        <f>D294+1</f>
        <v>10</v>
      </c>
      <c r="E295" s="569">
        <v>21</v>
      </c>
      <c r="F295" s="3" t="str" cm="1">
        <f t="array" aca="1" ref="F295" ca="1">OFFSET(E295,-1,1)</f>
        <v>1</v>
      </c>
      <c r="G295" s="46"/>
      <c r="H295" s="44"/>
      <c r="I295" s="44" t="s">
        <v>1865</v>
      </c>
      <c r="J295" s="46"/>
      <c r="K295" s="91" t="s">
        <v>1865</v>
      </c>
      <c r="L295" s="46"/>
      <c r="M295" s="46"/>
      <c r="N295" s="46"/>
      <c r="O295" s="46"/>
      <c r="P295" s="46"/>
      <c r="Q295" s="46"/>
      <c r="R295" s="46"/>
      <c r="S295" s="46"/>
      <c r="T295" s="365" t="b" cm="1">
        <f t="array" aca="1" ref="T295" ca="1">T294</f>
        <v>1</v>
      </c>
      <c r="U295" s="46"/>
      <c r="V295" s="46"/>
      <c r="W295" s="46"/>
      <c r="X295" s="1094"/>
      <c r="Y295" s="95"/>
      <c r="Z295" s="1065"/>
      <c r="AA295" s="95"/>
      <c r="AB295" s="143" cm="1">
        <f t="array" ref="AB295">D295</f>
        <v>10</v>
      </c>
      <c r="AC295" s="144" t="s">
        <v>2192</v>
      </c>
      <c r="AD295" s="143" t="s">
        <v>804</v>
      </c>
      <c r="AE295" s="145">
        <f t="shared" ref="AE295:BC295" ca="1" si="79">AE294+AE279+AE292</f>
        <v>21471.050024507622</v>
      </c>
      <c r="AF295" s="145">
        <f t="shared" ca="1" si="79"/>
        <v>13897.220759999998</v>
      </c>
      <c r="AG295" s="145">
        <f t="shared" ca="1" si="79"/>
        <v>13166.740759999999</v>
      </c>
      <c r="AH295" s="145">
        <f t="shared" ca="1" si="79"/>
        <v>-730.47999999999956</v>
      </c>
      <c r="AI295" s="145">
        <f t="shared" ca="1" si="79"/>
        <v>10132.170466798601</v>
      </c>
      <c r="AJ295" s="145">
        <f t="shared" ca="1" si="79"/>
        <v>25528.888800000012</v>
      </c>
      <c r="AK295" s="145">
        <f t="shared" ca="1" si="79"/>
        <v>0</v>
      </c>
      <c r="AL295" s="145">
        <f t="shared" ca="1" si="79"/>
        <v>0</v>
      </c>
      <c r="AM295" s="145">
        <f t="shared" ca="1" si="79"/>
        <v>0</v>
      </c>
      <c r="AN295" s="145">
        <f t="shared" ca="1" si="79"/>
        <v>0</v>
      </c>
      <c r="AO295" s="145">
        <f t="shared" ca="1" si="79"/>
        <v>0</v>
      </c>
      <c r="AP295" s="145">
        <f t="shared" ca="1" si="79"/>
        <v>0</v>
      </c>
      <c r="AQ295" s="145">
        <f t="shared" ca="1" si="79"/>
        <v>0</v>
      </c>
      <c r="AR295" s="145">
        <f t="shared" ca="1" si="79"/>
        <v>0</v>
      </c>
      <c r="AS295" s="145">
        <f t="shared" ca="1" si="79"/>
        <v>0</v>
      </c>
      <c r="AT295" s="145">
        <f t="shared" ca="1" si="79"/>
        <v>16877.946059999995</v>
      </c>
      <c r="AU295" s="145">
        <f t="shared" ca="1" si="79"/>
        <v>0</v>
      </c>
      <c r="AV295" s="145">
        <f t="shared" ca="1" si="79"/>
        <v>0</v>
      </c>
      <c r="AW295" s="145">
        <f t="shared" ca="1" si="79"/>
        <v>0</v>
      </c>
      <c r="AX295" s="145">
        <f t="shared" ca="1" si="79"/>
        <v>0</v>
      </c>
      <c r="AY295" s="145">
        <f t="shared" ca="1" si="79"/>
        <v>0</v>
      </c>
      <c r="AZ295" s="145">
        <f t="shared" ca="1" si="79"/>
        <v>0</v>
      </c>
      <c r="BA295" s="145">
        <f t="shared" ca="1" si="79"/>
        <v>0</v>
      </c>
      <c r="BB295" s="145">
        <f t="shared" ca="1" si="79"/>
        <v>0</v>
      </c>
      <c r="BC295" s="145">
        <f t="shared" ca="1" si="79"/>
        <v>0</v>
      </c>
      <c r="BD295" s="145">
        <f ca="1">IF(AI295=0,0,(AT295-AI295)/AI295*100)</f>
        <v>66.577794119297067</v>
      </c>
      <c r="BE295" s="145">
        <f t="shared" ca="1" si="78"/>
        <v>-100</v>
      </c>
      <c r="BF295" s="145">
        <f t="shared" ca="1" si="78"/>
        <v>0</v>
      </c>
      <c r="BG295" s="145">
        <f t="shared" ca="1" si="78"/>
        <v>0</v>
      </c>
      <c r="BH295" s="145">
        <f t="shared" ca="1" si="78"/>
        <v>0</v>
      </c>
      <c r="BI295" s="145">
        <f t="shared" ca="1" si="78"/>
        <v>0</v>
      </c>
      <c r="BJ295" s="145">
        <f t="shared" ca="1" si="78"/>
        <v>0</v>
      </c>
      <c r="BK295" s="145">
        <f t="shared" ca="1" si="78"/>
        <v>0</v>
      </c>
      <c r="BL295" s="145">
        <f t="shared" ca="1" si="78"/>
        <v>0</v>
      </c>
      <c r="BM295" s="145">
        <f t="shared" ca="1" si="78"/>
        <v>0</v>
      </c>
      <c r="BN295" s="215"/>
      <c r="BO295" s="215"/>
      <c r="BP295" s="215"/>
      <c r="BQ295" s="95"/>
      <c r="BR295" s="95"/>
      <c r="BS295" s="711" t="s">
        <v>2193</v>
      </c>
      <c r="BT295" s="711"/>
      <c r="BU295" s="711"/>
      <c r="BV295" s="522"/>
      <c r="BW295" s="522"/>
    </row>
    <row r="296" spans="1:75" ht="14.25" hidden="1" customHeight="1">
      <c r="B296" s="353" t="b">
        <f>A171="двухставочный"</f>
        <v>0</v>
      </c>
      <c r="C296" s="44"/>
      <c r="D296" s="44" cm="1">
        <f t="array" ref="D296">D295</f>
        <v>10</v>
      </c>
      <c r="E296" s="462">
        <v>15</v>
      </c>
      <c r="F296" s="3" t="str" cm="1">
        <f t="array" aca="1" ref="F296" ca="1">OFFSET(E296,-1,1)</f>
        <v>1</v>
      </c>
      <c r="G296" s="44"/>
      <c r="H296" s="581"/>
      <c r="I296" s="581" t="s">
        <v>1869</v>
      </c>
      <c r="J296" s="44"/>
      <c r="K296" s="291" t="s">
        <v>1869</v>
      </c>
      <c r="L296" s="44" t="s">
        <v>1857</v>
      </c>
      <c r="M296" s="44"/>
      <c r="N296" s="44"/>
      <c r="O296" s="44"/>
      <c r="P296" s="44"/>
      <c r="Q296" s="44"/>
      <c r="R296" s="44"/>
      <c r="S296" s="44"/>
      <c r="T296" s="365" t="b" cm="1">
        <f t="array" aca="1" ref="T296" ca="1">T295</f>
        <v>1</v>
      </c>
      <c r="U296" s="44"/>
      <c r="V296" s="44"/>
      <c r="W296" s="44"/>
      <c r="X296" s="1094"/>
      <c r="Z296" s="1065"/>
      <c r="AB296" s="26" t="str">
        <f>D296&amp;".1"</f>
        <v>10.1</v>
      </c>
      <c r="AC296" s="560" t="s">
        <v>1859</v>
      </c>
      <c r="AD296" s="26" t="s">
        <v>804</v>
      </c>
      <c r="AE296" s="787"/>
      <c r="AF296" s="787"/>
      <c r="AG296" s="787"/>
      <c r="AH296" s="190">
        <f t="shared" ref="AH296:AH302" si="80">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52"/>
      <c r="BE296" s="552"/>
      <c r="BF296" s="552"/>
      <c r="BG296" s="552"/>
      <c r="BH296" s="552"/>
      <c r="BI296" s="552"/>
      <c r="BJ296" s="552"/>
      <c r="BK296" s="552"/>
      <c r="BL296" s="552"/>
      <c r="BM296" s="552"/>
      <c r="BN296" s="784"/>
      <c r="BO296" s="784"/>
      <c r="BP296" s="784"/>
      <c r="BS296" s="703" t="s">
        <v>1860</v>
      </c>
    </row>
    <row r="297" spans="1:75" ht="14.25" hidden="1" customHeight="1">
      <c r="B297" s="353" t="b">
        <f>A171="двухставочный"</f>
        <v>0</v>
      </c>
      <c r="C297" s="44"/>
      <c r="D297" s="44" cm="1">
        <f t="array" ref="D297">D296</f>
        <v>10</v>
      </c>
      <c r="E297" s="462">
        <v>15</v>
      </c>
      <c r="F297" s="3" t="str" cm="1">
        <f t="array" aca="1" ref="F297" ca="1">OFFSET(E297,-1,1)</f>
        <v>1</v>
      </c>
      <c r="G297" s="44"/>
      <c r="H297" s="581"/>
      <c r="I297" s="581" t="s">
        <v>1873</v>
      </c>
      <c r="J297" s="44"/>
      <c r="K297" s="291" t="s">
        <v>1873</v>
      </c>
      <c r="L297" s="44" t="s">
        <v>1861</v>
      </c>
      <c r="M297" s="44"/>
      <c r="N297" s="44"/>
      <c r="O297" s="44"/>
      <c r="P297" s="44"/>
      <c r="Q297" s="44"/>
      <c r="R297" s="44"/>
      <c r="S297" s="44"/>
      <c r="T297" s="365" t="b" cm="1">
        <f t="array" aca="1" ref="T297" ca="1">T296</f>
        <v>1</v>
      </c>
      <c r="U297" s="44"/>
      <c r="V297" s="44"/>
      <c r="W297" s="44"/>
      <c r="X297" s="1094"/>
      <c r="Z297" s="1065"/>
      <c r="AB297" s="26" t="str">
        <f>D297&amp;".2"</f>
        <v>10.2</v>
      </c>
      <c r="AC297" s="560" t="s">
        <v>1863</v>
      </c>
      <c r="AD297" s="26" t="s">
        <v>804</v>
      </c>
      <c r="AE297" s="787"/>
      <c r="AF297" s="787"/>
      <c r="AG297" s="787"/>
      <c r="AH297" s="190">
        <f t="shared" si="80"/>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52"/>
      <c r="BE297" s="552"/>
      <c r="BF297" s="552"/>
      <c r="BG297" s="552"/>
      <c r="BH297" s="552"/>
      <c r="BI297" s="552"/>
      <c r="BJ297" s="552"/>
      <c r="BK297" s="552"/>
      <c r="BL297" s="552"/>
      <c r="BM297" s="552"/>
      <c r="BN297" s="784"/>
      <c r="BO297" s="784"/>
      <c r="BP297" s="784"/>
      <c r="BS297" s="703" t="s">
        <v>1864</v>
      </c>
    </row>
    <row r="298" spans="1:75" s="950" customFormat="1" ht="20.25" customHeight="1">
      <c r="A298" s="95"/>
      <c r="B298" s="344"/>
      <c r="C298" s="46"/>
      <c r="D298" s="46">
        <f>D297+1</f>
        <v>11</v>
      </c>
      <c r="E298" s="569">
        <v>21</v>
      </c>
      <c r="F298" s="3" t="str" cm="1">
        <f t="array" aca="1" ref="F298" ca="1">OFFSET(E298,-1,1)</f>
        <v>1</v>
      </c>
      <c r="G298" s="44" t="s">
        <v>1633</v>
      </c>
      <c r="H298" s="44"/>
      <c r="I298" s="44" t="s">
        <v>1893</v>
      </c>
      <c r="J298" s="46"/>
      <c r="K298" s="91" t="s">
        <v>1893</v>
      </c>
      <c r="L298" s="46" t="s">
        <v>1865</v>
      </c>
      <c r="M298" s="46"/>
      <c r="N298" s="46"/>
      <c r="O298" s="46"/>
      <c r="P298" s="46"/>
      <c r="Q298" s="46"/>
      <c r="R298" s="46"/>
      <c r="S298" s="46"/>
      <c r="T298" s="365" t="b" cm="1">
        <f t="array" aca="1" ref="T298" ca="1">T297</f>
        <v>1</v>
      </c>
      <c r="U298" s="46"/>
      <c r="V298" s="46"/>
      <c r="W298" s="46"/>
      <c r="X298" s="1094"/>
      <c r="Y298" s="95"/>
      <c r="Z298" s="1065"/>
      <c r="AA298" s="95"/>
      <c r="AB298" s="143" cm="1">
        <f t="array" ref="AB298">D298</f>
        <v>11</v>
      </c>
      <c r="AC298" s="144" t="s">
        <v>1867</v>
      </c>
      <c r="AD298" s="143" t="s">
        <v>534</v>
      </c>
      <c r="AE298" s="562">
        <f ca="1">SUMIFS(Баланс!AE$26:AE$300,Баланс!$F$26:$F$300,$F298,Баланс!$G$26:$G$300,"ПО")</f>
        <v>976.59204435740003</v>
      </c>
      <c r="AF298" s="562">
        <f ca="1">SUMIFS(Баланс!AF$26:AF$300,Баланс!$F$26:$F$300,$F298,Баланс!$G$26:$G$300,"ПО")</f>
        <v>961.84399999999994</v>
      </c>
      <c r="AG298" s="562">
        <f ca="1">SUMIFS(Баланс!AG$26:AG$300,Баланс!$F$26:$F$300,$F298,Баланс!$G$26:$G$300,"ПО")</f>
        <v>961.84399999999994</v>
      </c>
      <c r="AH298" s="562">
        <f t="shared" ca="1" si="80"/>
        <v>0</v>
      </c>
      <c r="AI298" s="562">
        <f ca="1">SUMIFS(Баланс!AH$26:AH$300,Баланс!$F$26:$F$300,$F298,Баланс!$G$26:$G$300,"ПО")</f>
        <v>973.04300000000001</v>
      </c>
      <c r="AJ298" s="562">
        <f ca="1">SUMIFS(Баланс!AI$26:AI$300,Баланс!$F$26:$F$300,$F298,Баланс!$G$26:$G$300,"ПО")</f>
        <v>960.18599999999992</v>
      </c>
      <c r="AK298" s="562">
        <f ca="1">SUMIFS(Баланс!AJ$26:AJ$300,Баланс!$F$26:$F$300,$F298,Баланс!$G$26:$G$300,"ПО")</f>
        <v>0</v>
      </c>
      <c r="AL298" s="562">
        <f ca="1">SUMIFS(Баланс!AK$26:AK$300,Баланс!$F$26:$F$300,$F298,Баланс!$G$26:$G$300,"ПО")</f>
        <v>0</v>
      </c>
      <c r="AM298" s="562">
        <f ca="1">SUMIFS(Баланс!AL$26:AL$300,Баланс!$F$26:$F$300,$F298,Баланс!$G$26:$G$300,"ПО")</f>
        <v>0</v>
      </c>
      <c r="AN298" s="562">
        <f ca="1">SUMIFS(Баланс!AM$26:AM$300,Баланс!$F$26:$F$300,$F298,Баланс!$G$26:$G$300,"ПО")</f>
        <v>0</v>
      </c>
      <c r="AO298" s="562">
        <f ca="1">SUMIFS(Баланс!AN$26:AN$300,Баланс!$F$26:$F$300,$F298,Баланс!$G$26:$G$300,"ПО")</f>
        <v>0</v>
      </c>
      <c r="AP298" s="562">
        <f ca="1">SUMIFS(Баланс!AO$26:AO$300,Баланс!$F$26:$F$300,$F298,Баланс!$G$26:$G$300,"ПО")</f>
        <v>0</v>
      </c>
      <c r="AQ298" s="562">
        <f ca="1">SUMIFS(Баланс!AP$26:AP$300,Баланс!$F$26:$F$300,$F298,Баланс!$G$26:$G$300,"ПО")</f>
        <v>0</v>
      </c>
      <c r="AR298" s="562">
        <f ca="1">SUMIFS(Баланс!AQ$26:AQ$300,Баланс!$F$26:$F$300,$F298,Баланс!$G$26:$G$300,"ПО")</f>
        <v>0</v>
      </c>
      <c r="AS298" s="562">
        <f ca="1">SUMIFS(Баланс!AR$26:AR$300,Баланс!$F$26:$F$300,$F298,Баланс!$G$26:$G$300,"ПО")</f>
        <v>0</v>
      </c>
      <c r="AT298" s="562">
        <f ca="1">SUMIFS(Баланс!AS$26:AS$300,Баланс!$F$26:$F$300,$F298,Баланс!$G$26:$G$300,"ПО")</f>
        <v>961.84399999999994</v>
      </c>
      <c r="AU298" s="562">
        <f ca="1">SUMIFS(Баланс!AT$26:AT$300,Баланс!$F$26:$F$300,$F298,Баланс!$G$26:$G$300,"ПО")</f>
        <v>0</v>
      </c>
      <c r="AV298" s="562">
        <f ca="1">SUMIFS(Баланс!AU$26:AU$300,Баланс!$F$26:$F$300,$F298,Баланс!$G$26:$G$300,"ПО")</f>
        <v>0</v>
      </c>
      <c r="AW298" s="562">
        <f ca="1">SUMIFS(Баланс!AV$26:AV$300,Баланс!$F$26:$F$300,$F298,Баланс!$G$26:$G$300,"ПО")</f>
        <v>0</v>
      </c>
      <c r="AX298" s="562">
        <f ca="1">SUMIFS(Баланс!AW$26:AW$300,Баланс!$F$26:$F$300,$F298,Баланс!$G$26:$G$300,"ПО")</f>
        <v>0</v>
      </c>
      <c r="AY298" s="562">
        <f ca="1">SUMIFS(Баланс!AX$26:AX$300,Баланс!$F$26:$F$300,$F298,Баланс!$G$26:$G$300,"ПО")</f>
        <v>0</v>
      </c>
      <c r="AZ298" s="562">
        <f ca="1">SUMIFS(Баланс!AY$26:AY$300,Баланс!$F$26:$F$300,$F298,Баланс!$G$26:$G$300,"ПО")</f>
        <v>0</v>
      </c>
      <c r="BA298" s="562">
        <f ca="1">SUMIFS(Баланс!AZ$26:AZ$300,Баланс!$F$26:$F$300,$F298,Баланс!$G$26:$G$300,"ПО")</f>
        <v>0</v>
      </c>
      <c r="BB298" s="562">
        <f ca="1">SUMIFS(Баланс!BA$26:BA$300,Баланс!$F$26:$F$300,$F298,Баланс!$G$26:$G$300,"ПО")</f>
        <v>0</v>
      </c>
      <c r="BC298" s="562">
        <f ca="1">SUMIFS(Баланс!BB$26:BB$300,Баланс!$F$26:$F$300,$F298,Баланс!$G$26:$G$300,"ПО")</f>
        <v>0</v>
      </c>
      <c r="BD298" s="148"/>
      <c r="BE298" s="148"/>
      <c r="BF298" s="148"/>
      <c r="BG298" s="148"/>
      <c r="BH298" s="148"/>
      <c r="BI298" s="148"/>
      <c r="BJ298" s="148"/>
      <c r="BK298" s="148"/>
      <c r="BL298" s="148"/>
      <c r="BM298" s="148"/>
      <c r="BN298" s="215"/>
      <c r="BO298" s="215"/>
      <c r="BP298" s="215"/>
      <c r="BQ298" s="95"/>
      <c r="BR298" s="95"/>
      <c r="BS298" s="704" t="s">
        <v>1868</v>
      </c>
      <c r="BT298" s="711"/>
      <c r="BU298" s="711"/>
      <c r="BV298" s="522"/>
      <c r="BW298" s="522"/>
    </row>
    <row r="299" spans="1:75" ht="14.65" customHeight="1">
      <c r="C299" s="44"/>
      <c r="D299" s="44" cm="1">
        <f t="array" ref="D299">D298</f>
        <v>11</v>
      </c>
      <c r="E299" s="462">
        <v>15</v>
      </c>
      <c r="F299" s="3" t="str" cm="1">
        <f t="array" aca="1" ref="F299" ca="1">OFFSET(E299,-1,1)</f>
        <v>1</v>
      </c>
      <c r="G299" s="44" t="s">
        <v>1660</v>
      </c>
      <c r="H299" s="44"/>
      <c r="I299" s="44" t="s">
        <v>2194</v>
      </c>
      <c r="J299" s="44"/>
      <c r="K299" s="91" t="s">
        <v>2194</v>
      </c>
      <c r="L299" s="44" t="s">
        <v>1869</v>
      </c>
      <c r="M299" s="44"/>
      <c r="N299" s="44"/>
      <c r="O299" s="44"/>
      <c r="P299" s="44"/>
      <c r="Q299" s="44"/>
      <c r="R299" s="44"/>
      <c r="S299" s="44"/>
      <c r="T299" s="365" t="b" cm="1">
        <f t="array" aca="1" ref="T299" ca="1">T298</f>
        <v>1</v>
      </c>
      <c r="U299" s="44"/>
      <c r="V299" s="44"/>
      <c r="W299" s="44"/>
      <c r="X299" s="1094"/>
      <c r="Z299" s="1065"/>
      <c r="AB299" s="26" t="str">
        <f>D299&amp;".1"</f>
        <v>11.1</v>
      </c>
      <c r="AC299" s="146" t="s">
        <v>1871</v>
      </c>
      <c r="AD299" s="26" t="s">
        <v>534</v>
      </c>
      <c r="AE299" s="455">
        <v>488.29602217870001</v>
      </c>
      <c r="AF299" s="455">
        <f ca="1">IF(AF$24="2026 год",AF298/12*9,AF298/2)</f>
        <v>480.92199999999997</v>
      </c>
      <c r="AG299" s="455">
        <f ca="1">IF(AG$24="2026 год",AG298/12*9,AG298/2)</f>
        <v>480.92199999999997</v>
      </c>
      <c r="AH299" s="568">
        <f t="shared" ca="1" si="80"/>
        <v>0</v>
      </c>
      <c r="AI299" s="455">
        <v>486.5215</v>
      </c>
      <c r="AJ299" s="455">
        <f t="shared" ref="AJ299:BC299" ca="1" si="81">IF(AJ$24="2026 год",AJ298/12*9,AJ298/2)</f>
        <v>720.13949999999988</v>
      </c>
      <c r="AK299" s="785">
        <f t="shared" ca="1" si="81"/>
        <v>0</v>
      </c>
      <c r="AL299" s="785">
        <f t="shared" ca="1" si="81"/>
        <v>0</v>
      </c>
      <c r="AM299" s="785">
        <f t="shared" ca="1" si="81"/>
        <v>0</v>
      </c>
      <c r="AN299" s="785">
        <f t="shared" ca="1" si="81"/>
        <v>0</v>
      </c>
      <c r="AO299" s="785">
        <f t="shared" ca="1" si="81"/>
        <v>0</v>
      </c>
      <c r="AP299" s="785">
        <f t="shared" ca="1" si="81"/>
        <v>0</v>
      </c>
      <c r="AQ299" s="785">
        <f t="shared" ca="1" si="81"/>
        <v>0</v>
      </c>
      <c r="AR299" s="785">
        <f t="shared" ca="1" si="81"/>
        <v>0</v>
      </c>
      <c r="AS299" s="785">
        <f t="shared" ca="1" si="81"/>
        <v>0</v>
      </c>
      <c r="AT299" s="455">
        <f t="shared" ca="1" si="81"/>
        <v>721.38300000000004</v>
      </c>
      <c r="AU299" s="785">
        <f t="shared" ca="1" si="81"/>
        <v>0</v>
      </c>
      <c r="AV299" s="785">
        <f t="shared" ca="1" si="81"/>
        <v>0</v>
      </c>
      <c r="AW299" s="785">
        <f t="shared" ca="1" si="81"/>
        <v>0</v>
      </c>
      <c r="AX299" s="785">
        <f t="shared" ca="1" si="81"/>
        <v>0</v>
      </c>
      <c r="AY299" s="785">
        <f t="shared" ca="1" si="81"/>
        <v>0</v>
      </c>
      <c r="AZ299" s="785">
        <f t="shared" ca="1" si="81"/>
        <v>0</v>
      </c>
      <c r="BA299" s="785">
        <f t="shared" ca="1" si="81"/>
        <v>0</v>
      </c>
      <c r="BB299" s="785">
        <f t="shared" ca="1" si="81"/>
        <v>0</v>
      </c>
      <c r="BC299" s="785">
        <f t="shared" ca="1" si="81"/>
        <v>0</v>
      </c>
      <c r="BD299" s="552"/>
      <c r="BE299" s="552"/>
      <c r="BF299" s="552"/>
      <c r="BG299" s="552"/>
      <c r="BH299" s="552"/>
      <c r="BI299" s="552"/>
      <c r="BJ299" s="552"/>
      <c r="BK299" s="552"/>
      <c r="BL299" s="552"/>
      <c r="BM299" s="552"/>
      <c r="BN299" s="215"/>
      <c r="BO299" s="215"/>
      <c r="BP299" s="215"/>
      <c r="BS299" s="703" t="s">
        <v>1872</v>
      </c>
    </row>
    <row r="300" spans="1:75" ht="107.25" customHeight="1">
      <c r="C300" s="44"/>
      <c r="D300" s="44" cm="1">
        <f t="array" ref="D300">D299</f>
        <v>11</v>
      </c>
      <c r="E300" s="462">
        <v>15</v>
      </c>
      <c r="F300" s="3" t="str" cm="1">
        <f t="array" aca="1" ref="F300" ca="1">OFFSET(E300,-1,1)</f>
        <v>1</v>
      </c>
      <c r="G300" s="44" t="s">
        <v>1621</v>
      </c>
      <c r="H300" s="44"/>
      <c r="I300" s="44" t="s">
        <v>2195</v>
      </c>
      <c r="J300" s="44"/>
      <c r="K300" s="91" t="s">
        <v>2195</v>
      </c>
      <c r="L300" s="44" t="s">
        <v>1873</v>
      </c>
      <c r="M300" s="44"/>
      <c r="N300" s="44"/>
      <c r="O300" s="44"/>
      <c r="P300" s="44"/>
      <c r="Q300" s="44"/>
      <c r="R300" s="44"/>
      <c r="S300" s="44"/>
      <c r="T300" s="365" t="b" cm="1">
        <f t="array" aca="1" ref="T300" ca="1">T299</f>
        <v>1</v>
      </c>
      <c r="U300" s="44"/>
      <c r="V300" s="44"/>
      <c r="W300" s="44"/>
      <c r="X300" s="1094"/>
      <c r="Z300" s="1065"/>
      <c r="AB300" s="26" t="str">
        <f>D300&amp;".2"</f>
        <v>11.2</v>
      </c>
      <c r="AC300" s="146" t="s">
        <v>1875</v>
      </c>
      <c r="AD300" s="26" t="s">
        <v>1624</v>
      </c>
      <c r="AE300" s="147">
        <v>37.4</v>
      </c>
      <c r="AF300" s="147"/>
      <c r="AG300" s="147"/>
      <c r="AH300" s="190">
        <f t="shared" si="80"/>
        <v>0</v>
      </c>
      <c r="AI300" s="147">
        <v>39.610007884200002</v>
      </c>
      <c r="AJ300" s="147"/>
      <c r="AK300" s="787"/>
      <c r="AL300" s="787"/>
      <c r="AM300" s="787"/>
      <c r="AN300" s="787"/>
      <c r="AO300" s="787"/>
      <c r="AP300" s="787"/>
      <c r="AQ300" s="787"/>
      <c r="AR300" s="787"/>
      <c r="AS300" s="787"/>
      <c r="AT300" s="147"/>
      <c r="AU300" s="787" cm="1">
        <f t="array" aca="1" ref="AU300" ca="1">AT302</f>
        <v>70.18995205043646</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52"/>
      <c r="BE300" s="552"/>
      <c r="BF300" s="552"/>
      <c r="BG300" s="552"/>
      <c r="BH300" s="552"/>
      <c r="BI300" s="552"/>
      <c r="BJ300" s="552"/>
      <c r="BK300" s="552"/>
      <c r="BL300" s="552"/>
      <c r="BM300" s="552"/>
      <c r="BN300" s="215" t="s">
        <v>2214</v>
      </c>
      <c r="BO300" s="215" t="s">
        <v>2215</v>
      </c>
      <c r="BP300" s="215"/>
      <c r="BS300" s="703" t="s">
        <v>1876</v>
      </c>
    </row>
    <row r="301" spans="1:75" ht="14.25" customHeight="1">
      <c r="C301" s="44"/>
      <c r="D301" s="44" cm="1">
        <f t="array" ref="D301">D300</f>
        <v>11</v>
      </c>
      <c r="E301" s="462">
        <v>15</v>
      </c>
      <c r="F301" s="3" t="str" cm="1">
        <f t="array" aca="1" ref="F301" ca="1">OFFSET(E301,-1,1)</f>
        <v>1</v>
      </c>
      <c r="G301" s="44" t="s">
        <v>1673</v>
      </c>
      <c r="H301" s="44"/>
      <c r="I301" s="44" t="s">
        <v>2196</v>
      </c>
      <c r="J301" s="44"/>
      <c r="K301" s="91" t="s">
        <v>2196</v>
      </c>
      <c r="L301" s="44" t="s">
        <v>1877</v>
      </c>
      <c r="M301" s="44"/>
      <c r="N301" s="44"/>
      <c r="O301" s="44"/>
      <c r="P301" s="44"/>
      <c r="Q301" s="44"/>
      <c r="R301" s="44"/>
      <c r="S301" s="44"/>
      <c r="T301" s="365" t="b" cm="1">
        <f t="array" aca="1" ref="T301" ca="1">T300</f>
        <v>1</v>
      </c>
      <c r="U301" s="44"/>
      <c r="V301" s="44"/>
      <c r="W301" s="44"/>
      <c r="X301" s="1094"/>
      <c r="Z301" s="1065"/>
      <c r="AB301" s="26" t="str">
        <f>D301&amp;".3"</f>
        <v>11.3</v>
      </c>
      <c r="AC301" s="146" t="s">
        <v>2197</v>
      </c>
      <c r="AD301" s="26" t="s">
        <v>534</v>
      </c>
      <c r="AE301" s="568">
        <f ca="1">AE298-AE299</f>
        <v>488.29602217870001</v>
      </c>
      <c r="AF301" s="568">
        <f ca="1">AF298-AF299</f>
        <v>480.92199999999997</v>
      </c>
      <c r="AG301" s="568">
        <f ca="1">AG298-AG299</f>
        <v>480.92199999999997</v>
      </c>
      <c r="AH301" s="568">
        <f t="shared" ca="1" si="80"/>
        <v>0</v>
      </c>
      <c r="AI301" s="568">
        <f t="shared" ref="AI301:BC301" ca="1" si="82">AI298-AI299</f>
        <v>486.5215</v>
      </c>
      <c r="AJ301" s="568">
        <f t="shared" ca="1" si="82"/>
        <v>240.04650000000004</v>
      </c>
      <c r="AK301" s="568">
        <f t="shared" ca="1" si="82"/>
        <v>0</v>
      </c>
      <c r="AL301" s="568">
        <f t="shared" ca="1" si="82"/>
        <v>0</v>
      </c>
      <c r="AM301" s="568">
        <f t="shared" ca="1" si="82"/>
        <v>0</v>
      </c>
      <c r="AN301" s="568">
        <f t="shared" ca="1" si="82"/>
        <v>0</v>
      </c>
      <c r="AO301" s="568">
        <f t="shared" ca="1" si="82"/>
        <v>0</v>
      </c>
      <c r="AP301" s="568">
        <f t="shared" ca="1" si="82"/>
        <v>0</v>
      </c>
      <c r="AQ301" s="568">
        <f t="shared" ca="1" si="82"/>
        <v>0</v>
      </c>
      <c r="AR301" s="568">
        <f t="shared" ca="1" si="82"/>
        <v>0</v>
      </c>
      <c r="AS301" s="568">
        <f t="shared" ca="1" si="82"/>
        <v>0</v>
      </c>
      <c r="AT301" s="568">
        <f t="shared" ca="1" si="82"/>
        <v>240.4609999999999</v>
      </c>
      <c r="AU301" s="568">
        <f t="shared" ca="1" si="82"/>
        <v>0</v>
      </c>
      <c r="AV301" s="568">
        <f t="shared" ca="1" si="82"/>
        <v>0</v>
      </c>
      <c r="AW301" s="568">
        <f t="shared" ca="1" si="82"/>
        <v>0</v>
      </c>
      <c r="AX301" s="568">
        <f t="shared" ca="1" si="82"/>
        <v>0</v>
      </c>
      <c r="AY301" s="568">
        <f t="shared" ca="1" si="82"/>
        <v>0</v>
      </c>
      <c r="AZ301" s="568">
        <f t="shared" ca="1" si="82"/>
        <v>0</v>
      </c>
      <c r="BA301" s="568">
        <f t="shared" ca="1" si="82"/>
        <v>0</v>
      </c>
      <c r="BB301" s="568">
        <f t="shared" ca="1" si="82"/>
        <v>0</v>
      </c>
      <c r="BC301" s="568">
        <f t="shared" ca="1" si="82"/>
        <v>0</v>
      </c>
      <c r="BD301" s="552"/>
      <c r="BE301" s="552"/>
      <c r="BF301" s="552"/>
      <c r="BG301" s="552"/>
      <c r="BH301" s="552"/>
      <c r="BI301" s="552"/>
      <c r="BJ301" s="552"/>
      <c r="BK301" s="552"/>
      <c r="BL301" s="552"/>
      <c r="BM301" s="552"/>
      <c r="BN301" s="215"/>
      <c r="BO301" s="215"/>
      <c r="BP301" s="215"/>
      <c r="BS301" s="703" t="s">
        <v>1880</v>
      </c>
    </row>
    <row r="302" spans="1:75" ht="14.65" customHeight="1">
      <c r="C302" s="44"/>
      <c r="D302" s="44" cm="1">
        <f t="array" ref="D302">D301</f>
        <v>11</v>
      </c>
      <c r="E302" s="462">
        <v>15</v>
      </c>
      <c r="F302" s="3" t="str" cm="1">
        <f t="array" aca="1" ref="F302" ca="1">OFFSET(E302,-1,1)</f>
        <v>1</v>
      </c>
      <c r="G302" s="44" t="s">
        <v>1626</v>
      </c>
      <c r="H302" s="44"/>
      <c r="I302" s="44" t="s">
        <v>2198</v>
      </c>
      <c r="J302" s="44"/>
      <c r="K302" s="91" t="s">
        <v>2198</v>
      </c>
      <c r="L302" s="44" t="s">
        <v>1881</v>
      </c>
      <c r="M302" s="44"/>
      <c r="N302" s="44"/>
      <c r="O302" s="44"/>
      <c r="P302" s="44"/>
      <c r="Q302" s="44"/>
      <c r="R302" s="44"/>
      <c r="S302" s="44"/>
      <c r="T302" s="365" t="b" cm="1">
        <f t="array" aca="1" ref="T302" ca="1">T301</f>
        <v>1</v>
      </c>
      <c r="U302" s="44"/>
      <c r="V302" s="44"/>
      <c r="W302" s="44"/>
      <c r="X302" s="1094"/>
      <c r="Z302" s="1065"/>
      <c r="AB302" s="26" t="str">
        <f>D302&amp;".4"</f>
        <v>11.4</v>
      </c>
      <c r="AC302" s="146" t="s">
        <v>1883</v>
      </c>
      <c r="AD302" s="26" t="s">
        <v>1624</v>
      </c>
      <c r="AE302" s="147">
        <v>39.610007884200002</v>
      </c>
      <c r="AF302" s="147">
        <f ca="1">IF(AF301=0,0,(AF295-AF299*AF300)/AF301)</f>
        <v>28.897036858367883</v>
      </c>
      <c r="AG302" s="147">
        <f ca="1">IF(AG301=0,0,(AG295-AG299*AG300)/AG301)</f>
        <v>27.378121109036393</v>
      </c>
      <c r="AH302" s="190">
        <f t="shared" ca="1" si="80"/>
        <v>-1.5189157493314909</v>
      </c>
      <c r="AI302" s="147">
        <v>44.960451133699998</v>
      </c>
      <c r="AJ302" s="147">
        <f t="shared" ref="AJ302:BC302" ca="1" si="83">IF(AJ301=0,0,(AJ295-AJ299*AJ300)/AJ301)</f>
        <v>106.34976473308299</v>
      </c>
      <c r="AK302" s="787">
        <f t="shared" ca="1" si="83"/>
        <v>0</v>
      </c>
      <c r="AL302" s="787">
        <f t="shared" ca="1" si="83"/>
        <v>0</v>
      </c>
      <c r="AM302" s="787">
        <f t="shared" ca="1" si="83"/>
        <v>0</v>
      </c>
      <c r="AN302" s="787">
        <f t="shared" ca="1" si="83"/>
        <v>0</v>
      </c>
      <c r="AO302" s="787">
        <f t="shared" ca="1" si="83"/>
        <v>0</v>
      </c>
      <c r="AP302" s="787">
        <f t="shared" ca="1" si="83"/>
        <v>0</v>
      </c>
      <c r="AQ302" s="787">
        <f t="shared" ca="1" si="83"/>
        <v>0</v>
      </c>
      <c r="AR302" s="787">
        <f t="shared" ca="1" si="83"/>
        <v>0</v>
      </c>
      <c r="AS302" s="787">
        <f t="shared" ca="1" si="83"/>
        <v>0</v>
      </c>
      <c r="AT302" s="147">
        <f t="shared" ca="1" si="83"/>
        <v>70.18995205043646</v>
      </c>
      <c r="AU302" s="787">
        <f t="shared" ca="1" si="83"/>
        <v>0</v>
      </c>
      <c r="AV302" s="787">
        <f t="shared" ca="1" si="83"/>
        <v>0</v>
      </c>
      <c r="AW302" s="787">
        <f t="shared" ca="1" si="83"/>
        <v>0</v>
      </c>
      <c r="AX302" s="787">
        <f t="shared" ca="1" si="83"/>
        <v>0</v>
      </c>
      <c r="AY302" s="787">
        <f t="shared" ca="1" si="83"/>
        <v>0</v>
      </c>
      <c r="AZ302" s="787">
        <f t="shared" ca="1" si="83"/>
        <v>0</v>
      </c>
      <c r="BA302" s="787">
        <f t="shared" ca="1" si="83"/>
        <v>0</v>
      </c>
      <c r="BB302" s="787">
        <f t="shared" ca="1" si="83"/>
        <v>0</v>
      </c>
      <c r="BC302" s="787">
        <f t="shared" ca="1" si="83"/>
        <v>0</v>
      </c>
      <c r="BD302" s="552"/>
      <c r="BE302" s="552"/>
      <c r="BF302" s="552"/>
      <c r="BG302" s="552"/>
      <c r="BH302" s="552"/>
      <c r="BI302" s="552"/>
      <c r="BJ302" s="552"/>
      <c r="BK302" s="552"/>
      <c r="BL302" s="552"/>
      <c r="BM302" s="552"/>
      <c r="BN302" s="215"/>
      <c r="BO302" s="215"/>
      <c r="BP302" s="215"/>
      <c r="BS302" s="703" t="s">
        <v>1884</v>
      </c>
    </row>
    <row r="303" spans="1:75" ht="14.25" customHeight="1">
      <c r="C303" s="44"/>
      <c r="D303" s="44" cm="1">
        <f t="array" ref="D303">D302</f>
        <v>11</v>
      </c>
      <c r="E303" s="462">
        <v>15</v>
      </c>
      <c r="F303" s="3" t="str" cm="1">
        <f t="array" aca="1" ref="F303" ca="1">OFFSET(E303,-1,1)</f>
        <v>1</v>
      </c>
      <c r="G303" s="44"/>
      <c r="H303" s="44"/>
      <c r="I303" s="44" t="s">
        <v>2199</v>
      </c>
      <c r="J303" s="44"/>
      <c r="K303" s="91" t="s">
        <v>2199</v>
      </c>
      <c r="L303" s="44" t="s">
        <v>1885</v>
      </c>
      <c r="M303" s="44"/>
      <c r="N303" s="44"/>
      <c r="O303" s="44"/>
      <c r="P303" s="44"/>
      <c r="Q303" s="44"/>
      <c r="R303" s="44"/>
      <c r="S303" s="44"/>
      <c r="T303" s="365" t="b" cm="1">
        <f t="array" aca="1" ref="T303" ca="1">T302</f>
        <v>1</v>
      </c>
      <c r="U303" s="44"/>
      <c r="V303" s="44"/>
      <c r="W303" s="44"/>
      <c r="X303" s="1094"/>
      <c r="Z303" s="1065"/>
      <c r="AB303" s="26" t="str">
        <f>D303&amp;".5"</f>
        <v>11.5</v>
      </c>
      <c r="AC303" s="146" t="s">
        <v>1887</v>
      </c>
      <c r="AD303" s="26" t="s">
        <v>456</v>
      </c>
      <c r="AE303" s="190">
        <f>IF(AE300=0,0,AE302/AE300*100)</f>
        <v>105.90911198983959</v>
      </c>
      <c r="AF303" s="190">
        <f>IF(AF300=0,0,AF302/AF300*100)</f>
        <v>0</v>
      </c>
      <c r="AG303" s="190">
        <f>IF(AG300=0,0,AG302/AG300*100)</f>
        <v>0</v>
      </c>
      <c r="AH303" s="552"/>
      <c r="AI303" s="190">
        <f t="shared" ref="AI303:BC303" si="84">IF(AI300=0,0,AI302/AI300*100)</f>
        <v>113.50780657540396</v>
      </c>
      <c r="AJ303" s="190">
        <f t="shared" si="84"/>
        <v>0</v>
      </c>
      <c r="AK303" s="190">
        <f t="shared" si="84"/>
        <v>0</v>
      </c>
      <c r="AL303" s="190">
        <f t="shared" si="84"/>
        <v>0</v>
      </c>
      <c r="AM303" s="190">
        <f t="shared" si="84"/>
        <v>0</v>
      </c>
      <c r="AN303" s="190">
        <f t="shared" si="84"/>
        <v>0</v>
      </c>
      <c r="AO303" s="190">
        <f t="shared" si="84"/>
        <v>0</v>
      </c>
      <c r="AP303" s="190">
        <f t="shared" si="84"/>
        <v>0</v>
      </c>
      <c r="AQ303" s="190">
        <f t="shared" si="84"/>
        <v>0</v>
      </c>
      <c r="AR303" s="190">
        <f t="shared" si="84"/>
        <v>0</v>
      </c>
      <c r="AS303" s="190">
        <f t="shared" si="84"/>
        <v>0</v>
      </c>
      <c r="AT303" s="190">
        <f t="shared" si="84"/>
        <v>0</v>
      </c>
      <c r="AU303" s="190">
        <f t="shared" ca="1" si="84"/>
        <v>0</v>
      </c>
      <c r="AV303" s="190">
        <f t="shared" ca="1" si="84"/>
        <v>0</v>
      </c>
      <c r="AW303" s="190">
        <f t="shared" ca="1" si="84"/>
        <v>0</v>
      </c>
      <c r="AX303" s="190">
        <f t="shared" ca="1" si="84"/>
        <v>0</v>
      </c>
      <c r="AY303" s="190">
        <f t="shared" ca="1" si="84"/>
        <v>0</v>
      </c>
      <c r="AZ303" s="190">
        <f t="shared" ca="1" si="84"/>
        <v>0</v>
      </c>
      <c r="BA303" s="190">
        <f t="shared" ca="1" si="84"/>
        <v>0</v>
      </c>
      <c r="BB303" s="190">
        <f t="shared" ca="1" si="84"/>
        <v>0</v>
      </c>
      <c r="BC303" s="190">
        <f t="shared" ca="1" si="84"/>
        <v>0</v>
      </c>
      <c r="BD303" s="552"/>
      <c r="BE303" s="552"/>
      <c r="BF303" s="552"/>
      <c r="BG303" s="552"/>
      <c r="BH303" s="552"/>
      <c r="BI303" s="552"/>
      <c r="BJ303" s="552"/>
      <c r="BK303" s="552"/>
      <c r="BL303" s="552"/>
      <c r="BM303" s="552"/>
      <c r="BN303" s="215"/>
      <c r="BO303" s="215"/>
      <c r="BP303" s="215"/>
      <c r="BS303" s="703" t="s">
        <v>1888</v>
      </c>
    </row>
    <row r="304" spans="1:75" ht="14.65" customHeight="1">
      <c r="C304" s="44"/>
      <c r="D304" s="44" cm="1">
        <f t="array" ref="D304">D303</f>
        <v>11</v>
      </c>
      <c r="E304" s="462">
        <v>15</v>
      </c>
      <c r="F304" s="3" t="str" cm="1">
        <f t="array" aca="1" ref="F304" ca="1">OFFSET(E304,-1,1)</f>
        <v>1</v>
      </c>
      <c r="G304" s="44"/>
      <c r="H304" s="44"/>
      <c r="I304" s="44" t="s">
        <v>2200</v>
      </c>
      <c r="J304" s="44"/>
      <c r="K304" s="91" t="s">
        <v>2200</v>
      </c>
      <c r="L304" s="44" t="s">
        <v>1889</v>
      </c>
      <c r="M304" s="44"/>
      <c r="N304" s="44"/>
      <c r="O304" s="44"/>
      <c r="P304" s="44"/>
      <c r="Q304" s="44"/>
      <c r="R304" s="44"/>
      <c r="S304" s="44"/>
      <c r="T304" s="365" t="b" cm="1">
        <f t="array" aca="1" ref="T304" ca="1">T303</f>
        <v>1</v>
      </c>
      <c r="U304" s="44"/>
      <c r="V304" s="44"/>
      <c r="W304" s="44"/>
      <c r="X304" s="1094"/>
      <c r="Z304" s="1065"/>
      <c r="AB304" s="26" t="str">
        <f>D304&amp;".6"</f>
        <v>11.6</v>
      </c>
      <c r="AC304" s="146" t="s">
        <v>1891</v>
      </c>
      <c r="AD304" s="26" t="s">
        <v>1624</v>
      </c>
      <c r="AE304" s="147">
        <v>38.505003942099997</v>
      </c>
      <c r="AF304" s="147">
        <f ca="1">IF(AF298=0,0,AF295/AF298)</f>
        <v>14.448518429183942</v>
      </c>
      <c r="AG304" s="147">
        <f ca="1">IF(AG298=0,0,AG295/AG298)</f>
        <v>13.689060554518196</v>
      </c>
      <c r="AH304" s="190">
        <f ca="1">AG304-AF304</f>
        <v>-0.75945787466574544</v>
      </c>
      <c r="AI304" s="147">
        <v>42.285229508999997</v>
      </c>
      <c r="AJ304" s="147">
        <f t="shared" ref="AJ304:BC304" ca="1" si="85">IF(AJ298=0,0,AJ295/AJ298)</f>
        <v>26.587441183270755</v>
      </c>
      <c r="AK304" s="787">
        <f t="shared" ca="1" si="85"/>
        <v>0</v>
      </c>
      <c r="AL304" s="787">
        <f t="shared" ca="1" si="85"/>
        <v>0</v>
      </c>
      <c r="AM304" s="787">
        <f t="shared" ca="1" si="85"/>
        <v>0</v>
      </c>
      <c r="AN304" s="787">
        <f t="shared" ca="1" si="85"/>
        <v>0</v>
      </c>
      <c r="AO304" s="787">
        <f t="shared" ca="1" si="85"/>
        <v>0</v>
      </c>
      <c r="AP304" s="787">
        <f t="shared" ca="1" si="85"/>
        <v>0</v>
      </c>
      <c r="AQ304" s="787">
        <f t="shared" ca="1" si="85"/>
        <v>0</v>
      </c>
      <c r="AR304" s="787">
        <f t="shared" ca="1" si="85"/>
        <v>0</v>
      </c>
      <c r="AS304" s="787">
        <f t="shared" ca="1" si="85"/>
        <v>0</v>
      </c>
      <c r="AT304" s="147">
        <f t="shared" ca="1" si="85"/>
        <v>17.547488012609108</v>
      </c>
      <c r="AU304" s="787">
        <f t="shared" ca="1" si="85"/>
        <v>0</v>
      </c>
      <c r="AV304" s="787">
        <f t="shared" ca="1" si="85"/>
        <v>0</v>
      </c>
      <c r="AW304" s="787">
        <f t="shared" ca="1" si="85"/>
        <v>0</v>
      </c>
      <c r="AX304" s="787">
        <f t="shared" ca="1" si="85"/>
        <v>0</v>
      </c>
      <c r="AY304" s="787">
        <f t="shared" ca="1" si="85"/>
        <v>0</v>
      </c>
      <c r="AZ304" s="787">
        <f t="shared" ca="1" si="85"/>
        <v>0</v>
      </c>
      <c r="BA304" s="787">
        <f t="shared" ca="1" si="85"/>
        <v>0</v>
      </c>
      <c r="BB304" s="787">
        <f t="shared" ca="1" si="85"/>
        <v>0</v>
      </c>
      <c r="BC304" s="787">
        <f t="shared" ca="1" si="85"/>
        <v>0</v>
      </c>
      <c r="BD304" s="552"/>
      <c r="BE304" s="552"/>
      <c r="BF304" s="552"/>
      <c r="BG304" s="552"/>
      <c r="BH304" s="552"/>
      <c r="BI304" s="552"/>
      <c r="BJ304" s="552"/>
      <c r="BK304" s="552"/>
      <c r="BL304" s="552"/>
      <c r="BM304" s="552"/>
      <c r="BN304" s="215"/>
      <c r="BO304" s="215"/>
      <c r="BP304" s="215"/>
      <c r="BS304" s="703" t="s">
        <v>1892</v>
      </c>
    </row>
    <row r="305" spans="1:75" s="950" customFormat="1" ht="20.45" customHeight="1">
      <c r="A305" s="95"/>
      <c r="B305" s="344"/>
      <c r="C305" s="46"/>
      <c r="D305" s="46">
        <f>D304+1</f>
        <v>12</v>
      </c>
      <c r="E305" s="569">
        <v>21</v>
      </c>
      <c r="F305" s="3" t="str" cm="1">
        <f t="array" aca="1" ref="F305" ca="1">OFFSET(E305,-1,1)</f>
        <v>1</v>
      </c>
      <c r="G305" s="46"/>
      <c r="H305" s="44"/>
      <c r="I305" s="44" t="s">
        <v>1897</v>
      </c>
      <c r="J305" s="46"/>
      <c r="K305" s="91" t="s">
        <v>1897</v>
      </c>
      <c r="L305" s="46" t="s">
        <v>1893</v>
      </c>
      <c r="M305" s="46"/>
      <c r="N305" s="46"/>
      <c r="O305" s="46"/>
      <c r="P305" s="46"/>
      <c r="Q305" s="46"/>
      <c r="R305" s="46"/>
      <c r="S305" s="46"/>
      <c r="T305" s="365" t="b" cm="1">
        <f t="array" aca="1" ref="T305" ca="1">T304</f>
        <v>1</v>
      </c>
      <c r="U305" s="46"/>
      <c r="V305" s="46"/>
      <c r="W305" s="46"/>
      <c r="X305" s="1094"/>
      <c r="Y305" s="95"/>
      <c r="Z305" s="1065"/>
      <c r="AA305" s="95"/>
      <c r="AB305" s="143" cm="1">
        <f t="array" ref="AB305">D305</f>
        <v>12</v>
      </c>
      <c r="AC305" s="144" t="s">
        <v>1895</v>
      </c>
      <c r="AD305" s="143" t="s">
        <v>804</v>
      </c>
      <c r="AE305" s="157">
        <v>20481.782026920398</v>
      </c>
      <c r="AF305" s="157">
        <f ca="1">IF(AF298=0,0,AF295/AF298*AF306)</f>
        <v>7635.7096738998416</v>
      </c>
      <c r="AG305" s="157">
        <f ca="1">IF(AG298=0,0,AG295/AG298*AG306)</f>
        <v>7234.3536546701125</v>
      </c>
      <c r="AH305" s="145">
        <f ca="1">AH307*AH308+AH309*AH310</f>
        <v>0</v>
      </c>
      <c r="AI305" s="157">
        <v>22854.5322711689</v>
      </c>
      <c r="AJ305" s="157">
        <f t="shared" ref="AJ305:BC305" ca="1" si="86">IF(AJ298=0,0,AJ295/AJ298*AJ306)</f>
        <v>14063.028202273315</v>
      </c>
      <c r="AK305" s="783">
        <f t="shared" ca="1" si="86"/>
        <v>0</v>
      </c>
      <c r="AL305" s="783">
        <f t="shared" ca="1" si="86"/>
        <v>0</v>
      </c>
      <c r="AM305" s="783">
        <f t="shared" ca="1" si="86"/>
        <v>0</v>
      </c>
      <c r="AN305" s="783">
        <f t="shared" ca="1" si="86"/>
        <v>0</v>
      </c>
      <c r="AO305" s="783">
        <f t="shared" ca="1" si="86"/>
        <v>0</v>
      </c>
      <c r="AP305" s="783">
        <f t="shared" ca="1" si="86"/>
        <v>0</v>
      </c>
      <c r="AQ305" s="783">
        <f t="shared" ca="1" si="86"/>
        <v>0</v>
      </c>
      <c r="AR305" s="783">
        <f t="shared" ca="1" si="86"/>
        <v>0</v>
      </c>
      <c r="AS305" s="783">
        <f t="shared" ca="1" si="86"/>
        <v>0</v>
      </c>
      <c r="AT305" s="157">
        <f t="shared" ca="1" si="86"/>
        <v>9273.4438224396235</v>
      </c>
      <c r="AU305" s="783">
        <f t="shared" ca="1" si="86"/>
        <v>0</v>
      </c>
      <c r="AV305" s="783">
        <f t="shared" ca="1" si="86"/>
        <v>0</v>
      </c>
      <c r="AW305" s="783">
        <f t="shared" ca="1" si="86"/>
        <v>0</v>
      </c>
      <c r="AX305" s="783">
        <f t="shared" ca="1" si="86"/>
        <v>0</v>
      </c>
      <c r="AY305" s="783">
        <f t="shared" ca="1" si="86"/>
        <v>0</v>
      </c>
      <c r="AZ305" s="783">
        <f t="shared" ca="1" si="86"/>
        <v>0</v>
      </c>
      <c r="BA305" s="783">
        <f t="shared" ca="1" si="86"/>
        <v>0</v>
      </c>
      <c r="BB305" s="783">
        <f t="shared" ca="1" si="86"/>
        <v>0</v>
      </c>
      <c r="BC305" s="783">
        <f t="shared" ca="1" si="86"/>
        <v>0</v>
      </c>
      <c r="BD305" s="145">
        <f ca="1">IF(AI305=0,0,(AT305-AI305)/AI305*100)</f>
        <v>-59.424048970198719</v>
      </c>
      <c r="BE305" s="145">
        <f t="shared" ref="BE305:BM305" ca="1" si="87">IF(AT305=0,0,(AU305-AT305)/AT305*100)</f>
        <v>-100</v>
      </c>
      <c r="BF305" s="145">
        <f t="shared" ca="1" si="87"/>
        <v>0</v>
      </c>
      <c r="BG305" s="145">
        <f t="shared" ca="1" si="87"/>
        <v>0</v>
      </c>
      <c r="BH305" s="145">
        <f t="shared" ca="1" si="87"/>
        <v>0</v>
      </c>
      <c r="BI305" s="145">
        <f t="shared" ca="1" si="87"/>
        <v>0</v>
      </c>
      <c r="BJ305" s="145">
        <f t="shared" ca="1" si="87"/>
        <v>0</v>
      </c>
      <c r="BK305" s="145">
        <f t="shared" ca="1" si="87"/>
        <v>0</v>
      </c>
      <c r="BL305" s="145">
        <f t="shared" ca="1" si="87"/>
        <v>0</v>
      </c>
      <c r="BM305" s="145">
        <f t="shared" ca="1" si="87"/>
        <v>0</v>
      </c>
      <c r="BN305" s="215"/>
      <c r="BO305" s="215"/>
      <c r="BP305" s="215"/>
      <c r="BQ305" s="95"/>
      <c r="BR305" s="95"/>
      <c r="BS305" s="704" t="s">
        <v>1896</v>
      </c>
      <c r="BT305" s="711"/>
      <c r="BU305" s="711"/>
      <c r="BV305" s="522"/>
      <c r="BW305" s="522"/>
    </row>
    <row r="306" spans="1:75" s="950" customFormat="1" ht="20.25" customHeight="1">
      <c r="A306" s="95"/>
      <c r="B306" s="344"/>
      <c r="C306" s="46"/>
      <c r="D306" s="46">
        <f>D305+1</f>
        <v>13</v>
      </c>
      <c r="E306" s="569">
        <v>21</v>
      </c>
      <c r="F306" s="3" t="str" cm="1">
        <f t="array" aca="1" ref="F306" ca="1">OFFSET(E306,-1,1)</f>
        <v>1</v>
      </c>
      <c r="G306" s="44" t="s">
        <v>1646</v>
      </c>
      <c r="H306" s="44"/>
      <c r="I306" s="44" t="s">
        <v>2201</v>
      </c>
      <c r="J306" s="46"/>
      <c r="K306" s="91" t="s">
        <v>2201</v>
      </c>
      <c r="L306" s="46" t="s">
        <v>1897</v>
      </c>
      <c r="M306" s="46"/>
      <c r="N306" s="46"/>
      <c r="O306" s="46"/>
      <c r="P306" s="46"/>
      <c r="Q306" s="46"/>
      <c r="R306" s="46"/>
      <c r="S306" s="46"/>
      <c r="T306" s="365" t="b" cm="1">
        <f t="array" aca="1" ref="T306" ca="1">T305</f>
        <v>1</v>
      </c>
      <c r="U306" s="46"/>
      <c r="V306" s="46"/>
      <c r="W306" s="46"/>
      <c r="X306" s="1094"/>
      <c r="Y306" s="95"/>
      <c r="Z306" s="1065"/>
      <c r="AA306" s="95"/>
      <c r="AB306" s="143" cm="1">
        <f t="array" ref="AB306">D306</f>
        <v>13</v>
      </c>
      <c r="AC306" s="144" t="s">
        <v>1899</v>
      </c>
      <c r="AD306" s="143" t="s">
        <v>534</v>
      </c>
      <c r="AE306" s="562">
        <f ca="1">SUMIFS(Баланс!AE$26:AE$300,Баланс!$F$26:$F$300,$F306,Баланс!$G$26:$G$300,"население")</f>
        <v>531.92520270110003</v>
      </c>
      <c r="AF306" s="562">
        <f ca="1">SUMIFS(Баланс!AF$26:AF$300,Баланс!$F$26:$F$300,$F306,Баланс!$G$26:$G$300,"население")</f>
        <v>528.47699999999998</v>
      </c>
      <c r="AG306" s="562">
        <f ca="1">SUMIFS(Баланс!AG$26:AG$300,Баланс!$F$26:$F$300,$F306,Баланс!$G$26:$G$300,"население")</f>
        <v>528.47699999999998</v>
      </c>
      <c r="AH306" s="562">
        <f t="shared" ref="AH306:AH314" ca="1" si="88">AG306-AF306</f>
        <v>0</v>
      </c>
      <c r="AI306" s="562">
        <f ca="1">SUMIFS(Баланс!AH$26:AH$300,Баланс!$F$26:$F$300,$F306,Баланс!$G$26:$G$300,"население")</f>
        <v>540.48500000000001</v>
      </c>
      <c r="AJ306" s="562">
        <f ca="1">SUMIFS(Баланс!AI$26:AI$300,Баланс!$F$26:$F$300,$F306,Баланс!$G$26:$G$300,"население")</f>
        <v>528.93499999999995</v>
      </c>
      <c r="AK306" s="562">
        <f ca="1">SUMIFS(Баланс!AJ$26:AJ$300,Баланс!$F$26:$F$300,$F306,Баланс!$G$26:$G$300,"население")</f>
        <v>0</v>
      </c>
      <c r="AL306" s="562">
        <f ca="1">SUMIFS(Баланс!AK$26:AK$300,Баланс!$F$26:$F$300,$F306,Баланс!$G$26:$G$300,"население")</f>
        <v>0</v>
      </c>
      <c r="AM306" s="562">
        <f ca="1">SUMIFS(Баланс!AL$26:AL$300,Баланс!$F$26:$F$300,$F306,Баланс!$G$26:$G$300,"население")</f>
        <v>0</v>
      </c>
      <c r="AN306" s="562">
        <f ca="1">SUMIFS(Баланс!AM$26:AM$300,Баланс!$F$26:$F$300,$F306,Баланс!$G$26:$G$300,"население")</f>
        <v>0</v>
      </c>
      <c r="AO306" s="562">
        <f ca="1">SUMIFS(Баланс!AN$26:AN$300,Баланс!$F$26:$F$300,$F306,Баланс!$G$26:$G$300,"население")</f>
        <v>0</v>
      </c>
      <c r="AP306" s="562">
        <f ca="1">SUMIFS(Баланс!AO$26:AO$300,Баланс!$F$26:$F$300,$F306,Баланс!$G$26:$G$300,"население")</f>
        <v>0</v>
      </c>
      <c r="AQ306" s="562">
        <f ca="1">SUMIFS(Баланс!AP$26:AP$300,Баланс!$F$26:$F$300,$F306,Баланс!$G$26:$G$300,"население")</f>
        <v>0</v>
      </c>
      <c r="AR306" s="562">
        <f ca="1">SUMIFS(Баланс!AQ$26:AQ$300,Баланс!$F$26:$F$300,$F306,Баланс!$G$26:$G$300,"население")</f>
        <v>0</v>
      </c>
      <c r="AS306" s="562">
        <f ca="1">SUMIFS(Баланс!AR$26:AR$300,Баланс!$F$26:$F$300,$F306,Баланс!$G$26:$G$300,"население")</f>
        <v>0</v>
      </c>
      <c r="AT306" s="562">
        <f ca="1">SUMIFS(Баланс!AS$26:AS$300,Баланс!$F$26:$F$300,$F306,Баланс!$G$26:$G$300,"население")</f>
        <v>528.47699999999998</v>
      </c>
      <c r="AU306" s="562">
        <f ca="1">SUMIFS(Баланс!AT$26:AT$300,Баланс!$F$26:$F$300,$F306,Баланс!$G$26:$G$300,"население")</f>
        <v>0</v>
      </c>
      <c r="AV306" s="562">
        <f ca="1">SUMIFS(Баланс!AU$26:AU$300,Баланс!$F$26:$F$300,$F306,Баланс!$G$26:$G$300,"население")</f>
        <v>0</v>
      </c>
      <c r="AW306" s="562">
        <f ca="1">SUMIFS(Баланс!AV$26:AV$300,Баланс!$F$26:$F$300,$F306,Баланс!$G$26:$G$300,"население")</f>
        <v>0</v>
      </c>
      <c r="AX306" s="562">
        <f ca="1">SUMIFS(Баланс!AW$26:AW$300,Баланс!$F$26:$F$300,$F306,Баланс!$G$26:$G$300,"население")</f>
        <v>0</v>
      </c>
      <c r="AY306" s="562">
        <f ca="1">SUMIFS(Баланс!AX$26:AX$300,Баланс!$F$26:$F$300,$F306,Баланс!$G$26:$G$300,"население")</f>
        <v>0</v>
      </c>
      <c r="AZ306" s="562">
        <f ca="1">SUMIFS(Баланс!AY$26:AY$300,Баланс!$F$26:$F$300,$F306,Баланс!$G$26:$G$300,"население")</f>
        <v>0</v>
      </c>
      <c r="BA306" s="562">
        <f ca="1">SUMIFS(Баланс!AZ$26:AZ$300,Баланс!$F$26:$F$300,$F306,Баланс!$G$26:$G$300,"население")</f>
        <v>0</v>
      </c>
      <c r="BB306" s="562">
        <f ca="1">SUMIFS(Баланс!BA$26:BA$300,Баланс!$F$26:$F$300,$F306,Баланс!$G$26:$G$300,"население")</f>
        <v>0</v>
      </c>
      <c r="BC306" s="562">
        <f ca="1">SUMIFS(Баланс!BB$26:BB$300,Баланс!$F$26:$F$300,$F306,Баланс!$G$26:$G$300,"население")</f>
        <v>0</v>
      </c>
      <c r="BD306" s="148"/>
      <c r="BE306" s="148"/>
      <c r="BF306" s="148"/>
      <c r="BG306" s="148"/>
      <c r="BH306" s="148"/>
      <c r="BI306" s="148"/>
      <c r="BJ306" s="148"/>
      <c r="BK306" s="148"/>
      <c r="BL306" s="148"/>
      <c r="BM306" s="148"/>
      <c r="BN306" s="215"/>
      <c r="BO306" s="215"/>
      <c r="BP306" s="215"/>
      <c r="BQ306" s="95"/>
      <c r="BR306" s="95"/>
      <c r="BS306" s="704" t="s">
        <v>1900</v>
      </c>
      <c r="BT306" s="711"/>
      <c r="BU306" s="711"/>
      <c r="BV306" s="522"/>
      <c r="BW306" s="522"/>
    </row>
    <row r="307" spans="1:75" ht="14.65" customHeight="1">
      <c r="C307" s="44"/>
      <c r="D307" s="44" cm="1">
        <f t="array" ref="D307">D306</f>
        <v>13</v>
      </c>
      <c r="E307" s="462">
        <v>15</v>
      </c>
      <c r="F307" s="3" t="str" cm="1">
        <f t="array" aca="1" ref="F307" ca="1">OFFSET(E307,-1,1)</f>
        <v>1</v>
      </c>
      <c r="G307" s="44" t="s">
        <v>1680</v>
      </c>
      <c r="H307" s="44"/>
      <c r="I307" s="44" t="s">
        <v>2202</v>
      </c>
      <c r="J307" s="44"/>
      <c r="K307" s="91" t="s">
        <v>2202</v>
      </c>
      <c r="L307" s="44" t="s">
        <v>1901</v>
      </c>
      <c r="M307" s="44"/>
      <c r="N307" s="44"/>
      <c r="O307" s="44"/>
      <c r="P307" s="44"/>
      <c r="Q307" s="44"/>
      <c r="R307" s="44"/>
      <c r="S307" s="44"/>
      <c r="T307" s="365" t="b" cm="1">
        <f t="array" aca="1" ref="T307" ca="1">T306</f>
        <v>1</v>
      </c>
      <c r="U307" s="44"/>
      <c r="V307" s="44"/>
      <c r="W307" s="44"/>
      <c r="X307" s="1094"/>
      <c r="Z307" s="1065"/>
      <c r="AB307" s="26" t="str">
        <f>D307&amp;".1"</f>
        <v>13.1</v>
      </c>
      <c r="AC307" s="146" t="s">
        <v>1903</v>
      </c>
      <c r="AD307" s="26" t="s">
        <v>534</v>
      </c>
      <c r="AE307" s="455">
        <v>265.96260135049999</v>
      </c>
      <c r="AF307" s="455">
        <f ca="1">IF(AF$24="2026 год",AF306/12*9,AF306/2)</f>
        <v>264.23849999999999</v>
      </c>
      <c r="AG307" s="455">
        <f ca="1">IF(AG$24="2026 год",AG306/12*9,AG306/2)</f>
        <v>264.23849999999999</v>
      </c>
      <c r="AH307" s="568">
        <f t="shared" ca="1" si="88"/>
        <v>0</v>
      </c>
      <c r="AI307" s="455">
        <v>265.96260135049999</v>
      </c>
      <c r="AJ307" s="455">
        <f t="shared" ref="AJ307:BC307" ca="1" si="89">IF(AJ$24="2026 год",AJ306/12*9,AJ306/2)</f>
        <v>396.70124999999996</v>
      </c>
      <c r="AK307" s="785">
        <f t="shared" ca="1" si="89"/>
        <v>0</v>
      </c>
      <c r="AL307" s="785">
        <f t="shared" ca="1" si="89"/>
        <v>0</v>
      </c>
      <c r="AM307" s="785">
        <f t="shared" ca="1" si="89"/>
        <v>0</v>
      </c>
      <c r="AN307" s="785">
        <f t="shared" ca="1" si="89"/>
        <v>0</v>
      </c>
      <c r="AO307" s="785">
        <f t="shared" ca="1" si="89"/>
        <v>0</v>
      </c>
      <c r="AP307" s="785">
        <f t="shared" ca="1" si="89"/>
        <v>0</v>
      </c>
      <c r="AQ307" s="785">
        <f t="shared" ca="1" si="89"/>
        <v>0</v>
      </c>
      <c r="AR307" s="785">
        <f t="shared" ca="1" si="89"/>
        <v>0</v>
      </c>
      <c r="AS307" s="785">
        <f t="shared" ca="1" si="89"/>
        <v>0</v>
      </c>
      <c r="AT307" s="455">
        <f t="shared" ca="1" si="89"/>
        <v>396.35775000000001</v>
      </c>
      <c r="AU307" s="785">
        <f t="shared" ca="1" si="89"/>
        <v>0</v>
      </c>
      <c r="AV307" s="785">
        <f t="shared" ca="1" si="89"/>
        <v>0</v>
      </c>
      <c r="AW307" s="785">
        <f t="shared" ca="1" si="89"/>
        <v>0</v>
      </c>
      <c r="AX307" s="785">
        <f t="shared" ca="1" si="89"/>
        <v>0</v>
      </c>
      <c r="AY307" s="785">
        <f t="shared" ca="1" si="89"/>
        <v>0</v>
      </c>
      <c r="AZ307" s="785">
        <f t="shared" ca="1" si="89"/>
        <v>0</v>
      </c>
      <c r="BA307" s="785">
        <f t="shared" ca="1" si="89"/>
        <v>0</v>
      </c>
      <c r="BB307" s="785">
        <f t="shared" ca="1" si="89"/>
        <v>0</v>
      </c>
      <c r="BC307" s="785">
        <f t="shared" ca="1" si="89"/>
        <v>0</v>
      </c>
      <c r="BD307" s="552"/>
      <c r="BE307" s="552"/>
      <c r="BF307" s="552"/>
      <c r="BG307" s="552"/>
      <c r="BH307" s="552"/>
      <c r="BI307" s="552"/>
      <c r="BJ307" s="552"/>
      <c r="BK307" s="552"/>
      <c r="BL307" s="552"/>
      <c r="BM307" s="552"/>
      <c r="BN307" s="215"/>
      <c r="BO307" s="215"/>
      <c r="BP307" s="215"/>
      <c r="BS307" s="703" t="s">
        <v>1904</v>
      </c>
    </row>
    <row r="308" spans="1:75" ht="14.65" customHeight="1">
      <c r="C308" s="44"/>
      <c r="D308" s="44" cm="1">
        <f t="array" ref="D308">D307</f>
        <v>13</v>
      </c>
      <c r="E308" s="462">
        <v>15</v>
      </c>
      <c r="F308" s="3" t="str" cm="1">
        <f t="array" aca="1" ref="F308" ca="1">OFFSET(E308,-1,1)</f>
        <v>1</v>
      </c>
      <c r="G308" s="44" t="s">
        <v>1636</v>
      </c>
      <c r="H308" s="44"/>
      <c r="I308" s="44" t="s">
        <v>2203</v>
      </c>
      <c r="J308" s="44"/>
      <c r="K308" s="91" t="s">
        <v>2203</v>
      </c>
      <c r="L308" s="44" t="s">
        <v>1905</v>
      </c>
      <c r="M308" s="44"/>
      <c r="N308" s="44"/>
      <c r="O308" s="44"/>
      <c r="P308" s="44"/>
      <c r="Q308" s="44"/>
      <c r="R308" s="44"/>
      <c r="S308" s="44"/>
      <c r="T308" s="365" t="b" cm="1">
        <f t="array" aca="1" ref="T308" ca="1">T307</f>
        <v>1</v>
      </c>
      <c r="U308" s="44"/>
      <c r="V308" s="44"/>
      <c r="W308" s="44"/>
      <c r="X308" s="1094"/>
      <c r="Z308" s="1065"/>
      <c r="AB308" s="26" t="str">
        <f>D308&amp;".2"</f>
        <v>13.2</v>
      </c>
      <c r="AC308" s="146" t="s">
        <v>1907</v>
      </c>
      <c r="AD308" s="26" t="s">
        <v>1624</v>
      </c>
      <c r="AE308" s="147">
        <v>37.4</v>
      </c>
      <c r="AF308" s="147">
        <f ca="1">IF(AF306=0,0,AF300*(1+Сценарии!AF$26/100))</f>
        <v>0</v>
      </c>
      <c r="AG308" s="147">
        <f ca="1">IF(AG306=0,0,AG300*(1+Сценарии!AG$26/100))</f>
        <v>0</v>
      </c>
      <c r="AH308" s="190">
        <f t="shared" ca="1" si="88"/>
        <v>0</v>
      </c>
      <c r="AI308" s="147">
        <v>39.61</v>
      </c>
      <c r="AJ308" s="147">
        <f ca="1">IF(AJ306=0,0,AJ300*(1+Сценарии!AJ$26/100))</f>
        <v>0</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147">
        <f ca="1">IF(AT306=0,0,AT300*(1+Сценарии!AK$26/100))</f>
        <v>0</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52"/>
      <c r="BE308" s="552"/>
      <c r="BF308" s="552"/>
      <c r="BG308" s="552"/>
      <c r="BH308" s="552"/>
      <c r="BI308" s="552"/>
      <c r="BJ308" s="552"/>
      <c r="BK308" s="552"/>
      <c r="BL308" s="552"/>
      <c r="BM308" s="552"/>
      <c r="BN308" s="215"/>
      <c r="BO308" s="215"/>
      <c r="BP308" s="215"/>
      <c r="BS308" s="703" t="s">
        <v>1908</v>
      </c>
    </row>
    <row r="309" spans="1:75" ht="14.25" customHeight="1">
      <c r="C309" s="44"/>
      <c r="D309" s="44" cm="1">
        <f t="array" ref="D309">D308</f>
        <v>13</v>
      </c>
      <c r="E309" s="462">
        <v>15</v>
      </c>
      <c r="F309" s="3" t="str" cm="1">
        <f t="array" aca="1" ref="F309" ca="1">OFFSET(E309,-1,1)</f>
        <v>1</v>
      </c>
      <c r="G309" s="44" t="s">
        <v>1687</v>
      </c>
      <c r="H309" s="44"/>
      <c r="I309" s="44" t="s">
        <v>2204</v>
      </c>
      <c r="J309" s="44"/>
      <c r="K309" s="44" t="s">
        <v>2204</v>
      </c>
      <c r="L309" s="44" t="s">
        <v>1909</v>
      </c>
      <c r="M309" s="44"/>
      <c r="N309" s="44"/>
      <c r="O309" s="44"/>
      <c r="P309" s="44"/>
      <c r="Q309" s="44"/>
      <c r="R309" s="44"/>
      <c r="S309" s="44"/>
      <c r="T309" s="365" t="b" cm="1">
        <f t="array" aca="1" ref="T309" ca="1">T308</f>
        <v>1</v>
      </c>
      <c r="U309" s="44"/>
      <c r="V309" s="44"/>
      <c r="W309" s="44"/>
      <c r="X309" s="1094"/>
      <c r="Z309" s="1065"/>
      <c r="AB309" s="26" t="str">
        <f>D309&amp;".3"</f>
        <v>13.3</v>
      </c>
      <c r="AC309" s="146" t="s">
        <v>1879</v>
      </c>
      <c r="AD309" s="26" t="s">
        <v>534</v>
      </c>
      <c r="AE309" s="568">
        <f ca="1">AE306-AE307</f>
        <v>265.96260135060004</v>
      </c>
      <c r="AF309" s="568">
        <f ca="1">AF306-AF307</f>
        <v>264.23849999999999</v>
      </c>
      <c r="AG309" s="568">
        <f ca="1">AG306-AG307</f>
        <v>264.23849999999999</v>
      </c>
      <c r="AH309" s="568">
        <f t="shared" ca="1" si="88"/>
        <v>0</v>
      </c>
      <c r="AI309" s="568">
        <f t="shared" ref="AI309:BC309" ca="1" si="90">AI306-AI307</f>
        <v>274.52239864950002</v>
      </c>
      <c r="AJ309" s="568">
        <f t="shared" ca="1" si="90"/>
        <v>132.23374999999999</v>
      </c>
      <c r="AK309" s="568">
        <f t="shared" ca="1" si="90"/>
        <v>0</v>
      </c>
      <c r="AL309" s="568">
        <f t="shared" ca="1" si="90"/>
        <v>0</v>
      </c>
      <c r="AM309" s="568">
        <f t="shared" ca="1" si="90"/>
        <v>0</v>
      </c>
      <c r="AN309" s="568">
        <f t="shared" ca="1" si="90"/>
        <v>0</v>
      </c>
      <c r="AO309" s="568">
        <f t="shared" ca="1" si="90"/>
        <v>0</v>
      </c>
      <c r="AP309" s="568">
        <f t="shared" ca="1" si="90"/>
        <v>0</v>
      </c>
      <c r="AQ309" s="568">
        <f t="shared" ca="1" si="90"/>
        <v>0</v>
      </c>
      <c r="AR309" s="568">
        <f t="shared" ca="1" si="90"/>
        <v>0</v>
      </c>
      <c r="AS309" s="568">
        <f t="shared" ca="1" si="90"/>
        <v>0</v>
      </c>
      <c r="AT309" s="568">
        <f t="shared" ca="1" si="90"/>
        <v>132.11924999999997</v>
      </c>
      <c r="AU309" s="568">
        <f t="shared" ca="1" si="90"/>
        <v>0</v>
      </c>
      <c r="AV309" s="568">
        <f t="shared" ca="1" si="90"/>
        <v>0</v>
      </c>
      <c r="AW309" s="568">
        <f t="shared" ca="1" si="90"/>
        <v>0</v>
      </c>
      <c r="AX309" s="568">
        <f t="shared" ca="1" si="90"/>
        <v>0</v>
      </c>
      <c r="AY309" s="568">
        <f t="shared" ca="1" si="90"/>
        <v>0</v>
      </c>
      <c r="AZ309" s="568">
        <f t="shared" ca="1" si="90"/>
        <v>0</v>
      </c>
      <c r="BA309" s="568">
        <f t="shared" ca="1" si="90"/>
        <v>0</v>
      </c>
      <c r="BB309" s="568">
        <f t="shared" ca="1" si="90"/>
        <v>0</v>
      </c>
      <c r="BC309" s="568">
        <f t="shared" ca="1" si="90"/>
        <v>0</v>
      </c>
      <c r="BD309" s="552"/>
      <c r="BE309" s="552"/>
      <c r="BF309" s="552"/>
      <c r="BG309" s="552"/>
      <c r="BH309" s="552"/>
      <c r="BI309" s="552"/>
      <c r="BJ309" s="552"/>
      <c r="BK309" s="552"/>
      <c r="BL309" s="552"/>
      <c r="BM309" s="552"/>
      <c r="BN309" s="215"/>
      <c r="BO309" s="215"/>
      <c r="BP309" s="215"/>
      <c r="BS309" s="703" t="s">
        <v>1911</v>
      </c>
    </row>
    <row r="310" spans="1:75" ht="14.65" customHeight="1">
      <c r="C310" s="44"/>
      <c r="D310" s="44" cm="1">
        <f t="array" ref="D310">D309</f>
        <v>13</v>
      </c>
      <c r="E310" s="462">
        <v>15</v>
      </c>
      <c r="F310" s="3" t="str" cm="1">
        <f t="array" aca="1" ref="F310" ca="1">OFFSET(E310,-1,1)</f>
        <v>1</v>
      </c>
      <c r="G310" s="44" t="s">
        <v>1640</v>
      </c>
      <c r="H310" s="44"/>
      <c r="I310" s="44" t="s">
        <v>2205</v>
      </c>
      <c r="J310" s="44"/>
      <c r="K310" s="44" t="s">
        <v>2205</v>
      </c>
      <c r="L310" s="44" t="s">
        <v>1912</v>
      </c>
      <c r="M310" s="44"/>
      <c r="N310" s="44"/>
      <c r="O310" s="44"/>
      <c r="P310" s="44"/>
      <c r="Q310" s="44"/>
      <c r="R310" s="44"/>
      <c r="S310" s="44"/>
      <c r="T310" s="365" t="b" cm="1">
        <f t="array" aca="1" ref="T310" ca="1">T309</f>
        <v>1</v>
      </c>
      <c r="U310" s="44"/>
      <c r="V310" s="44"/>
      <c r="W310" s="44"/>
      <c r="X310" s="1094"/>
      <c r="Z310" s="1065"/>
      <c r="AB310" s="26" t="str">
        <f>D310&amp;".4"</f>
        <v>13.4</v>
      </c>
      <c r="AC310" s="146" t="s">
        <v>1883</v>
      </c>
      <c r="AD310" s="26" t="s">
        <v>1624</v>
      </c>
      <c r="AE310" s="147">
        <v>39.610001385499999</v>
      </c>
      <c r="AF310" s="147">
        <f ca="1">IF(AF306=0,0,AF302*(1+Сценарии!AF$26/100))</f>
        <v>28.897036858367883</v>
      </c>
      <c r="AG310" s="147">
        <f ca="1">IF(AG306=0,0,AG302*(1+Сценарии!AG$26/100))</f>
        <v>27.378121109036393</v>
      </c>
      <c r="AH310" s="190">
        <f t="shared" ca="1" si="88"/>
        <v>-1.5189157493314909</v>
      </c>
      <c r="AI310" s="147">
        <v>42.780000195500001</v>
      </c>
      <c r="AJ310" s="147">
        <f ca="1">IF(AJ306=0,0,AJ302*(1+Сценарии!AJ$26/100))</f>
        <v>106.34976473308299</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147">
        <f ca="1">IF(AT306=0,0,AT302*(1+Сценарии!AK$26/100))</f>
        <v>73.699449652958293</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52"/>
      <c r="BE310" s="552"/>
      <c r="BF310" s="552"/>
      <c r="BG310" s="552"/>
      <c r="BH310" s="552"/>
      <c r="BI310" s="552"/>
      <c r="BJ310" s="552"/>
      <c r="BK310" s="552"/>
      <c r="BL310" s="552"/>
      <c r="BM310" s="552"/>
      <c r="BN310" s="215"/>
      <c r="BO310" s="215"/>
      <c r="BP310" s="215"/>
      <c r="BS310" s="703" t="s">
        <v>1915</v>
      </c>
    </row>
    <row r="311" spans="1:75" ht="14.25" customHeight="1">
      <c r="C311" s="44"/>
      <c r="D311" s="44">
        <f>D310+1</f>
        <v>14</v>
      </c>
      <c r="E311" s="462">
        <v>15</v>
      </c>
      <c r="F311" s="3" t="str" cm="1">
        <f t="array" aca="1" ref="F311" ca="1">OFFSET(E311,-1,1)</f>
        <v>1</v>
      </c>
      <c r="G311" s="44"/>
      <c r="H311" s="44"/>
      <c r="I311" s="44"/>
      <c r="J311" s="44"/>
      <c r="K311" s="44"/>
      <c r="L311" s="44"/>
      <c r="M311" s="44"/>
      <c r="N311" s="44"/>
      <c r="O311" s="44"/>
      <c r="P311" s="44"/>
      <c r="Q311" s="44"/>
      <c r="R311" s="44"/>
      <c r="S311" s="44"/>
      <c r="T311" s="365" t="b" cm="1">
        <f t="array" aca="1" ref="T311" ca="1">T310</f>
        <v>1</v>
      </c>
      <c r="U311" s="44"/>
      <c r="V311" s="44"/>
      <c r="W311" s="44"/>
      <c r="X311" s="1094"/>
      <c r="Z311" s="1065"/>
      <c r="AB311" s="143" cm="1">
        <f t="array" ref="AB311">D311</f>
        <v>14</v>
      </c>
      <c r="AC311" s="144" t="s">
        <v>1917</v>
      </c>
      <c r="AD311" s="143" t="s">
        <v>804</v>
      </c>
      <c r="AE311" s="147"/>
      <c r="AF311" s="147"/>
      <c r="AG311" s="147"/>
      <c r="AH311" s="190">
        <f t="shared" si="88"/>
        <v>0</v>
      </c>
      <c r="AI311" s="147"/>
      <c r="AJ311" s="147"/>
      <c r="AK311" s="787"/>
      <c r="AL311" s="787"/>
      <c r="AM311" s="787"/>
      <c r="AN311" s="787"/>
      <c r="AO311" s="787"/>
      <c r="AP311" s="787"/>
      <c r="AQ311" s="787"/>
      <c r="AR311" s="787"/>
      <c r="AS311" s="787"/>
      <c r="AT311" s="147"/>
      <c r="AU311" s="787"/>
      <c r="AV311" s="787"/>
      <c r="AW311" s="787"/>
      <c r="AX311" s="787"/>
      <c r="AY311" s="787"/>
      <c r="AZ311" s="787"/>
      <c r="BA311" s="787"/>
      <c r="BB311" s="787"/>
      <c r="BC311" s="787"/>
      <c r="BD311" s="552"/>
      <c r="BE311" s="552"/>
      <c r="BF311" s="552"/>
      <c r="BG311" s="552"/>
      <c r="BH311" s="552"/>
      <c r="BI311" s="552"/>
      <c r="BJ311" s="552"/>
      <c r="BK311" s="552"/>
      <c r="BL311" s="552"/>
      <c r="BM311" s="552"/>
      <c r="BN311" s="215"/>
      <c r="BO311" s="215"/>
      <c r="BP311" s="215"/>
      <c r="BS311" s="703" t="s">
        <v>1918</v>
      </c>
    </row>
    <row r="312" spans="1:75" s="388" customFormat="1" ht="20.25" customHeight="1">
      <c r="B312" s="548"/>
      <c r="C312" s="44"/>
      <c r="D312" s="44" cm="1">
        <f t="array" ref="D312">D311</f>
        <v>14</v>
      </c>
      <c r="E312" s="462">
        <v>21</v>
      </c>
      <c r="F312" s="3" t="str" cm="1">
        <f t="array" aca="1" ref="F312" ca="1">OFFSET(E312,-1,1)</f>
        <v>1</v>
      </c>
      <c r="G312" s="44"/>
      <c r="H312" s="44"/>
      <c r="I312" s="44"/>
      <c r="J312" s="44"/>
      <c r="K312" s="44"/>
      <c r="L312" s="44"/>
      <c r="M312" s="44"/>
      <c r="N312" s="44"/>
      <c r="O312" s="44"/>
      <c r="P312" s="44"/>
      <c r="Q312" s="44"/>
      <c r="R312" s="44"/>
      <c r="S312" s="44"/>
      <c r="T312" s="365" t="b" cm="1">
        <f t="array" aca="1" ref="T312" ca="1">T311</f>
        <v>1</v>
      </c>
      <c r="U312" s="44"/>
      <c r="V312" s="44"/>
      <c r="W312" s="44"/>
      <c r="X312" s="1094"/>
      <c r="Z312" s="1065"/>
      <c r="AB312" s="26" t="str">
        <f>D312&amp;".1"</f>
        <v>14.1</v>
      </c>
      <c r="AC312" s="146" t="s">
        <v>1920</v>
      </c>
      <c r="AD312" s="26" t="s">
        <v>804</v>
      </c>
      <c r="AE312" s="147"/>
      <c r="AF312" s="147"/>
      <c r="AG312" s="147"/>
      <c r="AH312" s="190">
        <f t="shared" si="88"/>
        <v>0</v>
      </c>
      <c r="AI312" s="147"/>
      <c r="AJ312" s="147"/>
      <c r="AK312" s="787"/>
      <c r="AL312" s="787"/>
      <c r="AM312" s="787"/>
      <c r="AN312" s="787"/>
      <c r="AO312" s="787"/>
      <c r="AP312" s="787"/>
      <c r="AQ312" s="787"/>
      <c r="AR312" s="787"/>
      <c r="AS312" s="787"/>
      <c r="AT312" s="147"/>
      <c r="AU312" s="787"/>
      <c r="AV312" s="787"/>
      <c r="AW312" s="787"/>
      <c r="AX312" s="787"/>
      <c r="AY312" s="787"/>
      <c r="AZ312" s="787"/>
      <c r="BA312" s="787"/>
      <c r="BB312" s="787"/>
      <c r="BC312" s="787"/>
      <c r="BD312" s="552"/>
      <c r="BE312" s="552"/>
      <c r="BF312" s="552"/>
      <c r="BG312" s="552"/>
      <c r="BH312" s="552"/>
      <c r="BI312" s="552"/>
      <c r="BJ312" s="552"/>
      <c r="BK312" s="552"/>
      <c r="BL312" s="552"/>
      <c r="BM312" s="552"/>
      <c r="BN312" s="215"/>
      <c r="BO312" s="215"/>
      <c r="BP312" s="215"/>
      <c r="BS312" s="703" t="s">
        <v>1921</v>
      </c>
      <c r="BT312" s="712"/>
      <c r="BU312" s="712"/>
      <c r="BV312" s="713"/>
      <c r="BW312" s="713"/>
    </row>
    <row r="313" spans="1:75" s="388" customFormat="1" ht="64.5" customHeight="1">
      <c r="B313" s="548"/>
      <c r="C313" s="44"/>
      <c r="D313" s="44" cm="1">
        <f t="array" ref="D313">D312</f>
        <v>14</v>
      </c>
      <c r="E313" s="462">
        <v>66.599999999999994</v>
      </c>
      <c r="F313" s="3" t="str" cm="1">
        <f t="array" aca="1" ref="F313" ca="1">OFFSET(E313,-1,1)</f>
        <v>1</v>
      </c>
      <c r="G313" s="44"/>
      <c r="H313" s="44"/>
      <c r="I313" s="44"/>
      <c r="J313" s="44"/>
      <c r="K313" s="44"/>
      <c r="L313" s="44"/>
      <c r="M313" s="44"/>
      <c r="N313" s="44"/>
      <c r="O313" s="44"/>
      <c r="P313" s="44"/>
      <c r="Q313" s="44"/>
      <c r="R313" s="44"/>
      <c r="S313" s="44"/>
      <c r="T313" s="365" t="b" cm="1">
        <f t="array" aca="1" ref="T313" ca="1">T312</f>
        <v>1</v>
      </c>
      <c r="U313" s="44"/>
      <c r="V313" s="44"/>
      <c r="W313" s="44"/>
      <c r="X313" s="1094"/>
      <c r="Z313" s="1065"/>
      <c r="AB313" s="26" t="str">
        <f>D313&amp;".2"</f>
        <v>14.2</v>
      </c>
      <c r="AC313" s="146" t="s">
        <v>1923</v>
      </c>
      <c r="AD313" s="26" t="s">
        <v>804</v>
      </c>
      <c r="AE313" s="147"/>
      <c r="AF313" s="147"/>
      <c r="AG313" s="147"/>
      <c r="AH313" s="190">
        <f t="shared" si="88"/>
        <v>0</v>
      </c>
      <c r="AI313" s="147"/>
      <c r="AJ313" s="147"/>
      <c r="AK313" s="787"/>
      <c r="AL313" s="787"/>
      <c r="AM313" s="787"/>
      <c r="AN313" s="787"/>
      <c r="AO313" s="787"/>
      <c r="AP313" s="787"/>
      <c r="AQ313" s="787"/>
      <c r="AR313" s="787"/>
      <c r="AS313" s="787"/>
      <c r="AT313" s="147"/>
      <c r="AU313" s="787"/>
      <c r="AV313" s="787"/>
      <c r="AW313" s="787"/>
      <c r="AX313" s="787"/>
      <c r="AY313" s="787"/>
      <c r="AZ313" s="787"/>
      <c r="BA313" s="787"/>
      <c r="BB313" s="787"/>
      <c r="BC313" s="787"/>
      <c r="BD313" s="552"/>
      <c r="BE313" s="552"/>
      <c r="BF313" s="552"/>
      <c r="BG313" s="552"/>
      <c r="BH313" s="552"/>
      <c r="BI313" s="552"/>
      <c r="BJ313" s="552"/>
      <c r="BK313" s="552"/>
      <c r="BL313" s="552"/>
      <c r="BM313" s="552"/>
      <c r="BN313" s="215"/>
      <c r="BO313" s="215"/>
      <c r="BP313" s="215"/>
      <c r="BS313" s="703" t="s">
        <v>1924</v>
      </c>
      <c r="BT313" s="712"/>
      <c r="BU313" s="712"/>
      <c r="BV313" s="713"/>
      <c r="BW313" s="713"/>
    </row>
    <row r="314" spans="1:75" s="388" customFormat="1" ht="44.25" customHeight="1">
      <c r="B314" s="548"/>
      <c r="C314" s="44"/>
      <c r="D314" s="44" cm="1">
        <f t="array" ref="D314">D313</f>
        <v>14</v>
      </c>
      <c r="E314" s="462">
        <v>45.6</v>
      </c>
      <c r="F314" s="3" t="str" cm="1">
        <f t="array" aca="1" ref="F314" ca="1">OFFSET(E314,-1,1)</f>
        <v>1</v>
      </c>
      <c r="G314" s="44"/>
      <c r="H314" s="44"/>
      <c r="I314" s="44"/>
      <c r="J314" s="44"/>
      <c r="K314" s="44"/>
      <c r="L314" s="44"/>
      <c r="M314" s="44"/>
      <c r="N314" s="44"/>
      <c r="O314" s="44"/>
      <c r="P314" s="44"/>
      <c r="Q314" s="44"/>
      <c r="R314" s="44"/>
      <c r="S314" s="44"/>
      <c r="T314" s="365" t="b" cm="1">
        <f t="array" aca="1" ref="T314" ca="1">T313</f>
        <v>1</v>
      </c>
      <c r="U314" s="44"/>
      <c r="V314" s="44"/>
      <c r="W314" s="44"/>
      <c r="X314" s="1094"/>
      <c r="Z314" s="1065"/>
      <c r="AB314" s="26" t="str">
        <f>D314&amp;".3"</f>
        <v>14.3</v>
      </c>
      <c r="AC314" s="146" t="s">
        <v>2206</v>
      </c>
      <c r="AD314" s="26" t="s">
        <v>804</v>
      </c>
      <c r="AE314" s="552"/>
      <c r="AF314" s="147"/>
      <c r="AG314" s="147"/>
      <c r="AH314" s="190">
        <f t="shared" si="88"/>
        <v>0</v>
      </c>
      <c r="AI314" s="552"/>
      <c r="AJ314" s="552"/>
      <c r="AK314" s="552"/>
      <c r="AL314" s="552"/>
      <c r="AM314" s="552"/>
      <c r="AN314" s="552"/>
      <c r="AO314" s="552"/>
      <c r="AP314" s="552"/>
      <c r="AQ314" s="552"/>
      <c r="AR314" s="552"/>
      <c r="AS314" s="552"/>
      <c r="AT314" s="552"/>
      <c r="AU314" s="552"/>
      <c r="AV314" s="552"/>
      <c r="AW314" s="552"/>
      <c r="AX314" s="552"/>
      <c r="AY314" s="552"/>
      <c r="AZ314" s="552"/>
      <c r="BA314" s="552"/>
      <c r="BB314" s="552"/>
      <c r="BC314" s="552"/>
      <c r="BD314" s="552"/>
      <c r="BE314" s="552"/>
      <c r="BF314" s="552"/>
      <c r="BG314" s="552"/>
      <c r="BH314" s="552"/>
      <c r="BI314" s="552"/>
      <c r="BJ314" s="552"/>
      <c r="BK314" s="552"/>
      <c r="BL314" s="552"/>
      <c r="BM314" s="552"/>
      <c r="BN314" s="215"/>
      <c r="BO314" s="215"/>
      <c r="BP314" s="215"/>
      <c r="BS314" s="712" t="s">
        <v>2207</v>
      </c>
      <c r="BT314" s="712"/>
      <c r="BU314" s="712"/>
      <c r="BV314" s="713"/>
      <c r="BW314" s="713"/>
    </row>
    <row r="315" spans="1:75" s="408" customFormat="1" ht="14.25" customHeight="1">
      <c r="A315" s="57"/>
      <c r="B315" s="62"/>
      <c r="C315" s="41"/>
      <c r="D315" s="41"/>
      <c r="E315" s="460">
        <v>15</v>
      </c>
      <c r="F315" s="78" t="str" cm="1">
        <f t="array" ref="F315">X315</f>
        <v>2</v>
      </c>
      <c r="G315" s="78" t="str" cm="1">
        <f t="array" ref="G315">INDEX('Общие сведения'!$AK$179:$AK$222,MATCH($X315,'Общие сведения'!$Z$179:$Z$222,0))</f>
        <v>одноставочный</v>
      </c>
      <c r="H315" s="41"/>
      <c r="I315" s="78"/>
      <c r="J315" s="41"/>
      <c r="K315" s="41"/>
      <c r="L315" s="41"/>
      <c r="M315" s="41"/>
      <c r="N315" s="41"/>
      <c r="O315" s="41"/>
      <c r="P315" s="41"/>
      <c r="Q315" s="41"/>
      <c r="R315" s="41"/>
      <c r="S315" s="41" t="str" cm="1">
        <f t="array" ref="S315">INDEX('Общие сведения'!$AE$179:$AE$222,MATCH($X315,'Общие сведения'!$Z$179:$Z$222,0))</f>
        <v>Водоотведение</v>
      </c>
      <c r="T315" s="365" t="b">
        <f>X315&gt;0</f>
        <v>1</v>
      </c>
      <c r="U315" s="41"/>
      <c r="V315" s="41" t="str" cm="1">
        <f t="array" ref="V315">'Калькуляция (МЭОР)'!$AB$197</f>
        <v>Тариф 2 (Водоотведение) - тариф на водоотведение (Доп. признак не требуется)</v>
      </c>
      <c r="W315" s="41"/>
      <c r="X315" s="1094" t="s">
        <v>285</v>
      </c>
      <c r="Y315" s="57"/>
      <c r="Z315" s="1065"/>
      <c r="AA315" s="57"/>
      <c r="AB315" s="293" t="str" cm="1">
        <f t="array" ref="AB315">'Калькуляция (МЭОР)'!$AB$197</f>
        <v>Тариф 2 (Водоотведение) - тариф на водоотведение (Доп. признак не требуется)</v>
      </c>
      <c r="AC315" s="184"/>
      <c r="AD315" s="184"/>
      <c r="AE315" s="184"/>
      <c r="AF315" s="184"/>
      <c r="AG315" s="184"/>
      <c r="AH315" s="184"/>
      <c r="AI315" s="184"/>
      <c r="AJ315" s="184"/>
      <c r="AK315" s="184"/>
      <c r="AL315" s="184"/>
      <c r="AM315" s="184"/>
      <c r="AN315" s="184"/>
      <c r="AO315" s="184"/>
      <c r="AP315" s="184"/>
      <c r="AQ315" s="184"/>
      <c r="AR315" s="184"/>
      <c r="AS315" s="184"/>
      <c r="AT315" s="184"/>
      <c r="AU315" s="184"/>
      <c r="AV315" s="184"/>
      <c r="AW315" s="184"/>
      <c r="AX315" s="184"/>
      <c r="AY315" s="184"/>
      <c r="AZ315" s="184"/>
      <c r="BA315" s="184"/>
      <c r="BB315" s="184"/>
      <c r="BC315" s="184"/>
      <c r="BD315" s="184"/>
      <c r="BE315" s="184"/>
      <c r="BF315" s="184"/>
      <c r="BG315" s="184"/>
      <c r="BH315" s="184"/>
      <c r="BI315" s="184"/>
      <c r="BJ315" s="184"/>
      <c r="BK315" s="184"/>
      <c r="BL315" s="184"/>
      <c r="BM315" s="184"/>
      <c r="BN315" s="184"/>
      <c r="BO315" s="184"/>
      <c r="BP315" s="184"/>
      <c r="BQ315" s="57"/>
      <c r="BR315" s="57"/>
      <c r="BS315" s="665"/>
      <c r="BT315" s="665"/>
      <c r="BU315" s="665"/>
      <c r="BV315" s="459"/>
      <c r="BW315" s="459"/>
    </row>
    <row r="316" spans="1:75" s="949" customFormat="1" ht="107.25" customHeight="1">
      <c r="A316" s="94"/>
      <c r="B316" s="343"/>
      <c r="C316" s="585"/>
      <c r="D316" s="585"/>
      <c r="E316" s="586">
        <v>21</v>
      </c>
      <c r="F316" s="3" t="str" cm="1">
        <f t="array" aca="1" ref="F316" ca="1">OFFSET(E316,-1,1)</f>
        <v>2</v>
      </c>
      <c r="G316" s="585"/>
      <c r="H316" s="49"/>
      <c r="I316" s="49" t="s">
        <v>327</v>
      </c>
      <c r="J316" s="585"/>
      <c r="K316" s="289" t="s">
        <v>327</v>
      </c>
      <c r="L316" s="585"/>
      <c r="M316" s="585"/>
      <c r="N316" s="585"/>
      <c r="O316" s="585"/>
      <c r="P316" s="585"/>
      <c r="Q316" s="585"/>
      <c r="R316" s="585"/>
      <c r="S316" s="585"/>
      <c r="T316" s="365" t="b" cm="1">
        <f t="array" ref="T316">T315</f>
        <v>1</v>
      </c>
      <c r="U316" s="585"/>
      <c r="V316" s="585"/>
      <c r="W316" s="585"/>
      <c r="X316" s="1094"/>
      <c r="Y316" s="94"/>
      <c r="Z316" s="1065"/>
      <c r="AA316" s="94"/>
      <c r="AB316" s="166" t="s">
        <v>275</v>
      </c>
      <c r="AC316" s="144" t="s">
        <v>1931</v>
      </c>
      <c r="AD316" s="166" t="s">
        <v>804</v>
      </c>
      <c r="AE316" s="145">
        <f ca="1">SUM(AE318,AE335,AE341,AE361,AE362,AE363)</f>
        <v>3560.0943321206</v>
      </c>
      <c r="AF316" s="145">
        <f ca="1">SUM(AF318,AF335,AF341,AF361,AF362,AF363)</f>
        <v>0</v>
      </c>
      <c r="AG316" s="145">
        <f ca="1">SUM(AG318,AG335,AG341,AG361,AG362,AG363)</f>
        <v>0</v>
      </c>
      <c r="AH316" s="145">
        <f t="shared" ref="AH316:AH347" ca="1" si="91">AG316-AF316</f>
        <v>0</v>
      </c>
      <c r="AI316" s="145">
        <f ca="1">SUM(AI318,AI335,AI341,AI361,AI362,AI363)</f>
        <v>0</v>
      </c>
      <c r="AJ316" s="145">
        <f ca="1">SUM(AJ318,AJ335,AJ341,AJ361,AJ362,AJ363)</f>
        <v>0</v>
      </c>
      <c r="AK316" s="783">
        <f t="shared" ref="AK316:AS316" ca="1" si="92">AJ316*AK317</f>
        <v>0</v>
      </c>
      <c r="AL316" s="783">
        <f t="shared" ca="1" si="92"/>
        <v>0</v>
      </c>
      <c r="AM316" s="783">
        <f t="shared" ca="1" si="92"/>
        <v>0</v>
      </c>
      <c r="AN316" s="783">
        <f t="shared" ca="1" si="92"/>
        <v>0</v>
      </c>
      <c r="AO316" s="783">
        <f t="shared" ca="1" si="92"/>
        <v>0</v>
      </c>
      <c r="AP316" s="783">
        <f t="shared" ca="1" si="92"/>
        <v>0</v>
      </c>
      <c r="AQ316" s="783">
        <f t="shared" ca="1" si="92"/>
        <v>0</v>
      </c>
      <c r="AR316" s="783">
        <f t="shared" ca="1" si="92"/>
        <v>0</v>
      </c>
      <c r="AS316" s="783">
        <f t="shared" ca="1" si="92"/>
        <v>0</v>
      </c>
      <c r="AT316" s="145">
        <f ca="1">SUM(AT318,AT335,AT341,AT361,AT362,AT363)</f>
        <v>0</v>
      </c>
      <c r="AU316" s="783">
        <f t="shared" ref="AU316:BC316" ca="1" si="93">AT316*AU317</f>
        <v>0</v>
      </c>
      <c r="AV316" s="783">
        <f t="shared" ca="1" si="93"/>
        <v>0</v>
      </c>
      <c r="AW316" s="783">
        <f t="shared" ca="1" si="93"/>
        <v>0</v>
      </c>
      <c r="AX316" s="783">
        <f t="shared" ca="1" si="93"/>
        <v>0</v>
      </c>
      <c r="AY316" s="783">
        <f t="shared" ca="1" si="93"/>
        <v>0</v>
      </c>
      <c r="AZ316" s="783">
        <f t="shared" ca="1" si="93"/>
        <v>0</v>
      </c>
      <c r="BA316" s="783">
        <f t="shared" ca="1" si="93"/>
        <v>0</v>
      </c>
      <c r="BB316" s="783">
        <f t="shared" ca="1" si="93"/>
        <v>0</v>
      </c>
      <c r="BC316" s="783">
        <f t="shared" ca="1" si="93"/>
        <v>0</v>
      </c>
      <c r="BD316" s="145">
        <f t="shared" ref="BD316:BD347" ca="1" si="94">IF(AI316=0,0,(AT316-AI316)/AI316*100)</f>
        <v>0</v>
      </c>
      <c r="BE316" s="145">
        <f t="shared" ref="BE316:BM316" ca="1" si="95">IF(AT316=0,0,(AU316-AT316)/AT316*100)</f>
        <v>0</v>
      </c>
      <c r="BF316" s="145">
        <f t="shared" ca="1" si="95"/>
        <v>0</v>
      </c>
      <c r="BG316" s="145">
        <f t="shared" ca="1" si="95"/>
        <v>0</v>
      </c>
      <c r="BH316" s="145">
        <f t="shared" ca="1" si="95"/>
        <v>0</v>
      </c>
      <c r="BI316" s="145">
        <f t="shared" ca="1" si="95"/>
        <v>0</v>
      </c>
      <c r="BJ316" s="145">
        <f t="shared" ca="1" si="95"/>
        <v>0</v>
      </c>
      <c r="BK316" s="145">
        <f t="shared" ca="1" si="95"/>
        <v>0</v>
      </c>
      <c r="BL316" s="145">
        <f t="shared" ca="1" si="95"/>
        <v>0</v>
      </c>
      <c r="BM316" s="145">
        <f t="shared" ca="1" si="95"/>
        <v>0</v>
      </c>
      <c r="BN316" s="215"/>
      <c r="BO316" s="215" t="s">
        <v>2208</v>
      </c>
      <c r="BP316" s="215" t="s">
        <v>2209</v>
      </c>
      <c r="BQ316" s="93"/>
      <c r="BR316" s="94"/>
      <c r="BS316" s="709" t="s">
        <v>526</v>
      </c>
      <c r="BT316" s="709"/>
      <c r="BU316" s="709"/>
      <c r="BV316" s="520"/>
      <c r="BW316" s="520"/>
    </row>
    <row r="317" spans="1:75" ht="14.65" customHeight="1">
      <c r="C317" s="44"/>
      <c r="D317" s="44"/>
      <c r="E317" s="462">
        <v>15</v>
      </c>
      <c r="F317" s="3" t="str" cm="1">
        <f t="array" aca="1" ref="F317" ca="1">OFFSET(E317,-1,1)</f>
        <v>2</v>
      </c>
      <c r="G317" s="44"/>
      <c r="H317" s="587"/>
      <c r="I317" s="587" t="s">
        <v>461</v>
      </c>
      <c r="J317" s="44"/>
      <c r="K317" s="290" t="s">
        <v>461</v>
      </c>
      <c r="L317" s="44"/>
      <c r="M317" s="44"/>
      <c r="N317" s="44"/>
      <c r="O317" s="44"/>
      <c r="P317" s="44"/>
      <c r="Q317" s="44"/>
      <c r="R317" s="44"/>
      <c r="S317" s="44"/>
      <c r="T317" s="365" t="b" cm="1">
        <f t="array" ref="T317">T316</f>
        <v>1</v>
      </c>
      <c r="U317" s="44"/>
      <c r="V317" s="44"/>
      <c r="W317" s="44"/>
      <c r="X317" s="1094"/>
      <c r="Z317" s="1065"/>
      <c r="AB317" s="26" t="s">
        <v>897</v>
      </c>
      <c r="AC317" s="146" t="s">
        <v>1932</v>
      </c>
      <c r="AD317" s="26"/>
      <c r="AE317" s="455"/>
      <c r="AF317" s="455"/>
      <c r="AG317" s="455"/>
      <c r="AH317" s="568">
        <f t="shared" si="91"/>
        <v>0</v>
      </c>
      <c r="AI317" s="455">
        <v>1.0580000000000001</v>
      </c>
      <c r="AJ317" s="455"/>
      <c r="AK317" s="785">
        <f ca="1">SUMIFS(INDEX(Сценарии!$AE$25:$BF$109,,MATCH(AK$8,Сценарии!$AE$8:$BF$8,0)),Сценарии!$F$25:$F$109,$F317,Сценарии!$G$25:$G$109,"ИОР")</f>
        <v>1</v>
      </c>
      <c r="AL317" s="785">
        <f ca="1">SUMIFS(INDEX(Сценарии!$AE$25:$BF$109,,MATCH(AL$8,Сценарии!$AE$8:$BF$8,0)),Сценарии!$F$25:$F$109,$F317,Сценарии!$G$25:$G$109,"ИОР")</f>
        <v>1</v>
      </c>
      <c r="AM317" s="785">
        <f ca="1">SUMIFS(INDEX(Сценарии!$AE$25:$BF$109,,MATCH(AM$8,Сценарии!$AE$8:$BF$8,0)),Сценарии!$F$25:$F$109,$F317,Сценарии!$G$25:$G$109,"ИОР")</f>
        <v>1</v>
      </c>
      <c r="AN317" s="785">
        <f ca="1">SUMIFS(INDEX(Сценарии!$AE$25:$BF$109,,MATCH(AN$8,Сценарии!$AE$8:$BF$8,0)),Сценарии!$F$25:$F$109,$F317,Сценарии!$G$25:$G$109,"ИОР")</f>
        <v>1</v>
      </c>
      <c r="AO317" s="785">
        <f ca="1">SUMIFS(INDEX(Сценарии!$AE$25:$BF$109,,MATCH(AO$8,Сценарии!$AE$8:$BF$8,0)),Сценарии!$F$25:$F$109,$F317,Сценарии!$G$25:$G$109,"ИОР")</f>
        <v>1</v>
      </c>
      <c r="AP317" s="785">
        <f ca="1">SUMIFS(INDEX(Сценарии!$AE$25:$BF$109,,MATCH(AP$8,Сценарии!$AE$8:$BF$8,0)),Сценарии!$F$25:$F$109,$F317,Сценарии!$G$25:$G$109,"ИОР")</f>
        <v>1</v>
      </c>
      <c r="AQ317" s="785">
        <f ca="1">SUMIFS(INDEX(Сценарии!$AE$25:$BF$109,,MATCH(AQ$8,Сценарии!$AE$8:$BF$8,0)),Сценарии!$F$25:$F$109,$F317,Сценарии!$G$25:$G$109,"ИОР")</f>
        <v>1</v>
      </c>
      <c r="AR317" s="785">
        <f ca="1">SUMIFS(INDEX(Сценарии!$AE$25:$BF$109,,MATCH(AR$8,Сценарии!$AE$8:$BF$8,0)),Сценарии!$F$25:$F$109,$F317,Сценарии!$G$25:$G$109,"ИОР")</f>
        <v>1</v>
      </c>
      <c r="AS317" s="785">
        <f ca="1">SUMIFS(INDEX(Сценарии!$AE$25:$BF$109,,MATCH(AS$8,Сценарии!$AE$8:$BF$8,0)),Сценарии!$F$25:$F$109,$F317,Сценарии!$G$25:$G$109,"ИОР")</f>
        <v>1</v>
      </c>
      <c r="AT317" s="455"/>
      <c r="AU317" s="785">
        <f ca="1">SUMIFS(INDEX(Сценарии!$AE$25:$BF$109,,MATCH(AU$8,Сценарии!$AE$8:$BF$8,0)),Сценарии!$F$25:$F$109,$F317,Сценарии!$G$25:$G$109,"ИОР")</f>
        <v>1</v>
      </c>
      <c r="AV317" s="785">
        <f ca="1">SUMIFS(INDEX(Сценарии!$AE$25:$BF$109,,MATCH(AV$8,Сценарии!$AE$8:$BF$8,0)),Сценарии!$F$25:$F$109,$F317,Сценарии!$G$25:$G$109,"ИОР")</f>
        <v>1</v>
      </c>
      <c r="AW317" s="785">
        <f ca="1">SUMIFS(INDEX(Сценарии!$AE$25:$BF$109,,MATCH(AW$8,Сценарии!$AE$8:$BF$8,0)),Сценарии!$F$25:$F$109,$F317,Сценарии!$G$25:$G$109,"ИОР")</f>
        <v>1</v>
      </c>
      <c r="AX317" s="785">
        <f ca="1">SUMIFS(INDEX(Сценарии!$AE$25:$BF$109,,MATCH(AX$8,Сценарии!$AE$8:$BF$8,0)),Сценарии!$F$25:$F$109,$F317,Сценарии!$G$25:$G$109,"ИОР")</f>
        <v>1</v>
      </c>
      <c r="AY317" s="785">
        <f ca="1">SUMIFS(INDEX(Сценарии!$AE$25:$BF$109,,MATCH(AY$8,Сценарии!$AE$8:$BF$8,0)),Сценарии!$F$25:$F$109,$F317,Сценарии!$G$25:$G$109,"ИОР")</f>
        <v>1</v>
      </c>
      <c r="AZ317" s="785">
        <f ca="1">SUMIFS(INDEX(Сценарии!$AE$25:$BF$109,,MATCH(AZ$8,Сценарии!$AE$8:$BF$8,0)),Сценарии!$F$25:$F$109,$F317,Сценарии!$G$25:$G$109,"ИОР")</f>
        <v>1</v>
      </c>
      <c r="BA317" s="785">
        <f ca="1">SUMIFS(INDEX(Сценарии!$AE$25:$BF$109,,MATCH(BA$8,Сценарии!$AE$8:$BF$8,0)),Сценарии!$F$25:$F$109,$F317,Сценарии!$G$25:$G$109,"ИОР")</f>
        <v>1</v>
      </c>
      <c r="BB317" s="785">
        <f ca="1">SUMIFS(INDEX(Сценарии!$AE$25:$BF$109,,MATCH(BB$8,Сценарии!$AE$8:$BF$8,0)),Сценарии!$F$25:$F$109,$F317,Сценарии!$G$25:$G$109,"ИОР")</f>
        <v>1</v>
      </c>
      <c r="BC317" s="785">
        <f ca="1">SUMIFS(INDEX(Сценарии!$AE$25:$BF$109,,MATCH(BC$8,Сценарии!$AE$8:$BF$8,0)),Сценарии!$F$25:$F$109,$F317,Сценарии!$G$25:$G$109,"ИОР")</f>
        <v>1</v>
      </c>
      <c r="BD317" s="190">
        <f t="shared" si="94"/>
        <v>-100</v>
      </c>
      <c r="BE317" s="552"/>
      <c r="BF317" s="552"/>
      <c r="BG317" s="552"/>
      <c r="BH317" s="552"/>
      <c r="BI317" s="552"/>
      <c r="BJ317" s="552"/>
      <c r="BK317" s="552"/>
      <c r="BL317" s="552"/>
      <c r="BM317" s="552"/>
      <c r="BN317" s="215"/>
      <c r="BO317" s="215"/>
      <c r="BP317" s="215"/>
      <c r="BS317" s="705" t="s">
        <v>1933</v>
      </c>
    </row>
    <row r="318" spans="1:75" s="343" customFormat="1" ht="20.25" customHeight="1">
      <c r="A318" s="93"/>
      <c r="C318" s="588"/>
      <c r="D318" s="588"/>
      <c r="E318" s="589">
        <v>21</v>
      </c>
      <c r="F318" s="3" t="str" cm="1">
        <f t="array" aca="1" ref="F318" ca="1">OFFSET(E318,-1,1)</f>
        <v>2</v>
      </c>
      <c r="G318" s="588"/>
      <c r="H318" s="49"/>
      <c r="I318" s="49" t="s">
        <v>465</v>
      </c>
      <c r="J318" s="588"/>
      <c r="K318" s="289" t="s">
        <v>465</v>
      </c>
      <c r="L318" s="588" t="s">
        <v>327</v>
      </c>
      <c r="M318" s="588"/>
      <c r="N318" s="588"/>
      <c r="O318" s="588"/>
      <c r="P318" s="588"/>
      <c r="Q318" s="588"/>
      <c r="R318" s="588"/>
      <c r="S318" s="588"/>
      <c r="T318" s="365" t="b" cm="1">
        <f t="array" ref="T318">T317</f>
        <v>1</v>
      </c>
      <c r="U318" s="588"/>
      <c r="V318" s="588"/>
      <c r="W318" s="588"/>
      <c r="X318" s="1094"/>
      <c r="Y318" s="93"/>
      <c r="Z318" s="1065"/>
      <c r="AA318" s="93"/>
      <c r="AB318" s="166" t="s">
        <v>900</v>
      </c>
      <c r="AC318" s="276" t="s">
        <v>1721</v>
      </c>
      <c r="AD318" s="166" t="s">
        <v>804</v>
      </c>
      <c r="AE318" s="145">
        <f ca="1">SUM(AE319,AE322,AE323,AE326,AE327)</f>
        <v>2184.6234435830002</v>
      </c>
      <c r="AF318" s="145">
        <f ca="1">SUM(AF319,AF322,AF323,AF326,AF327)</f>
        <v>0</v>
      </c>
      <c r="AG318" s="145">
        <f ca="1">SUM(AG319,AG322,AG323,AG326,AG327)</f>
        <v>0</v>
      </c>
      <c r="AH318" s="145">
        <f t="shared" ca="1" si="91"/>
        <v>0</v>
      </c>
      <c r="AI318" s="145">
        <f ca="1">SUM(AI319,AI322,AI323,AI326,AI327)</f>
        <v>0</v>
      </c>
      <c r="AJ318" s="145">
        <f ca="1">SUM(AJ319,AJ322,AJ323,AJ326,AJ327)</f>
        <v>0</v>
      </c>
      <c r="AK318" s="148"/>
      <c r="AL318" s="148"/>
      <c r="AM318" s="148"/>
      <c r="AN318" s="148"/>
      <c r="AO318" s="148"/>
      <c r="AP318" s="148"/>
      <c r="AQ318" s="148"/>
      <c r="AR318" s="148"/>
      <c r="AS318" s="148"/>
      <c r="AT318" s="145">
        <f ca="1">SUM(AT319,AT322,AT323,AT326,AT327)</f>
        <v>0</v>
      </c>
      <c r="AU318" s="148"/>
      <c r="AV318" s="148"/>
      <c r="AW318" s="148"/>
      <c r="AX318" s="148"/>
      <c r="AY318" s="148"/>
      <c r="AZ318" s="148"/>
      <c r="BA318" s="148"/>
      <c r="BB318" s="148"/>
      <c r="BC318" s="148"/>
      <c r="BD318" s="145">
        <f t="shared" ca="1" si="94"/>
        <v>0</v>
      </c>
      <c r="BE318" s="148"/>
      <c r="BF318" s="148"/>
      <c r="BG318" s="148"/>
      <c r="BH318" s="148"/>
      <c r="BI318" s="148"/>
      <c r="BJ318" s="148"/>
      <c r="BK318" s="148"/>
      <c r="BL318" s="148"/>
      <c r="BM318" s="148"/>
      <c r="BN318" s="566"/>
      <c r="BO318" s="566"/>
      <c r="BP318" s="566"/>
      <c r="BQ318" s="93"/>
      <c r="BR318" s="93"/>
      <c r="BS318" s="703" t="s">
        <v>516</v>
      </c>
      <c r="BT318" s="710"/>
      <c r="BU318" s="710"/>
      <c r="BV318" s="521"/>
      <c r="BW318" s="521"/>
    </row>
    <row r="319" spans="1:75" ht="14.25" customHeight="1">
      <c r="C319" s="44"/>
      <c r="D319" s="44"/>
      <c r="E319" s="462">
        <v>15</v>
      </c>
      <c r="F319" s="3" t="str" cm="1">
        <f t="array" aca="1" ref="F319" ca="1">OFFSET(E319,-1,1)</f>
        <v>2</v>
      </c>
      <c r="G319" s="44"/>
      <c r="H319" s="587"/>
      <c r="I319" s="587" t="s">
        <v>1336</v>
      </c>
      <c r="J319" s="44"/>
      <c r="K319" s="290" t="s">
        <v>1336</v>
      </c>
      <c r="L319" s="44" t="s">
        <v>461</v>
      </c>
      <c r="M319" s="44"/>
      <c r="N319" s="44"/>
      <c r="O319" s="44"/>
      <c r="P319" s="44"/>
      <c r="Q319" s="44"/>
      <c r="R319" s="44"/>
      <c r="S319" s="44"/>
      <c r="T319" s="365" t="b" cm="1">
        <f t="array" ref="T319">T318</f>
        <v>1</v>
      </c>
      <c r="U319" s="44"/>
      <c r="V319" s="44"/>
      <c r="W319" s="44"/>
      <c r="X319" s="1094"/>
      <c r="Z319" s="1065"/>
      <c r="AB319" s="26" t="s">
        <v>1337</v>
      </c>
      <c r="AC319" s="153" t="s">
        <v>1934</v>
      </c>
      <c r="AD319" s="28" t="s">
        <v>804</v>
      </c>
      <c r="AE319" s="190">
        <f ca="1">SUM(AE320,AE321)</f>
        <v>0</v>
      </c>
      <c r="AF319" s="190">
        <f ca="1">SUM(AF320,AF321)</f>
        <v>0</v>
      </c>
      <c r="AG319" s="190">
        <f ca="1">SUM(AG320,AG321)</f>
        <v>0</v>
      </c>
      <c r="AH319" s="190">
        <f t="shared" ca="1" si="91"/>
        <v>0</v>
      </c>
      <c r="AI319" s="190">
        <f ca="1">SUM(AI320,AI321)</f>
        <v>0</v>
      </c>
      <c r="AJ319" s="190">
        <f ca="1">SUM(AJ320,AJ321)</f>
        <v>0</v>
      </c>
      <c r="AK319" s="552"/>
      <c r="AL319" s="552"/>
      <c r="AM319" s="552"/>
      <c r="AN319" s="552"/>
      <c r="AO319" s="552"/>
      <c r="AP319" s="552"/>
      <c r="AQ319" s="552"/>
      <c r="AR319" s="552"/>
      <c r="AS319" s="552"/>
      <c r="AT319" s="190">
        <f ca="1">SUM(AT320,AT321)</f>
        <v>0</v>
      </c>
      <c r="AU319" s="552"/>
      <c r="AV319" s="552"/>
      <c r="AW319" s="552"/>
      <c r="AX319" s="552"/>
      <c r="AY319" s="552"/>
      <c r="AZ319" s="552"/>
      <c r="BA319" s="552"/>
      <c r="BB319" s="552"/>
      <c r="BC319" s="552"/>
      <c r="BD319" s="190">
        <f t="shared" ca="1" si="94"/>
        <v>0</v>
      </c>
      <c r="BE319" s="552"/>
      <c r="BF319" s="552"/>
      <c r="BG319" s="552"/>
      <c r="BH319" s="552"/>
      <c r="BI319" s="552"/>
      <c r="BJ319" s="552"/>
      <c r="BK319" s="552"/>
      <c r="BL319" s="552"/>
      <c r="BM319" s="552"/>
      <c r="BN319" s="215"/>
      <c r="BO319" s="215"/>
      <c r="BP319" s="215"/>
      <c r="BQ319" s="47"/>
      <c r="BS319" s="704" t="s">
        <v>1723</v>
      </c>
    </row>
    <row r="320" spans="1:75" ht="14.25" customHeight="1">
      <c r="C320" s="44"/>
      <c r="D320" s="44"/>
      <c r="E320" s="462">
        <v>15</v>
      </c>
      <c r="F320" s="3" t="str" cm="1">
        <f t="array" aca="1" ref="F320" ca="1">OFFSET(E320,-1,1)</f>
        <v>2</v>
      </c>
      <c r="G320" s="44"/>
      <c r="H320" s="587"/>
      <c r="I320" s="587" t="s">
        <v>1935</v>
      </c>
      <c r="J320" s="44"/>
      <c r="K320" s="290" t="s">
        <v>1935</v>
      </c>
      <c r="L320" s="44" t="s">
        <v>1008</v>
      </c>
      <c r="M320" s="44"/>
      <c r="N320" s="44"/>
      <c r="O320" s="44"/>
      <c r="P320" s="44"/>
      <c r="Q320" s="44"/>
      <c r="R320" s="44"/>
      <c r="S320" s="44"/>
      <c r="T320" s="365" t="b" cm="1">
        <f t="array" ref="T320">T319</f>
        <v>1</v>
      </c>
      <c r="U320" s="44"/>
      <c r="V320" s="44"/>
      <c r="W320" s="44"/>
      <c r="X320" s="1094"/>
      <c r="Z320" s="1065"/>
      <c r="AB320" s="26" t="s">
        <v>1936</v>
      </c>
      <c r="AC320" s="553" t="s">
        <v>1726</v>
      </c>
      <c r="AD320" s="28" t="s">
        <v>804</v>
      </c>
      <c r="AE320" s="190">
        <f ca="1">SUMIFS('Сырье и материалы'!AE$25:AE$96,'Сырье и материалы'!$F$25:$F$96,$F320,'Сырье и материалы'!$I$25:$I$96,"Горюче-смазочные материалы")</f>
        <v>0</v>
      </c>
      <c r="AF320" s="190">
        <f ca="1">SUMIFS('Сырье и материалы'!AF$25:AF$96,'Сырье и материалы'!$F$25:$F$96,$F320,'Сырье и материалы'!$I$25:$I$96,"Горюче-смазочные материалы")</f>
        <v>0</v>
      </c>
      <c r="AG320" s="190">
        <f ca="1">SUMIFS('Сырье и материалы'!AG$25:AG$96,'Сырье и материалы'!$F$25:$F$96,$F320,'Сырье и материалы'!$I$25:$I$96,"Горюче-смазочные материалы")</f>
        <v>0</v>
      </c>
      <c r="AH320" s="190">
        <f t="shared" ca="1" si="91"/>
        <v>0</v>
      </c>
      <c r="AI320" s="190">
        <f ca="1">SUMIFS('Сырье и материалы'!AH$25:AH$96,'Сырье и материалы'!$F$25:$F$96,$F320,'Сырье и материалы'!$I$25:$I$96,"Горюче-смазочные материалы")</f>
        <v>0</v>
      </c>
      <c r="AJ320" s="190">
        <f ca="1">SUMIFS('Сырье и материалы'!AI$25:AI$96,'Сырье и материалы'!$F$25:$F$96,$F320,'Сырье и материалы'!$I$25:$I$96,"Горюче-смазочные материалы")</f>
        <v>0</v>
      </c>
      <c r="AK320" s="552"/>
      <c r="AL320" s="552"/>
      <c r="AM320" s="552"/>
      <c r="AN320" s="552"/>
      <c r="AO320" s="552"/>
      <c r="AP320" s="552"/>
      <c r="AQ320" s="552"/>
      <c r="AR320" s="552"/>
      <c r="AS320" s="552"/>
      <c r="AT320" s="190">
        <f ca="1">SUMIFS('Сырье и материалы'!AS$25:AS$96,'Сырье и материалы'!$F$25:$F$96,$F320,'Сырье и материалы'!$I$25:$I$96,"Горюче-смазочные материалы")</f>
        <v>0</v>
      </c>
      <c r="AU320" s="552"/>
      <c r="AV320" s="552"/>
      <c r="AW320" s="552"/>
      <c r="AX320" s="552"/>
      <c r="AY320" s="552"/>
      <c r="AZ320" s="552"/>
      <c r="BA320" s="552"/>
      <c r="BB320" s="552"/>
      <c r="BC320" s="552"/>
      <c r="BD320" s="190">
        <f t="shared" ca="1" si="94"/>
        <v>0</v>
      </c>
      <c r="BE320" s="552"/>
      <c r="BF320" s="552"/>
      <c r="BG320" s="552"/>
      <c r="BH320" s="552"/>
      <c r="BI320" s="552"/>
      <c r="BJ320" s="552"/>
      <c r="BK320" s="552"/>
      <c r="BL320" s="552"/>
      <c r="BM320" s="552"/>
      <c r="BN320" s="215"/>
      <c r="BO320" s="215"/>
      <c r="BP320" s="215"/>
      <c r="BS320" s="703" t="s">
        <v>1727</v>
      </c>
    </row>
    <row r="321" spans="1:75" ht="14.25" customHeight="1">
      <c r="C321" s="44"/>
      <c r="D321" s="44"/>
      <c r="E321" s="462">
        <v>15</v>
      </c>
      <c r="F321" s="3" t="str" cm="1">
        <f t="array" aca="1" ref="F321" ca="1">OFFSET(E321,-1,1)</f>
        <v>2</v>
      </c>
      <c r="G321" s="44"/>
      <c r="H321" s="587"/>
      <c r="I321" s="587" t="s">
        <v>1937</v>
      </c>
      <c r="J321" s="44"/>
      <c r="K321" s="290" t="s">
        <v>1937</v>
      </c>
      <c r="L321" s="44" t="s">
        <v>1311</v>
      </c>
      <c r="M321" s="44"/>
      <c r="N321" s="44"/>
      <c r="O321" s="44"/>
      <c r="P321" s="44"/>
      <c r="Q321" s="44"/>
      <c r="R321" s="44"/>
      <c r="S321" s="44"/>
      <c r="T321" s="365" t="b" cm="1">
        <f t="array" ref="T321">T320</f>
        <v>1</v>
      </c>
      <c r="U321" s="44"/>
      <c r="V321" s="44"/>
      <c r="W321" s="44"/>
      <c r="X321" s="1094"/>
      <c r="Z321" s="1065"/>
      <c r="AB321" s="26" t="s">
        <v>1938</v>
      </c>
      <c r="AC321" s="553" t="s">
        <v>1728</v>
      </c>
      <c r="AD321" s="28" t="s">
        <v>804</v>
      </c>
      <c r="AE321" s="190">
        <f ca="1">SUMIFS('Сырье и материалы'!AE$25:AE$96,'Сырье и материалы'!$F$25:$F$96,$F321,'Сырье и материалы'!$I$25:$I$96,"Материалы")</f>
        <v>0</v>
      </c>
      <c r="AF321" s="190">
        <f ca="1">SUMIFS('Сырье и материалы'!AF$25:AF$96,'Сырье и материалы'!$F$25:$F$96,$F321,'Сырье и материалы'!$I$25:$I$96,"Материалы")</f>
        <v>0</v>
      </c>
      <c r="AG321" s="190">
        <f ca="1">SUMIFS('Сырье и материалы'!AG$25:AG$96,'Сырье и материалы'!$F$25:$F$96,$F321,'Сырье и материалы'!$I$25:$I$96,"Материалы")</f>
        <v>0</v>
      </c>
      <c r="AH321" s="190">
        <f t="shared" ca="1" si="91"/>
        <v>0</v>
      </c>
      <c r="AI321" s="190">
        <f ca="1">SUMIFS('Сырье и материалы'!AH$25:AH$96,'Сырье и материалы'!$F$25:$F$96,$F321,'Сырье и материалы'!$I$25:$I$96,"Материалы")</f>
        <v>0</v>
      </c>
      <c r="AJ321" s="190">
        <f ca="1">SUMIFS('Сырье и материалы'!AI$25:AI$96,'Сырье и материалы'!$F$25:$F$96,$F321,'Сырье и материалы'!$I$25:$I$96,"Материалы")</f>
        <v>0</v>
      </c>
      <c r="AK321" s="552"/>
      <c r="AL321" s="552"/>
      <c r="AM321" s="552"/>
      <c r="AN321" s="552"/>
      <c r="AO321" s="552"/>
      <c r="AP321" s="552"/>
      <c r="AQ321" s="552"/>
      <c r="AR321" s="552"/>
      <c r="AS321" s="552"/>
      <c r="AT321" s="190">
        <f ca="1">SUMIFS('Сырье и материалы'!AS$25:AS$96,'Сырье и материалы'!$F$25:$F$96,$F321,'Сырье и материалы'!$I$25:$I$96,"Материалы")</f>
        <v>0</v>
      </c>
      <c r="AU321" s="552"/>
      <c r="AV321" s="552"/>
      <c r="AW321" s="552"/>
      <c r="AX321" s="552"/>
      <c r="AY321" s="552"/>
      <c r="AZ321" s="552"/>
      <c r="BA321" s="552"/>
      <c r="BB321" s="552"/>
      <c r="BC321" s="552"/>
      <c r="BD321" s="190">
        <f t="shared" ca="1" si="94"/>
        <v>0</v>
      </c>
      <c r="BE321" s="552"/>
      <c r="BF321" s="552"/>
      <c r="BG321" s="552"/>
      <c r="BH321" s="552"/>
      <c r="BI321" s="552"/>
      <c r="BJ321" s="552"/>
      <c r="BK321" s="552"/>
      <c r="BL321" s="552"/>
      <c r="BM321" s="552"/>
      <c r="BN321" s="215"/>
      <c r="BO321" s="215"/>
      <c r="BP321" s="215"/>
      <c r="BS321" s="703" t="s">
        <v>1729</v>
      </c>
    </row>
    <row r="322" spans="1:75" ht="21.75" customHeight="1">
      <c r="C322" s="44"/>
      <c r="D322" s="44"/>
      <c r="E322" s="462">
        <v>22.5</v>
      </c>
      <c r="F322" s="3" t="str" cm="1">
        <f t="array" aca="1" ref="F322" ca="1">OFFSET(E322,-1,1)</f>
        <v>2</v>
      </c>
      <c r="G322" s="44"/>
      <c r="H322" s="587"/>
      <c r="I322" s="587" t="s">
        <v>1339</v>
      </c>
      <c r="J322" s="44"/>
      <c r="K322" s="290" t="s">
        <v>1339</v>
      </c>
      <c r="L322" s="44" t="s">
        <v>468</v>
      </c>
      <c r="M322" s="44"/>
      <c r="N322" s="44"/>
      <c r="O322" s="44"/>
      <c r="P322" s="44"/>
      <c r="Q322" s="44"/>
      <c r="R322" s="44"/>
      <c r="S322" s="44"/>
      <c r="T322" s="365" t="b" cm="1">
        <f t="array" ref="T322">T321</f>
        <v>1</v>
      </c>
      <c r="U322" s="44"/>
      <c r="V322" s="44"/>
      <c r="W322" s="44"/>
      <c r="X322" s="1094"/>
      <c r="Z322" s="1065"/>
      <c r="AB322" s="26" t="s">
        <v>1340</v>
      </c>
      <c r="AC322" s="153" t="s">
        <v>1939</v>
      </c>
      <c r="AD322" s="28" t="s">
        <v>804</v>
      </c>
      <c r="AE322" s="147"/>
      <c r="AF322" s="147"/>
      <c r="AG322" s="147"/>
      <c r="AH322" s="190">
        <f t="shared" si="91"/>
        <v>0</v>
      </c>
      <c r="AI322" s="147"/>
      <c r="AJ322" s="147"/>
      <c r="AK322" s="552"/>
      <c r="AL322" s="552"/>
      <c r="AM322" s="552"/>
      <c r="AN322" s="552"/>
      <c r="AO322" s="552"/>
      <c r="AP322" s="552"/>
      <c r="AQ322" s="552"/>
      <c r="AR322" s="552"/>
      <c r="AS322" s="552"/>
      <c r="AT322" s="147"/>
      <c r="AU322" s="552"/>
      <c r="AV322" s="552"/>
      <c r="AW322" s="552"/>
      <c r="AX322" s="552"/>
      <c r="AY322" s="552"/>
      <c r="AZ322" s="552"/>
      <c r="BA322" s="552"/>
      <c r="BB322" s="552"/>
      <c r="BC322" s="552"/>
      <c r="BD322" s="190">
        <f t="shared" si="94"/>
        <v>0</v>
      </c>
      <c r="BE322" s="552"/>
      <c r="BF322" s="552"/>
      <c r="BG322" s="552"/>
      <c r="BH322" s="552"/>
      <c r="BI322" s="552"/>
      <c r="BJ322" s="552"/>
      <c r="BK322" s="552"/>
      <c r="BL322" s="552"/>
      <c r="BM322" s="552"/>
      <c r="BN322" s="215"/>
      <c r="BO322" s="215"/>
      <c r="BP322" s="215"/>
      <c r="BS322" s="704" t="s">
        <v>1754</v>
      </c>
    </row>
    <row r="323" spans="1:75" ht="21.75" customHeight="1">
      <c r="C323" s="44"/>
      <c r="D323" s="44"/>
      <c r="E323" s="462">
        <v>22.5</v>
      </c>
      <c r="F323" s="3" t="str" cm="1">
        <f t="array" aca="1" ref="F323" ca="1">OFFSET(E323,-1,1)</f>
        <v>2</v>
      </c>
      <c r="G323" s="44"/>
      <c r="H323" s="587"/>
      <c r="I323" s="587" t="s">
        <v>1343</v>
      </c>
      <c r="J323" s="44"/>
      <c r="K323" s="290" t="s">
        <v>1343</v>
      </c>
      <c r="L323" s="44" t="s">
        <v>472</v>
      </c>
      <c r="M323" s="44"/>
      <c r="N323" s="44"/>
      <c r="O323" s="44"/>
      <c r="P323" s="44"/>
      <c r="Q323" s="44"/>
      <c r="R323" s="44"/>
      <c r="S323" s="44"/>
      <c r="T323" s="365" t="b" cm="1">
        <f t="array" ref="T323">T322</f>
        <v>1</v>
      </c>
      <c r="U323" s="44"/>
      <c r="V323" s="44"/>
      <c r="W323" s="44"/>
      <c r="X323" s="1094"/>
      <c r="Z323" s="1065"/>
      <c r="AB323" s="26" t="s">
        <v>1344</v>
      </c>
      <c r="AC323" s="153" t="s">
        <v>1940</v>
      </c>
      <c r="AD323" s="28" t="s">
        <v>804</v>
      </c>
      <c r="AE323" s="190">
        <f ca="1">AE324+AE325</f>
        <v>0</v>
      </c>
      <c r="AF323" s="190">
        <f ca="1">AF324+AF325</f>
        <v>0</v>
      </c>
      <c r="AG323" s="190">
        <f ca="1">AG324+AG325</f>
        <v>0</v>
      </c>
      <c r="AH323" s="190">
        <f t="shared" ca="1" si="91"/>
        <v>0</v>
      </c>
      <c r="AI323" s="190">
        <f ca="1">AI324+AI325</f>
        <v>0</v>
      </c>
      <c r="AJ323" s="190">
        <f ca="1">AJ324+AJ325</f>
        <v>0</v>
      </c>
      <c r="AK323" s="552"/>
      <c r="AL323" s="552"/>
      <c r="AM323" s="552"/>
      <c r="AN323" s="552"/>
      <c r="AO323" s="552"/>
      <c r="AP323" s="552"/>
      <c r="AQ323" s="552"/>
      <c r="AR323" s="552"/>
      <c r="AS323" s="552"/>
      <c r="AT323" s="190">
        <f ca="1">AT324+AT325</f>
        <v>0</v>
      </c>
      <c r="AU323" s="552"/>
      <c r="AV323" s="552"/>
      <c r="AW323" s="552"/>
      <c r="AX323" s="552"/>
      <c r="AY323" s="552"/>
      <c r="AZ323" s="552"/>
      <c r="BA323" s="552"/>
      <c r="BB323" s="552"/>
      <c r="BC323" s="552"/>
      <c r="BD323" s="190">
        <f t="shared" ca="1" si="94"/>
        <v>0</v>
      </c>
      <c r="BE323" s="552"/>
      <c r="BF323" s="552"/>
      <c r="BG323" s="552"/>
      <c r="BH323" s="552"/>
      <c r="BI323" s="552"/>
      <c r="BJ323" s="552"/>
      <c r="BK323" s="552"/>
      <c r="BL323" s="552"/>
      <c r="BM323" s="552"/>
      <c r="BN323" s="215"/>
      <c r="BO323" s="215"/>
      <c r="BP323" s="215"/>
      <c r="BS323" s="704" t="s">
        <v>1941</v>
      </c>
    </row>
    <row r="324" spans="1:75" ht="14.25" customHeight="1">
      <c r="C324" s="44"/>
      <c r="D324" s="44"/>
      <c r="E324" s="462">
        <v>15</v>
      </c>
      <c r="F324" s="3" t="str" cm="1">
        <f t="array" aca="1" ref="F324" ca="1">OFFSET(E324,-1,1)</f>
        <v>2</v>
      </c>
      <c r="G324" s="280" t="s">
        <v>1156</v>
      </c>
      <c r="H324" s="587"/>
      <c r="I324" s="587" t="s">
        <v>1487</v>
      </c>
      <c r="J324" s="44"/>
      <c r="K324" s="290" t="s">
        <v>1487</v>
      </c>
      <c r="L324" s="44" t="s">
        <v>1363</v>
      </c>
      <c r="M324" s="44"/>
      <c r="N324" s="44"/>
      <c r="O324" s="44"/>
      <c r="P324" s="44"/>
      <c r="Q324" s="44"/>
      <c r="R324" s="44"/>
      <c r="S324" s="44"/>
      <c r="T324" s="365" t="b" cm="1">
        <f t="array" ref="T324">T323</f>
        <v>1</v>
      </c>
      <c r="U324" s="44"/>
      <c r="V324" s="44"/>
      <c r="W324" s="44"/>
      <c r="X324" s="1094"/>
      <c r="Z324" s="1065"/>
      <c r="AB324" s="26" t="s">
        <v>1942</v>
      </c>
      <c r="AC324" s="553" t="s">
        <v>1757</v>
      </c>
      <c r="AD324" s="28" t="s">
        <v>804</v>
      </c>
      <c r="AE324" s="190">
        <f ca="1">SUMIFS(ФОТ!AE$25:AE$102,ФОТ!$F$25:$F$102,$F324,ФОТ!$G$25:$G$102,$G324)</f>
        <v>0</v>
      </c>
      <c r="AF324" s="190">
        <f ca="1">SUMIFS(ФОТ!AF$25:AF$102,ФОТ!$F$25:$F$102,$F324,ФОТ!$G$25:$G$102,$G324)</f>
        <v>0</v>
      </c>
      <c r="AG324" s="190">
        <f ca="1">SUMIFS(ФОТ!AG$25:AG$102,ФОТ!$F$25:$F$102,$F324,ФОТ!$G$25:$G$102,$G324)</f>
        <v>0</v>
      </c>
      <c r="AH324" s="190">
        <f t="shared" ca="1" si="91"/>
        <v>0</v>
      </c>
      <c r="AI324" s="190">
        <f ca="1">SUMIFS(ФОТ!AH$25:AH$102,ФОТ!$F$25:$F$102,$F324,ФОТ!$G$25:$G$102,$G324)</f>
        <v>0</v>
      </c>
      <c r="AJ324" s="190">
        <f ca="1">SUMIFS(ФОТ!AI$25:AI$102,ФОТ!$F$25:$F$102,$F324,ФОТ!$G$25:$G$102,$G324)</f>
        <v>0</v>
      </c>
      <c r="AK324" s="552"/>
      <c r="AL324" s="552"/>
      <c r="AM324" s="552"/>
      <c r="AN324" s="552"/>
      <c r="AO324" s="552"/>
      <c r="AP324" s="552"/>
      <c r="AQ324" s="552"/>
      <c r="AR324" s="552"/>
      <c r="AS324" s="552"/>
      <c r="AT324" s="190">
        <f ca="1">SUMIFS(ФОТ!AJ$25:AJ$102,ФОТ!$F$25:$F$102,$F324,ФОТ!$G$25:$G$102,$G324)</f>
        <v>0</v>
      </c>
      <c r="AU324" s="552"/>
      <c r="AV324" s="552"/>
      <c r="AW324" s="552"/>
      <c r="AX324" s="552"/>
      <c r="AY324" s="552"/>
      <c r="AZ324" s="552"/>
      <c r="BA324" s="552"/>
      <c r="BB324" s="552"/>
      <c r="BC324" s="552"/>
      <c r="BD324" s="190">
        <f t="shared" ca="1" si="94"/>
        <v>0</v>
      </c>
      <c r="BE324" s="552"/>
      <c r="BF324" s="552"/>
      <c r="BG324" s="552"/>
      <c r="BH324" s="552"/>
      <c r="BI324" s="552"/>
      <c r="BJ324" s="552"/>
      <c r="BK324" s="552"/>
      <c r="BL324" s="552"/>
      <c r="BM324" s="552"/>
      <c r="BN324" s="215"/>
      <c r="BO324" s="610" t="str">
        <f ca="1">IF(IFERROR(INDEX(ФОТ!$K$26:$L$102,MATCH($F324&amp;"1komm",ФОТ!$K$26:$K$102,0),2),"")=0,"",IFERROR(INDEX(ФОТ!$K$26:$L$102,MATCH($F324&amp;"1komm",ФОТ!$K$26:$K$102,0),2),""))</f>
        <v/>
      </c>
      <c r="BP324" s="215"/>
      <c r="BS324" s="703" t="s">
        <v>1758</v>
      </c>
    </row>
    <row r="325" spans="1:75" ht="21.75" customHeight="1">
      <c r="C325" s="44"/>
      <c r="D325" s="44"/>
      <c r="E325" s="462">
        <v>22.5</v>
      </c>
      <c r="F325" s="3" t="str" cm="1">
        <f t="array" aca="1" ref="F325" ca="1">OFFSET(E325,-1,1)</f>
        <v>2</v>
      </c>
      <c r="G325" s="280" t="s">
        <v>1168</v>
      </c>
      <c r="H325" s="587"/>
      <c r="I325" s="587" t="s">
        <v>1491</v>
      </c>
      <c r="J325" s="44"/>
      <c r="K325" s="290" t="s">
        <v>1491</v>
      </c>
      <c r="L325" s="44" t="s">
        <v>1364</v>
      </c>
      <c r="M325" s="44"/>
      <c r="N325" s="44"/>
      <c r="O325" s="44"/>
      <c r="P325" s="44"/>
      <c r="Q325" s="44"/>
      <c r="R325" s="44"/>
      <c r="S325" s="44"/>
      <c r="T325" s="365" t="b" cm="1">
        <f t="array" ref="T325">T324</f>
        <v>1</v>
      </c>
      <c r="U325" s="44"/>
      <c r="V325" s="44"/>
      <c r="W325" s="44"/>
      <c r="X325" s="1094"/>
      <c r="Z325" s="1065"/>
      <c r="AB325" s="26" t="s">
        <v>1943</v>
      </c>
      <c r="AC325" s="553" t="s">
        <v>1944</v>
      </c>
      <c r="AD325" s="28" t="s">
        <v>804</v>
      </c>
      <c r="AE325" s="190">
        <f ca="1">SUMIFS(ФОТ!AE$25:AE$102,ФОТ!$F$25:$F$102,$F325,ФОТ!$G$25:$G$102,$G325)</f>
        <v>0</v>
      </c>
      <c r="AF325" s="190">
        <f ca="1">SUMIFS(ФОТ!AF$25:AF$102,ФОТ!$F$25:$F$102,$F325,ФОТ!$G$25:$G$102,$G325)</f>
        <v>0</v>
      </c>
      <c r="AG325" s="190">
        <f ca="1">SUMIFS(ФОТ!AG$25:AG$102,ФОТ!$F$25:$F$102,$F325,ФОТ!$G$25:$G$102,$G325)</f>
        <v>0</v>
      </c>
      <c r="AH325" s="190">
        <f t="shared" ca="1" si="91"/>
        <v>0</v>
      </c>
      <c r="AI325" s="190">
        <f ca="1">SUMIFS(ФОТ!AH$25:AH$102,ФОТ!$F$25:$F$102,$F325,ФОТ!$G$25:$G$102,$G325)</f>
        <v>0</v>
      </c>
      <c r="AJ325" s="190">
        <f ca="1">SUMIFS(ФОТ!AI$25:AI$102,ФОТ!$F$25:$F$102,$F325,ФОТ!$G$25:$G$102,$G325)</f>
        <v>0</v>
      </c>
      <c r="AK325" s="552"/>
      <c r="AL325" s="552"/>
      <c r="AM325" s="552"/>
      <c r="AN325" s="552"/>
      <c r="AO325" s="552"/>
      <c r="AP325" s="552"/>
      <c r="AQ325" s="552"/>
      <c r="AR325" s="552"/>
      <c r="AS325" s="552"/>
      <c r="AT325" s="190">
        <f ca="1">SUMIFS(ФОТ!AJ$25:AJ$102,ФОТ!$F$25:$F$102,$F325,ФОТ!$G$25:$G$102,$G325)</f>
        <v>0</v>
      </c>
      <c r="AU325" s="552"/>
      <c r="AV325" s="552"/>
      <c r="AW325" s="552"/>
      <c r="AX325" s="552"/>
      <c r="AY325" s="552"/>
      <c r="AZ325" s="552"/>
      <c r="BA325" s="552"/>
      <c r="BB325" s="552"/>
      <c r="BC325" s="552"/>
      <c r="BD325" s="190">
        <f t="shared" ca="1" si="94"/>
        <v>0</v>
      </c>
      <c r="BE325" s="552"/>
      <c r="BF325" s="552"/>
      <c r="BG325" s="552"/>
      <c r="BH325" s="552"/>
      <c r="BI325" s="552"/>
      <c r="BJ325" s="552"/>
      <c r="BK325" s="552"/>
      <c r="BL325" s="552"/>
      <c r="BM325" s="552"/>
      <c r="BN325" s="215"/>
      <c r="BO325" s="610" t="str">
        <f ca="1">IF(IFERROR(INDEX(ФОТ!$K$26:$L$102,MATCH($F325&amp;"2komm",ФОТ!$K$26:$K$102,0),2),"")=0,"",IFERROR(INDEX(ФОТ!$K$26:$L$102,MATCH($F325&amp;"2komm",ФОТ!$K$26:$K$102,0),2),""))</f>
        <v/>
      </c>
      <c r="BP325" s="215"/>
      <c r="BS325" s="703" t="s">
        <v>1760</v>
      </c>
    </row>
    <row r="326" spans="1:75" ht="14.25" customHeight="1">
      <c r="C326" s="44"/>
      <c r="D326" s="44"/>
      <c r="E326" s="462">
        <v>15</v>
      </c>
      <c r="F326" s="3" t="str" cm="1">
        <f t="array" aca="1" ref="F326" ca="1">OFFSET(E326,-1,1)</f>
        <v>2</v>
      </c>
      <c r="G326" s="44"/>
      <c r="H326" s="587"/>
      <c r="I326" s="587" t="s">
        <v>1502</v>
      </c>
      <c r="J326" s="44"/>
      <c r="K326" s="290" t="s">
        <v>1502</v>
      </c>
      <c r="L326" s="44" t="s">
        <v>1762</v>
      </c>
      <c r="M326" s="44"/>
      <c r="N326" s="44"/>
      <c r="O326" s="44"/>
      <c r="P326" s="44"/>
      <c r="Q326" s="44"/>
      <c r="R326" s="44"/>
      <c r="S326" s="44"/>
      <c r="T326" s="365" t="b" cm="1">
        <f t="array" ref="T326">T325</f>
        <v>1</v>
      </c>
      <c r="U326" s="44"/>
      <c r="V326" s="44"/>
      <c r="W326" s="44"/>
      <c r="X326" s="1094"/>
      <c r="Z326" s="1065"/>
      <c r="AB326" s="26" t="s">
        <v>1736</v>
      </c>
      <c r="AC326" s="153" t="s">
        <v>1945</v>
      </c>
      <c r="AD326" s="28" t="s">
        <v>804</v>
      </c>
      <c r="AE326" s="147"/>
      <c r="AF326" s="147"/>
      <c r="AG326" s="147"/>
      <c r="AH326" s="190">
        <f t="shared" si="91"/>
        <v>0</v>
      </c>
      <c r="AI326" s="147"/>
      <c r="AJ326" s="147"/>
      <c r="AK326" s="552"/>
      <c r="AL326" s="552"/>
      <c r="AM326" s="552"/>
      <c r="AN326" s="552"/>
      <c r="AO326" s="552"/>
      <c r="AP326" s="552"/>
      <c r="AQ326" s="552"/>
      <c r="AR326" s="552"/>
      <c r="AS326" s="552"/>
      <c r="AT326" s="147"/>
      <c r="AU326" s="552"/>
      <c r="AV326" s="552"/>
      <c r="AW326" s="552"/>
      <c r="AX326" s="552"/>
      <c r="AY326" s="552"/>
      <c r="AZ326" s="552"/>
      <c r="BA326" s="552"/>
      <c r="BB326" s="552"/>
      <c r="BC326" s="552"/>
      <c r="BD326" s="190">
        <f t="shared" si="94"/>
        <v>0</v>
      </c>
      <c r="BE326" s="552"/>
      <c r="BF326" s="552"/>
      <c r="BG326" s="552"/>
      <c r="BH326" s="552"/>
      <c r="BI326" s="552"/>
      <c r="BJ326" s="552"/>
      <c r="BK326" s="552"/>
      <c r="BL326" s="552"/>
      <c r="BM326" s="552"/>
      <c r="BN326" s="215"/>
      <c r="BO326" s="215"/>
      <c r="BP326" s="215"/>
      <c r="BS326" s="704" t="s">
        <v>1765</v>
      </c>
    </row>
    <row r="327" spans="1:75" ht="14.25" customHeight="1">
      <c r="C327" s="44"/>
      <c r="D327" s="44"/>
      <c r="E327" s="462">
        <v>15</v>
      </c>
      <c r="F327" s="3" t="str" cm="1">
        <f t="array" aca="1" ref="F327" ca="1">OFFSET(E327,-1,1)</f>
        <v>2</v>
      </c>
      <c r="G327" s="44"/>
      <c r="H327" s="587"/>
      <c r="I327" s="587" t="s">
        <v>1506</v>
      </c>
      <c r="J327" s="44"/>
      <c r="K327" s="290" t="s">
        <v>1506</v>
      </c>
      <c r="L327" s="44" t="s">
        <v>1766</v>
      </c>
      <c r="N327" s="44"/>
      <c r="O327" s="44"/>
      <c r="P327" s="44"/>
      <c r="Q327" s="44"/>
      <c r="R327" s="44"/>
      <c r="S327" s="44"/>
      <c r="T327" s="365" t="b" cm="1">
        <f t="array" ref="T327">T326</f>
        <v>1</v>
      </c>
      <c r="U327" s="44"/>
      <c r="V327" s="44"/>
      <c r="W327" s="44"/>
      <c r="X327" s="1094"/>
      <c r="Z327" s="1065"/>
      <c r="AB327" s="26" t="s">
        <v>1738</v>
      </c>
      <c r="AC327" s="153" t="s">
        <v>1946</v>
      </c>
      <c r="AD327" s="26" t="s">
        <v>804</v>
      </c>
      <c r="AE327" s="190">
        <f>SUM(AE328:AE334)</f>
        <v>2184.6234435830002</v>
      </c>
      <c r="AF327" s="190">
        <f>SUM(AF328:AF334)</f>
        <v>0</v>
      </c>
      <c r="AG327" s="190">
        <f>SUM(AG328:AG334)</f>
        <v>0</v>
      </c>
      <c r="AH327" s="190">
        <f t="shared" si="91"/>
        <v>0</v>
      </c>
      <c r="AI327" s="190">
        <f>SUM(AI328:AI334)</f>
        <v>0</v>
      </c>
      <c r="AJ327" s="190">
        <f>SUM(AJ328:AJ334)</f>
        <v>0</v>
      </c>
      <c r="AK327" s="552"/>
      <c r="AL327" s="552"/>
      <c r="AM327" s="552"/>
      <c r="AN327" s="552"/>
      <c r="AO327" s="552"/>
      <c r="AP327" s="552"/>
      <c r="AQ327" s="552"/>
      <c r="AR327" s="552"/>
      <c r="AS327" s="552"/>
      <c r="AT327" s="190">
        <f>SUM(AT328:AT334)</f>
        <v>0</v>
      </c>
      <c r="AU327" s="552"/>
      <c r="AV327" s="552"/>
      <c r="AW327" s="552"/>
      <c r="AX327" s="552"/>
      <c r="AY327" s="552"/>
      <c r="AZ327" s="552"/>
      <c r="BA327" s="552"/>
      <c r="BB327" s="552"/>
      <c r="BC327" s="552"/>
      <c r="BD327" s="190">
        <f t="shared" si="94"/>
        <v>0</v>
      </c>
      <c r="BE327" s="552"/>
      <c r="BF327" s="552"/>
      <c r="BG327" s="552"/>
      <c r="BH327" s="552"/>
      <c r="BI327" s="552"/>
      <c r="BJ327" s="552"/>
      <c r="BK327" s="552"/>
      <c r="BL327" s="552"/>
      <c r="BM327" s="552"/>
      <c r="BN327" s="215"/>
      <c r="BO327" s="215"/>
      <c r="BP327" s="215"/>
      <c r="BS327" s="704" t="s">
        <v>1947</v>
      </c>
    </row>
    <row r="328" spans="1:75" ht="14.25" customHeight="1">
      <c r="C328" s="44"/>
      <c r="D328" s="44"/>
      <c r="E328" s="462">
        <v>15</v>
      </c>
      <c r="F328" s="3" t="str" cm="1">
        <f t="array" aca="1" ref="F328" ca="1">OFFSET(E328,-1,1)</f>
        <v>2</v>
      </c>
      <c r="G328" s="44"/>
      <c r="H328" s="587"/>
      <c r="I328" s="587" t="s">
        <v>1948</v>
      </c>
      <c r="J328" s="44"/>
      <c r="K328" s="290" t="s">
        <v>1948</v>
      </c>
      <c r="L328" s="44" t="s">
        <v>1766</v>
      </c>
      <c r="M328" s="44" t="s">
        <v>1774</v>
      </c>
      <c r="N328" s="44"/>
      <c r="O328" s="44"/>
      <c r="P328" s="44"/>
      <c r="Q328" s="44"/>
      <c r="R328" s="44"/>
      <c r="S328" s="44"/>
      <c r="T328" s="365" t="b" cm="1">
        <f t="array" ref="T328">T327</f>
        <v>1</v>
      </c>
      <c r="U328" s="44"/>
      <c r="V328" s="44"/>
      <c r="W328" s="44"/>
      <c r="X328" s="1094"/>
      <c r="Z328" s="1065"/>
      <c r="AB328" s="26" t="s">
        <v>1949</v>
      </c>
      <c r="AC328" s="553" t="s">
        <v>1950</v>
      </c>
      <c r="AD328" s="26" t="s">
        <v>804</v>
      </c>
      <c r="AE328" s="147"/>
      <c r="AF328" s="147"/>
      <c r="AG328" s="147"/>
      <c r="AH328" s="190">
        <f t="shared" si="91"/>
        <v>0</v>
      </c>
      <c r="AI328" s="147"/>
      <c r="AJ328" s="147"/>
      <c r="AK328" s="552"/>
      <c r="AL328" s="552"/>
      <c r="AM328" s="552"/>
      <c r="AN328" s="552"/>
      <c r="AO328" s="552"/>
      <c r="AP328" s="552"/>
      <c r="AQ328" s="552"/>
      <c r="AR328" s="552"/>
      <c r="AS328" s="552"/>
      <c r="AT328" s="147"/>
      <c r="AU328" s="552"/>
      <c r="AV328" s="552"/>
      <c r="AW328" s="552"/>
      <c r="AX328" s="552"/>
      <c r="AY328" s="552"/>
      <c r="AZ328" s="552"/>
      <c r="BA328" s="552"/>
      <c r="BB328" s="552"/>
      <c r="BC328" s="552"/>
      <c r="BD328" s="190">
        <f t="shared" si="94"/>
        <v>0</v>
      </c>
      <c r="BE328" s="552"/>
      <c r="BF328" s="552"/>
      <c r="BG328" s="552"/>
      <c r="BH328" s="552"/>
      <c r="BI328" s="552"/>
      <c r="BJ328" s="552"/>
      <c r="BK328" s="552"/>
      <c r="BL328" s="552"/>
      <c r="BM328" s="552"/>
      <c r="BN328" s="215"/>
      <c r="BO328" s="215"/>
      <c r="BP328" s="215"/>
      <c r="BS328" s="703" t="s">
        <v>1777</v>
      </c>
    </row>
    <row r="329" spans="1:75" ht="21.75" customHeight="1">
      <c r="C329" s="44"/>
      <c r="D329" s="44"/>
      <c r="E329" s="462">
        <v>22.5</v>
      </c>
      <c r="F329" s="3" t="str" cm="1">
        <f t="array" aca="1" ref="F329" ca="1">OFFSET(E329,-1,1)</f>
        <v>2</v>
      </c>
      <c r="G329" s="44"/>
      <c r="H329" s="587"/>
      <c r="I329" s="587" t="s">
        <v>1951</v>
      </c>
      <c r="J329" s="44"/>
      <c r="K329" s="290" t="s">
        <v>1951</v>
      </c>
      <c r="L329" s="44" t="s">
        <v>1766</v>
      </c>
      <c r="M329" s="44" t="s">
        <v>1770</v>
      </c>
      <c r="N329" s="44"/>
      <c r="O329" s="44"/>
      <c r="P329" s="44"/>
      <c r="Q329" s="44"/>
      <c r="R329" s="44"/>
      <c r="S329" s="44"/>
      <c r="T329" s="365" t="b" cm="1">
        <f t="array" ref="T329">T328</f>
        <v>1</v>
      </c>
      <c r="U329" s="44"/>
      <c r="V329" s="44"/>
      <c r="W329" s="44"/>
      <c r="X329" s="1094"/>
      <c r="Z329" s="1065"/>
      <c r="AB329" s="26" t="s">
        <v>1952</v>
      </c>
      <c r="AC329" s="553" t="s">
        <v>1953</v>
      </c>
      <c r="AD329" s="26" t="s">
        <v>804</v>
      </c>
      <c r="AE329" s="147"/>
      <c r="AF329" s="147"/>
      <c r="AG329" s="147"/>
      <c r="AH329" s="190">
        <f t="shared" si="91"/>
        <v>0</v>
      </c>
      <c r="AI329" s="147"/>
      <c r="AJ329" s="147"/>
      <c r="AK329" s="552"/>
      <c r="AL329" s="552"/>
      <c r="AM329" s="552"/>
      <c r="AN329" s="552"/>
      <c r="AO329" s="552"/>
      <c r="AP329" s="552"/>
      <c r="AQ329" s="552"/>
      <c r="AR329" s="552"/>
      <c r="AS329" s="552"/>
      <c r="AT329" s="147"/>
      <c r="AU329" s="552"/>
      <c r="AV329" s="552"/>
      <c r="AW329" s="552"/>
      <c r="AX329" s="552"/>
      <c r="AY329" s="552"/>
      <c r="AZ329" s="552"/>
      <c r="BA329" s="552"/>
      <c r="BB329" s="552"/>
      <c r="BC329" s="552"/>
      <c r="BD329" s="190">
        <f t="shared" si="94"/>
        <v>0</v>
      </c>
      <c r="BE329" s="552"/>
      <c r="BF329" s="552"/>
      <c r="BG329" s="552"/>
      <c r="BH329" s="552"/>
      <c r="BI329" s="552"/>
      <c r="BJ329" s="552"/>
      <c r="BK329" s="552"/>
      <c r="BL329" s="552"/>
      <c r="BM329" s="552"/>
      <c r="BN329" s="215"/>
      <c r="BO329" s="215"/>
      <c r="BP329" s="215"/>
      <c r="BS329" s="705" t="s">
        <v>1954</v>
      </c>
    </row>
    <row r="330" spans="1:75" ht="21.75" customHeight="1">
      <c r="C330" s="44"/>
      <c r="D330" s="44"/>
      <c r="E330" s="462">
        <v>22.5</v>
      </c>
      <c r="F330" s="3" t="str" cm="1">
        <f t="array" aca="1" ref="F330" ca="1">OFFSET(E330,-1,1)</f>
        <v>2</v>
      </c>
      <c r="G330" s="44"/>
      <c r="H330" s="587"/>
      <c r="I330" s="587" t="s">
        <v>1955</v>
      </c>
      <c r="J330" s="44"/>
      <c r="K330" s="290" t="s">
        <v>1955</v>
      </c>
      <c r="N330" s="44"/>
      <c r="O330" s="44"/>
      <c r="P330" s="44"/>
      <c r="Q330" s="44"/>
      <c r="R330" s="44"/>
      <c r="S330" s="44"/>
      <c r="T330" s="365" t="b" cm="1">
        <f t="array" ref="T330">T329</f>
        <v>1</v>
      </c>
      <c r="U330" s="44"/>
      <c r="V330" s="44"/>
      <c r="W330" s="44"/>
      <c r="X330" s="1094"/>
      <c r="Z330" s="1065"/>
      <c r="AB330" s="26" t="s">
        <v>1956</v>
      </c>
      <c r="AC330" s="554" t="s">
        <v>1957</v>
      </c>
      <c r="AD330" s="26" t="s">
        <v>804</v>
      </c>
      <c r="AE330" s="147"/>
      <c r="AF330" s="147"/>
      <c r="AG330" s="147"/>
      <c r="AH330" s="190">
        <f t="shared" si="91"/>
        <v>0</v>
      </c>
      <c r="AI330" s="147"/>
      <c r="AJ330" s="147"/>
      <c r="AK330" s="552"/>
      <c r="AL330" s="552"/>
      <c r="AM330" s="552"/>
      <c r="AN330" s="552"/>
      <c r="AO330" s="552"/>
      <c r="AP330" s="552"/>
      <c r="AQ330" s="552"/>
      <c r="AR330" s="552"/>
      <c r="AS330" s="552"/>
      <c r="AT330" s="147"/>
      <c r="AU330" s="552"/>
      <c r="AV330" s="552"/>
      <c r="AW330" s="552"/>
      <c r="AX330" s="552"/>
      <c r="AY330" s="552"/>
      <c r="AZ330" s="552"/>
      <c r="BA330" s="552"/>
      <c r="BB330" s="552"/>
      <c r="BC330" s="552"/>
      <c r="BD330" s="190">
        <f t="shared" si="94"/>
        <v>0</v>
      </c>
      <c r="BE330" s="552"/>
      <c r="BF330" s="552"/>
      <c r="BG330" s="552"/>
      <c r="BH330" s="552"/>
      <c r="BI330" s="552"/>
      <c r="BJ330" s="552"/>
      <c r="BK330" s="552"/>
      <c r="BL330" s="552"/>
      <c r="BM330" s="552"/>
      <c r="BN330" s="215"/>
      <c r="BO330" s="215"/>
      <c r="BP330" s="215"/>
      <c r="BS330" s="705" t="s">
        <v>1958</v>
      </c>
    </row>
    <row r="331" spans="1:75" ht="21.95" customHeight="1">
      <c r="C331" s="44"/>
      <c r="D331" s="44"/>
      <c r="E331" s="462">
        <v>22.5</v>
      </c>
      <c r="F331" s="3" t="str" cm="1">
        <f t="array" aca="1" ref="F331" ca="1">OFFSET(E331,-1,1)</f>
        <v>2</v>
      </c>
      <c r="G331" s="44"/>
      <c r="H331" s="587"/>
      <c r="I331" s="587" t="s">
        <v>1959</v>
      </c>
      <c r="J331" s="44"/>
      <c r="K331" s="290" t="s">
        <v>1959</v>
      </c>
      <c r="L331" s="44"/>
      <c r="N331" s="44"/>
      <c r="O331" s="44"/>
      <c r="P331" s="44"/>
      <c r="Q331" s="44"/>
      <c r="R331" s="44"/>
      <c r="S331" s="44"/>
      <c r="T331" s="365" t="b" cm="1">
        <f t="array" ref="T331">T330</f>
        <v>1</v>
      </c>
      <c r="U331" s="44"/>
      <c r="V331" s="44"/>
      <c r="W331" s="44"/>
      <c r="X331" s="1094"/>
      <c r="Z331" s="1065"/>
      <c r="AB331" s="26" t="s">
        <v>1960</v>
      </c>
      <c r="AC331" s="554" t="s">
        <v>1961</v>
      </c>
      <c r="AD331" s="26" t="s">
        <v>804</v>
      </c>
      <c r="AE331" s="147">
        <v>816.69541919999995</v>
      </c>
      <c r="AF331" s="147"/>
      <c r="AG331" s="147"/>
      <c r="AH331" s="190">
        <f t="shared" si="91"/>
        <v>0</v>
      </c>
      <c r="AI331" s="147"/>
      <c r="AJ331" s="147"/>
      <c r="AK331" s="552"/>
      <c r="AL331" s="552"/>
      <c r="AM331" s="552"/>
      <c r="AN331" s="552"/>
      <c r="AO331" s="552"/>
      <c r="AP331" s="552"/>
      <c r="AQ331" s="552"/>
      <c r="AR331" s="552"/>
      <c r="AS331" s="552"/>
      <c r="AT331" s="147"/>
      <c r="AU331" s="552"/>
      <c r="AV331" s="552"/>
      <c r="AW331" s="552"/>
      <c r="AX331" s="552"/>
      <c r="AY331" s="552"/>
      <c r="AZ331" s="552"/>
      <c r="BA331" s="552"/>
      <c r="BB331" s="552"/>
      <c r="BC331" s="552"/>
      <c r="BD331" s="190">
        <f t="shared" si="94"/>
        <v>0</v>
      </c>
      <c r="BE331" s="552"/>
      <c r="BF331" s="552"/>
      <c r="BG331" s="552"/>
      <c r="BH331" s="552"/>
      <c r="BI331" s="552"/>
      <c r="BJ331" s="552"/>
      <c r="BK331" s="552"/>
      <c r="BL331" s="552"/>
      <c r="BM331" s="552"/>
      <c r="BN331" s="215"/>
      <c r="BO331" s="215"/>
      <c r="BP331" s="215"/>
      <c r="BS331" s="705" t="s">
        <v>1962</v>
      </c>
    </row>
    <row r="332" spans="1:75" ht="44.25" customHeight="1">
      <c r="C332" s="44"/>
      <c r="D332" s="44"/>
      <c r="E332" s="462">
        <v>45</v>
      </c>
      <c r="F332" s="3" t="str" cm="1">
        <f t="array" aca="1" ref="F332" ca="1">OFFSET(E332,-1,1)</f>
        <v>2</v>
      </c>
      <c r="G332" s="44"/>
      <c r="H332" s="587"/>
      <c r="I332" s="587" t="s">
        <v>1963</v>
      </c>
      <c r="J332" s="44"/>
      <c r="K332" s="290" t="s">
        <v>1963</v>
      </c>
      <c r="L332" s="44" t="s">
        <v>1766</v>
      </c>
      <c r="M332" s="44" t="s">
        <v>1778</v>
      </c>
      <c r="N332" s="44"/>
      <c r="O332" s="44"/>
      <c r="P332" s="44"/>
      <c r="Q332" s="44"/>
      <c r="R332" s="44"/>
      <c r="S332" s="44"/>
      <c r="T332" s="365" t="b" cm="1">
        <f t="array" ref="T332">T331</f>
        <v>1</v>
      </c>
      <c r="U332" s="44"/>
      <c r="V332" s="44"/>
      <c r="W332" s="44"/>
      <c r="X332" s="1094"/>
      <c r="Z332" s="1065"/>
      <c r="AB332" s="26" t="s">
        <v>1964</v>
      </c>
      <c r="AC332" s="553" t="s">
        <v>1965</v>
      </c>
      <c r="AD332" s="26" t="s">
        <v>804</v>
      </c>
      <c r="AE332" s="147">
        <v>176.26229215999999</v>
      </c>
      <c r="AF332" s="147"/>
      <c r="AG332" s="147"/>
      <c r="AH332" s="190">
        <f t="shared" si="91"/>
        <v>0</v>
      </c>
      <c r="AI332" s="147"/>
      <c r="AJ332" s="147"/>
      <c r="AK332" s="552"/>
      <c r="AL332" s="552"/>
      <c r="AM332" s="552"/>
      <c r="AN332" s="552"/>
      <c r="AO332" s="552"/>
      <c r="AP332" s="552"/>
      <c r="AQ332" s="552"/>
      <c r="AR332" s="552"/>
      <c r="AS332" s="552"/>
      <c r="AT332" s="147"/>
      <c r="AU332" s="552"/>
      <c r="AV332" s="552"/>
      <c r="AW332" s="552"/>
      <c r="AX332" s="552"/>
      <c r="AY332" s="552"/>
      <c r="AZ332" s="552"/>
      <c r="BA332" s="552"/>
      <c r="BB332" s="552"/>
      <c r="BC332" s="552"/>
      <c r="BD332" s="190">
        <f t="shared" si="94"/>
        <v>0</v>
      </c>
      <c r="BE332" s="552"/>
      <c r="BF332" s="552"/>
      <c r="BG332" s="552"/>
      <c r="BH332" s="552"/>
      <c r="BI332" s="552"/>
      <c r="BJ332" s="552"/>
      <c r="BK332" s="552"/>
      <c r="BL332" s="552"/>
      <c r="BM332" s="552"/>
      <c r="BN332" s="215"/>
      <c r="BO332" s="215"/>
      <c r="BP332" s="215"/>
      <c r="BS332" s="705" t="s">
        <v>1781</v>
      </c>
    </row>
    <row r="333" spans="1:75" ht="14.25" customHeight="1">
      <c r="C333" s="44"/>
      <c r="D333" s="44"/>
      <c r="E333" s="462">
        <v>15</v>
      </c>
      <c r="F333" s="3" t="str" cm="1">
        <f t="array" aca="1" ref="F333" ca="1">OFFSET(E333,-1,1)</f>
        <v>2</v>
      </c>
      <c r="G333" s="44"/>
      <c r="H333" s="587"/>
      <c r="I333" s="587" t="s">
        <v>1966</v>
      </c>
      <c r="J333" s="44"/>
      <c r="K333" s="290" t="s">
        <v>1966</v>
      </c>
      <c r="L333" s="44" t="s">
        <v>1766</v>
      </c>
      <c r="M333" s="44" t="s">
        <v>1782</v>
      </c>
      <c r="N333" s="44"/>
      <c r="O333" s="44"/>
      <c r="P333" s="44"/>
      <c r="Q333" s="44"/>
      <c r="R333" s="44"/>
      <c r="S333" s="44"/>
      <c r="T333" s="365" t="b" cm="1">
        <f t="array" ref="T333">T332</f>
        <v>1</v>
      </c>
      <c r="U333" s="44"/>
      <c r="V333" s="44"/>
      <c r="W333" s="44"/>
      <c r="X333" s="1094"/>
      <c r="Z333" s="1065"/>
      <c r="AB333" s="26" t="s">
        <v>1967</v>
      </c>
      <c r="AC333" s="553" t="s">
        <v>1784</v>
      </c>
      <c r="AD333" s="26" t="s">
        <v>804</v>
      </c>
      <c r="AE333" s="147"/>
      <c r="AF333" s="147"/>
      <c r="AG333" s="147"/>
      <c r="AH333" s="190">
        <f t="shared" si="91"/>
        <v>0</v>
      </c>
      <c r="AI333" s="147"/>
      <c r="AJ333" s="147"/>
      <c r="AK333" s="552"/>
      <c r="AL333" s="552"/>
      <c r="AM333" s="552"/>
      <c r="AN333" s="552"/>
      <c r="AO333" s="552"/>
      <c r="AP333" s="552"/>
      <c r="AQ333" s="552"/>
      <c r="AR333" s="552"/>
      <c r="AS333" s="552"/>
      <c r="AT333" s="147"/>
      <c r="AU333" s="552"/>
      <c r="AV333" s="552"/>
      <c r="AW333" s="552"/>
      <c r="AX333" s="552"/>
      <c r="AY333" s="552"/>
      <c r="AZ333" s="552"/>
      <c r="BA333" s="552"/>
      <c r="BB333" s="552"/>
      <c r="BC333" s="552"/>
      <c r="BD333" s="190">
        <f t="shared" si="94"/>
        <v>0</v>
      </c>
      <c r="BE333" s="552"/>
      <c r="BF333" s="552"/>
      <c r="BG333" s="552"/>
      <c r="BH333" s="552"/>
      <c r="BI333" s="552"/>
      <c r="BJ333" s="552"/>
      <c r="BK333" s="552"/>
      <c r="BL333" s="552"/>
      <c r="BM333" s="552"/>
      <c r="BN333" s="215"/>
      <c r="BO333" s="215"/>
      <c r="BP333" s="215"/>
      <c r="BS333" s="705" t="s">
        <v>1785</v>
      </c>
    </row>
    <row r="334" spans="1:75" ht="14.65" customHeight="1">
      <c r="C334" s="44"/>
      <c r="D334" s="44"/>
      <c r="E334" s="462">
        <v>15</v>
      </c>
      <c r="F334" s="3" t="str" cm="1">
        <f t="array" aca="1" ref="F334" ca="1">OFFSET(E334,-1,1)</f>
        <v>2</v>
      </c>
      <c r="G334" s="44"/>
      <c r="H334" s="587"/>
      <c r="I334" s="587" t="s">
        <v>1968</v>
      </c>
      <c r="J334" s="44"/>
      <c r="K334" s="290" t="s">
        <v>1968</v>
      </c>
      <c r="L334" s="44"/>
      <c r="M334" s="44"/>
      <c r="N334" s="44"/>
      <c r="O334" s="44"/>
      <c r="P334" s="44"/>
      <c r="Q334" s="44"/>
      <c r="R334" s="44"/>
      <c r="S334" s="44"/>
      <c r="T334" s="365" t="b" cm="1">
        <f t="array" ref="T334">T333</f>
        <v>1</v>
      </c>
      <c r="U334" s="44"/>
      <c r="V334" s="44"/>
      <c r="W334" s="44"/>
      <c r="X334" s="1094"/>
      <c r="Z334" s="1065"/>
      <c r="AB334" s="26" t="s">
        <v>1969</v>
      </c>
      <c r="AC334" s="553" t="s">
        <v>1970</v>
      </c>
      <c r="AD334" s="26" t="s">
        <v>804</v>
      </c>
      <c r="AE334" s="147">
        <v>1191.6657322230001</v>
      </c>
      <c r="AF334" s="147"/>
      <c r="AG334" s="147"/>
      <c r="AH334" s="190">
        <f t="shared" si="91"/>
        <v>0</v>
      </c>
      <c r="AI334" s="147"/>
      <c r="AJ334" s="147"/>
      <c r="AK334" s="552"/>
      <c r="AL334" s="552"/>
      <c r="AM334" s="552"/>
      <c r="AN334" s="552"/>
      <c r="AO334" s="552"/>
      <c r="AP334" s="552"/>
      <c r="AQ334" s="552"/>
      <c r="AR334" s="552"/>
      <c r="AS334" s="552"/>
      <c r="AT334" s="147"/>
      <c r="AU334" s="552"/>
      <c r="AV334" s="552"/>
      <c r="AW334" s="552"/>
      <c r="AX334" s="552"/>
      <c r="AY334" s="552"/>
      <c r="AZ334" s="552"/>
      <c r="BA334" s="552"/>
      <c r="BB334" s="552"/>
      <c r="BC334" s="552"/>
      <c r="BD334" s="190">
        <f t="shared" si="94"/>
        <v>0</v>
      </c>
      <c r="BE334" s="552"/>
      <c r="BF334" s="552"/>
      <c r="BG334" s="552"/>
      <c r="BH334" s="552"/>
      <c r="BI334" s="552"/>
      <c r="BJ334" s="552"/>
      <c r="BK334" s="552"/>
      <c r="BL334" s="552"/>
      <c r="BM334" s="552"/>
      <c r="BN334" s="215"/>
      <c r="BO334" s="215"/>
      <c r="BP334" s="215"/>
      <c r="BS334" s="705" t="s">
        <v>1769</v>
      </c>
    </row>
    <row r="335" spans="1:75" s="950" customFormat="1" ht="20.25" customHeight="1">
      <c r="A335" s="95"/>
      <c r="B335" s="344"/>
      <c r="C335" s="46"/>
      <c r="D335" s="46"/>
      <c r="E335" s="569">
        <v>21</v>
      </c>
      <c r="F335" s="3" t="str" cm="1">
        <f t="array" aca="1" ref="F335" ca="1">OFFSET(E335,-1,1)</f>
        <v>2</v>
      </c>
      <c r="G335" s="46"/>
      <c r="H335" s="587"/>
      <c r="I335" s="587" t="s">
        <v>468</v>
      </c>
      <c r="J335" s="46"/>
      <c r="K335" s="290" t="s">
        <v>468</v>
      </c>
      <c r="L335" s="46"/>
      <c r="M335" s="46"/>
      <c r="N335" s="46"/>
      <c r="O335" s="46"/>
      <c r="P335" s="46"/>
      <c r="Q335" s="46"/>
      <c r="R335" s="46"/>
      <c r="S335" s="46"/>
      <c r="T335" s="365" t="b" cm="1">
        <f t="array" ref="T335">T334</f>
        <v>1</v>
      </c>
      <c r="U335" s="46"/>
      <c r="V335" s="46"/>
      <c r="W335" s="46"/>
      <c r="X335" s="1094"/>
      <c r="Y335" s="95"/>
      <c r="Z335" s="1065"/>
      <c r="AA335" s="95"/>
      <c r="AB335" s="143" t="s">
        <v>903</v>
      </c>
      <c r="AC335" s="276" t="s">
        <v>1788</v>
      </c>
      <c r="AD335" s="143" t="s">
        <v>804</v>
      </c>
      <c r="AE335" s="145">
        <f ca="1">AE336+AE337+AE338</f>
        <v>1375.4708885375999</v>
      </c>
      <c r="AF335" s="145">
        <f ca="1">AF336+AF337+AF338</f>
        <v>0</v>
      </c>
      <c r="AG335" s="145">
        <f ca="1">AG336+AG337+AG338</f>
        <v>0</v>
      </c>
      <c r="AH335" s="145">
        <f t="shared" ca="1" si="91"/>
        <v>0</v>
      </c>
      <c r="AI335" s="145">
        <f ca="1">AI336+AI337+AI338</f>
        <v>0</v>
      </c>
      <c r="AJ335" s="145">
        <f ca="1">AJ336+AJ337+AJ338</f>
        <v>0</v>
      </c>
      <c r="AK335" s="148"/>
      <c r="AL335" s="148"/>
      <c r="AM335" s="148"/>
      <c r="AN335" s="148"/>
      <c r="AO335" s="148"/>
      <c r="AP335" s="148"/>
      <c r="AQ335" s="148"/>
      <c r="AR335" s="148"/>
      <c r="AS335" s="148"/>
      <c r="AT335" s="145">
        <f ca="1">AT336+AT337+AT338</f>
        <v>0</v>
      </c>
      <c r="AU335" s="148"/>
      <c r="AV335" s="148"/>
      <c r="AW335" s="148"/>
      <c r="AX335" s="148"/>
      <c r="AY335" s="148"/>
      <c r="AZ335" s="148"/>
      <c r="BA335" s="148"/>
      <c r="BB335" s="148"/>
      <c r="BC335" s="148"/>
      <c r="BD335" s="145">
        <f t="shared" ca="1" si="94"/>
        <v>0</v>
      </c>
      <c r="BE335" s="148"/>
      <c r="BF335" s="148"/>
      <c r="BG335" s="148"/>
      <c r="BH335" s="148"/>
      <c r="BI335" s="148"/>
      <c r="BJ335" s="148"/>
      <c r="BK335" s="148"/>
      <c r="BL335" s="148"/>
      <c r="BM335" s="148"/>
      <c r="BN335" s="566"/>
      <c r="BO335" s="566"/>
      <c r="BP335" s="566"/>
      <c r="BQ335" s="95"/>
      <c r="BR335" s="95"/>
      <c r="BS335" s="704" t="s">
        <v>1789</v>
      </c>
      <c r="BT335" s="711"/>
      <c r="BU335" s="711"/>
      <c r="BV335" s="522"/>
      <c r="BW335" s="522"/>
    </row>
    <row r="336" spans="1:75" ht="23.25" customHeight="1">
      <c r="C336" s="44"/>
      <c r="D336" s="44"/>
      <c r="E336" s="462">
        <v>22.5</v>
      </c>
      <c r="F336" s="3" t="str" cm="1">
        <f t="array" aca="1" ref="F336" ca="1">OFFSET(E336,-1,1)</f>
        <v>2</v>
      </c>
      <c r="G336" s="44"/>
      <c r="H336" s="587"/>
      <c r="I336" s="587" t="s">
        <v>1349</v>
      </c>
      <c r="J336" s="44"/>
      <c r="K336" s="290" t="s">
        <v>1349</v>
      </c>
      <c r="L336" s="44"/>
      <c r="M336" s="44"/>
      <c r="N336" s="44"/>
      <c r="O336" s="44"/>
      <c r="P336" s="44"/>
      <c r="Q336" s="44"/>
      <c r="R336" s="44"/>
      <c r="S336" s="44"/>
      <c r="T336" s="365" t="b" cm="1">
        <f t="array" ref="T336">T335</f>
        <v>1</v>
      </c>
      <c r="U336" s="44"/>
      <c r="V336" s="44"/>
      <c r="W336" s="44"/>
      <c r="X336" s="1094"/>
      <c r="Z336" s="1065"/>
      <c r="AB336" s="26" t="s">
        <v>1350</v>
      </c>
      <c r="AC336" s="153" t="s">
        <v>1971</v>
      </c>
      <c r="AD336" s="26" t="s">
        <v>804</v>
      </c>
      <c r="AE336" s="147">
        <v>599.76088853759995</v>
      </c>
      <c r="AF336" s="147"/>
      <c r="AG336" s="147"/>
      <c r="AH336" s="190">
        <f t="shared" si="91"/>
        <v>0</v>
      </c>
      <c r="AI336" s="147"/>
      <c r="AJ336" s="147"/>
      <c r="AK336" s="552"/>
      <c r="AL336" s="552"/>
      <c r="AM336" s="552"/>
      <c r="AN336" s="552"/>
      <c r="AO336" s="552"/>
      <c r="AP336" s="552"/>
      <c r="AQ336" s="552"/>
      <c r="AR336" s="552"/>
      <c r="AS336" s="552"/>
      <c r="AT336" s="147"/>
      <c r="AU336" s="552"/>
      <c r="AV336" s="552"/>
      <c r="AW336" s="552"/>
      <c r="AX336" s="552"/>
      <c r="AY336" s="552"/>
      <c r="AZ336" s="552"/>
      <c r="BA336" s="552"/>
      <c r="BB336" s="552"/>
      <c r="BC336" s="552"/>
      <c r="BD336" s="190">
        <f t="shared" si="94"/>
        <v>0</v>
      </c>
      <c r="BE336" s="552"/>
      <c r="BF336" s="552"/>
      <c r="BG336" s="552"/>
      <c r="BH336" s="552"/>
      <c r="BI336" s="552"/>
      <c r="BJ336" s="552"/>
      <c r="BK336" s="552"/>
      <c r="BL336" s="552"/>
      <c r="BM336" s="552"/>
      <c r="BN336" s="215"/>
      <c r="BO336" s="215"/>
      <c r="BP336" s="215"/>
      <c r="BS336" s="703" t="s">
        <v>1791</v>
      </c>
    </row>
    <row r="337" spans="1:75" ht="23.25" customHeight="1">
      <c r="C337" s="44"/>
      <c r="D337" s="44"/>
      <c r="E337" s="462">
        <v>22.5</v>
      </c>
      <c r="F337" s="3" t="str" cm="1">
        <f t="array" aca="1" ref="F337" ca="1">OFFSET(E337,-1,1)</f>
        <v>2</v>
      </c>
      <c r="G337" s="44"/>
      <c r="H337" s="587"/>
      <c r="I337" s="587" t="s">
        <v>1353</v>
      </c>
      <c r="J337" s="44"/>
      <c r="K337" s="290" t="s">
        <v>1353</v>
      </c>
      <c r="L337" s="44"/>
      <c r="M337" s="44"/>
      <c r="N337" s="44"/>
      <c r="O337" s="44"/>
      <c r="P337" s="44"/>
      <c r="Q337" s="44"/>
      <c r="R337" s="44"/>
      <c r="S337" s="44"/>
      <c r="T337" s="365" t="b" cm="1">
        <f t="array" ref="T337">T336</f>
        <v>1</v>
      </c>
      <c r="U337" s="44"/>
      <c r="V337" s="44"/>
      <c r="W337" s="44"/>
      <c r="X337" s="1094"/>
      <c r="Z337" s="1065"/>
      <c r="AB337" s="26" t="s">
        <v>1354</v>
      </c>
      <c r="AC337" s="153" t="s">
        <v>1972</v>
      </c>
      <c r="AD337" s="26" t="s">
        <v>804</v>
      </c>
      <c r="AE337" s="147">
        <v>775.71</v>
      </c>
      <c r="AF337" s="147"/>
      <c r="AG337" s="147"/>
      <c r="AH337" s="190">
        <f t="shared" si="91"/>
        <v>0</v>
      </c>
      <c r="AI337" s="147"/>
      <c r="AJ337" s="147"/>
      <c r="AK337" s="552"/>
      <c r="AL337" s="552"/>
      <c r="AM337" s="552"/>
      <c r="AN337" s="552"/>
      <c r="AO337" s="552"/>
      <c r="AP337" s="552"/>
      <c r="AQ337" s="552"/>
      <c r="AR337" s="552"/>
      <c r="AS337" s="552"/>
      <c r="AT337" s="147"/>
      <c r="AU337" s="552"/>
      <c r="AV337" s="552"/>
      <c r="AW337" s="552"/>
      <c r="AX337" s="552"/>
      <c r="AY337" s="552"/>
      <c r="AZ337" s="552"/>
      <c r="BA337" s="552"/>
      <c r="BB337" s="552"/>
      <c r="BC337" s="552"/>
      <c r="BD337" s="190">
        <f t="shared" si="94"/>
        <v>0</v>
      </c>
      <c r="BE337" s="552"/>
      <c r="BF337" s="552"/>
      <c r="BG337" s="552"/>
      <c r="BH337" s="552"/>
      <c r="BI337" s="552"/>
      <c r="BJ337" s="552"/>
      <c r="BK337" s="552"/>
      <c r="BL337" s="552"/>
      <c r="BM337" s="552"/>
      <c r="BN337" s="215"/>
      <c r="BO337" s="215"/>
      <c r="BP337" s="215"/>
      <c r="BS337" s="705" t="s">
        <v>1973</v>
      </c>
    </row>
    <row r="338" spans="1:75" ht="21.75" customHeight="1">
      <c r="C338" s="44"/>
      <c r="D338" s="44"/>
      <c r="E338" s="462">
        <v>22.5</v>
      </c>
      <c r="F338" s="3" t="str" cm="1">
        <f t="array" aca="1" ref="F338" ca="1">OFFSET(E338,-1,1)</f>
        <v>2</v>
      </c>
      <c r="G338" s="44"/>
      <c r="H338" s="587"/>
      <c r="I338" s="587" t="s">
        <v>1357</v>
      </c>
      <c r="J338" s="44"/>
      <c r="K338" s="290" t="s">
        <v>1357</v>
      </c>
      <c r="L338" s="44" t="s">
        <v>482</v>
      </c>
      <c r="M338" s="44"/>
      <c r="N338" s="44"/>
      <c r="O338" s="44"/>
      <c r="P338" s="44"/>
      <c r="Q338" s="44"/>
      <c r="R338" s="44"/>
      <c r="S338" s="44"/>
      <c r="T338" s="365" t="b" cm="1">
        <f t="array" ref="T338">T337</f>
        <v>1</v>
      </c>
      <c r="U338" s="44"/>
      <c r="V338" s="44"/>
      <c r="W338" s="44"/>
      <c r="X338" s="1094"/>
      <c r="Z338" s="1065"/>
      <c r="AB338" s="26" t="s">
        <v>1358</v>
      </c>
      <c r="AC338" s="153" t="s">
        <v>1974</v>
      </c>
      <c r="AD338" s="26" t="s">
        <v>804</v>
      </c>
      <c r="AE338" s="190">
        <f ca="1">AE339+AE340</f>
        <v>0</v>
      </c>
      <c r="AF338" s="190">
        <f ca="1">AF339+AF340</f>
        <v>0</v>
      </c>
      <c r="AG338" s="190">
        <f ca="1">AG339+AG340</f>
        <v>0</v>
      </c>
      <c r="AH338" s="190">
        <f t="shared" ca="1" si="91"/>
        <v>0</v>
      </c>
      <c r="AI338" s="190">
        <f ca="1">AI339+AI340</f>
        <v>0</v>
      </c>
      <c r="AJ338" s="190">
        <f ca="1">AJ339+AJ340</f>
        <v>0</v>
      </c>
      <c r="AK338" s="552"/>
      <c r="AL338" s="552"/>
      <c r="AM338" s="552"/>
      <c r="AN338" s="552"/>
      <c r="AO338" s="552"/>
      <c r="AP338" s="552"/>
      <c r="AQ338" s="552"/>
      <c r="AR338" s="552"/>
      <c r="AS338" s="552"/>
      <c r="AT338" s="190">
        <f ca="1">AT339+AT340</f>
        <v>0</v>
      </c>
      <c r="AU338" s="552"/>
      <c r="AV338" s="552"/>
      <c r="AW338" s="552"/>
      <c r="AX338" s="552"/>
      <c r="AY338" s="552"/>
      <c r="AZ338" s="552"/>
      <c r="BA338" s="552"/>
      <c r="BB338" s="552"/>
      <c r="BC338" s="552"/>
      <c r="BD338" s="190">
        <f t="shared" ca="1" si="94"/>
        <v>0</v>
      </c>
      <c r="BE338" s="552"/>
      <c r="BF338" s="552"/>
      <c r="BG338" s="552"/>
      <c r="BH338" s="552"/>
      <c r="BI338" s="552"/>
      <c r="BJ338" s="552"/>
      <c r="BK338" s="552"/>
      <c r="BL338" s="552"/>
      <c r="BM338" s="552"/>
      <c r="BN338" s="215"/>
      <c r="BO338" s="215"/>
      <c r="BP338" s="215"/>
      <c r="BS338" s="703" t="s">
        <v>1793</v>
      </c>
    </row>
    <row r="339" spans="1:75" ht="14.25" customHeight="1">
      <c r="C339" s="44"/>
      <c r="D339" s="44"/>
      <c r="E339" s="462">
        <v>15</v>
      </c>
      <c r="F339" s="3" t="str" cm="1">
        <f t="array" aca="1" ref="F339" ca="1">OFFSET(E339,-1,1)</f>
        <v>2</v>
      </c>
      <c r="G339" s="581" t="s">
        <v>1171</v>
      </c>
      <c r="H339" s="587"/>
      <c r="I339" s="587" t="s">
        <v>1975</v>
      </c>
      <c r="J339" s="44"/>
      <c r="K339" s="290" t="s">
        <v>1975</v>
      </c>
      <c r="L339" s="44" t="s">
        <v>1794</v>
      </c>
      <c r="M339" s="44"/>
      <c r="N339" s="44"/>
      <c r="O339" s="44"/>
      <c r="P339" s="44"/>
      <c r="Q339" s="44"/>
      <c r="R339" s="44"/>
      <c r="S339" s="44"/>
      <c r="T339" s="365" t="b" cm="1">
        <f t="array" ref="T339">T338</f>
        <v>1</v>
      </c>
      <c r="U339" s="44"/>
      <c r="V339" s="44"/>
      <c r="W339" s="44"/>
      <c r="X339" s="1094"/>
      <c r="Z339" s="1065"/>
      <c r="AB339" s="26" t="s">
        <v>1976</v>
      </c>
      <c r="AC339" s="553" t="s">
        <v>1795</v>
      </c>
      <c r="AD339" s="26" t="s">
        <v>804</v>
      </c>
      <c r="AE339" s="190">
        <f ca="1">SUMIFS(ФОТ!AE$25:AE$102,ФОТ!$F$25:$F$102,$F339,ФОТ!$G$25:$G$102,$G339)</f>
        <v>0</v>
      </c>
      <c r="AF339" s="190">
        <f ca="1">SUMIFS(ФОТ!AF$25:AF$102,ФОТ!$F$25:$F$102,$F339,ФОТ!$G$25:$G$102,$G339)</f>
        <v>0</v>
      </c>
      <c r="AG339" s="190">
        <f ca="1">SUMIFS(ФОТ!AG$25:AG$102,ФОТ!$F$25:$F$102,$F339,ФОТ!$G$25:$G$102,$G339)</f>
        <v>0</v>
      </c>
      <c r="AH339" s="190">
        <f t="shared" ca="1" si="91"/>
        <v>0</v>
      </c>
      <c r="AI339" s="190">
        <f ca="1">SUMIFS(ФОТ!AH$25:AH$102,ФОТ!$F$25:$F$102,$F339,ФОТ!$G$25:$G$102,$G339)</f>
        <v>0</v>
      </c>
      <c r="AJ339" s="190">
        <f ca="1">SUMIFS(ФОТ!AI$25:AI$102,ФОТ!$F$25:$F$102,$F339,ФОТ!$G$25:$G$102,$G339)</f>
        <v>0</v>
      </c>
      <c r="AK339" s="552"/>
      <c r="AL339" s="552"/>
      <c r="AM339" s="552"/>
      <c r="AN339" s="552"/>
      <c r="AO339" s="552"/>
      <c r="AP339" s="552"/>
      <c r="AQ339" s="552"/>
      <c r="AR339" s="552"/>
      <c r="AS339" s="552"/>
      <c r="AT339" s="190">
        <f ca="1">SUMIFS(ФОТ!AJ$25:AJ$102,ФОТ!$F$25:$F$102,$F339,ФОТ!$G$25:$G$102,$G339)</f>
        <v>0</v>
      </c>
      <c r="AU339" s="552"/>
      <c r="AV339" s="552"/>
      <c r="AW339" s="552"/>
      <c r="AX339" s="552"/>
      <c r="AY339" s="552"/>
      <c r="AZ339" s="552"/>
      <c r="BA339" s="552"/>
      <c r="BB339" s="552"/>
      <c r="BC339" s="552"/>
      <c r="BD339" s="190">
        <f t="shared" ca="1" si="94"/>
        <v>0</v>
      </c>
      <c r="BE339" s="552"/>
      <c r="BF339" s="552"/>
      <c r="BG339" s="552"/>
      <c r="BH339" s="552"/>
      <c r="BI339" s="552"/>
      <c r="BJ339" s="552"/>
      <c r="BK339" s="552"/>
      <c r="BL339" s="552"/>
      <c r="BM339" s="552"/>
      <c r="BN339" s="215"/>
      <c r="BO339" s="610" t="str">
        <f ca="1">IF(IFERROR(INDEX(ФОТ!$K$26:$L$102,MATCH($F339&amp;"3komm",ФОТ!$K$26:$K$102,0),2),"")=0,"",IFERROR(INDEX(ФОТ!$K$26:$L$102,MATCH($F339&amp;"3komm",ФОТ!$K$26:$K$102,0),2),""))</f>
        <v/>
      </c>
      <c r="BP339" s="215"/>
      <c r="BS339" s="703" t="s">
        <v>1796</v>
      </c>
    </row>
    <row r="340" spans="1:75" ht="21.75" customHeight="1">
      <c r="C340" s="44"/>
      <c r="D340" s="44"/>
      <c r="E340" s="462">
        <v>22.5</v>
      </c>
      <c r="F340" s="3" t="str" cm="1">
        <f t="array" aca="1" ref="F340" ca="1">OFFSET(E340,-1,1)</f>
        <v>2</v>
      </c>
      <c r="G340" s="581" t="s">
        <v>1176</v>
      </c>
      <c r="H340" s="587"/>
      <c r="I340" s="587" t="s">
        <v>1977</v>
      </c>
      <c r="J340" s="44"/>
      <c r="K340" s="290" t="s">
        <v>1977</v>
      </c>
      <c r="L340" s="44" t="s">
        <v>1797</v>
      </c>
      <c r="M340" s="44"/>
      <c r="N340" s="44"/>
      <c r="O340" s="44"/>
      <c r="P340" s="44"/>
      <c r="Q340" s="44"/>
      <c r="R340" s="44"/>
      <c r="S340" s="44"/>
      <c r="T340" s="365" t="b" cm="1">
        <f t="array" ref="T340">T339</f>
        <v>1</v>
      </c>
      <c r="U340" s="44"/>
      <c r="V340" s="44"/>
      <c r="W340" s="44"/>
      <c r="X340" s="1094"/>
      <c r="Z340" s="1065"/>
      <c r="AB340" s="26" t="s">
        <v>1978</v>
      </c>
      <c r="AC340" s="553" t="s">
        <v>1979</v>
      </c>
      <c r="AD340" s="26" t="s">
        <v>804</v>
      </c>
      <c r="AE340" s="190">
        <f ca="1">SUMIFS(ФОТ!AE$25:AE$102,ФОТ!$F$25:$F$102,$F340,ФОТ!$G$25:$G$102,$G340)</f>
        <v>0</v>
      </c>
      <c r="AF340" s="190">
        <f ca="1">SUMIFS(ФОТ!AF$25:AF$102,ФОТ!$F$25:$F$102,$F340,ФОТ!$G$25:$G$102,$G340)</f>
        <v>0</v>
      </c>
      <c r="AG340" s="190">
        <f ca="1">SUMIFS(ФОТ!AG$25:AG$102,ФОТ!$F$25:$F$102,$F340,ФОТ!$G$25:$G$102,$G340)</f>
        <v>0</v>
      </c>
      <c r="AH340" s="190">
        <f t="shared" ca="1" si="91"/>
        <v>0</v>
      </c>
      <c r="AI340" s="190">
        <f ca="1">SUMIFS(ФОТ!AH$25:AH$102,ФОТ!$F$25:$F$102,$F340,ФОТ!$G$25:$G$102,$G340)</f>
        <v>0</v>
      </c>
      <c r="AJ340" s="190">
        <f ca="1">SUMIFS(ФОТ!AI$25:AI$102,ФОТ!$F$25:$F$102,$F340,ФОТ!$G$25:$G$102,$G340)</f>
        <v>0</v>
      </c>
      <c r="AK340" s="552"/>
      <c r="AL340" s="552"/>
      <c r="AM340" s="552"/>
      <c r="AN340" s="552"/>
      <c r="AO340" s="552"/>
      <c r="AP340" s="552"/>
      <c r="AQ340" s="552"/>
      <c r="AR340" s="552"/>
      <c r="AS340" s="552"/>
      <c r="AT340" s="190">
        <f ca="1">SUMIFS(ФОТ!AJ$25:AJ$102,ФОТ!$F$25:$F$102,$F340,ФОТ!$G$25:$G$102,$G340)</f>
        <v>0</v>
      </c>
      <c r="AU340" s="552"/>
      <c r="AV340" s="552"/>
      <c r="AW340" s="552"/>
      <c r="AX340" s="552"/>
      <c r="AY340" s="552"/>
      <c r="AZ340" s="552"/>
      <c r="BA340" s="552"/>
      <c r="BB340" s="552"/>
      <c r="BC340" s="552"/>
      <c r="BD340" s="190">
        <f t="shared" ca="1" si="94"/>
        <v>0</v>
      </c>
      <c r="BE340" s="552"/>
      <c r="BF340" s="552"/>
      <c r="BG340" s="552"/>
      <c r="BH340" s="552"/>
      <c r="BI340" s="552"/>
      <c r="BJ340" s="552"/>
      <c r="BK340" s="552"/>
      <c r="BL340" s="552"/>
      <c r="BM340" s="552"/>
      <c r="BN340" s="215"/>
      <c r="BO340" s="610" t="str">
        <f ca="1">IF(IFERROR(INDEX(ФОТ!$K$26:$L$102,MATCH($F340&amp;"4komm",ФОТ!$K$26:$K$102,0),2),"")=0,"",IFERROR(INDEX(ФОТ!$K$26:$L$102,MATCH($F340&amp;"4komm",ФОТ!$K$26:$K$102,0),2),""))</f>
        <v/>
      </c>
      <c r="BP340" s="215"/>
      <c r="BS340" s="703" t="s">
        <v>1799</v>
      </c>
    </row>
    <row r="341" spans="1:75" s="950" customFormat="1" ht="20.25" customHeight="1">
      <c r="A341" s="95"/>
      <c r="B341" s="344"/>
      <c r="C341" s="46"/>
      <c r="D341" s="46"/>
      <c r="E341" s="569">
        <v>21</v>
      </c>
      <c r="F341" s="3" t="str" cm="1">
        <f t="array" aca="1" ref="F341" ca="1">OFFSET(E341,-1,1)</f>
        <v>2</v>
      </c>
      <c r="G341" s="46"/>
      <c r="H341" s="587"/>
      <c r="I341" s="587" t="s">
        <v>472</v>
      </c>
      <c r="J341" s="46"/>
      <c r="K341" s="290" t="s">
        <v>472</v>
      </c>
      <c r="L341" s="46" t="s">
        <v>329</v>
      </c>
      <c r="M341" s="46"/>
      <c r="N341" s="46"/>
      <c r="O341" s="46"/>
      <c r="P341" s="46"/>
      <c r="Q341" s="46"/>
      <c r="R341" s="46"/>
      <c r="S341" s="46"/>
      <c r="T341" s="365" t="b" cm="1">
        <f t="array" ref="T341">T340</f>
        <v>1</v>
      </c>
      <c r="U341" s="46"/>
      <c r="V341" s="46"/>
      <c r="W341" s="46"/>
      <c r="X341" s="1094"/>
      <c r="Y341" s="95"/>
      <c r="Z341" s="1065"/>
      <c r="AA341" s="95"/>
      <c r="AB341" s="143" t="s">
        <v>906</v>
      </c>
      <c r="AC341" s="276" t="s">
        <v>1980</v>
      </c>
      <c r="AD341" s="143" t="s">
        <v>804</v>
      </c>
      <c r="AE341" s="145">
        <f ca="1">AE342+AE350+AE353+AE354+AE355+AE356+AE357</f>
        <v>0</v>
      </c>
      <c r="AF341" s="145">
        <f ca="1">AF342+AF350+AF353+AF354+AF355+AF356+AF357</f>
        <v>0</v>
      </c>
      <c r="AG341" s="145">
        <f ca="1">AG342+AG350+AG353+AG354+AG355+AG356+AG357</f>
        <v>0</v>
      </c>
      <c r="AH341" s="145">
        <f t="shared" ca="1" si="91"/>
        <v>0</v>
      </c>
      <c r="AI341" s="145">
        <f ca="1">AI342+AI350+AI353+AI354+AI355+AI356+AI357</f>
        <v>0</v>
      </c>
      <c r="AJ341" s="145">
        <f ca="1">AJ342+AJ350+AJ353+AJ354+AJ355+AJ356+AJ357</f>
        <v>0</v>
      </c>
      <c r="AK341" s="148"/>
      <c r="AL341" s="148"/>
      <c r="AM341" s="148"/>
      <c r="AN341" s="148"/>
      <c r="AO341" s="148"/>
      <c r="AP341" s="148"/>
      <c r="AQ341" s="148"/>
      <c r="AR341" s="148"/>
      <c r="AS341" s="148"/>
      <c r="AT341" s="145">
        <f ca="1">AT342+AT350+AT353+AT354+AT355+AT356+AT357</f>
        <v>0</v>
      </c>
      <c r="AU341" s="148"/>
      <c r="AV341" s="148"/>
      <c r="AW341" s="148"/>
      <c r="AX341" s="148"/>
      <c r="AY341" s="148"/>
      <c r="AZ341" s="148"/>
      <c r="BA341" s="148"/>
      <c r="BB341" s="148"/>
      <c r="BC341" s="148"/>
      <c r="BD341" s="145">
        <f t="shared" ca="1" si="94"/>
        <v>0</v>
      </c>
      <c r="BE341" s="148"/>
      <c r="BF341" s="148"/>
      <c r="BG341" s="148"/>
      <c r="BH341" s="148"/>
      <c r="BI341" s="148"/>
      <c r="BJ341" s="148"/>
      <c r="BK341" s="148"/>
      <c r="BL341" s="148"/>
      <c r="BM341" s="148"/>
      <c r="BN341" s="566"/>
      <c r="BO341" s="566"/>
      <c r="BP341" s="566"/>
      <c r="BQ341" s="95"/>
      <c r="BR341" s="95"/>
      <c r="BS341" s="704" t="s">
        <v>1801</v>
      </c>
      <c r="BT341" s="711"/>
      <c r="BU341" s="711"/>
      <c r="BV341" s="522"/>
      <c r="BW341" s="522"/>
    </row>
    <row r="342" spans="1:75" ht="21.75" customHeight="1">
      <c r="C342" s="44"/>
      <c r="D342" s="44"/>
      <c r="E342" s="462">
        <v>22.5</v>
      </c>
      <c r="F342" s="3" t="str" cm="1">
        <f t="array" aca="1" ref="F342" ca="1">OFFSET(E342,-1,1)</f>
        <v>2</v>
      </c>
      <c r="G342" s="44" t="s">
        <v>1197</v>
      </c>
      <c r="H342" s="587"/>
      <c r="I342" s="587" t="s">
        <v>1363</v>
      </c>
      <c r="J342" s="44"/>
      <c r="K342" s="290" t="s">
        <v>1363</v>
      </c>
      <c r="L342" s="44" t="s">
        <v>927</v>
      </c>
      <c r="M342" s="44"/>
      <c r="N342" s="44"/>
      <c r="O342" s="44"/>
      <c r="P342" s="44"/>
      <c r="Q342" s="44"/>
      <c r="R342" s="44"/>
      <c r="S342" s="44"/>
      <c r="T342" s="365" t="b" cm="1">
        <f t="array" ref="T342">T341</f>
        <v>1</v>
      </c>
      <c r="U342" s="44"/>
      <c r="V342" s="44"/>
      <c r="W342" s="44"/>
      <c r="X342" s="1094"/>
      <c r="Z342" s="1065"/>
      <c r="AB342" s="26" t="s">
        <v>1021</v>
      </c>
      <c r="AC342" s="153" t="s">
        <v>1981</v>
      </c>
      <c r="AD342" s="26" t="s">
        <v>804</v>
      </c>
      <c r="AE342" s="190">
        <f ca="1">SUMIFS(Административные!AE$25:AE$84,Административные!$F$25:$F$84,$F342,Административные!$G$25:$G$84,$G342)</f>
        <v>0</v>
      </c>
      <c r="AF342" s="190">
        <f ca="1">SUMIFS(Административные!AF$25:AF$84,Административные!$F$25:$F$84,$F342,Административные!$G$25:$G$84,$G342)</f>
        <v>0</v>
      </c>
      <c r="AG342" s="190">
        <f ca="1">SUMIFS(Административные!AG$25:AG$84,Административные!$F$25:$F$84,$F342,Административные!$G$25:$G$84,$G342)</f>
        <v>0</v>
      </c>
      <c r="AH342" s="190">
        <f t="shared" ca="1" si="91"/>
        <v>0</v>
      </c>
      <c r="AI342" s="190">
        <f ca="1">SUMIFS(Административные!AH$25:AH$84,Административные!$F$25:$F$84,$F342,Административные!$G$25:$G$84,$G342)</f>
        <v>0</v>
      </c>
      <c r="AJ342" s="190">
        <f ca="1">SUMIFS(Административные!AI$25:AI$84,Административные!$F$25:$F$84,$F342,Административные!$G$25:$G$84,$G342)</f>
        <v>0</v>
      </c>
      <c r="AK342" s="552"/>
      <c r="AL342" s="552"/>
      <c r="AM342" s="552"/>
      <c r="AN342" s="552"/>
      <c r="AO342" s="552"/>
      <c r="AP342" s="552"/>
      <c r="AQ342" s="552"/>
      <c r="AR342" s="552"/>
      <c r="AS342" s="552"/>
      <c r="AT342" s="190">
        <f ca="1">SUMIFS(Административные!AJ$25:AJ$84,Административные!$F$25:$F$84,$F342,Административные!$G$25:$G$84,$G342)</f>
        <v>0</v>
      </c>
      <c r="AU342" s="552"/>
      <c r="AV342" s="552"/>
      <c r="AW342" s="552"/>
      <c r="AX342" s="552"/>
      <c r="AY342" s="552"/>
      <c r="AZ342" s="552"/>
      <c r="BA342" s="552"/>
      <c r="BB342" s="552"/>
      <c r="BC342" s="552"/>
      <c r="BD342" s="190">
        <f t="shared" ca="1" si="94"/>
        <v>0</v>
      </c>
      <c r="BE342" s="552"/>
      <c r="BF342" s="552"/>
      <c r="BG342" s="552"/>
      <c r="BH342" s="552"/>
      <c r="BI342" s="552"/>
      <c r="BJ342" s="552"/>
      <c r="BK342" s="552"/>
      <c r="BL342" s="552"/>
      <c r="BM342" s="552"/>
      <c r="BN342" s="215"/>
      <c r="BO342" s="610" t="str">
        <f ca="1">IF(IFERROR(INDEX(Административные!$K$26:$L$84,MATCH($F342&amp;"17komm",Административные!$K$26:$K$84,0),2),"")=0,"",IFERROR(INDEX(Административные!$K$26:$L$84,MATCH($F342&amp;"17komm",Административные!$K$26:$K$84,0),2),""))</f>
        <v/>
      </c>
      <c r="BP342" s="215"/>
      <c r="BS342" s="703" t="s">
        <v>1199</v>
      </c>
    </row>
    <row r="343" spans="1:75" ht="14.25" customHeight="1">
      <c r="C343" s="44"/>
      <c r="D343" s="44"/>
      <c r="E343" s="462">
        <v>15</v>
      </c>
      <c r="F343" s="3" t="str" cm="1">
        <f t="array" aca="1" ref="F343" ca="1">OFFSET(E343,-1,1)</f>
        <v>2</v>
      </c>
      <c r="G343" s="44" t="s">
        <v>1200</v>
      </c>
      <c r="H343" s="587"/>
      <c r="I343" s="587" t="s">
        <v>1982</v>
      </c>
      <c r="J343" s="44"/>
      <c r="K343" s="290" t="s">
        <v>1982</v>
      </c>
      <c r="L343" s="44"/>
      <c r="M343" s="44"/>
      <c r="N343" s="44"/>
      <c r="O343" s="44"/>
      <c r="P343" s="44"/>
      <c r="Q343" s="44"/>
      <c r="R343" s="44"/>
      <c r="S343" s="44"/>
      <c r="T343" s="365" t="b" cm="1">
        <f t="array" ref="T343">T342</f>
        <v>1</v>
      </c>
      <c r="U343" s="44"/>
      <c r="V343" s="44"/>
      <c r="W343" s="44"/>
      <c r="X343" s="1094"/>
      <c r="Z343" s="1065"/>
      <c r="AB343" s="26" t="s">
        <v>1983</v>
      </c>
      <c r="AC343" s="553" t="s">
        <v>1201</v>
      </c>
      <c r="AD343" s="26" t="s">
        <v>804</v>
      </c>
      <c r="AE343" s="190">
        <f ca="1">SUMIFS(Административные!AE$25:AE$84,Административные!$F$25:$F$84,$F343,Административные!$G$25:$G$84,$G343)</f>
        <v>0</v>
      </c>
      <c r="AF343" s="190">
        <f ca="1">SUMIFS(Административные!AF$25:AF$84,Административные!$F$25:$F$84,$F343,Административные!$G$25:$G$84,$G343)</f>
        <v>0</v>
      </c>
      <c r="AG343" s="190">
        <f ca="1">SUMIFS(Административные!AG$25:AG$84,Административные!$F$25:$F$84,$F343,Административные!$G$25:$G$84,$G343)</f>
        <v>0</v>
      </c>
      <c r="AH343" s="190">
        <f t="shared" ca="1" si="91"/>
        <v>0</v>
      </c>
      <c r="AI343" s="190">
        <f ca="1">SUMIFS(Административные!AH$25:AH$84,Административные!$F$25:$F$84,$F343,Административные!$G$25:$G$84,$G343)</f>
        <v>0</v>
      </c>
      <c r="AJ343" s="190">
        <f ca="1">SUMIFS(Административные!AI$25:AI$84,Административные!$F$25:$F$84,$F343,Административные!$G$25:$G$84,$G343)</f>
        <v>0</v>
      </c>
      <c r="AK343" s="552"/>
      <c r="AL343" s="552"/>
      <c r="AM343" s="552"/>
      <c r="AN343" s="552"/>
      <c r="AO343" s="552"/>
      <c r="AP343" s="552"/>
      <c r="AQ343" s="552"/>
      <c r="AR343" s="552"/>
      <c r="AS343" s="552"/>
      <c r="AT343" s="190">
        <f ca="1">SUMIFS(Административные!AJ$25:AJ$84,Административные!$F$25:$F$84,$F343,Административные!$G$25:$G$84,$G343)</f>
        <v>0</v>
      </c>
      <c r="AU343" s="552"/>
      <c r="AV343" s="552"/>
      <c r="AW343" s="552"/>
      <c r="AX343" s="552"/>
      <c r="AY343" s="552"/>
      <c r="AZ343" s="552"/>
      <c r="BA343" s="552"/>
      <c r="BB343" s="552"/>
      <c r="BC343" s="552"/>
      <c r="BD343" s="190">
        <f t="shared" ca="1" si="94"/>
        <v>0</v>
      </c>
      <c r="BE343" s="552"/>
      <c r="BF343" s="552"/>
      <c r="BG343" s="552"/>
      <c r="BH343" s="552"/>
      <c r="BI343" s="552"/>
      <c r="BJ343" s="552"/>
      <c r="BK343" s="552"/>
      <c r="BL343" s="552"/>
      <c r="BM343" s="552"/>
      <c r="BN343" s="215"/>
      <c r="BO343" s="610" t="str">
        <f ca="1">IF(IFERROR(INDEX(Административные!$K$26:$L$84,MATCH($F343&amp;"18komm",Административные!$K$26:$K$84,0),2),"")=0,"",IFERROR(INDEX(Административные!$K$26:$L$84,MATCH($F343&amp;"18komm",Административные!$K$26:$K$84,0),2),""))</f>
        <v/>
      </c>
      <c r="BP343" s="215"/>
      <c r="BS343" s="705" t="s">
        <v>1202</v>
      </c>
    </row>
    <row r="344" spans="1:75" ht="14.25" customHeight="1">
      <c r="C344" s="44"/>
      <c r="D344" s="44"/>
      <c r="E344" s="462">
        <v>15</v>
      </c>
      <c r="F344" s="3" t="str" cm="1">
        <f t="array" aca="1" ref="F344" ca="1">OFFSET(E344,-1,1)</f>
        <v>2</v>
      </c>
      <c r="G344" s="44" t="s">
        <v>1203</v>
      </c>
      <c r="H344" s="587"/>
      <c r="I344" s="587" t="s">
        <v>1984</v>
      </c>
      <c r="J344" s="44"/>
      <c r="K344" s="290" t="s">
        <v>1984</v>
      </c>
      <c r="L344" s="44"/>
      <c r="M344" s="44"/>
      <c r="N344" s="44"/>
      <c r="O344" s="44"/>
      <c r="P344" s="44"/>
      <c r="Q344" s="44"/>
      <c r="R344" s="44"/>
      <c r="S344" s="44"/>
      <c r="T344" s="365" t="b" cm="1">
        <f t="array" ref="T344">T343</f>
        <v>1</v>
      </c>
      <c r="U344" s="44"/>
      <c r="V344" s="44"/>
      <c r="W344" s="44"/>
      <c r="X344" s="1094"/>
      <c r="Z344" s="1065"/>
      <c r="AB344" s="26" t="s">
        <v>1985</v>
      </c>
      <c r="AC344" s="553" t="s">
        <v>1204</v>
      </c>
      <c r="AD344" s="26" t="s">
        <v>804</v>
      </c>
      <c r="AE344" s="190">
        <f ca="1">SUMIFS(Административные!AE$25:AE$84,Административные!$F$25:$F$84,$F344,Административные!$G$25:$G$84,$G344)</f>
        <v>0</v>
      </c>
      <c r="AF344" s="190">
        <f ca="1">SUMIFS(Административные!AF$25:AF$84,Административные!$F$25:$F$84,$F344,Административные!$G$25:$G$84,$G344)</f>
        <v>0</v>
      </c>
      <c r="AG344" s="190">
        <f ca="1">SUMIFS(Административные!AG$25:AG$84,Административные!$F$25:$F$84,$F344,Административные!$G$25:$G$84,$G344)</f>
        <v>0</v>
      </c>
      <c r="AH344" s="190">
        <f t="shared" ca="1" si="91"/>
        <v>0</v>
      </c>
      <c r="AI344" s="190">
        <f ca="1">SUMIFS(Административные!AH$25:AH$84,Административные!$F$25:$F$84,$F344,Административные!$G$25:$G$84,$G344)</f>
        <v>0</v>
      </c>
      <c r="AJ344" s="190">
        <f ca="1">SUMIFS(Административные!AI$25:AI$84,Административные!$F$25:$F$84,$F344,Административные!$G$25:$G$84,$G344)</f>
        <v>0</v>
      </c>
      <c r="AK344" s="552"/>
      <c r="AL344" s="552"/>
      <c r="AM344" s="552"/>
      <c r="AN344" s="552"/>
      <c r="AO344" s="552"/>
      <c r="AP344" s="552"/>
      <c r="AQ344" s="552"/>
      <c r="AR344" s="552"/>
      <c r="AS344" s="552"/>
      <c r="AT344" s="190">
        <f ca="1">SUMIFS(Административные!AJ$25:AJ$84,Административные!$F$25:$F$84,$F344,Административные!$G$25:$G$84,$G344)</f>
        <v>0</v>
      </c>
      <c r="AU344" s="552"/>
      <c r="AV344" s="552"/>
      <c r="AW344" s="552"/>
      <c r="AX344" s="552"/>
      <c r="AY344" s="552"/>
      <c r="AZ344" s="552"/>
      <c r="BA344" s="552"/>
      <c r="BB344" s="552"/>
      <c r="BC344" s="552"/>
      <c r="BD344" s="190">
        <f t="shared" ca="1" si="94"/>
        <v>0</v>
      </c>
      <c r="BE344" s="552"/>
      <c r="BF344" s="552"/>
      <c r="BG344" s="552"/>
      <c r="BH344" s="552"/>
      <c r="BI344" s="552"/>
      <c r="BJ344" s="552"/>
      <c r="BK344" s="552"/>
      <c r="BL344" s="552"/>
      <c r="BM344" s="552"/>
      <c r="BN344" s="215"/>
      <c r="BO344" s="610" t="str">
        <f ca="1">IF(IFERROR(INDEX(Административные!$K$26:$L$84,MATCH($F344&amp;"11komm",Административные!$K$26:$K$84,0),2),"")=0,"",IFERROR(INDEX(Административные!$K$26:$L$84,MATCH($F344&amp;"11komm",Административные!$K$26:$K$84,0),2),""))</f>
        <v/>
      </c>
      <c r="BP344" s="215"/>
      <c r="BS344" s="705" t="s">
        <v>1205</v>
      </c>
    </row>
    <row r="345" spans="1:75" ht="14.25" customHeight="1">
      <c r="C345" s="44"/>
      <c r="D345" s="44"/>
      <c r="E345" s="462">
        <v>15</v>
      </c>
      <c r="F345" s="3" t="str" cm="1">
        <f t="array" aca="1" ref="F345" ca="1">OFFSET(E345,-1,1)</f>
        <v>2</v>
      </c>
      <c r="G345" s="44" t="s">
        <v>1206</v>
      </c>
      <c r="H345" s="587"/>
      <c r="I345" s="587" t="s">
        <v>1986</v>
      </c>
      <c r="J345" s="44"/>
      <c r="K345" s="290" t="s">
        <v>1986</v>
      </c>
      <c r="L345" s="44"/>
      <c r="M345" s="44"/>
      <c r="N345" s="44"/>
      <c r="O345" s="44"/>
      <c r="P345" s="44"/>
      <c r="Q345" s="44"/>
      <c r="R345" s="44"/>
      <c r="S345" s="44"/>
      <c r="T345" s="365" t="b" cm="1">
        <f t="array" ref="T345">T344</f>
        <v>1</v>
      </c>
      <c r="U345" s="44"/>
      <c r="V345" s="44"/>
      <c r="W345" s="44"/>
      <c r="X345" s="1094"/>
      <c r="Z345" s="1065"/>
      <c r="AB345" s="26" t="s">
        <v>1987</v>
      </c>
      <c r="AC345" s="553" t="s">
        <v>1207</v>
      </c>
      <c r="AD345" s="26" t="s">
        <v>804</v>
      </c>
      <c r="AE345" s="190">
        <f ca="1">SUMIFS(Административные!AE$25:AE$84,Административные!$F$25:$F$84,$F345,Административные!$G$25:$G$84,$G345)</f>
        <v>0</v>
      </c>
      <c r="AF345" s="190">
        <f ca="1">SUMIFS(Административные!AF$25:AF$84,Административные!$F$25:$F$84,$F345,Административные!$G$25:$G$84,$G345)</f>
        <v>0</v>
      </c>
      <c r="AG345" s="190">
        <f ca="1">SUMIFS(Административные!AG$25:AG$84,Административные!$F$25:$F$84,$F345,Административные!$G$25:$G$84,$G345)</f>
        <v>0</v>
      </c>
      <c r="AH345" s="190">
        <f t="shared" ca="1" si="91"/>
        <v>0</v>
      </c>
      <c r="AI345" s="190">
        <f ca="1">SUMIFS(Административные!AH$25:AH$84,Административные!$F$25:$F$84,$F345,Административные!$G$25:$G$84,$G345)</f>
        <v>0</v>
      </c>
      <c r="AJ345" s="190">
        <f ca="1">SUMIFS(Административные!AI$25:AI$84,Административные!$F$25:$F$84,$F345,Административные!$G$25:$G$84,$G345)</f>
        <v>0</v>
      </c>
      <c r="AK345" s="552"/>
      <c r="AL345" s="552"/>
      <c r="AM345" s="552"/>
      <c r="AN345" s="552"/>
      <c r="AO345" s="552"/>
      <c r="AP345" s="552"/>
      <c r="AQ345" s="552"/>
      <c r="AR345" s="552"/>
      <c r="AS345" s="552"/>
      <c r="AT345" s="190">
        <f ca="1">SUMIFS(Административные!AJ$25:AJ$84,Административные!$F$25:$F$84,$F345,Административные!$G$25:$G$84,$G345)</f>
        <v>0</v>
      </c>
      <c r="AU345" s="552"/>
      <c r="AV345" s="552"/>
      <c r="AW345" s="552"/>
      <c r="AX345" s="552"/>
      <c r="AY345" s="552"/>
      <c r="AZ345" s="552"/>
      <c r="BA345" s="552"/>
      <c r="BB345" s="552"/>
      <c r="BC345" s="552"/>
      <c r="BD345" s="190">
        <f t="shared" ca="1" si="94"/>
        <v>0</v>
      </c>
      <c r="BE345" s="552"/>
      <c r="BF345" s="552"/>
      <c r="BG345" s="552"/>
      <c r="BH345" s="552"/>
      <c r="BI345" s="552"/>
      <c r="BJ345" s="552"/>
      <c r="BK345" s="552"/>
      <c r="BL345" s="552"/>
      <c r="BM345" s="552"/>
      <c r="BN345" s="215"/>
      <c r="BO345" s="610" t="str">
        <f ca="1">IF(IFERROR(INDEX(Административные!$K$26:$L$84,MATCH($F345&amp;"12komm",Административные!$K$26:$K$84,0),2),"")=0,"",IFERROR(INDEX(Административные!$K$26:$L$84,MATCH($F345&amp;"12komm",Административные!$K$26:$K$84,0),2),""))</f>
        <v/>
      </c>
      <c r="BP345" s="215"/>
      <c r="BS345" s="705" t="s">
        <v>1208</v>
      </c>
    </row>
    <row r="346" spans="1:75" ht="14.25" customHeight="1">
      <c r="C346" s="44"/>
      <c r="D346" s="44"/>
      <c r="E346" s="462">
        <v>15</v>
      </c>
      <c r="F346" s="3" t="str" cm="1">
        <f t="array" aca="1" ref="F346" ca="1">OFFSET(E346,-1,1)</f>
        <v>2</v>
      </c>
      <c r="G346" s="44" t="s">
        <v>1209</v>
      </c>
      <c r="H346" s="587"/>
      <c r="I346" s="587" t="s">
        <v>1988</v>
      </c>
      <c r="J346" s="44"/>
      <c r="K346" s="290" t="s">
        <v>1988</v>
      </c>
      <c r="L346" s="44"/>
      <c r="M346" s="44"/>
      <c r="N346" s="44"/>
      <c r="O346" s="44"/>
      <c r="P346" s="44"/>
      <c r="Q346" s="44"/>
      <c r="R346" s="44"/>
      <c r="S346" s="44"/>
      <c r="T346" s="365" t="b" cm="1">
        <f t="array" ref="T346">T345</f>
        <v>1</v>
      </c>
      <c r="U346" s="44"/>
      <c r="V346" s="44"/>
      <c r="W346" s="44"/>
      <c r="X346" s="1094"/>
      <c r="Z346" s="1065"/>
      <c r="AB346" s="26" t="s">
        <v>1989</v>
      </c>
      <c r="AC346" s="553" t="s">
        <v>1210</v>
      </c>
      <c r="AD346" s="26" t="s">
        <v>804</v>
      </c>
      <c r="AE346" s="190">
        <f ca="1">SUMIFS(Административные!AE$25:AE$84,Административные!$F$25:$F$84,$F346,Административные!$G$25:$G$84,$G346)</f>
        <v>0</v>
      </c>
      <c r="AF346" s="190">
        <f ca="1">SUMIFS(Административные!AF$25:AF$84,Административные!$F$25:$F$84,$F346,Административные!$G$25:$G$84,$G346)</f>
        <v>0</v>
      </c>
      <c r="AG346" s="190">
        <f ca="1">SUMIFS(Административные!AG$25:AG$84,Административные!$F$25:$F$84,$F346,Административные!$G$25:$G$84,$G346)</f>
        <v>0</v>
      </c>
      <c r="AH346" s="190">
        <f t="shared" ca="1" si="91"/>
        <v>0</v>
      </c>
      <c r="AI346" s="190">
        <f ca="1">SUMIFS(Административные!AH$25:AH$84,Административные!$F$25:$F$84,$F346,Административные!$G$25:$G$84,$G346)</f>
        <v>0</v>
      </c>
      <c r="AJ346" s="190">
        <f ca="1">SUMIFS(Административные!AI$25:AI$84,Административные!$F$25:$F$84,$F346,Административные!$G$25:$G$84,$G346)</f>
        <v>0</v>
      </c>
      <c r="AK346" s="552"/>
      <c r="AL346" s="552"/>
      <c r="AM346" s="552"/>
      <c r="AN346" s="552"/>
      <c r="AO346" s="552"/>
      <c r="AP346" s="552"/>
      <c r="AQ346" s="552"/>
      <c r="AR346" s="552"/>
      <c r="AS346" s="552"/>
      <c r="AT346" s="190">
        <f ca="1">SUMIFS(Административные!AJ$25:AJ$84,Административные!$F$25:$F$84,$F346,Административные!$G$25:$G$84,$G346)</f>
        <v>0</v>
      </c>
      <c r="AU346" s="552"/>
      <c r="AV346" s="552"/>
      <c r="AW346" s="552"/>
      <c r="AX346" s="552"/>
      <c r="AY346" s="552"/>
      <c r="AZ346" s="552"/>
      <c r="BA346" s="552"/>
      <c r="BB346" s="552"/>
      <c r="BC346" s="552"/>
      <c r="BD346" s="190">
        <f t="shared" ca="1" si="94"/>
        <v>0</v>
      </c>
      <c r="BE346" s="552"/>
      <c r="BF346" s="552"/>
      <c r="BG346" s="552"/>
      <c r="BH346" s="552"/>
      <c r="BI346" s="552"/>
      <c r="BJ346" s="552"/>
      <c r="BK346" s="552"/>
      <c r="BL346" s="552"/>
      <c r="BM346" s="552"/>
      <c r="BN346" s="215"/>
      <c r="BO346" s="610" t="str">
        <f ca="1">IF(IFERROR(INDEX(Административные!$K$26:$L$84,MATCH($F346&amp;"13komm",Административные!$K$26:$K$84,0),2),"")=0,"",IFERROR(INDEX(Административные!$K$26:$L$84,MATCH($F346&amp;"13komm",Административные!$K$26:$K$84,0),2),""))</f>
        <v/>
      </c>
      <c r="BP346" s="215"/>
      <c r="BS346" s="705" t="s">
        <v>1211</v>
      </c>
    </row>
    <row r="347" spans="1:75" ht="14.25" customHeight="1">
      <c r="C347" s="44"/>
      <c r="D347" s="44"/>
      <c r="E347" s="462">
        <v>15</v>
      </c>
      <c r="F347" s="3" t="str" cm="1">
        <f t="array" aca="1" ref="F347" ca="1">OFFSET(E347,-1,1)</f>
        <v>2</v>
      </c>
      <c r="G347" s="44" t="s">
        <v>1212</v>
      </c>
      <c r="H347" s="587"/>
      <c r="I347" s="587" t="s">
        <v>1990</v>
      </c>
      <c r="J347" s="44"/>
      <c r="K347" s="290" t="s">
        <v>1990</v>
      </c>
      <c r="L347" s="44"/>
      <c r="M347" s="44"/>
      <c r="N347" s="44"/>
      <c r="O347" s="44"/>
      <c r="P347" s="44"/>
      <c r="Q347" s="44"/>
      <c r="R347" s="44"/>
      <c r="S347" s="44"/>
      <c r="T347" s="365" t="b" cm="1">
        <f t="array" ref="T347">T346</f>
        <v>1</v>
      </c>
      <c r="U347" s="44"/>
      <c r="V347" s="44"/>
      <c r="W347" s="44"/>
      <c r="X347" s="1094"/>
      <c r="Z347" s="1065"/>
      <c r="AB347" s="26" t="s">
        <v>1991</v>
      </c>
      <c r="AC347" s="553" t="s">
        <v>1213</v>
      </c>
      <c r="AD347" s="26" t="s">
        <v>804</v>
      </c>
      <c r="AE347" s="190">
        <f ca="1">SUMIFS(Административные!AE$25:AE$84,Административные!$F$25:$F$84,$F347,Административные!$G$25:$G$84,$G347)</f>
        <v>0</v>
      </c>
      <c r="AF347" s="190">
        <f ca="1">SUMIFS(Административные!AF$25:AF$84,Административные!$F$25:$F$84,$F347,Административные!$G$25:$G$84,$G347)</f>
        <v>0</v>
      </c>
      <c r="AG347" s="190">
        <f ca="1">SUMIFS(Административные!AG$25:AG$84,Административные!$F$25:$F$84,$F347,Административные!$G$25:$G$84,$G347)</f>
        <v>0</v>
      </c>
      <c r="AH347" s="190">
        <f t="shared" ca="1" si="91"/>
        <v>0</v>
      </c>
      <c r="AI347" s="190">
        <f ca="1">SUMIFS(Административные!AH$25:AH$84,Административные!$F$25:$F$84,$F347,Административные!$G$25:$G$84,$G347)</f>
        <v>0</v>
      </c>
      <c r="AJ347" s="190">
        <f ca="1">SUMIFS(Административные!AI$25:AI$84,Административные!$F$25:$F$84,$F347,Административные!$G$25:$G$84,$G347)</f>
        <v>0</v>
      </c>
      <c r="AK347" s="552"/>
      <c r="AL347" s="552"/>
      <c r="AM347" s="552"/>
      <c r="AN347" s="552"/>
      <c r="AO347" s="552"/>
      <c r="AP347" s="552"/>
      <c r="AQ347" s="552"/>
      <c r="AR347" s="552"/>
      <c r="AS347" s="552"/>
      <c r="AT347" s="190">
        <f ca="1">SUMIFS(Административные!AJ$25:AJ$84,Административные!$F$25:$F$84,$F347,Административные!$G$25:$G$84,$G347)</f>
        <v>0</v>
      </c>
      <c r="AU347" s="552"/>
      <c r="AV347" s="552"/>
      <c r="AW347" s="552"/>
      <c r="AX347" s="552"/>
      <c r="AY347" s="552"/>
      <c r="AZ347" s="552"/>
      <c r="BA347" s="552"/>
      <c r="BB347" s="552"/>
      <c r="BC347" s="552"/>
      <c r="BD347" s="190">
        <f t="shared" ca="1" si="94"/>
        <v>0</v>
      </c>
      <c r="BE347" s="552"/>
      <c r="BF347" s="552"/>
      <c r="BG347" s="552"/>
      <c r="BH347" s="552"/>
      <c r="BI347" s="552"/>
      <c r="BJ347" s="552"/>
      <c r="BK347" s="552"/>
      <c r="BL347" s="552"/>
      <c r="BM347" s="552"/>
      <c r="BN347" s="215"/>
      <c r="BO347" s="610" t="str">
        <f ca="1">IF(IFERROR(INDEX(Административные!$K$26:$L$84,MATCH($F347&amp;"14komm",Административные!$K$26:$K$84,0),2),"")=0,"",IFERROR(INDEX(Административные!$K$26:$L$84,MATCH($F347&amp;"14komm",Административные!$K$26:$K$84,0),2),""))</f>
        <v/>
      </c>
      <c r="BP347" s="215"/>
      <c r="BS347" s="705" t="s">
        <v>1992</v>
      </c>
    </row>
    <row r="348" spans="1:75" ht="14.25" customHeight="1">
      <c r="C348" s="44"/>
      <c r="D348" s="44"/>
      <c r="E348" s="462">
        <v>15</v>
      </c>
      <c r="F348" s="3" t="str" cm="1">
        <f t="array" aca="1" ref="F348" ca="1">OFFSET(E348,-1,1)</f>
        <v>2</v>
      </c>
      <c r="G348" s="44" t="s">
        <v>1215</v>
      </c>
      <c r="H348" s="587"/>
      <c r="I348" s="587" t="s">
        <v>1993</v>
      </c>
      <c r="J348" s="44"/>
      <c r="K348" s="290" t="s">
        <v>1993</v>
      </c>
      <c r="L348" s="44"/>
      <c r="M348" s="44"/>
      <c r="N348" s="44"/>
      <c r="O348" s="44"/>
      <c r="P348" s="44"/>
      <c r="Q348" s="44"/>
      <c r="R348" s="44"/>
      <c r="S348" s="44"/>
      <c r="T348" s="365" t="b" cm="1">
        <f t="array" ref="T348">T347</f>
        <v>1</v>
      </c>
      <c r="U348" s="44"/>
      <c r="V348" s="44"/>
      <c r="W348" s="44"/>
      <c r="X348" s="1094"/>
      <c r="Z348" s="1065"/>
      <c r="AB348" s="26" t="s">
        <v>1994</v>
      </c>
      <c r="AC348" s="553" t="s">
        <v>1218</v>
      </c>
      <c r="AD348" s="26" t="s">
        <v>804</v>
      </c>
      <c r="AE348" s="190">
        <f ca="1">SUMIFS(Административные!AE$25:AE$84,Административные!$F$25:$F$84,$F348,Административные!$G$25:$G$84,$G348)</f>
        <v>0</v>
      </c>
      <c r="AF348" s="190">
        <f ca="1">SUMIFS(Административные!AF$25:AF$84,Административные!$F$25:$F$84,$F348,Административные!$G$25:$G$84,$G348)</f>
        <v>0</v>
      </c>
      <c r="AG348" s="190">
        <f ca="1">SUMIFS(Административные!AG$25:AG$84,Административные!$F$25:$F$84,$F348,Административные!$G$25:$G$84,$G348)</f>
        <v>0</v>
      </c>
      <c r="AH348" s="190">
        <f t="shared" ref="AH348:AH364" ca="1" si="96">AG348-AF348</f>
        <v>0</v>
      </c>
      <c r="AI348" s="190">
        <f ca="1">SUMIFS(Административные!AH$25:AH$84,Административные!$F$25:$F$84,$F348,Административные!$G$25:$G$84,$G348)</f>
        <v>0</v>
      </c>
      <c r="AJ348" s="190">
        <f ca="1">SUMIFS(Административные!AI$25:AI$84,Административные!$F$25:$F$84,$F348,Административные!$G$25:$G$84,$G348)</f>
        <v>0</v>
      </c>
      <c r="AK348" s="552"/>
      <c r="AL348" s="552"/>
      <c r="AM348" s="552"/>
      <c r="AN348" s="552"/>
      <c r="AO348" s="552"/>
      <c r="AP348" s="552"/>
      <c r="AQ348" s="552"/>
      <c r="AR348" s="552"/>
      <c r="AS348" s="552"/>
      <c r="AT348" s="190">
        <f ca="1">SUMIFS(Административные!AJ$25:AJ$84,Административные!$F$25:$F$84,$F348,Административные!$G$25:$G$84,$G348)</f>
        <v>0</v>
      </c>
      <c r="AU348" s="552"/>
      <c r="AV348" s="552"/>
      <c r="AW348" s="552"/>
      <c r="AX348" s="552"/>
      <c r="AY348" s="552"/>
      <c r="AZ348" s="552"/>
      <c r="BA348" s="552"/>
      <c r="BB348" s="552"/>
      <c r="BC348" s="552"/>
      <c r="BD348" s="190">
        <f t="shared" ref="BD348:BD364" ca="1" si="97">IF(AI348=0,0,(AT348-AI348)/AI348*100)</f>
        <v>0</v>
      </c>
      <c r="BE348" s="552"/>
      <c r="BF348" s="552"/>
      <c r="BG348" s="552"/>
      <c r="BH348" s="552"/>
      <c r="BI348" s="552"/>
      <c r="BJ348" s="552"/>
      <c r="BK348" s="552"/>
      <c r="BL348" s="552"/>
      <c r="BM348" s="552"/>
      <c r="BN348" s="215"/>
      <c r="BO348" s="610" t="str">
        <f ca="1">IF(IFERROR(INDEX(Административные!$K$26:$L$84,MATCH($F348&amp;"15komm",Административные!$K$26:$K$84,0),2),"")=0,"",IFERROR(INDEX(Административные!$K$26:$L$84,MATCH($F348&amp;"15komm",Административные!$K$26:$K$84,0),2),""))</f>
        <v/>
      </c>
      <c r="BP348" s="215"/>
      <c r="BS348" s="705" t="s">
        <v>1219</v>
      </c>
    </row>
    <row r="349" spans="1:75" ht="14.25" customHeight="1">
      <c r="C349" s="44"/>
      <c r="D349" s="44"/>
      <c r="E349" s="462">
        <v>15</v>
      </c>
      <c r="F349" s="3" t="str" cm="1">
        <f t="array" aca="1" ref="F349" ca="1">OFFSET(E349,-1,1)</f>
        <v>2</v>
      </c>
      <c r="G349" s="44" t="s">
        <v>1220</v>
      </c>
      <c r="H349" s="587"/>
      <c r="I349" s="587" t="s">
        <v>1995</v>
      </c>
      <c r="J349" s="44"/>
      <c r="K349" s="290" t="s">
        <v>1995</v>
      </c>
      <c r="L349" s="44"/>
      <c r="M349" s="44"/>
      <c r="N349" s="44"/>
      <c r="O349" s="44"/>
      <c r="P349" s="44"/>
      <c r="Q349" s="44"/>
      <c r="R349" s="44"/>
      <c r="S349" s="44"/>
      <c r="T349" s="365" t="b" cm="1">
        <f t="array" ref="T349">T348</f>
        <v>1</v>
      </c>
      <c r="U349" s="44"/>
      <c r="V349" s="44"/>
      <c r="W349" s="44"/>
      <c r="X349" s="1094"/>
      <c r="Z349" s="1065"/>
      <c r="AB349" s="26" t="s">
        <v>1996</v>
      </c>
      <c r="AC349" s="553" t="s">
        <v>1223</v>
      </c>
      <c r="AD349" s="26" t="s">
        <v>804</v>
      </c>
      <c r="AE349" s="190">
        <f ca="1">SUMIFS(Административные!AE$25:AE$84,Административные!$F$25:$F$84,$F349,Административные!$G$25:$G$84,$G349)</f>
        <v>0</v>
      </c>
      <c r="AF349" s="190">
        <f ca="1">SUMIFS(Административные!AF$25:AF$84,Административные!$F$25:$F$84,$F349,Административные!$G$25:$G$84,$G349)</f>
        <v>0</v>
      </c>
      <c r="AG349" s="190">
        <f ca="1">SUMIFS(Административные!AG$25:AG$84,Административные!$F$25:$F$84,$F349,Административные!$G$25:$G$84,$G349)</f>
        <v>0</v>
      </c>
      <c r="AH349" s="190">
        <f t="shared" ca="1" si="96"/>
        <v>0</v>
      </c>
      <c r="AI349" s="190">
        <f ca="1">SUMIFS(Административные!AH$25:AH$84,Административные!$F$25:$F$84,$F349,Административные!$G$25:$G$84,$G349)</f>
        <v>0</v>
      </c>
      <c r="AJ349" s="190">
        <f ca="1">SUMIFS(Административные!AI$25:AI$84,Административные!$F$25:$F$84,$F349,Административные!$G$25:$G$84,$G349)</f>
        <v>0</v>
      </c>
      <c r="AK349" s="552"/>
      <c r="AL349" s="552"/>
      <c r="AM349" s="552"/>
      <c r="AN349" s="552"/>
      <c r="AO349" s="552"/>
      <c r="AP349" s="552"/>
      <c r="AQ349" s="552"/>
      <c r="AR349" s="552"/>
      <c r="AS349" s="552"/>
      <c r="AT349" s="190">
        <f ca="1">SUMIFS(Административные!AJ$25:AJ$84,Административные!$F$25:$F$84,$F349,Административные!$G$25:$G$84,$G349)</f>
        <v>0</v>
      </c>
      <c r="AU349" s="552"/>
      <c r="AV349" s="552"/>
      <c r="AW349" s="552"/>
      <c r="AX349" s="552"/>
      <c r="AY349" s="552"/>
      <c r="AZ349" s="552"/>
      <c r="BA349" s="552"/>
      <c r="BB349" s="552"/>
      <c r="BC349" s="552"/>
      <c r="BD349" s="190">
        <f t="shared" ca="1" si="97"/>
        <v>0</v>
      </c>
      <c r="BE349" s="552"/>
      <c r="BF349" s="552"/>
      <c r="BG349" s="552"/>
      <c r="BH349" s="552"/>
      <c r="BI349" s="552"/>
      <c r="BJ349" s="552"/>
      <c r="BK349" s="552"/>
      <c r="BL349" s="552"/>
      <c r="BM349" s="552"/>
      <c r="BN349" s="215"/>
      <c r="BO349" s="610" t="str">
        <f ca="1">IF(IFERROR(INDEX(Административные!$K$26:$L$84,MATCH($F349&amp;"16komm",Административные!$K$26:$K$84,0),2),"")=0,"",IFERROR(INDEX(Административные!$K$26:$L$84,MATCH($F349&amp;"16komm",Административные!$K$26:$K$84,0),2),""))</f>
        <v/>
      </c>
      <c r="BP349" s="215"/>
      <c r="BS349" s="705" t="s">
        <v>1997</v>
      </c>
    </row>
    <row r="350" spans="1:75" ht="21.75" customHeight="1">
      <c r="C350" s="44"/>
      <c r="D350" s="44"/>
      <c r="E350" s="462">
        <v>22.5</v>
      </c>
      <c r="F350" s="3" t="str" cm="1">
        <f t="array" aca="1" ref="F350" ca="1">OFFSET(E350,-1,1)</f>
        <v>2</v>
      </c>
      <c r="G350" s="44"/>
      <c r="H350" s="587"/>
      <c r="I350" s="587" t="s">
        <v>1364</v>
      </c>
      <c r="J350" s="44"/>
      <c r="K350" s="290" t="s">
        <v>1364</v>
      </c>
      <c r="L350" s="44" t="s">
        <v>929</v>
      </c>
      <c r="M350" s="44"/>
      <c r="N350" s="44"/>
      <c r="O350" s="44"/>
      <c r="P350" s="44"/>
      <c r="Q350" s="44"/>
      <c r="R350" s="44"/>
      <c r="S350" s="44"/>
      <c r="T350" s="365" t="b" cm="1">
        <f t="array" ref="T350">T349</f>
        <v>1</v>
      </c>
      <c r="U350" s="44"/>
      <c r="V350" s="44"/>
      <c r="W350" s="44"/>
      <c r="X350" s="1094"/>
      <c r="Z350" s="1065"/>
      <c r="AB350" s="26" t="s">
        <v>1024</v>
      </c>
      <c r="AC350" s="153" t="s">
        <v>1998</v>
      </c>
      <c r="AD350" s="26" t="s">
        <v>804</v>
      </c>
      <c r="AE350" s="190">
        <f ca="1">AE351+AE352</f>
        <v>0</v>
      </c>
      <c r="AF350" s="190">
        <f ca="1">AF351+AF352</f>
        <v>0</v>
      </c>
      <c r="AG350" s="190">
        <f ca="1">AG351+AG352</f>
        <v>0</v>
      </c>
      <c r="AH350" s="190">
        <f t="shared" ca="1" si="96"/>
        <v>0</v>
      </c>
      <c r="AI350" s="190">
        <f ca="1">AI351+AI352</f>
        <v>0</v>
      </c>
      <c r="AJ350" s="190">
        <f ca="1">AJ351+AJ352</f>
        <v>0</v>
      </c>
      <c r="AK350" s="552"/>
      <c r="AL350" s="552"/>
      <c r="AM350" s="552"/>
      <c r="AN350" s="552"/>
      <c r="AO350" s="552"/>
      <c r="AP350" s="552"/>
      <c r="AQ350" s="552"/>
      <c r="AR350" s="552"/>
      <c r="AS350" s="552"/>
      <c r="AT350" s="190">
        <f ca="1">AT351+AT352</f>
        <v>0</v>
      </c>
      <c r="AU350" s="552"/>
      <c r="AV350" s="552"/>
      <c r="AW350" s="552"/>
      <c r="AX350" s="552"/>
      <c r="AY350" s="552"/>
      <c r="AZ350" s="552"/>
      <c r="BA350" s="552"/>
      <c r="BB350" s="552"/>
      <c r="BC350" s="552"/>
      <c r="BD350" s="190">
        <f t="shared" ca="1" si="97"/>
        <v>0</v>
      </c>
      <c r="BE350" s="552"/>
      <c r="BF350" s="552"/>
      <c r="BG350" s="552"/>
      <c r="BH350" s="552"/>
      <c r="BI350" s="552"/>
      <c r="BJ350" s="552"/>
      <c r="BK350" s="552"/>
      <c r="BL350" s="552"/>
      <c r="BM350" s="552"/>
      <c r="BN350" s="215"/>
      <c r="BO350" s="215"/>
      <c r="BP350" s="215"/>
      <c r="BS350" s="703" t="s">
        <v>1804</v>
      </c>
    </row>
    <row r="351" spans="1:75" ht="14.25" customHeight="1">
      <c r="C351" s="44"/>
      <c r="D351" s="44"/>
      <c r="E351" s="462">
        <v>15</v>
      </c>
      <c r="F351" s="3" t="str" cm="1">
        <f t="array" aca="1" ref="F351" ca="1">OFFSET(E351,-1,1)</f>
        <v>2</v>
      </c>
      <c r="G351" s="44" t="s">
        <v>1179</v>
      </c>
      <c r="H351" s="587"/>
      <c r="I351" s="587" t="s">
        <v>1999</v>
      </c>
      <c r="J351" s="44"/>
      <c r="K351" s="290" t="s">
        <v>1999</v>
      </c>
      <c r="L351" s="44" t="s">
        <v>497</v>
      </c>
      <c r="M351" s="44"/>
      <c r="N351" s="44"/>
      <c r="O351" s="44"/>
      <c r="P351" s="44"/>
      <c r="Q351" s="44"/>
      <c r="R351" s="44"/>
      <c r="S351" s="44"/>
      <c r="T351" s="365" t="b" cm="1">
        <f t="array" ref="T351">T350</f>
        <v>1</v>
      </c>
      <c r="U351" s="44"/>
      <c r="V351" s="44"/>
      <c r="W351" s="44"/>
      <c r="X351" s="1094"/>
      <c r="Z351" s="1065"/>
      <c r="AB351" s="26" t="s">
        <v>2000</v>
      </c>
      <c r="AC351" s="553" t="s">
        <v>1805</v>
      </c>
      <c r="AD351" s="555" t="s">
        <v>804</v>
      </c>
      <c r="AE351" s="190">
        <f ca="1">SUMIFS(ФОТ!AE$25:AE$102,ФОТ!$F$25:$F$102,$F351,ФОТ!$G$25:$G$102,$G351)</f>
        <v>0</v>
      </c>
      <c r="AF351" s="190">
        <f ca="1">SUMIFS(ФОТ!AF$25:AF$102,ФОТ!$F$25:$F$102,$F351,ФОТ!$G$25:$G$102,$G351)</f>
        <v>0</v>
      </c>
      <c r="AG351" s="190">
        <f ca="1">SUMIFS(ФОТ!AG$25:AG$102,ФОТ!$F$25:$F$102,$F351,ФОТ!$G$25:$G$102,$G351)</f>
        <v>0</v>
      </c>
      <c r="AH351" s="190">
        <f t="shared" ca="1" si="96"/>
        <v>0</v>
      </c>
      <c r="AI351" s="190">
        <f ca="1">SUMIFS(ФОТ!AH$25:AH$102,ФОТ!$F$25:$F$102,$F351,ФОТ!$G$25:$G$102,$G351)</f>
        <v>0</v>
      </c>
      <c r="AJ351" s="190">
        <f ca="1">SUMIFS(ФОТ!AI$25:AI$102,ФОТ!$F$25:$F$102,$F351,ФОТ!$G$25:$G$102,$G351)</f>
        <v>0</v>
      </c>
      <c r="AK351" s="552"/>
      <c r="AL351" s="552"/>
      <c r="AM351" s="552"/>
      <c r="AN351" s="552"/>
      <c r="AO351" s="552"/>
      <c r="AP351" s="552"/>
      <c r="AQ351" s="552"/>
      <c r="AR351" s="552"/>
      <c r="AS351" s="552"/>
      <c r="AT351" s="190">
        <f ca="1">SUMIFS(ФОТ!AJ$25:AJ$102,ФОТ!$F$25:$F$102,$F351,ФОТ!$G$25:$G$102,$G351)</f>
        <v>0</v>
      </c>
      <c r="AU351" s="552"/>
      <c r="AV351" s="552"/>
      <c r="AW351" s="552"/>
      <c r="AX351" s="552"/>
      <c r="AY351" s="552"/>
      <c r="AZ351" s="552"/>
      <c r="BA351" s="552"/>
      <c r="BB351" s="552"/>
      <c r="BC351" s="552"/>
      <c r="BD351" s="190">
        <f t="shared" ca="1" si="97"/>
        <v>0</v>
      </c>
      <c r="BE351" s="552"/>
      <c r="BF351" s="552"/>
      <c r="BG351" s="552"/>
      <c r="BH351" s="552"/>
      <c r="BI351" s="552"/>
      <c r="BJ351" s="552"/>
      <c r="BK351" s="552"/>
      <c r="BL351" s="552"/>
      <c r="BM351" s="552"/>
      <c r="BN351" s="215"/>
      <c r="BO351" s="610" t="str">
        <f ca="1">IF(IFERROR(INDEX(ФОТ!$K$26:$L$102,MATCH($F351&amp;"5komm",ФОТ!$K$26:$K$102,0),2),"")=0,"",IFERROR(INDEX(ФОТ!$K$26:$L$102,MATCH($F351&amp;"5komm",ФОТ!$K$26:$K$102,0),2),""))</f>
        <v/>
      </c>
      <c r="BP351" s="215"/>
      <c r="BS351" s="703" t="s">
        <v>1196</v>
      </c>
    </row>
    <row r="352" spans="1:75" ht="21.75" customHeight="1">
      <c r="C352" s="44"/>
      <c r="D352" s="44"/>
      <c r="E352" s="462">
        <v>22.5</v>
      </c>
      <c r="F352" s="3" t="str" cm="1">
        <f t="array" aca="1" ref="F352" ca="1">OFFSET(E352,-1,1)</f>
        <v>2</v>
      </c>
      <c r="G352" s="44" t="s">
        <v>1184</v>
      </c>
      <c r="H352" s="587"/>
      <c r="I352" s="587" t="s">
        <v>2001</v>
      </c>
      <c r="J352" s="44"/>
      <c r="K352" s="290" t="s">
        <v>2001</v>
      </c>
      <c r="L352" s="44" t="s">
        <v>502</v>
      </c>
      <c r="M352" s="44"/>
      <c r="N352" s="44"/>
      <c r="O352" s="44"/>
      <c r="P352" s="44"/>
      <c r="Q352" s="44"/>
      <c r="R352" s="44"/>
      <c r="S352" s="44"/>
      <c r="T352" s="365" t="b" cm="1">
        <f t="array" ref="T352">T351</f>
        <v>1</v>
      </c>
      <c r="U352" s="44"/>
      <c r="V352" s="44"/>
      <c r="W352" s="44"/>
      <c r="X352" s="1094"/>
      <c r="Z352" s="1065"/>
      <c r="AB352" s="26" t="s">
        <v>2002</v>
      </c>
      <c r="AC352" s="553" t="s">
        <v>2003</v>
      </c>
      <c r="AD352" s="26" t="s">
        <v>804</v>
      </c>
      <c r="AE352" s="190">
        <f ca="1">SUMIFS(ФОТ!AE$25:AE$102,ФОТ!$F$25:$F$102,$F352,ФОТ!$G$25:$G$102,$G352)</f>
        <v>0</v>
      </c>
      <c r="AF352" s="190">
        <f ca="1">SUMIFS(ФОТ!AF$25:AF$102,ФОТ!$F$25:$F$102,$F352,ФОТ!$G$25:$G$102,$G352)</f>
        <v>0</v>
      </c>
      <c r="AG352" s="190">
        <f ca="1">SUMIFS(ФОТ!AG$25:AG$102,ФОТ!$F$25:$F$102,$F352,ФОТ!$G$25:$G$102,$G352)</f>
        <v>0</v>
      </c>
      <c r="AH352" s="190">
        <f t="shared" ca="1" si="96"/>
        <v>0</v>
      </c>
      <c r="AI352" s="190">
        <f ca="1">SUMIFS(ФОТ!AH$25:AH$102,ФОТ!$F$25:$F$102,$F352,ФОТ!$G$25:$G$102,$G352)</f>
        <v>0</v>
      </c>
      <c r="AJ352" s="190">
        <f ca="1">SUMIFS(ФОТ!AI$25:AI$102,ФОТ!$F$25:$F$102,$F352,ФОТ!$G$25:$G$102,$G352)</f>
        <v>0</v>
      </c>
      <c r="AK352" s="552"/>
      <c r="AL352" s="552"/>
      <c r="AM352" s="552"/>
      <c r="AN352" s="552"/>
      <c r="AO352" s="552"/>
      <c r="AP352" s="552"/>
      <c r="AQ352" s="552"/>
      <c r="AR352" s="552"/>
      <c r="AS352" s="552"/>
      <c r="AT352" s="190">
        <f ca="1">SUMIFS(ФОТ!AJ$25:AJ$102,ФОТ!$F$25:$F$102,$F352,ФОТ!$G$25:$G$102,$G352)</f>
        <v>0</v>
      </c>
      <c r="AU352" s="552"/>
      <c r="AV352" s="552"/>
      <c r="AW352" s="552"/>
      <c r="AX352" s="552"/>
      <c r="AY352" s="552"/>
      <c r="AZ352" s="552"/>
      <c r="BA352" s="552"/>
      <c r="BB352" s="552"/>
      <c r="BC352" s="552"/>
      <c r="BD352" s="190">
        <f t="shared" ca="1" si="97"/>
        <v>0</v>
      </c>
      <c r="BE352" s="552"/>
      <c r="BF352" s="552"/>
      <c r="BG352" s="552"/>
      <c r="BH352" s="552"/>
      <c r="BI352" s="552"/>
      <c r="BJ352" s="552"/>
      <c r="BK352" s="552"/>
      <c r="BL352" s="552"/>
      <c r="BM352" s="552"/>
      <c r="BN352" s="215"/>
      <c r="BO352" s="610" t="str">
        <f ca="1">IF(IFERROR(INDEX(ФОТ!$K$26:$L$102,MATCH($F352&amp;"6komm",ФОТ!$K$26:$K$102,0),2),"")=0,"",IFERROR(INDEX(ФОТ!$K$26:$L$102,MATCH($F352&amp;"6komm",ФОТ!$K$26:$K$102,0),2),""))</f>
        <v/>
      </c>
      <c r="BP352" s="215"/>
      <c r="BS352" s="703" t="s">
        <v>1807</v>
      </c>
    </row>
    <row r="353" spans="1:75" ht="32.25" customHeight="1">
      <c r="C353" s="44"/>
      <c r="D353" s="44"/>
      <c r="E353" s="462">
        <v>33.75</v>
      </c>
      <c r="F353" s="3" t="str" cm="1">
        <f t="array" aca="1" ref="F353" ca="1">OFFSET(E353,-1,1)</f>
        <v>2</v>
      </c>
      <c r="G353" s="581" t="s">
        <v>1225</v>
      </c>
      <c r="H353" s="587"/>
      <c r="I353" s="587" t="s">
        <v>1367</v>
      </c>
      <c r="J353" s="44"/>
      <c r="K353" s="290" t="s">
        <v>1367</v>
      </c>
      <c r="L353" s="44" t="s">
        <v>931</v>
      </c>
      <c r="M353" s="44"/>
      <c r="N353" s="44"/>
      <c r="O353" s="44"/>
      <c r="P353" s="44"/>
      <c r="Q353" s="44"/>
      <c r="R353" s="44"/>
      <c r="S353" s="44"/>
      <c r="T353" s="365" t="b" cm="1">
        <f t="array" ref="T353">T352</f>
        <v>1</v>
      </c>
      <c r="U353" s="44"/>
      <c r="V353" s="44"/>
      <c r="W353" s="44"/>
      <c r="X353" s="1094"/>
      <c r="Z353" s="1065"/>
      <c r="AB353" s="26" t="s">
        <v>1368</v>
      </c>
      <c r="AC353" s="153" t="s">
        <v>2004</v>
      </c>
      <c r="AD353" s="26" t="s">
        <v>804</v>
      </c>
      <c r="AE353" s="190">
        <f ca="1">SUMIFS(Административные!AE$25:AE$84,Административные!$F$25:$F$84,$F353,Административные!$G$25:$G$84,$G353)</f>
        <v>0</v>
      </c>
      <c r="AF353" s="190">
        <f ca="1">SUMIFS(Административные!AF$25:AF$84,Административные!$F$25:$F$84,$F353,Административные!$G$25:$G$84,$G353)</f>
        <v>0</v>
      </c>
      <c r="AG353" s="190">
        <f ca="1">SUMIFS(Административные!AG$25:AG$84,Административные!$F$25:$F$84,$F353,Административные!$G$25:$G$84,$G353)</f>
        <v>0</v>
      </c>
      <c r="AH353" s="190">
        <f t="shared" ca="1" si="96"/>
        <v>0</v>
      </c>
      <c r="AI353" s="190">
        <f ca="1">SUMIFS(Административные!AH$25:AH$84,Административные!$F$25:$F$84,$F353,Административные!$G$25:$G$84,$G353)</f>
        <v>0</v>
      </c>
      <c r="AJ353" s="190">
        <f ca="1">SUMIFS(Административные!AI$25:AI$84,Административные!$F$25:$F$84,$F353,Административные!$G$25:$G$84,$G353)</f>
        <v>0</v>
      </c>
      <c r="AK353" s="552"/>
      <c r="AL353" s="552"/>
      <c r="AM353" s="552"/>
      <c r="AN353" s="552"/>
      <c r="AO353" s="552"/>
      <c r="AP353" s="552"/>
      <c r="AQ353" s="552"/>
      <c r="AR353" s="552"/>
      <c r="AS353" s="552"/>
      <c r="AT353" s="190">
        <f ca="1">SUMIFS(Административные!AJ$25:AJ$84,Административные!$F$25:$F$84,$F353,Административные!$G$25:$G$84,$G353)</f>
        <v>0</v>
      </c>
      <c r="AU353" s="552"/>
      <c r="AV353" s="552"/>
      <c r="AW353" s="552"/>
      <c r="AX353" s="552"/>
      <c r="AY353" s="552"/>
      <c r="AZ353" s="552"/>
      <c r="BA353" s="552"/>
      <c r="BB353" s="552"/>
      <c r="BC353" s="552"/>
      <c r="BD353" s="190">
        <f t="shared" ca="1" si="97"/>
        <v>0</v>
      </c>
      <c r="BE353" s="552"/>
      <c r="BF353" s="552"/>
      <c r="BG353" s="552"/>
      <c r="BH353" s="552"/>
      <c r="BI353" s="552"/>
      <c r="BJ353" s="552"/>
      <c r="BK353" s="552"/>
      <c r="BL353" s="552"/>
      <c r="BM353" s="552"/>
      <c r="BN353" s="215"/>
      <c r="BO353" s="610" t="str">
        <f ca="1">IF(IFERROR(INDEX(Административные!$K$26:$L$84,MATCH($F353&amp;"2komm",Административные!$K$26:$K$84,0),2),"")=0,"",IFERROR(INDEX(Административные!$K$26:$L$84,MATCH($F353&amp;"2komm",Административные!$K$26:$K$84,0),2),""))</f>
        <v/>
      </c>
      <c r="BP353" s="215"/>
      <c r="BS353" s="703" t="s">
        <v>1227</v>
      </c>
    </row>
    <row r="354" spans="1:75" ht="14.25" customHeight="1">
      <c r="C354" s="44"/>
      <c r="D354" s="44"/>
      <c r="E354" s="462">
        <v>15</v>
      </c>
      <c r="F354" s="3" t="str" cm="1">
        <f t="array" aca="1" ref="F354" ca="1">OFFSET(E354,-1,1)</f>
        <v>2</v>
      </c>
      <c r="G354" s="581" t="s">
        <v>1228</v>
      </c>
      <c r="H354" s="587"/>
      <c r="I354" s="587" t="s">
        <v>1371</v>
      </c>
      <c r="J354" s="44"/>
      <c r="K354" s="290" t="s">
        <v>1371</v>
      </c>
      <c r="L354" s="44" t="s">
        <v>933</v>
      </c>
      <c r="M354" s="44"/>
      <c r="N354" s="44"/>
      <c r="O354" s="44"/>
      <c r="P354" s="44"/>
      <c r="Q354" s="44"/>
      <c r="R354" s="44"/>
      <c r="S354" s="44"/>
      <c r="T354" s="365" t="b" cm="1">
        <f t="array" ref="T354">T353</f>
        <v>1</v>
      </c>
      <c r="U354" s="44"/>
      <c r="V354" s="44"/>
      <c r="W354" s="44"/>
      <c r="X354" s="1094"/>
      <c r="Z354" s="1065"/>
      <c r="AB354" s="26" t="s">
        <v>1372</v>
      </c>
      <c r="AC354" s="153" t="s">
        <v>2005</v>
      </c>
      <c r="AD354" s="26" t="s">
        <v>804</v>
      </c>
      <c r="AE354" s="190">
        <f ca="1">SUMIFS(Административные!AE$25:AE$84,Административные!$F$25:$F$84,$F354,Административные!$G$25:$G$84,$G354)</f>
        <v>0</v>
      </c>
      <c r="AF354" s="190">
        <f ca="1">SUMIFS(Административные!AF$25:AF$84,Административные!$F$25:$F$84,$F354,Административные!$G$25:$G$84,$G354)</f>
        <v>0</v>
      </c>
      <c r="AG354" s="190">
        <f ca="1">SUMIFS(Административные!AG$25:AG$84,Административные!$F$25:$F$84,$F354,Административные!$G$25:$G$84,$G354)</f>
        <v>0</v>
      </c>
      <c r="AH354" s="190">
        <f t="shared" ca="1" si="96"/>
        <v>0</v>
      </c>
      <c r="AI354" s="190">
        <f ca="1">SUMIFS(Административные!AH$25:AH$84,Административные!$F$25:$F$84,$F354,Административные!$G$25:$G$84,$G354)</f>
        <v>0</v>
      </c>
      <c r="AJ354" s="190">
        <f ca="1">SUMIFS(Административные!AI$25:AI$84,Административные!$F$25:$F$84,$F354,Административные!$G$25:$G$84,$G354)</f>
        <v>0</v>
      </c>
      <c r="AK354" s="552"/>
      <c r="AL354" s="552"/>
      <c r="AM354" s="552"/>
      <c r="AN354" s="552"/>
      <c r="AO354" s="552"/>
      <c r="AP354" s="552"/>
      <c r="AQ354" s="552"/>
      <c r="AR354" s="552"/>
      <c r="AS354" s="552"/>
      <c r="AT354" s="190">
        <f ca="1">SUMIFS(Административные!AJ$25:AJ$84,Административные!$F$25:$F$84,$F354,Административные!$G$25:$G$84,$G354)</f>
        <v>0</v>
      </c>
      <c r="AU354" s="552"/>
      <c r="AV354" s="552"/>
      <c r="AW354" s="552"/>
      <c r="AX354" s="552"/>
      <c r="AY354" s="552"/>
      <c r="AZ354" s="552"/>
      <c r="BA354" s="552"/>
      <c r="BB354" s="552"/>
      <c r="BC354" s="552"/>
      <c r="BD354" s="190">
        <f t="shared" ca="1" si="97"/>
        <v>0</v>
      </c>
      <c r="BE354" s="552"/>
      <c r="BF354" s="552"/>
      <c r="BG354" s="552"/>
      <c r="BH354" s="552"/>
      <c r="BI354" s="552"/>
      <c r="BJ354" s="552"/>
      <c r="BK354" s="552"/>
      <c r="BL354" s="552"/>
      <c r="BM354" s="552"/>
      <c r="BN354" s="215"/>
      <c r="BO354" s="610" t="str">
        <f ca="1">IF(IFERROR(INDEX(Административные!$K$26:$L$84,MATCH($F354&amp;"3komm",Административные!$K$26:$K$84,0),2),"")=0,"",IFERROR(INDEX(Административные!$K$26:$L$84,MATCH($F354&amp;"3komm",Административные!$K$26:$K$84,0),2),""))</f>
        <v/>
      </c>
      <c r="BP354" s="215"/>
      <c r="BS354" s="703" t="s">
        <v>1230</v>
      </c>
    </row>
    <row r="355" spans="1:75" ht="14.25" customHeight="1">
      <c r="C355" s="44"/>
      <c r="D355" s="44"/>
      <c r="E355" s="462">
        <v>15</v>
      </c>
      <c r="F355" s="3" t="str" cm="1">
        <f t="array" aca="1" ref="F355" ca="1">OFFSET(E355,-1,1)</f>
        <v>2</v>
      </c>
      <c r="G355" s="581" t="s">
        <v>1231</v>
      </c>
      <c r="H355" s="587"/>
      <c r="I355" s="587" t="s">
        <v>2006</v>
      </c>
      <c r="J355" s="44"/>
      <c r="K355" s="290" t="s">
        <v>2006</v>
      </c>
      <c r="L355" s="44" t="s">
        <v>936</v>
      </c>
      <c r="M355" s="44"/>
      <c r="N355" s="44"/>
      <c r="O355" s="44"/>
      <c r="P355" s="44"/>
      <c r="Q355" s="44"/>
      <c r="R355" s="44"/>
      <c r="S355" s="44"/>
      <c r="T355" s="365" t="b" cm="1">
        <f t="array" ref="T355">T354</f>
        <v>1</v>
      </c>
      <c r="U355" s="44"/>
      <c r="V355" s="44"/>
      <c r="W355" s="44"/>
      <c r="X355" s="1094"/>
      <c r="Z355" s="1065"/>
      <c r="AB355" s="26" t="s">
        <v>2007</v>
      </c>
      <c r="AC355" s="153" t="s">
        <v>2008</v>
      </c>
      <c r="AD355" s="26" t="s">
        <v>804</v>
      </c>
      <c r="AE355" s="190">
        <f ca="1">SUMIFS(Административные!AE$25:AE$84,Административные!$F$25:$F$84,$F355,Административные!$G$25:$G$84,$G355)</f>
        <v>0</v>
      </c>
      <c r="AF355" s="190">
        <f ca="1">SUMIFS(Административные!AF$25:AF$84,Административные!$F$25:$F$84,$F355,Административные!$G$25:$G$84,$G355)</f>
        <v>0</v>
      </c>
      <c r="AG355" s="190">
        <f ca="1">SUMIFS(Административные!AG$25:AG$84,Административные!$F$25:$F$84,$F355,Административные!$G$25:$G$84,$G355)</f>
        <v>0</v>
      </c>
      <c r="AH355" s="190">
        <f t="shared" ca="1" si="96"/>
        <v>0</v>
      </c>
      <c r="AI355" s="190">
        <f ca="1">SUMIFS(Административные!AH$25:AH$84,Административные!$F$25:$F$84,$F355,Административные!$G$25:$G$84,$G355)</f>
        <v>0</v>
      </c>
      <c r="AJ355" s="190">
        <f ca="1">SUMIFS(Административные!AI$25:AI$84,Административные!$F$25:$F$84,$F355,Административные!$G$25:$G$84,$G355)</f>
        <v>0</v>
      </c>
      <c r="AK355" s="552"/>
      <c r="AL355" s="552"/>
      <c r="AM355" s="552"/>
      <c r="AN355" s="552"/>
      <c r="AO355" s="552"/>
      <c r="AP355" s="552"/>
      <c r="AQ355" s="552"/>
      <c r="AR355" s="552"/>
      <c r="AS355" s="552"/>
      <c r="AT355" s="190">
        <f ca="1">SUMIFS(Административные!AJ$25:AJ$84,Административные!$F$25:$F$84,$F355,Административные!$G$25:$G$84,$G355)</f>
        <v>0</v>
      </c>
      <c r="AU355" s="552"/>
      <c r="AV355" s="552"/>
      <c r="AW355" s="552"/>
      <c r="AX355" s="552"/>
      <c r="AY355" s="552"/>
      <c r="AZ355" s="552"/>
      <c r="BA355" s="552"/>
      <c r="BB355" s="552"/>
      <c r="BC355" s="552"/>
      <c r="BD355" s="190">
        <f t="shared" ca="1" si="97"/>
        <v>0</v>
      </c>
      <c r="BE355" s="552"/>
      <c r="BF355" s="552"/>
      <c r="BG355" s="552"/>
      <c r="BH355" s="552"/>
      <c r="BI355" s="552"/>
      <c r="BJ355" s="552"/>
      <c r="BK355" s="552"/>
      <c r="BL355" s="552"/>
      <c r="BM355" s="552"/>
      <c r="BN355" s="215"/>
      <c r="BO355" s="610" t="str">
        <f ca="1">IF(IFERROR(INDEX(Административные!$K$26:$L$84,MATCH($F355&amp;"4komm",Административные!$K$26:$K$84,0),2),"")=0,"",IFERROR(INDEX(Административные!$K$26:$L$84,MATCH($F355&amp;"4komm",Административные!$K$26:$K$84,0),2),""))</f>
        <v/>
      </c>
      <c r="BP355" s="215"/>
      <c r="BS355" s="703" t="s">
        <v>1233</v>
      </c>
    </row>
    <row r="356" spans="1:75" ht="14.25" customHeight="1">
      <c r="C356" s="44"/>
      <c r="D356" s="44"/>
      <c r="E356" s="462">
        <v>15</v>
      </c>
      <c r="F356" s="3" t="str" cm="1">
        <f t="array" aca="1" ref="F356" ca="1">OFFSET(E356,-1,1)</f>
        <v>2</v>
      </c>
      <c r="G356" s="581" t="s">
        <v>1234</v>
      </c>
      <c r="H356" s="587"/>
      <c r="I356" s="587" t="s">
        <v>2009</v>
      </c>
      <c r="J356" s="44"/>
      <c r="K356" s="290" t="s">
        <v>2009</v>
      </c>
      <c r="L356" s="44" t="s">
        <v>1216</v>
      </c>
      <c r="M356" s="44"/>
      <c r="N356" s="44"/>
      <c r="O356" s="44"/>
      <c r="P356" s="44"/>
      <c r="Q356" s="44"/>
      <c r="R356" s="44"/>
      <c r="S356" s="44"/>
      <c r="T356" s="365" t="b" cm="1">
        <f t="array" ref="T356">T355</f>
        <v>1</v>
      </c>
      <c r="U356" s="44"/>
      <c r="V356" s="44"/>
      <c r="W356" s="44"/>
      <c r="X356" s="1094"/>
      <c r="Z356" s="1065"/>
      <c r="AB356" s="26" t="s">
        <v>2010</v>
      </c>
      <c r="AC356" s="153" t="s">
        <v>2011</v>
      </c>
      <c r="AD356" s="26" t="s">
        <v>804</v>
      </c>
      <c r="AE356" s="190">
        <f ca="1">SUMIFS(Административные!AE$25:AE$84,Административные!$F$25:$F$84,$F356,Административные!$G$25:$G$84,$G356)</f>
        <v>0</v>
      </c>
      <c r="AF356" s="190">
        <f ca="1">SUMIFS(Административные!AF$25:AF$84,Административные!$F$25:$F$84,$F356,Административные!$G$25:$G$84,$G356)</f>
        <v>0</v>
      </c>
      <c r="AG356" s="190">
        <f ca="1">SUMIFS(Административные!AG$25:AG$84,Административные!$F$25:$F$84,$F356,Административные!$G$25:$G$84,$G356)</f>
        <v>0</v>
      </c>
      <c r="AH356" s="190">
        <f t="shared" ca="1" si="96"/>
        <v>0</v>
      </c>
      <c r="AI356" s="190">
        <f ca="1">SUMIFS(Административные!AH$25:AH$84,Административные!$F$25:$F$84,$F356,Административные!$G$25:$G$84,$G356)</f>
        <v>0</v>
      </c>
      <c r="AJ356" s="190">
        <f ca="1">SUMIFS(Административные!AI$25:AI$84,Административные!$F$25:$F$84,$F356,Административные!$G$25:$G$84,$G356)</f>
        <v>0</v>
      </c>
      <c r="AK356" s="552"/>
      <c r="AL356" s="552"/>
      <c r="AM356" s="552"/>
      <c r="AN356" s="552"/>
      <c r="AO356" s="552"/>
      <c r="AP356" s="552"/>
      <c r="AQ356" s="552"/>
      <c r="AR356" s="552"/>
      <c r="AS356" s="552"/>
      <c r="AT356" s="190">
        <f ca="1">SUMIFS(Административные!AJ$25:AJ$84,Административные!$F$25:$F$84,$F356,Административные!$G$25:$G$84,$G356)</f>
        <v>0</v>
      </c>
      <c r="AU356" s="552"/>
      <c r="AV356" s="552"/>
      <c r="AW356" s="552"/>
      <c r="AX356" s="552"/>
      <c r="AY356" s="552"/>
      <c r="AZ356" s="552"/>
      <c r="BA356" s="552"/>
      <c r="BB356" s="552"/>
      <c r="BC356" s="552"/>
      <c r="BD356" s="190">
        <f t="shared" ca="1" si="97"/>
        <v>0</v>
      </c>
      <c r="BE356" s="552"/>
      <c r="BF356" s="552"/>
      <c r="BG356" s="552"/>
      <c r="BH356" s="552"/>
      <c r="BI356" s="552"/>
      <c r="BJ356" s="552"/>
      <c r="BK356" s="552"/>
      <c r="BL356" s="552"/>
      <c r="BM356" s="552"/>
      <c r="BN356" s="215"/>
      <c r="BO356" s="610" t="str">
        <f ca="1">IF(IFERROR(INDEX(Административные!$K$26:$L$84,MATCH($F356&amp;"5komm",Административные!$K$26:$K$84,0),2),"")=0,"",IFERROR(INDEX(Административные!$K$26:$L$84,MATCH($F356&amp;"5komm",Административные!$K$26:$K$84,0),2),""))</f>
        <v/>
      </c>
      <c r="BP356" s="215"/>
      <c r="BS356" s="703" t="s">
        <v>1809</v>
      </c>
    </row>
    <row r="357" spans="1:75" ht="14.25" customHeight="1">
      <c r="C357" s="44"/>
      <c r="D357" s="44"/>
      <c r="E357" s="462">
        <v>15</v>
      </c>
      <c r="F357" s="3" t="str" cm="1">
        <f t="array" aca="1" ref="F357" ca="1">OFFSET(E357,-1,1)</f>
        <v>2</v>
      </c>
      <c r="G357" s="581" t="s">
        <v>1237</v>
      </c>
      <c r="H357" s="587"/>
      <c r="I357" s="587" t="s">
        <v>2012</v>
      </c>
      <c r="J357" s="44"/>
      <c r="K357" s="290" t="s">
        <v>2012</v>
      </c>
      <c r="L357" s="44" t="s">
        <v>1221</v>
      </c>
      <c r="M357" s="44"/>
      <c r="N357" s="44"/>
      <c r="O357" s="44"/>
      <c r="P357" s="44"/>
      <c r="Q357" s="44"/>
      <c r="R357" s="44"/>
      <c r="S357" s="44"/>
      <c r="T357" s="365" t="b" cm="1">
        <f t="array" ref="T357">T356</f>
        <v>1</v>
      </c>
      <c r="U357" s="44"/>
      <c r="V357" s="44"/>
      <c r="W357" s="44"/>
      <c r="X357" s="1094"/>
      <c r="Z357" s="1065"/>
      <c r="AB357" s="26" t="s">
        <v>2013</v>
      </c>
      <c r="AC357" s="153" t="s">
        <v>2014</v>
      </c>
      <c r="AD357" s="26" t="s">
        <v>804</v>
      </c>
      <c r="AE357" s="190">
        <f ca="1">SUMIFS(Административные!AE$25:AE$84,Административные!$F$25:$F$84,$F357,Административные!$G$25:$G$84,$G357)</f>
        <v>0</v>
      </c>
      <c r="AF357" s="190">
        <f ca="1">SUMIFS(Административные!AF$25:AF$84,Административные!$F$25:$F$84,$F357,Административные!$G$25:$G$84,$G357)</f>
        <v>0</v>
      </c>
      <c r="AG357" s="190">
        <f ca="1">SUMIFS(Административные!AG$25:AG$84,Административные!$F$25:$F$84,$F357,Административные!$G$25:$G$84,$G357)</f>
        <v>0</v>
      </c>
      <c r="AH357" s="190">
        <f t="shared" ca="1" si="96"/>
        <v>0</v>
      </c>
      <c r="AI357" s="190">
        <f ca="1">SUMIFS(Административные!AH$25:AH$84,Административные!$F$25:$F$84,$F357,Административные!$G$25:$G$84,$G357)</f>
        <v>0</v>
      </c>
      <c r="AJ357" s="190">
        <f ca="1">SUMIFS(Административные!AI$25:AI$84,Административные!$F$25:$F$84,$F357,Административные!$G$25:$G$84,$G357)</f>
        <v>0</v>
      </c>
      <c r="AK357" s="552"/>
      <c r="AL357" s="552"/>
      <c r="AM357" s="552"/>
      <c r="AN357" s="552"/>
      <c r="AO357" s="552"/>
      <c r="AP357" s="552"/>
      <c r="AQ357" s="552"/>
      <c r="AR357" s="552"/>
      <c r="AS357" s="552"/>
      <c r="AT357" s="190">
        <f ca="1">SUMIFS(Административные!AJ$25:AJ$84,Административные!$F$25:$F$84,$F357,Административные!$G$25:$G$84,$G357)</f>
        <v>0</v>
      </c>
      <c r="AU357" s="552"/>
      <c r="AV357" s="552"/>
      <c r="AW357" s="552"/>
      <c r="AX357" s="552"/>
      <c r="AY357" s="552"/>
      <c r="AZ357" s="552"/>
      <c r="BA357" s="552"/>
      <c r="BB357" s="552"/>
      <c r="BC357" s="552"/>
      <c r="BD357" s="190">
        <f t="shared" ca="1" si="97"/>
        <v>0</v>
      </c>
      <c r="BE357" s="552"/>
      <c r="BF357" s="552"/>
      <c r="BG357" s="552"/>
      <c r="BH357" s="552"/>
      <c r="BI357" s="552"/>
      <c r="BJ357" s="552"/>
      <c r="BK357" s="552"/>
      <c r="BL357" s="552"/>
      <c r="BM357" s="552"/>
      <c r="BN357" s="215"/>
      <c r="BO357" s="610" t="str">
        <f ca="1">IF(IFERROR(INDEX(Административные!$K$26:$L$84,MATCH($F357&amp;"6komm",Административные!$K$26:$K$84,0),2),"")=0,"",IFERROR(INDEX(Административные!$K$26:$L$84,MATCH($F357&amp;"6komm",Административные!$K$26:$K$84,0),2),""))</f>
        <v/>
      </c>
      <c r="BP357" s="215"/>
      <c r="BS357" s="703" t="s">
        <v>1811</v>
      </c>
    </row>
    <row r="358" spans="1:75" ht="14.25" customHeight="1">
      <c r="C358" s="44"/>
      <c r="D358" s="44"/>
      <c r="E358" s="462">
        <v>15</v>
      </c>
      <c r="F358" s="3" t="str" cm="1">
        <f t="array" aca="1" ref="F358" ca="1">OFFSET(E358,-1,1)</f>
        <v>2</v>
      </c>
      <c r="G358" s="581" t="s">
        <v>1239</v>
      </c>
      <c r="H358" s="587"/>
      <c r="I358" s="587" t="s">
        <v>2015</v>
      </c>
      <c r="J358" s="44"/>
      <c r="K358" s="290" t="s">
        <v>2015</v>
      </c>
      <c r="L358" s="44" t="s">
        <v>1812</v>
      </c>
      <c r="M358" s="44"/>
      <c r="N358" s="44"/>
      <c r="O358" s="44"/>
      <c r="P358" s="44"/>
      <c r="Q358" s="44"/>
      <c r="R358" s="44"/>
      <c r="S358" s="44"/>
      <c r="T358" s="365" t="b" cm="1">
        <f t="array" ref="T358">T357</f>
        <v>1</v>
      </c>
      <c r="U358" s="44"/>
      <c r="V358" s="44"/>
      <c r="W358" s="44"/>
      <c r="X358" s="1094"/>
      <c r="Z358" s="1065"/>
      <c r="AB358" s="26" t="s">
        <v>2016</v>
      </c>
      <c r="AC358" s="553" t="s">
        <v>1814</v>
      </c>
      <c r="AD358" s="26" t="s">
        <v>804</v>
      </c>
      <c r="AE358" s="190">
        <f ca="1">SUMIFS(Административные!AE$25:AE$84,Административные!$F$25:$F$84,$F358,Административные!$G$25:$G$84,$G358)</f>
        <v>0</v>
      </c>
      <c r="AF358" s="190">
        <f ca="1">SUMIFS(Административные!AF$25:AF$84,Административные!$F$25:$F$84,$F358,Административные!$G$25:$G$84,$G358)</f>
        <v>0</v>
      </c>
      <c r="AG358" s="190">
        <f ca="1">SUMIFS(Административные!AG$25:AG$84,Административные!$F$25:$F$84,$F358,Административные!$G$25:$G$84,$G358)</f>
        <v>0</v>
      </c>
      <c r="AH358" s="190">
        <f t="shared" ca="1" si="96"/>
        <v>0</v>
      </c>
      <c r="AI358" s="190">
        <f ca="1">SUMIFS(Административные!AH$25:AH$84,Административные!$F$25:$F$84,$F358,Административные!$G$25:$G$84,$G358)</f>
        <v>0</v>
      </c>
      <c r="AJ358" s="190">
        <f ca="1">SUMIFS(Административные!AI$25:AI$84,Административные!$F$25:$F$84,$F358,Административные!$G$25:$G$84,$G358)</f>
        <v>0</v>
      </c>
      <c r="AK358" s="552"/>
      <c r="AL358" s="552"/>
      <c r="AM358" s="552"/>
      <c r="AN358" s="552"/>
      <c r="AO358" s="552"/>
      <c r="AP358" s="552"/>
      <c r="AQ358" s="552"/>
      <c r="AR358" s="552"/>
      <c r="AS358" s="552"/>
      <c r="AT358" s="190">
        <f ca="1">SUMIFS(Административные!AJ$25:AJ$84,Административные!$F$25:$F$84,$F358,Административные!$G$25:$G$84,$G358)</f>
        <v>0</v>
      </c>
      <c r="AU358" s="552"/>
      <c r="AV358" s="552"/>
      <c r="AW358" s="552"/>
      <c r="AX358" s="552"/>
      <c r="AY358" s="552"/>
      <c r="AZ358" s="552"/>
      <c r="BA358" s="552"/>
      <c r="BB358" s="552"/>
      <c r="BC358" s="552"/>
      <c r="BD358" s="190">
        <f t="shared" ca="1" si="97"/>
        <v>0</v>
      </c>
      <c r="BE358" s="552"/>
      <c r="BF358" s="552"/>
      <c r="BG358" s="552"/>
      <c r="BH358" s="552"/>
      <c r="BI358" s="552"/>
      <c r="BJ358" s="552"/>
      <c r="BK358" s="552"/>
      <c r="BL358" s="552"/>
      <c r="BM358" s="552"/>
      <c r="BN358" s="215"/>
      <c r="BO358" s="610" t="str">
        <f ca="1">IF(IFERROR(INDEX(Административные!$K$26:$L$84,MATCH($F358&amp;"7komm",Административные!$K$26:$K$84,0),2),"")=0,"",IFERROR(INDEX(Административные!$K$26:$L$84,MATCH($F358&amp;"7komm",Административные!$K$26:$K$84,0),2),""))</f>
        <v/>
      </c>
      <c r="BP358" s="215"/>
      <c r="BS358" s="703" t="s">
        <v>1815</v>
      </c>
    </row>
    <row r="359" spans="1:75" ht="14.25" customHeight="1">
      <c r="C359" s="44"/>
      <c r="D359" s="44"/>
      <c r="E359" s="462">
        <v>15</v>
      </c>
      <c r="F359" s="3" t="str" cm="1">
        <f t="array" aca="1" ref="F359" ca="1">OFFSET(E359,-1,1)</f>
        <v>2</v>
      </c>
      <c r="G359" s="581" t="s">
        <v>1242</v>
      </c>
      <c r="H359" s="587"/>
      <c r="I359" s="587" t="s">
        <v>2017</v>
      </c>
      <c r="J359" s="44"/>
      <c r="K359" s="290" t="s">
        <v>2017</v>
      </c>
      <c r="L359" s="44" t="s">
        <v>1816</v>
      </c>
      <c r="M359" s="44"/>
      <c r="N359" s="44"/>
      <c r="O359" s="44"/>
      <c r="P359" s="44"/>
      <c r="Q359" s="44"/>
      <c r="R359" s="44"/>
      <c r="S359" s="44"/>
      <c r="T359" s="365" t="b" cm="1">
        <f t="array" ref="T359">T358</f>
        <v>1</v>
      </c>
      <c r="U359" s="44"/>
      <c r="V359" s="44"/>
      <c r="W359" s="44"/>
      <c r="X359" s="1094"/>
      <c r="Z359" s="1065"/>
      <c r="AB359" s="26" t="s">
        <v>2018</v>
      </c>
      <c r="AC359" s="553" t="s">
        <v>1243</v>
      </c>
      <c r="AD359" s="26" t="s">
        <v>804</v>
      </c>
      <c r="AE359" s="190">
        <f ca="1">SUMIFS(Административные!AE$25:AE$84,Административные!$F$25:$F$84,$F359,Административные!$G$25:$G$84,$G359)</f>
        <v>0</v>
      </c>
      <c r="AF359" s="190">
        <f ca="1">SUMIFS(Административные!AF$25:AF$84,Административные!$F$25:$F$84,$F359,Административные!$G$25:$G$84,$G359)</f>
        <v>0</v>
      </c>
      <c r="AG359" s="190">
        <f ca="1">SUMIFS(Административные!AG$25:AG$84,Административные!$F$25:$F$84,$F359,Административные!$G$25:$G$84,$G359)</f>
        <v>0</v>
      </c>
      <c r="AH359" s="190">
        <f t="shared" ca="1" si="96"/>
        <v>0</v>
      </c>
      <c r="AI359" s="190">
        <f ca="1">SUMIFS(Административные!AH$25:AH$84,Административные!$F$25:$F$84,$F359,Административные!$G$25:$G$84,$G359)</f>
        <v>0</v>
      </c>
      <c r="AJ359" s="190">
        <f ca="1">SUMIFS(Административные!AI$25:AI$84,Административные!$F$25:$F$84,$F359,Административные!$G$25:$G$84,$G359)</f>
        <v>0</v>
      </c>
      <c r="AK359" s="552"/>
      <c r="AL359" s="552"/>
      <c r="AM359" s="552"/>
      <c r="AN359" s="552"/>
      <c r="AO359" s="552"/>
      <c r="AP359" s="552"/>
      <c r="AQ359" s="552"/>
      <c r="AR359" s="552"/>
      <c r="AS359" s="552"/>
      <c r="AT359" s="190">
        <f ca="1">SUMIFS(Административные!AJ$25:AJ$84,Административные!$F$25:$F$84,$F359,Административные!$G$25:$G$84,$G359)</f>
        <v>0</v>
      </c>
      <c r="AU359" s="552"/>
      <c r="AV359" s="552"/>
      <c r="AW359" s="552"/>
      <c r="AX359" s="552"/>
      <c r="AY359" s="552"/>
      <c r="AZ359" s="552"/>
      <c r="BA359" s="552"/>
      <c r="BB359" s="552"/>
      <c r="BC359" s="552"/>
      <c r="BD359" s="190">
        <f t="shared" ca="1" si="97"/>
        <v>0</v>
      </c>
      <c r="BE359" s="552"/>
      <c r="BF359" s="552"/>
      <c r="BG359" s="552"/>
      <c r="BH359" s="552"/>
      <c r="BI359" s="552"/>
      <c r="BJ359" s="552"/>
      <c r="BK359" s="552"/>
      <c r="BL359" s="552"/>
      <c r="BM359" s="552"/>
      <c r="BN359" s="215"/>
      <c r="BO359" s="610" t="str">
        <f ca="1">IF(IFERROR(INDEX(Административные!$K$26:$L$84,MATCH($F359&amp;"8komm",Административные!$K$26:$K$84,0),2),"")=0,"",IFERROR(INDEX(Административные!$K$26:$L$84,MATCH($F359&amp;"8komm",Административные!$K$26:$K$84,0),2),""))</f>
        <v/>
      </c>
      <c r="BP359" s="215"/>
      <c r="BS359" s="703" t="s">
        <v>1818</v>
      </c>
    </row>
    <row r="360" spans="1:75" ht="14.25" customHeight="1">
      <c r="C360" s="44"/>
      <c r="D360" s="44"/>
      <c r="E360" s="462">
        <v>15</v>
      </c>
      <c r="F360" s="3" t="str" cm="1">
        <f t="array" aca="1" ref="F360" ca="1">OFFSET(E360,-1,1)</f>
        <v>2</v>
      </c>
      <c r="G360" s="44" t="s">
        <v>1245</v>
      </c>
      <c r="H360" s="587"/>
      <c r="I360" s="587" t="s">
        <v>2019</v>
      </c>
      <c r="J360" s="44"/>
      <c r="K360" s="290" t="s">
        <v>2019</v>
      </c>
      <c r="L360" s="44" t="s">
        <v>1819</v>
      </c>
      <c r="M360" s="44"/>
      <c r="N360" s="44"/>
      <c r="O360" s="44"/>
      <c r="P360" s="44"/>
      <c r="Q360" s="44"/>
      <c r="R360" s="44"/>
      <c r="S360" s="44"/>
      <c r="T360" s="365" t="b" cm="1">
        <f t="array" ref="T360">T359</f>
        <v>1</v>
      </c>
      <c r="U360" s="44"/>
      <c r="V360" s="44"/>
      <c r="W360" s="44"/>
      <c r="X360" s="1094"/>
      <c r="Z360" s="1065"/>
      <c r="AB360" s="26" t="s">
        <v>2020</v>
      </c>
      <c r="AC360" s="553" t="s">
        <v>1246</v>
      </c>
      <c r="AD360" s="26" t="s">
        <v>804</v>
      </c>
      <c r="AE360" s="190">
        <f ca="1">SUMIFS(Административные!AE$25:AE$84,Административные!$F$25:$F$84,$F360,Административные!$G$25:$G$84,$G360)</f>
        <v>0</v>
      </c>
      <c r="AF360" s="190">
        <f ca="1">SUMIFS(Административные!AF$25:AF$84,Административные!$F$25:$F$84,$F360,Административные!$G$25:$G$84,$G360)</f>
        <v>0</v>
      </c>
      <c r="AG360" s="190">
        <f ca="1">SUMIFS(Административные!AG$25:AG$84,Административные!$F$25:$F$84,$F360,Административные!$G$25:$G$84,$G360)</f>
        <v>0</v>
      </c>
      <c r="AH360" s="190">
        <f t="shared" ca="1" si="96"/>
        <v>0</v>
      </c>
      <c r="AI360" s="190">
        <f ca="1">SUMIFS(Административные!AH$25:AH$84,Административные!$F$25:$F$84,$F360,Административные!$G$25:$G$84,$G360)</f>
        <v>0</v>
      </c>
      <c r="AJ360" s="190">
        <f ca="1">SUMIFS(Административные!AI$25:AI$84,Административные!$F$25:$F$84,$F360,Административные!$G$25:$G$84,$G360)</f>
        <v>0</v>
      </c>
      <c r="AK360" s="552"/>
      <c r="AL360" s="552"/>
      <c r="AM360" s="552"/>
      <c r="AN360" s="552"/>
      <c r="AO360" s="552"/>
      <c r="AP360" s="552"/>
      <c r="AQ360" s="552"/>
      <c r="AR360" s="552"/>
      <c r="AS360" s="552"/>
      <c r="AT360" s="190">
        <f ca="1">SUMIFS(Административные!AJ$25:AJ$84,Административные!$F$25:$F$84,$F360,Административные!$G$25:$G$84,$G360)</f>
        <v>0</v>
      </c>
      <c r="AU360" s="552"/>
      <c r="AV360" s="552"/>
      <c r="AW360" s="552"/>
      <c r="AX360" s="552"/>
      <c r="AY360" s="552"/>
      <c r="AZ360" s="552"/>
      <c r="BA360" s="552"/>
      <c r="BB360" s="552"/>
      <c r="BC360" s="552"/>
      <c r="BD360" s="190">
        <f t="shared" ca="1" si="97"/>
        <v>0</v>
      </c>
      <c r="BE360" s="552"/>
      <c r="BF360" s="552"/>
      <c r="BG360" s="552"/>
      <c r="BH360" s="552"/>
      <c r="BI360" s="552"/>
      <c r="BJ360" s="552"/>
      <c r="BK360" s="552"/>
      <c r="BL360" s="552"/>
      <c r="BM360" s="552"/>
      <c r="BN360" s="215"/>
      <c r="BO360" s="610" t="str">
        <f ca="1">IF(IFERROR(INDEX(Административные!$K$26:$L$84,MATCH($F360&amp;"9komm",Административные!$K$26:$K$84,0),2),"")=0,"",IFERROR(INDEX(Административные!$K$26:$L$84,MATCH($F360&amp;"9komm",Административные!$K$26:$K$84,0),2),""))</f>
        <v/>
      </c>
      <c r="BP360" s="215"/>
      <c r="BS360" s="703" t="s">
        <v>1821</v>
      </c>
    </row>
    <row r="361" spans="1:75" ht="21.75" customHeight="1">
      <c r="B361" s="341" t="b">
        <f>STATUS_GO="да"</f>
        <v>0</v>
      </c>
      <c r="C361" s="44"/>
      <c r="D361" s="44"/>
      <c r="E361" s="462">
        <v>22.5</v>
      </c>
      <c r="F361" s="3" t="str" cm="1">
        <f t="array" aca="1" ref="F361" ca="1">OFFSET(E361,-1,1)</f>
        <v>2</v>
      </c>
      <c r="G361" s="44"/>
      <c r="H361" s="587"/>
      <c r="I361" s="587" t="s">
        <v>909</v>
      </c>
      <c r="J361" s="44"/>
      <c r="K361" s="290" t="s">
        <v>909</v>
      </c>
      <c r="L361" s="44" t="s">
        <v>331</v>
      </c>
      <c r="M361" s="44"/>
      <c r="N361" s="44"/>
      <c r="O361" s="44"/>
      <c r="P361" s="44"/>
      <c r="Q361" s="44"/>
      <c r="R361" s="44"/>
      <c r="S361" s="44"/>
      <c r="T361" s="365" t="b" cm="1">
        <f t="array" ref="T361">T360</f>
        <v>1</v>
      </c>
      <c r="U361" s="44"/>
      <c r="V361" s="44"/>
      <c r="W361" s="44"/>
      <c r="X361" s="1094"/>
      <c r="Z361" s="1065"/>
      <c r="AB361" s="26" t="s">
        <v>910</v>
      </c>
      <c r="AC361" s="146" t="s">
        <v>2021</v>
      </c>
      <c r="AD361" s="26" t="s">
        <v>804</v>
      </c>
      <c r="AE361" s="190">
        <f ca="1">SUMIFS('Сбытовые расходы ГО'!AE$25:AE$63,'Сбытовые расходы ГО'!$F$25:$F$63,$F361,'Сбытовые расходы ГО'!$G$25:$G$63,"L0")-SUMIFS('Сбытовые расходы ГО'!AE$25:AE$63,'Сбытовые расходы ГО'!$F$25:$F$63,$F361,'Сбытовые расходы ГО'!$G$25:$G$63,"L1")</f>
        <v>0</v>
      </c>
      <c r="AF361" s="190">
        <f ca="1">SUMIFS('Сбытовые расходы ГО'!AF$25:AF$63,'Сбытовые расходы ГО'!$F$25:$F$63,$F361,'Сбытовые расходы ГО'!$G$25:$G$63,"L0")-SUMIFS('Сбытовые расходы ГО'!AF$25:AF$63,'Сбытовые расходы ГО'!$F$25:$F$63,$F361,'Сбытовые расходы ГО'!$G$25:$G$63,"L1")</f>
        <v>0</v>
      </c>
      <c r="AG361" s="190">
        <f ca="1">SUMIFS('Сбытовые расходы ГО'!AG$25:AG$63,'Сбытовые расходы ГО'!$F$25:$F$63,$F361,'Сбытовые расходы ГО'!$G$25:$G$63,"L0")-SUMIFS('Сбытовые расходы ГО'!AG$25:AG$63,'Сбытовые расходы ГО'!$F$25:$F$63,$F361,'Сбытовые расходы ГО'!$G$25:$G$63,"L1")</f>
        <v>0</v>
      </c>
      <c r="AH361" s="190">
        <f t="shared" ca="1" si="96"/>
        <v>0</v>
      </c>
      <c r="AI361" s="190">
        <f ca="1">SUMIFS('Сбытовые расходы ГО'!AH$25:AH$63,'Сбытовые расходы ГО'!$F$25:$F$63,$F361,'Сбытовые расходы ГО'!$G$25:$G$63,"L0")-SUMIFS('Сбытовые расходы ГО'!AH$25:AH$63,'Сбытовые расходы ГО'!$F$25:$F$63,$F361,'Сбытовые расходы ГО'!$G$25:$G$63,"L1")</f>
        <v>0</v>
      </c>
      <c r="AJ361" s="190">
        <f ca="1">SUMIFS('Сбытовые расходы ГО'!AI$25:AI$63,'Сбытовые расходы ГО'!$F$25:$F$63,$F361,'Сбытовые расходы ГО'!$G$25:$G$63,"L0")-SUMIFS('Сбытовые расходы ГО'!AI$25:AI$63,'Сбытовые расходы ГО'!$F$25:$F$63,$F361,'Сбытовые расходы ГО'!$G$25:$G$63,"L1")</f>
        <v>0</v>
      </c>
      <c r="AK361" s="552"/>
      <c r="AL361" s="552"/>
      <c r="AM361" s="552"/>
      <c r="AN361" s="552"/>
      <c r="AO361" s="552"/>
      <c r="AP361" s="552"/>
      <c r="AQ361" s="552"/>
      <c r="AR361" s="552"/>
      <c r="AS361" s="552"/>
      <c r="AT361" s="190">
        <f ca="1">SUMIFS('Сбытовые расходы ГО'!AJ$25:AJ$63,'Сбытовые расходы ГО'!$F$25:$F$63,$F361,'Сбытовые расходы ГО'!$G$25:$G$63,"L0")-SUMIFS('Сбытовые расходы ГО'!AJ$25:AJ$63,'Сбытовые расходы ГО'!$F$25:$F$63,$F361,'Сбытовые расходы ГО'!$G$25:$G$63,"L1")</f>
        <v>0</v>
      </c>
      <c r="AU361" s="552"/>
      <c r="AV361" s="552"/>
      <c r="AW361" s="552"/>
      <c r="AX361" s="552"/>
      <c r="AY361" s="552"/>
      <c r="AZ361" s="552"/>
      <c r="BA361" s="552"/>
      <c r="BB361" s="552"/>
      <c r="BC361" s="552"/>
      <c r="BD361" s="190">
        <f t="shared" ca="1" si="97"/>
        <v>0</v>
      </c>
      <c r="BE361" s="552"/>
      <c r="BF361" s="552"/>
      <c r="BG361" s="552"/>
      <c r="BH361" s="552"/>
      <c r="BI361" s="552"/>
      <c r="BJ361" s="552"/>
      <c r="BK361" s="552"/>
      <c r="BL361" s="552"/>
      <c r="BM361" s="552"/>
      <c r="BN361" s="215"/>
      <c r="BO361" s="215"/>
      <c r="BP361" s="215"/>
      <c r="BS361" s="704" t="s">
        <v>1823</v>
      </c>
    </row>
    <row r="362" spans="1:75" ht="14.25" customHeight="1">
      <c r="C362" s="44"/>
      <c r="D362" s="44"/>
      <c r="E362" s="462">
        <v>15</v>
      </c>
      <c r="F362" s="3" t="str" cm="1">
        <f t="array" aca="1" ref="F362" ca="1">OFFSET(E362,-1,1)</f>
        <v>2</v>
      </c>
      <c r="G362" s="44"/>
      <c r="H362" s="587"/>
      <c r="I362" s="587" t="s">
        <v>1762</v>
      </c>
      <c r="J362" s="44"/>
      <c r="K362" s="290" t="s">
        <v>1762</v>
      </c>
      <c r="L362" s="44"/>
      <c r="M362" s="44"/>
      <c r="N362" s="44"/>
      <c r="O362" s="44"/>
      <c r="P362" s="44"/>
      <c r="Q362" s="44"/>
      <c r="R362" s="44"/>
      <c r="S362" s="44"/>
      <c r="T362" s="365" t="b" cm="1">
        <f t="array" ref="T362">T361</f>
        <v>1</v>
      </c>
      <c r="U362" s="44"/>
      <c r="V362" s="44"/>
      <c r="W362" s="44"/>
      <c r="X362" s="1094"/>
      <c r="Z362" s="1065"/>
      <c r="AB362" s="26" t="s">
        <v>1763</v>
      </c>
      <c r="AC362" s="146" t="s">
        <v>2022</v>
      </c>
      <c r="AD362" s="26" t="s">
        <v>804</v>
      </c>
      <c r="AE362" s="147"/>
      <c r="AF362" s="147"/>
      <c r="AG362" s="147"/>
      <c r="AH362" s="190">
        <f t="shared" si="96"/>
        <v>0</v>
      </c>
      <c r="AI362" s="147"/>
      <c r="AJ362" s="147"/>
      <c r="AK362" s="552"/>
      <c r="AL362" s="552"/>
      <c r="AM362" s="552"/>
      <c r="AN362" s="552"/>
      <c r="AO362" s="552"/>
      <c r="AP362" s="552"/>
      <c r="AQ362" s="552"/>
      <c r="AR362" s="552"/>
      <c r="AS362" s="552"/>
      <c r="AT362" s="147"/>
      <c r="AU362" s="552"/>
      <c r="AV362" s="552"/>
      <c r="AW362" s="552"/>
      <c r="AX362" s="552"/>
      <c r="AY362" s="552"/>
      <c r="AZ362" s="552"/>
      <c r="BA362" s="552"/>
      <c r="BB362" s="552"/>
      <c r="BC362" s="552"/>
      <c r="BD362" s="190">
        <f t="shared" si="97"/>
        <v>0</v>
      </c>
      <c r="BE362" s="552"/>
      <c r="BF362" s="552"/>
      <c r="BG362" s="552"/>
      <c r="BH362" s="552"/>
      <c r="BI362" s="552"/>
      <c r="BJ362" s="552"/>
      <c r="BK362" s="552"/>
      <c r="BL362" s="552"/>
      <c r="BM362" s="552"/>
      <c r="BN362" s="215"/>
      <c r="BO362" s="215"/>
      <c r="BP362" s="215"/>
      <c r="BS362" s="705" t="s">
        <v>2023</v>
      </c>
    </row>
    <row r="363" spans="1:75" s="950" customFormat="1" ht="20.25" customHeight="1">
      <c r="A363" s="95"/>
      <c r="B363" s="344"/>
      <c r="C363" s="46"/>
      <c r="D363" s="46"/>
      <c r="E363" s="569">
        <v>21</v>
      </c>
      <c r="F363" s="3" t="str" cm="1">
        <f t="array" aca="1" ref="F363" ca="1">OFFSET(E363,-1,1)</f>
        <v>2</v>
      </c>
      <c r="G363" s="46"/>
      <c r="H363" s="587"/>
      <c r="I363" s="587" t="s">
        <v>1766</v>
      </c>
      <c r="J363" s="46"/>
      <c r="K363" s="290" t="s">
        <v>1766</v>
      </c>
      <c r="L363" s="46"/>
      <c r="M363" s="46"/>
      <c r="N363" s="46"/>
      <c r="O363" s="46"/>
      <c r="P363" s="46"/>
      <c r="Q363" s="46"/>
      <c r="R363" s="46"/>
      <c r="S363" s="46"/>
      <c r="T363" s="365" t="b">
        <f ca="1">AND(F363&gt;0,method_reg="Метод индексации")</f>
        <v>1</v>
      </c>
      <c r="U363" s="46"/>
      <c r="V363" s="46"/>
      <c r="W363" s="46"/>
      <c r="X363" s="1094"/>
      <c r="Y363" s="95"/>
      <c r="Z363" s="1065"/>
      <c r="AA363" s="95"/>
      <c r="AB363" s="143" t="s">
        <v>1767</v>
      </c>
      <c r="AC363" s="276" t="s">
        <v>2024</v>
      </c>
      <c r="AD363" s="143" t="s">
        <v>804</v>
      </c>
      <c r="AE363" s="145">
        <f>SUM(AE364:AE365)</f>
        <v>0</v>
      </c>
      <c r="AF363" s="145">
        <f>SUM(AF364:AF365)</f>
        <v>0</v>
      </c>
      <c r="AG363" s="145">
        <f>SUM(AG364:AG365)</f>
        <v>0</v>
      </c>
      <c r="AH363" s="145">
        <f t="shared" si="96"/>
        <v>0</v>
      </c>
      <c r="AI363" s="145">
        <f>SUM(AI364:AI365)</f>
        <v>0</v>
      </c>
      <c r="AJ363" s="145">
        <f>SUM(AJ364:AJ365)</f>
        <v>0</v>
      </c>
      <c r="AK363" s="148"/>
      <c r="AL363" s="148"/>
      <c r="AM363" s="148"/>
      <c r="AN363" s="148"/>
      <c r="AO363" s="148"/>
      <c r="AP363" s="148"/>
      <c r="AQ363" s="148"/>
      <c r="AR363" s="148"/>
      <c r="AS363" s="148"/>
      <c r="AT363" s="145">
        <f>SUM(AT364:AT365)</f>
        <v>0</v>
      </c>
      <c r="AU363" s="148"/>
      <c r="AV363" s="148"/>
      <c r="AW363" s="148"/>
      <c r="AX363" s="148"/>
      <c r="AY363" s="148"/>
      <c r="AZ363" s="148"/>
      <c r="BA363" s="148"/>
      <c r="BB363" s="148"/>
      <c r="BC363" s="148"/>
      <c r="BD363" s="145">
        <f t="shared" si="97"/>
        <v>0</v>
      </c>
      <c r="BE363" s="148"/>
      <c r="BF363" s="148"/>
      <c r="BG363" s="148"/>
      <c r="BH363" s="148"/>
      <c r="BI363" s="148"/>
      <c r="BJ363" s="148"/>
      <c r="BK363" s="148"/>
      <c r="BL363" s="148"/>
      <c r="BM363" s="148"/>
      <c r="BN363" s="566"/>
      <c r="BO363" s="566"/>
      <c r="BP363" s="566"/>
      <c r="BQ363" s="95"/>
      <c r="BR363" s="95"/>
      <c r="BS363" s="711" t="s">
        <v>2025</v>
      </c>
      <c r="BT363" s="711"/>
      <c r="BU363" s="711"/>
      <c r="BV363" s="522"/>
      <c r="BW363" s="522"/>
    </row>
    <row r="364" spans="1:75" ht="14.25" hidden="1" customHeight="1">
      <c r="B364" s="341" t="b">
        <f>method_reg="Метод индексации"</f>
        <v>1</v>
      </c>
      <c r="C364" s="44"/>
      <c r="D364" s="44"/>
      <c r="E364" s="462">
        <v>15</v>
      </c>
      <c r="F364" s="3" t="str" cm="1">
        <f t="array" aca="1" ref="F364" ca="1">OFFSET(E364,-1,1)</f>
        <v>2</v>
      </c>
      <c r="G364" s="44"/>
      <c r="H364" s="44"/>
      <c r="I364" s="587" t="s">
        <v>1766</v>
      </c>
      <c r="J364" s="44" cm="1">
        <f t="array" ref="J364">AC364</f>
        <v>0</v>
      </c>
      <c r="K364" s="290" t="s">
        <v>1766</v>
      </c>
      <c r="L364" s="44"/>
      <c r="M364" s="44"/>
      <c r="N364" s="44"/>
      <c r="O364" s="44"/>
      <c r="P364" s="44"/>
      <c r="Q364" s="44"/>
      <c r="R364" s="44"/>
      <c r="S364" s="44"/>
      <c r="T364" s="365" t="b">
        <f ca="1">AND(F364&gt;0,Y364&gt;0)</f>
        <v>0</v>
      </c>
      <c r="U364" s="44"/>
      <c r="V364" s="44"/>
      <c r="W364" s="44" t="s">
        <v>173</v>
      </c>
      <c r="X364" s="1094"/>
      <c r="Y364" s="91">
        <v>0</v>
      </c>
      <c r="Z364" s="1065"/>
      <c r="AA364" s="332" t="s">
        <v>174</v>
      </c>
      <c r="AB364" s="26" t="str">
        <f>"1.7."&amp;Y364</f>
        <v>1.7.0</v>
      </c>
      <c r="AC364" s="789"/>
      <c r="AD364" s="26" t="s">
        <v>804</v>
      </c>
      <c r="AE364" s="787"/>
      <c r="AF364" s="787"/>
      <c r="AG364" s="787"/>
      <c r="AH364" s="190">
        <f t="shared" si="96"/>
        <v>0</v>
      </c>
      <c r="AI364" s="787"/>
      <c r="AJ364" s="787"/>
      <c r="AK364" s="552"/>
      <c r="AL364" s="552"/>
      <c r="AM364" s="552"/>
      <c r="AN364" s="552"/>
      <c r="AO364" s="552"/>
      <c r="AP364" s="552"/>
      <c r="AQ364" s="552"/>
      <c r="AR364" s="552"/>
      <c r="AS364" s="552"/>
      <c r="AT364" s="787"/>
      <c r="AU364" s="552"/>
      <c r="AV364" s="552"/>
      <c r="AW364" s="552"/>
      <c r="AX364" s="552"/>
      <c r="AY364" s="552"/>
      <c r="AZ364" s="552"/>
      <c r="BA364" s="552"/>
      <c r="BB364" s="552"/>
      <c r="BC364" s="552"/>
      <c r="BD364" s="190">
        <f t="shared" si="97"/>
        <v>0</v>
      </c>
      <c r="BE364" s="552"/>
      <c r="BF364" s="552"/>
      <c r="BG364" s="552"/>
      <c r="BH364" s="552"/>
      <c r="BI364" s="552"/>
      <c r="BJ364" s="552"/>
      <c r="BK364" s="552"/>
      <c r="BL364" s="552"/>
      <c r="BM364" s="552"/>
      <c r="BN364" s="784"/>
      <c r="BO364" s="784"/>
      <c r="BP364" s="784"/>
      <c r="BS364" s="705" t="s">
        <v>2025</v>
      </c>
      <c r="BT364" s="705" t="s">
        <v>2026</v>
      </c>
      <c r="BU364" s="705" cm="1">
        <f t="array" ref="BU364">AC364</f>
        <v>0</v>
      </c>
      <c r="BW364" s="518" t="b">
        <v>1</v>
      </c>
    </row>
    <row r="365" spans="1:75" ht="14.25" customHeight="1">
      <c r="B365" s="341" t="b" cm="1">
        <f t="array" ref="B365">B364</f>
        <v>1</v>
      </c>
      <c r="C365" s="44"/>
      <c r="D365" s="44"/>
      <c r="E365" s="462">
        <v>15</v>
      </c>
      <c r="F365" s="3" t="str" cm="1">
        <f t="array" aca="1" ref="F365" ca="1">OFFSET(E365,-1,1)</f>
        <v>2</v>
      </c>
      <c r="G365" s="374"/>
      <c r="H365" s="44"/>
      <c r="I365" s="44"/>
      <c r="J365" s="44" t="s">
        <v>2027</v>
      </c>
      <c r="L365" s="44"/>
      <c r="M365" s="44"/>
      <c r="N365" s="44"/>
      <c r="O365" s="44"/>
      <c r="P365" s="44"/>
      <c r="Q365" s="44"/>
      <c r="R365" s="44"/>
      <c r="S365" s="44"/>
      <c r="T365" s="365" t="b">
        <f ca="1">F365&gt;0</f>
        <v>1</v>
      </c>
      <c r="U365" s="44"/>
      <c r="V365" s="44"/>
      <c r="W365" s="517" t="s">
        <v>392</v>
      </c>
      <c r="X365" s="1094"/>
      <c r="Z365" s="1065"/>
      <c r="AB365" s="599"/>
      <c r="AC365" s="191" t="s">
        <v>177</v>
      </c>
      <c r="AD365" s="557"/>
      <c r="AE365" s="557"/>
      <c r="AF365" s="557"/>
      <c r="AG365" s="557"/>
      <c r="AH365" s="557"/>
      <c r="AI365" s="557"/>
      <c r="AJ365" s="557"/>
      <c r="AK365" s="557"/>
      <c r="AL365" s="557"/>
      <c r="AM365" s="557"/>
      <c r="AN365" s="557"/>
      <c r="AO365" s="557"/>
      <c r="AP365" s="557"/>
      <c r="AQ365" s="557"/>
      <c r="AR365" s="557"/>
      <c r="AS365" s="557"/>
      <c r="AT365" s="557"/>
      <c r="AU365" s="557"/>
      <c r="AV365" s="557"/>
      <c r="AW365" s="557"/>
      <c r="AX365" s="557"/>
      <c r="AY365" s="557"/>
      <c r="AZ365" s="557"/>
      <c r="BA365" s="557"/>
      <c r="BB365" s="557"/>
      <c r="BC365" s="557"/>
      <c r="BD365" s="557"/>
      <c r="BE365" s="557"/>
      <c r="BF365" s="557"/>
      <c r="BG365" s="557"/>
      <c r="BH365" s="557"/>
      <c r="BI365" s="557"/>
      <c r="BJ365" s="557"/>
      <c r="BK365" s="557"/>
      <c r="BL365" s="557"/>
      <c r="BM365" s="557"/>
      <c r="BN365" s="557"/>
      <c r="BO365" s="557"/>
      <c r="BP365" s="558"/>
      <c r="BV365" s="518" t="s">
        <v>2026</v>
      </c>
    </row>
    <row r="366" spans="1:75" s="950" customFormat="1" ht="96.75" customHeight="1">
      <c r="A366" s="95"/>
      <c r="B366" s="344"/>
      <c r="C366" s="46"/>
      <c r="D366" s="46"/>
      <c r="E366" s="569">
        <v>21</v>
      </c>
      <c r="F366" s="3" t="str" cm="1">
        <f t="array" aca="1" ref="F366" ca="1">OFFSET(E366,-1,1)</f>
        <v>2</v>
      </c>
      <c r="G366" s="46"/>
      <c r="H366" s="44"/>
      <c r="I366" s="44" t="s">
        <v>328</v>
      </c>
      <c r="J366" s="46"/>
      <c r="K366" s="91" t="s">
        <v>328</v>
      </c>
      <c r="L366" s="46"/>
      <c r="M366" s="46"/>
      <c r="N366" s="46"/>
      <c r="O366" s="46"/>
      <c r="P366" s="46"/>
      <c r="Q366" s="46"/>
      <c r="R366" s="46"/>
      <c r="S366" s="46"/>
      <c r="T366" s="365" t="b">
        <f ca="1">F366&gt;0</f>
        <v>1</v>
      </c>
      <c r="U366" s="46"/>
      <c r="V366" s="46"/>
      <c r="W366" s="46"/>
      <c r="X366" s="1094"/>
      <c r="Y366" s="95"/>
      <c r="Z366" s="1065"/>
      <c r="AA366" s="95"/>
      <c r="AB366" s="166" t="s">
        <v>285</v>
      </c>
      <c r="AC366" s="144" t="s">
        <v>2028</v>
      </c>
      <c r="AD366" s="166" t="s">
        <v>804</v>
      </c>
      <c r="AE366" s="145">
        <f ca="1">AE367+AE379+AE380++AE391+AE392+AE393+AE395+AE396+AE397+AE398+AE401</f>
        <v>1502.5770778756803</v>
      </c>
      <c r="AF366" s="145">
        <f ca="1">AF367+AF379+AF380++AF391+AF392+AF393+AF395+AF396+AF397+AF398+AF401</f>
        <v>1932.4654599999999</v>
      </c>
      <c r="AG366" s="145">
        <f ca="1">AG367+AG379+AG380++AG391+AG392+AG393+AG395+AG396+AG397+AG398+AG401</f>
        <v>1361.60546</v>
      </c>
      <c r="AH366" s="145">
        <f t="shared" ref="AH366:AH411" ca="1" si="98">AG366-AF366</f>
        <v>-570.8599999999999</v>
      </c>
      <c r="AI366" s="145">
        <f t="shared" ref="AI366:BC366" ca="1" si="99">AI367+AI379+AI380++AI391+AI392+AI393+AI395+AI396+AI397+AI398+AI401</f>
        <v>2424.2068970411997</v>
      </c>
      <c r="AJ366" s="145">
        <f t="shared" ca="1" si="99"/>
        <v>2442.8902000000003</v>
      </c>
      <c r="AK366" s="145">
        <f t="shared" ca="1" si="99"/>
        <v>0</v>
      </c>
      <c r="AL366" s="145">
        <f t="shared" ca="1" si="99"/>
        <v>0</v>
      </c>
      <c r="AM366" s="145">
        <f t="shared" ca="1" si="99"/>
        <v>0</v>
      </c>
      <c r="AN366" s="145">
        <f t="shared" ca="1" si="99"/>
        <v>0</v>
      </c>
      <c r="AO366" s="145">
        <f t="shared" ca="1" si="99"/>
        <v>0</v>
      </c>
      <c r="AP366" s="145">
        <f t="shared" ca="1" si="99"/>
        <v>0</v>
      </c>
      <c r="AQ366" s="145">
        <f t="shared" ca="1" si="99"/>
        <v>0</v>
      </c>
      <c r="AR366" s="145">
        <f t="shared" ca="1" si="99"/>
        <v>0</v>
      </c>
      <c r="AS366" s="145">
        <f t="shared" ca="1" si="99"/>
        <v>0</v>
      </c>
      <c r="AT366" s="145">
        <f t="shared" ca="1" si="99"/>
        <v>1778.9782499999999</v>
      </c>
      <c r="AU366" s="145">
        <f t="shared" ca="1" si="99"/>
        <v>0</v>
      </c>
      <c r="AV366" s="145">
        <f t="shared" ca="1" si="99"/>
        <v>0</v>
      </c>
      <c r="AW366" s="145">
        <f t="shared" ca="1" si="99"/>
        <v>0</v>
      </c>
      <c r="AX366" s="145">
        <f t="shared" ca="1" si="99"/>
        <v>0</v>
      </c>
      <c r="AY366" s="145">
        <f t="shared" ca="1" si="99"/>
        <v>0</v>
      </c>
      <c r="AZ366" s="145">
        <f t="shared" ca="1" si="99"/>
        <v>0</v>
      </c>
      <c r="BA366" s="145">
        <f t="shared" ca="1" si="99"/>
        <v>0</v>
      </c>
      <c r="BB366" s="145">
        <f t="shared" ca="1" si="99"/>
        <v>0</v>
      </c>
      <c r="BC366" s="145">
        <f t="shared" ca="1" si="99"/>
        <v>0</v>
      </c>
      <c r="BD366" s="145">
        <f t="shared" ref="BD366:BD411" ca="1" si="100">IF(AI366=0,0,(AT366-AI366)/AI366*100)</f>
        <v>-26.616071748195925</v>
      </c>
      <c r="BE366" s="145">
        <f t="shared" ref="BE366:BE411" ca="1" si="101">IF(AT366=0,0,(AU366-AT366)/AT366*100)</f>
        <v>-100</v>
      </c>
      <c r="BF366" s="145">
        <f t="shared" ref="BF366:BF411" ca="1" si="102">IF(AU366=0,0,(AV366-AU366)/AU366*100)</f>
        <v>0</v>
      </c>
      <c r="BG366" s="145">
        <f t="shared" ref="BG366:BG411" ca="1" si="103">IF(AV366=0,0,(AW366-AV366)/AV366*100)</f>
        <v>0</v>
      </c>
      <c r="BH366" s="145">
        <f t="shared" ref="BH366:BH411" ca="1" si="104">IF(AW366=0,0,(AX366-AW366)/AW366*100)</f>
        <v>0</v>
      </c>
      <c r="BI366" s="145">
        <f t="shared" ref="BI366:BI411" ca="1" si="105">IF(AX366=0,0,(AY366-AX366)/AX366*100)</f>
        <v>0</v>
      </c>
      <c r="BJ366" s="145">
        <f t="shared" ref="BJ366:BJ411" ca="1" si="106">IF(AY366=0,0,(AZ366-AY366)/AY366*100)</f>
        <v>0</v>
      </c>
      <c r="BK366" s="145">
        <f t="shared" ref="BK366:BK411" ca="1" si="107">IF(AZ366=0,0,(BA366-AZ366)/AZ366*100)</f>
        <v>0</v>
      </c>
      <c r="BL366" s="145">
        <f t="shared" ref="BL366:BL411" ca="1" si="108">IF(BA366=0,0,(BB366-BA366)/BA366*100)</f>
        <v>0</v>
      </c>
      <c r="BM366" s="145">
        <f t="shared" ref="BM366:BM411" ca="1" si="109">IF(BB366=0,0,(BC366-BB366)/BB366*100)</f>
        <v>0</v>
      </c>
      <c r="BN366" s="215"/>
      <c r="BO366" s="215" t="s">
        <v>2210</v>
      </c>
      <c r="BP366" s="215" t="s">
        <v>2211</v>
      </c>
      <c r="BQ366" s="93"/>
      <c r="BR366" s="95"/>
      <c r="BS366" s="711" t="s">
        <v>2029</v>
      </c>
      <c r="BT366" s="711"/>
      <c r="BU366" s="711"/>
      <c r="BV366" s="522"/>
      <c r="BW366" s="522"/>
    </row>
    <row r="367" spans="1:75" s="950" customFormat="1" ht="21.75" customHeight="1">
      <c r="A367" s="95"/>
      <c r="B367" s="344"/>
      <c r="C367" s="46"/>
      <c r="D367" s="46"/>
      <c r="E367" s="569">
        <v>22.5</v>
      </c>
      <c r="F367" s="3" t="str" cm="1">
        <f t="array" aca="1" ref="F367" ca="1">OFFSET(E367,-1,1)</f>
        <v>2</v>
      </c>
      <c r="G367" s="280" t="str" cm="1">
        <f t="array" aca="1" ref="G367" ca="1">F366</f>
        <v>2</v>
      </c>
      <c r="H367" s="44"/>
      <c r="I367" s="44" t="s">
        <v>479</v>
      </c>
      <c r="J367" s="46"/>
      <c r="K367" s="91" t="s">
        <v>479</v>
      </c>
      <c r="L367" s="46" t="s">
        <v>465</v>
      </c>
      <c r="M367" s="46"/>
      <c r="N367" s="46"/>
      <c r="O367" s="46"/>
      <c r="P367" s="46"/>
      <c r="Q367" s="46"/>
      <c r="R367" s="46"/>
      <c r="S367" s="46"/>
      <c r="T367" s="365" t="b" cm="1">
        <f t="array" aca="1" ref="T367" ca="1">T366</f>
        <v>1</v>
      </c>
      <c r="U367" s="46"/>
      <c r="V367" s="46"/>
      <c r="W367" s="46"/>
      <c r="X367" s="1094"/>
      <c r="Y367" s="95"/>
      <c r="Z367" s="1065"/>
      <c r="AA367" s="95"/>
      <c r="AB367" s="143" t="s">
        <v>537</v>
      </c>
      <c r="AC367" s="276" t="s">
        <v>2030</v>
      </c>
      <c r="AD367" s="143" t="s">
        <v>804</v>
      </c>
      <c r="AE367" s="145">
        <f ca="1">SUM(AE368:AE378)</f>
        <v>1000.4095929484801</v>
      </c>
      <c r="AF367" s="145">
        <f ca="1">SUM(AF368:AF378)</f>
        <v>929.87545999999998</v>
      </c>
      <c r="AG367" s="145">
        <f ca="1">SUM(AG368:AG378)</f>
        <v>929.87545999999998</v>
      </c>
      <c r="AH367" s="145">
        <f t="shared" ca="1" si="98"/>
        <v>0</v>
      </c>
      <c r="AI367" s="145">
        <f t="shared" ref="AI367:BC367" ca="1" si="110">SUM(AI368:AI378)</f>
        <v>913.3</v>
      </c>
      <c r="AJ367" s="145">
        <f t="shared" ca="1" si="110"/>
        <v>1090.6802</v>
      </c>
      <c r="AK367" s="145">
        <f t="shared" ca="1" si="110"/>
        <v>0</v>
      </c>
      <c r="AL367" s="145">
        <f t="shared" ca="1" si="110"/>
        <v>0</v>
      </c>
      <c r="AM367" s="145">
        <f t="shared" ca="1" si="110"/>
        <v>0</v>
      </c>
      <c r="AN367" s="145">
        <f t="shared" ca="1" si="110"/>
        <v>0</v>
      </c>
      <c r="AO367" s="145">
        <f t="shared" ca="1" si="110"/>
        <v>0</v>
      </c>
      <c r="AP367" s="145">
        <f t="shared" ca="1" si="110"/>
        <v>0</v>
      </c>
      <c r="AQ367" s="145">
        <f t="shared" ca="1" si="110"/>
        <v>0</v>
      </c>
      <c r="AR367" s="145">
        <f t="shared" ca="1" si="110"/>
        <v>0</v>
      </c>
      <c r="AS367" s="145">
        <f t="shared" ca="1" si="110"/>
        <v>0</v>
      </c>
      <c r="AT367" s="145">
        <f t="shared" ca="1" si="110"/>
        <v>1253.34825</v>
      </c>
      <c r="AU367" s="145">
        <f t="shared" ca="1" si="110"/>
        <v>0</v>
      </c>
      <c r="AV367" s="145">
        <f t="shared" ca="1" si="110"/>
        <v>0</v>
      </c>
      <c r="AW367" s="145">
        <f t="shared" ca="1" si="110"/>
        <v>0</v>
      </c>
      <c r="AX367" s="145">
        <f t="shared" ca="1" si="110"/>
        <v>0</v>
      </c>
      <c r="AY367" s="145">
        <f t="shared" ca="1" si="110"/>
        <v>0</v>
      </c>
      <c r="AZ367" s="145">
        <f t="shared" ca="1" si="110"/>
        <v>0</v>
      </c>
      <c r="BA367" s="145">
        <f t="shared" ca="1" si="110"/>
        <v>0</v>
      </c>
      <c r="BB367" s="145">
        <f t="shared" ca="1" si="110"/>
        <v>0</v>
      </c>
      <c r="BC367" s="145">
        <f t="shared" ca="1" si="110"/>
        <v>0</v>
      </c>
      <c r="BD367" s="145">
        <f t="shared" ca="1" si="100"/>
        <v>37.232919084638134</v>
      </c>
      <c r="BE367" s="145">
        <f t="shared" ca="1" si="101"/>
        <v>-100</v>
      </c>
      <c r="BF367" s="145">
        <f t="shared" ca="1" si="102"/>
        <v>0</v>
      </c>
      <c r="BG367" s="145">
        <f t="shared" ca="1" si="103"/>
        <v>0</v>
      </c>
      <c r="BH367" s="145">
        <f t="shared" ca="1" si="104"/>
        <v>0</v>
      </c>
      <c r="BI367" s="145">
        <f t="shared" ca="1" si="105"/>
        <v>0</v>
      </c>
      <c r="BJ367" s="145">
        <f t="shared" ca="1" si="106"/>
        <v>0</v>
      </c>
      <c r="BK367" s="145">
        <f t="shared" ca="1" si="107"/>
        <v>0</v>
      </c>
      <c r="BL367" s="145">
        <f t="shared" ca="1" si="108"/>
        <v>0</v>
      </c>
      <c r="BM367" s="145">
        <f t="shared" ca="1" si="109"/>
        <v>0</v>
      </c>
      <c r="BN367" s="566"/>
      <c r="BO367" s="566"/>
      <c r="BP367" s="566"/>
      <c r="BQ367" s="95"/>
      <c r="BR367" s="95"/>
      <c r="BS367" s="711" t="s">
        <v>2031</v>
      </c>
      <c r="BT367" s="711"/>
      <c r="BU367" s="711"/>
      <c r="BV367" s="522"/>
      <c r="BW367" s="522"/>
    </row>
    <row r="368" spans="1:75" ht="14.25" customHeight="1">
      <c r="C368" s="44"/>
      <c r="D368" s="44"/>
      <c r="E368" s="462">
        <v>15</v>
      </c>
      <c r="F368" s="3" t="str" cm="1">
        <f t="array" aca="1" ref="F368" ca="1">OFFSET(E368,-1,1)</f>
        <v>2</v>
      </c>
      <c r="G368" s="44" t="s">
        <v>1106</v>
      </c>
      <c r="H368" s="44"/>
      <c r="I368" s="44" t="s">
        <v>1562</v>
      </c>
      <c r="J368" s="44"/>
      <c r="K368" s="91" t="s">
        <v>1562</v>
      </c>
      <c r="L368" s="44" t="s">
        <v>1339</v>
      </c>
      <c r="M368" s="44"/>
      <c r="N368" s="44"/>
      <c r="O368" s="44"/>
      <c r="P368" s="44"/>
      <c r="Q368" s="44"/>
      <c r="R368" s="44"/>
      <c r="S368" s="44"/>
      <c r="T368" s="365" t="b" cm="1">
        <f t="array" aca="1" ref="T368" ca="1">T367</f>
        <v>1</v>
      </c>
      <c r="U368" s="44"/>
      <c r="V368" s="44"/>
      <c r="W368" s="44"/>
      <c r="X368" s="1094"/>
      <c r="Z368" s="1065"/>
      <c r="AB368" s="26" t="s">
        <v>487</v>
      </c>
      <c r="AC368" s="153" t="s">
        <v>2032</v>
      </c>
      <c r="AD368" s="26" t="s">
        <v>804</v>
      </c>
      <c r="AE368" s="190">
        <f ca="1">SUMIFS(Покупка!AE$25:AE$254,Покупка!$F$25:$F$254,$F368,Покупка!$AC$25:$AC$254,$G368)</f>
        <v>1000.4095929484801</v>
      </c>
      <c r="AF368" s="190">
        <f ca="1">SUMIFS(Покупка!AF$25:AF$254,Покупка!$F$25:$F$254,$F368,Покупка!$AC$25:$AC$254,$G368)</f>
        <v>929.87545999999998</v>
      </c>
      <c r="AG368" s="190">
        <f ca="1">SUMIFS(Покупка!AG$25:AG$254,Покупка!$F$25:$F$254,$F368,Покупка!$AC$25:$AC$254,$G368)</f>
        <v>929.87545999999998</v>
      </c>
      <c r="AH368" s="190">
        <f t="shared" ca="1" si="98"/>
        <v>0</v>
      </c>
      <c r="AI368" s="190">
        <f ca="1">SUMIFS(Покупка!AH$25:AH$254,Покупка!$F$25:$F$254,$F368,Покупка!$AC$25:$AC$254,$G368)</f>
        <v>913.3</v>
      </c>
      <c r="AJ368" s="190">
        <f ca="1">SUMIFS(Покупка!AI$25:AI$254,Покупка!$F$25:$F$254,$F368,Покупка!$AC$25:$AC$254,$G368)</f>
        <v>1090.6802</v>
      </c>
      <c r="AK368" s="190">
        <f ca="1">SUMIFS(Покупка!AJ$25:AJ$254,Покупка!$F$25:$F$254,$F368,Покупка!$AC$25:$AC$254,$G368)</f>
        <v>0</v>
      </c>
      <c r="AL368" s="190">
        <f ca="1">SUMIFS(Покупка!AK$25:AK$254,Покупка!$F$25:$F$254,$F368,Покупка!$AC$25:$AC$254,$G368)</f>
        <v>0</v>
      </c>
      <c r="AM368" s="190">
        <f ca="1">SUMIFS(Покупка!AL$25:AL$254,Покупка!$F$25:$F$254,$F368,Покупка!$AC$25:$AC$254,$G368)</f>
        <v>0</v>
      </c>
      <c r="AN368" s="190">
        <f ca="1">SUMIFS(Покупка!AM$25:AM$254,Покупка!$F$25:$F$254,$F368,Покупка!$AC$25:$AC$254,$G368)</f>
        <v>0</v>
      </c>
      <c r="AO368" s="190">
        <f ca="1">SUMIFS(Покупка!AN$25:AN$254,Покупка!$F$25:$F$254,$F368,Покупка!$AC$25:$AC$254,$G368)</f>
        <v>0</v>
      </c>
      <c r="AP368" s="190">
        <f ca="1">SUMIFS(Покупка!AO$25:AO$254,Покупка!$F$25:$F$254,$F368,Покупка!$AC$25:$AC$254,$G368)</f>
        <v>0</v>
      </c>
      <c r="AQ368" s="190">
        <f ca="1">SUMIFS(Покупка!AP$25:AP$254,Покупка!$F$25:$F$254,$F368,Покупка!$AC$25:$AC$254,$G368)</f>
        <v>0</v>
      </c>
      <c r="AR368" s="190">
        <f ca="1">SUMIFS(Покупка!AQ$25:AQ$254,Покупка!$F$25:$F$254,$F368,Покупка!$AC$25:$AC$254,$G368)</f>
        <v>0</v>
      </c>
      <c r="AS368" s="190">
        <f ca="1">SUMIFS(Покупка!AR$25:AR$254,Покупка!$F$25:$F$254,$F368,Покупка!$AC$25:$AC$254,$G368)</f>
        <v>0</v>
      </c>
      <c r="AT368" s="190">
        <f ca="1">SUMIFS(Покупка!AS$25:AS$254,Покупка!$F$25:$F$254,$F368,Покупка!$AC$25:$AC$254,$G368)</f>
        <v>1253.34825</v>
      </c>
      <c r="AU368" s="190">
        <f ca="1">SUMIFS(Покупка!AT$25:AT$254,Покупка!$F$25:$F$254,$F368,Покупка!$AC$25:$AC$254,$G368)</f>
        <v>0</v>
      </c>
      <c r="AV368" s="190">
        <f ca="1">SUMIFS(Покупка!AU$25:AU$254,Покупка!$F$25:$F$254,$F368,Покупка!$AC$25:$AC$254,$G368)</f>
        <v>0</v>
      </c>
      <c r="AW368" s="190">
        <f ca="1">SUMIFS(Покупка!AV$25:AV$254,Покупка!$F$25:$F$254,$F368,Покупка!$AC$25:$AC$254,$G368)</f>
        <v>0</v>
      </c>
      <c r="AX368" s="190">
        <f ca="1">SUMIFS(Покупка!AW$25:AW$254,Покупка!$F$25:$F$254,$F368,Покупка!$AC$25:$AC$254,$G368)</f>
        <v>0</v>
      </c>
      <c r="AY368" s="190">
        <f ca="1">SUMIFS(Покупка!AX$25:AX$254,Покупка!$F$25:$F$254,$F368,Покупка!$AC$25:$AC$254,$G368)</f>
        <v>0</v>
      </c>
      <c r="AZ368" s="190">
        <f ca="1">SUMIFS(Покупка!AY$25:AY$254,Покупка!$F$25:$F$254,$F368,Покупка!$AC$25:$AC$254,$G368)</f>
        <v>0</v>
      </c>
      <c r="BA368" s="190">
        <f ca="1">SUMIFS(Покупка!AZ$25:AZ$254,Покупка!$F$25:$F$254,$F368,Покупка!$AC$25:$AC$254,$G368)</f>
        <v>0</v>
      </c>
      <c r="BB368" s="190">
        <f ca="1">SUMIFS(Покупка!BA$25:BA$254,Покупка!$F$25:$F$254,$F368,Покупка!$AC$25:$AC$254,$G368)</f>
        <v>0</v>
      </c>
      <c r="BC368" s="190">
        <f ca="1">SUMIFS(Покупка!BB$25:BB$254,Покупка!$F$25:$F$254,$F368,Покупка!$AC$25:$AC$254,$G368)</f>
        <v>0</v>
      </c>
      <c r="BD368" s="190">
        <f t="shared" ca="1" si="100"/>
        <v>37.232919084638134</v>
      </c>
      <c r="BE368" s="190">
        <f t="shared" ca="1" si="101"/>
        <v>-100</v>
      </c>
      <c r="BF368" s="190">
        <f t="shared" ca="1" si="102"/>
        <v>0</v>
      </c>
      <c r="BG368" s="190">
        <f t="shared" ca="1" si="103"/>
        <v>0</v>
      </c>
      <c r="BH368" s="190">
        <f t="shared" ca="1" si="104"/>
        <v>0</v>
      </c>
      <c r="BI368" s="190">
        <f t="shared" ca="1" si="105"/>
        <v>0</v>
      </c>
      <c r="BJ368" s="190">
        <f t="shared" ca="1" si="106"/>
        <v>0</v>
      </c>
      <c r="BK368" s="190">
        <f t="shared" ca="1" si="107"/>
        <v>0</v>
      </c>
      <c r="BL368" s="190">
        <f t="shared" ca="1" si="108"/>
        <v>0</v>
      </c>
      <c r="BM368" s="190">
        <f t="shared" ca="1" si="109"/>
        <v>0</v>
      </c>
      <c r="BN368" s="215"/>
      <c r="BO368" s="610" t="str">
        <f ca="1">IF(IFERROR(INDEX(Покупка!$K$26:$L$254,MATCH($F368&amp;"6komm",Покупка!$K$26:$K$254,0),2),"")=0,"",IFERROR(INDEX(Покупка!$K$26:$L$254,MATCH($F368&amp;"6komm",Покупка!$K$26:$K$254,0),2),""))</f>
        <v>рассчитаны по фактическому расходу Гкалл 2024 года, тарифы с 01.01 по 30.09 на уровне декабря 2025 года (пост. от 09.12.2025 № 403), тарифы с 01.10. по 31.12. с применением ИПЦ Минэкономразвития России на 2026 год 105,1%.</v>
      </c>
      <c r="BP368" s="215"/>
      <c r="BS368" s="705" t="s">
        <v>1107</v>
      </c>
    </row>
    <row r="369" spans="1:75" ht="14.25" customHeight="1">
      <c r="C369" s="44"/>
      <c r="D369" s="44"/>
      <c r="E369" s="462">
        <v>15</v>
      </c>
      <c r="F369" s="3" t="str" cm="1">
        <f t="array" aca="1" ref="F369" ca="1">OFFSET(E369,-1,1)</f>
        <v>2</v>
      </c>
      <c r="G369" s="44" t="s">
        <v>1128</v>
      </c>
      <c r="H369" s="44"/>
      <c r="I369" s="44" t="s">
        <v>1566</v>
      </c>
      <c r="J369" s="44"/>
      <c r="K369" s="44" t="s">
        <v>1566</v>
      </c>
      <c r="L369" s="44" t="s">
        <v>1343</v>
      </c>
      <c r="M369" s="44"/>
      <c r="N369" s="44"/>
      <c r="O369" s="44"/>
      <c r="P369" s="44"/>
      <c r="Q369" s="44"/>
      <c r="R369" s="44"/>
      <c r="S369" s="44"/>
      <c r="T369" s="365" t="b" cm="1">
        <f t="array" aca="1" ref="T369" ca="1">T368</f>
        <v>1</v>
      </c>
      <c r="U369" s="44"/>
      <c r="V369" s="44"/>
      <c r="W369" s="44"/>
      <c r="X369" s="1094"/>
      <c r="Z369" s="1065"/>
      <c r="AB369" s="26" t="s">
        <v>2033</v>
      </c>
      <c r="AC369" s="153" t="s">
        <v>2034</v>
      </c>
      <c r="AD369" s="26" t="s">
        <v>804</v>
      </c>
      <c r="AE369" s="190">
        <f ca="1">SUMIFS(Покупка!AE$25:AE$254,Покупка!$F$25:$F$254,$F369,Покупка!$AC$25:$AC$254,$G369)</f>
        <v>0</v>
      </c>
      <c r="AF369" s="190">
        <f ca="1">SUMIFS(Покупка!AF$25:AF$254,Покупка!$F$25:$F$254,$F369,Покупка!$AC$25:$AC$254,$G369)</f>
        <v>0</v>
      </c>
      <c r="AG369" s="190">
        <f ca="1">SUMIFS(Покупка!AG$25:AG$254,Покупка!$F$25:$F$254,$F369,Покупка!$AC$25:$AC$254,$G369)</f>
        <v>0</v>
      </c>
      <c r="AH369" s="190">
        <f t="shared" ca="1" si="98"/>
        <v>0</v>
      </c>
      <c r="AI369" s="190">
        <f ca="1">SUMIFS(Покупка!AH$25:AH$254,Покупка!$F$25:$F$254,$F369,Покупка!$AC$25:$AC$254,$G369)</f>
        <v>0</v>
      </c>
      <c r="AJ369" s="190">
        <f ca="1">SUMIFS(Покупка!AI$25:AI$254,Покупка!$F$25:$F$254,$F369,Покупка!$AC$25:$AC$254,$G369)</f>
        <v>0</v>
      </c>
      <c r="AK369" s="190">
        <f ca="1">SUMIFS(Покупка!AJ$25:AJ$254,Покупка!$F$25:$F$254,$F369,Покупка!$AC$25:$AC$254,$G369)</f>
        <v>0</v>
      </c>
      <c r="AL369" s="190">
        <f ca="1">SUMIFS(Покупка!AK$25:AK$254,Покупка!$F$25:$F$254,$F369,Покупка!$AC$25:$AC$254,$G369)</f>
        <v>0</v>
      </c>
      <c r="AM369" s="190">
        <f ca="1">SUMIFS(Покупка!AL$25:AL$254,Покупка!$F$25:$F$254,$F369,Покупка!$AC$25:$AC$254,$G369)</f>
        <v>0</v>
      </c>
      <c r="AN369" s="190">
        <f ca="1">SUMIFS(Покупка!AM$25:AM$254,Покупка!$F$25:$F$254,$F369,Покупка!$AC$25:$AC$254,$G369)</f>
        <v>0</v>
      </c>
      <c r="AO369" s="190">
        <f ca="1">SUMIFS(Покупка!AN$25:AN$254,Покупка!$F$25:$F$254,$F369,Покупка!$AC$25:$AC$254,$G369)</f>
        <v>0</v>
      </c>
      <c r="AP369" s="190">
        <f ca="1">SUMIFS(Покупка!AO$25:AO$254,Покупка!$F$25:$F$254,$F369,Покупка!$AC$25:$AC$254,$G369)</f>
        <v>0</v>
      </c>
      <c r="AQ369" s="190">
        <f ca="1">SUMIFS(Покупка!AP$25:AP$254,Покупка!$F$25:$F$254,$F369,Покупка!$AC$25:$AC$254,$G369)</f>
        <v>0</v>
      </c>
      <c r="AR369" s="190">
        <f ca="1">SUMIFS(Покупка!AQ$25:AQ$254,Покупка!$F$25:$F$254,$F369,Покупка!$AC$25:$AC$254,$G369)</f>
        <v>0</v>
      </c>
      <c r="AS369" s="190">
        <f ca="1">SUMIFS(Покупка!AR$25:AR$254,Покупка!$F$25:$F$254,$F369,Покупка!$AC$25:$AC$254,$G369)</f>
        <v>0</v>
      </c>
      <c r="AT369" s="190">
        <f ca="1">SUMIFS(Покупка!AS$25:AS$254,Покупка!$F$25:$F$254,$F369,Покупка!$AC$25:$AC$254,$G369)</f>
        <v>0</v>
      </c>
      <c r="AU369" s="190">
        <f ca="1">SUMIFS(Покупка!AT$25:AT$254,Покупка!$F$25:$F$254,$F369,Покупка!$AC$25:$AC$254,$G369)</f>
        <v>0</v>
      </c>
      <c r="AV369" s="190">
        <f ca="1">SUMIFS(Покупка!AU$25:AU$254,Покупка!$F$25:$F$254,$F369,Покупка!$AC$25:$AC$254,$G369)</f>
        <v>0</v>
      </c>
      <c r="AW369" s="190">
        <f ca="1">SUMIFS(Покупка!AV$25:AV$254,Покупка!$F$25:$F$254,$F369,Покупка!$AC$25:$AC$254,$G369)</f>
        <v>0</v>
      </c>
      <c r="AX369" s="190">
        <f ca="1">SUMIFS(Покупка!AW$25:AW$254,Покупка!$F$25:$F$254,$F369,Покупка!$AC$25:$AC$254,$G369)</f>
        <v>0</v>
      </c>
      <c r="AY369" s="190">
        <f ca="1">SUMIFS(Покупка!AX$25:AX$254,Покупка!$F$25:$F$254,$F369,Покупка!$AC$25:$AC$254,$G369)</f>
        <v>0</v>
      </c>
      <c r="AZ369" s="190">
        <f ca="1">SUMIFS(Покупка!AY$25:AY$254,Покупка!$F$25:$F$254,$F369,Покупка!$AC$25:$AC$254,$G369)</f>
        <v>0</v>
      </c>
      <c r="BA369" s="190">
        <f ca="1">SUMIFS(Покупка!AZ$25:AZ$254,Покупка!$F$25:$F$254,$F369,Покупка!$AC$25:$AC$254,$G369)</f>
        <v>0</v>
      </c>
      <c r="BB369" s="190">
        <f ca="1">SUMIFS(Покупка!BA$25:BA$254,Покупка!$F$25:$F$254,$F369,Покупка!$AC$25:$AC$254,$G369)</f>
        <v>0</v>
      </c>
      <c r="BC369" s="190">
        <f ca="1">SUMIFS(Покупка!BB$25:BB$254,Покупка!$F$25:$F$254,$F369,Покупка!$AC$25:$AC$254,$G369)</f>
        <v>0</v>
      </c>
      <c r="BD369" s="190">
        <f t="shared" ca="1" si="100"/>
        <v>0</v>
      </c>
      <c r="BE369" s="190">
        <f t="shared" ca="1" si="101"/>
        <v>0</v>
      </c>
      <c r="BF369" s="190">
        <f t="shared" ca="1" si="102"/>
        <v>0</v>
      </c>
      <c r="BG369" s="190">
        <f t="shared" ca="1" si="103"/>
        <v>0</v>
      </c>
      <c r="BH369" s="190">
        <f t="shared" ca="1" si="104"/>
        <v>0</v>
      </c>
      <c r="BI369" s="190">
        <f t="shared" ca="1" si="105"/>
        <v>0</v>
      </c>
      <c r="BJ369" s="190">
        <f t="shared" ca="1" si="106"/>
        <v>0</v>
      </c>
      <c r="BK369" s="190">
        <f t="shared" ca="1" si="107"/>
        <v>0</v>
      </c>
      <c r="BL369" s="190">
        <f t="shared" ca="1" si="108"/>
        <v>0</v>
      </c>
      <c r="BM369" s="190">
        <f t="shared" ca="1" si="109"/>
        <v>0</v>
      </c>
      <c r="BN369" s="215"/>
      <c r="BO369" s="610" t="str">
        <f ca="1">IF(IFERROR(INDEX(Покупка!$K$26:$L$254,MATCH($F369&amp;"7komm",Покупка!$K$26:$K$254,0),2),"")=0,"",IFERROR(INDEX(Покупка!$K$26:$L$254,MATCH($F369&amp;"7komm",Покупка!$K$26:$K$254,0),2),""))</f>
        <v/>
      </c>
      <c r="BP369" s="215"/>
      <c r="BS369" s="705" t="s">
        <v>1129</v>
      </c>
    </row>
    <row r="370" spans="1:75" ht="14.25" customHeight="1">
      <c r="C370" s="44"/>
      <c r="D370" s="44"/>
      <c r="E370" s="462">
        <v>15</v>
      </c>
      <c r="F370" s="3" t="str" cm="1">
        <f t="array" aca="1" ref="F370" ca="1">OFFSET(E370,-1,1)</f>
        <v>2</v>
      </c>
      <c r="G370" s="44" t="s">
        <v>1080</v>
      </c>
      <c r="H370" s="44"/>
      <c r="I370" s="44" t="s">
        <v>1661</v>
      </c>
      <c r="J370" s="44"/>
      <c r="K370" s="44" t="s">
        <v>1661</v>
      </c>
      <c r="L370" s="44" t="s">
        <v>1511</v>
      </c>
      <c r="M370" s="44"/>
      <c r="N370" s="44"/>
      <c r="O370" s="44"/>
      <c r="P370" s="44"/>
      <c r="Q370" s="44"/>
      <c r="R370" s="44"/>
      <c r="S370" s="44"/>
      <c r="T370" s="365" t="b" cm="1">
        <f t="array" aca="1" ref="T370" ca="1">T369</f>
        <v>1</v>
      </c>
      <c r="U370" s="44"/>
      <c r="V370" s="44"/>
      <c r="W370" s="44"/>
      <c r="X370" s="1094"/>
      <c r="Z370" s="1065"/>
      <c r="AB370" s="26" t="s">
        <v>2035</v>
      </c>
      <c r="AC370" s="153" t="s">
        <v>2036</v>
      </c>
      <c r="AD370" s="26" t="s">
        <v>804</v>
      </c>
      <c r="AE370" s="190">
        <f ca="1">SUMIFS(Покупка!AE$25:AE$254,Покупка!$F$25:$F$254,$F370,Покупка!$AC$25:$AC$254,$G370)</f>
        <v>0</v>
      </c>
      <c r="AF370" s="190">
        <f ca="1">SUMIFS(Покупка!AF$25:AF$254,Покупка!$F$25:$F$254,$F370,Покупка!$AC$25:$AC$254,$G370)</f>
        <v>0</v>
      </c>
      <c r="AG370" s="190">
        <f ca="1">SUMIFS(Покупка!AG$25:AG$254,Покупка!$F$25:$F$254,$F370,Покупка!$AC$25:$AC$254,$G370)</f>
        <v>0</v>
      </c>
      <c r="AH370" s="190">
        <f t="shared" ca="1" si="98"/>
        <v>0</v>
      </c>
      <c r="AI370" s="190">
        <f ca="1">SUMIFS(Покупка!AH$25:AH$254,Покупка!$F$25:$F$254,$F370,Покупка!$AC$25:$AC$254,$G370)</f>
        <v>0</v>
      </c>
      <c r="AJ370" s="190">
        <f ca="1">SUMIFS(Покупка!AI$25:AI$254,Покупка!$F$25:$F$254,$F370,Покупка!$AC$25:$AC$254,$G370)</f>
        <v>0</v>
      </c>
      <c r="AK370" s="190">
        <f ca="1">SUMIFS(Покупка!AJ$25:AJ$254,Покупка!$F$25:$F$254,$F370,Покупка!$AC$25:$AC$254,$G370)</f>
        <v>0</v>
      </c>
      <c r="AL370" s="190">
        <f ca="1">SUMIFS(Покупка!AK$25:AK$254,Покупка!$F$25:$F$254,$F370,Покупка!$AC$25:$AC$254,$G370)</f>
        <v>0</v>
      </c>
      <c r="AM370" s="190">
        <f ca="1">SUMIFS(Покупка!AL$25:AL$254,Покупка!$F$25:$F$254,$F370,Покупка!$AC$25:$AC$254,$G370)</f>
        <v>0</v>
      </c>
      <c r="AN370" s="190">
        <f ca="1">SUMIFS(Покупка!AM$25:AM$254,Покупка!$F$25:$F$254,$F370,Покупка!$AC$25:$AC$254,$G370)</f>
        <v>0</v>
      </c>
      <c r="AO370" s="190">
        <f ca="1">SUMIFS(Покупка!AN$25:AN$254,Покупка!$F$25:$F$254,$F370,Покупка!$AC$25:$AC$254,$G370)</f>
        <v>0</v>
      </c>
      <c r="AP370" s="190">
        <f ca="1">SUMIFS(Покупка!AO$25:AO$254,Покупка!$F$25:$F$254,$F370,Покупка!$AC$25:$AC$254,$G370)</f>
        <v>0</v>
      </c>
      <c r="AQ370" s="190">
        <f ca="1">SUMIFS(Покупка!AP$25:AP$254,Покупка!$F$25:$F$254,$F370,Покупка!$AC$25:$AC$254,$G370)</f>
        <v>0</v>
      </c>
      <c r="AR370" s="190">
        <f ca="1">SUMIFS(Покупка!AQ$25:AQ$254,Покупка!$F$25:$F$254,$F370,Покупка!$AC$25:$AC$254,$G370)</f>
        <v>0</v>
      </c>
      <c r="AS370" s="190">
        <f ca="1">SUMIFS(Покупка!AR$25:AR$254,Покупка!$F$25:$F$254,$F370,Покупка!$AC$25:$AC$254,$G370)</f>
        <v>0</v>
      </c>
      <c r="AT370" s="190">
        <f ca="1">SUMIFS(Покупка!AS$25:AS$254,Покупка!$F$25:$F$254,$F370,Покупка!$AC$25:$AC$254,$G370)</f>
        <v>0</v>
      </c>
      <c r="AU370" s="190">
        <f ca="1">SUMIFS(Покупка!AT$25:AT$254,Покупка!$F$25:$F$254,$F370,Покупка!$AC$25:$AC$254,$G370)</f>
        <v>0</v>
      </c>
      <c r="AV370" s="190">
        <f ca="1">SUMIFS(Покупка!AU$25:AU$254,Покупка!$F$25:$F$254,$F370,Покупка!$AC$25:$AC$254,$G370)</f>
        <v>0</v>
      </c>
      <c r="AW370" s="190">
        <f ca="1">SUMIFS(Покупка!AV$25:AV$254,Покупка!$F$25:$F$254,$F370,Покупка!$AC$25:$AC$254,$G370)</f>
        <v>0</v>
      </c>
      <c r="AX370" s="190">
        <f ca="1">SUMIFS(Покупка!AW$25:AW$254,Покупка!$F$25:$F$254,$F370,Покупка!$AC$25:$AC$254,$G370)</f>
        <v>0</v>
      </c>
      <c r="AY370" s="190">
        <f ca="1">SUMIFS(Покупка!AX$25:AX$254,Покупка!$F$25:$F$254,$F370,Покупка!$AC$25:$AC$254,$G370)</f>
        <v>0</v>
      </c>
      <c r="AZ370" s="190">
        <f ca="1">SUMIFS(Покупка!AY$25:AY$254,Покупка!$F$25:$F$254,$F370,Покупка!$AC$25:$AC$254,$G370)</f>
        <v>0</v>
      </c>
      <c r="BA370" s="190">
        <f ca="1">SUMIFS(Покупка!AZ$25:AZ$254,Покупка!$F$25:$F$254,$F370,Покупка!$AC$25:$AC$254,$G370)</f>
        <v>0</v>
      </c>
      <c r="BB370" s="190">
        <f ca="1">SUMIFS(Покупка!BA$25:BA$254,Покупка!$F$25:$F$254,$F370,Покупка!$AC$25:$AC$254,$G370)</f>
        <v>0</v>
      </c>
      <c r="BC370" s="190">
        <f ca="1">SUMIFS(Покупка!BB$25:BB$254,Покупка!$F$25:$F$254,$F370,Покупка!$AC$25:$AC$254,$G370)</f>
        <v>0</v>
      </c>
      <c r="BD370" s="190">
        <f t="shared" ca="1" si="100"/>
        <v>0</v>
      </c>
      <c r="BE370" s="190">
        <f t="shared" ca="1" si="101"/>
        <v>0</v>
      </c>
      <c r="BF370" s="190">
        <f t="shared" ca="1" si="102"/>
        <v>0</v>
      </c>
      <c r="BG370" s="190">
        <f t="shared" ca="1" si="103"/>
        <v>0</v>
      </c>
      <c r="BH370" s="190">
        <f t="shared" ca="1" si="104"/>
        <v>0</v>
      </c>
      <c r="BI370" s="190">
        <f t="shared" ca="1" si="105"/>
        <v>0</v>
      </c>
      <c r="BJ370" s="190">
        <f t="shared" ca="1" si="106"/>
        <v>0</v>
      </c>
      <c r="BK370" s="190">
        <f t="shared" ca="1" si="107"/>
        <v>0</v>
      </c>
      <c r="BL370" s="190">
        <f t="shared" ca="1" si="108"/>
        <v>0</v>
      </c>
      <c r="BM370" s="190">
        <f t="shared" ca="1" si="109"/>
        <v>0</v>
      </c>
      <c r="BN370" s="215"/>
      <c r="BO370" s="610" t="str">
        <f ca="1">IF(IFERROR(INDEX(Покупка!$K$26:$L$254,MATCH($F370&amp;"2komm",Покупка!$K$26:$K$254,0),2),"")=0,"",IFERROR(INDEX(Покупка!$K$26:$L$254,MATCH($F370&amp;"2komm",Покупка!$K$26:$K$254,0),2),""))</f>
        <v/>
      </c>
      <c r="BP370" s="215"/>
      <c r="BS370" s="705" t="s">
        <v>2037</v>
      </c>
    </row>
    <row r="371" spans="1:75" ht="14.25" customHeight="1">
      <c r="C371" s="44"/>
      <c r="D371" s="44"/>
      <c r="E371" s="462">
        <v>15</v>
      </c>
      <c r="F371" s="3" t="str" cm="1">
        <f t="array" aca="1" ref="F371" ca="1">OFFSET(E371,-1,1)</f>
        <v>2</v>
      </c>
      <c r="G371" s="44" t="s">
        <v>1067</v>
      </c>
      <c r="H371" s="44"/>
      <c r="I371" s="44" t="s">
        <v>1663</v>
      </c>
      <c r="J371" s="44"/>
      <c r="K371" s="44" t="s">
        <v>1663</v>
      </c>
      <c r="L371" s="44" t="s">
        <v>1506</v>
      </c>
      <c r="M371" s="44"/>
      <c r="N371" s="44"/>
      <c r="O371" s="44"/>
      <c r="P371" s="44"/>
      <c r="Q371" s="44"/>
      <c r="R371" s="44"/>
      <c r="S371" s="44"/>
      <c r="T371" s="365" t="b" cm="1">
        <f t="array" aca="1" ref="T371" ca="1">T370</f>
        <v>1</v>
      </c>
      <c r="U371" s="44"/>
      <c r="V371" s="44"/>
      <c r="W371" s="44"/>
      <c r="X371" s="1094"/>
      <c r="Z371" s="1065"/>
      <c r="AB371" s="26" t="s">
        <v>2038</v>
      </c>
      <c r="AC371" s="153" t="s">
        <v>2039</v>
      </c>
      <c r="AD371" s="26" t="s">
        <v>804</v>
      </c>
      <c r="AE371" s="190">
        <f ca="1">SUMIFS(Покупка!AE$25:AE$254,Покупка!$F$25:$F$254,$F371,Покупка!$AC$25:$AC$254,$G371)</f>
        <v>0</v>
      </c>
      <c r="AF371" s="190">
        <f ca="1">SUMIFS(Покупка!AF$25:AF$254,Покупка!$F$25:$F$254,$F371,Покупка!$AC$25:$AC$254,$G371)</f>
        <v>0</v>
      </c>
      <c r="AG371" s="190">
        <f ca="1">SUMIFS(Покупка!AG$25:AG$254,Покупка!$F$25:$F$254,$F371,Покупка!$AC$25:$AC$254,$G371)</f>
        <v>0</v>
      </c>
      <c r="AH371" s="190">
        <f t="shared" ca="1" si="98"/>
        <v>0</v>
      </c>
      <c r="AI371" s="190">
        <f ca="1">SUMIFS(Покупка!AH$25:AH$254,Покупка!$F$25:$F$254,$F371,Покупка!$AC$25:$AC$254,$G371)</f>
        <v>0</v>
      </c>
      <c r="AJ371" s="190">
        <f ca="1">SUMIFS(Покупка!AI$25:AI$254,Покупка!$F$25:$F$254,$F371,Покупка!$AC$25:$AC$254,$G371)</f>
        <v>0</v>
      </c>
      <c r="AK371" s="190">
        <f ca="1">SUMIFS(Покупка!AJ$25:AJ$254,Покупка!$F$25:$F$254,$F371,Покупка!$AC$25:$AC$254,$G371)</f>
        <v>0</v>
      </c>
      <c r="AL371" s="190">
        <f ca="1">SUMIFS(Покупка!AK$25:AK$254,Покупка!$F$25:$F$254,$F371,Покупка!$AC$25:$AC$254,$G371)</f>
        <v>0</v>
      </c>
      <c r="AM371" s="190">
        <f ca="1">SUMIFS(Покупка!AL$25:AL$254,Покупка!$F$25:$F$254,$F371,Покупка!$AC$25:$AC$254,$G371)</f>
        <v>0</v>
      </c>
      <c r="AN371" s="190">
        <f ca="1">SUMIFS(Покупка!AM$25:AM$254,Покупка!$F$25:$F$254,$F371,Покупка!$AC$25:$AC$254,$G371)</f>
        <v>0</v>
      </c>
      <c r="AO371" s="190">
        <f ca="1">SUMIFS(Покупка!AN$25:AN$254,Покупка!$F$25:$F$254,$F371,Покупка!$AC$25:$AC$254,$G371)</f>
        <v>0</v>
      </c>
      <c r="AP371" s="190">
        <f ca="1">SUMIFS(Покупка!AO$25:AO$254,Покупка!$F$25:$F$254,$F371,Покупка!$AC$25:$AC$254,$G371)</f>
        <v>0</v>
      </c>
      <c r="AQ371" s="190">
        <f ca="1">SUMIFS(Покупка!AP$25:AP$254,Покупка!$F$25:$F$254,$F371,Покупка!$AC$25:$AC$254,$G371)</f>
        <v>0</v>
      </c>
      <c r="AR371" s="190">
        <f ca="1">SUMIFS(Покупка!AQ$25:AQ$254,Покупка!$F$25:$F$254,$F371,Покупка!$AC$25:$AC$254,$G371)</f>
        <v>0</v>
      </c>
      <c r="AS371" s="190">
        <f ca="1">SUMIFS(Покупка!AR$25:AR$254,Покупка!$F$25:$F$254,$F371,Покупка!$AC$25:$AC$254,$G371)</f>
        <v>0</v>
      </c>
      <c r="AT371" s="190">
        <f ca="1">SUMIFS(Покупка!AS$25:AS$254,Покупка!$F$25:$F$254,$F371,Покупка!$AC$25:$AC$254,$G371)</f>
        <v>0</v>
      </c>
      <c r="AU371" s="190">
        <f ca="1">SUMIFS(Покупка!AT$25:AT$254,Покупка!$F$25:$F$254,$F371,Покупка!$AC$25:$AC$254,$G371)</f>
        <v>0</v>
      </c>
      <c r="AV371" s="190">
        <f ca="1">SUMIFS(Покупка!AU$25:AU$254,Покупка!$F$25:$F$254,$F371,Покупка!$AC$25:$AC$254,$G371)</f>
        <v>0</v>
      </c>
      <c r="AW371" s="190">
        <f ca="1">SUMIFS(Покупка!AV$25:AV$254,Покупка!$F$25:$F$254,$F371,Покупка!$AC$25:$AC$254,$G371)</f>
        <v>0</v>
      </c>
      <c r="AX371" s="190">
        <f ca="1">SUMIFS(Покупка!AW$25:AW$254,Покупка!$F$25:$F$254,$F371,Покупка!$AC$25:$AC$254,$G371)</f>
        <v>0</v>
      </c>
      <c r="AY371" s="190">
        <f ca="1">SUMIFS(Покупка!AX$25:AX$254,Покупка!$F$25:$F$254,$F371,Покупка!$AC$25:$AC$254,$G371)</f>
        <v>0</v>
      </c>
      <c r="AZ371" s="190">
        <f ca="1">SUMIFS(Покупка!AY$25:AY$254,Покупка!$F$25:$F$254,$F371,Покупка!$AC$25:$AC$254,$G371)</f>
        <v>0</v>
      </c>
      <c r="BA371" s="190">
        <f ca="1">SUMIFS(Покупка!AZ$25:AZ$254,Покупка!$F$25:$F$254,$F371,Покупка!$AC$25:$AC$254,$G371)</f>
        <v>0</v>
      </c>
      <c r="BB371" s="190">
        <f ca="1">SUMIFS(Покупка!BA$25:BA$254,Покупка!$F$25:$F$254,$F371,Покупка!$AC$25:$AC$254,$G371)</f>
        <v>0</v>
      </c>
      <c r="BC371" s="190">
        <f ca="1">SUMIFS(Покупка!BB$25:BB$254,Покупка!$F$25:$F$254,$F371,Покупка!$AC$25:$AC$254,$G371)</f>
        <v>0</v>
      </c>
      <c r="BD371" s="190">
        <f t="shared" ca="1" si="100"/>
        <v>0</v>
      </c>
      <c r="BE371" s="190">
        <f t="shared" ca="1" si="101"/>
        <v>0</v>
      </c>
      <c r="BF371" s="190">
        <f t="shared" ca="1" si="102"/>
        <v>0</v>
      </c>
      <c r="BG371" s="190">
        <f t="shared" ca="1" si="103"/>
        <v>0</v>
      </c>
      <c r="BH371" s="190">
        <f t="shared" ca="1" si="104"/>
        <v>0</v>
      </c>
      <c r="BI371" s="190">
        <f t="shared" ca="1" si="105"/>
        <v>0</v>
      </c>
      <c r="BJ371" s="190">
        <f t="shared" ca="1" si="106"/>
        <v>0</v>
      </c>
      <c r="BK371" s="190">
        <f t="shared" ca="1" si="107"/>
        <v>0</v>
      </c>
      <c r="BL371" s="190">
        <f t="shared" ca="1" si="108"/>
        <v>0</v>
      </c>
      <c r="BM371" s="190">
        <f t="shared" ca="1" si="109"/>
        <v>0</v>
      </c>
      <c r="BN371" s="215"/>
      <c r="BO371" s="610" t="str">
        <f ca="1">IF(IFERROR(INDEX(Покупка!$K$26:$L$254,MATCH($F371&amp;"1komm",Покупка!$K$26:$K$254,0),2),"")=0,"",IFERROR(INDEX(Покупка!$K$26:$L$254,MATCH($F371&amp;"1komm",Покупка!$K$26:$K$254,0),2),""))</f>
        <v/>
      </c>
      <c r="BP371" s="215"/>
      <c r="BS371" s="705" t="s">
        <v>2040</v>
      </c>
    </row>
    <row r="372" spans="1:75" ht="14.25" customHeight="1">
      <c r="C372" s="44"/>
      <c r="D372" s="44"/>
      <c r="E372" s="462">
        <v>15</v>
      </c>
      <c r="F372" s="3" t="str" cm="1">
        <f t="array" aca="1" ref="F372" ca="1">OFFSET(E372,-1,1)</f>
        <v>2</v>
      </c>
      <c r="G372" s="44" t="s">
        <v>1134</v>
      </c>
      <c r="H372" s="44"/>
      <c r="I372" s="44" t="s">
        <v>1666</v>
      </c>
      <c r="J372" s="44"/>
      <c r="K372" s="44" t="s">
        <v>1666</v>
      </c>
      <c r="L372" s="44"/>
      <c r="M372" s="44"/>
      <c r="N372" s="44"/>
      <c r="O372" s="44"/>
      <c r="P372" s="44"/>
      <c r="Q372" s="44"/>
      <c r="R372" s="44"/>
      <c r="S372" s="44"/>
      <c r="T372" s="365" t="b" cm="1">
        <f t="array" aca="1" ref="T372" ca="1">T371</f>
        <v>1</v>
      </c>
      <c r="U372" s="44"/>
      <c r="V372" s="44"/>
      <c r="W372" s="44"/>
      <c r="X372" s="1094"/>
      <c r="Z372" s="1065"/>
      <c r="AB372" s="26" t="s">
        <v>2041</v>
      </c>
      <c r="AC372" s="153" t="s">
        <v>2042</v>
      </c>
      <c r="AD372" s="26" t="s">
        <v>804</v>
      </c>
      <c r="AE372" s="190">
        <f ca="1">SUMIFS(Покупка!AE$25:AE$254,Покупка!$F$25:$F$254,$F372,Покупка!$AC$25:$AC$254,$G372)</f>
        <v>0</v>
      </c>
      <c r="AF372" s="190">
        <f ca="1">SUMIFS(Покупка!AF$25:AF$254,Покупка!$F$25:$F$254,$F372,Покупка!$AC$25:$AC$254,$G372)</f>
        <v>0</v>
      </c>
      <c r="AG372" s="190">
        <f ca="1">SUMIFS(Покупка!AG$25:AG$254,Покупка!$F$25:$F$254,$F372,Покупка!$AC$25:$AC$254,$G372)</f>
        <v>0</v>
      </c>
      <c r="AH372" s="190">
        <f t="shared" ca="1" si="98"/>
        <v>0</v>
      </c>
      <c r="AI372" s="190">
        <f ca="1">SUMIFS(Покупка!AH$25:AH$254,Покупка!$F$25:$F$254,$F372,Покупка!$AC$25:$AC$254,$G372)</f>
        <v>0</v>
      </c>
      <c r="AJ372" s="190">
        <f ca="1">SUMIFS(Покупка!AI$25:AI$254,Покупка!$F$25:$F$254,$F372,Покупка!$AC$25:$AC$254,$G372)</f>
        <v>0</v>
      </c>
      <c r="AK372" s="190">
        <f ca="1">SUMIFS(Покупка!AJ$25:AJ$254,Покупка!$F$25:$F$254,$F372,Покупка!$AC$25:$AC$254,$G372)</f>
        <v>0</v>
      </c>
      <c r="AL372" s="190">
        <f ca="1">SUMIFS(Покупка!AK$25:AK$254,Покупка!$F$25:$F$254,$F372,Покупка!$AC$25:$AC$254,$G372)</f>
        <v>0</v>
      </c>
      <c r="AM372" s="190">
        <f ca="1">SUMIFS(Покупка!AL$25:AL$254,Покупка!$F$25:$F$254,$F372,Покупка!$AC$25:$AC$254,$G372)</f>
        <v>0</v>
      </c>
      <c r="AN372" s="190">
        <f ca="1">SUMIFS(Покупка!AM$25:AM$254,Покупка!$F$25:$F$254,$F372,Покупка!$AC$25:$AC$254,$G372)</f>
        <v>0</v>
      </c>
      <c r="AO372" s="190">
        <f ca="1">SUMIFS(Покупка!AN$25:AN$254,Покупка!$F$25:$F$254,$F372,Покупка!$AC$25:$AC$254,$G372)</f>
        <v>0</v>
      </c>
      <c r="AP372" s="190">
        <f ca="1">SUMIFS(Покупка!AO$25:AO$254,Покупка!$F$25:$F$254,$F372,Покупка!$AC$25:$AC$254,$G372)</f>
        <v>0</v>
      </c>
      <c r="AQ372" s="190">
        <f ca="1">SUMIFS(Покупка!AP$25:AP$254,Покупка!$F$25:$F$254,$F372,Покупка!$AC$25:$AC$254,$G372)</f>
        <v>0</v>
      </c>
      <c r="AR372" s="190">
        <f ca="1">SUMIFS(Покупка!AQ$25:AQ$254,Покупка!$F$25:$F$254,$F372,Покупка!$AC$25:$AC$254,$G372)</f>
        <v>0</v>
      </c>
      <c r="AS372" s="190">
        <f ca="1">SUMIFS(Покупка!AR$25:AR$254,Покупка!$F$25:$F$254,$F372,Покупка!$AC$25:$AC$254,$G372)</f>
        <v>0</v>
      </c>
      <c r="AT372" s="190">
        <f ca="1">SUMIFS(Покупка!AS$25:AS$254,Покупка!$F$25:$F$254,$F372,Покупка!$AC$25:$AC$254,$G372)</f>
        <v>0</v>
      </c>
      <c r="AU372" s="190">
        <f ca="1">SUMIFS(Покупка!AT$25:AT$254,Покупка!$F$25:$F$254,$F372,Покупка!$AC$25:$AC$254,$G372)</f>
        <v>0</v>
      </c>
      <c r="AV372" s="190">
        <f ca="1">SUMIFS(Покупка!AU$25:AU$254,Покупка!$F$25:$F$254,$F372,Покупка!$AC$25:$AC$254,$G372)</f>
        <v>0</v>
      </c>
      <c r="AW372" s="190">
        <f ca="1">SUMIFS(Покупка!AV$25:AV$254,Покупка!$F$25:$F$254,$F372,Покупка!$AC$25:$AC$254,$G372)</f>
        <v>0</v>
      </c>
      <c r="AX372" s="190">
        <f ca="1">SUMIFS(Покупка!AW$25:AW$254,Покупка!$F$25:$F$254,$F372,Покупка!$AC$25:$AC$254,$G372)</f>
        <v>0</v>
      </c>
      <c r="AY372" s="190">
        <f ca="1">SUMIFS(Покупка!AX$25:AX$254,Покупка!$F$25:$F$254,$F372,Покупка!$AC$25:$AC$254,$G372)</f>
        <v>0</v>
      </c>
      <c r="AZ372" s="190">
        <f ca="1">SUMIFS(Покупка!AY$25:AY$254,Покупка!$F$25:$F$254,$F372,Покупка!$AC$25:$AC$254,$G372)</f>
        <v>0</v>
      </c>
      <c r="BA372" s="190">
        <f ca="1">SUMIFS(Покупка!AZ$25:AZ$254,Покупка!$F$25:$F$254,$F372,Покупка!$AC$25:$AC$254,$G372)</f>
        <v>0</v>
      </c>
      <c r="BB372" s="190">
        <f ca="1">SUMIFS(Покупка!BA$25:BA$254,Покупка!$F$25:$F$254,$F372,Покупка!$AC$25:$AC$254,$G372)</f>
        <v>0</v>
      </c>
      <c r="BC372" s="190">
        <f ca="1">SUMIFS(Покупка!BB$25:BB$254,Покупка!$F$25:$F$254,$F372,Покупка!$AC$25:$AC$254,$G372)</f>
        <v>0</v>
      </c>
      <c r="BD372" s="190">
        <f t="shared" ca="1" si="100"/>
        <v>0</v>
      </c>
      <c r="BE372" s="190">
        <f t="shared" ca="1" si="101"/>
        <v>0</v>
      </c>
      <c r="BF372" s="190">
        <f t="shared" ca="1" si="102"/>
        <v>0</v>
      </c>
      <c r="BG372" s="190">
        <f t="shared" ca="1" si="103"/>
        <v>0</v>
      </c>
      <c r="BH372" s="190">
        <f t="shared" ca="1" si="104"/>
        <v>0</v>
      </c>
      <c r="BI372" s="190">
        <f t="shared" ca="1" si="105"/>
        <v>0</v>
      </c>
      <c r="BJ372" s="190">
        <f t="shared" ca="1" si="106"/>
        <v>0</v>
      </c>
      <c r="BK372" s="190">
        <f t="shared" ca="1" si="107"/>
        <v>0</v>
      </c>
      <c r="BL372" s="190">
        <f t="shared" ca="1" si="108"/>
        <v>0</v>
      </c>
      <c r="BM372" s="190">
        <f t="shared" ca="1" si="109"/>
        <v>0</v>
      </c>
      <c r="BN372" s="215"/>
      <c r="BO372" s="610" t="str">
        <f ca="1">IF(IFERROR(INDEX(Покупка!$K$26:$L$254,MATCH($F372&amp;"8komm",Покупка!$K$26:$K$254,0),2),"")=0,"",IFERROR(INDEX(Покупка!$K$26:$L$254,MATCH($F372&amp;"8komm",Покупка!$K$26:$K$254,0),2),""))</f>
        <v/>
      </c>
      <c r="BP372" s="215"/>
      <c r="BS372" s="705" t="s">
        <v>1135</v>
      </c>
    </row>
    <row r="373" spans="1:75" ht="14.25" customHeight="1">
      <c r="C373" s="44"/>
      <c r="D373" s="44"/>
      <c r="E373" s="462">
        <v>15</v>
      </c>
      <c r="F373" s="3" t="str" cm="1">
        <f t="array" aca="1" ref="F373" ca="1">OFFSET(E373,-1,1)</f>
        <v>2</v>
      </c>
      <c r="G373" s="44"/>
      <c r="H373" s="44"/>
      <c r="I373" s="44" t="s">
        <v>2043</v>
      </c>
      <c r="J373" s="44"/>
      <c r="K373" s="44" t="s">
        <v>2043</v>
      </c>
      <c r="L373" s="44"/>
      <c r="M373" s="44"/>
      <c r="N373" s="44"/>
      <c r="O373" s="44"/>
      <c r="P373" s="44"/>
      <c r="Q373" s="44"/>
      <c r="R373" s="44"/>
      <c r="S373" s="44"/>
      <c r="T373" s="365" t="b" cm="1">
        <f t="array" aca="1" ref="T373" ca="1">T372</f>
        <v>1</v>
      </c>
      <c r="U373" s="44"/>
      <c r="V373" s="44"/>
      <c r="W373" s="44"/>
      <c r="X373" s="1094"/>
      <c r="Z373" s="1065"/>
      <c r="AB373" s="26" t="s">
        <v>2044</v>
      </c>
      <c r="AC373" s="153" t="s">
        <v>2045</v>
      </c>
      <c r="AD373" s="26" t="s">
        <v>804</v>
      </c>
      <c r="AE373" s="147"/>
      <c r="AF373" s="147"/>
      <c r="AG373" s="147"/>
      <c r="AH373" s="190">
        <f t="shared" si="98"/>
        <v>0</v>
      </c>
      <c r="AI373" s="147"/>
      <c r="AJ373" s="147"/>
      <c r="AK373" s="787"/>
      <c r="AL373" s="787"/>
      <c r="AM373" s="787"/>
      <c r="AN373" s="787"/>
      <c r="AO373" s="787"/>
      <c r="AP373" s="787"/>
      <c r="AQ373" s="787"/>
      <c r="AR373" s="787"/>
      <c r="AS373" s="787"/>
      <c r="AT373" s="147"/>
      <c r="AU373" s="787"/>
      <c r="AV373" s="787"/>
      <c r="AW373" s="787"/>
      <c r="AX373" s="787"/>
      <c r="AY373" s="787"/>
      <c r="AZ373" s="787"/>
      <c r="BA373" s="787"/>
      <c r="BB373" s="787"/>
      <c r="BC373" s="787"/>
      <c r="BD373" s="190">
        <f t="shared" si="100"/>
        <v>0</v>
      </c>
      <c r="BE373" s="190">
        <f t="shared" si="101"/>
        <v>0</v>
      </c>
      <c r="BF373" s="190">
        <f t="shared" si="102"/>
        <v>0</v>
      </c>
      <c r="BG373" s="190">
        <f t="shared" si="103"/>
        <v>0</v>
      </c>
      <c r="BH373" s="190">
        <f t="shared" si="104"/>
        <v>0</v>
      </c>
      <c r="BI373" s="190">
        <f t="shared" si="105"/>
        <v>0</v>
      </c>
      <c r="BJ373" s="190">
        <f t="shared" si="106"/>
        <v>0</v>
      </c>
      <c r="BK373" s="190">
        <f t="shared" si="107"/>
        <v>0</v>
      </c>
      <c r="BL373" s="190">
        <f t="shared" si="108"/>
        <v>0</v>
      </c>
      <c r="BM373" s="190">
        <f t="shared" si="109"/>
        <v>0</v>
      </c>
      <c r="BN373" s="215"/>
      <c r="BO373" s="215"/>
      <c r="BP373" s="215"/>
      <c r="BS373" s="705" t="s">
        <v>2046</v>
      </c>
    </row>
    <row r="374" spans="1:75" ht="14.25" customHeight="1">
      <c r="C374" s="44"/>
      <c r="D374" s="44"/>
      <c r="E374" s="462">
        <v>15</v>
      </c>
      <c r="F374" s="3" t="str" cm="1">
        <f t="array" aca="1" ref="F374" ca="1">OFFSET(E374,-1,1)</f>
        <v>2</v>
      </c>
      <c r="G374" s="44"/>
      <c r="H374" s="44"/>
      <c r="I374" s="44" t="s">
        <v>2047</v>
      </c>
      <c r="J374" s="44"/>
      <c r="K374" s="44" t="s">
        <v>2047</v>
      </c>
      <c r="L374" s="44"/>
      <c r="M374" s="44"/>
      <c r="N374" s="44"/>
      <c r="O374" s="44"/>
      <c r="P374" s="44"/>
      <c r="Q374" s="44"/>
      <c r="R374" s="44"/>
      <c r="S374" s="44"/>
      <c r="T374" s="365" t="b" cm="1">
        <f t="array" aca="1" ref="T374" ca="1">T373</f>
        <v>1</v>
      </c>
      <c r="U374" s="44"/>
      <c r="V374" s="44"/>
      <c r="W374" s="44"/>
      <c r="X374" s="1094"/>
      <c r="Z374" s="1065"/>
      <c r="AB374" s="26" t="s">
        <v>2048</v>
      </c>
      <c r="AC374" s="153" t="s">
        <v>2049</v>
      </c>
      <c r="AD374" s="26" t="s">
        <v>804</v>
      </c>
      <c r="AE374" s="147"/>
      <c r="AF374" s="147"/>
      <c r="AG374" s="147"/>
      <c r="AH374" s="190">
        <f t="shared" si="98"/>
        <v>0</v>
      </c>
      <c r="AI374" s="147"/>
      <c r="AJ374" s="147"/>
      <c r="AK374" s="787"/>
      <c r="AL374" s="787"/>
      <c r="AM374" s="787"/>
      <c r="AN374" s="787"/>
      <c r="AO374" s="787"/>
      <c r="AP374" s="787"/>
      <c r="AQ374" s="787"/>
      <c r="AR374" s="787"/>
      <c r="AS374" s="787"/>
      <c r="AT374" s="147"/>
      <c r="AU374" s="787"/>
      <c r="AV374" s="787"/>
      <c r="AW374" s="787"/>
      <c r="AX374" s="787"/>
      <c r="AY374" s="787"/>
      <c r="AZ374" s="787"/>
      <c r="BA374" s="787"/>
      <c r="BB374" s="787"/>
      <c r="BC374" s="787"/>
      <c r="BD374" s="190">
        <f t="shared" si="100"/>
        <v>0</v>
      </c>
      <c r="BE374" s="190">
        <f t="shared" si="101"/>
        <v>0</v>
      </c>
      <c r="BF374" s="190">
        <f t="shared" si="102"/>
        <v>0</v>
      </c>
      <c r="BG374" s="190">
        <f t="shared" si="103"/>
        <v>0</v>
      </c>
      <c r="BH374" s="190">
        <f t="shared" si="104"/>
        <v>0</v>
      </c>
      <c r="BI374" s="190">
        <f t="shared" si="105"/>
        <v>0</v>
      </c>
      <c r="BJ374" s="190">
        <f t="shared" si="106"/>
        <v>0</v>
      </c>
      <c r="BK374" s="190">
        <f t="shared" si="107"/>
        <v>0</v>
      </c>
      <c r="BL374" s="190">
        <f t="shared" si="108"/>
        <v>0</v>
      </c>
      <c r="BM374" s="190">
        <f t="shared" si="109"/>
        <v>0</v>
      </c>
      <c r="BN374" s="215"/>
      <c r="BO374" s="215"/>
      <c r="BP374" s="215"/>
      <c r="BS374" s="705" t="s">
        <v>2050</v>
      </c>
    </row>
    <row r="375" spans="1:75" ht="14.25" customHeight="1">
      <c r="C375" s="44"/>
      <c r="D375" s="44"/>
      <c r="E375" s="462">
        <v>15</v>
      </c>
      <c r="F375" s="3" t="str" cm="1">
        <f t="array" aca="1" ref="F375" ca="1">OFFSET(E375,-1,1)</f>
        <v>2</v>
      </c>
      <c r="G375" s="44" t="s">
        <v>1086</v>
      </c>
      <c r="H375" s="44"/>
      <c r="I375" s="44" t="s">
        <v>2051</v>
      </c>
      <c r="J375" s="44"/>
      <c r="K375" s="44" t="s">
        <v>2051</v>
      </c>
      <c r="L375" s="44" t="s">
        <v>1520</v>
      </c>
      <c r="M375" s="44"/>
      <c r="N375" s="44"/>
      <c r="O375" s="44"/>
      <c r="P375" s="44"/>
      <c r="Q375" s="44"/>
      <c r="R375" s="44"/>
      <c r="S375" s="44"/>
      <c r="T375" s="365" t="b" cm="1">
        <f t="array" aca="1" ref="T375" ca="1">T374</f>
        <v>1</v>
      </c>
      <c r="U375" s="44"/>
      <c r="V375" s="44"/>
      <c r="W375" s="44"/>
      <c r="X375" s="1094"/>
      <c r="Z375" s="1065"/>
      <c r="AB375" s="26" t="s">
        <v>2052</v>
      </c>
      <c r="AC375" s="153" t="s">
        <v>2053</v>
      </c>
      <c r="AD375" s="26" t="s">
        <v>804</v>
      </c>
      <c r="AE375" s="190">
        <f ca="1">SUMIFS(Покупка!AE$25:AE$254,Покупка!$F$25:$F$254,$F375,Покупка!$AC$25:$AC$254,$G375)</f>
        <v>0</v>
      </c>
      <c r="AF375" s="190">
        <f ca="1">SUMIFS(Покупка!AF$25:AF$254,Покупка!$F$25:$F$254,$F375,Покупка!$AC$25:$AC$254,$G375)</f>
        <v>0</v>
      </c>
      <c r="AG375" s="190">
        <f ca="1">SUMIFS(Покупка!AG$25:AG$254,Покупка!$F$25:$F$254,$F375,Покупка!$AC$25:$AC$254,$G375)</f>
        <v>0</v>
      </c>
      <c r="AH375" s="190">
        <f t="shared" ca="1" si="98"/>
        <v>0</v>
      </c>
      <c r="AI375" s="190">
        <f ca="1">SUMIFS(Покупка!AH$25:AH$254,Покупка!$F$25:$F$254,$F375,Покупка!$AC$25:$AC$254,$G375)</f>
        <v>0</v>
      </c>
      <c r="AJ375" s="190">
        <f ca="1">SUMIFS(Покупка!AI$25:AI$254,Покупка!$F$25:$F$254,$F375,Покупка!$AC$25:$AC$254,$G375)</f>
        <v>0</v>
      </c>
      <c r="AK375" s="190">
        <f ca="1">SUMIFS(Покупка!AJ$25:AJ$254,Покупка!$F$25:$F$254,$F375,Покупка!$AC$25:$AC$254,$G375)</f>
        <v>0</v>
      </c>
      <c r="AL375" s="190">
        <f ca="1">SUMIFS(Покупка!AK$25:AK$254,Покупка!$F$25:$F$254,$F375,Покупка!$AC$25:$AC$254,$G375)</f>
        <v>0</v>
      </c>
      <c r="AM375" s="190">
        <f ca="1">SUMIFS(Покупка!AL$25:AL$254,Покупка!$F$25:$F$254,$F375,Покупка!$AC$25:$AC$254,$G375)</f>
        <v>0</v>
      </c>
      <c r="AN375" s="190">
        <f ca="1">SUMIFS(Покупка!AM$25:AM$254,Покупка!$F$25:$F$254,$F375,Покупка!$AC$25:$AC$254,$G375)</f>
        <v>0</v>
      </c>
      <c r="AO375" s="190">
        <f ca="1">SUMIFS(Покупка!AN$25:AN$254,Покупка!$F$25:$F$254,$F375,Покупка!$AC$25:$AC$254,$G375)</f>
        <v>0</v>
      </c>
      <c r="AP375" s="190">
        <f ca="1">SUMIFS(Покупка!AO$25:AO$254,Покупка!$F$25:$F$254,$F375,Покупка!$AC$25:$AC$254,$G375)</f>
        <v>0</v>
      </c>
      <c r="AQ375" s="190">
        <f ca="1">SUMIFS(Покупка!AP$25:AP$254,Покупка!$F$25:$F$254,$F375,Покупка!$AC$25:$AC$254,$G375)</f>
        <v>0</v>
      </c>
      <c r="AR375" s="190">
        <f ca="1">SUMIFS(Покупка!AQ$25:AQ$254,Покупка!$F$25:$F$254,$F375,Покупка!$AC$25:$AC$254,$G375)</f>
        <v>0</v>
      </c>
      <c r="AS375" s="190">
        <f ca="1">SUMIFS(Покупка!AR$25:AR$254,Покупка!$F$25:$F$254,$F375,Покупка!$AC$25:$AC$254,$G375)</f>
        <v>0</v>
      </c>
      <c r="AT375" s="190">
        <f ca="1">SUMIFS(Покупка!AS$25:AS$254,Покупка!$F$25:$F$254,$F375,Покупка!$AC$25:$AC$254,$G375)</f>
        <v>0</v>
      </c>
      <c r="AU375" s="190">
        <f ca="1">SUMIFS(Покупка!AT$25:AT$254,Покупка!$F$25:$F$254,$F375,Покупка!$AC$25:$AC$254,$G375)</f>
        <v>0</v>
      </c>
      <c r="AV375" s="190">
        <f ca="1">SUMIFS(Покупка!AU$25:AU$254,Покупка!$F$25:$F$254,$F375,Покупка!$AC$25:$AC$254,$G375)</f>
        <v>0</v>
      </c>
      <c r="AW375" s="190">
        <f ca="1">SUMIFS(Покупка!AV$25:AV$254,Покупка!$F$25:$F$254,$F375,Покупка!$AC$25:$AC$254,$G375)</f>
        <v>0</v>
      </c>
      <c r="AX375" s="190">
        <f ca="1">SUMIFS(Покупка!AW$25:AW$254,Покупка!$F$25:$F$254,$F375,Покупка!$AC$25:$AC$254,$G375)</f>
        <v>0</v>
      </c>
      <c r="AY375" s="190">
        <f ca="1">SUMIFS(Покупка!AX$25:AX$254,Покупка!$F$25:$F$254,$F375,Покупка!$AC$25:$AC$254,$G375)</f>
        <v>0</v>
      </c>
      <c r="AZ375" s="190">
        <f ca="1">SUMIFS(Покупка!AY$25:AY$254,Покупка!$F$25:$F$254,$F375,Покупка!$AC$25:$AC$254,$G375)</f>
        <v>0</v>
      </c>
      <c r="BA375" s="190">
        <f ca="1">SUMIFS(Покупка!AZ$25:AZ$254,Покупка!$F$25:$F$254,$F375,Покупка!$AC$25:$AC$254,$G375)</f>
        <v>0</v>
      </c>
      <c r="BB375" s="190">
        <f ca="1">SUMIFS(Покупка!BA$25:BA$254,Покупка!$F$25:$F$254,$F375,Покупка!$AC$25:$AC$254,$G375)</f>
        <v>0</v>
      </c>
      <c r="BC375" s="190">
        <f ca="1">SUMIFS(Покупка!BB$25:BB$254,Покупка!$F$25:$F$254,$F375,Покупка!$AC$25:$AC$254,$G375)</f>
        <v>0</v>
      </c>
      <c r="BD375" s="190">
        <f t="shared" ca="1" si="100"/>
        <v>0</v>
      </c>
      <c r="BE375" s="190">
        <f t="shared" ca="1" si="101"/>
        <v>0</v>
      </c>
      <c r="BF375" s="190">
        <f t="shared" ca="1" si="102"/>
        <v>0</v>
      </c>
      <c r="BG375" s="190">
        <f t="shared" ca="1" si="103"/>
        <v>0</v>
      </c>
      <c r="BH375" s="190">
        <f t="shared" ca="1" si="104"/>
        <v>0</v>
      </c>
      <c r="BI375" s="190">
        <f t="shared" ca="1" si="105"/>
        <v>0</v>
      </c>
      <c r="BJ375" s="190">
        <f t="shared" ca="1" si="106"/>
        <v>0</v>
      </c>
      <c r="BK375" s="190">
        <f t="shared" ca="1" si="107"/>
        <v>0</v>
      </c>
      <c r="BL375" s="190">
        <f t="shared" ca="1" si="108"/>
        <v>0</v>
      </c>
      <c r="BM375" s="190">
        <f t="shared" ca="1" si="109"/>
        <v>0</v>
      </c>
      <c r="BN375" s="215"/>
      <c r="BO375" s="610" t="str">
        <f ca="1">IF(IFERROR(INDEX(Покупка!$K$26:$L$254,MATCH($F375&amp;"3komm",Покупка!$K$26:$K$254,0),2),"")=0,"",IFERROR(INDEX(Покупка!$K$26:$L$254,MATCH($F375&amp;"3komm",Покупка!$K$26:$K$254,0),2),""))</f>
        <v/>
      </c>
      <c r="BP375" s="215"/>
      <c r="BS375" s="705" t="s">
        <v>1746</v>
      </c>
    </row>
    <row r="376" spans="1:75" ht="14.25" customHeight="1">
      <c r="C376" s="44"/>
      <c r="D376" s="44"/>
      <c r="E376" s="462">
        <v>15</v>
      </c>
      <c r="F376" s="3" t="str" cm="1">
        <f t="array" aca="1" ref="F376" ca="1">OFFSET(E376,-1,1)</f>
        <v>2</v>
      </c>
      <c r="G376" s="44" t="s">
        <v>1092</v>
      </c>
      <c r="H376" s="44"/>
      <c r="I376" s="44" t="s">
        <v>2054</v>
      </c>
      <c r="J376" s="44"/>
      <c r="K376" s="44" t="s">
        <v>2054</v>
      </c>
      <c r="L376" s="44" t="s">
        <v>1525</v>
      </c>
      <c r="M376" s="44"/>
      <c r="N376" s="44"/>
      <c r="O376" s="44"/>
      <c r="P376" s="44"/>
      <c r="Q376" s="44"/>
      <c r="R376" s="44"/>
      <c r="S376" s="44"/>
      <c r="T376" s="365" t="b" cm="1">
        <f t="array" aca="1" ref="T376" ca="1">T375</f>
        <v>1</v>
      </c>
      <c r="U376" s="44"/>
      <c r="V376" s="44"/>
      <c r="W376" s="44"/>
      <c r="X376" s="1094"/>
      <c r="Z376" s="1065"/>
      <c r="AB376" s="26" t="s">
        <v>2055</v>
      </c>
      <c r="AC376" s="153" t="s">
        <v>2056</v>
      </c>
      <c r="AD376" s="26" t="s">
        <v>804</v>
      </c>
      <c r="AE376" s="190">
        <f ca="1">SUMIFS(Покупка!AE$25:AE$254,Покупка!$F$25:$F$254,$F376,Покупка!$AC$25:$AC$254,$G376)</f>
        <v>0</v>
      </c>
      <c r="AF376" s="190">
        <f ca="1">SUMIFS(Покупка!AF$25:AF$254,Покупка!$F$25:$F$254,$F376,Покупка!$AC$25:$AC$254,$G376)</f>
        <v>0</v>
      </c>
      <c r="AG376" s="190">
        <f ca="1">SUMIFS(Покупка!AG$25:AG$254,Покупка!$F$25:$F$254,$F376,Покупка!$AC$25:$AC$254,$G376)</f>
        <v>0</v>
      </c>
      <c r="AH376" s="190">
        <f t="shared" ca="1" si="98"/>
        <v>0</v>
      </c>
      <c r="AI376" s="190">
        <f ca="1">SUMIFS(Покупка!AH$25:AH$254,Покупка!$F$25:$F$254,$F376,Покупка!$AC$25:$AC$254,$G376)</f>
        <v>0</v>
      </c>
      <c r="AJ376" s="190">
        <f ca="1">SUMIFS(Покупка!AI$25:AI$254,Покупка!$F$25:$F$254,$F376,Покупка!$AC$25:$AC$254,$G376)</f>
        <v>0</v>
      </c>
      <c r="AK376" s="190">
        <f ca="1">SUMIFS(Покупка!AJ$25:AJ$254,Покупка!$F$25:$F$254,$F376,Покупка!$AC$25:$AC$254,$G376)</f>
        <v>0</v>
      </c>
      <c r="AL376" s="190">
        <f ca="1">SUMIFS(Покупка!AK$25:AK$254,Покупка!$F$25:$F$254,$F376,Покупка!$AC$25:$AC$254,$G376)</f>
        <v>0</v>
      </c>
      <c r="AM376" s="190">
        <f ca="1">SUMIFS(Покупка!AL$25:AL$254,Покупка!$F$25:$F$254,$F376,Покупка!$AC$25:$AC$254,$G376)</f>
        <v>0</v>
      </c>
      <c r="AN376" s="190">
        <f ca="1">SUMIFS(Покупка!AM$25:AM$254,Покупка!$F$25:$F$254,$F376,Покупка!$AC$25:$AC$254,$G376)</f>
        <v>0</v>
      </c>
      <c r="AO376" s="190">
        <f ca="1">SUMIFS(Покупка!AN$25:AN$254,Покупка!$F$25:$F$254,$F376,Покупка!$AC$25:$AC$254,$G376)</f>
        <v>0</v>
      </c>
      <c r="AP376" s="190">
        <f ca="1">SUMIFS(Покупка!AO$25:AO$254,Покупка!$F$25:$F$254,$F376,Покупка!$AC$25:$AC$254,$G376)</f>
        <v>0</v>
      </c>
      <c r="AQ376" s="190">
        <f ca="1">SUMIFS(Покупка!AP$25:AP$254,Покупка!$F$25:$F$254,$F376,Покупка!$AC$25:$AC$254,$G376)</f>
        <v>0</v>
      </c>
      <c r="AR376" s="190">
        <f ca="1">SUMIFS(Покупка!AQ$25:AQ$254,Покупка!$F$25:$F$254,$F376,Покупка!$AC$25:$AC$254,$G376)</f>
        <v>0</v>
      </c>
      <c r="AS376" s="190">
        <f ca="1">SUMIFS(Покупка!AR$25:AR$254,Покупка!$F$25:$F$254,$F376,Покупка!$AC$25:$AC$254,$G376)</f>
        <v>0</v>
      </c>
      <c r="AT376" s="190">
        <f ca="1">SUMIFS(Покупка!AS$25:AS$254,Покупка!$F$25:$F$254,$F376,Покупка!$AC$25:$AC$254,$G376)</f>
        <v>0</v>
      </c>
      <c r="AU376" s="190">
        <f ca="1">SUMIFS(Покупка!AT$25:AT$254,Покупка!$F$25:$F$254,$F376,Покупка!$AC$25:$AC$254,$G376)</f>
        <v>0</v>
      </c>
      <c r="AV376" s="190">
        <f ca="1">SUMIFS(Покупка!AU$25:AU$254,Покупка!$F$25:$F$254,$F376,Покупка!$AC$25:$AC$254,$G376)</f>
        <v>0</v>
      </c>
      <c r="AW376" s="190">
        <f ca="1">SUMIFS(Покупка!AV$25:AV$254,Покупка!$F$25:$F$254,$F376,Покупка!$AC$25:$AC$254,$G376)</f>
        <v>0</v>
      </c>
      <c r="AX376" s="190">
        <f ca="1">SUMIFS(Покупка!AW$25:AW$254,Покупка!$F$25:$F$254,$F376,Покупка!$AC$25:$AC$254,$G376)</f>
        <v>0</v>
      </c>
      <c r="AY376" s="190">
        <f ca="1">SUMIFS(Покупка!AX$25:AX$254,Покупка!$F$25:$F$254,$F376,Покупка!$AC$25:$AC$254,$G376)</f>
        <v>0</v>
      </c>
      <c r="AZ376" s="190">
        <f ca="1">SUMIFS(Покупка!AY$25:AY$254,Покупка!$F$25:$F$254,$F376,Покупка!$AC$25:$AC$254,$G376)</f>
        <v>0</v>
      </c>
      <c r="BA376" s="190">
        <f ca="1">SUMIFS(Покупка!AZ$25:AZ$254,Покупка!$F$25:$F$254,$F376,Покупка!$AC$25:$AC$254,$G376)</f>
        <v>0</v>
      </c>
      <c r="BB376" s="190">
        <f ca="1">SUMIFS(Покупка!BA$25:BA$254,Покупка!$F$25:$F$254,$F376,Покупка!$AC$25:$AC$254,$G376)</f>
        <v>0</v>
      </c>
      <c r="BC376" s="190">
        <f ca="1">SUMIFS(Покупка!BB$25:BB$254,Покупка!$F$25:$F$254,$F376,Покупка!$AC$25:$AC$254,$G376)</f>
        <v>0</v>
      </c>
      <c r="BD376" s="190">
        <f t="shared" ca="1" si="100"/>
        <v>0</v>
      </c>
      <c r="BE376" s="190">
        <f t="shared" ca="1" si="101"/>
        <v>0</v>
      </c>
      <c r="BF376" s="190">
        <f t="shared" ca="1" si="102"/>
        <v>0</v>
      </c>
      <c r="BG376" s="190">
        <f t="shared" ca="1" si="103"/>
        <v>0</v>
      </c>
      <c r="BH376" s="190">
        <f t="shared" ca="1" si="104"/>
        <v>0</v>
      </c>
      <c r="BI376" s="190">
        <f t="shared" ca="1" si="105"/>
        <v>0</v>
      </c>
      <c r="BJ376" s="190">
        <f t="shared" ca="1" si="106"/>
        <v>0</v>
      </c>
      <c r="BK376" s="190">
        <f t="shared" ca="1" si="107"/>
        <v>0</v>
      </c>
      <c r="BL376" s="190">
        <f t="shared" ca="1" si="108"/>
        <v>0</v>
      </c>
      <c r="BM376" s="190">
        <f t="shared" ca="1" si="109"/>
        <v>0</v>
      </c>
      <c r="BN376" s="215"/>
      <c r="BO376" s="610" t="str">
        <f ca="1">IF(IFERROR(INDEX(Покупка!$K$26:$L$254,MATCH($F376&amp;"4komm",Покупка!$K$26:$K$254,0),2),"")=0,"",IFERROR(INDEX(Покупка!$K$26:$L$254,MATCH($F375&amp;"3komm",Покупка!$K$26:$K$254,0),2),""))</f>
        <v/>
      </c>
      <c r="BP376" s="215"/>
      <c r="BS376" s="705" t="s">
        <v>1749</v>
      </c>
    </row>
    <row r="377" spans="1:75" ht="14.25" customHeight="1">
      <c r="C377" s="44"/>
      <c r="D377" s="44"/>
      <c r="E377" s="462">
        <v>15</v>
      </c>
      <c r="F377" s="3" t="str" cm="1">
        <f t="array" aca="1" ref="F377" ca="1">OFFSET(E377,-1,1)</f>
        <v>2</v>
      </c>
      <c r="G377" s="44" t="s">
        <v>1099</v>
      </c>
      <c r="H377" s="44"/>
      <c r="I377" s="44" t="s">
        <v>2057</v>
      </c>
      <c r="J377" s="44"/>
      <c r="K377" s="44" t="s">
        <v>2057</v>
      </c>
      <c r="L377" s="44" t="s">
        <v>1535</v>
      </c>
      <c r="M377" s="44"/>
      <c r="N377" s="44"/>
      <c r="O377" s="44"/>
      <c r="P377" s="44"/>
      <c r="Q377" s="44"/>
      <c r="R377" s="44"/>
      <c r="S377" s="44"/>
      <c r="T377" s="365" t="b" cm="1">
        <f t="array" aca="1" ref="T377" ca="1">T376</f>
        <v>1</v>
      </c>
      <c r="U377" s="44"/>
      <c r="V377" s="44"/>
      <c r="W377" s="44"/>
      <c r="X377" s="1094"/>
      <c r="Z377" s="1065"/>
      <c r="AB377" s="26" t="s">
        <v>2058</v>
      </c>
      <c r="AC377" s="153" t="s">
        <v>2059</v>
      </c>
      <c r="AD377" s="26" t="s">
        <v>804</v>
      </c>
      <c r="AE377" s="190">
        <f ca="1">SUMIFS(Покупка!AE$25:AE$254,Покупка!$F$25:$F$254,$F377,Покупка!$AC$25:$AC$254,$G377)</f>
        <v>0</v>
      </c>
      <c r="AF377" s="190">
        <f ca="1">SUMIFS(Покупка!AF$25:AF$254,Покупка!$F$25:$F$254,$F377,Покупка!$AC$25:$AC$254,$G377)</f>
        <v>0</v>
      </c>
      <c r="AG377" s="190">
        <f ca="1">SUMIFS(Покупка!AG$25:AG$254,Покупка!$F$25:$F$254,$F377,Покупка!$AC$25:$AC$254,$G377)</f>
        <v>0</v>
      </c>
      <c r="AH377" s="190">
        <f t="shared" ca="1" si="98"/>
        <v>0</v>
      </c>
      <c r="AI377" s="190">
        <f ca="1">SUMIFS(Покупка!AH$25:AH$254,Покупка!$F$25:$F$254,$F377,Покупка!$AC$25:$AC$254,$G377)</f>
        <v>0</v>
      </c>
      <c r="AJ377" s="190">
        <f ca="1">SUMIFS(Покупка!AI$25:AI$254,Покупка!$F$25:$F$254,$F377,Покупка!$AC$25:$AC$254,$G377)</f>
        <v>0</v>
      </c>
      <c r="AK377" s="190">
        <f ca="1">SUMIFS(Покупка!AJ$25:AJ$254,Покупка!$F$25:$F$254,$F377,Покупка!$AC$25:$AC$254,$G377)</f>
        <v>0</v>
      </c>
      <c r="AL377" s="190">
        <f ca="1">SUMIFS(Покупка!AK$25:AK$254,Покупка!$F$25:$F$254,$F377,Покупка!$AC$25:$AC$254,$G377)</f>
        <v>0</v>
      </c>
      <c r="AM377" s="190">
        <f ca="1">SUMIFS(Покупка!AL$25:AL$254,Покупка!$F$25:$F$254,$F377,Покупка!$AC$25:$AC$254,$G377)</f>
        <v>0</v>
      </c>
      <c r="AN377" s="190">
        <f ca="1">SUMIFS(Покупка!AM$25:AM$254,Покупка!$F$25:$F$254,$F377,Покупка!$AC$25:$AC$254,$G377)</f>
        <v>0</v>
      </c>
      <c r="AO377" s="190">
        <f ca="1">SUMIFS(Покупка!AN$25:AN$254,Покупка!$F$25:$F$254,$F377,Покупка!$AC$25:$AC$254,$G377)</f>
        <v>0</v>
      </c>
      <c r="AP377" s="190">
        <f ca="1">SUMIFS(Покупка!AO$25:AO$254,Покупка!$F$25:$F$254,$F377,Покупка!$AC$25:$AC$254,$G377)</f>
        <v>0</v>
      </c>
      <c r="AQ377" s="190">
        <f ca="1">SUMIFS(Покупка!AP$25:AP$254,Покупка!$F$25:$F$254,$F377,Покупка!$AC$25:$AC$254,$G377)</f>
        <v>0</v>
      </c>
      <c r="AR377" s="190">
        <f ca="1">SUMIFS(Покупка!AQ$25:AQ$254,Покупка!$F$25:$F$254,$F377,Покупка!$AC$25:$AC$254,$G377)</f>
        <v>0</v>
      </c>
      <c r="AS377" s="190">
        <f ca="1">SUMIFS(Покупка!AR$25:AR$254,Покупка!$F$25:$F$254,$F377,Покупка!$AC$25:$AC$254,$G377)</f>
        <v>0</v>
      </c>
      <c r="AT377" s="190">
        <f ca="1">SUMIFS(Покупка!AS$25:AS$254,Покупка!$F$25:$F$254,$F377,Покупка!$AC$25:$AC$254,$G377)</f>
        <v>0</v>
      </c>
      <c r="AU377" s="190">
        <f ca="1">SUMIFS(Покупка!AT$25:AT$254,Покупка!$F$25:$F$254,$F377,Покупка!$AC$25:$AC$254,$G377)</f>
        <v>0</v>
      </c>
      <c r="AV377" s="190">
        <f ca="1">SUMIFS(Покупка!AU$25:AU$254,Покупка!$F$25:$F$254,$F377,Покупка!$AC$25:$AC$254,$G377)</f>
        <v>0</v>
      </c>
      <c r="AW377" s="190">
        <f ca="1">SUMIFS(Покупка!AV$25:AV$254,Покупка!$F$25:$F$254,$F377,Покупка!$AC$25:$AC$254,$G377)</f>
        <v>0</v>
      </c>
      <c r="AX377" s="190">
        <f ca="1">SUMIFS(Покупка!AW$25:AW$254,Покупка!$F$25:$F$254,$F377,Покупка!$AC$25:$AC$254,$G377)</f>
        <v>0</v>
      </c>
      <c r="AY377" s="190">
        <f ca="1">SUMIFS(Покупка!AX$25:AX$254,Покупка!$F$25:$F$254,$F377,Покупка!$AC$25:$AC$254,$G377)</f>
        <v>0</v>
      </c>
      <c r="AZ377" s="190">
        <f ca="1">SUMIFS(Покупка!AY$25:AY$254,Покупка!$F$25:$F$254,$F377,Покупка!$AC$25:$AC$254,$G377)</f>
        <v>0</v>
      </c>
      <c r="BA377" s="190">
        <f ca="1">SUMIFS(Покупка!AZ$25:AZ$254,Покупка!$F$25:$F$254,$F377,Покупка!$AC$25:$AC$254,$G377)</f>
        <v>0</v>
      </c>
      <c r="BB377" s="190">
        <f ca="1">SUMIFS(Покупка!BA$25:BA$254,Покупка!$F$25:$F$254,$F377,Покупка!$AC$25:$AC$254,$G377)</f>
        <v>0</v>
      </c>
      <c r="BC377" s="190">
        <f ca="1">SUMIFS(Покупка!BB$25:BB$254,Покупка!$F$25:$F$254,$F377,Покупка!$AC$25:$AC$254,$G377)</f>
        <v>0</v>
      </c>
      <c r="BD377" s="190">
        <f t="shared" ca="1" si="100"/>
        <v>0</v>
      </c>
      <c r="BE377" s="190">
        <f t="shared" ca="1" si="101"/>
        <v>0</v>
      </c>
      <c r="BF377" s="190">
        <f t="shared" ca="1" si="102"/>
        <v>0</v>
      </c>
      <c r="BG377" s="190">
        <f t="shared" ca="1" si="103"/>
        <v>0</v>
      </c>
      <c r="BH377" s="190">
        <f t="shared" ca="1" si="104"/>
        <v>0</v>
      </c>
      <c r="BI377" s="190">
        <f t="shared" ca="1" si="105"/>
        <v>0</v>
      </c>
      <c r="BJ377" s="190">
        <f t="shared" ca="1" si="106"/>
        <v>0</v>
      </c>
      <c r="BK377" s="190">
        <f t="shared" ca="1" si="107"/>
        <v>0</v>
      </c>
      <c r="BL377" s="190">
        <f t="shared" ca="1" si="108"/>
        <v>0</v>
      </c>
      <c r="BM377" s="190">
        <f t="shared" ca="1" si="109"/>
        <v>0</v>
      </c>
      <c r="BN377" s="215"/>
      <c r="BO377" s="610" t="str">
        <f ca="1">IF(IFERROR(INDEX(Покупка!$K$26:$L$254,MATCH($F377&amp;"5komm",Покупка!$K$26:$K$254,0),2),"")=0,"",IFERROR(INDEX(Покупка!$K$26:$L$254,MATCH($F377&amp;"5komm",Покупка!$K$26:$K$254,0),2),""))</f>
        <v/>
      </c>
      <c r="BP377" s="215"/>
      <c r="BS377" s="705" t="s">
        <v>1752</v>
      </c>
    </row>
    <row r="378" spans="1:75" ht="14.25" customHeight="1">
      <c r="C378" s="44"/>
      <c r="D378" s="44"/>
      <c r="E378" s="462">
        <v>15</v>
      </c>
      <c r="F378" s="3" t="str" cm="1">
        <f t="array" aca="1" ref="F378" ca="1">OFFSET(E378,-1,1)</f>
        <v>2</v>
      </c>
      <c r="G378" s="44" t="s">
        <v>1140</v>
      </c>
      <c r="H378" s="44"/>
      <c r="I378" s="44"/>
      <c r="J378" s="44"/>
      <c r="K378" s="44"/>
      <c r="L378" s="44" t="s">
        <v>1502</v>
      </c>
      <c r="M378" s="44"/>
      <c r="N378" s="44"/>
      <c r="O378" s="44"/>
      <c r="P378" s="44"/>
      <c r="Q378" s="44"/>
      <c r="R378" s="44"/>
      <c r="S378" s="44"/>
      <c r="T378" s="365" t="b" cm="1">
        <f t="array" aca="1" ref="T378" ca="1">T377</f>
        <v>1</v>
      </c>
      <c r="U378" s="44"/>
      <c r="V378" s="44"/>
      <c r="W378" s="44"/>
      <c r="X378" s="1094"/>
      <c r="Z378" s="1065"/>
      <c r="AB378" s="26" t="s">
        <v>2060</v>
      </c>
      <c r="AC378" s="153" t="s">
        <v>2061</v>
      </c>
      <c r="AD378" s="26" t="s">
        <v>804</v>
      </c>
      <c r="AE378" s="190">
        <f ca="1">SUMIFS(Покупка!AE$25:AE$254,Покупка!$F$25:$F$254,$F378,Покупка!$AC$25:$AC$254,$G378)</f>
        <v>0</v>
      </c>
      <c r="AF378" s="190">
        <f ca="1">SUMIFS(Покупка!AF$25:AF$254,Покупка!$F$25:$F$254,$F378,Покупка!$AC$25:$AC$254,$G378)</f>
        <v>0</v>
      </c>
      <c r="AG378" s="190">
        <f ca="1">SUMIFS(Покупка!AG$25:AG$254,Покупка!$F$25:$F$254,$F378,Покупка!$AC$25:$AC$254,$G378)</f>
        <v>0</v>
      </c>
      <c r="AH378" s="190">
        <f t="shared" ca="1" si="98"/>
        <v>0</v>
      </c>
      <c r="AI378" s="190">
        <f ca="1">SUMIFS(Покупка!AH$25:AH$254,Покупка!$F$25:$F$254,$F378,Покупка!$AC$25:$AC$254,$G378)</f>
        <v>0</v>
      </c>
      <c r="AJ378" s="190">
        <f ca="1">SUMIFS(Покупка!AI$25:AI$254,Покупка!$F$25:$F$254,$F378,Покупка!$AC$25:$AC$254,$G378)</f>
        <v>0</v>
      </c>
      <c r="AK378" s="190">
        <f ca="1">SUMIFS(Покупка!AJ$25:AJ$254,Покупка!$F$25:$F$254,$F378,Покупка!$AC$25:$AC$254,$G378)</f>
        <v>0</v>
      </c>
      <c r="AL378" s="190">
        <f ca="1">SUMIFS(Покупка!AK$25:AK$254,Покупка!$F$25:$F$254,$F378,Покупка!$AC$25:$AC$254,$G378)</f>
        <v>0</v>
      </c>
      <c r="AM378" s="190">
        <f ca="1">SUMIFS(Покупка!AL$25:AL$254,Покупка!$F$25:$F$254,$F378,Покупка!$AC$25:$AC$254,$G378)</f>
        <v>0</v>
      </c>
      <c r="AN378" s="190">
        <f ca="1">SUMIFS(Покупка!AM$25:AM$254,Покупка!$F$25:$F$254,$F378,Покупка!$AC$25:$AC$254,$G378)</f>
        <v>0</v>
      </c>
      <c r="AO378" s="190">
        <f ca="1">SUMIFS(Покупка!AN$25:AN$254,Покупка!$F$25:$F$254,$F378,Покупка!$AC$25:$AC$254,$G378)</f>
        <v>0</v>
      </c>
      <c r="AP378" s="190">
        <f ca="1">SUMIFS(Покупка!AO$25:AO$254,Покупка!$F$25:$F$254,$F378,Покупка!$AC$25:$AC$254,$G378)</f>
        <v>0</v>
      </c>
      <c r="AQ378" s="190">
        <f ca="1">SUMIFS(Покупка!AP$25:AP$254,Покупка!$F$25:$F$254,$F378,Покупка!$AC$25:$AC$254,$G378)</f>
        <v>0</v>
      </c>
      <c r="AR378" s="190">
        <f ca="1">SUMIFS(Покупка!AQ$25:AQ$254,Покупка!$F$25:$F$254,$F378,Покупка!$AC$25:$AC$254,$G378)</f>
        <v>0</v>
      </c>
      <c r="AS378" s="190">
        <f ca="1">SUMIFS(Покупка!AR$25:AR$254,Покупка!$F$25:$F$254,$F378,Покупка!$AC$25:$AC$254,$G378)</f>
        <v>0</v>
      </c>
      <c r="AT378" s="190">
        <f ca="1">SUMIFS(Покупка!AS$25:AS$254,Покупка!$F$25:$F$254,$F378,Покупка!$AC$25:$AC$254,$G378)</f>
        <v>0</v>
      </c>
      <c r="AU378" s="190">
        <f ca="1">SUMIFS(Покупка!AT$25:AT$254,Покупка!$F$25:$F$254,$F378,Покупка!$AC$25:$AC$254,$G378)</f>
        <v>0</v>
      </c>
      <c r="AV378" s="190">
        <f ca="1">SUMIFS(Покупка!AU$25:AU$254,Покупка!$F$25:$F$254,$F378,Покупка!$AC$25:$AC$254,$G378)</f>
        <v>0</v>
      </c>
      <c r="AW378" s="190">
        <f ca="1">SUMIFS(Покупка!AV$25:AV$254,Покупка!$F$25:$F$254,$F378,Покупка!$AC$25:$AC$254,$G378)</f>
        <v>0</v>
      </c>
      <c r="AX378" s="190">
        <f ca="1">SUMIFS(Покупка!AW$25:AW$254,Покупка!$F$25:$F$254,$F378,Покупка!$AC$25:$AC$254,$G378)</f>
        <v>0</v>
      </c>
      <c r="AY378" s="190">
        <f ca="1">SUMIFS(Покупка!AX$25:AX$254,Покупка!$F$25:$F$254,$F378,Покупка!$AC$25:$AC$254,$G378)</f>
        <v>0</v>
      </c>
      <c r="AZ378" s="190">
        <f ca="1">SUMIFS(Покупка!AY$25:AY$254,Покупка!$F$25:$F$254,$F378,Покупка!$AC$25:$AC$254,$G378)</f>
        <v>0</v>
      </c>
      <c r="BA378" s="190">
        <f ca="1">SUMIFS(Покупка!AZ$25:AZ$254,Покупка!$F$25:$F$254,$F378,Покупка!$AC$25:$AC$254,$G378)</f>
        <v>0</v>
      </c>
      <c r="BB378" s="190">
        <f ca="1">SUMIFS(Покупка!BA$25:BA$254,Покупка!$F$25:$F$254,$F378,Покупка!$AC$25:$AC$254,$G378)</f>
        <v>0</v>
      </c>
      <c r="BC378" s="190">
        <f ca="1">SUMIFS(Покупка!BB$25:BB$254,Покупка!$F$25:$F$254,$F378,Покупка!$AC$25:$AC$254,$G378)</f>
        <v>0</v>
      </c>
      <c r="BD378" s="190">
        <f t="shared" ca="1" si="100"/>
        <v>0</v>
      </c>
      <c r="BE378" s="190">
        <f t="shared" ca="1" si="101"/>
        <v>0</v>
      </c>
      <c r="BF378" s="190">
        <f t="shared" ca="1" si="102"/>
        <v>0</v>
      </c>
      <c r="BG378" s="190">
        <f t="shared" ca="1" si="103"/>
        <v>0</v>
      </c>
      <c r="BH378" s="190">
        <f t="shared" ca="1" si="104"/>
        <v>0</v>
      </c>
      <c r="BI378" s="190">
        <f t="shared" ca="1" si="105"/>
        <v>0</v>
      </c>
      <c r="BJ378" s="190">
        <f t="shared" ca="1" si="106"/>
        <v>0</v>
      </c>
      <c r="BK378" s="190">
        <f t="shared" ca="1" si="107"/>
        <v>0</v>
      </c>
      <c r="BL378" s="190">
        <f t="shared" ca="1" si="108"/>
        <v>0</v>
      </c>
      <c r="BM378" s="190">
        <f t="shared" ca="1" si="109"/>
        <v>0</v>
      </c>
      <c r="BN378" s="215"/>
      <c r="BO378" s="610" t="str">
        <f ca="1">IF(IFERROR(INDEX(Покупка!$K$26:$L$254,MATCH($F378&amp;"9komm",Покупка!$K$26:$K$254,0),2),"")=0,"",IFERROR(INDEX(Покупка!$K$26:$L$254,MATCH($F378&amp;"9komm",Покупка!$K$26:$K$254,0),2),""))</f>
        <v/>
      </c>
      <c r="BP378" s="215"/>
      <c r="BS378" s="705" t="s">
        <v>1141</v>
      </c>
    </row>
    <row r="379" spans="1:75" ht="14.25" customHeight="1">
      <c r="C379" s="44"/>
      <c r="D379" s="44"/>
      <c r="E379" s="462">
        <v>15</v>
      </c>
      <c r="F379" s="3" t="str" cm="1">
        <f t="array" aca="1" ref="F379" ca="1">OFFSET(E379,-1,1)</f>
        <v>2</v>
      </c>
      <c r="G379" s="44"/>
      <c r="H379" s="44"/>
      <c r="I379" s="44" t="s">
        <v>482</v>
      </c>
      <c r="J379" s="44"/>
      <c r="K379" s="44" t="s">
        <v>482</v>
      </c>
      <c r="L379" s="44"/>
      <c r="M379" s="44"/>
      <c r="N379" s="44"/>
      <c r="O379" s="44"/>
      <c r="P379" s="44"/>
      <c r="Q379" s="44"/>
      <c r="R379" s="44"/>
      <c r="S379" s="44"/>
      <c r="T379" s="365" t="b" cm="1">
        <f t="array" aca="1" ref="T379" ca="1">T378</f>
        <v>1</v>
      </c>
      <c r="U379" s="44"/>
      <c r="V379" s="44"/>
      <c r="W379" s="44"/>
      <c r="X379" s="1094"/>
      <c r="Z379" s="1065"/>
      <c r="AB379" s="26" t="s">
        <v>541</v>
      </c>
      <c r="AC379" s="146" t="s">
        <v>2062</v>
      </c>
      <c r="AD379" s="118" t="s">
        <v>804</v>
      </c>
      <c r="AE379" s="190">
        <f ca="1">SUMIFS('Сырье и материалы'!AE$25:AE$96,'Сырье и материалы'!$F$25:$F$96,$F379,'Сырье и материалы'!$I$25:$I$96,"Реагенты")</f>
        <v>155.17450814470001</v>
      </c>
      <c r="AF379" s="190">
        <f ca="1">SUMIFS('Сырье и материалы'!AF$25:AF$96,'Сырье и материалы'!$F$25:$F$96,$F379,'Сырье и материалы'!$I$25:$I$96,"Реагенты")</f>
        <v>93.92</v>
      </c>
      <c r="AG379" s="190">
        <f ca="1">SUMIFS('Сырье и материалы'!AG$25:AG$96,'Сырье и материалы'!$F$25:$F$96,$F379,'Сырье и материалы'!$I$25:$I$96,"Реагенты")</f>
        <v>93.92</v>
      </c>
      <c r="AH379" s="190">
        <f t="shared" ca="1" si="98"/>
        <v>0</v>
      </c>
      <c r="AI379" s="190">
        <f ca="1">SUMIFS('Сырье и материалы'!AH$25:AH$96,'Сырье и материалы'!$F$25:$F$96,$F379,'Сырье и материалы'!$I$25:$I$96,"Реагенты")</f>
        <v>153.09607500000001</v>
      </c>
      <c r="AJ379" s="190">
        <f ca="1">SUMIFS('Сырье и материалы'!AI$25:AI$96,'Сырье и материалы'!$F$25:$F$96,$F379,'Сырье и материалы'!$I$25:$I$96,"Реагенты")</f>
        <v>160.47999999999999</v>
      </c>
      <c r="AK379" s="190">
        <f ca="1">SUMIFS('Сырье и материалы'!AJ$25:AJ$96,'Сырье и материалы'!$F$25:$F$96,$F379,'Сырье и материалы'!$I$25:$I$96,"Реагенты")</f>
        <v>0</v>
      </c>
      <c r="AL379" s="190">
        <f ca="1">SUMIFS('Сырье и материалы'!AK$25:AK$96,'Сырье и материалы'!$F$25:$F$96,$F379,'Сырье и материалы'!$I$25:$I$96,"Реагенты")</f>
        <v>0</v>
      </c>
      <c r="AM379" s="190">
        <f ca="1">SUMIFS('Сырье и материалы'!AL$25:AL$96,'Сырье и материалы'!$F$25:$F$96,$F379,'Сырье и материалы'!$I$25:$I$96,"Реагенты")</f>
        <v>0</v>
      </c>
      <c r="AN379" s="190">
        <f ca="1">SUMIFS('Сырье и материалы'!AM$25:AM$96,'Сырье и материалы'!$F$25:$F$96,$F379,'Сырье и материалы'!$I$25:$I$96,"Реагенты")</f>
        <v>0</v>
      </c>
      <c r="AO379" s="190">
        <f ca="1">SUMIFS('Сырье и материалы'!AN$25:AN$96,'Сырье и материалы'!$F$25:$F$96,$F379,'Сырье и материалы'!$I$25:$I$96,"Реагенты")</f>
        <v>0</v>
      </c>
      <c r="AP379" s="190">
        <f ca="1">SUMIFS('Сырье и материалы'!AO$25:AO$96,'Сырье и материалы'!$F$25:$F$96,$F379,'Сырье и материалы'!$I$25:$I$96,"Реагенты")</f>
        <v>0</v>
      </c>
      <c r="AQ379" s="190">
        <f ca="1">SUMIFS('Сырье и материалы'!AP$25:AP$96,'Сырье и материалы'!$F$25:$F$96,$F379,'Сырье и материалы'!$I$25:$I$96,"Реагенты")</f>
        <v>0</v>
      </c>
      <c r="AR379" s="190">
        <f ca="1">SUMIFS('Сырье и материалы'!AQ$25:AQ$96,'Сырье и материалы'!$F$25:$F$96,$F379,'Сырье и материалы'!$I$25:$I$96,"Реагенты")</f>
        <v>0</v>
      </c>
      <c r="AS379" s="190">
        <f ca="1">SUMIFS('Сырье и материалы'!AR$25:AR$96,'Сырье и материалы'!$F$25:$F$96,$F379,'Сырье и материалы'!$I$25:$I$96,"Реагенты")</f>
        <v>0</v>
      </c>
      <c r="AT379" s="190">
        <f ca="1">SUMIFS('Сырье и материалы'!AS$25:AS$96,'Сырье и материалы'!$F$25:$F$96,$F379,'Сырье и материалы'!$I$25:$I$96,"Реагенты")</f>
        <v>118.08</v>
      </c>
      <c r="AU379" s="190">
        <f ca="1">SUMIFS('Сырье и материалы'!AT$25:AT$96,'Сырье и материалы'!$F$25:$F$96,$F379,'Сырье и материалы'!$I$25:$I$96,"Реагенты")</f>
        <v>0</v>
      </c>
      <c r="AV379" s="190">
        <f ca="1">SUMIFS('Сырье и материалы'!AU$25:AU$96,'Сырье и материалы'!$F$25:$F$96,$F379,'Сырье и материалы'!$I$25:$I$96,"Реагенты")</f>
        <v>0</v>
      </c>
      <c r="AW379" s="190">
        <f ca="1">SUMIFS('Сырье и материалы'!AV$25:AV$96,'Сырье и материалы'!$F$25:$F$96,$F379,'Сырье и материалы'!$I$25:$I$96,"Реагенты")</f>
        <v>0</v>
      </c>
      <c r="AX379" s="190">
        <f ca="1">SUMIFS('Сырье и материалы'!AW$25:AW$96,'Сырье и материалы'!$F$25:$F$96,$F379,'Сырье и материалы'!$I$25:$I$96,"Реагенты")</f>
        <v>0</v>
      </c>
      <c r="AY379" s="190">
        <f ca="1">SUMIFS('Сырье и материалы'!AX$25:AX$96,'Сырье и материалы'!$F$25:$F$96,$F379,'Сырье и материалы'!$I$25:$I$96,"Реагенты")</f>
        <v>0</v>
      </c>
      <c r="AZ379" s="190">
        <f ca="1">SUMIFS('Сырье и материалы'!AY$25:AY$96,'Сырье и материалы'!$F$25:$F$96,$F379,'Сырье и материалы'!$I$25:$I$96,"Реагенты")</f>
        <v>0</v>
      </c>
      <c r="BA379" s="190">
        <f ca="1">SUMIFS('Сырье и материалы'!AZ$25:AZ$96,'Сырье и материалы'!$F$25:$F$96,$F379,'Сырье и материалы'!$I$25:$I$96,"Реагенты")</f>
        <v>0</v>
      </c>
      <c r="BB379" s="190">
        <f ca="1">SUMIFS('Сырье и материалы'!BA$25:BA$96,'Сырье и материалы'!$F$25:$F$96,$F379,'Сырье и материалы'!$I$25:$I$96,"Реагенты")</f>
        <v>0</v>
      </c>
      <c r="BC379" s="190">
        <f ca="1">SUMIFS('Сырье и материалы'!BB$25:BB$96,'Сырье и материалы'!$F$25:$F$96,$F379,'Сырье и материалы'!$I$25:$I$96,"Реагенты")</f>
        <v>0</v>
      </c>
      <c r="BD379" s="190">
        <f t="shared" ca="1" si="100"/>
        <v>-22.871961283135452</v>
      </c>
      <c r="BE379" s="190">
        <f t="shared" ca="1" si="101"/>
        <v>-100</v>
      </c>
      <c r="BF379" s="190">
        <f t="shared" ca="1" si="102"/>
        <v>0</v>
      </c>
      <c r="BG379" s="190">
        <f t="shared" ca="1" si="103"/>
        <v>0</v>
      </c>
      <c r="BH379" s="190">
        <f t="shared" ca="1" si="104"/>
        <v>0</v>
      </c>
      <c r="BI379" s="190">
        <f t="shared" ca="1" si="105"/>
        <v>0</v>
      </c>
      <c r="BJ379" s="190">
        <f t="shared" ca="1" si="106"/>
        <v>0</v>
      </c>
      <c r="BK379" s="190">
        <f t="shared" ca="1" si="107"/>
        <v>0</v>
      </c>
      <c r="BL379" s="190">
        <f t="shared" ca="1" si="108"/>
        <v>0</v>
      </c>
      <c r="BM379" s="190">
        <f t="shared" ca="1" si="109"/>
        <v>0</v>
      </c>
      <c r="BN379" s="215"/>
      <c r="BO379" s="610" t="str">
        <f ca="1">IF(IFERROR(INDEX('Сырье и материалы'!$K$26:$L$96,MATCH($F379&amp;"komm",'Сырье и материалы'!$K$26:$K$96,0),2),"")=0,"",IFERROR(INDEX('Сырье и материалы'!$K$26:$L$96,MATCH($F379&amp;"komm",'Сырье и материалы'!$K$26:$K$96,0),2),""))</f>
        <v>п.п. 10 п. 49 Методических указаний 1746-э.</v>
      </c>
      <c r="BP379" s="215"/>
      <c r="BS379" s="705" t="s">
        <v>1725</v>
      </c>
    </row>
    <row r="380" spans="1:75" s="950" customFormat="1" ht="20.25" customHeight="1">
      <c r="A380" s="95"/>
      <c r="B380" s="344"/>
      <c r="C380" s="46"/>
      <c r="D380" s="46"/>
      <c r="E380" s="569">
        <v>21</v>
      </c>
      <c r="F380" s="3" t="str" cm="1">
        <f t="array" aca="1" ref="F380" ca="1">OFFSET(E380,-1,1)</f>
        <v>2</v>
      </c>
      <c r="G380" s="46"/>
      <c r="H380" s="44"/>
      <c r="I380" s="44" t="s">
        <v>917</v>
      </c>
      <c r="J380" s="46"/>
      <c r="K380" s="44" t="s">
        <v>917</v>
      </c>
      <c r="L380" s="46" t="s">
        <v>514</v>
      </c>
      <c r="M380" s="46"/>
      <c r="N380" s="46"/>
      <c r="O380" s="46"/>
      <c r="P380" s="46"/>
      <c r="Q380" s="46"/>
      <c r="R380" s="46"/>
      <c r="S380" s="46"/>
      <c r="T380" s="365" t="b" cm="1">
        <f t="array" aca="1" ref="T380" ca="1">T379</f>
        <v>1</v>
      </c>
      <c r="U380" s="46"/>
      <c r="V380" s="46"/>
      <c r="W380" s="46"/>
      <c r="X380" s="1094"/>
      <c r="Y380" s="95"/>
      <c r="Z380" s="1065"/>
      <c r="AA380" s="95"/>
      <c r="AB380" s="143" t="s">
        <v>545</v>
      </c>
      <c r="AC380" s="276" t="s">
        <v>2063</v>
      </c>
      <c r="AD380" s="143" t="s">
        <v>804</v>
      </c>
      <c r="AE380" s="145">
        <f ca="1">SUM(AE381:AE390)</f>
        <v>344.50103579249998</v>
      </c>
      <c r="AF380" s="145">
        <f ca="1">SUM(AF381:AF390)</f>
        <v>422.54</v>
      </c>
      <c r="AG380" s="145">
        <f ca="1">SUM(AG381:AG390)</f>
        <v>335.32</v>
      </c>
      <c r="AH380" s="145">
        <f t="shared" ca="1" si="98"/>
        <v>-87.220000000000027</v>
      </c>
      <c r="AI380" s="145">
        <f t="shared" ref="AI380:BC380" ca="1" si="111">SUM(AI381:AI390)</f>
        <v>384.89527767999999</v>
      </c>
      <c r="AJ380" s="145">
        <f t="shared" ca="1" si="111"/>
        <v>705.6</v>
      </c>
      <c r="AK380" s="145">
        <f t="shared" ca="1" si="111"/>
        <v>0</v>
      </c>
      <c r="AL380" s="145">
        <f t="shared" ca="1" si="111"/>
        <v>0</v>
      </c>
      <c r="AM380" s="145">
        <f t="shared" ca="1" si="111"/>
        <v>0</v>
      </c>
      <c r="AN380" s="145">
        <f t="shared" ca="1" si="111"/>
        <v>0</v>
      </c>
      <c r="AO380" s="145">
        <f t="shared" ca="1" si="111"/>
        <v>0</v>
      </c>
      <c r="AP380" s="145">
        <f t="shared" ca="1" si="111"/>
        <v>0</v>
      </c>
      <c r="AQ380" s="145">
        <f t="shared" ca="1" si="111"/>
        <v>0</v>
      </c>
      <c r="AR380" s="145">
        <f t="shared" ca="1" si="111"/>
        <v>0</v>
      </c>
      <c r="AS380" s="145">
        <f t="shared" ca="1" si="111"/>
        <v>0</v>
      </c>
      <c r="AT380" s="145">
        <f t="shared" ca="1" si="111"/>
        <v>405.06</v>
      </c>
      <c r="AU380" s="145">
        <f t="shared" ca="1" si="111"/>
        <v>0</v>
      </c>
      <c r="AV380" s="145">
        <f t="shared" ca="1" si="111"/>
        <v>0</v>
      </c>
      <c r="AW380" s="145">
        <f t="shared" ca="1" si="111"/>
        <v>0</v>
      </c>
      <c r="AX380" s="145">
        <f t="shared" ca="1" si="111"/>
        <v>0</v>
      </c>
      <c r="AY380" s="145">
        <f t="shared" ca="1" si="111"/>
        <v>0</v>
      </c>
      <c r="AZ380" s="145">
        <f t="shared" ca="1" si="111"/>
        <v>0</v>
      </c>
      <c r="BA380" s="145">
        <f t="shared" ca="1" si="111"/>
        <v>0</v>
      </c>
      <c r="BB380" s="145">
        <f t="shared" ca="1" si="111"/>
        <v>0</v>
      </c>
      <c r="BC380" s="145">
        <f t="shared" ca="1" si="111"/>
        <v>0</v>
      </c>
      <c r="BD380" s="145">
        <f t="shared" ca="1" si="100"/>
        <v>5.2390152567070105</v>
      </c>
      <c r="BE380" s="145">
        <f t="shared" ca="1" si="101"/>
        <v>-100</v>
      </c>
      <c r="BF380" s="145">
        <f t="shared" ca="1" si="102"/>
        <v>0</v>
      </c>
      <c r="BG380" s="145">
        <f t="shared" ca="1" si="103"/>
        <v>0</v>
      </c>
      <c r="BH380" s="145">
        <f t="shared" ca="1" si="104"/>
        <v>0</v>
      </c>
      <c r="BI380" s="145">
        <f t="shared" ca="1" si="105"/>
        <v>0</v>
      </c>
      <c r="BJ380" s="145">
        <f t="shared" ca="1" si="106"/>
        <v>0</v>
      </c>
      <c r="BK380" s="145">
        <f t="shared" ca="1" si="107"/>
        <v>0</v>
      </c>
      <c r="BL380" s="145">
        <f t="shared" ca="1" si="108"/>
        <v>0</v>
      </c>
      <c r="BM380" s="145">
        <f t="shared" ca="1" si="109"/>
        <v>0</v>
      </c>
      <c r="BN380" s="566"/>
      <c r="BO380" s="610" t="str">
        <f ca="1">IF(IFERROR(INDEX(Налоги!$K$26:$L$69,MATCH($F380&amp;"komm",Налоги!$K$26:$K$69,0),2),"")=0,"",IFERROR(INDEX(Налоги!$K$26:$L$69,MATCH($F380&amp;"komm",Налоги!$K$26:$K$69,0),2),""))</f>
        <v>В соответствии с п.п.2 п. 49 Методических указаний 1746-э.</v>
      </c>
      <c r="BP380" s="566"/>
      <c r="BQ380" s="95"/>
      <c r="BR380" s="95"/>
      <c r="BS380" s="711" t="s">
        <v>1270</v>
      </c>
      <c r="BT380" s="711"/>
      <c r="BU380" s="711"/>
      <c r="BV380" s="522"/>
      <c r="BW380" s="522"/>
    </row>
    <row r="381" spans="1:75" ht="14.25" customHeight="1">
      <c r="C381" s="44"/>
      <c r="D381" s="44"/>
      <c r="E381" s="462">
        <v>15</v>
      </c>
      <c r="F381" s="3" t="str" cm="1">
        <f t="array" aca="1" ref="F381" ca="1">OFFSET(E381,-1,1)</f>
        <v>2</v>
      </c>
      <c r="G381" s="620">
        <v>7</v>
      </c>
      <c r="H381" s="44"/>
      <c r="I381" s="44" t="s">
        <v>2064</v>
      </c>
      <c r="J381" s="44"/>
      <c r="K381" s="44" t="s">
        <v>2064</v>
      </c>
      <c r="L381" s="44"/>
      <c r="M381" s="44"/>
      <c r="N381" s="44"/>
      <c r="O381" s="44"/>
      <c r="P381" s="44"/>
      <c r="Q381" s="44"/>
      <c r="R381" s="44"/>
      <c r="S381" s="44"/>
      <c r="T381" s="365" t="b" cm="1">
        <f t="array" aca="1" ref="T381" ca="1">T380</f>
        <v>1</v>
      </c>
      <c r="U381" s="44"/>
      <c r="V381" s="44"/>
      <c r="W381" s="44"/>
      <c r="X381" s="1094"/>
      <c r="Z381" s="1065"/>
      <c r="AB381" s="26" t="s">
        <v>498</v>
      </c>
      <c r="AC381" s="153" t="s">
        <v>1284</v>
      </c>
      <c r="AD381" s="26" t="s">
        <v>804</v>
      </c>
      <c r="AE381" s="190">
        <f ca="1">SUMIFS(Налоги!AE$25:AE$69,Налоги!$F$25:$F$69,$F381,Налоги!$AB$25:$AB$69,$G381)</f>
        <v>0</v>
      </c>
      <c r="AF381" s="190">
        <f ca="1">SUMIFS(Налоги!AF$25:AF$69,Налоги!$F$25:$F$69,$F381,Налоги!$AB$25:$AB$69,$G381)</f>
        <v>0</v>
      </c>
      <c r="AG381" s="190">
        <f ca="1">SUMIFS(Налоги!AG$25:AG$69,Налоги!$F$25:$F$69,$F381,Налоги!$AB$25:$AB$69,$G381)</f>
        <v>0</v>
      </c>
      <c r="AH381" s="190">
        <f t="shared" ca="1" si="98"/>
        <v>0</v>
      </c>
      <c r="AI381" s="190">
        <f ca="1">SUMIFS(Налоги!AH$25:AH$69,Налоги!$F$25:$F$69,$F381,Налоги!$AB$25:$AB$69,$G381)</f>
        <v>0</v>
      </c>
      <c r="AJ381" s="190">
        <f ca="1">SUMIFS(Налоги!AI$25:AI$69,Налоги!$F$25:$F$69,$F381,Налоги!$AB$25:$AB$69,$G381)</f>
        <v>0</v>
      </c>
      <c r="AK381" s="190">
        <f ca="1">SUMIFS(Налоги!AJ$25:AJ$69,Налоги!$F$25:$F$69,$F381,Налоги!$AB$25:$AB$69,$G381)</f>
        <v>0</v>
      </c>
      <c r="AL381" s="190">
        <f ca="1">SUMIFS(Налоги!AK$25:AK$69,Налоги!$F$25:$F$69,$F381,Налоги!$AB$25:$AB$69,$G381)</f>
        <v>0</v>
      </c>
      <c r="AM381" s="190">
        <f ca="1">SUMIFS(Налоги!AL$25:AL$69,Налоги!$F$25:$F$69,$F381,Налоги!$AB$25:$AB$69,$G381)</f>
        <v>0</v>
      </c>
      <c r="AN381" s="190">
        <f ca="1">SUMIFS(Налоги!AM$25:AM$69,Налоги!$F$25:$F$69,$F381,Налоги!$AB$25:$AB$69,$G381)</f>
        <v>0</v>
      </c>
      <c r="AO381" s="190">
        <f ca="1">SUMIFS(Налоги!AN$25:AN$69,Налоги!$F$25:$F$69,$F381,Налоги!$AB$25:$AB$69,$G381)</f>
        <v>0</v>
      </c>
      <c r="AP381" s="190">
        <f ca="1">SUMIFS(Налоги!AO$25:AO$69,Налоги!$F$25:$F$69,$F381,Налоги!$AB$25:$AB$69,$G381)</f>
        <v>0</v>
      </c>
      <c r="AQ381" s="190">
        <f ca="1">SUMIFS(Налоги!AP$25:AP$69,Налоги!$F$25:$F$69,$F381,Налоги!$AB$25:$AB$69,$G381)</f>
        <v>0</v>
      </c>
      <c r="AR381" s="190">
        <f ca="1">SUMIFS(Налоги!AQ$25:AQ$69,Налоги!$F$25:$F$69,$F381,Налоги!$AB$25:$AB$69,$G381)</f>
        <v>0</v>
      </c>
      <c r="AS381" s="190">
        <f ca="1">SUMIFS(Налоги!AR$25:AR$69,Налоги!$F$25:$F$69,$F381,Налоги!$AB$25:$AB$69,$G381)</f>
        <v>0</v>
      </c>
      <c r="AT381" s="190">
        <f ca="1">SUMIFS(Налоги!AS$25:AS$69,Налоги!$F$25:$F$69,$F381,Налоги!$AB$25:$AB$69,$G381)</f>
        <v>0</v>
      </c>
      <c r="AU381" s="190">
        <f ca="1">SUMIFS(Налоги!AT$25:AT$69,Налоги!$F$25:$F$69,$F381,Налоги!$AB$25:$AB$69,$G381)</f>
        <v>0</v>
      </c>
      <c r="AV381" s="190">
        <f ca="1">SUMIFS(Налоги!AU$25:AU$69,Налоги!$F$25:$F$69,$F381,Налоги!$AB$25:$AB$69,$G381)</f>
        <v>0</v>
      </c>
      <c r="AW381" s="190">
        <f ca="1">SUMIFS(Налоги!AV$25:AV$69,Налоги!$F$25:$F$69,$F381,Налоги!$AB$25:$AB$69,$G381)</f>
        <v>0</v>
      </c>
      <c r="AX381" s="190">
        <f ca="1">SUMIFS(Налоги!AW$25:AW$69,Налоги!$F$25:$F$69,$F381,Налоги!$AB$25:$AB$69,$G381)</f>
        <v>0</v>
      </c>
      <c r="AY381" s="190">
        <f ca="1">SUMIFS(Налоги!AX$25:AX$69,Налоги!$F$25:$F$69,$F381,Налоги!$AB$25:$AB$69,$G381)</f>
        <v>0</v>
      </c>
      <c r="AZ381" s="190">
        <f ca="1">SUMIFS(Налоги!AY$25:AY$69,Налоги!$F$25:$F$69,$F381,Налоги!$AB$25:$AB$69,$G381)</f>
        <v>0</v>
      </c>
      <c r="BA381" s="190">
        <f ca="1">SUMIFS(Налоги!AZ$25:AZ$69,Налоги!$F$25:$F$69,$F381,Налоги!$AB$25:$AB$69,$G381)</f>
        <v>0</v>
      </c>
      <c r="BB381" s="190">
        <f ca="1">SUMIFS(Налоги!BA$25:BA$69,Налоги!$F$25:$F$69,$F381,Налоги!$AB$25:$AB$69,$G381)</f>
        <v>0</v>
      </c>
      <c r="BC381" s="190">
        <f ca="1">SUMIFS(Налоги!BB$25:BB$69,Налоги!$F$25:$F$69,$F381,Налоги!$AB$25:$AB$69,$G381)</f>
        <v>0</v>
      </c>
      <c r="BD381" s="190">
        <f t="shared" ca="1" si="100"/>
        <v>0</v>
      </c>
      <c r="BE381" s="190">
        <f t="shared" ca="1" si="101"/>
        <v>0</v>
      </c>
      <c r="BF381" s="190">
        <f t="shared" ca="1" si="102"/>
        <v>0</v>
      </c>
      <c r="BG381" s="190">
        <f t="shared" ca="1" si="103"/>
        <v>0</v>
      </c>
      <c r="BH381" s="190">
        <f t="shared" ca="1" si="104"/>
        <v>0</v>
      </c>
      <c r="BI381" s="190">
        <f t="shared" ca="1" si="105"/>
        <v>0</v>
      </c>
      <c r="BJ381" s="190">
        <f t="shared" ca="1" si="106"/>
        <v>0</v>
      </c>
      <c r="BK381" s="190">
        <f t="shared" ca="1" si="107"/>
        <v>0</v>
      </c>
      <c r="BL381" s="190">
        <f t="shared" ca="1" si="108"/>
        <v>0</v>
      </c>
      <c r="BM381" s="190">
        <f t="shared" ca="1" si="109"/>
        <v>0</v>
      </c>
      <c r="BN381" s="215"/>
      <c r="BO381" s="610" t="str">
        <f ca="1">IF(IFERROR(INDEX(Налоги!$K$26:$L$69,MATCH($F381&amp;"7komm",Налоги!$K$26:$K$69,0),2),"")=0,"",IFERROR(INDEX(Налоги!$K$26:$L$69,MATCH($F381&amp;"7komm",Налоги!$K$26:$K$69,0),2),""))</f>
        <v/>
      </c>
      <c r="BP381" s="215"/>
      <c r="BS381" s="705" t="s">
        <v>2065</v>
      </c>
    </row>
    <row r="382" spans="1:75" ht="14.25" customHeight="1">
      <c r="C382" s="44"/>
      <c r="D382" s="44"/>
      <c r="E382" s="462">
        <v>15</v>
      </c>
      <c r="F382" s="3" t="str" cm="1">
        <f t="array" aca="1" ref="F382" ca="1">OFFSET(E382,-1,1)</f>
        <v>2</v>
      </c>
      <c r="G382" s="620">
        <v>6</v>
      </c>
      <c r="H382" s="44"/>
      <c r="I382" s="44" t="s">
        <v>2066</v>
      </c>
      <c r="J382" s="44"/>
      <c r="K382" s="44" t="s">
        <v>2066</v>
      </c>
      <c r="L382" s="44"/>
      <c r="M382" s="44"/>
      <c r="N382" s="44"/>
      <c r="O382" s="44"/>
      <c r="P382" s="44"/>
      <c r="Q382" s="44"/>
      <c r="R382" s="44"/>
      <c r="S382" s="44"/>
      <c r="T382" s="365" t="b" cm="1">
        <f t="array" aca="1" ref="T382" ca="1">T381</f>
        <v>1</v>
      </c>
      <c r="U382" s="44"/>
      <c r="V382" s="44"/>
      <c r="W382" s="44"/>
      <c r="X382" s="1094"/>
      <c r="Z382" s="1065"/>
      <c r="AB382" s="26" t="s">
        <v>1492</v>
      </c>
      <c r="AC382" s="153" t="s">
        <v>2067</v>
      </c>
      <c r="AD382" s="26" t="s">
        <v>804</v>
      </c>
      <c r="AE382" s="190">
        <f ca="1">SUMIFS(Налоги!AE$25:AE$69,Налоги!$F$25:$F$69,$F382,Налоги!$AB$25:$AB$69,$G382)</f>
        <v>0</v>
      </c>
      <c r="AF382" s="190">
        <f ca="1">SUMIFS(Налоги!AF$25:AF$69,Налоги!$F$25:$F$69,$F382,Налоги!$AB$25:$AB$69,$G382)</f>
        <v>0</v>
      </c>
      <c r="AG382" s="190">
        <f ca="1">SUMIFS(Налоги!AG$25:AG$69,Налоги!$F$25:$F$69,$F382,Налоги!$AB$25:$AB$69,$G382)</f>
        <v>0</v>
      </c>
      <c r="AH382" s="190">
        <f t="shared" ca="1" si="98"/>
        <v>0</v>
      </c>
      <c r="AI382" s="190">
        <f ca="1">SUMIFS(Налоги!AH$25:AH$69,Налоги!$F$25:$F$69,$F382,Налоги!$AB$25:$AB$69,$G382)</f>
        <v>0</v>
      </c>
      <c r="AJ382" s="190">
        <f ca="1">SUMIFS(Налоги!AI$25:AI$69,Налоги!$F$25:$F$69,$F382,Налоги!$AB$25:$AB$69,$G382)</f>
        <v>0</v>
      </c>
      <c r="AK382" s="190">
        <f ca="1">SUMIFS(Налоги!AJ$25:AJ$69,Налоги!$F$25:$F$69,$F382,Налоги!$AB$25:$AB$69,$G382)</f>
        <v>0</v>
      </c>
      <c r="AL382" s="190">
        <f ca="1">SUMIFS(Налоги!AK$25:AK$69,Налоги!$F$25:$F$69,$F382,Налоги!$AB$25:$AB$69,$G382)</f>
        <v>0</v>
      </c>
      <c r="AM382" s="190">
        <f ca="1">SUMIFS(Налоги!AL$25:AL$69,Налоги!$F$25:$F$69,$F382,Налоги!$AB$25:$AB$69,$G382)</f>
        <v>0</v>
      </c>
      <c r="AN382" s="190">
        <f ca="1">SUMIFS(Налоги!AM$25:AM$69,Налоги!$F$25:$F$69,$F382,Налоги!$AB$25:$AB$69,$G382)</f>
        <v>0</v>
      </c>
      <c r="AO382" s="190">
        <f ca="1">SUMIFS(Налоги!AN$25:AN$69,Налоги!$F$25:$F$69,$F382,Налоги!$AB$25:$AB$69,$G382)</f>
        <v>0</v>
      </c>
      <c r="AP382" s="190">
        <f ca="1">SUMIFS(Налоги!AO$25:AO$69,Налоги!$F$25:$F$69,$F382,Налоги!$AB$25:$AB$69,$G382)</f>
        <v>0</v>
      </c>
      <c r="AQ382" s="190">
        <f ca="1">SUMIFS(Налоги!AP$25:AP$69,Налоги!$F$25:$F$69,$F382,Налоги!$AB$25:$AB$69,$G382)</f>
        <v>0</v>
      </c>
      <c r="AR382" s="190">
        <f ca="1">SUMIFS(Налоги!AQ$25:AQ$69,Налоги!$F$25:$F$69,$F382,Налоги!$AB$25:$AB$69,$G382)</f>
        <v>0</v>
      </c>
      <c r="AS382" s="190">
        <f ca="1">SUMIFS(Налоги!AR$25:AR$69,Налоги!$F$25:$F$69,$F382,Налоги!$AB$25:$AB$69,$G382)</f>
        <v>0</v>
      </c>
      <c r="AT382" s="190">
        <f ca="1">SUMIFS(Налоги!AS$25:AS$69,Налоги!$F$25:$F$69,$F382,Налоги!$AB$25:$AB$69,$G382)</f>
        <v>0</v>
      </c>
      <c r="AU382" s="190">
        <f ca="1">SUMIFS(Налоги!AT$25:AT$69,Налоги!$F$25:$F$69,$F382,Налоги!$AB$25:$AB$69,$G382)</f>
        <v>0</v>
      </c>
      <c r="AV382" s="190">
        <f ca="1">SUMIFS(Налоги!AU$25:AU$69,Налоги!$F$25:$F$69,$F382,Налоги!$AB$25:$AB$69,$G382)</f>
        <v>0</v>
      </c>
      <c r="AW382" s="190">
        <f ca="1">SUMIFS(Налоги!AV$25:AV$69,Налоги!$F$25:$F$69,$F382,Налоги!$AB$25:$AB$69,$G382)</f>
        <v>0</v>
      </c>
      <c r="AX382" s="190">
        <f ca="1">SUMIFS(Налоги!AW$25:AW$69,Налоги!$F$25:$F$69,$F382,Налоги!$AB$25:$AB$69,$G382)</f>
        <v>0</v>
      </c>
      <c r="AY382" s="190">
        <f ca="1">SUMIFS(Налоги!AX$25:AX$69,Налоги!$F$25:$F$69,$F382,Налоги!$AB$25:$AB$69,$G382)</f>
        <v>0</v>
      </c>
      <c r="AZ382" s="190">
        <f ca="1">SUMIFS(Налоги!AY$25:AY$69,Налоги!$F$25:$F$69,$F382,Налоги!$AB$25:$AB$69,$G382)</f>
        <v>0</v>
      </c>
      <c r="BA382" s="190">
        <f ca="1">SUMIFS(Налоги!AZ$25:AZ$69,Налоги!$F$25:$F$69,$F382,Налоги!$AB$25:$AB$69,$G382)</f>
        <v>0</v>
      </c>
      <c r="BB382" s="190">
        <f ca="1">SUMIFS(Налоги!BA$25:BA$69,Налоги!$F$25:$F$69,$F382,Налоги!$AB$25:$AB$69,$G382)</f>
        <v>0</v>
      </c>
      <c r="BC382" s="190">
        <f ca="1">SUMIFS(Налоги!BB$25:BB$69,Налоги!$F$25:$F$69,$F382,Налоги!$AB$25:$AB$69,$G382)</f>
        <v>0</v>
      </c>
      <c r="BD382" s="190">
        <f t="shared" ca="1" si="100"/>
        <v>0</v>
      </c>
      <c r="BE382" s="190">
        <f t="shared" ca="1" si="101"/>
        <v>0</v>
      </c>
      <c r="BF382" s="190">
        <f t="shared" ca="1" si="102"/>
        <v>0</v>
      </c>
      <c r="BG382" s="190">
        <f t="shared" ca="1" si="103"/>
        <v>0</v>
      </c>
      <c r="BH382" s="190">
        <f t="shared" ca="1" si="104"/>
        <v>0</v>
      </c>
      <c r="BI382" s="190">
        <f t="shared" ca="1" si="105"/>
        <v>0</v>
      </c>
      <c r="BJ382" s="190">
        <f t="shared" ca="1" si="106"/>
        <v>0</v>
      </c>
      <c r="BK382" s="190">
        <f t="shared" ca="1" si="107"/>
        <v>0</v>
      </c>
      <c r="BL382" s="190">
        <f t="shared" ca="1" si="108"/>
        <v>0</v>
      </c>
      <c r="BM382" s="190">
        <f t="shared" ca="1" si="109"/>
        <v>0</v>
      </c>
      <c r="BN382" s="215"/>
      <c r="BO382" s="610" t="str">
        <f ca="1">IF(IFERROR(INDEX(Налоги!$K$26:$L$69,MATCH($F382&amp;"6komm",Налоги!$K$26:$K$69,0),2),"")=0,"",IFERROR(INDEX(Налоги!$K$26:$L$69,MATCH($F382&amp;"6komm",Налоги!$K$26:$K$69,0),2),""))</f>
        <v/>
      </c>
      <c r="BP382" s="215"/>
      <c r="BS382" s="705" t="s">
        <v>2068</v>
      </c>
    </row>
    <row r="383" spans="1:75" ht="14.25" customHeight="1">
      <c r="C383" s="44"/>
      <c r="D383" s="44"/>
      <c r="E383" s="462">
        <v>15</v>
      </c>
      <c r="F383" s="3" t="str" cm="1">
        <f t="array" aca="1" ref="F383" ca="1">OFFSET(E383,-1,1)</f>
        <v>2</v>
      </c>
      <c r="G383" s="620">
        <v>2</v>
      </c>
      <c r="H383" s="44"/>
      <c r="I383" s="44" t="s">
        <v>2069</v>
      </c>
      <c r="J383" s="44"/>
      <c r="K383" s="44" t="s">
        <v>2069</v>
      </c>
      <c r="L383" s="44"/>
      <c r="M383" s="44"/>
      <c r="N383" s="44"/>
      <c r="O383" s="44"/>
      <c r="P383" s="44"/>
      <c r="Q383" s="44"/>
      <c r="R383" s="44"/>
      <c r="S383" s="44"/>
      <c r="T383" s="365" t="b" cm="1">
        <f t="array" aca="1" ref="T383" ca="1">T382</f>
        <v>1</v>
      </c>
      <c r="U383" s="44"/>
      <c r="V383" s="44"/>
      <c r="W383" s="44"/>
      <c r="X383" s="1094"/>
      <c r="Z383" s="1065"/>
      <c r="AB383" s="26" t="s">
        <v>1497</v>
      </c>
      <c r="AC383" s="153" t="s">
        <v>2070</v>
      </c>
      <c r="AD383" s="26" t="s">
        <v>804</v>
      </c>
      <c r="AE383" s="190">
        <f ca="1">SUMIFS(Налоги!AE$25:AE$69,Налоги!$F$25:$F$69,$F383,Налоги!$AB$25:$AB$69,$G383)</f>
        <v>0</v>
      </c>
      <c r="AF383" s="190">
        <f ca="1">SUMIFS(Налоги!AF$25:AF$69,Налоги!$F$25:$F$69,$F383,Налоги!$AB$25:$AB$69,$G383)</f>
        <v>0</v>
      </c>
      <c r="AG383" s="190">
        <f ca="1">SUMIFS(Налоги!AG$25:AG$69,Налоги!$F$25:$F$69,$F383,Налоги!$AB$25:$AB$69,$G383)</f>
        <v>0</v>
      </c>
      <c r="AH383" s="190">
        <f t="shared" ca="1" si="98"/>
        <v>0</v>
      </c>
      <c r="AI383" s="190">
        <f ca="1">SUMIFS(Налоги!AH$25:AH$69,Налоги!$F$25:$F$69,$F383,Налоги!$AB$25:$AB$69,$G383)</f>
        <v>0</v>
      </c>
      <c r="AJ383" s="190">
        <f ca="1">SUMIFS(Налоги!AI$25:AI$69,Налоги!$F$25:$F$69,$F383,Налоги!$AB$25:$AB$69,$G383)</f>
        <v>0</v>
      </c>
      <c r="AK383" s="190">
        <f ca="1">SUMIFS(Налоги!AJ$25:AJ$69,Налоги!$F$25:$F$69,$F383,Налоги!$AB$25:$AB$69,$G383)</f>
        <v>0</v>
      </c>
      <c r="AL383" s="190">
        <f ca="1">SUMIFS(Налоги!AK$25:AK$69,Налоги!$F$25:$F$69,$F383,Налоги!$AB$25:$AB$69,$G383)</f>
        <v>0</v>
      </c>
      <c r="AM383" s="190">
        <f ca="1">SUMIFS(Налоги!AL$25:AL$69,Налоги!$F$25:$F$69,$F383,Налоги!$AB$25:$AB$69,$G383)</f>
        <v>0</v>
      </c>
      <c r="AN383" s="190">
        <f ca="1">SUMIFS(Налоги!AM$25:AM$69,Налоги!$F$25:$F$69,$F383,Налоги!$AB$25:$AB$69,$G383)</f>
        <v>0</v>
      </c>
      <c r="AO383" s="190">
        <f ca="1">SUMIFS(Налоги!AN$25:AN$69,Налоги!$F$25:$F$69,$F383,Налоги!$AB$25:$AB$69,$G383)</f>
        <v>0</v>
      </c>
      <c r="AP383" s="190">
        <f ca="1">SUMIFS(Налоги!AO$25:AO$69,Налоги!$F$25:$F$69,$F383,Налоги!$AB$25:$AB$69,$G383)</f>
        <v>0</v>
      </c>
      <c r="AQ383" s="190">
        <f ca="1">SUMIFS(Налоги!AP$25:AP$69,Налоги!$F$25:$F$69,$F383,Налоги!$AB$25:$AB$69,$G383)</f>
        <v>0</v>
      </c>
      <c r="AR383" s="190">
        <f ca="1">SUMIFS(Налоги!AQ$25:AQ$69,Налоги!$F$25:$F$69,$F383,Налоги!$AB$25:$AB$69,$G383)</f>
        <v>0</v>
      </c>
      <c r="AS383" s="190">
        <f ca="1">SUMIFS(Налоги!AR$25:AR$69,Налоги!$F$25:$F$69,$F383,Налоги!$AB$25:$AB$69,$G383)</f>
        <v>0</v>
      </c>
      <c r="AT383" s="190">
        <f ca="1">SUMIFS(Налоги!AS$25:AS$69,Налоги!$F$25:$F$69,$F383,Налоги!$AB$25:$AB$69,$G383)</f>
        <v>0</v>
      </c>
      <c r="AU383" s="190">
        <f ca="1">SUMIFS(Налоги!AT$25:AT$69,Налоги!$F$25:$F$69,$F383,Налоги!$AB$25:$AB$69,$G383)</f>
        <v>0</v>
      </c>
      <c r="AV383" s="190">
        <f ca="1">SUMIFS(Налоги!AU$25:AU$69,Налоги!$F$25:$F$69,$F383,Налоги!$AB$25:$AB$69,$G383)</f>
        <v>0</v>
      </c>
      <c r="AW383" s="190">
        <f ca="1">SUMIFS(Налоги!AV$25:AV$69,Налоги!$F$25:$F$69,$F383,Налоги!$AB$25:$AB$69,$G383)</f>
        <v>0</v>
      </c>
      <c r="AX383" s="190">
        <f ca="1">SUMIFS(Налоги!AW$25:AW$69,Налоги!$F$25:$F$69,$F383,Налоги!$AB$25:$AB$69,$G383)</f>
        <v>0</v>
      </c>
      <c r="AY383" s="190">
        <f ca="1">SUMIFS(Налоги!AX$25:AX$69,Налоги!$F$25:$F$69,$F383,Налоги!$AB$25:$AB$69,$G383)</f>
        <v>0</v>
      </c>
      <c r="AZ383" s="190">
        <f ca="1">SUMIFS(Налоги!AY$25:AY$69,Налоги!$F$25:$F$69,$F383,Налоги!$AB$25:$AB$69,$G383)</f>
        <v>0</v>
      </c>
      <c r="BA383" s="190">
        <f ca="1">SUMIFS(Налоги!AZ$25:AZ$69,Налоги!$F$25:$F$69,$F383,Налоги!$AB$25:$AB$69,$G383)</f>
        <v>0</v>
      </c>
      <c r="BB383" s="190">
        <f ca="1">SUMIFS(Налоги!BA$25:BA$69,Налоги!$F$25:$F$69,$F383,Налоги!$AB$25:$AB$69,$G383)</f>
        <v>0</v>
      </c>
      <c r="BC383" s="190">
        <f ca="1">SUMIFS(Налоги!BB$25:BB$69,Налоги!$F$25:$F$69,$F383,Налоги!$AB$25:$AB$69,$G383)</f>
        <v>0</v>
      </c>
      <c r="BD383" s="190">
        <f t="shared" ca="1" si="100"/>
        <v>0</v>
      </c>
      <c r="BE383" s="190">
        <f t="shared" ca="1" si="101"/>
        <v>0</v>
      </c>
      <c r="BF383" s="190">
        <f t="shared" ca="1" si="102"/>
        <v>0</v>
      </c>
      <c r="BG383" s="190">
        <f t="shared" ca="1" si="103"/>
        <v>0</v>
      </c>
      <c r="BH383" s="190">
        <f t="shared" ca="1" si="104"/>
        <v>0</v>
      </c>
      <c r="BI383" s="190">
        <f t="shared" ca="1" si="105"/>
        <v>0</v>
      </c>
      <c r="BJ383" s="190">
        <f t="shared" ca="1" si="106"/>
        <v>0</v>
      </c>
      <c r="BK383" s="190">
        <f t="shared" ca="1" si="107"/>
        <v>0</v>
      </c>
      <c r="BL383" s="190">
        <f t="shared" ca="1" si="108"/>
        <v>0</v>
      </c>
      <c r="BM383" s="190">
        <f t="shared" ca="1" si="109"/>
        <v>0</v>
      </c>
      <c r="BN383" s="215"/>
      <c r="BO383" s="610" t="str">
        <f ca="1">IF(IFERROR(INDEX(Налоги!$K$26:$L$69,MATCH($F383&amp;"2komm",Налоги!$K$26:$K$69,0),2),"")=0,"",IFERROR(INDEX(Налоги!$K$26:$L$69,MATCH($F383&amp;"2komm",Налоги!$K$26:$K$69,0),2),""))</f>
        <v/>
      </c>
      <c r="BP383" s="215"/>
      <c r="BS383" s="705" t="s">
        <v>2071</v>
      </c>
    </row>
    <row r="384" spans="1:75" ht="14.25" customHeight="1">
      <c r="C384" s="44"/>
      <c r="D384" s="44"/>
      <c r="E384" s="462">
        <v>15</v>
      </c>
      <c r="F384" s="3" t="str" cm="1">
        <f t="array" aca="1" ref="F384" ca="1">OFFSET(E384,-1,1)</f>
        <v>2</v>
      </c>
      <c r="G384" s="620">
        <v>4</v>
      </c>
      <c r="H384" s="44"/>
      <c r="I384" s="44" t="s">
        <v>2072</v>
      </c>
      <c r="J384" s="44"/>
      <c r="K384" s="44" t="s">
        <v>2072</v>
      </c>
      <c r="L384" s="44"/>
      <c r="M384" s="44"/>
      <c r="N384" s="44"/>
      <c r="O384" s="44"/>
      <c r="P384" s="44"/>
      <c r="Q384" s="44"/>
      <c r="R384" s="44"/>
      <c r="S384" s="44"/>
      <c r="T384" s="365" t="b" cm="1">
        <f t="array" aca="1" ref="T384" ca="1">T383</f>
        <v>1</v>
      </c>
      <c r="U384" s="44"/>
      <c r="V384" s="44"/>
      <c r="W384" s="44"/>
      <c r="X384" s="1094"/>
      <c r="Z384" s="1065"/>
      <c r="AB384" s="26" t="s">
        <v>2073</v>
      </c>
      <c r="AC384" s="153" t="s">
        <v>2074</v>
      </c>
      <c r="AD384" s="26" t="s">
        <v>804</v>
      </c>
      <c r="AE384" s="190">
        <f ca="1">SUMIFS(Налоги!AE$25:AE$69,Налоги!$F$25:$F$69,$F384,Налоги!$AB$25:$AB$69,$G384)</f>
        <v>0</v>
      </c>
      <c r="AF384" s="190">
        <f ca="1">SUMIFS(Налоги!AF$25:AF$69,Налоги!$F$25:$F$69,$F384,Налоги!$AB$25:$AB$69,$G384)</f>
        <v>0</v>
      </c>
      <c r="AG384" s="190">
        <f ca="1">SUMIFS(Налоги!AG$25:AG$69,Налоги!$F$25:$F$69,$F384,Налоги!$AB$25:$AB$69,$G384)</f>
        <v>0</v>
      </c>
      <c r="AH384" s="190">
        <f t="shared" ca="1" si="98"/>
        <v>0</v>
      </c>
      <c r="AI384" s="190">
        <f ca="1">SUMIFS(Налоги!AH$25:AH$69,Налоги!$F$25:$F$69,$F384,Налоги!$AB$25:$AB$69,$G384)</f>
        <v>0</v>
      </c>
      <c r="AJ384" s="190">
        <f ca="1">SUMIFS(Налоги!AI$25:AI$69,Налоги!$F$25:$F$69,$F384,Налоги!$AB$25:$AB$69,$G384)</f>
        <v>0</v>
      </c>
      <c r="AK384" s="190">
        <f ca="1">SUMIFS(Налоги!AJ$25:AJ$69,Налоги!$F$25:$F$69,$F384,Налоги!$AB$25:$AB$69,$G384)</f>
        <v>0</v>
      </c>
      <c r="AL384" s="190">
        <f ca="1">SUMIFS(Налоги!AK$25:AK$69,Налоги!$F$25:$F$69,$F384,Налоги!$AB$25:$AB$69,$G384)</f>
        <v>0</v>
      </c>
      <c r="AM384" s="190">
        <f ca="1">SUMIFS(Налоги!AL$25:AL$69,Налоги!$F$25:$F$69,$F384,Налоги!$AB$25:$AB$69,$G384)</f>
        <v>0</v>
      </c>
      <c r="AN384" s="190">
        <f ca="1">SUMIFS(Налоги!AM$25:AM$69,Налоги!$F$25:$F$69,$F384,Налоги!$AB$25:$AB$69,$G384)</f>
        <v>0</v>
      </c>
      <c r="AO384" s="190">
        <f ca="1">SUMIFS(Налоги!AN$25:AN$69,Налоги!$F$25:$F$69,$F384,Налоги!$AB$25:$AB$69,$G384)</f>
        <v>0</v>
      </c>
      <c r="AP384" s="190">
        <f ca="1">SUMIFS(Налоги!AO$25:AO$69,Налоги!$F$25:$F$69,$F384,Налоги!$AB$25:$AB$69,$G384)</f>
        <v>0</v>
      </c>
      <c r="AQ384" s="190">
        <f ca="1">SUMIFS(Налоги!AP$25:AP$69,Налоги!$F$25:$F$69,$F384,Налоги!$AB$25:$AB$69,$G384)</f>
        <v>0</v>
      </c>
      <c r="AR384" s="190">
        <f ca="1">SUMIFS(Налоги!AQ$25:AQ$69,Налоги!$F$25:$F$69,$F384,Налоги!$AB$25:$AB$69,$G384)</f>
        <v>0</v>
      </c>
      <c r="AS384" s="190">
        <f ca="1">SUMIFS(Налоги!AR$25:AR$69,Налоги!$F$25:$F$69,$F384,Налоги!$AB$25:$AB$69,$G384)</f>
        <v>0</v>
      </c>
      <c r="AT384" s="190">
        <f ca="1">SUMIFS(Налоги!AS$25:AS$69,Налоги!$F$25:$F$69,$F384,Налоги!$AB$25:$AB$69,$G384)</f>
        <v>0</v>
      </c>
      <c r="AU384" s="190">
        <f ca="1">SUMIFS(Налоги!AT$25:AT$69,Налоги!$F$25:$F$69,$F384,Налоги!$AB$25:$AB$69,$G384)</f>
        <v>0</v>
      </c>
      <c r="AV384" s="190">
        <f ca="1">SUMIFS(Налоги!AU$25:AU$69,Налоги!$F$25:$F$69,$F384,Налоги!$AB$25:$AB$69,$G384)</f>
        <v>0</v>
      </c>
      <c r="AW384" s="190">
        <f ca="1">SUMIFS(Налоги!AV$25:AV$69,Налоги!$F$25:$F$69,$F384,Налоги!$AB$25:$AB$69,$G384)</f>
        <v>0</v>
      </c>
      <c r="AX384" s="190">
        <f ca="1">SUMIFS(Налоги!AW$25:AW$69,Налоги!$F$25:$F$69,$F384,Налоги!$AB$25:$AB$69,$G384)</f>
        <v>0</v>
      </c>
      <c r="AY384" s="190">
        <f ca="1">SUMIFS(Налоги!AX$25:AX$69,Налоги!$F$25:$F$69,$F384,Налоги!$AB$25:$AB$69,$G384)</f>
        <v>0</v>
      </c>
      <c r="AZ384" s="190">
        <f ca="1">SUMIFS(Налоги!AY$25:AY$69,Налоги!$F$25:$F$69,$F384,Налоги!$AB$25:$AB$69,$G384)</f>
        <v>0</v>
      </c>
      <c r="BA384" s="190">
        <f ca="1">SUMIFS(Налоги!AZ$25:AZ$69,Налоги!$F$25:$F$69,$F384,Налоги!$AB$25:$AB$69,$G384)</f>
        <v>0</v>
      </c>
      <c r="BB384" s="190">
        <f ca="1">SUMIFS(Налоги!BA$25:BA$69,Налоги!$F$25:$F$69,$F384,Налоги!$AB$25:$AB$69,$G384)</f>
        <v>0</v>
      </c>
      <c r="BC384" s="190">
        <f ca="1">SUMIFS(Налоги!BB$25:BB$69,Налоги!$F$25:$F$69,$F384,Налоги!$AB$25:$AB$69,$G384)</f>
        <v>0</v>
      </c>
      <c r="BD384" s="190">
        <f t="shared" ca="1" si="100"/>
        <v>0</v>
      </c>
      <c r="BE384" s="190">
        <f t="shared" ca="1" si="101"/>
        <v>0</v>
      </c>
      <c r="BF384" s="190">
        <f t="shared" ca="1" si="102"/>
        <v>0</v>
      </c>
      <c r="BG384" s="190">
        <f t="shared" ca="1" si="103"/>
        <v>0</v>
      </c>
      <c r="BH384" s="190">
        <f t="shared" ca="1" si="104"/>
        <v>0</v>
      </c>
      <c r="BI384" s="190">
        <f t="shared" ca="1" si="105"/>
        <v>0</v>
      </c>
      <c r="BJ384" s="190">
        <f t="shared" ca="1" si="106"/>
        <v>0</v>
      </c>
      <c r="BK384" s="190">
        <f t="shared" ca="1" si="107"/>
        <v>0</v>
      </c>
      <c r="BL384" s="190">
        <f t="shared" ca="1" si="108"/>
        <v>0</v>
      </c>
      <c r="BM384" s="190">
        <f t="shared" ca="1" si="109"/>
        <v>0</v>
      </c>
      <c r="BN384" s="215"/>
      <c r="BO384" s="610" t="str">
        <f ca="1">IF(IFERROR(INDEX(Налоги!$K$26:$L$69,MATCH($F384&amp;"4komm",Налоги!$K$26:$K$69,0),2),"")=0,"",IFERROR(INDEX(Налоги!$K$26:$L$69,MATCH($F384&amp;"4komm",Налоги!$K$26:$K$69,0),2),""))</f>
        <v/>
      </c>
      <c r="BP384" s="215"/>
      <c r="BS384" s="705" t="s">
        <v>2075</v>
      </c>
    </row>
    <row r="385" spans="2:75" ht="14.25" customHeight="1">
      <c r="C385" s="44"/>
      <c r="D385" s="44"/>
      <c r="E385" s="462">
        <v>15</v>
      </c>
      <c r="F385" s="3" t="str" cm="1">
        <f t="array" aca="1" ref="F385" ca="1">OFFSET(E385,-1,1)</f>
        <v>2</v>
      </c>
      <c r="G385" s="620">
        <v>5</v>
      </c>
      <c r="H385" s="44"/>
      <c r="I385" s="44" t="s">
        <v>2076</v>
      </c>
      <c r="J385" s="44"/>
      <c r="K385" s="44" t="s">
        <v>2076</v>
      </c>
      <c r="L385" s="44"/>
      <c r="M385" s="44"/>
      <c r="N385" s="44"/>
      <c r="O385" s="44"/>
      <c r="P385" s="44"/>
      <c r="Q385" s="44"/>
      <c r="R385" s="44"/>
      <c r="S385" s="44"/>
      <c r="T385" s="365" t="b" cm="1">
        <f t="array" aca="1" ref="T385" ca="1">T384</f>
        <v>1</v>
      </c>
      <c r="U385" s="44"/>
      <c r="V385" s="44"/>
      <c r="W385" s="44"/>
      <c r="X385" s="1094"/>
      <c r="Z385" s="1065"/>
      <c r="AB385" s="26" t="s">
        <v>2077</v>
      </c>
      <c r="AC385" s="153" t="s">
        <v>2078</v>
      </c>
      <c r="AD385" s="26" t="s">
        <v>804</v>
      </c>
      <c r="AE385" s="190">
        <f ca="1">SUMIFS(Налоги!AE$25:AE$69,Налоги!$F$25:$F$69,$F385,Налоги!$AB$25:$AB$69,$G385)</f>
        <v>0</v>
      </c>
      <c r="AF385" s="190">
        <f ca="1">SUMIFS(Налоги!AF$25:AF$69,Налоги!$F$25:$F$69,$F385,Налоги!$AB$25:$AB$69,$G385)</f>
        <v>0</v>
      </c>
      <c r="AG385" s="190">
        <f ca="1">SUMIFS(Налоги!AG$25:AG$69,Налоги!$F$25:$F$69,$F385,Налоги!$AB$25:$AB$69,$G385)</f>
        <v>0</v>
      </c>
      <c r="AH385" s="190">
        <f t="shared" ca="1" si="98"/>
        <v>0</v>
      </c>
      <c r="AI385" s="190">
        <f ca="1">SUMIFS(Налоги!AH$25:AH$69,Налоги!$F$25:$F$69,$F385,Налоги!$AB$25:$AB$69,$G385)</f>
        <v>0</v>
      </c>
      <c r="AJ385" s="190">
        <f ca="1">SUMIFS(Налоги!AI$25:AI$69,Налоги!$F$25:$F$69,$F385,Налоги!$AB$25:$AB$69,$G385)</f>
        <v>0</v>
      </c>
      <c r="AK385" s="190">
        <f ca="1">SUMIFS(Налоги!AJ$25:AJ$69,Налоги!$F$25:$F$69,$F385,Налоги!$AB$25:$AB$69,$G385)</f>
        <v>0</v>
      </c>
      <c r="AL385" s="190">
        <f ca="1">SUMIFS(Налоги!AK$25:AK$69,Налоги!$F$25:$F$69,$F385,Налоги!$AB$25:$AB$69,$G385)</f>
        <v>0</v>
      </c>
      <c r="AM385" s="190">
        <f ca="1">SUMIFS(Налоги!AL$25:AL$69,Налоги!$F$25:$F$69,$F385,Налоги!$AB$25:$AB$69,$G385)</f>
        <v>0</v>
      </c>
      <c r="AN385" s="190">
        <f ca="1">SUMIFS(Налоги!AM$25:AM$69,Налоги!$F$25:$F$69,$F385,Налоги!$AB$25:$AB$69,$G385)</f>
        <v>0</v>
      </c>
      <c r="AO385" s="190">
        <f ca="1">SUMIFS(Налоги!AN$25:AN$69,Налоги!$F$25:$F$69,$F385,Налоги!$AB$25:$AB$69,$G385)</f>
        <v>0</v>
      </c>
      <c r="AP385" s="190">
        <f ca="1">SUMIFS(Налоги!AO$25:AO$69,Налоги!$F$25:$F$69,$F385,Налоги!$AB$25:$AB$69,$G385)</f>
        <v>0</v>
      </c>
      <c r="AQ385" s="190">
        <f ca="1">SUMIFS(Налоги!AP$25:AP$69,Налоги!$F$25:$F$69,$F385,Налоги!$AB$25:$AB$69,$G385)</f>
        <v>0</v>
      </c>
      <c r="AR385" s="190">
        <f ca="1">SUMIFS(Налоги!AQ$25:AQ$69,Налоги!$F$25:$F$69,$F385,Налоги!$AB$25:$AB$69,$G385)</f>
        <v>0</v>
      </c>
      <c r="AS385" s="190">
        <f ca="1">SUMIFS(Налоги!AR$25:AR$69,Налоги!$F$25:$F$69,$F385,Налоги!$AB$25:$AB$69,$G385)</f>
        <v>0</v>
      </c>
      <c r="AT385" s="190">
        <f ca="1">SUMIFS(Налоги!AS$25:AS$69,Налоги!$F$25:$F$69,$F385,Налоги!$AB$25:$AB$69,$G385)</f>
        <v>0</v>
      </c>
      <c r="AU385" s="190">
        <f ca="1">SUMIFS(Налоги!AT$25:AT$69,Налоги!$F$25:$F$69,$F385,Налоги!$AB$25:$AB$69,$G385)</f>
        <v>0</v>
      </c>
      <c r="AV385" s="190">
        <f ca="1">SUMIFS(Налоги!AU$25:AU$69,Налоги!$F$25:$F$69,$F385,Налоги!$AB$25:$AB$69,$G385)</f>
        <v>0</v>
      </c>
      <c r="AW385" s="190">
        <f ca="1">SUMIFS(Налоги!AV$25:AV$69,Налоги!$F$25:$F$69,$F385,Налоги!$AB$25:$AB$69,$G385)</f>
        <v>0</v>
      </c>
      <c r="AX385" s="190">
        <f ca="1">SUMIFS(Налоги!AW$25:AW$69,Налоги!$F$25:$F$69,$F385,Налоги!$AB$25:$AB$69,$G385)</f>
        <v>0</v>
      </c>
      <c r="AY385" s="190">
        <f ca="1">SUMIFS(Налоги!AX$25:AX$69,Налоги!$F$25:$F$69,$F385,Налоги!$AB$25:$AB$69,$G385)</f>
        <v>0</v>
      </c>
      <c r="AZ385" s="190">
        <f ca="1">SUMIFS(Налоги!AY$25:AY$69,Налоги!$F$25:$F$69,$F385,Налоги!$AB$25:$AB$69,$G385)</f>
        <v>0</v>
      </c>
      <c r="BA385" s="190">
        <f ca="1">SUMIFS(Налоги!AZ$25:AZ$69,Налоги!$F$25:$F$69,$F385,Налоги!$AB$25:$AB$69,$G385)</f>
        <v>0</v>
      </c>
      <c r="BB385" s="190">
        <f ca="1">SUMIFS(Налоги!BA$25:BA$69,Налоги!$F$25:$F$69,$F385,Налоги!$AB$25:$AB$69,$G385)</f>
        <v>0</v>
      </c>
      <c r="BC385" s="190">
        <f ca="1">SUMIFS(Налоги!BB$25:BB$69,Налоги!$F$25:$F$69,$F385,Налоги!$AB$25:$AB$69,$G385)</f>
        <v>0</v>
      </c>
      <c r="BD385" s="190">
        <f t="shared" ca="1" si="100"/>
        <v>0</v>
      </c>
      <c r="BE385" s="190">
        <f t="shared" ca="1" si="101"/>
        <v>0</v>
      </c>
      <c r="BF385" s="190">
        <f t="shared" ca="1" si="102"/>
        <v>0</v>
      </c>
      <c r="BG385" s="190">
        <f t="shared" ca="1" si="103"/>
        <v>0</v>
      </c>
      <c r="BH385" s="190">
        <f t="shared" ca="1" si="104"/>
        <v>0</v>
      </c>
      <c r="BI385" s="190">
        <f t="shared" ca="1" si="105"/>
        <v>0</v>
      </c>
      <c r="BJ385" s="190">
        <f t="shared" ca="1" si="106"/>
        <v>0</v>
      </c>
      <c r="BK385" s="190">
        <f t="shared" ca="1" si="107"/>
        <v>0</v>
      </c>
      <c r="BL385" s="190">
        <f t="shared" ca="1" si="108"/>
        <v>0</v>
      </c>
      <c r="BM385" s="190">
        <f t="shared" ca="1" si="109"/>
        <v>0</v>
      </c>
      <c r="BN385" s="215"/>
      <c r="BO385" s="610" t="str">
        <f ca="1">IF(IFERROR(INDEX(Налоги!$K$26:$L$69,MATCH($F385&amp;"5komm",Налоги!$K$26:$K$69,0),2),"")=0,"",IFERROR(INDEX(Налоги!$K$26:$L$69,MATCH($F385&amp;"5komm",Налоги!$K$26:$K$69,0),2),""))</f>
        <v/>
      </c>
      <c r="BP385" s="215"/>
      <c r="BS385" s="705" t="s">
        <v>2079</v>
      </c>
    </row>
    <row r="386" spans="2:75" ht="14.25" customHeight="1">
      <c r="C386" s="44"/>
      <c r="D386" s="44"/>
      <c r="E386" s="462">
        <v>15</v>
      </c>
      <c r="F386" s="3" t="str" cm="1">
        <f t="array" aca="1" ref="F386" ca="1">OFFSET(E386,-1,1)</f>
        <v>2</v>
      </c>
      <c r="G386" s="620">
        <v>1</v>
      </c>
      <c r="H386" s="44"/>
      <c r="I386" s="44" t="s">
        <v>2080</v>
      </c>
      <c r="J386" s="44"/>
      <c r="K386" s="44" t="s">
        <v>2080</v>
      </c>
      <c r="L386" s="44"/>
      <c r="M386" s="44"/>
      <c r="N386" s="44"/>
      <c r="O386" s="44"/>
      <c r="P386" s="44"/>
      <c r="Q386" s="44"/>
      <c r="R386" s="44"/>
      <c r="S386" s="44"/>
      <c r="T386" s="365" t="b" cm="1">
        <f t="array" aca="1" ref="T386" ca="1">T385</f>
        <v>1</v>
      </c>
      <c r="U386" s="44"/>
      <c r="V386" s="44"/>
      <c r="W386" s="44"/>
      <c r="X386" s="1094"/>
      <c r="Z386" s="1065"/>
      <c r="AB386" s="26" t="s">
        <v>2081</v>
      </c>
      <c r="AC386" s="153" t="s">
        <v>2082</v>
      </c>
      <c r="AD386" s="26" t="s">
        <v>804</v>
      </c>
      <c r="AE386" s="190">
        <f ca="1">SUMIFS(Налоги!AE$25:AE$69,Налоги!$F$25:$F$69,$F386,Налоги!$AB$25:$AB$69,$G386)</f>
        <v>0</v>
      </c>
      <c r="AF386" s="190">
        <f ca="1">SUMIFS(Налоги!AF$25:AF$69,Налоги!$F$25:$F$69,$F386,Налоги!$AB$25:$AB$69,$G386)</f>
        <v>0</v>
      </c>
      <c r="AG386" s="190">
        <f ca="1">SUMIFS(Налоги!AG$25:AG$69,Налоги!$F$25:$F$69,$F386,Налоги!$AB$25:$AB$69,$G386)</f>
        <v>0</v>
      </c>
      <c r="AH386" s="190">
        <f t="shared" ca="1" si="98"/>
        <v>0</v>
      </c>
      <c r="AI386" s="190">
        <f ca="1">SUMIFS(Налоги!AH$25:AH$69,Налоги!$F$25:$F$69,$F386,Налоги!$AB$25:$AB$69,$G386)</f>
        <v>0</v>
      </c>
      <c r="AJ386" s="190">
        <f ca="1">SUMIFS(Налоги!AI$25:AI$69,Налоги!$F$25:$F$69,$F386,Налоги!$AB$25:$AB$69,$G386)</f>
        <v>0</v>
      </c>
      <c r="AK386" s="190">
        <f ca="1">SUMIFS(Налоги!AJ$25:AJ$69,Налоги!$F$25:$F$69,$F386,Налоги!$AB$25:$AB$69,$G386)</f>
        <v>0</v>
      </c>
      <c r="AL386" s="190">
        <f ca="1">SUMIFS(Налоги!AK$25:AK$69,Налоги!$F$25:$F$69,$F386,Налоги!$AB$25:$AB$69,$G386)</f>
        <v>0</v>
      </c>
      <c r="AM386" s="190">
        <f ca="1">SUMIFS(Налоги!AL$25:AL$69,Налоги!$F$25:$F$69,$F386,Налоги!$AB$25:$AB$69,$G386)</f>
        <v>0</v>
      </c>
      <c r="AN386" s="190">
        <f ca="1">SUMIFS(Налоги!AM$25:AM$69,Налоги!$F$25:$F$69,$F386,Налоги!$AB$25:$AB$69,$G386)</f>
        <v>0</v>
      </c>
      <c r="AO386" s="190">
        <f ca="1">SUMIFS(Налоги!AN$25:AN$69,Налоги!$F$25:$F$69,$F386,Налоги!$AB$25:$AB$69,$G386)</f>
        <v>0</v>
      </c>
      <c r="AP386" s="190">
        <f ca="1">SUMIFS(Налоги!AO$25:AO$69,Налоги!$F$25:$F$69,$F386,Налоги!$AB$25:$AB$69,$G386)</f>
        <v>0</v>
      </c>
      <c r="AQ386" s="190">
        <f ca="1">SUMIFS(Налоги!AP$25:AP$69,Налоги!$F$25:$F$69,$F386,Налоги!$AB$25:$AB$69,$G386)</f>
        <v>0</v>
      </c>
      <c r="AR386" s="190">
        <f ca="1">SUMIFS(Налоги!AQ$25:AQ$69,Налоги!$F$25:$F$69,$F386,Налоги!$AB$25:$AB$69,$G386)</f>
        <v>0</v>
      </c>
      <c r="AS386" s="190">
        <f ca="1">SUMIFS(Налоги!AR$25:AR$69,Налоги!$F$25:$F$69,$F386,Налоги!$AB$25:$AB$69,$G386)</f>
        <v>0</v>
      </c>
      <c r="AT386" s="190">
        <f ca="1">SUMIFS(Налоги!AS$25:AS$69,Налоги!$F$25:$F$69,$F386,Налоги!$AB$25:$AB$69,$G386)</f>
        <v>0</v>
      </c>
      <c r="AU386" s="190">
        <f ca="1">SUMIFS(Налоги!AT$25:AT$69,Налоги!$F$25:$F$69,$F386,Налоги!$AB$25:$AB$69,$G386)</f>
        <v>0</v>
      </c>
      <c r="AV386" s="190">
        <f ca="1">SUMIFS(Налоги!AU$25:AU$69,Налоги!$F$25:$F$69,$F386,Налоги!$AB$25:$AB$69,$G386)</f>
        <v>0</v>
      </c>
      <c r="AW386" s="190">
        <f ca="1">SUMIFS(Налоги!AV$25:AV$69,Налоги!$F$25:$F$69,$F386,Налоги!$AB$25:$AB$69,$G386)</f>
        <v>0</v>
      </c>
      <c r="AX386" s="190">
        <f ca="1">SUMIFS(Налоги!AW$25:AW$69,Налоги!$F$25:$F$69,$F386,Налоги!$AB$25:$AB$69,$G386)</f>
        <v>0</v>
      </c>
      <c r="AY386" s="190">
        <f ca="1">SUMIFS(Налоги!AX$25:AX$69,Налоги!$F$25:$F$69,$F386,Налоги!$AB$25:$AB$69,$G386)</f>
        <v>0</v>
      </c>
      <c r="AZ386" s="190">
        <f ca="1">SUMIFS(Налоги!AY$25:AY$69,Налоги!$F$25:$F$69,$F386,Налоги!$AB$25:$AB$69,$G386)</f>
        <v>0</v>
      </c>
      <c r="BA386" s="190">
        <f ca="1">SUMIFS(Налоги!AZ$25:AZ$69,Налоги!$F$25:$F$69,$F386,Налоги!$AB$25:$AB$69,$G386)</f>
        <v>0</v>
      </c>
      <c r="BB386" s="190">
        <f ca="1">SUMIFS(Налоги!BA$25:BA$69,Налоги!$F$25:$F$69,$F386,Налоги!$AB$25:$AB$69,$G386)</f>
        <v>0</v>
      </c>
      <c r="BC386" s="190">
        <f ca="1">SUMIFS(Налоги!BB$25:BB$69,Налоги!$F$25:$F$69,$F386,Налоги!$AB$25:$AB$69,$G386)</f>
        <v>0</v>
      </c>
      <c r="BD386" s="190">
        <f t="shared" ca="1" si="100"/>
        <v>0</v>
      </c>
      <c r="BE386" s="190">
        <f t="shared" ca="1" si="101"/>
        <v>0</v>
      </c>
      <c r="BF386" s="190">
        <f t="shared" ca="1" si="102"/>
        <v>0</v>
      </c>
      <c r="BG386" s="190">
        <f t="shared" ca="1" si="103"/>
        <v>0</v>
      </c>
      <c r="BH386" s="190">
        <f t="shared" ca="1" si="104"/>
        <v>0</v>
      </c>
      <c r="BI386" s="190">
        <f t="shared" ca="1" si="105"/>
        <v>0</v>
      </c>
      <c r="BJ386" s="190">
        <f t="shared" ca="1" si="106"/>
        <v>0</v>
      </c>
      <c r="BK386" s="190">
        <f t="shared" ca="1" si="107"/>
        <v>0</v>
      </c>
      <c r="BL386" s="190">
        <f t="shared" ca="1" si="108"/>
        <v>0</v>
      </c>
      <c r="BM386" s="190">
        <f t="shared" ca="1" si="109"/>
        <v>0</v>
      </c>
      <c r="BN386" s="215"/>
      <c r="BO386" s="610" t="str">
        <f ca="1">IF(IFERROR(INDEX(Налоги!$K$26:$L$69,MATCH($F386&amp;"1komm",Налоги!$K$26:$K$69,0),2),"")=0,"",IFERROR(INDEX(Налоги!$K$26:$L$69,MATCH($F386&amp;"1komm",Налоги!$K$26:$K$69,0),2),""))</f>
        <v/>
      </c>
      <c r="BP386" s="215"/>
      <c r="BS386" s="705" t="s">
        <v>2083</v>
      </c>
    </row>
    <row r="387" spans="2:75" ht="14.25" customHeight="1">
      <c r="C387" s="44"/>
      <c r="D387" s="44"/>
      <c r="E387" s="462">
        <v>15</v>
      </c>
      <c r="F387" s="3" t="str" cm="1">
        <f t="array" aca="1" ref="F387" ca="1">OFFSET(E387,-1,1)</f>
        <v>2</v>
      </c>
      <c r="G387" s="620">
        <v>3</v>
      </c>
      <c r="H387" s="44"/>
      <c r="I387" s="44" t="s">
        <v>2084</v>
      </c>
      <c r="J387" s="44"/>
      <c r="K387" s="44" t="s">
        <v>2084</v>
      </c>
      <c r="L387" s="44"/>
      <c r="M387" s="44"/>
      <c r="N387" s="44"/>
      <c r="O387" s="44"/>
      <c r="P387" s="44"/>
      <c r="Q387" s="44"/>
      <c r="R387" s="44"/>
      <c r="S387" s="44"/>
      <c r="T387" s="365" t="b" cm="1">
        <f t="array" aca="1" ref="T387" ca="1">T386</f>
        <v>1</v>
      </c>
      <c r="U387" s="44"/>
      <c r="V387" s="44"/>
      <c r="W387" s="44"/>
      <c r="X387" s="1094"/>
      <c r="Z387" s="1065"/>
      <c r="AB387" s="26" t="s">
        <v>2085</v>
      </c>
      <c r="AC387" s="153" t="s">
        <v>2086</v>
      </c>
      <c r="AD387" s="26" t="s">
        <v>804</v>
      </c>
      <c r="AE387" s="190">
        <f ca="1">SUMIFS(Налоги!AE$25:AE$69,Налоги!$F$25:$F$69,$F387,Налоги!$AB$25:$AB$69,$G387)</f>
        <v>15.068</v>
      </c>
      <c r="AF387" s="190">
        <f ca="1">SUMIFS(Налоги!AF$25:AF$69,Налоги!$F$25:$F$69,$F387,Налоги!$AB$25:$AB$69,$G387)</f>
        <v>9.2899999999999991</v>
      </c>
      <c r="AG387" s="190">
        <f ca="1">SUMIFS(Налоги!AG$25:AG$69,Налоги!$F$25:$F$69,$F387,Налоги!$AB$25:$AB$69,$G387)</f>
        <v>9.2899999999999991</v>
      </c>
      <c r="AH387" s="190">
        <f t="shared" ca="1" si="98"/>
        <v>0</v>
      </c>
      <c r="AI387" s="190">
        <f ca="1">SUMIFS(Налоги!AH$25:AH$69,Налоги!$F$25:$F$69,$F387,Налоги!$AB$25:$AB$69,$G387)</f>
        <v>14.325277679999999</v>
      </c>
      <c r="AJ387" s="190">
        <f ca="1">SUMIFS(Налоги!AI$25:AI$69,Налоги!$F$25:$F$69,$F387,Налоги!$AB$25:$AB$69,$G387)</f>
        <v>10.199999999999999</v>
      </c>
      <c r="AK387" s="190">
        <f ca="1">SUMIFS(Налоги!AJ$25:AJ$69,Налоги!$F$25:$F$69,$F387,Налоги!$AB$25:$AB$69,$G387)</f>
        <v>0</v>
      </c>
      <c r="AL387" s="190">
        <f ca="1">SUMIFS(Налоги!AK$25:AK$69,Налоги!$F$25:$F$69,$F387,Налоги!$AB$25:$AB$69,$G387)</f>
        <v>0</v>
      </c>
      <c r="AM387" s="190">
        <f ca="1">SUMIFS(Налоги!AL$25:AL$69,Налоги!$F$25:$F$69,$F387,Налоги!$AB$25:$AB$69,$G387)</f>
        <v>0</v>
      </c>
      <c r="AN387" s="190">
        <f ca="1">SUMIFS(Налоги!AM$25:AM$69,Налоги!$F$25:$F$69,$F387,Налоги!$AB$25:$AB$69,$G387)</f>
        <v>0</v>
      </c>
      <c r="AO387" s="190">
        <f ca="1">SUMIFS(Налоги!AN$25:AN$69,Налоги!$F$25:$F$69,$F387,Налоги!$AB$25:$AB$69,$G387)</f>
        <v>0</v>
      </c>
      <c r="AP387" s="190">
        <f ca="1">SUMIFS(Налоги!AO$25:AO$69,Налоги!$F$25:$F$69,$F387,Налоги!$AB$25:$AB$69,$G387)</f>
        <v>0</v>
      </c>
      <c r="AQ387" s="190">
        <f ca="1">SUMIFS(Налоги!AP$25:AP$69,Налоги!$F$25:$F$69,$F387,Налоги!$AB$25:$AB$69,$G387)</f>
        <v>0</v>
      </c>
      <c r="AR387" s="190">
        <f ca="1">SUMIFS(Налоги!AQ$25:AQ$69,Налоги!$F$25:$F$69,$F387,Налоги!$AB$25:$AB$69,$G387)</f>
        <v>0</v>
      </c>
      <c r="AS387" s="190">
        <f ca="1">SUMIFS(Налоги!AR$25:AR$69,Налоги!$F$25:$F$69,$F387,Налоги!$AB$25:$AB$69,$G387)</f>
        <v>0</v>
      </c>
      <c r="AT387" s="190">
        <f ca="1">SUMIFS(Налоги!AS$25:AS$69,Налоги!$F$25:$F$69,$F387,Налоги!$AB$25:$AB$69,$G387)</f>
        <v>10.199999999999999</v>
      </c>
      <c r="AU387" s="190">
        <f ca="1">SUMIFS(Налоги!AT$25:AT$69,Налоги!$F$25:$F$69,$F387,Налоги!$AB$25:$AB$69,$G387)</f>
        <v>0</v>
      </c>
      <c r="AV387" s="190">
        <f ca="1">SUMIFS(Налоги!AU$25:AU$69,Налоги!$F$25:$F$69,$F387,Налоги!$AB$25:$AB$69,$G387)</f>
        <v>0</v>
      </c>
      <c r="AW387" s="190">
        <f ca="1">SUMIFS(Налоги!AV$25:AV$69,Налоги!$F$25:$F$69,$F387,Налоги!$AB$25:$AB$69,$G387)</f>
        <v>0</v>
      </c>
      <c r="AX387" s="190">
        <f ca="1">SUMIFS(Налоги!AW$25:AW$69,Налоги!$F$25:$F$69,$F387,Налоги!$AB$25:$AB$69,$G387)</f>
        <v>0</v>
      </c>
      <c r="AY387" s="190">
        <f ca="1">SUMIFS(Налоги!AX$25:AX$69,Налоги!$F$25:$F$69,$F387,Налоги!$AB$25:$AB$69,$G387)</f>
        <v>0</v>
      </c>
      <c r="AZ387" s="190">
        <f ca="1">SUMIFS(Налоги!AY$25:AY$69,Налоги!$F$25:$F$69,$F387,Налоги!$AB$25:$AB$69,$G387)</f>
        <v>0</v>
      </c>
      <c r="BA387" s="190">
        <f ca="1">SUMIFS(Налоги!AZ$25:AZ$69,Налоги!$F$25:$F$69,$F387,Налоги!$AB$25:$AB$69,$G387)</f>
        <v>0</v>
      </c>
      <c r="BB387" s="190">
        <f ca="1">SUMIFS(Налоги!BA$25:BA$69,Налоги!$F$25:$F$69,$F387,Налоги!$AB$25:$AB$69,$G387)</f>
        <v>0</v>
      </c>
      <c r="BC387" s="190">
        <f ca="1">SUMIFS(Налоги!BB$25:BB$69,Налоги!$F$25:$F$69,$F387,Налоги!$AB$25:$AB$69,$G387)</f>
        <v>0</v>
      </c>
      <c r="BD387" s="190">
        <f t="shared" ca="1" si="100"/>
        <v>-28.797191734436247</v>
      </c>
      <c r="BE387" s="190">
        <f t="shared" ca="1" si="101"/>
        <v>-100</v>
      </c>
      <c r="BF387" s="190">
        <f t="shared" ca="1" si="102"/>
        <v>0</v>
      </c>
      <c r="BG387" s="190">
        <f t="shared" ca="1" si="103"/>
        <v>0</v>
      </c>
      <c r="BH387" s="190">
        <f t="shared" ca="1" si="104"/>
        <v>0</v>
      </c>
      <c r="BI387" s="190">
        <f t="shared" ca="1" si="105"/>
        <v>0</v>
      </c>
      <c r="BJ387" s="190">
        <f t="shared" ca="1" si="106"/>
        <v>0</v>
      </c>
      <c r="BK387" s="190">
        <f t="shared" ca="1" si="107"/>
        <v>0</v>
      </c>
      <c r="BL387" s="190">
        <f t="shared" ca="1" si="108"/>
        <v>0</v>
      </c>
      <c r="BM387" s="190">
        <f t="shared" ca="1" si="109"/>
        <v>0</v>
      </c>
      <c r="BN387" s="215"/>
      <c r="BO387" s="610" t="str">
        <f ca="1">IF(IFERROR(INDEX(Налоги!$K$26:$L$69,MATCH($F387&amp;"5komm",Налоги!$K$26:$K$69,0),2),"")=0,"",IFERROR(INDEX(Налоги!$K$26:$L$69,MATCH($F387&amp;"5komm",Налоги!$K$26:$K$69,0),2),""))</f>
        <v/>
      </c>
      <c r="BP387" s="215"/>
      <c r="BS387" s="705" t="s">
        <v>2087</v>
      </c>
    </row>
    <row r="388" spans="2:75" ht="14.25" customHeight="1">
      <c r="C388" s="44"/>
      <c r="D388" s="44"/>
      <c r="E388" s="462">
        <v>15</v>
      </c>
      <c r="F388" s="3" t="str" cm="1">
        <f t="array" aca="1" ref="F388" ca="1">OFFSET(E388,-1,1)</f>
        <v>2</v>
      </c>
      <c r="G388" s="620">
        <v>8</v>
      </c>
      <c r="H388" s="44"/>
      <c r="I388" s="44" t="s">
        <v>2088</v>
      </c>
      <c r="J388" s="44"/>
      <c r="K388" s="44" t="s">
        <v>2088</v>
      </c>
      <c r="L388" s="44"/>
      <c r="M388" s="44"/>
      <c r="N388" s="44"/>
      <c r="O388" s="44"/>
      <c r="P388" s="44"/>
      <c r="Q388" s="44"/>
      <c r="R388" s="44"/>
      <c r="S388" s="44"/>
      <c r="T388" s="365" t="b" cm="1">
        <f t="array" aca="1" ref="T388" ca="1">T387</f>
        <v>1</v>
      </c>
      <c r="U388" s="44"/>
      <c r="V388" s="44"/>
      <c r="W388" s="44"/>
      <c r="X388" s="1094"/>
      <c r="Z388" s="1065"/>
      <c r="AB388" s="26" t="s">
        <v>2089</v>
      </c>
      <c r="AC388" s="153" t="s">
        <v>2090</v>
      </c>
      <c r="AD388" s="26" t="s">
        <v>804</v>
      </c>
      <c r="AE388" s="190">
        <f ca="1">SUMIFS(Налоги!AE$25:AE$69,Налоги!$F$25:$F$69,$F388,Налоги!$AB$25:$AB$69,$G388)</f>
        <v>329.43303579249999</v>
      </c>
      <c r="AF388" s="190">
        <f ca="1">SUMIFS(Налоги!AF$25:AF$69,Налоги!$F$25:$F$69,$F388,Налоги!$AB$25:$AB$69,$G388)</f>
        <v>413.25</v>
      </c>
      <c r="AG388" s="190">
        <f ca="1">SUMIFS(Налоги!AG$25:AG$69,Налоги!$F$25:$F$69,$F388,Налоги!$AB$25:$AB$69,$G388)</f>
        <v>326.02999999999997</v>
      </c>
      <c r="AH388" s="190">
        <f t="shared" ca="1" si="98"/>
        <v>-87.220000000000027</v>
      </c>
      <c r="AI388" s="190">
        <f ca="1">SUMIFS(Налоги!AH$25:AH$69,Налоги!$F$25:$F$69,$F388,Налоги!$AB$25:$AB$69,$G388)</f>
        <v>370.57</v>
      </c>
      <c r="AJ388" s="190">
        <f ca="1">SUMIFS(Налоги!AI$25:AI$69,Налоги!$F$25:$F$69,$F388,Налоги!$AB$25:$AB$69,$G388)</f>
        <v>695.4</v>
      </c>
      <c r="AK388" s="190">
        <f ca="1">SUMIFS(Налоги!AJ$25:AJ$69,Налоги!$F$25:$F$69,$F388,Налоги!$AB$25:$AB$69,$G388)</f>
        <v>0</v>
      </c>
      <c r="AL388" s="190">
        <f ca="1">SUMIFS(Налоги!AK$25:AK$69,Налоги!$F$25:$F$69,$F388,Налоги!$AB$25:$AB$69,$G388)</f>
        <v>0</v>
      </c>
      <c r="AM388" s="190">
        <f ca="1">SUMIFS(Налоги!AL$25:AL$69,Налоги!$F$25:$F$69,$F388,Налоги!$AB$25:$AB$69,$G388)</f>
        <v>0</v>
      </c>
      <c r="AN388" s="190">
        <f ca="1">SUMIFS(Налоги!AM$25:AM$69,Налоги!$F$25:$F$69,$F388,Налоги!$AB$25:$AB$69,$G388)</f>
        <v>0</v>
      </c>
      <c r="AO388" s="190">
        <f ca="1">SUMIFS(Налоги!AN$25:AN$69,Налоги!$F$25:$F$69,$F388,Налоги!$AB$25:$AB$69,$G388)</f>
        <v>0</v>
      </c>
      <c r="AP388" s="190">
        <f ca="1">SUMIFS(Налоги!AO$25:AO$69,Налоги!$F$25:$F$69,$F388,Налоги!$AB$25:$AB$69,$G388)</f>
        <v>0</v>
      </c>
      <c r="AQ388" s="190">
        <f ca="1">SUMIFS(Налоги!AP$25:AP$69,Налоги!$F$25:$F$69,$F388,Налоги!$AB$25:$AB$69,$G388)</f>
        <v>0</v>
      </c>
      <c r="AR388" s="190">
        <f ca="1">SUMIFS(Налоги!AQ$25:AQ$69,Налоги!$F$25:$F$69,$F388,Налоги!$AB$25:$AB$69,$G388)</f>
        <v>0</v>
      </c>
      <c r="AS388" s="190">
        <f ca="1">SUMIFS(Налоги!AR$25:AR$69,Налоги!$F$25:$F$69,$F388,Налоги!$AB$25:$AB$69,$G388)</f>
        <v>0</v>
      </c>
      <c r="AT388" s="190">
        <f ca="1">SUMIFS(Налоги!AS$25:AS$69,Налоги!$F$25:$F$69,$F388,Налоги!$AB$25:$AB$69,$G388)</f>
        <v>394.86</v>
      </c>
      <c r="AU388" s="190">
        <f ca="1">SUMIFS(Налоги!AT$25:AT$69,Налоги!$F$25:$F$69,$F388,Налоги!$AB$25:$AB$69,$G388)</f>
        <v>0</v>
      </c>
      <c r="AV388" s="190">
        <f ca="1">SUMIFS(Налоги!AU$25:AU$69,Налоги!$F$25:$F$69,$F388,Налоги!$AB$25:$AB$69,$G388)</f>
        <v>0</v>
      </c>
      <c r="AW388" s="190">
        <f ca="1">SUMIFS(Налоги!AV$25:AV$69,Налоги!$F$25:$F$69,$F388,Налоги!$AB$25:$AB$69,$G388)</f>
        <v>0</v>
      </c>
      <c r="AX388" s="190">
        <f ca="1">SUMIFS(Налоги!AW$25:AW$69,Налоги!$F$25:$F$69,$F388,Налоги!$AB$25:$AB$69,$G388)</f>
        <v>0</v>
      </c>
      <c r="AY388" s="190">
        <f ca="1">SUMIFS(Налоги!AX$25:AX$69,Налоги!$F$25:$F$69,$F388,Налоги!$AB$25:$AB$69,$G388)</f>
        <v>0</v>
      </c>
      <c r="AZ388" s="190">
        <f ca="1">SUMIFS(Налоги!AY$25:AY$69,Налоги!$F$25:$F$69,$F388,Налоги!$AB$25:$AB$69,$G388)</f>
        <v>0</v>
      </c>
      <c r="BA388" s="190">
        <f ca="1">SUMIFS(Налоги!AZ$25:AZ$69,Налоги!$F$25:$F$69,$F388,Налоги!$AB$25:$AB$69,$G388)</f>
        <v>0</v>
      </c>
      <c r="BB388" s="190">
        <f ca="1">SUMIFS(Налоги!BA$25:BA$69,Налоги!$F$25:$F$69,$F388,Налоги!$AB$25:$AB$69,$G388)</f>
        <v>0</v>
      </c>
      <c r="BC388" s="190">
        <f ca="1">SUMIFS(Налоги!BB$25:BB$69,Налоги!$F$25:$F$69,$F388,Налоги!$AB$25:$AB$69,$G388)</f>
        <v>0</v>
      </c>
      <c r="BD388" s="190">
        <f t="shared" ca="1" si="100"/>
        <v>6.5547669805974635</v>
      </c>
      <c r="BE388" s="190">
        <f t="shared" ca="1" si="101"/>
        <v>-100</v>
      </c>
      <c r="BF388" s="190">
        <f t="shared" ca="1" si="102"/>
        <v>0</v>
      </c>
      <c r="BG388" s="190">
        <f t="shared" ca="1" si="103"/>
        <v>0</v>
      </c>
      <c r="BH388" s="190">
        <f t="shared" ca="1" si="104"/>
        <v>0</v>
      </c>
      <c r="BI388" s="190">
        <f t="shared" ca="1" si="105"/>
        <v>0</v>
      </c>
      <c r="BJ388" s="190">
        <f t="shared" ca="1" si="106"/>
        <v>0</v>
      </c>
      <c r="BK388" s="190">
        <f t="shared" ca="1" si="107"/>
        <v>0</v>
      </c>
      <c r="BL388" s="190">
        <f t="shared" ca="1" si="108"/>
        <v>0</v>
      </c>
      <c r="BM388" s="190">
        <f t="shared" ca="1" si="109"/>
        <v>0</v>
      </c>
      <c r="BN388" s="215"/>
      <c r="BO388" s="610" t="str">
        <f ca="1">IF(IFERROR(INDEX(Налоги!$K$26:$L$69,MATCH($F388&amp;"8komm",Налоги!$K$26:$K$69,0),2),"")=0,"",IFERROR(INDEX(Налоги!$K$26:$L$69,MATCH($F388&amp;"8komm",Налоги!$K$26:$K$69,0),2),""))</f>
        <v>Расходы рассчитаны в размере 1% от необходимой валовой выручки, в соответствии с абзацем 2 п. 1 ст. 346.20 Налогового кодекса Российской Федерации (часть вторая) от 05.08.2000 № 117-ФЗ.</v>
      </c>
      <c r="BP388" s="215"/>
      <c r="BS388" s="705" t="s">
        <v>1288</v>
      </c>
    </row>
    <row r="389" spans="2:75" s="388" customFormat="1" ht="14.25" customHeight="1">
      <c r="B389" s="548"/>
      <c r="C389" s="44"/>
      <c r="D389" s="44"/>
      <c r="E389" s="462">
        <v>15</v>
      </c>
      <c r="F389" s="3" t="str" cm="1">
        <f t="array" aca="1" ref="F389" ca="1">OFFSET(E389,-1,1)</f>
        <v>2</v>
      </c>
      <c r="G389" s="620">
        <v>9</v>
      </c>
      <c r="H389" s="44"/>
      <c r="I389" s="44"/>
      <c r="J389" s="44"/>
      <c r="K389" s="44"/>
      <c r="L389" s="44"/>
      <c r="M389" s="44"/>
      <c r="N389" s="44"/>
      <c r="O389" s="44"/>
      <c r="P389" s="44"/>
      <c r="Q389" s="44"/>
      <c r="R389" s="44"/>
      <c r="S389" s="44"/>
      <c r="T389" s="365" t="b" cm="1">
        <f t="array" aca="1" ref="T389" ca="1">T388</f>
        <v>1</v>
      </c>
      <c r="U389" s="44"/>
      <c r="V389" s="44"/>
      <c r="W389" s="44"/>
      <c r="X389" s="1094"/>
      <c r="Z389" s="1065"/>
      <c r="AB389" s="26" t="s">
        <v>2091</v>
      </c>
      <c r="AC389" s="559" t="s">
        <v>2092</v>
      </c>
      <c r="AD389" s="26" t="s">
        <v>804</v>
      </c>
      <c r="AE389" s="190">
        <f ca="1">SUMIFS(Налоги!AE$25:AE$69,Налоги!$F$25:$F$69,$F389,Налоги!$AB$25:$AB$69,$G389)</f>
        <v>0</v>
      </c>
      <c r="AF389" s="190">
        <f ca="1">SUMIFS(Налоги!AF$25:AF$69,Налоги!$F$25:$F$69,$F389,Налоги!$AB$25:$AB$69,$G389)</f>
        <v>0</v>
      </c>
      <c r="AG389" s="190">
        <f ca="1">SUMIFS(Налоги!AG$25:AG$69,Налоги!$F$25:$F$69,$F389,Налоги!$AB$25:$AB$69,$G389)</f>
        <v>0</v>
      </c>
      <c r="AH389" s="190">
        <f t="shared" ca="1" si="98"/>
        <v>0</v>
      </c>
      <c r="AI389" s="190">
        <f ca="1">SUMIFS(Налоги!AH$25:AH$69,Налоги!$F$25:$F$69,$F389,Налоги!$AB$25:$AB$69,$G389)</f>
        <v>0</v>
      </c>
      <c r="AJ389" s="190">
        <f ca="1">SUMIFS(Налоги!AI$25:AI$69,Налоги!$F$25:$F$69,$F389,Налоги!$AB$25:$AB$69,$G389)</f>
        <v>0</v>
      </c>
      <c r="AK389" s="190">
        <f ca="1">SUMIFS(Налоги!AJ$25:AJ$69,Налоги!$F$25:$F$69,$F389,Налоги!$AB$25:$AB$69,$G389)</f>
        <v>0</v>
      </c>
      <c r="AL389" s="190">
        <f ca="1">SUMIFS(Налоги!AK$25:AK$69,Налоги!$F$25:$F$69,$F389,Налоги!$AB$25:$AB$69,$G389)</f>
        <v>0</v>
      </c>
      <c r="AM389" s="190">
        <f ca="1">SUMIFS(Налоги!AL$25:AL$69,Налоги!$F$25:$F$69,$F389,Налоги!$AB$25:$AB$69,$G389)</f>
        <v>0</v>
      </c>
      <c r="AN389" s="190">
        <f ca="1">SUMIFS(Налоги!AM$25:AM$69,Налоги!$F$25:$F$69,$F389,Налоги!$AB$25:$AB$69,$G389)</f>
        <v>0</v>
      </c>
      <c r="AO389" s="190">
        <f ca="1">SUMIFS(Налоги!AN$25:AN$69,Налоги!$F$25:$F$69,$F389,Налоги!$AB$25:$AB$69,$G389)</f>
        <v>0</v>
      </c>
      <c r="AP389" s="190">
        <f ca="1">SUMIFS(Налоги!AO$25:AO$69,Налоги!$F$25:$F$69,$F389,Налоги!$AB$25:$AB$69,$G389)</f>
        <v>0</v>
      </c>
      <c r="AQ389" s="190">
        <f ca="1">SUMIFS(Налоги!AP$25:AP$69,Налоги!$F$25:$F$69,$F389,Налоги!$AB$25:$AB$69,$G389)</f>
        <v>0</v>
      </c>
      <c r="AR389" s="190">
        <f ca="1">SUMIFS(Налоги!AQ$25:AQ$69,Налоги!$F$25:$F$69,$F389,Налоги!$AB$25:$AB$69,$G389)</f>
        <v>0</v>
      </c>
      <c r="AS389" s="190">
        <f ca="1">SUMIFS(Налоги!AR$25:AR$69,Налоги!$F$25:$F$69,$F389,Налоги!$AB$25:$AB$69,$G389)</f>
        <v>0</v>
      </c>
      <c r="AT389" s="190">
        <f ca="1">SUMIFS(Налоги!AS$25:AS$69,Налоги!$F$25:$F$69,$F389,Налоги!$AB$25:$AB$69,$G389)</f>
        <v>0</v>
      </c>
      <c r="AU389" s="190">
        <f ca="1">SUMIFS(Налоги!AT$25:AT$69,Налоги!$F$25:$F$69,$F389,Налоги!$AB$25:$AB$69,$G389)</f>
        <v>0</v>
      </c>
      <c r="AV389" s="190">
        <f ca="1">SUMIFS(Налоги!AU$25:AU$69,Налоги!$F$25:$F$69,$F389,Налоги!$AB$25:$AB$69,$G389)</f>
        <v>0</v>
      </c>
      <c r="AW389" s="190">
        <f ca="1">SUMIFS(Налоги!AV$25:AV$69,Налоги!$F$25:$F$69,$F389,Налоги!$AB$25:$AB$69,$G389)</f>
        <v>0</v>
      </c>
      <c r="AX389" s="190">
        <f ca="1">SUMIFS(Налоги!AW$25:AW$69,Налоги!$F$25:$F$69,$F389,Налоги!$AB$25:$AB$69,$G389)</f>
        <v>0</v>
      </c>
      <c r="AY389" s="190">
        <f ca="1">SUMIFS(Налоги!AX$25:AX$69,Налоги!$F$25:$F$69,$F389,Налоги!$AB$25:$AB$69,$G389)</f>
        <v>0</v>
      </c>
      <c r="AZ389" s="190">
        <f ca="1">SUMIFS(Налоги!AY$25:AY$69,Налоги!$F$25:$F$69,$F389,Налоги!$AB$25:$AB$69,$G389)</f>
        <v>0</v>
      </c>
      <c r="BA389" s="190">
        <f ca="1">SUMIFS(Налоги!AZ$25:AZ$69,Налоги!$F$25:$F$69,$F389,Налоги!$AB$25:$AB$69,$G389)</f>
        <v>0</v>
      </c>
      <c r="BB389" s="190">
        <f ca="1">SUMIFS(Налоги!BA$25:BA$69,Налоги!$F$25:$F$69,$F389,Налоги!$AB$25:$AB$69,$G389)</f>
        <v>0</v>
      </c>
      <c r="BC389" s="190">
        <f ca="1">SUMIFS(Налоги!BB$25:BB$69,Налоги!$F$25:$F$69,$F389,Налоги!$AB$25:$AB$69,$G389)</f>
        <v>0</v>
      </c>
      <c r="BD389" s="190">
        <f t="shared" ca="1" si="100"/>
        <v>0</v>
      </c>
      <c r="BE389" s="190">
        <f t="shared" ca="1" si="101"/>
        <v>0</v>
      </c>
      <c r="BF389" s="190">
        <f t="shared" ca="1" si="102"/>
        <v>0</v>
      </c>
      <c r="BG389" s="190">
        <f t="shared" ca="1" si="103"/>
        <v>0</v>
      </c>
      <c r="BH389" s="190">
        <f t="shared" ca="1" si="104"/>
        <v>0</v>
      </c>
      <c r="BI389" s="190">
        <f t="shared" ca="1" si="105"/>
        <v>0</v>
      </c>
      <c r="BJ389" s="190">
        <f t="shared" ca="1" si="106"/>
        <v>0</v>
      </c>
      <c r="BK389" s="190">
        <f t="shared" ca="1" si="107"/>
        <v>0</v>
      </c>
      <c r="BL389" s="190">
        <f t="shared" ca="1" si="108"/>
        <v>0</v>
      </c>
      <c r="BM389" s="190">
        <f t="shared" ca="1" si="109"/>
        <v>0</v>
      </c>
      <c r="BN389" s="215"/>
      <c r="BO389" s="610" t="str">
        <f ca="1">IF(IFERROR(INDEX(Налоги!$K$26:$L$69,MATCH($F389&amp;"9komm",Налоги!$K$26:$K$69,0),2),"")=0,"",IFERROR(INDEX(Налоги!$K$26:$L$69,MATCH($F389&amp;"9komm",Налоги!$K$26:$K$69,0),2),""))</f>
        <v/>
      </c>
      <c r="BP389" s="215"/>
      <c r="BS389" s="712" t="s">
        <v>2093</v>
      </c>
      <c r="BT389" s="712"/>
      <c r="BU389" s="712"/>
      <c r="BV389" s="713"/>
      <c r="BW389" s="713"/>
    </row>
    <row r="390" spans="2:75" ht="14.25" customHeight="1">
      <c r="C390" s="44"/>
      <c r="D390" s="44"/>
      <c r="E390" s="462">
        <v>15</v>
      </c>
      <c r="F390" s="3" t="str" cm="1">
        <f t="array" aca="1" ref="F390" ca="1">OFFSET(E390,-1,1)</f>
        <v>2</v>
      </c>
      <c r="G390" s="620">
        <v>10</v>
      </c>
      <c r="H390" s="44"/>
      <c r="I390" s="44" t="s">
        <v>2094</v>
      </c>
      <c r="J390" s="44"/>
      <c r="K390" s="44" t="s">
        <v>2094</v>
      </c>
      <c r="L390" s="44"/>
      <c r="M390" s="44"/>
      <c r="N390" s="44"/>
      <c r="O390" s="44"/>
      <c r="P390" s="44"/>
      <c r="Q390" s="44"/>
      <c r="R390" s="44"/>
      <c r="S390" s="44"/>
      <c r="T390" s="365" t="b" cm="1">
        <f t="array" aca="1" ref="T390" ca="1">T389</f>
        <v>1</v>
      </c>
      <c r="U390" s="44"/>
      <c r="V390" s="44"/>
      <c r="W390" s="44"/>
      <c r="X390" s="1094"/>
      <c r="Z390" s="1065"/>
      <c r="AB390" s="26" t="s">
        <v>2095</v>
      </c>
      <c r="AC390" s="559" t="s">
        <v>2096</v>
      </c>
      <c r="AD390" s="26" t="s">
        <v>804</v>
      </c>
      <c r="AE390" s="190">
        <f ca="1">SUMIFS(Налоги!AE$25:AE$69,Налоги!$F$25:$F$69,$F390,Налоги!$AB$25:$AB$69,$G390)</f>
        <v>0</v>
      </c>
      <c r="AF390" s="190">
        <f ca="1">SUMIFS(Налоги!AF$25:AF$69,Налоги!$F$25:$F$69,$F390,Налоги!$AB$25:$AB$69,$G390)</f>
        <v>0</v>
      </c>
      <c r="AG390" s="190">
        <f ca="1">SUMIFS(Налоги!AG$25:AG$69,Налоги!$F$25:$F$69,$F390,Налоги!$AB$25:$AB$69,$G390)</f>
        <v>0</v>
      </c>
      <c r="AH390" s="190">
        <f t="shared" ca="1" si="98"/>
        <v>0</v>
      </c>
      <c r="AI390" s="190">
        <f ca="1">SUMIFS(Налоги!AH$25:AH$69,Налоги!$F$25:$F$69,$F390,Налоги!$AB$25:$AB$69,$G390)</f>
        <v>0</v>
      </c>
      <c r="AJ390" s="190">
        <f ca="1">SUMIFS(Налоги!AI$25:AI$69,Налоги!$F$25:$F$69,$F390,Налоги!$AB$25:$AB$69,$G390)</f>
        <v>0</v>
      </c>
      <c r="AK390" s="190">
        <f ca="1">SUMIFS(Налоги!AJ$25:AJ$69,Налоги!$F$25:$F$69,$F390,Налоги!$AB$25:$AB$69,$G390)</f>
        <v>0</v>
      </c>
      <c r="AL390" s="190">
        <f ca="1">SUMIFS(Налоги!AK$25:AK$69,Налоги!$F$25:$F$69,$F390,Налоги!$AB$25:$AB$69,$G390)</f>
        <v>0</v>
      </c>
      <c r="AM390" s="190">
        <f ca="1">SUMIFS(Налоги!AL$25:AL$69,Налоги!$F$25:$F$69,$F390,Налоги!$AB$25:$AB$69,$G390)</f>
        <v>0</v>
      </c>
      <c r="AN390" s="190">
        <f ca="1">SUMIFS(Налоги!AM$25:AM$69,Налоги!$F$25:$F$69,$F390,Налоги!$AB$25:$AB$69,$G390)</f>
        <v>0</v>
      </c>
      <c r="AO390" s="190">
        <f ca="1">SUMIFS(Налоги!AN$25:AN$69,Налоги!$F$25:$F$69,$F390,Налоги!$AB$25:$AB$69,$G390)</f>
        <v>0</v>
      </c>
      <c r="AP390" s="190">
        <f ca="1">SUMIFS(Налоги!AO$25:AO$69,Налоги!$F$25:$F$69,$F390,Налоги!$AB$25:$AB$69,$G390)</f>
        <v>0</v>
      </c>
      <c r="AQ390" s="190">
        <f ca="1">SUMIFS(Налоги!AP$25:AP$69,Налоги!$F$25:$F$69,$F390,Налоги!$AB$25:$AB$69,$G390)</f>
        <v>0</v>
      </c>
      <c r="AR390" s="190">
        <f ca="1">SUMIFS(Налоги!AQ$25:AQ$69,Налоги!$F$25:$F$69,$F390,Налоги!$AB$25:$AB$69,$G390)</f>
        <v>0</v>
      </c>
      <c r="AS390" s="190">
        <f ca="1">SUMIFS(Налоги!AR$25:AR$69,Налоги!$F$25:$F$69,$F390,Налоги!$AB$25:$AB$69,$G390)</f>
        <v>0</v>
      </c>
      <c r="AT390" s="190">
        <f ca="1">SUMIFS(Налоги!AS$25:AS$69,Налоги!$F$25:$F$69,$F390,Налоги!$AB$25:$AB$69,$G390)</f>
        <v>0</v>
      </c>
      <c r="AU390" s="190">
        <f ca="1">SUMIFS(Налоги!AT$25:AT$69,Налоги!$F$25:$F$69,$F390,Налоги!$AB$25:$AB$69,$G390)</f>
        <v>0</v>
      </c>
      <c r="AV390" s="190">
        <f ca="1">SUMIFS(Налоги!AU$25:AU$69,Налоги!$F$25:$F$69,$F390,Налоги!$AB$25:$AB$69,$G390)</f>
        <v>0</v>
      </c>
      <c r="AW390" s="190">
        <f ca="1">SUMIFS(Налоги!AV$25:AV$69,Налоги!$F$25:$F$69,$F390,Налоги!$AB$25:$AB$69,$G390)</f>
        <v>0</v>
      </c>
      <c r="AX390" s="190">
        <f ca="1">SUMIFS(Налоги!AW$25:AW$69,Налоги!$F$25:$F$69,$F390,Налоги!$AB$25:$AB$69,$G390)</f>
        <v>0</v>
      </c>
      <c r="AY390" s="190">
        <f ca="1">SUMIFS(Налоги!AX$25:AX$69,Налоги!$F$25:$F$69,$F390,Налоги!$AB$25:$AB$69,$G390)</f>
        <v>0</v>
      </c>
      <c r="AZ390" s="190">
        <f ca="1">SUMIFS(Налоги!AY$25:AY$69,Налоги!$F$25:$F$69,$F390,Налоги!$AB$25:$AB$69,$G390)</f>
        <v>0</v>
      </c>
      <c r="BA390" s="190">
        <f ca="1">SUMIFS(Налоги!AZ$25:AZ$69,Налоги!$F$25:$F$69,$F390,Налоги!$AB$25:$AB$69,$G390)</f>
        <v>0</v>
      </c>
      <c r="BB390" s="190">
        <f ca="1">SUMIFS(Налоги!BA$25:BA$69,Налоги!$F$25:$F$69,$F390,Налоги!$AB$25:$AB$69,$G390)</f>
        <v>0</v>
      </c>
      <c r="BC390" s="190">
        <f ca="1">SUMIFS(Налоги!BB$25:BB$69,Налоги!$F$25:$F$69,$F390,Налоги!$AB$25:$AB$69,$G390)</f>
        <v>0</v>
      </c>
      <c r="BD390" s="190">
        <f t="shared" ca="1" si="100"/>
        <v>0</v>
      </c>
      <c r="BE390" s="190">
        <f t="shared" ca="1" si="101"/>
        <v>0</v>
      </c>
      <c r="BF390" s="190">
        <f t="shared" ca="1" si="102"/>
        <v>0</v>
      </c>
      <c r="BG390" s="190">
        <f t="shared" ca="1" si="103"/>
        <v>0</v>
      </c>
      <c r="BH390" s="190">
        <f t="shared" ca="1" si="104"/>
        <v>0</v>
      </c>
      <c r="BI390" s="190">
        <f t="shared" ca="1" si="105"/>
        <v>0</v>
      </c>
      <c r="BJ390" s="190">
        <f t="shared" ca="1" si="106"/>
        <v>0</v>
      </c>
      <c r="BK390" s="190">
        <f t="shared" ca="1" si="107"/>
        <v>0</v>
      </c>
      <c r="BL390" s="190">
        <f t="shared" ca="1" si="108"/>
        <v>0</v>
      </c>
      <c r="BM390" s="190">
        <f t="shared" ca="1" si="109"/>
        <v>0</v>
      </c>
      <c r="BN390" s="215"/>
      <c r="BO390" s="610" t="str">
        <f ca="1">IF(IFERROR(INDEX(Налоги!$K$26:$L$69,MATCH($F390&amp;"10komm",Налоги!$K$26:$K$69,0),2),"")=0,"",IFERROR(INDEX(Налоги!$K$26:$L$69,MATCH($F390&amp;"10komm",Налоги!$K$26:$K$69,0),2),""))</f>
        <v/>
      </c>
      <c r="BP390" s="215"/>
      <c r="BS390" s="705" t="s">
        <v>2097</v>
      </c>
    </row>
    <row r="391" spans="2:75" ht="65.25" customHeight="1">
      <c r="C391" s="44"/>
      <c r="D391" s="44"/>
      <c r="E391" s="462">
        <v>67.5</v>
      </c>
      <c r="F391" s="3" t="str" cm="1">
        <f t="array" aca="1" ref="F391" ca="1">OFFSET(E391,-1,1)</f>
        <v>2</v>
      </c>
      <c r="G391" s="44" t="s">
        <v>1445</v>
      </c>
      <c r="H391" s="44"/>
      <c r="I391" s="44" t="s">
        <v>919</v>
      </c>
      <c r="J391" s="44"/>
      <c r="K391" s="91" t="s">
        <v>919</v>
      </c>
      <c r="L391" s="44"/>
      <c r="M391" s="44"/>
      <c r="N391" s="44"/>
      <c r="O391" s="44"/>
      <c r="P391" s="44"/>
      <c r="Q391" s="44"/>
      <c r="R391" s="44"/>
      <c r="S391" s="44"/>
      <c r="T391" s="365" t="b" cm="1">
        <f t="array" aca="1" ref="T391" ca="1">T390</f>
        <v>1</v>
      </c>
      <c r="U391" s="44"/>
      <c r="V391" s="44"/>
      <c r="W391" s="44"/>
      <c r="X391" s="1094"/>
      <c r="Z391" s="1065"/>
      <c r="AB391" s="26" t="s">
        <v>920</v>
      </c>
      <c r="AC391" s="560" t="s">
        <v>1448</v>
      </c>
      <c r="AD391" s="26" t="s">
        <v>804</v>
      </c>
      <c r="AE391" s="160"/>
      <c r="AF391" s="160"/>
      <c r="AG391" s="160"/>
      <c r="AH391" s="190">
        <f t="shared" si="98"/>
        <v>0</v>
      </c>
      <c r="AI391" s="160"/>
      <c r="AJ391" s="160"/>
      <c r="AK391" s="790"/>
      <c r="AL391" s="790"/>
      <c r="AM391" s="790"/>
      <c r="AN391" s="790"/>
      <c r="AO391" s="790"/>
      <c r="AP391" s="790"/>
      <c r="AQ391" s="790"/>
      <c r="AR391" s="790"/>
      <c r="AS391" s="790"/>
      <c r="AT391" s="160"/>
      <c r="AU391" s="790"/>
      <c r="AV391" s="790"/>
      <c r="AW391" s="790"/>
      <c r="AX391" s="790"/>
      <c r="AY391" s="790"/>
      <c r="AZ391" s="790"/>
      <c r="BA391" s="790"/>
      <c r="BB391" s="790"/>
      <c r="BC391" s="790"/>
      <c r="BD391" s="190">
        <f t="shared" si="100"/>
        <v>0</v>
      </c>
      <c r="BE391" s="190">
        <f t="shared" si="101"/>
        <v>0</v>
      </c>
      <c r="BF391" s="190">
        <f t="shared" si="102"/>
        <v>0</v>
      </c>
      <c r="BG391" s="190">
        <f t="shared" si="103"/>
        <v>0</v>
      </c>
      <c r="BH391" s="190">
        <f t="shared" si="104"/>
        <v>0</v>
      </c>
      <c r="BI391" s="190">
        <f t="shared" si="105"/>
        <v>0</v>
      </c>
      <c r="BJ391" s="190">
        <f t="shared" si="106"/>
        <v>0</v>
      </c>
      <c r="BK391" s="190">
        <f t="shared" si="107"/>
        <v>0</v>
      </c>
      <c r="BL391" s="190">
        <f t="shared" si="108"/>
        <v>0</v>
      </c>
      <c r="BM391" s="190">
        <f t="shared" si="109"/>
        <v>0</v>
      </c>
      <c r="BN391" s="215"/>
      <c r="BO391" s="215"/>
      <c r="BP391" s="215"/>
      <c r="BS391" s="705" t="s">
        <v>2098</v>
      </c>
    </row>
    <row r="392" spans="2:75" ht="14.25" customHeight="1">
      <c r="C392" s="44"/>
      <c r="D392" s="44"/>
      <c r="E392" s="462">
        <v>15</v>
      </c>
      <c r="F392" s="3" t="str" cm="1">
        <f t="array" aca="1" ref="F392" ca="1">OFFSET(E392,-1,1)</f>
        <v>2</v>
      </c>
      <c r="G392" s="44" t="s">
        <v>999</v>
      </c>
      <c r="H392" s="44"/>
      <c r="I392" s="44" t="s">
        <v>922</v>
      </c>
      <c r="J392" s="44"/>
      <c r="K392" s="91" t="s">
        <v>922</v>
      </c>
      <c r="L392" s="44" t="s">
        <v>511</v>
      </c>
      <c r="M392" s="44"/>
      <c r="N392" s="44"/>
      <c r="O392" s="44"/>
      <c r="P392" s="44"/>
      <c r="Q392" s="44"/>
      <c r="R392" s="44"/>
      <c r="S392" s="44"/>
      <c r="T392" s="365" t="b" cm="1">
        <f t="array" aca="1" ref="T392" ca="1">T391</f>
        <v>1</v>
      </c>
      <c r="U392" s="44"/>
      <c r="V392" s="44"/>
      <c r="W392" s="44"/>
      <c r="X392" s="1094"/>
      <c r="Z392" s="1065"/>
      <c r="AB392" s="26" t="s">
        <v>923</v>
      </c>
      <c r="AC392" s="146" t="s">
        <v>999</v>
      </c>
      <c r="AD392" s="26" t="s">
        <v>804</v>
      </c>
      <c r="AE392" s="190">
        <f ca="1">SUMIFS(Аренда!AE$25:AE$57,Аренда!$F$25:$F$57,$F392,Аренда!$G$25:$G$57,"Арендная и концессионная плата, лизинговые платежи")</f>
        <v>2.4919409899999998</v>
      </c>
      <c r="AF392" s="190">
        <f ca="1">SUMIFS(Аренда!AF$25:AF$57,Аренда!$F$25:$F$57,$F392,Аренда!$G$25:$G$57,"Арендная и концессионная плата, лизинговые платежи")</f>
        <v>486.13</v>
      </c>
      <c r="AG392" s="190">
        <f ca="1">SUMIFS(Аренда!AG$25:AG$57,Аренда!$F$25:$F$57,$F392,Аренда!$G$25:$G$57,"Арендная и концессионная плата, лизинговые платежи")</f>
        <v>2.4900000000000002</v>
      </c>
      <c r="AH392" s="190">
        <f t="shared" ca="1" si="98"/>
        <v>-483.64</v>
      </c>
      <c r="AI392" s="190">
        <f ca="1">SUMIFS(Аренда!AH$25:AH$57,Аренда!$F$25:$F$57,$F392,Аренда!$G$25:$G$57,"Арендная и концессионная плата, лизинговые платежи")</f>
        <v>237.72194098999998</v>
      </c>
      <c r="AJ392" s="190">
        <f ca="1">SUMIFS(Аренда!AI$25:AI$57,Аренда!$F$25:$F$57,$F392,Аренда!$G$25:$G$57,"Арендная и концессионная плата, лизинговые платежи")</f>
        <v>486.13</v>
      </c>
      <c r="AK392" s="190">
        <f ca="1">SUMIFS(Аренда!AJ$25:AJ$57,Аренда!$F$25:$F$57,$F392,Аренда!$G$25:$G$57,"Арендная и концессионная плата, лизинговые платежи")</f>
        <v>0</v>
      </c>
      <c r="AL392" s="190">
        <f ca="1">SUMIFS(Аренда!AK$25:AK$57,Аренда!$F$25:$F$57,$F392,Аренда!$G$25:$G$57,"Арендная и концессионная плата, лизинговые платежи")</f>
        <v>0</v>
      </c>
      <c r="AM392" s="190">
        <f ca="1">SUMIFS(Аренда!AL$25:AL$57,Аренда!$F$25:$F$57,$F392,Аренда!$G$25:$G$57,"Арендная и концессионная плата, лизинговые платежи")</f>
        <v>0</v>
      </c>
      <c r="AN392" s="190">
        <f ca="1">SUMIFS(Аренда!AM$25:AM$57,Аренда!$F$25:$F$57,$F392,Аренда!$G$25:$G$57,"Арендная и концессионная плата, лизинговые платежи")</f>
        <v>0</v>
      </c>
      <c r="AO392" s="190">
        <f ca="1">SUMIFS(Аренда!AN$25:AN$57,Аренда!$F$25:$F$57,$F392,Аренда!$G$25:$G$57,"Арендная и концессионная плата, лизинговые платежи")</f>
        <v>0</v>
      </c>
      <c r="AP392" s="190">
        <f ca="1">SUMIFS(Аренда!AO$25:AO$57,Аренда!$F$25:$F$57,$F392,Аренда!$G$25:$G$57,"Арендная и концессионная плата, лизинговые платежи")</f>
        <v>0</v>
      </c>
      <c r="AQ392" s="190">
        <f ca="1">SUMIFS(Аренда!AP$25:AP$57,Аренда!$F$25:$F$57,$F392,Аренда!$G$25:$G$57,"Арендная и концессионная плата, лизинговые платежи")</f>
        <v>0</v>
      </c>
      <c r="AR392" s="190">
        <f ca="1">SUMIFS(Аренда!AQ$25:AQ$57,Аренда!$F$25:$F$57,$F392,Аренда!$G$25:$G$57,"Арендная и концессионная плата, лизинговые платежи")</f>
        <v>0</v>
      </c>
      <c r="AS392" s="190">
        <f ca="1">SUMIFS(Аренда!AR$25:AR$57,Аренда!$F$25:$F$57,$F392,Аренда!$G$25:$G$57,"Арендная и концессионная плата, лизинговые платежи")</f>
        <v>0</v>
      </c>
      <c r="AT392" s="190">
        <f ca="1">SUMIFS(Аренда!AS$25:AS$57,Аренда!$F$25:$F$57,$F392,Аренда!$G$25:$G$57,"Арендная и концессионная плата, лизинговые платежи")</f>
        <v>2.4900000000000002</v>
      </c>
      <c r="AU392" s="190">
        <f ca="1">SUMIFS(Аренда!AT$25:AT$57,Аренда!$F$25:$F$57,$F392,Аренда!$G$25:$G$57,"Арендная и концессионная плата, лизинговые платежи")</f>
        <v>0</v>
      </c>
      <c r="AV392" s="190">
        <f ca="1">SUMIFS(Аренда!AU$25:AU$57,Аренда!$F$25:$F$57,$F392,Аренда!$G$25:$G$57,"Арендная и концессионная плата, лизинговые платежи")</f>
        <v>0</v>
      </c>
      <c r="AW392" s="190">
        <f ca="1">SUMIFS(Аренда!AV$25:AV$57,Аренда!$F$25:$F$57,$F392,Аренда!$G$25:$G$57,"Арендная и концессионная плата, лизинговые платежи")</f>
        <v>0</v>
      </c>
      <c r="AX392" s="190">
        <f ca="1">SUMIFS(Аренда!AW$25:AW$57,Аренда!$F$25:$F$57,$F392,Аренда!$G$25:$G$57,"Арендная и концессионная плата, лизинговые платежи")</f>
        <v>0</v>
      </c>
      <c r="AY392" s="190">
        <f ca="1">SUMIFS(Аренда!AX$25:AX$57,Аренда!$F$25:$F$57,$F392,Аренда!$G$25:$G$57,"Арендная и концессионная плата, лизинговые платежи")</f>
        <v>0</v>
      </c>
      <c r="AZ392" s="190">
        <f ca="1">SUMIFS(Аренда!AY$25:AY$57,Аренда!$F$25:$F$57,$F392,Аренда!$G$25:$G$57,"Арендная и концессионная плата, лизинговые платежи")</f>
        <v>0</v>
      </c>
      <c r="BA392" s="190">
        <f ca="1">SUMIFS(Аренда!AZ$25:AZ$57,Аренда!$F$25:$F$57,$F392,Аренда!$G$25:$G$57,"Арендная и концессионная плата, лизинговые платежи")</f>
        <v>0</v>
      </c>
      <c r="BB392" s="190">
        <f ca="1">SUMIFS(Аренда!BA$25:BA$57,Аренда!$F$25:$F$57,$F392,Аренда!$G$25:$G$57,"Арендная и концессионная плата, лизинговые платежи")</f>
        <v>0</v>
      </c>
      <c r="BC392" s="190">
        <f ca="1">SUMIFS(Аренда!BB$25:BB$57,Аренда!$F$25:$F$57,$F392,Аренда!$G$25:$G$57,"Арендная и концессионная плата, лизинговые платежи")</f>
        <v>0</v>
      </c>
      <c r="BD392" s="190">
        <f t="shared" ca="1" si="100"/>
        <v>-98.952557769960009</v>
      </c>
      <c r="BE392" s="190">
        <f t="shared" ca="1" si="101"/>
        <v>-100</v>
      </c>
      <c r="BF392" s="190">
        <f t="shared" ca="1" si="102"/>
        <v>0</v>
      </c>
      <c r="BG392" s="190">
        <f t="shared" ca="1" si="103"/>
        <v>0</v>
      </c>
      <c r="BH392" s="190">
        <f t="shared" ca="1" si="104"/>
        <v>0</v>
      </c>
      <c r="BI392" s="190">
        <f t="shared" ca="1" si="105"/>
        <v>0</v>
      </c>
      <c r="BJ392" s="190">
        <f t="shared" ca="1" si="106"/>
        <v>0</v>
      </c>
      <c r="BK392" s="190">
        <f t="shared" ca="1" si="107"/>
        <v>0</v>
      </c>
      <c r="BL392" s="190">
        <f t="shared" ca="1" si="108"/>
        <v>0</v>
      </c>
      <c r="BM392" s="190">
        <f t="shared" ca="1" si="109"/>
        <v>0</v>
      </c>
      <c r="BN392" s="215"/>
      <c r="BO392" s="610" t="str">
        <f ca="1">IF(IFERROR(INDEX(Аренда!$K$26:$L$57,MATCH($F392&amp;"komm",Аренда!$K$26:$K$57,0),2),"")=0,"",IFERROR(INDEX(Аренда!$K$26:$L$57,MATCH($F392&amp;"komm",Аренда!$K$26:$K$57,0),2),""))</f>
        <v/>
      </c>
      <c r="BP392" s="215"/>
      <c r="BS392" s="705" t="s">
        <v>2099</v>
      </c>
    </row>
    <row r="393" spans="2:75" ht="14.25" customHeight="1">
      <c r="B393" s="341" t="b">
        <f>STATUS_GO="да"</f>
        <v>0</v>
      </c>
      <c r="C393" s="44"/>
      <c r="D393" s="44"/>
      <c r="E393" s="462">
        <v>15</v>
      </c>
      <c r="F393" s="3" t="str" cm="1">
        <f t="array" aca="1" ref="F393" ca="1">OFFSET(E393,-1,1)</f>
        <v>2</v>
      </c>
      <c r="G393" s="44"/>
      <c r="H393" s="44"/>
      <c r="I393" s="44" t="s">
        <v>2100</v>
      </c>
      <c r="J393" s="44"/>
      <c r="K393" s="91" t="s">
        <v>2100</v>
      </c>
      <c r="L393" s="44"/>
      <c r="M393" s="44"/>
      <c r="N393" s="44"/>
      <c r="O393" s="44"/>
      <c r="P393" s="44"/>
      <c r="Q393" s="44"/>
      <c r="R393" s="44"/>
      <c r="S393" s="44"/>
      <c r="T393" s="365" t="b" cm="1">
        <f t="array" aca="1" ref="T393" ca="1">T392</f>
        <v>1</v>
      </c>
      <c r="U393" s="44"/>
      <c r="V393" s="44"/>
      <c r="W393" s="44"/>
      <c r="X393" s="1094"/>
      <c r="Z393" s="1065"/>
      <c r="AB393" s="26" t="s">
        <v>1512</v>
      </c>
      <c r="AC393" s="146" t="s">
        <v>2101</v>
      </c>
      <c r="AD393" s="26" t="s">
        <v>804</v>
      </c>
      <c r="AE393" s="147" cm="1">
        <f t="array" aca="1" ref="AE393" ca="1">AE394</f>
        <v>0</v>
      </c>
      <c r="AF393" s="147" cm="1">
        <f t="array" aca="1" ref="AF393" ca="1">AF394</f>
        <v>0</v>
      </c>
      <c r="AG393" s="147" cm="1">
        <f t="array" aca="1" ref="AG393" ca="1">AG394</f>
        <v>0</v>
      </c>
      <c r="AH393" s="190">
        <f t="shared" ca="1" si="98"/>
        <v>0</v>
      </c>
      <c r="AI393" s="147" cm="1">
        <f t="array" aca="1" ref="AI393" ca="1">AI394</f>
        <v>0</v>
      </c>
      <c r="AJ393" s="147" cm="1">
        <f t="array" aca="1" ref="AJ393" ca="1">AJ394</f>
        <v>0</v>
      </c>
      <c r="AK393" s="787" cm="1">
        <f t="array" ref="AK393">AK394</f>
        <v>0</v>
      </c>
      <c r="AL393" s="787" cm="1">
        <f t="array" ref="AL393">AL394</f>
        <v>0</v>
      </c>
      <c r="AM393" s="787" cm="1">
        <f t="array" ref="AM393">AM394</f>
        <v>0</v>
      </c>
      <c r="AN393" s="787" cm="1">
        <f t="array" ref="AN393">AN394</f>
        <v>0</v>
      </c>
      <c r="AO393" s="787" cm="1">
        <f t="array" ref="AO393">AO394</f>
        <v>0</v>
      </c>
      <c r="AP393" s="787" cm="1">
        <f t="array" ref="AP393">AP394</f>
        <v>0</v>
      </c>
      <c r="AQ393" s="787" cm="1">
        <f t="array" ref="AQ393">AQ394</f>
        <v>0</v>
      </c>
      <c r="AR393" s="787" cm="1">
        <f t="array" ref="AR393">AR394</f>
        <v>0</v>
      </c>
      <c r="AS393" s="787" cm="1">
        <f t="array" ref="AS393">AS394</f>
        <v>0</v>
      </c>
      <c r="AT393" s="147" cm="1">
        <f t="array" aca="1" ref="AT393" ca="1">AT394</f>
        <v>0</v>
      </c>
      <c r="AU393" s="787" cm="1">
        <f t="array" ref="AU393">AU394</f>
        <v>0</v>
      </c>
      <c r="AV393" s="787" cm="1">
        <f t="array" ref="AV393">AV394</f>
        <v>0</v>
      </c>
      <c r="AW393" s="787" cm="1">
        <f t="array" ref="AW393">AW394</f>
        <v>0</v>
      </c>
      <c r="AX393" s="787" cm="1">
        <f t="array" ref="AX393">AX394</f>
        <v>0</v>
      </c>
      <c r="AY393" s="787" cm="1">
        <f t="array" ref="AY393">AY394</f>
        <v>0</v>
      </c>
      <c r="AZ393" s="787" cm="1">
        <f t="array" ref="AZ393">AZ394</f>
        <v>0</v>
      </c>
      <c r="BA393" s="787" cm="1">
        <f t="array" ref="BA393">BA394</f>
        <v>0</v>
      </c>
      <c r="BB393" s="787" cm="1">
        <f t="array" ref="BB393">BB394</f>
        <v>0</v>
      </c>
      <c r="BC393" s="787" cm="1">
        <f t="array" ref="BC393">BC394</f>
        <v>0</v>
      </c>
      <c r="BD393" s="190">
        <f t="shared" ca="1" si="100"/>
        <v>0</v>
      </c>
      <c r="BE393" s="190">
        <f t="shared" ca="1" si="101"/>
        <v>0</v>
      </c>
      <c r="BF393" s="190">
        <f t="shared" si="102"/>
        <v>0</v>
      </c>
      <c r="BG393" s="190">
        <f t="shared" si="103"/>
        <v>0</v>
      </c>
      <c r="BH393" s="190">
        <f t="shared" si="104"/>
        <v>0</v>
      </c>
      <c r="BI393" s="190">
        <f t="shared" si="105"/>
        <v>0</v>
      </c>
      <c r="BJ393" s="190">
        <f t="shared" si="106"/>
        <v>0</v>
      </c>
      <c r="BK393" s="190">
        <f t="shared" si="107"/>
        <v>0</v>
      </c>
      <c r="BL393" s="190">
        <f t="shared" si="108"/>
        <v>0</v>
      </c>
      <c r="BM393" s="190">
        <f t="shared" si="109"/>
        <v>0</v>
      </c>
      <c r="BN393" s="215"/>
      <c r="BO393" s="215"/>
      <c r="BP393" s="215"/>
      <c r="BS393" s="705" t="s">
        <v>2102</v>
      </c>
    </row>
    <row r="394" spans="2:75" ht="14.25" customHeight="1">
      <c r="B394" s="341" t="b">
        <f>STATUS_GO="да"</f>
        <v>0</v>
      </c>
      <c r="C394" s="44"/>
      <c r="D394" s="44"/>
      <c r="E394" s="462">
        <v>15</v>
      </c>
      <c r="F394" s="3" t="str" cm="1">
        <f t="array" aca="1" ref="F394" ca="1">OFFSET(E394,-1,1)</f>
        <v>2</v>
      </c>
      <c r="G394" s="44" t="s">
        <v>1454</v>
      </c>
      <c r="H394" s="44"/>
      <c r="I394" s="44" t="s">
        <v>2103</v>
      </c>
      <c r="J394" s="44"/>
      <c r="K394" s="91" t="s">
        <v>2103</v>
      </c>
      <c r="L394" s="44"/>
      <c r="M394" s="44"/>
      <c r="N394" s="44"/>
      <c r="O394" s="44"/>
      <c r="P394" s="44"/>
      <c r="Q394" s="44"/>
      <c r="R394" s="44"/>
      <c r="S394" s="44"/>
      <c r="T394" s="365" t="b" cm="1">
        <f t="array" aca="1" ref="T394" ca="1">T393</f>
        <v>1</v>
      </c>
      <c r="U394" s="44"/>
      <c r="V394" s="44"/>
      <c r="W394" s="44"/>
      <c r="X394" s="1094"/>
      <c r="Z394" s="1065"/>
      <c r="AB394" s="26" t="s">
        <v>2104</v>
      </c>
      <c r="AC394" s="153" t="s">
        <v>1454</v>
      </c>
      <c r="AD394" s="26" t="s">
        <v>804</v>
      </c>
      <c r="AE394" s="190">
        <f ca="1">SUMIFS('Сбытовые расходы ГО'!AE$25:AE$63,'Сбытовые расходы ГО'!$F$25:$F$63,$F394,'Сбытовые расходы ГО'!$G$25:$G$63,"l1")</f>
        <v>0</v>
      </c>
      <c r="AF394" s="190">
        <f ca="1">SUMIFS('Сбытовые расходы ГО'!AF$25:AF$63,'Сбытовые расходы ГО'!$F$25:$F$63,$F394,'Сбытовые расходы ГО'!$G$25:$G$63,"l1")</f>
        <v>0</v>
      </c>
      <c r="AG394" s="190">
        <f ca="1">SUMIFS('Сбытовые расходы ГО'!AG$25:AG$63,'Сбытовые расходы ГО'!$F$25:$F$63,$F394,'Сбытовые расходы ГО'!$G$25:$G$63,"l1")</f>
        <v>0</v>
      </c>
      <c r="AH394" s="190">
        <f t="shared" ca="1" si="98"/>
        <v>0</v>
      </c>
      <c r="AI394" s="190">
        <f ca="1">SUMIFS('Сбытовые расходы ГО'!AH$25:AH$63,'Сбытовые расходы ГО'!$F$25:$F$63,$F394,'Сбытовые расходы ГО'!$G$25:$G$63,"l1")</f>
        <v>0</v>
      </c>
      <c r="AJ394" s="190">
        <f ca="1">SUMIFS('Сбытовые расходы ГО'!AI$25:AI$63,'Сбытовые расходы ГО'!$F$25:$F$63,$F394,'Сбытовые расходы ГО'!$G$25:$G$63,"l1")</f>
        <v>0</v>
      </c>
      <c r="AK394" s="787"/>
      <c r="AL394" s="787"/>
      <c r="AM394" s="787"/>
      <c r="AN394" s="787"/>
      <c r="AO394" s="787"/>
      <c r="AP394" s="787"/>
      <c r="AQ394" s="787"/>
      <c r="AR394" s="787"/>
      <c r="AS394" s="787"/>
      <c r="AT394" s="190">
        <f ca="1">SUMIFS('Сбытовые расходы ГО'!AJ$25:AJ$63,'Сбытовые расходы ГО'!$F$25:$F$63,$F394,'Сбытовые расходы ГО'!$G$25:$G$63,"l1")</f>
        <v>0</v>
      </c>
      <c r="AU394" s="787"/>
      <c r="AV394" s="787"/>
      <c r="AW394" s="787"/>
      <c r="AX394" s="787"/>
      <c r="AY394" s="787"/>
      <c r="AZ394" s="787"/>
      <c r="BA394" s="787"/>
      <c r="BB394" s="787"/>
      <c r="BC394" s="787"/>
      <c r="BD394" s="190">
        <f t="shared" ca="1" si="100"/>
        <v>0</v>
      </c>
      <c r="BE394" s="190">
        <f t="shared" ca="1" si="101"/>
        <v>0</v>
      </c>
      <c r="BF394" s="190">
        <f t="shared" si="102"/>
        <v>0</v>
      </c>
      <c r="BG394" s="190">
        <f t="shared" si="103"/>
        <v>0</v>
      </c>
      <c r="BH394" s="190">
        <f t="shared" si="104"/>
        <v>0</v>
      </c>
      <c r="BI394" s="190">
        <f t="shared" si="105"/>
        <v>0</v>
      </c>
      <c r="BJ394" s="190">
        <f t="shared" si="106"/>
        <v>0</v>
      </c>
      <c r="BK394" s="190">
        <f t="shared" si="107"/>
        <v>0</v>
      </c>
      <c r="BL394" s="190">
        <f t="shared" si="108"/>
        <v>0</v>
      </c>
      <c r="BM394" s="190">
        <f t="shared" si="109"/>
        <v>0</v>
      </c>
      <c r="BN394" s="215"/>
      <c r="BO394" s="610" t="str">
        <f ca="1">IF(IFERROR(INDEX('Сбытовые расходы ГО'!$K$26:$M$63,MATCH($F394&amp;"komm",'Сбытовые расходы ГО'!$K$26:$K$63,0),2),"")=0,"",IFERROR(INDEX('Сбытовые расходы ГО'!$K$26:$M$63,MATCH($F394&amp;"komm",'Сбытовые расходы ГО'!$K$26:$K$63,0),2),""))</f>
        <v/>
      </c>
      <c r="BP394" s="215"/>
      <c r="BS394" s="705" t="s">
        <v>2105</v>
      </c>
    </row>
    <row r="395" spans="2:75" ht="14.65" customHeight="1">
      <c r="C395" s="44"/>
      <c r="D395" s="44"/>
      <c r="E395" s="462">
        <v>15</v>
      </c>
      <c r="F395" s="3" t="str" cm="1">
        <f t="array" aca="1" ref="F395" ca="1">OFFSET(E395,-1,1)</f>
        <v>2</v>
      </c>
      <c r="G395" s="44" t="s">
        <v>1459</v>
      </c>
      <c r="H395" s="44"/>
      <c r="I395" s="44" t="s">
        <v>2106</v>
      </c>
      <c r="J395" s="44"/>
      <c r="K395" s="91" t="s">
        <v>2106</v>
      </c>
      <c r="L395" s="44"/>
      <c r="M395" s="44"/>
      <c r="N395" s="44"/>
      <c r="O395" s="44"/>
      <c r="P395" s="44"/>
      <c r="Q395" s="44"/>
      <c r="R395" s="44"/>
      <c r="S395" s="44"/>
      <c r="T395" s="365" t="b" cm="1">
        <f t="array" aca="1" ref="T395" ca="1">T394</f>
        <v>1</v>
      </c>
      <c r="U395" s="44"/>
      <c r="V395" s="44"/>
      <c r="W395" s="44"/>
      <c r="X395" s="1094"/>
      <c r="Z395" s="1065"/>
      <c r="AB395" s="26" t="s">
        <v>1517</v>
      </c>
      <c r="AC395" s="146" t="s">
        <v>1459</v>
      </c>
      <c r="AD395" s="26" t="s">
        <v>804</v>
      </c>
      <c r="AE395" s="147">
        <v>0</v>
      </c>
      <c r="AF395" s="147"/>
      <c r="AG395" s="147"/>
      <c r="AH395" s="190">
        <f t="shared" si="98"/>
        <v>0</v>
      </c>
      <c r="AI395" s="147">
        <v>0</v>
      </c>
      <c r="AJ395" s="147">
        <f ca="1">SUMIFS(Экономия_корр!AE$25:AE$51,Экономия_корр!$F$25:$F$51,$F395,Экономия_корр!$AC$25:$AC$51,"Экономия расходов с учетом ИПЦ")</f>
        <v>0</v>
      </c>
      <c r="AK395" s="787">
        <f ca="1">SUMIFS(Экономия_корр!AF$25:AF$51,Экономия_корр!$F$25:$F$51,$F395,Экономия_корр!$AC$25:$AC$51,"Экономия расходов с учетом ИПЦ")</f>
        <v>0</v>
      </c>
      <c r="AL395" s="787">
        <f ca="1">SUMIFS(Экономия_корр!AG$25:AG$51,Экономия_корр!$F$25:$F$51,$F395,Экономия_корр!$AC$25:$AC$51,"Экономия расходов с учетом ИПЦ")</f>
        <v>0</v>
      </c>
      <c r="AM395" s="787">
        <f ca="1">SUMIFS(Экономия_корр!AH$25:AH$51,Экономия_корр!$F$25:$F$51,$F395,Экономия_корр!$AC$25:$AC$51,"Экономия расходов с учетом ИПЦ")</f>
        <v>0</v>
      </c>
      <c r="AN395" s="787">
        <f ca="1">SUMIFS(Экономия_корр!AI$25:AI$51,Экономия_корр!$F$25:$F$51,$F395,Экономия_корр!$AC$25:$AC$51,"Экономия расходов с учетом ИПЦ")</f>
        <v>0</v>
      </c>
      <c r="AO395" s="787">
        <f ca="1">SUMIFS(Экономия_корр!AJ$25:AJ$51,Экономия_корр!$F$25:$F$51,$F395,Экономия_корр!$AC$25:$AC$51,"Экономия расходов с учетом ИПЦ")</f>
        <v>0</v>
      </c>
      <c r="AP395" s="787">
        <f ca="1">SUMIFS(Экономия_корр!AK$25:AK$51,Экономия_корр!$F$25:$F$51,$F395,Экономия_корр!$AC$25:$AC$51,"Экономия расходов с учетом ИПЦ")</f>
        <v>0</v>
      </c>
      <c r="AQ395" s="787">
        <f ca="1">SUMIFS(Экономия_корр!AL$25:AL$51,Экономия_корр!$F$25:$F$51,$F395,Экономия_корр!$AC$25:$AC$51,"Экономия расходов с учетом ИПЦ")</f>
        <v>0</v>
      </c>
      <c r="AR395" s="787">
        <f ca="1">SUMIFS(Экономия_корр!AM$25:AM$51,Экономия_корр!$F$25:$F$51,$F395,Экономия_корр!$AC$25:$AC$51,"Экономия расходов с учетом ИПЦ")</f>
        <v>0</v>
      </c>
      <c r="AS395" s="787">
        <f ca="1">SUMIFS(Экономия_корр!AN$25:AN$51,Экономия_корр!$F$25:$F$51,$F395,Экономия_корр!$AC$25:$AC$51,"Экономия расходов с учетом ИПЦ")</f>
        <v>0</v>
      </c>
      <c r="AT395" s="147">
        <f ca="1">SUMIFS(Экономия_корр!AO$25:AO$51,Экономия_корр!$F$25:$F$51,$F395,Экономия_корр!$AC$25:$AC$51,"Экономия расходов с учетом ИПЦ")</f>
        <v>0</v>
      </c>
      <c r="AU395" s="787">
        <f ca="1">SUMIFS(Экономия_корр!AP$25:AP$51,Экономия_корр!$F$25:$F$51,$F395,Экономия_корр!$AC$25:$AC$51,"Экономия расходов с учетом ИПЦ")</f>
        <v>0</v>
      </c>
      <c r="AV395" s="787">
        <f ca="1">SUMIFS(Экономия_корр!AQ$25:AQ$51,Экономия_корр!$F$25:$F$51,$F395,Экономия_корр!$AC$25:$AC$51,"Экономия расходов с учетом ИПЦ")</f>
        <v>0</v>
      </c>
      <c r="AW395" s="787">
        <f ca="1">SUMIFS(Экономия_корр!AR$25:AR$51,Экономия_корр!$F$25:$F$51,$F395,Экономия_корр!$AC$25:$AC$51,"Экономия расходов с учетом ИПЦ")</f>
        <v>0</v>
      </c>
      <c r="AX395" s="787">
        <f ca="1">SUMIFS(Экономия_корр!AS$25:AS$51,Экономия_корр!$F$25:$F$51,$F395,Экономия_корр!$AC$25:$AC$51,"Экономия расходов с учетом ИПЦ")</f>
        <v>0</v>
      </c>
      <c r="AY395" s="787">
        <f ca="1">SUMIFS(Экономия_корр!AT$25:AT$51,Экономия_корр!$F$25:$F$51,$F395,Экономия_корр!$AC$25:$AC$51,"Экономия расходов с учетом ИПЦ")</f>
        <v>0</v>
      </c>
      <c r="AZ395" s="787">
        <f ca="1">SUMIFS(Экономия_корр!AU$25:AU$51,Экономия_корр!$F$25:$F$51,$F395,Экономия_корр!$AC$25:$AC$51,"Экономия расходов с учетом ИПЦ")</f>
        <v>0</v>
      </c>
      <c r="BA395" s="787">
        <f ca="1">SUMIFS(Экономия_корр!AV$25:AV$51,Экономия_корр!$F$25:$F$51,$F395,Экономия_корр!$AC$25:$AC$51,"Экономия расходов с учетом ИПЦ")</f>
        <v>0</v>
      </c>
      <c r="BB395" s="787">
        <f ca="1">SUMIFS(Экономия_корр!AW$25:AW$51,Экономия_корр!$F$25:$F$51,$F395,Экономия_корр!$AC$25:$AC$51,"Экономия расходов с учетом ИПЦ")</f>
        <v>0</v>
      </c>
      <c r="BC395" s="787">
        <f ca="1">SUMIFS(Экономия_корр!AX$25:AX$51,Экономия_корр!$F$25:$F$51,$F395,Экономия_корр!$AC$25:$AC$51,"Экономия расходов с учетом ИПЦ")</f>
        <v>0</v>
      </c>
      <c r="BD395" s="190">
        <f t="shared" si="100"/>
        <v>0</v>
      </c>
      <c r="BE395" s="190">
        <f t="shared" ca="1" si="101"/>
        <v>0</v>
      </c>
      <c r="BF395" s="190">
        <f t="shared" ca="1" si="102"/>
        <v>0</v>
      </c>
      <c r="BG395" s="190">
        <f t="shared" ca="1" si="103"/>
        <v>0</v>
      </c>
      <c r="BH395" s="190">
        <f t="shared" ca="1" si="104"/>
        <v>0</v>
      </c>
      <c r="BI395" s="190">
        <f t="shared" ca="1" si="105"/>
        <v>0</v>
      </c>
      <c r="BJ395" s="190">
        <f t="shared" ca="1" si="106"/>
        <v>0</v>
      </c>
      <c r="BK395" s="190">
        <f t="shared" ca="1" si="107"/>
        <v>0</v>
      </c>
      <c r="BL395" s="190">
        <f t="shared" ca="1" si="108"/>
        <v>0</v>
      </c>
      <c r="BM395" s="190">
        <f t="shared" ca="1" si="109"/>
        <v>0</v>
      </c>
      <c r="BN395" s="215"/>
      <c r="BO395" s="215"/>
      <c r="BP395" s="215"/>
      <c r="BS395" s="705" t="s">
        <v>2107</v>
      </c>
    </row>
    <row r="396" spans="2:75" ht="14.25" customHeight="1">
      <c r="C396" s="44"/>
      <c r="D396" s="44"/>
      <c r="E396" s="462">
        <v>15</v>
      </c>
      <c r="F396" s="3" t="str" cm="1">
        <f t="array" aca="1" ref="F396" ca="1">OFFSET(E396,-1,1)</f>
        <v>2</v>
      </c>
      <c r="G396" s="44" t="s">
        <v>1464</v>
      </c>
      <c r="H396" s="44"/>
      <c r="I396" s="44" t="s">
        <v>2108</v>
      </c>
      <c r="J396" s="44"/>
      <c r="K396" s="91" t="s">
        <v>2108</v>
      </c>
      <c r="L396" s="44"/>
      <c r="M396" s="44"/>
      <c r="N396" s="44"/>
      <c r="O396" s="44"/>
      <c r="P396" s="44"/>
      <c r="Q396" s="44"/>
      <c r="R396" s="44"/>
      <c r="S396" s="44"/>
      <c r="T396" s="365" t="b" cm="1">
        <f t="array" aca="1" ref="T396" ca="1">T395</f>
        <v>1</v>
      </c>
      <c r="U396" s="44"/>
      <c r="V396" s="44"/>
      <c r="W396" s="44"/>
      <c r="X396" s="1094"/>
      <c r="Z396" s="1065"/>
      <c r="AB396" s="26" t="s">
        <v>2109</v>
      </c>
      <c r="AC396" s="146" t="s">
        <v>1464</v>
      </c>
      <c r="AD396" s="26" t="s">
        <v>804</v>
      </c>
      <c r="AE396" s="147"/>
      <c r="AF396" s="147"/>
      <c r="AG396" s="147"/>
      <c r="AH396" s="190">
        <f t="shared" si="98"/>
        <v>0</v>
      </c>
      <c r="AI396" s="147"/>
      <c r="AJ396" s="147"/>
      <c r="AK396" s="787"/>
      <c r="AL396" s="787"/>
      <c r="AM396" s="787"/>
      <c r="AN396" s="787"/>
      <c r="AO396" s="787"/>
      <c r="AP396" s="787"/>
      <c r="AQ396" s="787"/>
      <c r="AR396" s="787"/>
      <c r="AS396" s="787"/>
      <c r="AT396" s="147"/>
      <c r="AU396" s="787"/>
      <c r="AV396" s="787"/>
      <c r="AW396" s="787"/>
      <c r="AX396" s="787"/>
      <c r="AY396" s="787"/>
      <c r="AZ396" s="787"/>
      <c r="BA396" s="787"/>
      <c r="BB396" s="787"/>
      <c r="BC396" s="787"/>
      <c r="BD396" s="190">
        <f t="shared" si="100"/>
        <v>0</v>
      </c>
      <c r="BE396" s="190">
        <f t="shared" si="101"/>
        <v>0</v>
      </c>
      <c r="BF396" s="190">
        <f t="shared" si="102"/>
        <v>0</v>
      </c>
      <c r="BG396" s="190">
        <f t="shared" si="103"/>
        <v>0</v>
      </c>
      <c r="BH396" s="190">
        <f t="shared" si="104"/>
        <v>0</v>
      </c>
      <c r="BI396" s="190">
        <f t="shared" si="105"/>
        <v>0</v>
      </c>
      <c r="BJ396" s="190">
        <f t="shared" si="106"/>
        <v>0</v>
      </c>
      <c r="BK396" s="190">
        <f t="shared" si="107"/>
        <v>0</v>
      </c>
      <c r="BL396" s="190">
        <f t="shared" si="108"/>
        <v>0</v>
      </c>
      <c r="BM396" s="190">
        <f t="shared" si="109"/>
        <v>0</v>
      </c>
      <c r="BN396" s="215"/>
      <c r="BO396" s="215"/>
      <c r="BP396" s="215"/>
      <c r="BS396" s="705" t="s">
        <v>1838</v>
      </c>
    </row>
    <row r="397" spans="2:75" ht="14.65" customHeight="1">
      <c r="C397" s="44"/>
      <c r="D397" s="44"/>
      <c r="E397" s="462">
        <v>15</v>
      </c>
      <c r="F397" s="3" t="str" cm="1">
        <f t="array" aca="1" ref="F397" ca="1">OFFSET(E397,-1,1)</f>
        <v>2</v>
      </c>
      <c r="G397" s="44" t="s">
        <v>1469</v>
      </c>
      <c r="H397" s="44"/>
      <c r="I397" s="44" t="s">
        <v>2110</v>
      </c>
      <c r="J397" s="44"/>
      <c r="K397" s="91" t="s">
        <v>2110</v>
      </c>
      <c r="L397" s="44"/>
      <c r="M397" s="44"/>
      <c r="N397" s="44"/>
      <c r="O397" s="44"/>
      <c r="P397" s="44"/>
      <c r="Q397" s="44"/>
      <c r="R397" s="44"/>
      <c r="S397" s="44"/>
      <c r="T397" s="365" t="b" cm="1">
        <f t="array" aca="1" ref="T397" ca="1">T396</f>
        <v>1</v>
      </c>
      <c r="U397" s="44"/>
      <c r="V397" s="44"/>
      <c r="W397" s="44"/>
      <c r="X397" s="1094"/>
      <c r="Z397" s="1065"/>
      <c r="AB397" s="26" t="s">
        <v>1536</v>
      </c>
      <c r="AC397" s="146" t="s">
        <v>1469</v>
      </c>
      <c r="AD397" s="26" t="s">
        <v>804</v>
      </c>
      <c r="AE397" s="147"/>
      <c r="AF397" s="147"/>
      <c r="AG397" s="147"/>
      <c r="AH397" s="190">
        <f t="shared" si="98"/>
        <v>0</v>
      </c>
      <c r="AI397" s="147">
        <v>735.19360337119997</v>
      </c>
      <c r="AJ397" s="147"/>
      <c r="AK397" s="787"/>
      <c r="AL397" s="787"/>
      <c r="AM397" s="787"/>
      <c r="AN397" s="787"/>
      <c r="AO397" s="787"/>
      <c r="AP397" s="787"/>
      <c r="AQ397" s="787"/>
      <c r="AR397" s="787"/>
      <c r="AS397" s="787"/>
      <c r="AT397" s="147"/>
      <c r="AU397" s="787"/>
      <c r="AV397" s="787"/>
      <c r="AW397" s="787"/>
      <c r="AX397" s="787"/>
      <c r="AY397" s="787"/>
      <c r="AZ397" s="787"/>
      <c r="BA397" s="787"/>
      <c r="BB397" s="787"/>
      <c r="BC397" s="787"/>
      <c r="BD397" s="190">
        <f t="shared" si="100"/>
        <v>-100</v>
      </c>
      <c r="BE397" s="190">
        <f t="shared" si="101"/>
        <v>0</v>
      </c>
      <c r="BF397" s="190">
        <f t="shared" si="102"/>
        <v>0</v>
      </c>
      <c r="BG397" s="190">
        <f t="shared" si="103"/>
        <v>0</v>
      </c>
      <c r="BH397" s="190">
        <f t="shared" si="104"/>
        <v>0</v>
      </c>
      <c r="BI397" s="190">
        <f t="shared" si="105"/>
        <v>0</v>
      </c>
      <c r="BJ397" s="190">
        <f t="shared" si="106"/>
        <v>0</v>
      </c>
      <c r="BK397" s="190">
        <f t="shared" si="107"/>
        <v>0</v>
      </c>
      <c r="BL397" s="190">
        <f t="shared" si="108"/>
        <v>0</v>
      </c>
      <c r="BM397" s="190">
        <f t="shared" si="109"/>
        <v>0</v>
      </c>
      <c r="BN397" s="215"/>
      <c r="BO397" s="215"/>
      <c r="BP397" s="215"/>
      <c r="BS397" s="705" t="s">
        <v>2111</v>
      </c>
    </row>
    <row r="398" spans="2:75" ht="14.25" customHeight="1">
      <c r="C398" s="44"/>
      <c r="D398" s="44"/>
      <c r="E398" s="462">
        <v>15</v>
      </c>
      <c r="F398" s="3" t="str" cm="1">
        <f t="array" aca="1" ref="F398" ca="1">OFFSET(E398,-1,1)</f>
        <v>2</v>
      </c>
      <c r="G398" s="44" t="s">
        <v>1474</v>
      </c>
      <c r="H398" s="44"/>
      <c r="I398" s="44" t="s">
        <v>2112</v>
      </c>
      <c r="J398" s="44"/>
      <c r="K398" s="91" t="s">
        <v>2112</v>
      </c>
      <c r="L398" s="44"/>
      <c r="M398" s="44"/>
      <c r="N398" s="44"/>
      <c r="O398" s="44"/>
      <c r="P398" s="44"/>
      <c r="Q398" s="44"/>
      <c r="R398" s="44"/>
      <c r="S398" s="44"/>
      <c r="T398" s="365" t="b" cm="1">
        <f t="array" aca="1" ref="T398" ca="1">T397</f>
        <v>1</v>
      </c>
      <c r="U398" s="44"/>
      <c r="V398" s="44"/>
      <c r="W398" s="44"/>
      <c r="X398" s="1094"/>
      <c r="Z398" s="1065"/>
      <c r="AB398" s="26" t="s">
        <v>1540</v>
      </c>
      <c r="AC398" s="146" t="s">
        <v>1474</v>
      </c>
      <c r="AD398" s="26" t="s">
        <v>804</v>
      </c>
      <c r="AE398" s="190">
        <f>SUM(AE399,AE400)</f>
        <v>0</v>
      </c>
      <c r="AF398" s="190">
        <f>SUM(AF399,AF400)</f>
        <v>0</v>
      </c>
      <c r="AG398" s="190">
        <f>SUM(AG399,AG400)</f>
        <v>0</v>
      </c>
      <c r="AH398" s="190">
        <f t="shared" si="98"/>
        <v>0</v>
      </c>
      <c r="AI398" s="190">
        <f t="shared" ref="AI398:BC398" si="112">SUM(AI399,AI400)</f>
        <v>0</v>
      </c>
      <c r="AJ398" s="190">
        <f t="shared" si="112"/>
        <v>0</v>
      </c>
      <c r="AK398" s="190">
        <f t="shared" si="112"/>
        <v>0</v>
      </c>
      <c r="AL398" s="190">
        <f t="shared" si="112"/>
        <v>0</v>
      </c>
      <c r="AM398" s="190">
        <f t="shared" si="112"/>
        <v>0</v>
      </c>
      <c r="AN398" s="190">
        <f t="shared" si="112"/>
        <v>0</v>
      </c>
      <c r="AO398" s="190">
        <f t="shared" si="112"/>
        <v>0</v>
      </c>
      <c r="AP398" s="190">
        <f t="shared" si="112"/>
        <v>0</v>
      </c>
      <c r="AQ398" s="190">
        <f t="shared" si="112"/>
        <v>0</v>
      </c>
      <c r="AR398" s="190">
        <f t="shared" si="112"/>
        <v>0</v>
      </c>
      <c r="AS398" s="190">
        <f t="shared" si="112"/>
        <v>0</v>
      </c>
      <c r="AT398" s="190">
        <f t="shared" si="112"/>
        <v>0</v>
      </c>
      <c r="AU398" s="190">
        <f t="shared" si="112"/>
        <v>0</v>
      </c>
      <c r="AV398" s="190">
        <f t="shared" si="112"/>
        <v>0</v>
      </c>
      <c r="AW398" s="190">
        <f t="shared" si="112"/>
        <v>0</v>
      </c>
      <c r="AX398" s="190">
        <f t="shared" si="112"/>
        <v>0</v>
      </c>
      <c r="AY398" s="190">
        <f t="shared" si="112"/>
        <v>0</v>
      </c>
      <c r="AZ398" s="190">
        <f t="shared" si="112"/>
        <v>0</v>
      </c>
      <c r="BA398" s="190">
        <f t="shared" si="112"/>
        <v>0</v>
      </c>
      <c r="BB398" s="190">
        <f t="shared" si="112"/>
        <v>0</v>
      </c>
      <c r="BC398" s="190">
        <f t="shared" si="112"/>
        <v>0</v>
      </c>
      <c r="BD398" s="190">
        <f t="shared" si="100"/>
        <v>0</v>
      </c>
      <c r="BE398" s="190">
        <f t="shared" si="101"/>
        <v>0</v>
      </c>
      <c r="BF398" s="190">
        <f t="shared" si="102"/>
        <v>0</v>
      </c>
      <c r="BG398" s="190">
        <f t="shared" si="103"/>
        <v>0</v>
      </c>
      <c r="BH398" s="190">
        <f t="shared" si="104"/>
        <v>0</v>
      </c>
      <c r="BI398" s="190">
        <f t="shared" si="105"/>
        <v>0</v>
      </c>
      <c r="BJ398" s="190">
        <f t="shared" si="106"/>
        <v>0</v>
      </c>
      <c r="BK398" s="190">
        <f t="shared" si="107"/>
        <v>0</v>
      </c>
      <c r="BL398" s="190">
        <f t="shared" si="108"/>
        <v>0</v>
      </c>
      <c r="BM398" s="190">
        <f t="shared" si="109"/>
        <v>0</v>
      </c>
      <c r="BN398" s="215"/>
      <c r="BO398" s="215"/>
      <c r="BP398" s="215"/>
      <c r="BS398" s="705" t="s">
        <v>2113</v>
      </c>
    </row>
    <row r="399" spans="2:75" ht="14.25" customHeight="1">
      <c r="C399" s="44"/>
      <c r="D399" s="44"/>
      <c r="E399" s="462">
        <v>15</v>
      </c>
      <c r="F399" s="3" t="str" cm="1">
        <f t="array" aca="1" ref="F399" ca="1">OFFSET(E399,-1,1)</f>
        <v>2</v>
      </c>
      <c r="G399" s="44"/>
      <c r="H399" s="44"/>
      <c r="I399" s="44" t="s">
        <v>2114</v>
      </c>
      <c r="J399" s="44"/>
      <c r="K399" s="91" t="s">
        <v>2114</v>
      </c>
      <c r="L399" s="44"/>
      <c r="M399" s="44"/>
      <c r="N399" s="44"/>
      <c r="O399" s="44"/>
      <c r="P399" s="44"/>
      <c r="Q399" s="44"/>
      <c r="R399" s="44"/>
      <c r="S399" s="44"/>
      <c r="T399" s="365" t="b" cm="1">
        <f t="array" aca="1" ref="T399" ca="1">T398</f>
        <v>1</v>
      </c>
      <c r="U399" s="44"/>
      <c r="V399" s="44"/>
      <c r="W399" s="44"/>
      <c r="X399" s="1094"/>
      <c r="Z399" s="1065"/>
      <c r="AB399" s="26" t="s">
        <v>2115</v>
      </c>
      <c r="AC399" s="153" t="s">
        <v>2116</v>
      </c>
      <c r="AD399" s="26" t="s">
        <v>804</v>
      </c>
      <c r="AE399" s="147"/>
      <c r="AF399" s="147"/>
      <c r="AG399" s="147"/>
      <c r="AH399" s="190">
        <f t="shared" si="98"/>
        <v>0</v>
      </c>
      <c r="AI399" s="147"/>
      <c r="AJ399" s="147"/>
      <c r="AK399" s="787"/>
      <c r="AL399" s="787"/>
      <c r="AM399" s="787"/>
      <c r="AN399" s="787"/>
      <c r="AO399" s="787"/>
      <c r="AP399" s="787"/>
      <c r="AQ399" s="787"/>
      <c r="AR399" s="787"/>
      <c r="AS399" s="787"/>
      <c r="AT399" s="147"/>
      <c r="AU399" s="787"/>
      <c r="AV399" s="787"/>
      <c r="AW399" s="787"/>
      <c r="AX399" s="787"/>
      <c r="AY399" s="787"/>
      <c r="AZ399" s="787"/>
      <c r="BA399" s="787"/>
      <c r="BB399" s="787"/>
      <c r="BC399" s="787"/>
      <c r="BD399" s="190">
        <f t="shared" si="100"/>
        <v>0</v>
      </c>
      <c r="BE399" s="190">
        <f t="shared" si="101"/>
        <v>0</v>
      </c>
      <c r="BF399" s="190">
        <f t="shared" si="102"/>
        <v>0</v>
      </c>
      <c r="BG399" s="190">
        <f t="shared" si="103"/>
        <v>0</v>
      </c>
      <c r="BH399" s="190">
        <f t="shared" si="104"/>
        <v>0</v>
      </c>
      <c r="BI399" s="190">
        <f t="shared" si="105"/>
        <v>0</v>
      </c>
      <c r="BJ399" s="190">
        <f t="shared" si="106"/>
        <v>0</v>
      </c>
      <c r="BK399" s="190">
        <f t="shared" si="107"/>
        <v>0</v>
      </c>
      <c r="BL399" s="190">
        <f t="shared" si="108"/>
        <v>0</v>
      </c>
      <c r="BM399" s="190">
        <f t="shared" si="109"/>
        <v>0</v>
      </c>
      <c r="BN399" s="215"/>
      <c r="BO399" s="215"/>
      <c r="BP399" s="215"/>
      <c r="BS399" s="705" t="s">
        <v>1262</v>
      </c>
    </row>
    <row r="400" spans="2:75" ht="14.25" customHeight="1">
      <c r="C400" s="44"/>
      <c r="D400" s="44"/>
      <c r="E400" s="462">
        <v>15</v>
      </c>
      <c r="F400" s="3" t="str" cm="1">
        <f t="array" aca="1" ref="F400" ca="1">OFFSET(E400,-1,1)</f>
        <v>2</v>
      </c>
      <c r="G400" s="44"/>
      <c r="H400" s="44"/>
      <c r="I400" s="44" t="s">
        <v>2117</v>
      </c>
      <c r="J400" s="44"/>
      <c r="K400" s="91" t="s">
        <v>2117</v>
      </c>
      <c r="L400" s="44" t="s">
        <v>909</v>
      </c>
      <c r="M400" s="44"/>
      <c r="N400" s="44"/>
      <c r="O400" s="44"/>
      <c r="P400" s="44"/>
      <c r="Q400" s="44"/>
      <c r="R400" s="44"/>
      <c r="S400" s="44"/>
      <c r="T400" s="365" t="b" cm="1">
        <f t="array" aca="1" ref="T400" ca="1">T399</f>
        <v>1</v>
      </c>
      <c r="U400" s="44"/>
      <c r="V400" s="44"/>
      <c r="W400" s="44"/>
      <c r="X400" s="1094"/>
      <c r="Z400" s="1065"/>
      <c r="AB400" s="26" t="s">
        <v>2118</v>
      </c>
      <c r="AC400" s="153" t="s">
        <v>2119</v>
      </c>
      <c r="AD400" s="26" t="s">
        <v>804</v>
      </c>
      <c r="AE400" s="147"/>
      <c r="AF400" s="147"/>
      <c r="AG400" s="147"/>
      <c r="AH400" s="190">
        <f t="shared" si="98"/>
        <v>0</v>
      </c>
      <c r="AI400" s="147"/>
      <c r="AJ400" s="147"/>
      <c r="AK400" s="787"/>
      <c r="AL400" s="787"/>
      <c r="AM400" s="787"/>
      <c r="AN400" s="787"/>
      <c r="AO400" s="787"/>
      <c r="AP400" s="787"/>
      <c r="AQ400" s="787"/>
      <c r="AR400" s="787"/>
      <c r="AS400" s="787"/>
      <c r="AT400" s="147"/>
      <c r="AU400" s="787"/>
      <c r="AV400" s="787"/>
      <c r="AW400" s="787"/>
      <c r="AX400" s="787"/>
      <c r="AY400" s="787"/>
      <c r="AZ400" s="787"/>
      <c r="BA400" s="787"/>
      <c r="BB400" s="787"/>
      <c r="BC400" s="787"/>
      <c r="BD400" s="190">
        <f t="shared" si="100"/>
        <v>0</v>
      </c>
      <c r="BE400" s="190">
        <f t="shared" si="101"/>
        <v>0</v>
      </c>
      <c r="BF400" s="190">
        <f t="shared" si="102"/>
        <v>0</v>
      </c>
      <c r="BG400" s="190">
        <f t="shared" si="103"/>
        <v>0</v>
      </c>
      <c r="BH400" s="190">
        <f t="shared" si="104"/>
        <v>0</v>
      </c>
      <c r="BI400" s="190">
        <f t="shared" si="105"/>
        <v>0</v>
      </c>
      <c r="BJ400" s="190">
        <f t="shared" si="106"/>
        <v>0</v>
      </c>
      <c r="BK400" s="190">
        <f t="shared" si="107"/>
        <v>0</v>
      </c>
      <c r="BL400" s="190">
        <f t="shared" si="108"/>
        <v>0</v>
      </c>
      <c r="BM400" s="190">
        <f t="shared" si="109"/>
        <v>0</v>
      </c>
      <c r="BN400" s="215"/>
      <c r="BO400" s="215"/>
      <c r="BP400" s="215"/>
      <c r="BS400" s="705" t="s">
        <v>2120</v>
      </c>
    </row>
    <row r="401" spans="1:75" ht="21.75" customHeight="1">
      <c r="C401" s="44"/>
      <c r="D401" s="44"/>
      <c r="E401" s="462">
        <v>22.5</v>
      </c>
      <c r="F401" s="3" t="str" cm="1">
        <f t="array" aca="1" ref="F401" ca="1">OFFSET(E401,-1,1)</f>
        <v>2</v>
      </c>
      <c r="G401" s="44" t="s">
        <v>1479</v>
      </c>
      <c r="H401" s="44"/>
      <c r="I401" s="44" t="s">
        <v>2121</v>
      </c>
      <c r="J401" s="44"/>
      <c r="K401" s="91" t="s">
        <v>2121</v>
      </c>
      <c r="L401" s="44"/>
      <c r="M401" s="44"/>
      <c r="N401" s="44"/>
      <c r="O401" s="44"/>
      <c r="P401" s="44"/>
      <c r="Q401" s="44"/>
      <c r="R401" s="44"/>
      <c r="S401" s="44"/>
      <c r="T401" s="365" t="b" cm="1">
        <f t="array" aca="1" ref="T401" ca="1">T400</f>
        <v>1</v>
      </c>
      <c r="U401" s="44"/>
      <c r="V401" s="44"/>
      <c r="W401" s="44"/>
      <c r="X401" s="1094"/>
      <c r="Z401" s="1065"/>
      <c r="AB401" s="26" t="s">
        <v>1543</v>
      </c>
      <c r="AC401" s="146" t="s">
        <v>2122</v>
      </c>
      <c r="AD401" s="26" t="s">
        <v>804</v>
      </c>
      <c r="AE401" s="147"/>
      <c r="AF401" s="147"/>
      <c r="AG401" s="147"/>
      <c r="AH401" s="190">
        <f t="shared" si="98"/>
        <v>0</v>
      </c>
      <c r="AI401" s="147"/>
      <c r="AJ401" s="147"/>
      <c r="AK401" s="787"/>
      <c r="AL401" s="787"/>
      <c r="AM401" s="787"/>
      <c r="AN401" s="787"/>
      <c r="AO401" s="787"/>
      <c r="AP401" s="787"/>
      <c r="AQ401" s="787"/>
      <c r="AR401" s="787"/>
      <c r="AS401" s="787"/>
      <c r="AT401" s="147"/>
      <c r="AU401" s="787"/>
      <c r="AV401" s="787"/>
      <c r="AW401" s="787"/>
      <c r="AX401" s="787"/>
      <c r="AY401" s="787"/>
      <c r="AZ401" s="787"/>
      <c r="BA401" s="787"/>
      <c r="BB401" s="787"/>
      <c r="BC401" s="787"/>
      <c r="BD401" s="190">
        <f t="shared" si="100"/>
        <v>0</v>
      </c>
      <c r="BE401" s="190">
        <f t="shared" si="101"/>
        <v>0</v>
      </c>
      <c r="BF401" s="190">
        <f t="shared" si="102"/>
        <v>0</v>
      </c>
      <c r="BG401" s="190">
        <f t="shared" si="103"/>
        <v>0</v>
      </c>
      <c r="BH401" s="190">
        <f t="shared" si="104"/>
        <v>0</v>
      </c>
      <c r="BI401" s="190">
        <f t="shared" si="105"/>
        <v>0</v>
      </c>
      <c r="BJ401" s="190">
        <f t="shared" si="106"/>
        <v>0</v>
      </c>
      <c r="BK401" s="190">
        <f t="shared" si="107"/>
        <v>0</v>
      </c>
      <c r="BL401" s="190">
        <f t="shared" si="108"/>
        <v>0</v>
      </c>
      <c r="BM401" s="190">
        <f t="shared" si="109"/>
        <v>0</v>
      </c>
      <c r="BN401" s="215"/>
      <c r="BO401" s="215"/>
      <c r="BP401" s="215"/>
      <c r="BS401" s="705" t="s">
        <v>2123</v>
      </c>
    </row>
    <row r="402" spans="1:75" s="950" customFormat="1" ht="96.75" customHeight="1">
      <c r="A402" s="95"/>
      <c r="B402" s="344"/>
      <c r="C402" s="46"/>
      <c r="D402" s="46"/>
      <c r="E402" s="569">
        <v>21</v>
      </c>
      <c r="F402" s="3" t="str" cm="1">
        <f t="array" aca="1" ref="F402" ca="1">OFFSET(E402,-1,1)</f>
        <v>2</v>
      </c>
      <c r="G402" s="44" t="s">
        <v>2124</v>
      </c>
      <c r="H402" s="44"/>
      <c r="I402" s="44" t="s">
        <v>329</v>
      </c>
      <c r="J402" s="46"/>
      <c r="K402" s="91" t="s">
        <v>329</v>
      </c>
      <c r="L402" s="46" t="s">
        <v>1336</v>
      </c>
      <c r="M402" s="46"/>
      <c r="N402" s="46"/>
      <c r="O402" s="46"/>
      <c r="P402" s="46"/>
      <c r="Q402" s="46"/>
      <c r="R402" s="46"/>
      <c r="S402" s="46"/>
      <c r="T402" s="365" t="b" cm="1">
        <f t="array" aca="1" ref="T402" ca="1">T401</f>
        <v>1</v>
      </c>
      <c r="U402" s="46"/>
      <c r="V402" s="46"/>
      <c r="W402" s="46"/>
      <c r="X402" s="1094"/>
      <c r="Y402" s="95"/>
      <c r="Z402" s="1065"/>
      <c r="AA402" s="95"/>
      <c r="AB402" s="143" t="s">
        <v>325</v>
      </c>
      <c r="AC402" s="144" t="s">
        <v>2125</v>
      </c>
      <c r="AD402" s="143" t="s">
        <v>804</v>
      </c>
      <c r="AE402" s="145">
        <f ca="1">SUMIFS(ЭЭ!AE$25:AE$109,ЭЭ!$F$25:$F$109,$F402,ЭЭ!$AC$25:$AC$109,"Всего по тарифу")</f>
        <v>3604.1134688361999</v>
      </c>
      <c r="AF402" s="145">
        <f ca="1">SUMIFS(ЭЭ!AF$25:AF$109,ЭЭ!$F$25:$F$109,$F402,ЭЭ!$AC$25:$AC$109,"Всего по тарифу")</f>
        <v>3180.1200000000003</v>
      </c>
      <c r="AG402" s="145">
        <f ca="1">SUMIFS(ЭЭ!AG$25:AG$109,ЭЭ!$F$25:$F$109,$F402,ЭЭ!$AC$25:$AC$109,"Всего по тарифу")</f>
        <v>3180.1200000000003</v>
      </c>
      <c r="AH402" s="145">
        <f t="shared" ca="1" si="98"/>
        <v>0</v>
      </c>
      <c r="AI402" s="145">
        <f ca="1">SUMIFS(ЭЭ!AH$25:AH$109,ЭЭ!$F$25:$F$109,$F402,ЭЭ!$AC$25:$AC$109,"Всего по тарифу")</f>
        <v>3797.2434786017998</v>
      </c>
      <c r="AJ402" s="145">
        <f ca="1">SUMIFS(ЭЭ!AI$25:AI$109,ЭЭ!$F$25:$F$109,$F402,ЭЭ!$AC$25:$AC$109,"Всего по тарифу")</f>
        <v>4189.45</v>
      </c>
      <c r="AK402" s="145">
        <f ca="1">SUMIFS(ЭЭ!AJ$25:AJ$109,ЭЭ!$F$25:$F$109,$F402,ЭЭ!$AC$25:$AC$109,"Всего по тарифу")</f>
        <v>0</v>
      </c>
      <c r="AL402" s="145">
        <f ca="1">SUMIFS(ЭЭ!AK$25:AK$109,ЭЭ!$F$25:$F$109,$F402,ЭЭ!$AC$25:$AC$109,"Всего по тарифу")</f>
        <v>0</v>
      </c>
      <c r="AM402" s="145">
        <f ca="1">SUMIFS(ЭЭ!AL$25:AL$109,ЭЭ!$F$25:$F$109,$F402,ЭЭ!$AC$25:$AC$109,"Всего по тарифу")</f>
        <v>0</v>
      </c>
      <c r="AN402" s="145">
        <f ca="1">SUMIFS(ЭЭ!AM$25:AM$109,ЭЭ!$F$25:$F$109,$F402,ЭЭ!$AC$25:$AC$109,"Всего по тарифу")</f>
        <v>0</v>
      </c>
      <c r="AO402" s="145">
        <f ca="1">SUMIFS(ЭЭ!AN$25:AN$109,ЭЭ!$F$25:$F$109,$F402,ЭЭ!$AC$25:$AC$109,"Всего по тарифу")</f>
        <v>0</v>
      </c>
      <c r="AP402" s="145">
        <f ca="1">SUMIFS(ЭЭ!AO$25:AO$109,ЭЭ!$F$25:$F$109,$F402,ЭЭ!$AC$25:$AC$109,"Всего по тарифу")</f>
        <v>0</v>
      </c>
      <c r="AQ402" s="145">
        <f ca="1">SUMIFS(ЭЭ!AP$25:AP$109,ЭЭ!$F$25:$F$109,$F402,ЭЭ!$AC$25:$AC$109,"Всего по тарифу")</f>
        <v>0</v>
      </c>
      <c r="AR402" s="145">
        <f ca="1">SUMIFS(ЭЭ!AQ$25:AQ$109,ЭЭ!$F$25:$F$109,$F402,ЭЭ!$AC$25:$AC$109,"Всего по тарифу")</f>
        <v>0</v>
      </c>
      <c r="AS402" s="145">
        <f ca="1">SUMIFS(ЭЭ!AR$25:AR$109,ЭЭ!$F$25:$F$109,$F402,ЭЭ!$AC$25:$AC$109,"Всего по тарифу")</f>
        <v>0</v>
      </c>
      <c r="AT402" s="145">
        <f ca="1">SUMIFS(ЭЭ!AS$25:AS$109,ЭЭ!$F$25:$F$109,$F402,ЭЭ!$AC$25:$AC$109,"Всего по тарифу")</f>
        <v>4687.99</v>
      </c>
      <c r="AU402" s="145">
        <f ca="1">SUMIFS(ЭЭ!AT$25:AT$109,ЭЭ!$F$25:$F$109,$F402,ЭЭ!$AC$25:$AC$109,"Всего по тарифу")</f>
        <v>0</v>
      </c>
      <c r="AV402" s="145">
        <f ca="1">SUMIFS(ЭЭ!AU$25:AU$109,ЭЭ!$F$25:$F$109,$F402,ЭЭ!$AC$25:$AC$109,"Всего по тарифу")</f>
        <v>0</v>
      </c>
      <c r="AW402" s="145">
        <f ca="1">SUMIFS(ЭЭ!AV$25:AV$109,ЭЭ!$F$25:$F$109,$F402,ЭЭ!$AC$25:$AC$109,"Всего по тарифу")</f>
        <v>0</v>
      </c>
      <c r="AX402" s="145">
        <f ca="1">SUMIFS(ЭЭ!AW$25:AW$109,ЭЭ!$F$25:$F$109,$F402,ЭЭ!$AC$25:$AC$109,"Всего по тарифу")</f>
        <v>0</v>
      </c>
      <c r="AY402" s="145">
        <f ca="1">SUMIFS(ЭЭ!AX$25:AX$109,ЭЭ!$F$25:$F$109,$F402,ЭЭ!$AC$25:$AC$109,"Всего по тарифу")</f>
        <v>0</v>
      </c>
      <c r="AZ402" s="145">
        <f ca="1">SUMIFS(ЭЭ!AY$25:AY$109,ЭЭ!$F$25:$F$109,$F402,ЭЭ!$AC$25:$AC$109,"Всего по тарифу")</f>
        <v>0</v>
      </c>
      <c r="BA402" s="145">
        <f ca="1">SUMIFS(ЭЭ!AZ$25:AZ$109,ЭЭ!$F$25:$F$109,$F402,ЭЭ!$AC$25:$AC$109,"Всего по тарифу")</f>
        <v>0</v>
      </c>
      <c r="BB402" s="145">
        <f ca="1">SUMIFS(ЭЭ!BA$25:BA$109,ЭЭ!$F$25:$F$109,$F402,ЭЭ!$AC$25:$AC$109,"Всего по тарифу")</f>
        <v>0</v>
      </c>
      <c r="BC402" s="145">
        <f ca="1">SUMIFS(ЭЭ!BB$25:BB$109,ЭЭ!$F$25:$F$109,$F402,ЭЭ!$AC$25:$AC$109,"Всего по тарифу")</f>
        <v>0</v>
      </c>
      <c r="BD402" s="145">
        <f t="shared" ca="1" si="100"/>
        <v>23.457714166018814</v>
      </c>
      <c r="BE402" s="145">
        <f t="shared" ca="1" si="101"/>
        <v>-100</v>
      </c>
      <c r="BF402" s="145">
        <f t="shared" ca="1" si="102"/>
        <v>0</v>
      </c>
      <c r="BG402" s="145">
        <f t="shared" ca="1" si="103"/>
        <v>0</v>
      </c>
      <c r="BH402" s="145">
        <f t="shared" ca="1" si="104"/>
        <v>0</v>
      </c>
      <c r="BI402" s="145">
        <f t="shared" ca="1" si="105"/>
        <v>0</v>
      </c>
      <c r="BJ402" s="145">
        <f t="shared" ca="1" si="106"/>
        <v>0</v>
      </c>
      <c r="BK402" s="145">
        <f t="shared" ca="1" si="107"/>
        <v>0</v>
      </c>
      <c r="BL402" s="145">
        <f t="shared" ca="1" si="108"/>
        <v>0</v>
      </c>
      <c r="BM402" s="145">
        <f t="shared" ca="1" si="109"/>
        <v>0</v>
      </c>
      <c r="BN402" s="215"/>
      <c r="BO402" s="610" t="s">
        <v>2210</v>
      </c>
      <c r="BP402" s="215" t="s">
        <v>2211</v>
      </c>
      <c r="BQ402" s="95"/>
      <c r="BR402" s="95"/>
      <c r="BS402" s="711" t="s">
        <v>1733</v>
      </c>
      <c r="BT402" s="711"/>
      <c r="BU402" s="711"/>
      <c r="BV402" s="522"/>
      <c r="BW402" s="522"/>
    </row>
    <row r="403" spans="1:75" s="950" customFormat="1" ht="96.75" customHeight="1">
      <c r="A403" s="95"/>
      <c r="B403" s="95" t="b">
        <f>method_reg="Метод индексации"</f>
        <v>1</v>
      </c>
      <c r="C403" s="46"/>
      <c r="D403" s="46"/>
      <c r="E403" s="569">
        <v>22.5</v>
      </c>
      <c r="F403" s="3" t="str" cm="1">
        <f t="array" aca="1" ref="F403" ca="1">OFFSET(E403,-1,1)</f>
        <v>2</v>
      </c>
      <c r="G403" s="44" t="s">
        <v>1501</v>
      </c>
      <c r="H403" s="44"/>
      <c r="I403" s="44" t="s">
        <v>331</v>
      </c>
      <c r="J403" s="46"/>
      <c r="K403" s="91"/>
      <c r="L403" s="46" t="s">
        <v>330</v>
      </c>
      <c r="M403" s="46"/>
      <c r="N403" s="46"/>
      <c r="O403" s="46"/>
      <c r="P403" s="46"/>
      <c r="Q403" s="46"/>
      <c r="R403" s="46"/>
      <c r="S403" s="46"/>
      <c r="T403" s="365" t="b" cm="1">
        <f t="array" aca="1" ref="T403" ca="1">T402</f>
        <v>1</v>
      </c>
      <c r="U403" s="46"/>
      <c r="V403" s="46"/>
      <c r="W403" s="46"/>
      <c r="X403" s="1094"/>
      <c r="Y403" s="95"/>
      <c r="Z403" s="1065"/>
      <c r="AA403" s="95"/>
      <c r="AB403" s="143" t="s">
        <v>433</v>
      </c>
      <c r="AC403" s="144" t="s">
        <v>2126</v>
      </c>
      <c r="AD403" s="143" t="s">
        <v>804</v>
      </c>
      <c r="AE403" s="145">
        <f ca="1">SUMIFS(Амортизация!AE$25:AE$174,Амортизация!$F$25:$F$174,$F403,Амортизация!$AC$25:$AC$174,"Сумма амортизационных отчислений")</f>
        <v>173.9360804762</v>
      </c>
      <c r="AF403" s="145">
        <f ca="1">SUMIFS(Амортизация!AF$25:AF$174,Амортизация!$F$25:$F$174,$F403,Амортизация!$AC$25:$AC$174,"Сумма амортизационных отчислений")</f>
        <v>406.04</v>
      </c>
      <c r="AG403" s="145">
        <f ca="1">SUMIFS(Амортизация!AG$25:AG$174,Амортизация!$F$25:$F$174,$F403,Амортизация!$AC$25:$AC$174,"Сумма амортизационных отчислений")</f>
        <v>398.82</v>
      </c>
      <c r="AH403" s="145">
        <f t="shared" ca="1" si="98"/>
        <v>-7.2200000000000273</v>
      </c>
      <c r="AI403" s="145">
        <f ca="1">SUMIFS(Амортизация!AH$25:AH$174,Амортизация!$F$25:$F$174,$F403,Амортизация!$AC$25:$AC$174,"Сумма амортизационных отчислений")</f>
        <v>257.45</v>
      </c>
      <c r="AJ403" s="145">
        <f ca="1">SUMIFS(Амортизация!AI$25:AI$174,Амортизация!$F$25:$F$174,$F403,Амортизация!$AC$25:$AC$174,"Сумма амортизационных отчислений")</f>
        <v>260.14</v>
      </c>
      <c r="AK403" s="145">
        <f ca="1">SUMIFS(Амортизация!AJ$25:AJ$174,Амортизация!$F$25:$F$174,$F403,Амортизация!$AC$25:$AC$174,"Сумма амортизационных отчислений")</f>
        <v>0</v>
      </c>
      <c r="AL403" s="145">
        <f ca="1">SUMIFS(Амортизация!AK$25:AK$174,Амортизация!$F$25:$F$174,$F403,Амортизация!$AC$25:$AC$174,"Сумма амортизационных отчислений")</f>
        <v>0</v>
      </c>
      <c r="AM403" s="145">
        <f ca="1">SUMIFS(Амортизация!AL$25:AL$174,Амортизация!$F$25:$F$174,$F403,Амортизация!$AC$25:$AC$174,"Сумма амортизационных отчислений")</f>
        <v>0</v>
      </c>
      <c r="AN403" s="145">
        <f ca="1">SUMIFS(Амортизация!AM$25:AM$174,Амортизация!$F$25:$F$174,$F403,Амортизация!$AC$25:$AC$174,"Сумма амортизационных отчислений")</f>
        <v>0</v>
      </c>
      <c r="AO403" s="145">
        <f ca="1">SUMIFS(Амортизация!AN$25:AN$174,Амортизация!$F$25:$F$174,$F403,Амортизация!$AC$25:$AC$174,"Сумма амортизационных отчислений")</f>
        <v>0</v>
      </c>
      <c r="AP403" s="145">
        <f ca="1">SUMIFS(Амортизация!AO$25:AO$174,Амортизация!$F$25:$F$174,$F403,Амортизация!$AC$25:$AC$174,"Сумма амортизационных отчислений")</f>
        <v>0</v>
      </c>
      <c r="AQ403" s="145">
        <f ca="1">SUMIFS(Амортизация!AP$25:AP$174,Амортизация!$F$25:$F$174,$F403,Амортизация!$AC$25:$AC$174,"Сумма амортизационных отчислений")</f>
        <v>0</v>
      </c>
      <c r="AR403" s="145">
        <f ca="1">SUMIFS(Амортизация!AQ$25:AQ$174,Амортизация!$F$25:$F$174,$F403,Амортизация!$AC$25:$AC$174,"Сумма амортизационных отчислений")</f>
        <v>0</v>
      </c>
      <c r="AS403" s="145">
        <f ca="1">SUMIFS(Амортизация!AR$25:AR$174,Амортизация!$F$25:$F$174,$F403,Амортизация!$AC$25:$AC$174,"Сумма амортизационных отчислений")</f>
        <v>0</v>
      </c>
      <c r="AT403" s="145">
        <f ca="1">SUMIFS(Амортизация!AS$25:AS$174,Амортизация!$F$25:$F$174,$F403,Амортизация!$AC$25:$AC$174,"Сумма амортизационных отчислений")</f>
        <v>260.14</v>
      </c>
      <c r="AU403" s="145">
        <f ca="1">SUMIFS(Амортизация!AT$25:AT$174,Амортизация!$F$25:$F$174,$F403,Амортизация!$AC$25:$AC$174,"Сумма амортизационных отчислений")</f>
        <v>0</v>
      </c>
      <c r="AV403" s="145">
        <f ca="1">SUMIFS(Амортизация!AU$25:AU$174,Амортизация!$F$25:$F$174,$F403,Амортизация!$AC$25:$AC$174,"Сумма амортизационных отчислений")</f>
        <v>0</v>
      </c>
      <c r="AW403" s="145">
        <f ca="1">SUMIFS(Амортизация!AV$25:AV$174,Амортизация!$F$25:$F$174,$F403,Амортизация!$AC$25:$AC$174,"Сумма амортизационных отчислений")</f>
        <v>0</v>
      </c>
      <c r="AX403" s="145">
        <f ca="1">SUMIFS(Амортизация!AW$25:AW$174,Амортизация!$F$25:$F$174,$F403,Амортизация!$AC$25:$AC$174,"Сумма амортизационных отчислений")</f>
        <v>0</v>
      </c>
      <c r="AY403" s="145">
        <f ca="1">SUMIFS(Амортизация!AX$25:AX$174,Амортизация!$F$25:$F$174,$F403,Амортизация!$AC$25:$AC$174,"Сумма амортизационных отчислений")</f>
        <v>0</v>
      </c>
      <c r="AZ403" s="145">
        <f ca="1">SUMIFS(Амортизация!AY$25:AY$174,Амортизация!$F$25:$F$174,$F403,Амортизация!$AC$25:$AC$174,"Сумма амортизационных отчислений")</f>
        <v>0</v>
      </c>
      <c r="BA403" s="145">
        <f ca="1">SUMIFS(Амортизация!AZ$25:AZ$174,Амортизация!$F$25:$F$174,$F403,Амортизация!$AC$25:$AC$174,"Сумма амортизационных отчислений")</f>
        <v>0</v>
      </c>
      <c r="BB403" s="145">
        <f ca="1">SUMIFS(Амортизация!BA$25:BA$174,Амортизация!$F$25:$F$174,$F403,Амортизация!$AC$25:$AC$174,"Сумма амортизационных отчислений")</f>
        <v>0</v>
      </c>
      <c r="BC403" s="145">
        <f ca="1">SUMIFS(Амортизация!BB$25:BB$174,Амортизация!$F$25:$F$174,$F403,Амортизация!$AC$25:$AC$174,"Сумма амортизационных отчислений")</f>
        <v>0</v>
      </c>
      <c r="BD403" s="145">
        <f t="shared" ca="1" si="100"/>
        <v>1.0448630802097485</v>
      </c>
      <c r="BE403" s="145">
        <f t="shared" ca="1" si="101"/>
        <v>-100</v>
      </c>
      <c r="BF403" s="145">
        <f t="shared" ca="1" si="102"/>
        <v>0</v>
      </c>
      <c r="BG403" s="145">
        <f t="shared" ca="1" si="103"/>
        <v>0</v>
      </c>
      <c r="BH403" s="145">
        <f t="shared" ca="1" si="104"/>
        <v>0</v>
      </c>
      <c r="BI403" s="145">
        <f t="shared" ca="1" si="105"/>
        <v>0</v>
      </c>
      <c r="BJ403" s="145">
        <f t="shared" ca="1" si="106"/>
        <v>0</v>
      </c>
      <c r="BK403" s="145">
        <f t="shared" ca="1" si="107"/>
        <v>0</v>
      </c>
      <c r="BL403" s="145">
        <f t="shared" ca="1" si="108"/>
        <v>0</v>
      </c>
      <c r="BM403" s="145">
        <f t="shared" ca="1" si="109"/>
        <v>0</v>
      </c>
      <c r="BN403" s="215"/>
      <c r="BO403" s="610" t="s">
        <v>2210</v>
      </c>
      <c r="BP403" s="215" t="s">
        <v>2211</v>
      </c>
      <c r="BQ403" s="95"/>
      <c r="BR403" s="95"/>
      <c r="BS403" s="711" t="s">
        <v>1241</v>
      </c>
      <c r="BT403" s="711"/>
      <c r="BU403" s="711"/>
      <c r="BV403" s="522"/>
      <c r="BW403" s="522"/>
    </row>
    <row r="404" spans="1:75" ht="14.25" customHeight="1">
      <c r="B404" s="341" t="b" cm="1">
        <f t="array" ref="B404">B403</f>
        <v>1</v>
      </c>
      <c r="C404" s="44"/>
      <c r="D404" s="44"/>
      <c r="E404" s="462">
        <v>15</v>
      </c>
      <c r="F404" s="3" t="str" cm="1">
        <f t="array" aca="1" ref="F404" ca="1">OFFSET(E404,-1,1)</f>
        <v>2</v>
      </c>
      <c r="G404" s="44"/>
      <c r="H404" s="44"/>
      <c r="I404" s="44" t="s">
        <v>536</v>
      </c>
      <c r="J404" s="44"/>
      <c r="L404" s="44" t="s">
        <v>550</v>
      </c>
      <c r="M404" s="44"/>
      <c r="N404" s="44"/>
      <c r="O404" s="44"/>
      <c r="P404" s="44"/>
      <c r="Q404" s="44"/>
      <c r="R404" s="44"/>
      <c r="S404" s="44"/>
      <c r="T404" s="365" t="b" cm="1">
        <f t="array" aca="1" ref="T404" ca="1">T403</f>
        <v>1</v>
      </c>
      <c r="U404" s="44"/>
      <c r="V404" s="44"/>
      <c r="W404" s="44"/>
      <c r="X404" s="1094"/>
      <c r="Z404" s="1065"/>
      <c r="AB404" s="26" t="s">
        <v>673</v>
      </c>
      <c r="AC404" s="146" t="s">
        <v>1825</v>
      </c>
      <c r="AD404" s="26" t="s">
        <v>804</v>
      </c>
      <c r="AE404" s="147">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47">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47">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190">
        <f t="shared" ca="1" si="98"/>
        <v>0</v>
      </c>
      <c r="AI404" s="147">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47">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787">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787">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787">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787">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787">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787">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787">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787">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787">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47">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787">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787">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787">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787">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787">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787">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787">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787">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787">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190">
        <f t="shared" ca="1" si="100"/>
        <v>0</v>
      </c>
      <c r="BE404" s="190">
        <f t="shared" ca="1" si="101"/>
        <v>0</v>
      </c>
      <c r="BF404" s="190">
        <f t="shared" ca="1" si="102"/>
        <v>0</v>
      </c>
      <c r="BG404" s="190">
        <f t="shared" ca="1" si="103"/>
        <v>0</v>
      </c>
      <c r="BH404" s="190">
        <f t="shared" ca="1" si="104"/>
        <v>0</v>
      </c>
      <c r="BI404" s="190">
        <f t="shared" ca="1" si="105"/>
        <v>0</v>
      </c>
      <c r="BJ404" s="190">
        <f t="shared" ca="1" si="106"/>
        <v>0</v>
      </c>
      <c r="BK404" s="190">
        <f t="shared" ca="1" si="107"/>
        <v>0</v>
      </c>
      <c r="BL404" s="190">
        <f t="shared" ca="1" si="108"/>
        <v>0</v>
      </c>
      <c r="BM404" s="190">
        <f t="shared" ca="1" si="109"/>
        <v>0</v>
      </c>
      <c r="BN404" s="215"/>
      <c r="BO404" s="215"/>
      <c r="BP404" s="215"/>
      <c r="BS404" s="705" t="s">
        <v>1826</v>
      </c>
    </row>
    <row r="405" spans="1:75" s="950" customFormat="1" ht="20.25" customHeight="1">
      <c r="A405" s="95"/>
      <c r="B405" s="341" t="b" cm="1">
        <f t="array" ref="B405">B404</f>
        <v>1</v>
      </c>
      <c r="C405" s="46"/>
      <c r="D405" s="46"/>
      <c r="E405" s="569">
        <v>21</v>
      </c>
      <c r="F405" s="3" t="str" cm="1">
        <f t="array" aca="1" ref="F405" ca="1">OFFSET(E405,-1,1)</f>
        <v>2</v>
      </c>
      <c r="G405" s="44" t="s">
        <v>1505</v>
      </c>
      <c r="H405" s="44"/>
      <c r="I405" s="44" t="s">
        <v>330</v>
      </c>
      <c r="J405" s="46"/>
      <c r="K405" s="91"/>
      <c r="L405" s="46" t="s">
        <v>562</v>
      </c>
      <c r="M405" s="46"/>
      <c r="N405" s="46"/>
      <c r="O405" s="46"/>
      <c r="P405" s="46"/>
      <c r="Q405" s="46"/>
      <c r="R405" s="46"/>
      <c r="S405" s="46"/>
      <c r="T405" s="365" t="b" cm="1">
        <f t="array" aca="1" ref="T405" ca="1">T404</f>
        <v>1</v>
      </c>
      <c r="U405" s="46"/>
      <c r="V405" s="46"/>
      <c r="W405" s="46"/>
      <c r="X405" s="1094"/>
      <c r="Y405" s="95"/>
      <c r="Z405" s="1065"/>
      <c r="AA405" s="95"/>
      <c r="AB405" s="143" t="s">
        <v>444</v>
      </c>
      <c r="AC405" s="144" t="s">
        <v>1505</v>
      </c>
      <c r="AD405" s="166" t="s">
        <v>804</v>
      </c>
      <c r="AE405" s="145">
        <f ca="1">AE406+AE407+AE408+AE409</f>
        <v>0</v>
      </c>
      <c r="AF405" s="145">
        <f ca="1">AF406+AF407+AF408+AF409</f>
        <v>0</v>
      </c>
      <c r="AG405" s="145">
        <f ca="1">AG406+AG407+AG408+AG409</f>
        <v>0</v>
      </c>
      <c r="AH405" s="145">
        <f t="shared" ca="1" si="98"/>
        <v>0</v>
      </c>
      <c r="AI405" s="145">
        <f t="shared" ref="AI405:BC405" ca="1" si="113">AI406+AI407+AI408+AI409</f>
        <v>0</v>
      </c>
      <c r="AJ405" s="145">
        <f t="shared" ca="1" si="113"/>
        <v>0</v>
      </c>
      <c r="AK405" s="145">
        <f t="shared" ca="1" si="113"/>
        <v>0</v>
      </c>
      <c r="AL405" s="145">
        <f t="shared" ca="1" si="113"/>
        <v>0</v>
      </c>
      <c r="AM405" s="145">
        <f t="shared" ca="1" si="113"/>
        <v>0</v>
      </c>
      <c r="AN405" s="145">
        <f t="shared" ca="1" si="113"/>
        <v>0</v>
      </c>
      <c r="AO405" s="145">
        <f t="shared" ca="1" si="113"/>
        <v>0</v>
      </c>
      <c r="AP405" s="145">
        <f t="shared" ca="1" si="113"/>
        <v>0</v>
      </c>
      <c r="AQ405" s="145">
        <f t="shared" ca="1" si="113"/>
        <v>0</v>
      </c>
      <c r="AR405" s="145">
        <f t="shared" ca="1" si="113"/>
        <v>0</v>
      </c>
      <c r="AS405" s="145">
        <f t="shared" ca="1" si="113"/>
        <v>0</v>
      </c>
      <c r="AT405" s="145">
        <f t="shared" ca="1" si="113"/>
        <v>0</v>
      </c>
      <c r="AU405" s="145">
        <f t="shared" ca="1" si="113"/>
        <v>0</v>
      </c>
      <c r="AV405" s="145">
        <f t="shared" ca="1" si="113"/>
        <v>0</v>
      </c>
      <c r="AW405" s="145">
        <f t="shared" ca="1" si="113"/>
        <v>0</v>
      </c>
      <c r="AX405" s="145">
        <f t="shared" ca="1" si="113"/>
        <v>0</v>
      </c>
      <c r="AY405" s="145">
        <f t="shared" ca="1" si="113"/>
        <v>0</v>
      </c>
      <c r="AZ405" s="145">
        <f t="shared" ca="1" si="113"/>
        <v>0</v>
      </c>
      <c r="BA405" s="145">
        <f t="shared" ca="1" si="113"/>
        <v>0</v>
      </c>
      <c r="BB405" s="145">
        <f t="shared" ca="1" si="113"/>
        <v>0</v>
      </c>
      <c r="BC405" s="145">
        <f t="shared" ca="1" si="113"/>
        <v>0</v>
      </c>
      <c r="BD405" s="145">
        <f t="shared" ca="1" si="100"/>
        <v>0</v>
      </c>
      <c r="BE405" s="145">
        <f t="shared" ca="1" si="101"/>
        <v>0</v>
      </c>
      <c r="BF405" s="145">
        <f t="shared" ca="1" si="102"/>
        <v>0</v>
      </c>
      <c r="BG405" s="145">
        <f t="shared" ca="1" si="103"/>
        <v>0</v>
      </c>
      <c r="BH405" s="145">
        <f t="shared" ca="1" si="104"/>
        <v>0</v>
      </c>
      <c r="BI405" s="145">
        <f t="shared" ca="1" si="105"/>
        <v>0</v>
      </c>
      <c r="BJ405" s="145">
        <f t="shared" ca="1" si="106"/>
        <v>0</v>
      </c>
      <c r="BK405" s="145">
        <f t="shared" ca="1" si="107"/>
        <v>0</v>
      </c>
      <c r="BL405" s="145">
        <f t="shared" ca="1" si="108"/>
        <v>0</v>
      </c>
      <c r="BM405" s="145">
        <f t="shared" ca="1" si="109"/>
        <v>0</v>
      </c>
      <c r="BN405" s="215"/>
      <c r="BO405" s="215"/>
      <c r="BP405" s="215"/>
      <c r="BQ405" s="95"/>
      <c r="BR405" s="95"/>
      <c r="BS405" s="704" t="s">
        <v>1509</v>
      </c>
      <c r="BT405" s="711"/>
      <c r="BU405" s="711"/>
      <c r="BV405" s="522"/>
      <c r="BW405" s="522"/>
    </row>
    <row r="406" spans="1:75" ht="14.25" customHeight="1">
      <c r="B406" s="341" t="b" cm="1">
        <f t="array" ref="B406">B405</f>
        <v>1</v>
      </c>
      <c r="C406" s="44"/>
      <c r="D406" s="44"/>
      <c r="E406" s="462">
        <v>15</v>
      </c>
      <c r="F406" s="3" t="str" cm="1">
        <f t="array" aca="1" ref="F406" ca="1">OFFSET(E406,-1,1)</f>
        <v>2</v>
      </c>
      <c r="G406" s="44"/>
      <c r="H406" s="44"/>
      <c r="I406" s="44" t="s">
        <v>550</v>
      </c>
      <c r="J406" s="44"/>
      <c r="L406" s="44"/>
      <c r="M406" s="44"/>
      <c r="N406" s="44"/>
      <c r="O406" s="44"/>
      <c r="P406" s="44"/>
      <c r="Q406" s="44"/>
      <c r="R406" s="44"/>
      <c r="S406" s="44"/>
      <c r="T406" s="365" t="b" cm="1">
        <f t="array" aca="1" ref="T406" ca="1">T405</f>
        <v>1</v>
      </c>
      <c r="U406" s="44"/>
      <c r="V406" s="44"/>
      <c r="W406" s="44"/>
      <c r="X406" s="1094"/>
      <c r="Z406" s="1065"/>
      <c r="AB406" s="26" t="s">
        <v>680</v>
      </c>
      <c r="AC406" s="146" t="s">
        <v>2127</v>
      </c>
      <c r="AD406" s="26" t="s">
        <v>804</v>
      </c>
      <c r="AE406" s="147">
        <f ca="1">SUMIFS('ИП + источники'!AF$27:AF$145,'ИП + источники'!$F$27:$F$145,$F406,'ИП + источники'!$AC$27:$AC$145,"погашение займов и кредитов из нормативной прибыли")</f>
        <v>0</v>
      </c>
      <c r="AF406" s="147">
        <f ca="1">SUMIFS('ИП + источники'!AG$27:AG$145,'ИП + источники'!$F$27:$F$145,$F406,'ИП + источники'!$AC$27:$AC$145,"погашение займов и кредитов из нормативной прибыли")</f>
        <v>0</v>
      </c>
      <c r="AG406" s="147">
        <f ca="1">SUMIFS('ИП + источники'!AH$27:AH$145,'ИП + источники'!$F$27:$F$145,$F406,'ИП + источники'!$AC$27:$AC$145,"погашение займов и кредитов из нормативной прибыли")</f>
        <v>0</v>
      </c>
      <c r="AH406" s="190">
        <f t="shared" ca="1" si="98"/>
        <v>0</v>
      </c>
      <c r="AI406" s="147">
        <f ca="1">SUMIFS('ИП + источники'!AJ$27:AJ$145,'ИП + источники'!$F$27:$F$145,$F406,'ИП + источники'!$AC$27:$AC$145,"погашение займов и кредитов из нормативной прибыли")</f>
        <v>0</v>
      </c>
      <c r="AJ406" s="147">
        <f ca="1">SUMIFS('ИП + источники'!AK$27:AK$145,'ИП + источники'!$F$27:$F$145,$F406,'ИП + источники'!$AC$27:$AC$145,"погашение займов и кредитов из нормативной прибыли")</f>
        <v>0</v>
      </c>
      <c r="AK406" s="787">
        <f ca="1">SUMIFS('ИП + источники'!AL$27:AL$145,'ИП + источники'!$F$27:$F$145,$F406,'ИП + источники'!$AC$27:$AC$145,"погашение займов и кредитов из нормативной прибыли")</f>
        <v>0</v>
      </c>
      <c r="AL406" s="787">
        <f ca="1">SUMIFS('ИП + источники'!AM$27:AM$145,'ИП + источники'!$F$27:$F$145,$F406,'ИП + источники'!$AC$27:$AC$145,"погашение займов и кредитов из нормативной прибыли")</f>
        <v>0</v>
      </c>
      <c r="AM406" s="787">
        <f ca="1">SUMIFS('ИП + источники'!AN$27:AN$145,'ИП + источники'!$F$27:$F$145,$F406,'ИП + источники'!$AC$27:$AC$145,"погашение займов и кредитов из нормативной прибыли")</f>
        <v>0</v>
      </c>
      <c r="AN406" s="787">
        <f ca="1">SUMIFS('ИП + источники'!AO$27:AO$145,'ИП + источники'!$F$27:$F$145,$F406,'ИП + источники'!$AC$27:$AC$145,"погашение займов и кредитов из нормативной прибыли")</f>
        <v>0</v>
      </c>
      <c r="AO406" s="787">
        <f ca="1">SUMIFS('ИП + источники'!AP$27:AP$145,'ИП + источники'!$F$27:$F$145,$F406,'ИП + источники'!$AC$27:$AC$145,"погашение займов и кредитов из нормативной прибыли")</f>
        <v>0</v>
      </c>
      <c r="AP406" s="787">
        <f ca="1">SUMIFS('ИП + источники'!AQ$27:AQ$145,'ИП + источники'!$F$27:$F$145,$F406,'ИП + источники'!$AC$27:$AC$145,"погашение займов и кредитов из нормативной прибыли")</f>
        <v>0</v>
      </c>
      <c r="AQ406" s="787">
        <f ca="1">SUMIFS('ИП + источники'!AR$27:AR$145,'ИП + источники'!$F$27:$F$145,$F406,'ИП + источники'!$AC$27:$AC$145,"погашение займов и кредитов из нормативной прибыли")</f>
        <v>0</v>
      </c>
      <c r="AR406" s="787">
        <f ca="1">SUMIFS('ИП + источники'!AS$27:AS$145,'ИП + источники'!$F$27:$F$145,$F406,'ИП + источники'!$AC$27:$AC$145,"погашение займов и кредитов из нормативной прибыли")</f>
        <v>0</v>
      </c>
      <c r="AS406" s="787">
        <f ca="1">SUMIFS('ИП + источники'!AT$27:AT$145,'ИП + источники'!$F$27:$F$145,$F406,'ИП + источники'!$AC$27:$AC$145,"погашение займов и кредитов из нормативной прибыли")</f>
        <v>0</v>
      </c>
      <c r="AT406" s="147">
        <f ca="1">SUMIFS('ИП + источники'!AU$27:AU$145,'ИП + источники'!$F$27:$F$145,$F406,'ИП + источники'!$AC$27:$AC$145,"погашение займов и кредитов из нормативной прибыли")</f>
        <v>0</v>
      </c>
      <c r="AU406" s="787">
        <f ca="1">SUMIFS('ИП + источники'!AV$27:AV$145,'ИП + источники'!$F$27:$F$145,$F406,'ИП + источники'!$AC$27:$AC$145,"погашение займов и кредитов из нормативной прибыли")</f>
        <v>0</v>
      </c>
      <c r="AV406" s="787">
        <f ca="1">SUMIFS('ИП + источники'!AW$27:AW$145,'ИП + источники'!$F$27:$F$145,$F406,'ИП + источники'!$AC$27:$AC$145,"погашение займов и кредитов из нормативной прибыли")</f>
        <v>0</v>
      </c>
      <c r="AW406" s="787">
        <f ca="1">SUMIFS('ИП + источники'!AX$27:AX$145,'ИП + источники'!$F$27:$F$145,$F406,'ИП + источники'!$AC$27:$AC$145,"погашение займов и кредитов из нормативной прибыли")</f>
        <v>0</v>
      </c>
      <c r="AX406" s="787">
        <f ca="1">SUMIFS('ИП + источники'!AY$27:AY$145,'ИП + источники'!$F$27:$F$145,$F406,'ИП + источники'!$AC$27:$AC$145,"погашение займов и кредитов из нормативной прибыли")</f>
        <v>0</v>
      </c>
      <c r="AY406" s="787">
        <f ca="1">SUMIFS('ИП + источники'!AZ$27:AZ$145,'ИП + источники'!$F$27:$F$145,$F406,'ИП + источники'!$AC$27:$AC$145,"погашение займов и кредитов из нормативной прибыли")</f>
        <v>0</v>
      </c>
      <c r="AZ406" s="787">
        <f ca="1">SUMIFS('ИП + источники'!BA$27:BA$145,'ИП + источники'!$F$27:$F$145,$F406,'ИП + источники'!$AC$27:$AC$145,"погашение займов и кредитов из нормативной прибыли")</f>
        <v>0</v>
      </c>
      <c r="BA406" s="787">
        <f ca="1">SUMIFS('ИП + источники'!BB$27:BB$145,'ИП + источники'!$F$27:$F$145,$F406,'ИП + источники'!$AC$27:$AC$145,"погашение займов и кредитов из нормативной прибыли")</f>
        <v>0</v>
      </c>
      <c r="BB406" s="787">
        <f ca="1">SUMIFS('ИП + источники'!BC$27:BC$145,'ИП + источники'!$F$27:$F$145,$F406,'ИП + источники'!$AC$27:$AC$145,"погашение займов и кредитов из нормативной прибыли")</f>
        <v>0</v>
      </c>
      <c r="BC406" s="787">
        <f ca="1">SUMIFS('ИП + источники'!BD$27:BD$145,'ИП + источники'!$F$27:$F$145,$F406,'ИП + источники'!$AC$27:$AC$145,"погашение займов и кредитов из нормативной прибыли")</f>
        <v>0</v>
      </c>
      <c r="BD406" s="190">
        <f t="shared" ca="1" si="100"/>
        <v>0</v>
      </c>
      <c r="BE406" s="190">
        <f t="shared" ca="1" si="101"/>
        <v>0</v>
      </c>
      <c r="BF406" s="190">
        <f t="shared" ca="1" si="102"/>
        <v>0</v>
      </c>
      <c r="BG406" s="190">
        <f t="shared" ca="1" si="103"/>
        <v>0</v>
      </c>
      <c r="BH406" s="190">
        <f t="shared" ca="1" si="104"/>
        <v>0</v>
      </c>
      <c r="BI406" s="190">
        <f t="shared" ca="1" si="105"/>
        <v>0</v>
      </c>
      <c r="BJ406" s="190">
        <f t="shared" ca="1" si="106"/>
        <v>0</v>
      </c>
      <c r="BK406" s="190">
        <f t="shared" ca="1" si="107"/>
        <v>0</v>
      </c>
      <c r="BL406" s="190">
        <f t="shared" ca="1" si="108"/>
        <v>0</v>
      </c>
      <c r="BM406" s="190">
        <f t="shared" ca="1" si="109"/>
        <v>0</v>
      </c>
      <c r="BN406" s="215"/>
      <c r="BO406" s="610" t="str">
        <f ca="1">IF(IFERROR(INDEX('ИП + источники'!$K$57:$L$145,MATCH($F406&amp;"2komm",'ИП + источники'!$K$57:$K$145,0),2),"")=0,"",IFERROR(INDEX('ИП + источники'!$K$57:$L$145,MATCH($F406&amp;"2komm",'ИП + источники'!$K$57:$K$145,0),2),""))</f>
        <v/>
      </c>
      <c r="BP406" s="215"/>
      <c r="BS406" s="705" t="s">
        <v>2128</v>
      </c>
    </row>
    <row r="407" spans="1:75" ht="14.25" customHeight="1">
      <c r="B407" s="341" t="b" cm="1">
        <f t="array" ref="B407">B406</f>
        <v>1</v>
      </c>
      <c r="C407" s="44"/>
      <c r="D407" s="44"/>
      <c r="E407" s="462">
        <v>15</v>
      </c>
      <c r="F407" s="3" t="str" cm="1">
        <f t="array" aca="1" ref="F407" ca="1">OFFSET(E407,-1,1)</f>
        <v>2</v>
      </c>
      <c r="G407" s="44"/>
      <c r="H407" s="44"/>
      <c r="I407" s="44" t="s">
        <v>554</v>
      </c>
      <c r="J407" s="44"/>
      <c r="L407" s="44"/>
      <c r="M407" s="44"/>
      <c r="N407" s="44"/>
      <c r="O407" s="44"/>
      <c r="P407" s="44"/>
      <c r="Q407" s="44"/>
      <c r="R407" s="44"/>
      <c r="S407" s="44"/>
      <c r="T407" s="365" t="b" cm="1">
        <f t="array" aca="1" ref="T407" ca="1">T406</f>
        <v>1</v>
      </c>
      <c r="U407" s="44"/>
      <c r="V407" s="44"/>
      <c r="W407" s="44"/>
      <c r="X407" s="1094"/>
      <c r="Z407" s="1065"/>
      <c r="AB407" s="26" t="s">
        <v>683</v>
      </c>
      <c r="AC407" s="146" t="s">
        <v>2129</v>
      </c>
      <c r="AD407" s="26" t="s">
        <v>804</v>
      </c>
      <c r="AE407" s="147">
        <f ca="1">SUMIFS('ИП + источники'!AF$27:AF$145,'ИП + источники'!$F$27:$F$145,$F407,'ИП + источники'!$AC$27:$AC$145,"уплата процентов по кредитам из нормативной прибыли")</f>
        <v>0</v>
      </c>
      <c r="AF407" s="147">
        <f ca="1">SUMIFS('ИП + источники'!AG$27:AG$145,'ИП + источники'!$F$27:$F$145,$F407,'ИП + источники'!$AC$27:$AC$145,"уплата процентов по кредитам из нормативной прибыли")</f>
        <v>0</v>
      </c>
      <c r="AG407" s="147">
        <f ca="1">SUMIFS('ИП + источники'!AH$27:AH$145,'ИП + источники'!$F$27:$F$145,$F407,'ИП + источники'!$AC$27:$AC$145,"уплата процентов по кредитам из нормативной прибыли")</f>
        <v>0</v>
      </c>
      <c r="AH407" s="190">
        <f t="shared" ca="1" si="98"/>
        <v>0</v>
      </c>
      <c r="AI407" s="147">
        <f ca="1">SUMIFS('ИП + источники'!AJ$27:AJ$145,'ИП + источники'!$F$27:$F$145,$F407,'ИП + источники'!$AC$27:$AC$145,"уплата процентов по кредитам из нормативной прибыли")</f>
        <v>0</v>
      </c>
      <c r="AJ407" s="147">
        <f ca="1">SUMIFS('ИП + источники'!AK$27:AK$145,'ИП + источники'!$F$27:$F$145,$F407,'ИП + источники'!$AC$27:$AC$145,"уплата процентов по кредитам из нормативной прибыли")</f>
        <v>0</v>
      </c>
      <c r="AK407" s="787">
        <f ca="1">SUMIFS('ИП + источники'!AL$27:AL$145,'ИП + источники'!$F$27:$F$145,$F407,'ИП + источники'!$AC$27:$AC$145,"уплата процентов по кредитам из нормативной прибыли")</f>
        <v>0</v>
      </c>
      <c r="AL407" s="787">
        <f ca="1">SUMIFS('ИП + источники'!AM$27:AM$145,'ИП + источники'!$F$27:$F$145,$F407,'ИП + источники'!$AC$27:$AC$145,"уплата процентов по кредитам из нормативной прибыли")</f>
        <v>0</v>
      </c>
      <c r="AM407" s="787">
        <f ca="1">SUMIFS('ИП + источники'!AN$27:AN$145,'ИП + источники'!$F$27:$F$145,$F407,'ИП + источники'!$AC$27:$AC$145,"уплата процентов по кредитам из нормативной прибыли")</f>
        <v>0</v>
      </c>
      <c r="AN407" s="787">
        <f ca="1">SUMIFS('ИП + источники'!AO$27:AO$145,'ИП + источники'!$F$27:$F$145,$F407,'ИП + источники'!$AC$27:$AC$145,"уплата процентов по кредитам из нормативной прибыли")</f>
        <v>0</v>
      </c>
      <c r="AO407" s="787">
        <f ca="1">SUMIFS('ИП + источники'!AP$27:AP$145,'ИП + источники'!$F$27:$F$145,$F407,'ИП + источники'!$AC$27:$AC$145,"уплата процентов по кредитам из нормативной прибыли")</f>
        <v>0</v>
      </c>
      <c r="AP407" s="787">
        <f ca="1">SUMIFS('ИП + источники'!AQ$27:AQ$145,'ИП + источники'!$F$27:$F$145,$F407,'ИП + источники'!$AC$27:$AC$145,"уплата процентов по кредитам из нормативной прибыли")</f>
        <v>0</v>
      </c>
      <c r="AQ407" s="787">
        <f ca="1">SUMIFS('ИП + источники'!AR$27:AR$145,'ИП + источники'!$F$27:$F$145,$F407,'ИП + источники'!$AC$27:$AC$145,"уплата процентов по кредитам из нормативной прибыли")</f>
        <v>0</v>
      </c>
      <c r="AR407" s="787">
        <f ca="1">SUMIFS('ИП + источники'!AS$27:AS$145,'ИП + источники'!$F$27:$F$145,$F407,'ИП + источники'!$AC$27:$AC$145,"уплата процентов по кредитам из нормативной прибыли")</f>
        <v>0</v>
      </c>
      <c r="AS407" s="787">
        <f ca="1">SUMIFS('ИП + источники'!AT$27:AT$145,'ИП + источники'!$F$27:$F$145,$F407,'ИП + источники'!$AC$27:$AC$145,"уплата процентов по кредитам из нормативной прибыли")</f>
        <v>0</v>
      </c>
      <c r="AT407" s="147">
        <f ca="1">SUMIFS('ИП + источники'!AU$27:AU$145,'ИП + источники'!$F$27:$F$145,$F407,'ИП + источники'!$AC$27:$AC$145,"уплата процентов по кредитам из нормативной прибыли")</f>
        <v>0</v>
      </c>
      <c r="AU407" s="787">
        <f ca="1">SUMIFS('ИП + источники'!AV$27:AV$145,'ИП + источники'!$F$27:$F$145,$F407,'ИП + источники'!$AC$27:$AC$145,"уплата процентов по кредитам из нормативной прибыли")</f>
        <v>0</v>
      </c>
      <c r="AV407" s="787">
        <f ca="1">SUMIFS('ИП + источники'!AW$27:AW$145,'ИП + источники'!$F$27:$F$145,$F407,'ИП + источники'!$AC$27:$AC$145,"уплата процентов по кредитам из нормативной прибыли")</f>
        <v>0</v>
      </c>
      <c r="AW407" s="787">
        <f ca="1">SUMIFS('ИП + источники'!AX$27:AX$145,'ИП + источники'!$F$27:$F$145,$F407,'ИП + источники'!$AC$27:$AC$145,"уплата процентов по кредитам из нормативной прибыли")</f>
        <v>0</v>
      </c>
      <c r="AX407" s="787">
        <f ca="1">SUMIFS('ИП + источники'!AY$27:AY$145,'ИП + источники'!$F$27:$F$145,$F407,'ИП + источники'!$AC$27:$AC$145,"уплата процентов по кредитам из нормативной прибыли")</f>
        <v>0</v>
      </c>
      <c r="AY407" s="787">
        <f ca="1">SUMIFS('ИП + источники'!AZ$27:AZ$145,'ИП + источники'!$F$27:$F$145,$F407,'ИП + источники'!$AC$27:$AC$145,"уплата процентов по кредитам из нормативной прибыли")</f>
        <v>0</v>
      </c>
      <c r="AZ407" s="787">
        <f ca="1">SUMIFS('ИП + источники'!BA$27:BA$145,'ИП + источники'!$F$27:$F$145,$F407,'ИП + источники'!$AC$27:$AC$145,"уплата процентов по кредитам из нормативной прибыли")</f>
        <v>0</v>
      </c>
      <c r="BA407" s="787">
        <f ca="1">SUMIFS('ИП + источники'!BB$27:BB$145,'ИП + источники'!$F$27:$F$145,$F407,'ИП + источники'!$AC$27:$AC$145,"уплата процентов по кредитам из нормативной прибыли")</f>
        <v>0</v>
      </c>
      <c r="BB407" s="787">
        <f ca="1">SUMIFS('ИП + источники'!BC$27:BC$145,'ИП + источники'!$F$27:$F$145,$F407,'ИП + источники'!$AC$27:$AC$145,"уплата процентов по кредитам из нормативной прибыли")</f>
        <v>0</v>
      </c>
      <c r="BC407" s="787">
        <f ca="1">SUMIFS('ИП + источники'!BD$27:BD$145,'ИП + источники'!$F$27:$F$145,$F407,'ИП + источники'!$AC$27:$AC$145,"уплата процентов по кредитам из нормативной прибыли")</f>
        <v>0</v>
      </c>
      <c r="BD407" s="190">
        <f t="shared" ca="1" si="100"/>
        <v>0</v>
      </c>
      <c r="BE407" s="190">
        <f t="shared" ca="1" si="101"/>
        <v>0</v>
      </c>
      <c r="BF407" s="190">
        <f t="shared" ca="1" si="102"/>
        <v>0</v>
      </c>
      <c r="BG407" s="190">
        <f t="shared" ca="1" si="103"/>
        <v>0</v>
      </c>
      <c r="BH407" s="190">
        <f t="shared" ca="1" si="104"/>
        <v>0</v>
      </c>
      <c r="BI407" s="190">
        <f t="shared" ca="1" si="105"/>
        <v>0</v>
      </c>
      <c r="BJ407" s="190">
        <f t="shared" ca="1" si="106"/>
        <v>0</v>
      </c>
      <c r="BK407" s="190">
        <f t="shared" ca="1" si="107"/>
        <v>0</v>
      </c>
      <c r="BL407" s="190">
        <f t="shared" ca="1" si="108"/>
        <v>0</v>
      </c>
      <c r="BM407" s="190">
        <f t="shared" ca="1" si="109"/>
        <v>0</v>
      </c>
      <c r="BN407" s="215"/>
      <c r="BO407" s="610" t="str">
        <f ca="1">IF(IFERROR(INDEX('ИП + источники'!$K$57:$L$145,MATCH($F407&amp;"3komm",'ИП + источники'!$K$57:$K$145,0),2),"")=0,"",IFERROR(INDEX('ИП + источники'!$K$57:$L$145,MATCH($F407&amp;"3komm",'ИП + источники'!$K$57:$K$145,0),2),""))</f>
        <v/>
      </c>
      <c r="BP407" s="215"/>
      <c r="BS407" s="705" t="s">
        <v>2130</v>
      </c>
    </row>
    <row r="408" spans="1:75" ht="14.25" customHeight="1">
      <c r="B408" s="341" t="b" cm="1">
        <f t="array" ref="B408">B407</f>
        <v>1</v>
      </c>
      <c r="C408" s="44"/>
      <c r="D408" s="44"/>
      <c r="E408" s="462">
        <v>15</v>
      </c>
      <c r="F408" s="3" t="str" cm="1">
        <f t="array" aca="1" ref="F408" ca="1">OFFSET(E408,-1,1)</f>
        <v>2</v>
      </c>
      <c r="G408" s="44"/>
      <c r="H408" s="44"/>
      <c r="I408" s="44" t="s">
        <v>770</v>
      </c>
      <c r="J408" s="44"/>
      <c r="L408" s="44" t="s">
        <v>569</v>
      </c>
      <c r="M408" s="44"/>
      <c r="N408" s="44"/>
      <c r="O408" s="44"/>
      <c r="P408" s="44"/>
      <c r="Q408" s="44"/>
      <c r="R408" s="44"/>
      <c r="S408" s="44"/>
      <c r="T408" s="365" t="b" cm="1">
        <f t="array" aca="1" ref="T408" ca="1">T407</f>
        <v>1</v>
      </c>
      <c r="U408" s="44"/>
      <c r="V408" s="44"/>
      <c r="W408" s="44"/>
      <c r="X408" s="1094"/>
      <c r="Z408" s="1065"/>
      <c r="AB408" s="26" t="s">
        <v>952</v>
      </c>
      <c r="AC408" s="146" t="s">
        <v>2131</v>
      </c>
      <c r="AD408" s="26" t="s">
        <v>804</v>
      </c>
      <c r="AE408" s="147">
        <f ca="1">SUMIFS('ИП + источники'!AF$27:AF$145,'ИП + источники'!$F$27:$F$145,$F408,'ИП + источники'!$AC$27:$AC$145,"Прибыль на капвложения")</f>
        <v>0</v>
      </c>
      <c r="AF408" s="147">
        <f ca="1">SUMIFS('ИП + источники'!AG$27:AG$145,'ИП + источники'!$F$27:$F$145,$F408,'ИП + источники'!$AC$27:$AC$145,"Прибыль на капвложения")</f>
        <v>0</v>
      </c>
      <c r="AG408" s="147">
        <f ca="1">SUMIFS('ИП + источники'!AH$27:AH$145,'ИП + источники'!$F$27:$F$145,$F408,'ИП + источники'!$AC$27:$AC$145,"Прибыль на капвложения")</f>
        <v>0</v>
      </c>
      <c r="AH408" s="190">
        <f t="shared" ca="1" si="98"/>
        <v>0</v>
      </c>
      <c r="AI408" s="147">
        <f ca="1">SUMIFS('ИП + источники'!AJ$27:AJ$145,'ИП + источники'!$F$27:$F$145,$F408,'ИП + источники'!$AC$27:$AC$145,"Прибыль на капвложения")</f>
        <v>0</v>
      </c>
      <c r="AJ408" s="147">
        <f ca="1">SUMIFS('ИП + источники'!AK$27:AK$145,'ИП + источники'!$F$27:$F$145,$F408,'ИП + источники'!$AC$27:$AC$145,"Прибыль на капвложения")</f>
        <v>0</v>
      </c>
      <c r="AK408" s="787">
        <f ca="1">SUMIFS('ИП + источники'!AL$27:AL$145,'ИП + источники'!$F$27:$F$145,$F408,'ИП + источники'!$AC$27:$AC$145,"Прибыль на капвложения")</f>
        <v>0</v>
      </c>
      <c r="AL408" s="787">
        <f ca="1">SUMIFS('ИП + источники'!AM$27:AM$145,'ИП + источники'!$F$27:$F$145,$F408,'ИП + источники'!$AC$27:$AC$145,"Прибыль на капвложения")</f>
        <v>0</v>
      </c>
      <c r="AM408" s="787">
        <f ca="1">SUMIFS('ИП + источники'!AN$27:AN$145,'ИП + источники'!$F$27:$F$145,$F408,'ИП + источники'!$AC$27:$AC$145,"Прибыль на капвложения")</f>
        <v>0</v>
      </c>
      <c r="AN408" s="787">
        <f ca="1">SUMIFS('ИП + источники'!AO$27:AO$145,'ИП + источники'!$F$27:$F$145,$F408,'ИП + источники'!$AC$27:$AC$145,"Прибыль на капвложения")</f>
        <v>0</v>
      </c>
      <c r="AO408" s="787">
        <f ca="1">SUMIFS('ИП + источники'!AP$27:AP$145,'ИП + источники'!$F$27:$F$145,$F408,'ИП + источники'!$AC$27:$AC$145,"Прибыль на капвложения")</f>
        <v>0</v>
      </c>
      <c r="AP408" s="787">
        <f ca="1">SUMIFS('ИП + источники'!AQ$27:AQ$145,'ИП + источники'!$F$27:$F$145,$F408,'ИП + источники'!$AC$27:$AC$145,"Прибыль на капвложения")</f>
        <v>0</v>
      </c>
      <c r="AQ408" s="787">
        <f ca="1">SUMIFS('ИП + источники'!AR$27:AR$145,'ИП + источники'!$F$27:$F$145,$F408,'ИП + источники'!$AC$27:$AC$145,"Прибыль на капвложения")</f>
        <v>0</v>
      </c>
      <c r="AR408" s="787">
        <f ca="1">SUMIFS('ИП + источники'!AS$27:AS$145,'ИП + источники'!$F$27:$F$145,$F408,'ИП + источники'!$AC$27:$AC$145,"Прибыль на капвложения")</f>
        <v>0</v>
      </c>
      <c r="AS408" s="787">
        <f ca="1">SUMIFS('ИП + источники'!AT$27:AT$145,'ИП + источники'!$F$27:$F$145,$F408,'ИП + источники'!$AC$27:$AC$145,"Прибыль на капвложения")</f>
        <v>0</v>
      </c>
      <c r="AT408" s="147">
        <f ca="1">SUMIFS('ИП + источники'!AU$27:AU$145,'ИП + источники'!$F$27:$F$145,$F408,'ИП + источники'!$AC$27:$AC$145,"Прибыль на капвложения")</f>
        <v>0</v>
      </c>
      <c r="AU408" s="787">
        <f ca="1">SUMIFS('ИП + источники'!AV$27:AV$145,'ИП + источники'!$F$27:$F$145,$F408,'ИП + источники'!$AC$27:$AC$145,"Прибыль на капвложения")</f>
        <v>0</v>
      </c>
      <c r="AV408" s="787">
        <f ca="1">SUMIFS('ИП + источники'!AW$27:AW$145,'ИП + источники'!$F$27:$F$145,$F408,'ИП + источники'!$AC$27:$AC$145,"Прибыль на капвложения")</f>
        <v>0</v>
      </c>
      <c r="AW408" s="787">
        <f ca="1">SUMIFS('ИП + источники'!AX$27:AX$145,'ИП + источники'!$F$27:$F$145,$F408,'ИП + источники'!$AC$27:$AC$145,"Прибыль на капвложения")</f>
        <v>0</v>
      </c>
      <c r="AX408" s="787">
        <f ca="1">SUMIFS('ИП + источники'!AY$27:AY$145,'ИП + источники'!$F$27:$F$145,$F408,'ИП + источники'!$AC$27:$AC$145,"Прибыль на капвложения")</f>
        <v>0</v>
      </c>
      <c r="AY408" s="787">
        <f ca="1">SUMIFS('ИП + источники'!AZ$27:AZ$145,'ИП + источники'!$F$27:$F$145,$F408,'ИП + источники'!$AC$27:$AC$145,"Прибыль на капвложения")</f>
        <v>0</v>
      </c>
      <c r="AZ408" s="787">
        <f ca="1">SUMIFS('ИП + источники'!BA$27:BA$145,'ИП + источники'!$F$27:$F$145,$F408,'ИП + источники'!$AC$27:$AC$145,"Прибыль на капвложения")</f>
        <v>0</v>
      </c>
      <c r="BA408" s="787">
        <f ca="1">SUMIFS('ИП + источники'!BB$27:BB$145,'ИП + источники'!$F$27:$F$145,$F408,'ИП + источники'!$AC$27:$AC$145,"Прибыль на капвложения")</f>
        <v>0</v>
      </c>
      <c r="BB408" s="787">
        <f ca="1">SUMIFS('ИП + источники'!BC$27:BC$145,'ИП + источники'!$F$27:$F$145,$F408,'ИП + источники'!$AC$27:$AC$145,"Прибыль на капвложения")</f>
        <v>0</v>
      </c>
      <c r="BC408" s="787">
        <f ca="1">SUMIFS('ИП + источники'!BD$27:BD$145,'ИП + источники'!$F$27:$F$145,$F408,'ИП + источники'!$AC$27:$AC$145,"Прибыль на капвложения")</f>
        <v>0</v>
      </c>
      <c r="BD408" s="190">
        <f t="shared" ca="1" si="100"/>
        <v>0</v>
      </c>
      <c r="BE408" s="190">
        <f t="shared" ca="1" si="101"/>
        <v>0</v>
      </c>
      <c r="BF408" s="190">
        <f t="shared" ca="1" si="102"/>
        <v>0</v>
      </c>
      <c r="BG408" s="190">
        <f t="shared" ca="1" si="103"/>
        <v>0</v>
      </c>
      <c r="BH408" s="190">
        <f t="shared" ca="1" si="104"/>
        <v>0</v>
      </c>
      <c r="BI408" s="190">
        <f t="shared" ca="1" si="105"/>
        <v>0</v>
      </c>
      <c r="BJ408" s="190">
        <f t="shared" ca="1" si="106"/>
        <v>0</v>
      </c>
      <c r="BK408" s="190">
        <f t="shared" ca="1" si="107"/>
        <v>0</v>
      </c>
      <c r="BL408" s="190">
        <f t="shared" ca="1" si="108"/>
        <v>0</v>
      </c>
      <c r="BM408" s="190">
        <f t="shared" ca="1" si="109"/>
        <v>0</v>
      </c>
      <c r="BN408" s="215"/>
      <c r="BO408" s="610" t="str">
        <f ca="1">IF(IFERROR(INDEX('ИП + источники'!$K$57:$L$145,MATCH($F408&amp;"1komm",'ИП + источники'!$K$57:$K$145,0),2),"")=0,"",IFERROR(INDEX('ИП + источники'!$K$57:$L$145,MATCH($F408&amp;"1komm",'ИП + источники'!$K$57:$K$145,0),2),""))</f>
        <v/>
      </c>
      <c r="BP408" s="215"/>
      <c r="BS408" s="705" t="s">
        <v>1833</v>
      </c>
    </row>
    <row r="409" spans="1:75" ht="21.75" customHeight="1">
      <c r="B409" s="341" t="b" cm="1">
        <f t="array" ref="B409">B408</f>
        <v>1</v>
      </c>
      <c r="C409" s="44"/>
      <c r="D409" s="44"/>
      <c r="E409" s="462">
        <v>22.5</v>
      </c>
      <c r="F409" s="3" t="str" cm="1">
        <f t="array" aca="1" ref="F409" ca="1">OFFSET(E409,-1,1)</f>
        <v>2</v>
      </c>
      <c r="G409" s="44" t="s">
        <v>2132</v>
      </c>
      <c r="H409" s="44"/>
      <c r="I409" s="44" t="s">
        <v>954</v>
      </c>
      <c r="J409" s="44"/>
      <c r="L409" s="44" t="s">
        <v>573</v>
      </c>
      <c r="M409" s="44"/>
      <c r="N409" s="44"/>
      <c r="O409" s="44"/>
      <c r="P409" s="44"/>
      <c r="Q409" s="44"/>
      <c r="R409" s="44"/>
      <c r="S409" s="44"/>
      <c r="T409" s="365" t="b" cm="1">
        <f t="array" aca="1" ref="T409" ca="1">T408</f>
        <v>1</v>
      </c>
      <c r="U409" s="44"/>
      <c r="V409" s="44"/>
      <c r="W409" s="44"/>
      <c r="X409" s="1094"/>
      <c r="Z409" s="1065"/>
      <c r="AB409" s="26" t="s">
        <v>955</v>
      </c>
      <c r="AC409" s="146" t="s">
        <v>2133</v>
      </c>
      <c r="AD409" s="26" t="s">
        <v>804</v>
      </c>
      <c r="AE409" s="147"/>
      <c r="AF409" s="147"/>
      <c r="AG409" s="147"/>
      <c r="AH409" s="190">
        <f t="shared" si="98"/>
        <v>0</v>
      </c>
      <c r="AI409" s="147"/>
      <c r="AJ409" s="147"/>
      <c r="AK409" s="787"/>
      <c r="AL409" s="787"/>
      <c r="AM409" s="787"/>
      <c r="AN409" s="787"/>
      <c r="AO409" s="787"/>
      <c r="AP409" s="787"/>
      <c r="AQ409" s="787"/>
      <c r="AR409" s="787"/>
      <c r="AS409" s="787"/>
      <c r="AT409" s="147"/>
      <c r="AU409" s="787"/>
      <c r="AV409" s="787"/>
      <c r="AW409" s="787"/>
      <c r="AX409" s="787"/>
      <c r="AY409" s="787"/>
      <c r="AZ409" s="787"/>
      <c r="BA409" s="787"/>
      <c r="BB409" s="787"/>
      <c r="BC409" s="787"/>
      <c r="BD409" s="190">
        <f t="shared" si="100"/>
        <v>0</v>
      </c>
      <c r="BE409" s="190">
        <f t="shared" si="101"/>
        <v>0</v>
      </c>
      <c r="BF409" s="190">
        <f t="shared" si="102"/>
        <v>0</v>
      </c>
      <c r="BG409" s="190">
        <f t="shared" si="103"/>
        <v>0</v>
      </c>
      <c r="BH409" s="190">
        <f t="shared" si="104"/>
        <v>0</v>
      </c>
      <c r="BI409" s="190">
        <f t="shared" si="105"/>
        <v>0</v>
      </c>
      <c r="BJ409" s="190">
        <f t="shared" si="106"/>
        <v>0</v>
      </c>
      <c r="BK409" s="190">
        <f t="shared" si="107"/>
        <v>0</v>
      </c>
      <c r="BL409" s="190">
        <f t="shared" si="108"/>
        <v>0</v>
      </c>
      <c r="BM409" s="190">
        <f t="shared" si="109"/>
        <v>0</v>
      </c>
      <c r="BN409" s="215"/>
      <c r="BO409" s="215"/>
      <c r="BP409" s="215"/>
      <c r="BS409" s="705" t="s">
        <v>2134</v>
      </c>
    </row>
    <row r="410" spans="1:75" ht="96.75" customHeight="1">
      <c r="B410" s="341" t="b">
        <f>AND(method_reg="Метод индексации",STATUS_GO="да")</f>
        <v>0</v>
      </c>
      <c r="C410" s="44"/>
      <c r="D410" s="44"/>
      <c r="E410" s="462">
        <v>15</v>
      </c>
      <c r="F410" s="3" t="str" cm="1">
        <f t="array" aca="1" ref="F410" ca="1">OFFSET(E410,-1,1)</f>
        <v>2</v>
      </c>
      <c r="G410" s="44" t="s">
        <v>1836</v>
      </c>
      <c r="H410" s="44"/>
      <c r="I410" s="44" t="s">
        <v>511</v>
      </c>
      <c r="J410" s="44"/>
      <c r="L410" s="44" t="s">
        <v>577</v>
      </c>
      <c r="M410" s="44"/>
      <c r="N410" s="44"/>
      <c r="O410" s="44"/>
      <c r="P410" s="44"/>
      <c r="Q410" s="44"/>
      <c r="R410" s="44"/>
      <c r="S410" s="44"/>
      <c r="T410" s="365" t="b" cm="1">
        <f t="array" aca="1" ref="T410" ca="1">T409</f>
        <v>1</v>
      </c>
      <c r="U410" s="44"/>
      <c r="V410" s="44"/>
      <c r="W410" s="44"/>
      <c r="X410" s="1094"/>
      <c r="Z410" s="1065"/>
      <c r="AB410" s="26" t="s">
        <v>447</v>
      </c>
      <c r="AC410" s="358" t="s">
        <v>1836</v>
      </c>
      <c r="AD410" s="26" t="s">
        <v>804</v>
      </c>
      <c r="AE410" s="147">
        <v>1779.4477277087001</v>
      </c>
      <c r="AF410" s="147"/>
      <c r="AG410" s="147"/>
      <c r="AH410" s="190">
        <f t="shared" si="98"/>
        <v>0</v>
      </c>
      <c r="AI410" s="147">
        <v>1849.1082383787</v>
      </c>
      <c r="AJ410" s="147"/>
      <c r="AK410" s="787"/>
      <c r="AL410" s="787"/>
      <c r="AM410" s="787"/>
      <c r="AN410" s="787"/>
      <c r="AO410" s="787"/>
      <c r="AP410" s="787"/>
      <c r="AQ410" s="787"/>
      <c r="AR410" s="787"/>
      <c r="AS410" s="787"/>
      <c r="AT410" s="147"/>
      <c r="AU410" s="787"/>
      <c r="AV410" s="787"/>
      <c r="AW410" s="787"/>
      <c r="AX410" s="787"/>
      <c r="AY410" s="787"/>
      <c r="AZ410" s="787"/>
      <c r="BA410" s="787"/>
      <c r="BB410" s="787"/>
      <c r="BC410" s="787"/>
      <c r="BD410" s="190">
        <f t="shared" si="100"/>
        <v>-100</v>
      </c>
      <c r="BE410" s="190">
        <f t="shared" si="101"/>
        <v>0</v>
      </c>
      <c r="BF410" s="190">
        <f t="shared" si="102"/>
        <v>0</v>
      </c>
      <c r="BG410" s="190">
        <f t="shared" si="103"/>
        <v>0</v>
      </c>
      <c r="BH410" s="190">
        <f t="shared" si="104"/>
        <v>0</v>
      </c>
      <c r="BI410" s="190">
        <f t="shared" si="105"/>
        <v>0</v>
      </c>
      <c r="BJ410" s="190">
        <f t="shared" si="106"/>
        <v>0</v>
      </c>
      <c r="BK410" s="190">
        <f t="shared" si="107"/>
        <v>0</v>
      </c>
      <c r="BL410" s="190">
        <f t="shared" si="108"/>
        <v>0</v>
      </c>
      <c r="BM410" s="190">
        <f t="shared" si="109"/>
        <v>0</v>
      </c>
      <c r="BN410" s="215"/>
      <c r="BO410" s="215" t="s">
        <v>2210</v>
      </c>
      <c r="BP410" s="215" t="s">
        <v>2211</v>
      </c>
      <c r="BS410" s="705" t="s">
        <v>1837</v>
      </c>
    </row>
    <row r="411" spans="1:75" ht="14.25" hidden="1" customHeight="1">
      <c r="B411" s="590" t="b">
        <f>method_reg="Метод обеспечения доходности инвестированного капитала"</f>
        <v>0</v>
      </c>
      <c r="C411" s="44"/>
      <c r="D411" s="44"/>
      <c r="E411" s="462">
        <v>15</v>
      </c>
      <c r="F411" s="3" t="str" cm="1">
        <f t="array" aca="1" ref="F411" ca="1">OFFSET(E411,-1,1)</f>
        <v>2</v>
      </c>
      <c r="G411" s="44"/>
      <c r="H411" s="44"/>
      <c r="I411" s="44"/>
      <c r="J411" s="44"/>
      <c r="K411" s="44" t="s">
        <v>331</v>
      </c>
      <c r="L411" s="44"/>
      <c r="M411" s="44"/>
      <c r="N411" s="44"/>
      <c r="O411" s="44"/>
      <c r="P411" s="44"/>
      <c r="Q411" s="44"/>
      <c r="R411" s="44"/>
      <c r="S411" s="44"/>
      <c r="T411" s="590" t="b" cm="1">
        <f t="array" aca="1" ref="T411" ca="1">T410</f>
        <v>1</v>
      </c>
      <c r="U411" s="44"/>
      <c r="V411" s="44"/>
      <c r="W411" s="44"/>
      <c r="X411" s="1094"/>
      <c r="Z411" s="1065"/>
      <c r="AB411" s="143" t="s">
        <v>433</v>
      </c>
      <c r="AC411" s="151" t="s">
        <v>2135</v>
      </c>
      <c r="AD411" s="143" t="s">
        <v>804</v>
      </c>
      <c r="AE411" s="783"/>
      <c r="AF411" s="783"/>
      <c r="AG411" s="783"/>
      <c r="AH411" s="145">
        <f t="shared" si="98"/>
        <v>0</v>
      </c>
      <c r="AI411" s="783"/>
      <c r="AJ411" s="783"/>
      <c r="AK411" s="783"/>
      <c r="AL411" s="783"/>
      <c r="AM411" s="783"/>
      <c r="AN411" s="783"/>
      <c r="AO411" s="783"/>
      <c r="AP411" s="783"/>
      <c r="AQ411" s="783"/>
      <c r="AR411" s="783"/>
      <c r="AS411" s="783"/>
      <c r="AT411" s="783"/>
      <c r="AU411" s="783"/>
      <c r="AV411" s="783"/>
      <c r="AW411" s="783"/>
      <c r="AX411" s="783"/>
      <c r="AY411" s="783"/>
      <c r="AZ411" s="783"/>
      <c r="BA411" s="783"/>
      <c r="BB411" s="783"/>
      <c r="BC411" s="783"/>
      <c r="BD411" s="145">
        <f t="shared" si="100"/>
        <v>0</v>
      </c>
      <c r="BE411" s="145">
        <f t="shared" si="101"/>
        <v>0</v>
      </c>
      <c r="BF411" s="145">
        <f t="shared" si="102"/>
        <v>0</v>
      </c>
      <c r="BG411" s="145">
        <f t="shared" si="103"/>
        <v>0</v>
      </c>
      <c r="BH411" s="145">
        <f t="shared" si="104"/>
        <v>0</v>
      </c>
      <c r="BI411" s="145">
        <f t="shared" si="105"/>
        <v>0</v>
      </c>
      <c r="BJ411" s="145">
        <f t="shared" si="106"/>
        <v>0</v>
      </c>
      <c r="BK411" s="145">
        <f t="shared" si="107"/>
        <v>0</v>
      </c>
      <c r="BL411" s="145">
        <f t="shared" si="108"/>
        <v>0</v>
      </c>
      <c r="BM411" s="145">
        <f t="shared" si="109"/>
        <v>0</v>
      </c>
      <c r="BN411" s="786"/>
      <c r="BO411" s="786"/>
      <c r="BP411" s="786"/>
      <c r="BS411" s="705" t="s">
        <v>2136</v>
      </c>
    </row>
    <row r="412" spans="1:75" ht="14.25" hidden="1" customHeight="1">
      <c r="B412" s="590" t="b" cm="1">
        <f t="array" ref="B412">B411</f>
        <v>0</v>
      </c>
      <c r="C412" s="44"/>
      <c r="D412" s="44"/>
      <c r="E412" s="462">
        <v>15</v>
      </c>
      <c r="F412" s="3" t="str" cm="1">
        <f t="array" aca="1" ref="F412" ca="1">OFFSET(E412,-1,1)</f>
        <v>2</v>
      </c>
      <c r="G412" s="44"/>
      <c r="H412" s="44"/>
      <c r="I412" s="44"/>
      <c r="J412" s="44"/>
      <c r="K412" s="44" t="s">
        <v>536</v>
      </c>
      <c r="L412" s="44"/>
      <c r="M412" s="44"/>
      <c r="N412" s="44"/>
      <c r="O412" s="44"/>
      <c r="P412" s="44"/>
      <c r="Q412" s="44"/>
      <c r="R412" s="44"/>
      <c r="S412" s="44"/>
      <c r="T412" s="590" t="b" cm="1">
        <f t="array" aca="1" ref="T412" ca="1">T411</f>
        <v>1</v>
      </c>
      <c r="U412" s="44"/>
      <c r="V412" s="44"/>
      <c r="W412" s="44"/>
      <c r="X412" s="1094"/>
      <c r="Z412" s="1065"/>
      <c r="AB412" s="26" t="s">
        <v>673</v>
      </c>
      <c r="AC412" s="146" t="s">
        <v>2137</v>
      </c>
      <c r="AD412" s="26" t="s">
        <v>804</v>
      </c>
      <c r="AE412" s="787"/>
      <c r="AF412" s="787"/>
      <c r="AG412" s="787"/>
      <c r="AH412" s="552"/>
      <c r="AI412" s="787"/>
      <c r="AJ412" s="787"/>
      <c r="AK412" s="787"/>
      <c r="AL412" s="787"/>
      <c r="AM412" s="787"/>
      <c r="AN412" s="787"/>
      <c r="AO412" s="787"/>
      <c r="AP412" s="787"/>
      <c r="AQ412" s="787"/>
      <c r="AR412" s="787"/>
      <c r="AS412" s="787"/>
      <c r="AT412" s="787"/>
      <c r="AU412" s="787"/>
      <c r="AV412" s="787"/>
      <c r="AW412" s="787"/>
      <c r="AX412" s="787"/>
      <c r="AY412" s="787"/>
      <c r="AZ412" s="787"/>
      <c r="BA412" s="787"/>
      <c r="BB412" s="787"/>
      <c r="BC412" s="787"/>
      <c r="BD412" s="552"/>
      <c r="BE412" s="552"/>
      <c r="BF412" s="552"/>
      <c r="BG412" s="552"/>
      <c r="BH412" s="552"/>
      <c r="BI412" s="552"/>
      <c r="BJ412" s="552"/>
      <c r="BK412" s="552"/>
      <c r="BL412" s="552"/>
      <c r="BM412" s="552"/>
      <c r="BN412" s="784"/>
      <c r="BO412" s="784"/>
      <c r="BP412" s="784"/>
      <c r="BS412" s="705" t="s">
        <v>2138</v>
      </c>
    </row>
    <row r="413" spans="1:75" ht="14.25" hidden="1" customHeight="1">
      <c r="B413" s="590" t="b" cm="1">
        <f t="array" ref="B413">B412</f>
        <v>0</v>
      </c>
      <c r="C413" s="44"/>
      <c r="D413" s="44"/>
      <c r="E413" s="462">
        <v>15</v>
      </c>
      <c r="F413" s="3" t="str" cm="1">
        <f t="array" aca="1" ref="F413" ca="1">OFFSET(E413,-1,1)</f>
        <v>2</v>
      </c>
      <c r="G413" s="44"/>
      <c r="H413" s="44"/>
      <c r="I413" s="44"/>
      <c r="J413" s="44"/>
      <c r="K413" s="44" t="s">
        <v>540</v>
      </c>
      <c r="L413" s="44"/>
      <c r="M413" s="44"/>
      <c r="N413" s="44"/>
      <c r="O413" s="44"/>
      <c r="P413" s="44"/>
      <c r="Q413" s="44"/>
      <c r="R413" s="44"/>
      <c r="S413" s="44"/>
      <c r="T413" s="590" t="b" cm="1">
        <f t="array" aca="1" ref="T413" ca="1">T412</f>
        <v>1</v>
      </c>
      <c r="U413" s="44"/>
      <c r="V413" s="44"/>
      <c r="W413" s="44"/>
      <c r="X413" s="1094"/>
      <c r="Z413" s="1065"/>
      <c r="AB413" s="26" t="s">
        <v>676</v>
      </c>
      <c r="AC413" s="146" t="s">
        <v>2139</v>
      </c>
      <c r="AD413" s="26" t="s">
        <v>2140</v>
      </c>
      <c r="AE413" s="787"/>
      <c r="AF413" s="787"/>
      <c r="AG413" s="787"/>
      <c r="AH413" s="552"/>
      <c r="AI413" s="787"/>
      <c r="AJ413" s="787"/>
      <c r="AK413" s="787"/>
      <c r="AL413" s="787"/>
      <c r="AM413" s="787"/>
      <c r="AN413" s="787"/>
      <c r="AO413" s="787"/>
      <c r="AP413" s="787"/>
      <c r="AQ413" s="787"/>
      <c r="AR413" s="787"/>
      <c r="AS413" s="787"/>
      <c r="AT413" s="787"/>
      <c r="AU413" s="787"/>
      <c r="AV413" s="787"/>
      <c r="AW413" s="787"/>
      <c r="AX413" s="787"/>
      <c r="AY413" s="787"/>
      <c r="AZ413" s="787"/>
      <c r="BA413" s="787"/>
      <c r="BB413" s="787"/>
      <c r="BC413" s="787"/>
      <c r="BD413" s="552"/>
      <c r="BE413" s="552"/>
      <c r="BF413" s="552"/>
      <c r="BG413" s="552"/>
      <c r="BH413" s="552"/>
      <c r="BI413" s="552"/>
      <c r="BJ413" s="552"/>
      <c r="BK413" s="552"/>
      <c r="BL413" s="552"/>
      <c r="BM413" s="552"/>
      <c r="BN413" s="784"/>
      <c r="BO413" s="784"/>
      <c r="BP413" s="784"/>
      <c r="BS413" s="705" t="s">
        <v>2141</v>
      </c>
    </row>
    <row r="414" spans="1:75" ht="14.25" hidden="1" customHeight="1">
      <c r="B414" s="590" t="b" cm="1">
        <f t="array" ref="B414">B413</f>
        <v>0</v>
      </c>
      <c r="C414" s="44"/>
      <c r="D414" s="44"/>
      <c r="E414" s="462">
        <v>15</v>
      </c>
      <c r="F414" s="3" t="str" cm="1">
        <f t="array" aca="1" ref="F414" ca="1">OFFSET(E414,-1,1)</f>
        <v>2</v>
      </c>
      <c r="G414" s="44"/>
      <c r="H414" s="44"/>
      <c r="I414" s="44"/>
      <c r="J414" s="44"/>
      <c r="K414" s="44" t="s">
        <v>330</v>
      </c>
      <c r="L414" s="44"/>
      <c r="M414" s="44"/>
      <c r="N414" s="44"/>
      <c r="O414" s="44"/>
      <c r="P414" s="44"/>
      <c r="Q414" s="44"/>
      <c r="R414" s="44"/>
      <c r="S414" s="44"/>
      <c r="T414" s="590" t="b" cm="1">
        <f t="array" aca="1" ref="T414" ca="1">T413</f>
        <v>1</v>
      </c>
      <c r="U414" s="44"/>
      <c r="V414" s="44"/>
      <c r="W414" s="44"/>
      <c r="X414" s="1094"/>
      <c r="Z414" s="1065"/>
      <c r="AB414" s="143" t="s">
        <v>444</v>
      </c>
      <c r="AC414" s="151" t="s">
        <v>2142</v>
      </c>
      <c r="AD414" s="143" t="s">
        <v>804</v>
      </c>
      <c r="AE414" s="783"/>
      <c r="AF414" s="783"/>
      <c r="AG414" s="783"/>
      <c r="AH414" s="145">
        <f>AG414-AF414</f>
        <v>0</v>
      </c>
      <c r="AI414" s="783"/>
      <c r="AJ414" s="783"/>
      <c r="AK414" s="783"/>
      <c r="AL414" s="783"/>
      <c r="AM414" s="783"/>
      <c r="AN414" s="783"/>
      <c r="AO414" s="783"/>
      <c r="AP414" s="783"/>
      <c r="AQ414" s="783"/>
      <c r="AR414" s="783"/>
      <c r="AS414" s="783"/>
      <c r="AT414" s="783"/>
      <c r="AU414" s="783"/>
      <c r="AV414" s="783"/>
      <c r="AW414" s="783"/>
      <c r="AX414" s="783"/>
      <c r="AY414" s="783"/>
      <c r="AZ414" s="783"/>
      <c r="BA414" s="783"/>
      <c r="BB414" s="783"/>
      <c r="BC414" s="783"/>
      <c r="BD414" s="145">
        <f>IF(AI414=0,0,(AT414-AI414)/AI414*100)</f>
        <v>0</v>
      </c>
      <c r="BE414" s="145">
        <f t="shared" ref="BE414:BM414" si="114">IF(AT414=0,0,(AU414-AT414)/AT414*100)</f>
        <v>0</v>
      </c>
      <c r="BF414" s="145">
        <f t="shared" si="114"/>
        <v>0</v>
      </c>
      <c r="BG414" s="145">
        <f t="shared" si="114"/>
        <v>0</v>
      </c>
      <c r="BH414" s="145">
        <f t="shared" si="114"/>
        <v>0</v>
      </c>
      <c r="BI414" s="145">
        <f t="shared" si="114"/>
        <v>0</v>
      </c>
      <c r="BJ414" s="145">
        <f t="shared" si="114"/>
        <v>0</v>
      </c>
      <c r="BK414" s="145">
        <f t="shared" si="114"/>
        <v>0</v>
      </c>
      <c r="BL414" s="145">
        <f t="shared" si="114"/>
        <v>0</v>
      </c>
      <c r="BM414" s="145">
        <f t="shared" si="114"/>
        <v>0</v>
      </c>
      <c r="BN414" s="786"/>
      <c r="BO414" s="786"/>
      <c r="BP414" s="786"/>
      <c r="BS414" s="705" t="s">
        <v>2143</v>
      </c>
    </row>
    <row r="415" spans="1:75" ht="14.25" hidden="1" customHeight="1">
      <c r="B415" s="590" t="b" cm="1">
        <f t="array" ref="B415">B414</f>
        <v>0</v>
      </c>
      <c r="C415" s="44"/>
      <c r="D415" s="44"/>
      <c r="E415" s="462">
        <v>15</v>
      </c>
      <c r="F415" s="3" t="str" cm="1">
        <f t="array" aca="1" ref="F415" ca="1">OFFSET(E415,-1,1)</f>
        <v>2</v>
      </c>
      <c r="G415" s="44"/>
      <c r="H415" s="44"/>
      <c r="I415" s="44"/>
      <c r="J415" s="44"/>
      <c r="K415" s="44" t="s">
        <v>550</v>
      </c>
      <c r="L415" s="44"/>
      <c r="M415" s="44"/>
      <c r="N415" s="44"/>
      <c r="O415" s="44"/>
      <c r="P415" s="44"/>
      <c r="Q415" s="44"/>
      <c r="R415" s="44"/>
      <c r="S415" s="44"/>
      <c r="T415" s="590" t="b" cm="1">
        <f t="array" aca="1" ref="T415" ca="1">T414</f>
        <v>1</v>
      </c>
      <c r="U415" s="44"/>
      <c r="V415" s="44"/>
      <c r="W415" s="44"/>
      <c r="X415" s="1094"/>
      <c r="Z415" s="1065"/>
      <c r="AB415" s="26" t="s">
        <v>680</v>
      </c>
      <c r="AC415" s="146" t="s">
        <v>2144</v>
      </c>
      <c r="AD415" s="26" t="s">
        <v>804</v>
      </c>
      <c r="AE415" s="787"/>
      <c r="AF415" s="787"/>
      <c r="AG415" s="787"/>
      <c r="AH415" s="552"/>
      <c r="AI415" s="787"/>
      <c r="AJ415" s="787"/>
      <c r="AK415" s="787"/>
      <c r="AL415" s="787"/>
      <c r="AM415" s="787"/>
      <c r="AN415" s="787"/>
      <c r="AO415" s="787"/>
      <c r="AP415" s="787"/>
      <c r="AQ415" s="787"/>
      <c r="AR415" s="787"/>
      <c r="AS415" s="787"/>
      <c r="AT415" s="787"/>
      <c r="AU415" s="787"/>
      <c r="AV415" s="787"/>
      <c r="AW415" s="787"/>
      <c r="AX415" s="787"/>
      <c r="AY415" s="787"/>
      <c r="AZ415" s="787"/>
      <c r="BA415" s="787"/>
      <c r="BB415" s="787"/>
      <c r="BC415" s="787"/>
      <c r="BD415" s="552"/>
      <c r="BE415" s="552"/>
      <c r="BF415" s="552"/>
      <c r="BG415" s="552"/>
      <c r="BH415" s="552"/>
      <c r="BI415" s="552"/>
      <c r="BJ415" s="552"/>
      <c r="BK415" s="552"/>
      <c r="BL415" s="552"/>
      <c r="BM415" s="552"/>
      <c r="BN415" s="784"/>
      <c r="BO415" s="784"/>
      <c r="BP415" s="784"/>
      <c r="BS415" s="705" t="s">
        <v>2145</v>
      </c>
    </row>
    <row r="416" spans="1:75" ht="14.25" hidden="1" customHeight="1">
      <c r="B416" s="590" t="b" cm="1">
        <f t="array" ref="B416">B415</f>
        <v>0</v>
      </c>
      <c r="C416" s="44"/>
      <c r="D416" s="44"/>
      <c r="E416" s="462">
        <v>15</v>
      </c>
      <c r="F416" s="3" t="str" cm="1">
        <f t="array" aca="1" ref="F416" ca="1">OFFSET(E416,-1,1)</f>
        <v>2</v>
      </c>
      <c r="G416" s="44"/>
      <c r="H416" s="44"/>
      <c r="I416" s="44"/>
      <c r="J416" s="44"/>
      <c r="K416" s="44" t="s">
        <v>554</v>
      </c>
      <c r="L416" s="44"/>
      <c r="M416" s="44"/>
      <c r="N416" s="44"/>
      <c r="O416" s="44"/>
      <c r="P416" s="44"/>
      <c r="Q416" s="44"/>
      <c r="R416" s="44"/>
      <c r="S416" s="44"/>
      <c r="T416" s="590" t="b" cm="1">
        <f t="array" aca="1" ref="T416" ca="1">T415</f>
        <v>1</v>
      </c>
      <c r="U416" s="44"/>
      <c r="V416" s="44"/>
      <c r="W416" s="44"/>
      <c r="X416" s="1094"/>
      <c r="Z416" s="1065"/>
      <c r="AB416" s="26" t="s">
        <v>683</v>
      </c>
      <c r="AC416" s="146" t="s">
        <v>2146</v>
      </c>
      <c r="AD416" s="26" t="s">
        <v>456</v>
      </c>
      <c r="AE416" s="787"/>
      <c r="AF416" s="787"/>
      <c r="AG416" s="787"/>
      <c r="AH416" s="552"/>
      <c r="AI416" s="787"/>
      <c r="AJ416" s="787"/>
      <c r="AK416" s="787"/>
      <c r="AL416" s="787"/>
      <c r="AM416" s="787"/>
      <c r="AN416" s="787"/>
      <c r="AO416" s="787"/>
      <c r="AP416" s="787"/>
      <c r="AQ416" s="787"/>
      <c r="AR416" s="787"/>
      <c r="AS416" s="787"/>
      <c r="AT416" s="787"/>
      <c r="AU416" s="787"/>
      <c r="AV416" s="787"/>
      <c r="AW416" s="787"/>
      <c r="AX416" s="787"/>
      <c r="AY416" s="787"/>
      <c r="AZ416" s="787"/>
      <c r="BA416" s="787"/>
      <c r="BB416" s="787"/>
      <c r="BC416" s="787"/>
      <c r="BD416" s="552"/>
      <c r="BE416" s="552"/>
      <c r="BF416" s="552"/>
      <c r="BG416" s="552"/>
      <c r="BH416" s="552"/>
      <c r="BI416" s="552"/>
      <c r="BJ416" s="552"/>
      <c r="BK416" s="552"/>
      <c r="BL416" s="552"/>
      <c r="BM416" s="552"/>
      <c r="BN416" s="784"/>
      <c r="BO416" s="784"/>
      <c r="BP416" s="784"/>
      <c r="BS416" s="705" t="s">
        <v>2147</v>
      </c>
    </row>
    <row r="417" spans="1:75" ht="14.25" hidden="1" customHeight="1">
      <c r="B417" s="590" t="b" cm="1">
        <f t="array" ref="B417">B416</f>
        <v>0</v>
      </c>
      <c r="C417" s="44"/>
      <c r="D417" s="44"/>
      <c r="E417" s="462">
        <v>15</v>
      </c>
      <c r="F417" s="3" t="str" cm="1">
        <f t="array" aca="1" ref="F417" ca="1">OFFSET(E417,-1,1)</f>
        <v>2</v>
      </c>
      <c r="G417" s="44"/>
      <c r="H417" s="44"/>
      <c r="I417" s="44"/>
      <c r="J417" s="44"/>
      <c r="K417" s="44" t="s">
        <v>770</v>
      </c>
      <c r="L417" s="44"/>
      <c r="M417" s="44"/>
      <c r="N417" s="44"/>
      <c r="O417" s="44"/>
      <c r="P417" s="44"/>
      <c r="Q417" s="44"/>
      <c r="R417" s="44"/>
      <c r="S417" s="44"/>
      <c r="T417" s="590" t="b" cm="1">
        <f t="array" aca="1" ref="T417" ca="1">T416</f>
        <v>1</v>
      </c>
      <c r="U417" s="44"/>
      <c r="V417" s="44"/>
      <c r="W417" s="44"/>
      <c r="X417" s="1094"/>
      <c r="Z417" s="1065"/>
      <c r="AB417" s="26" t="s">
        <v>952</v>
      </c>
      <c r="AC417" s="146" t="s">
        <v>2148</v>
      </c>
      <c r="AD417" s="26" t="s">
        <v>804</v>
      </c>
      <c r="AE417" s="787"/>
      <c r="AF417" s="787"/>
      <c r="AG417" s="787"/>
      <c r="AH417" s="552"/>
      <c r="AI417" s="787"/>
      <c r="AJ417" s="787"/>
      <c r="AK417" s="787"/>
      <c r="AL417" s="787"/>
      <c r="AM417" s="787"/>
      <c r="AN417" s="787"/>
      <c r="AO417" s="787"/>
      <c r="AP417" s="787"/>
      <c r="AQ417" s="787"/>
      <c r="AR417" s="787"/>
      <c r="AS417" s="787"/>
      <c r="AT417" s="787"/>
      <c r="AU417" s="787"/>
      <c r="AV417" s="787"/>
      <c r="AW417" s="787"/>
      <c r="AX417" s="787"/>
      <c r="AY417" s="787"/>
      <c r="AZ417" s="787"/>
      <c r="BA417" s="787"/>
      <c r="BB417" s="787"/>
      <c r="BC417" s="787"/>
      <c r="BD417" s="552"/>
      <c r="BE417" s="552"/>
      <c r="BF417" s="552"/>
      <c r="BG417" s="552"/>
      <c r="BH417" s="552"/>
      <c r="BI417" s="552"/>
      <c r="BJ417" s="552"/>
      <c r="BK417" s="552"/>
      <c r="BL417" s="552"/>
      <c r="BM417" s="552"/>
      <c r="BN417" s="784"/>
      <c r="BO417" s="784"/>
      <c r="BP417" s="784"/>
      <c r="BS417" s="705" t="s">
        <v>2149</v>
      </c>
    </row>
    <row r="418" spans="1:75" ht="14.25" hidden="1" customHeight="1">
      <c r="B418" s="590" t="b" cm="1">
        <f t="array" ref="B418">B417</f>
        <v>0</v>
      </c>
      <c r="C418" s="44"/>
      <c r="D418" s="44"/>
      <c r="E418" s="462">
        <v>15</v>
      </c>
      <c r="F418" s="3" t="str" cm="1">
        <f t="array" aca="1" ref="F418" ca="1">OFFSET(E418,-1,1)</f>
        <v>2</v>
      </c>
      <c r="G418" s="44"/>
      <c r="H418" s="44"/>
      <c r="I418" s="44"/>
      <c r="J418" s="44"/>
      <c r="K418" s="44" t="s">
        <v>954</v>
      </c>
      <c r="L418" s="44"/>
      <c r="M418" s="44"/>
      <c r="N418" s="44"/>
      <c r="O418" s="44"/>
      <c r="P418" s="44"/>
      <c r="Q418" s="44"/>
      <c r="R418" s="44"/>
      <c r="S418" s="44"/>
      <c r="T418" s="590" t="b" cm="1">
        <f t="array" aca="1" ref="T418" ca="1">T417</f>
        <v>1</v>
      </c>
      <c r="U418" s="44"/>
      <c r="V418" s="44"/>
      <c r="W418" s="44"/>
      <c r="X418" s="1094"/>
      <c r="Z418" s="1065"/>
      <c r="AB418" s="26" t="s">
        <v>955</v>
      </c>
      <c r="AC418" s="146" t="s">
        <v>2150</v>
      </c>
      <c r="AD418" s="26" t="s">
        <v>804</v>
      </c>
      <c r="AE418" s="787"/>
      <c r="AF418" s="787"/>
      <c r="AG418" s="787"/>
      <c r="AH418" s="552"/>
      <c r="AI418" s="787"/>
      <c r="AJ418" s="787"/>
      <c r="AK418" s="787"/>
      <c r="AL418" s="787"/>
      <c r="AM418" s="787"/>
      <c r="AN418" s="787"/>
      <c r="AO418" s="787"/>
      <c r="AP418" s="787"/>
      <c r="AQ418" s="787"/>
      <c r="AR418" s="787"/>
      <c r="AS418" s="787"/>
      <c r="AT418" s="787"/>
      <c r="AU418" s="787"/>
      <c r="AV418" s="787"/>
      <c r="AW418" s="787"/>
      <c r="AX418" s="787"/>
      <c r="AY418" s="787"/>
      <c r="AZ418" s="787"/>
      <c r="BA418" s="787"/>
      <c r="BB418" s="787"/>
      <c r="BC418" s="787"/>
      <c r="BD418" s="552"/>
      <c r="BE418" s="552"/>
      <c r="BF418" s="552"/>
      <c r="BG418" s="552"/>
      <c r="BH418" s="552"/>
      <c r="BI418" s="552"/>
      <c r="BJ418" s="552"/>
      <c r="BK418" s="552"/>
      <c r="BL418" s="552"/>
      <c r="BM418" s="552"/>
      <c r="BN418" s="784"/>
      <c r="BO418" s="784"/>
      <c r="BP418" s="784"/>
      <c r="BS418" s="705" t="s">
        <v>2151</v>
      </c>
    </row>
    <row r="419" spans="1:75" ht="14.25" hidden="1" customHeight="1">
      <c r="B419" s="590" t="b" cm="1">
        <f t="array" ref="B419">B418</f>
        <v>0</v>
      </c>
      <c r="C419" s="44"/>
      <c r="D419" s="44"/>
      <c r="E419" s="462">
        <v>15</v>
      </c>
      <c r="F419" s="3" t="str" cm="1">
        <f t="array" aca="1" ref="F419" ca="1">OFFSET(E419,-1,1)</f>
        <v>2</v>
      </c>
      <c r="G419" s="44"/>
      <c r="H419" s="44"/>
      <c r="I419" s="44"/>
      <c r="J419" s="44"/>
      <c r="K419" s="44" t="s">
        <v>2152</v>
      </c>
      <c r="L419" s="44"/>
      <c r="M419" s="44"/>
      <c r="N419" s="44"/>
      <c r="O419" s="44"/>
      <c r="P419" s="44"/>
      <c r="Q419" s="44"/>
      <c r="R419" s="44"/>
      <c r="S419" s="44"/>
      <c r="T419" s="590" t="b" cm="1">
        <f t="array" aca="1" ref="T419" ca="1">T418</f>
        <v>1</v>
      </c>
      <c r="U419" s="44"/>
      <c r="V419" s="44"/>
      <c r="W419" s="44"/>
      <c r="X419" s="1094"/>
      <c r="Z419" s="1065"/>
      <c r="AB419" s="26" t="s">
        <v>2153</v>
      </c>
      <c r="AC419" s="153" t="s">
        <v>2154</v>
      </c>
      <c r="AD419" s="26" t="s">
        <v>456</v>
      </c>
      <c r="AE419" s="787"/>
      <c r="AF419" s="787"/>
      <c r="AG419" s="787"/>
      <c r="AH419" s="552"/>
      <c r="AI419" s="787"/>
      <c r="AJ419" s="787"/>
      <c r="AK419" s="787"/>
      <c r="AL419" s="787"/>
      <c r="AM419" s="787"/>
      <c r="AN419" s="787"/>
      <c r="AO419" s="787"/>
      <c r="AP419" s="787"/>
      <c r="AQ419" s="787"/>
      <c r="AR419" s="787"/>
      <c r="AS419" s="787"/>
      <c r="AT419" s="787"/>
      <c r="AU419" s="787"/>
      <c r="AV419" s="787"/>
      <c r="AW419" s="787"/>
      <c r="AX419" s="787"/>
      <c r="AY419" s="787"/>
      <c r="AZ419" s="787"/>
      <c r="BA419" s="787"/>
      <c r="BB419" s="787"/>
      <c r="BC419" s="787"/>
      <c r="BD419" s="552"/>
      <c r="BE419" s="552"/>
      <c r="BF419" s="552"/>
      <c r="BG419" s="552"/>
      <c r="BH419" s="552"/>
      <c r="BI419" s="552"/>
      <c r="BJ419" s="552"/>
      <c r="BK419" s="552"/>
      <c r="BL419" s="552"/>
      <c r="BM419" s="552"/>
      <c r="BN419" s="784"/>
      <c r="BO419" s="784"/>
      <c r="BP419" s="784"/>
      <c r="BS419" s="705" t="s">
        <v>2155</v>
      </c>
    </row>
    <row r="420" spans="1:75" ht="14.25" hidden="1" customHeight="1">
      <c r="B420" s="590" t="b" cm="1">
        <f t="array" ref="B420">B419</f>
        <v>0</v>
      </c>
      <c r="C420" s="44"/>
      <c r="D420" s="44"/>
      <c r="E420" s="462">
        <v>15</v>
      </c>
      <c r="F420" s="3" t="str" cm="1">
        <f t="array" aca="1" ref="F420" ca="1">OFFSET(E420,-1,1)</f>
        <v>2</v>
      </c>
      <c r="G420" s="44"/>
      <c r="H420" s="44"/>
      <c r="I420" s="44"/>
      <c r="J420" s="44"/>
      <c r="K420" s="44" t="s">
        <v>957</v>
      </c>
      <c r="L420" s="44"/>
      <c r="M420" s="44"/>
      <c r="N420" s="44"/>
      <c r="O420" s="44"/>
      <c r="P420" s="44"/>
      <c r="Q420" s="44"/>
      <c r="R420" s="44"/>
      <c r="S420" s="44"/>
      <c r="T420" s="590" t="b" cm="1">
        <f t="array" aca="1" ref="T420" ca="1">T419</f>
        <v>1</v>
      </c>
      <c r="U420" s="44"/>
      <c r="V420" s="44"/>
      <c r="W420" s="44"/>
      <c r="X420" s="1094"/>
      <c r="Z420" s="1065"/>
      <c r="AB420" s="26" t="s">
        <v>958</v>
      </c>
      <c r="AC420" s="146" t="s">
        <v>2156</v>
      </c>
      <c r="AD420" s="26" t="s">
        <v>456</v>
      </c>
      <c r="AE420" s="787"/>
      <c r="AF420" s="787"/>
      <c r="AG420" s="787"/>
      <c r="AH420" s="552"/>
      <c r="AI420" s="787"/>
      <c r="AJ420" s="787"/>
      <c r="AK420" s="787"/>
      <c r="AL420" s="787"/>
      <c r="AM420" s="787"/>
      <c r="AN420" s="787"/>
      <c r="AO420" s="787"/>
      <c r="AP420" s="787"/>
      <c r="AQ420" s="787"/>
      <c r="AR420" s="787"/>
      <c r="AS420" s="787"/>
      <c r="AT420" s="787"/>
      <c r="AU420" s="787"/>
      <c r="AV420" s="787"/>
      <c r="AW420" s="787"/>
      <c r="AX420" s="787"/>
      <c r="AY420" s="787"/>
      <c r="AZ420" s="787"/>
      <c r="BA420" s="787"/>
      <c r="BB420" s="787"/>
      <c r="BC420" s="787"/>
      <c r="BD420" s="552"/>
      <c r="BE420" s="552"/>
      <c r="BF420" s="552"/>
      <c r="BG420" s="552"/>
      <c r="BH420" s="552"/>
      <c r="BI420" s="552"/>
      <c r="BJ420" s="552"/>
      <c r="BK420" s="552"/>
      <c r="BL420" s="552"/>
      <c r="BM420" s="552"/>
      <c r="BN420" s="784"/>
      <c r="BO420" s="784"/>
      <c r="BP420" s="784"/>
      <c r="BS420" s="705" t="s">
        <v>2157</v>
      </c>
    </row>
    <row r="421" spans="1:75" ht="14.25" hidden="1" customHeight="1">
      <c r="B421" s="590" t="b" cm="1">
        <f t="array" ref="B421">B420</f>
        <v>0</v>
      </c>
      <c r="C421" s="44"/>
      <c r="D421" s="44"/>
      <c r="E421" s="462">
        <v>15</v>
      </c>
      <c r="F421" s="3" t="str" cm="1">
        <f t="array" aca="1" ref="F421" ca="1">OFFSET(E421,-1,1)</f>
        <v>2</v>
      </c>
      <c r="G421" s="44"/>
      <c r="H421" s="44"/>
      <c r="I421" s="44"/>
      <c r="J421" s="44"/>
      <c r="K421" s="44" t="s">
        <v>2158</v>
      </c>
      <c r="L421" s="44"/>
      <c r="M421" s="44"/>
      <c r="N421" s="44"/>
      <c r="O421" s="44"/>
      <c r="P421" s="44"/>
      <c r="Q421" s="44"/>
      <c r="R421" s="44"/>
      <c r="S421" s="44"/>
      <c r="T421" s="590" t="b" cm="1">
        <f t="array" aca="1" ref="T421" ca="1">T420</f>
        <v>1</v>
      </c>
      <c r="U421" s="44"/>
      <c r="V421" s="44"/>
      <c r="W421" s="44"/>
      <c r="X421" s="1094"/>
      <c r="Z421" s="1065"/>
      <c r="AB421" s="26" t="s">
        <v>2159</v>
      </c>
      <c r="AC421" s="153" t="s">
        <v>2160</v>
      </c>
      <c r="AD421" s="26" t="s">
        <v>456</v>
      </c>
      <c r="AE421" s="787"/>
      <c r="AF421" s="787"/>
      <c r="AG421" s="787"/>
      <c r="AH421" s="552"/>
      <c r="AI421" s="787"/>
      <c r="AJ421" s="787"/>
      <c r="AK421" s="787"/>
      <c r="AL421" s="787"/>
      <c r="AM421" s="787"/>
      <c r="AN421" s="787"/>
      <c r="AO421" s="787"/>
      <c r="AP421" s="787"/>
      <c r="AQ421" s="787"/>
      <c r="AR421" s="787"/>
      <c r="AS421" s="787"/>
      <c r="AT421" s="787"/>
      <c r="AU421" s="787"/>
      <c r="AV421" s="787"/>
      <c r="AW421" s="787"/>
      <c r="AX421" s="787"/>
      <c r="AY421" s="787"/>
      <c r="AZ421" s="787"/>
      <c r="BA421" s="787"/>
      <c r="BB421" s="787"/>
      <c r="BC421" s="787"/>
      <c r="BD421" s="552"/>
      <c r="BE421" s="552"/>
      <c r="BF421" s="552"/>
      <c r="BG421" s="552"/>
      <c r="BH421" s="552"/>
      <c r="BI421" s="552"/>
      <c r="BJ421" s="552"/>
      <c r="BK421" s="552"/>
      <c r="BL421" s="552"/>
      <c r="BM421" s="552"/>
      <c r="BN421" s="784"/>
      <c r="BO421" s="784"/>
      <c r="BP421" s="784"/>
      <c r="BS421" s="705" t="s">
        <v>2161</v>
      </c>
    </row>
    <row r="422" spans="1:75" ht="14.25" hidden="1" customHeight="1">
      <c r="B422" s="590" t="b" cm="1">
        <f t="array" ref="B422">B421</f>
        <v>0</v>
      </c>
      <c r="C422" s="44"/>
      <c r="D422" s="44"/>
      <c r="E422" s="462">
        <v>15</v>
      </c>
      <c r="F422" s="3" t="str" cm="1">
        <f t="array" aca="1" ref="F422" ca="1">OFFSET(E422,-1,1)</f>
        <v>2</v>
      </c>
      <c r="G422" s="44"/>
      <c r="H422" s="44"/>
      <c r="I422" s="44"/>
      <c r="J422" s="44"/>
      <c r="K422" s="44" t="s">
        <v>2162</v>
      </c>
      <c r="L422" s="44"/>
      <c r="M422" s="44"/>
      <c r="N422" s="44"/>
      <c r="O422" s="44"/>
      <c r="P422" s="44"/>
      <c r="Q422" s="44"/>
      <c r="R422" s="44"/>
      <c r="S422" s="44"/>
      <c r="T422" s="590" t="b" cm="1">
        <f t="array" aca="1" ref="T422" ca="1">T421</f>
        <v>1</v>
      </c>
      <c r="U422" s="44"/>
      <c r="V422" s="44"/>
      <c r="W422" s="44"/>
      <c r="X422" s="1094"/>
      <c r="Z422" s="1065"/>
      <c r="AB422" s="26" t="s">
        <v>2163</v>
      </c>
      <c r="AC422" s="153" t="s">
        <v>2164</v>
      </c>
      <c r="AD422" s="26" t="s">
        <v>456</v>
      </c>
      <c r="AE422" s="787"/>
      <c r="AF422" s="787"/>
      <c r="AG422" s="787"/>
      <c r="AH422" s="552"/>
      <c r="AI422" s="787"/>
      <c r="AJ422" s="787"/>
      <c r="AK422" s="787"/>
      <c r="AL422" s="787"/>
      <c r="AM422" s="787"/>
      <c r="AN422" s="787"/>
      <c r="AO422" s="787"/>
      <c r="AP422" s="787"/>
      <c r="AQ422" s="787"/>
      <c r="AR422" s="787"/>
      <c r="AS422" s="787"/>
      <c r="AT422" s="787"/>
      <c r="AU422" s="787"/>
      <c r="AV422" s="787"/>
      <c r="AW422" s="787"/>
      <c r="AX422" s="787"/>
      <c r="AY422" s="787"/>
      <c r="AZ422" s="787"/>
      <c r="BA422" s="787"/>
      <c r="BB422" s="787"/>
      <c r="BC422" s="787"/>
      <c r="BD422" s="552"/>
      <c r="BE422" s="552"/>
      <c r="BF422" s="552"/>
      <c r="BG422" s="552"/>
      <c r="BH422" s="552"/>
      <c r="BI422" s="552"/>
      <c r="BJ422" s="552"/>
      <c r="BK422" s="552"/>
      <c r="BL422" s="552"/>
      <c r="BM422" s="552"/>
      <c r="BN422" s="784"/>
      <c r="BO422" s="784"/>
      <c r="BP422" s="784"/>
      <c r="BS422" s="705" t="s">
        <v>2165</v>
      </c>
    </row>
    <row r="423" spans="1:75" s="950" customFormat="1" ht="20.45" customHeight="1">
      <c r="A423" s="95"/>
      <c r="B423" s="344"/>
      <c r="C423" s="46"/>
      <c r="D423" s="46" t="str">
        <f>IF(B422,"6","7")</f>
        <v>7</v>
      </c>
      <c r="E423" s="569">
        <v>21</v>
      </c>
      <c r="F423" s="3" t="str" cm="1">
        <f t="array" aca="1" ref="F423" ca="1">OFFSET(E423,-1,1)</f>
        <v>2</v>
      </c>
      <c r="G423" s="44" t="s">
        <v>2166</v>
      </c>
      <c r="H423" s="44"/>
      <c r="I423" s="296" t="s">
        <v>2167</v>
      </c>
      <c r="J423" s="46"/>
      <c r="K423" s="292" t="s">
        <v>2167</v>
      </c>
      <c r="L423" s="46"/>
      <c r="M423" s="46"/>
      <c r="N423" s="46"/>
      <c r="O423" s="46"/>
      <c r="P423" s="46"/>
      <c r="Q423" s="46"/>
      <c r="R423" s="46"/>
      <c r="S423" s="46"/>
      <c r="T423" s="365" t="b" cm="1">
        <f t="array" aca="1" ref="T423" ca="1">T422</f>
        <v>1</v>
      </c>
      <c r="U423" s="46"/>
      <c r="V423" s="46"/>
      <c r="W423" s="46"/>
      <c r="X423" s="1094"/>
      <c r="Y423" s="95"/>
      <c r="Z423" s="1065"/>
      <c r="AA423" s="95"/>
      <c r="AB423" s="143" t="str" cm="1">
        <f t="array" ref="AB423">D423</f>
        <v>7</v>
      </c>
      <c r="AC423" s="151" t="s">
        <v>1590</v>
      </c>
      <c r="AD423" s="143" t="s">
        <v>804</v>
      </c>
      <c r="AE423" s="157">
        <v>-307.85383874169997</v>
      </c>
      <c r="AF423" s="157"/>
      <c r="AG423" s="157"/>
      <c r="AH423" s="145">
        <f>AG423-AF423</f>
        <v>0</v>
      </c>
      <c r="AI423" s="157">
        <v>-1925.2035865365999</v>
      </c>
      <c r="AJ423" s="157">
        <f ca="1">SUMIFS('Корректировка НВВ'!$AF$25:$AF$180,'Корректировка НВВ'!$F$25:$F$180,$F423,'Корректировка НВВ'!$I$25:$I$180,$G423)</f>
        <v>5039.9004600000044</v>
      </c>
      <c r="AK423" s="783"/>
      <c r="AL423" s="783"/>
      <c r="AM423" s="783"/>
      <c r="AN423" s="783"/>
      <c r="AO423" s="783"/>
      <c r="AP423" s="783"/>
      <c r="AQ423" s="783"/>
      <c r="AR423" s="783"/>
      <c r="AS423" s="783"/>
      <c r="AT423" s="157">
        <f ca="1">SUMIFS('Корректировка НВВ'!$AG$25:$AG$180,'Корректировка НВВ'!$F$25:$F$180,$F423,'Корректировка НВВ'!$I$25:$I$180,$G423)</f>
        <v>-421.2945399999968</v>
      </c>
      <c r="AU423" s="783"/>
      <c r="AV423" s="783"/>
      <c r="AW423" s="783"/>
      <c r="AX423" s="783"/>
      <c r="AY423" s="783"/>
      <c r="AZ423" s="783"/>
      <c r="BA423" s="783"/>
      <c r="BB423" s="783"/>
      <c r="BC423" s="783"/>
      <c r="BD423" s="145">
        <f ca="1">IF(AI423=0,0,(AT423-AI423)/AI423*100)</f>
        <v>-78.116883692394495</v>
      </c>
      <c r="BE423" s="145">
        <f t="shared" ref="BE423:BM423" ca="1" si="115">IF(AT423=0,0,(AU423-AT423)/AT423*100)</f>
        <v>-100</v>
      </c>
      <c r="BF423" s="145">
        <f t="shared" si="115"/>
        <v>0</v>
      </c>
      <c r="BG423" s="145">
        <f t="shared" si="115"/>
        <v>0</v>
      </c>
      <c r="BH423" s="145">
        <f t="shared" si="115"/>
        <v>0</v>
      </c>
      <c r="BI423" s="145">
        <f t="shared" si="115"/>
        <v>0</v>
      </c>
      <c r="BJ423" s="145">
        <f t="shared" si="115"/>
        <v>0</v>
      </c>
      <c r="BK423" s="145">
        <f t="shared" si="115"/>
        <v>0</v>
      </c>
      <c r="BL423" s="145">
        <f t="shared" si="115"/>
        <v>0</v>
      </c>
      <c r="BM423" s="145">
        <f t="shared" si="115"/>
        <v>0</v>
      </c>
      <c r="BN423" s="566"/>
      <c r="BO423" s="610" t="str">
        <f ca="1">IF(IFERROR(INDEX('Корректировка НВВ'!$K$26:$L$180,MATCH($F423&amp;"11komm",'Корректировка НВВ'!$K$26:$K$180,0),2),"")=0,"",IFERROR(INDEX('Корректировка НВВ'!$K$26:$L$180,MATCH($F423&amp;"11komm",'Корректировка НВВ'!$K$26:$K$180,0),2),""))</f>
        <v/>
      </c>
      <c r="BP423" s="566"/>
      <c r="BQ423" s="95"/>
      <c r="BR423" s="95"/>
      <c r="BS423" s="711" t="s">
        <v>2168</v>
      </c>
      <c r="BT423" s="711"/>
      <c r="BU423" s="711"/>
      <c r="BV423" s="522"/>
      <c r="BW423" s="522"/>
    </row>
    <row r="424" spans="1:75" ht="14.25" customHeight="1">
      <c r="C424" s="44"/>
      <c r="D424" s="44" t="str" cm="1">
        <f t="array" ref="D424">D423</f>
        <v>7</v>
      </c>
      <c r="E424" s="462">
        <v>15</v>
      </c>
      <c r="F424" s="3" t="str" cm="1">
        <f t="array" aca="1" ref="F424" ca="1">OFFSET(E424,-1,1)</f>
        <v>2</v>
      </c>
      <c r="G424" s="44"/>
      <c r="H424" s="44"/>
      <c r="I424" s="44"/>
      <c r="J424" s="44"/>
      <c r="L424" s="44"/>
      <c r="M424" s="44"/>
      <c r="N424" s="44"/>
      <c r="O424" s="44"/>
      <c r="P424" s="44"/>
      <c r="Q424" s="44"/>
      <c r="R424" s="44"/>
      <c r="S424" s="44"/>
      <c r="T424" s="365" t="b" cm="1">
        <f t="array" aca="1" ref="T424" ca="1">T423</f>
        <v>1</v>
      </c>
      <c r="U424" s="44"/>
      <c r="V424" s="44"/>
      <c r="W424" s="44"/>
      <c r="X424" s="1094"/>
      <c r="Z424" s="1065"/>
      <c r="AB424" s="26"/>
      <c r="AC424" s="358" t="s">
        <v>2169</v>
      </c>
      <c r="AD424" s="26"/>
      <c r="AE424" s="552"/>
      <c r="AF424" s="552"/>
      <c r="AG424" s="552"/>
      <c r="AH424" s="552"/>
      <c r="AI424" s="552"/>
      <c r="AJ424" s="552"/>
      <c r="AK424" s="552"/>
      <c r="AL424" s="552"/>
      <c r="AM424" s="552"/>
      <c r="AN424" s="552"/>
      <c r="AO424" s="552"/>
      <c r="AP424" s="552"/>
      <c r="AQ424" s="552"/>
      <c r="AR424" s="552"/>
      <c r="AS424" s="552"/>
      <c r="AT424" s="552"/>
      <c r="AU424" s="552"/>
      <c r="AV424" s="552"/>
      <c r="AW424" s="552"/>
      <c r="AX424" s="552"/>
      <c r="AY424" s="552"/>
      <c r="AZ424" s="552"/>
      <c r="BA424" s="552"/>
      <c r="BB424" s="552"/>
      <c r="BC424" s="552"/>
      <c r="BD424" s="552"/>
      <c r="BE424" s="552"/>
      <c r="BF424" s="552"/>
      <c r="BG424" s="552"/>
      <c r="BH424" s="552"/>
      <c r="BI424" s="552"/>
      <c r="BJ424" s="552"/>
      <c r="BK424" s="552"/>
      <c r="BL424" s="552"/>
      <c r="BM424" s="552"/>
      <c r="BN424" s="398"/>
      <c r="BO424" s="398"/>
      <c r="BP424" s="398"/>
    </row>
    <row r="425" spans="1:75" ht="23.25" customHeight="1">
      <c r="C425" s="44"/>
      <c r="D425" s="44" t="str" cm="1">
        <f t="array" ref="D425">D424</f>
        <v>7</v>
      </c>
      <c r="E425" s="462">
        <v>22.5</v>
      </c>
      <c r="F425" s="3" t="str" cm="1">
        <f t="array" aca="1" ref="F425" ca="1">OFFSET(E425,-1,1)</f>
        <v>2</v>
      </c>
      <c r="G425" s="44" t="s">
        <v>368</v>
      </c>
      <c r="H425" s="44"/>
      <c r="I425" s="44" t="s">
        <v>514</v>
      </c>
      <c r="J425" s="44"/>
      <c r="K425" s="91" t="s">
        <v>514</v>
      </c>
      <c r="L425" s="44"/>
      <c r="M425" s="44"/>
      <c r="N425" s="44"/>
      <c r="O425" s="44"/>
      <c r="P425" s="44"/>
      <c r="Q425" s="44"/>
      <c r="R425" s="44"/>
      <c r="S425" s="44"/>
      <c r="T425" s="365" t="b" cm="1">
        <f t="array" aca="1" ref="T425" ca="1">T424</f>
        <v>1</v>
      </c>
      <c r="U425" s="44"/>
      <c r="V425" s="44"/>
      <c r="W425" s="44"/>
      <c r="X425" s="1094"/>
      <c r="Z425" s="1065"/>
      <c r="AB425" s="26" t="str">
        <f>D425&amp;".1"</f>
        <v>7.1</v>
      </c>
      <c r="AC425" s="146" t="s">
        <v>2170</v>
      </c>
      <c r="AD425" s="26" t="s">
        <v>804</v>
      </c>
      <c r="AE425" s="147">
        <v>0</v>
      </c>
      <c r="AF425" s="147"/>
      <c r="AG425" s="147"/>
      <c r="AH425" s="190">
        <f t="shared" ref="AH425:AH438" si="116">AG425-AF425</f>
        <v>0</v>
      </c>
      <c r="AI425" s="147">
        <v>0</v>
      </c>
      <c r="AJ425" s="147">
        <f ca="1">SUMIFS('Корректировка НВВ'!$AF$25:$AF$180,'Корректировка НВВ'!$F$25:$F$180,$F425,'Корректировка НВВ'!$I$25:$I$180,$G425)</f>
        <v>0</v>
      </c>
      <c r="AK425" s="787"/>
      <c r="AL425" s="787"/>
      <c r="AM425" s="787"/>
      <c r="AN425" s="787"/>
      <c r="AO425" s="787"/>
      <c r="AP425" s="787"/>
      <c r="AQ425" s="787"/>
      <c r="AR425" s="787"/>
      <c r="AS425" s="787"/>
      <c r="AT425" s="147">
        <f ca="1">SUMIFS('Корректировка НВВ'!$AG$25:$AG$180,'Корректировка НВВ'!$F$25:$F$180,$F425,'Корректировка НВВ'!$I$25:$I$180,$G425)</f>
        <v>0</v>
      </c>
      <c r="AU425" s="787"/>
      <c r="AV425" s="787"/>
      <c r="AW425" s="787"/>
      <c r="AX425" s="787"/>
      <c r="AY425" s="787"/>
      <c r="AZ425" s="787"/>
      <c r="BA425" s="787"/>
      <c r="BB425" s="787"/>
      <c r="BC425" s="787"/>
      <c r="BD425" s="552"/>
      <c r="BE425" s="552"/>
      <c r="BF425" s="552"/>
      <c r="BG425" s="552"/>
      <c r="BH425" s="552"/>
      <c r="BI425" s="552"/>
      <c r="BJ425" s="552"/>
      <c r="BK425" s="552"/>
      <c r="BL425" s="552"/>
      <c r="BM425" s="552"/>
      <c r="BN425" s="215"/>
      <c r="BO425" s="610" t="str">
        <f ca="1">IF(IFERROR(INDEX('Корректировка НВВ'!$K$26:$L$180,MATCH($F425&amp;"1komm",'Корректировка НВВ'!$K$26:$K$180,0),2),"")=0,"",IFERROR(INDEX('Корректировка НВВ'!$K$26:$L$180,MATCH($F425&amp;"1komm",'Корректировка НВВ'!$K$26:$K$180,0),2),""))</f>
        <v/>
      </c>
      <c r="BP425" s="215"/>
      <c r="BS425" s="705" t="s">
        <v>2171</v>
      </c>
    </row>
    <row r="426" spans="1:75" ht="98.65" customHeight="1">
      <c r="C426" s="44"/>
      <c r="D426" s="44" t="str" cm="1">
        <f t="array" ref="D426">D425</f>
        <v>7</v>
      </c>
      <c r="E426" s="462">
        <v>101.25</v>
      </c>
      <c r="F426" s="3" t="str" cm="1">
        <f t="array" aca="1" ref="F426" ca="1">OFFSET(E426,-1,1)</f>
        <v>2</v>
      </c>
      <c r="G426" s="44" t="s">
        <v>2172</v>
      </c>
      <c r="H426" s="44"/>
      <c r="I426" s="44" t="s">
        <v>562</v>
      </c>
      <c r="J426" s="44"/>
      <c r="K426" s="91" t="s">
        <v>562</v>
      </c>
      <c r="L426" s="44"/>
      <c r="M426" s="44"/>
      <c r="N426" s="44"/>
      <c r="O426" s="44"/>
      <c r="P426" s="44"/>
      <c r="Q426" s="44"/>
      <c r="R426" s="44"/>
      <c r="S426" s="44"/>
      <c r="T426" s="365" t="b" cm="1">
        <f t="array" aca="1" ref="T426" ca="1">T425</f>
        <v>1</v>
      </c>
      <c r="U426" s="44"/>
      <c r="V426" s="44"/>
      <c r="W426" s="44"/>
      <c r="X426" s="1094"/>
      <c r="Z426" s="1065"/>
      <c r="AB426" s="26" t="str">
        <f>D426&amp;".2"</f>
        <v>7.2</v>
      </c>
      <c r="AC426" s="146" t="s">
        <v>2173</v>
      </c>
      <c r="AD426" s="26" t="s">
        <v>804</v>
      </c>
      <c r="AE426" s="147">
        <v>0</v>
      </c>
      <c r="AF426" s="147"/>
      <c r="AG426" s="147"/>
      <c r="AH426" s="190">
        <f t="shared" si="116"/>
        <v>0</v>
      </c>
      <c r="AI426" s="147">
        <v>0</v>
      </c>
      <c r="AJ426" s="147">
        <f ca="1">SUMIFS('Корректировка НВВ'!$AF$25:$AF$180,'Корректировка НВВ'!$F$25:$F$180,$F426,'Корректировка НВВ'!$I$25:$I$180,$G426)</f>
        <v>0</v>
      </c>
      <c r="AK426" s="787"/>
      <c r="AL426" s="787"/>
      <c r="AM426" s="787"/>
      <c r="AN426" s="787"/>
      <c r="AO426" s="787"/>
      <c r="AP426" s="787"/>
      <c r="AQ426" s="787"/>
      <c r="AR426" s="787"/>
      <c r="AS426" s="787"/>
      <c r="AT426" s="147">
        <f ca="1">SUMIFS('Корректировка НВВ'!$AG$25:$AG$180,'Корректировка НВВ'!$F$25:$F$180,$F426,'Корректировка НВВ'!$I$25:$I$180,$G426)</f>
        <v>0</v>
      </c>
      <c r="AU426" s="787"/>
      <c r="AV426" s="787"/>
      <c r="AW426" s="787"/>
      <c r="AX426" s="787"/>
      <c r="AY426" s="787"/>
      <c r="AZ426" s="787"/>
      <c r="BA426" s="787"/>
      <c r="BB426" s="787"/>
      <c r="BC426" s="787"/>
      <c r="BD426" s="552"/>
      <c r="BE426" s="552"/>
      <c r="BF426" s="552"/>
      <c r="BG426" s="552"/>
      <c r="BH426" s="552"/>
      <c r="BI426" s="552"/>
      <c r="BJ426" s="552"/>
      <c r="BK426" s="552"/>
      <c r="BL426" s="552"/>
      <c r="BM426" s="552"/>
      <c r="BN426" s="215"/>
      <c r="BO426" s="610" t="str">
        <f ca="1">IF(IFERROR(INDEX('Корректировка НВВ'!$K$26:$L$180,MATCH($F426&amp;"2komm",'Корректировка НВВ'!$K$26:$K$180,0),2),"")=0,"",IFERROR(INDEX('Корректировка НВВ'!$K$26:$L$180,MATCH($F426&amp;"2komm",'Корректировка НВВ'!$K$26:$K$180,0),2),""))</f>
        <v/>
      </c>
      <c r="BP426" s="215"/>
      <c r="BS426" s="705" t="s">
        <v>2174</v>
      </c>
    </row>
    <row r="427" spans="1:75" ht="43.9" customHeight="1">
      <c r="C427" s="44"/>
      <c r="D427" s="44" t="str" cm="1">
        <f t="array" ref="D427">D426</f>
        <v>7</v>
      </c>
      <c r="E427" s="462">
        <v>45</v>
      </c>
      <c r="F427" s="3" t="str" cm="1">
        <f t="array" aca="1" ref="F427" ca="1">OFFSET(E427,-1,1)</f>
        <v>2</v>
      </c>
      <c r="G427" s="44"/>
      <c r="H427" s="44"/>
      <c r="I427" s="44" t="s">
        <v>577</v>
      </c>
      <c r="J427" s="44"/>
      <c r="K427" s="91" t="s">
        <v>577</v>
      </c>
      <c r="L427" s="44"/>
      <c r="M427" s="44"/>
      <c r="N427" s="44"/>
      <c r="O427" s="44"/>
      <c r="P427" s="44"/>
      <c r="Q427" s="44"/>
      <c r="R427" s="44"/>
      <c r="S427" s="44"/>
      <c r="T427" s="365" t="b" cm="1">
        <f t="array" aca="1" ref="T427" ca="1">T426</f>
        <v>1</v>
      </c>
      <c r="U427" s="44"/>
      <c r="V427" s="44"/>
      <c r="W427" s="44"/>
      <c r="X427" s="1094"/>
      <c r="Z427" s="1065"/>
      <c r="AB427" s="26" t="str">
        <f>D427&amp;".3"</f>
        <v>7.3</v>
      </c>
      <c r="AC427" s="146" t="s">
        <v>2175</v>
      </c>
      <c r="AD427" s="26" t="s">
        <v>804</v>
      </c>
      <c r="AE427" s="147">
        <v>0</v>
      </c>
      <c r="AF427" s="147"/>
      <c r="AG427" s="147"/>
      <c r="AH427" s="190">
        <f t="shared" si="116"/>
        <v>0</v>
      </c>
      <c r="AI427" s="147">
        <v>-360.47106309079999</v>
      </c>
      <c r="AJ427" s="147">
        <f ca="1">SUMIFS('Корректировка НВВ'!$AF$25:$AF$180,'Корректировка НВВ'!$F$25:$F$180,$F427,'Корректировка НВВ'!$I$25:$I$180,"L1")+SUMIFS('Корректировка НВВ'!$AF$25:$AF$180,'Корректировка НВВ'!$F$25:$F$180,$F427,'Корректировка НВВ'!$I$25:$I$180,"L2")</f>
        <v>5039.9004600000044</v>
      </c>
      <c r="AK427" s="787"/>
      <c r="AL427" s="787"/>
      <c r="AM427" s="787"/>
      <c r="AN427" s="787"/>
      <c r="AO427" s="787"/>
      <c r="AP427" s="787"/>
      <c r="AQ427" s="787"/>
      <c r="AR427" s="787"/>
      <c r="AS427" s="787"/>
      <c r="AT427" s="147">
        <f ca="1">SUMIFS('Корректировка НВВ'!$AG$25:$AG$180,'Корректировка НВВ'!$F$25:$F$180,$F427,'Корректировка НВВ'!$I$25:$I$180,"L1")+SUMIFS('Корректировка НВВ'!$AF$25:$AF$180,'Корректировка НВВ'!$F$25:$F$180,$F427,'Корректировка НВВ'!$I$25:$I$180,"L2")</f>
        <v>-113.44453999999678</v>
      </c>
      <c r="AU427" s="787"/>
      <c r="AV427" s="787"/>
      <c r="AW427" s="787"/>
      <c r="AX427" s="787"/>
      <c r="AY427" s="787"/>
      <c r="AZ427" s="787"/>
      <c r="BA427" s="787"/>
      <c r="BB427" s="787"/>
      <c r="BC427" s="787"/>
      <c r="BD427" s="552"/>
      <c r="BE427" s="552"/>
      <c r="BF427" s="552"/>
      <c r="BG427" s="552"/>
      <c r="BH427" s="552"/>
      <c r="BI427" s="552"/>
      <c r="BJ427" s="552"/>
      <c r="BK427" s="552"/>
      <c r="BL427" s="552"/>
      <c r="BM427" s="552"/>
      <c r="BN427" s="215"/>
      <c r="BO427" s="610"/>
      <c r="BP427" s="215"/>
      <c r="BS427" s="705" t="s">
        <v>2176</v>
      </c>
    </row>
    <row r="428" spans="1:75" ht="87.75" customHeight="1">
      <c r="B428" s="353" t="b">
        <f>S315="Водоотведение"</f>
        <v>1</v>
      </c>
      <c r="C428" s="44"/>
      <c r="D428" s="44" t="str" cm="1">
        <f t="array" ref="D428">D427</f>
        <v>7</v>
      </c>
      <c r="E428" s="462">
        <v>90</v>
      </c>
      <c r="F428" s="3" t="str" cm="1">
        <f t="array" aca="1" ref="F428" ca="1">OFFSET(E428,-1,1)</f>
        <v>2</v>
      </c>
      <c r="G428" s="44" t="s">
        <v>2177</v>
      </c>
      <c r="H428" s="581"/>
      <c r="I428" s="44" t="s">
        <v>746</v>
      </c>
      <c r="J428" s="44"/>
      <c r="K428" s="91" t="s">
        <v>746</v>
      </c>
      <c r="L428" s="44" t="s">
        <v>743</v>
      </c>
      <c r="M428" s="44"/>
      <c r="N428" s="44"/>
      <c r="O428" s="44"/>
      <c r="P428" s="44"/>
      <c r="Q428" s="44"/>
      <c r="R428" s="44"/>
      <c r="S428" s="44"/>
      <c r="T428" s="365" t="b" cm="1">
        <f t="array" aca="1" ref="T428" ca="1">T427</f>
        <v>1</v>
      </c>
      <c r="U428" s="44"/>
      <c r="V428" s="44"/>
      <c r="W428" s="44"/>
      <c r="X428" s="1094"/>
      <c r="Z428" s="1065"/>
      <c r="AB428" s="26" t="str">
        <f>D428&amp;".4"</f>
        <v>7.4</v>
      </c>
      <c r="AC428" s="146" t="s">
        <v>1839</v>
      </c>
      <c r="AD428" s="28" t="s">
        <v>804</v>
      </c>
      <c r="AE428" s="147">
        <v>-147.114</v>
      </c>
      <c r="AF428" s="147"/>
      <c r="AG428" s="147"/>
      <c r="AH428" s="190">
        <f t="shared" si="116"/>
        <v>0</v>
      </c>
      <c r="AI428" s="147">
        <v>-1529.18</v>
      </c>
      <c r="AJ428" s="147">
        <f ca="1">SUMIFS('Корректировка НВВ'!$AF$25:$AF$180,'Корректировка НВВ'!$F$25:$F$180,$F428,'Корректировка НВВ'!$I$25:$I$180,$G428)</f>
        <v>0</v>
      </c>
      <c r="AK428" s="787"/>
      <c r="AL428" s="787"/>
      <c r="AM428" s="787"/>
      <c r="AN428" s="787"/>
      <c r="AO428" s="787"/>
      <c r="AP428" s="787"/>
      <c r="AQ428" s="787"/>
      <c r="AR428" s="787"/>
      <c r="AS428" s="787"/>
      <c r="AT428" s="147">
        <f ca="1">SUMIFS('Корректировка НВВ'!$AG$25:$AG$180,'Корректировка НВВ'!$F$25:$F$180,$F428,'Корректировка НВВ'!$I$25:$I$180,$G428)</f>
        <v>0</v>
      </c>
      <c r="AU428" s="787"/>
      <c r="AV428" s="787"/>
      <c r="AW428" s="787"/>
      <c r="AX428" s="787"/>
      <c r="AY428" s="787"/>
      <c r="AZ428" s="787"/>
      <c r="BA428" s="787"/>
      <c r="BB428" s="787"/>
      <c r="BC428" s="787"/>
      <c r="BD428" s="552"/>
      <c r="BE428" s="552"/>
      <c r="BF428" s="552"/>
      <c r="BG428" s="552"/>
      <c r="BH428" s="552"/>
      <c r="BI428" s="552"/>
      <c r="BJ428" s="552"/>
      <c r="BK428" s="552"/>
      <c r="BL428" s="552"/>
      <c r="BM428" s="552"/>
      <c r="BN428" s="215"/>
      <c r="BO428" s="610" t="str">
        <f ca="1">IF(IFERROR(INDEX('Корректировка НВВ'!$K$26:$L$180,MATCH($F428&amp;"3komm",'Корректировка НВВ'!$K$26:$K$180,0),2),"")=0,"",IFERROR(INDEX('Корректировка НВВ'!$K$26:$L$180,MATCH($F428&amp;"3komm",'Корректировка НВВ'!$K$26:$K$180,0),2),""))</f>
        <v/>
      </c>
      <c r="BP428" s="215"/>
      <c r="BS428" s="705" t="s">
        <v>1366</v>
      </c>
    </row>
    <row r="429" spans="1:75" ht="54.75" customHeight="1">
      <c r="B429" s="353" t="b" cm="1">
        <f t="array" ref="B429">B428</f>
        <v>1</v>
      </c>
      <c r="C429" s="44"/>
      <c r="D429" s="44" t="str" cm="1">
        <f t="array" ref="D429">D428</f>
        <v>7</v>
      </c>
      <c r="E429" s="462">
        <v>56.25</v>
      </c>
      <c r="F429" s="3" t="str" cm="1">
        <f t="array" aca="1" ref="F429" ca="1">OFFSET(E429,-1,1)</f>
        <v>2</v>
      </c>
      <c r="G429" s="44" t="s">
        <v>2178</v>
      </c>
      <c r="H429" s="581"/>
      <c r="I429" s="44" t="s">
        <v>782</v>
      </c>
      <c r="J429" s="44"/>
      <c r="K429" s="91" t="s">
        <v>782</v>
      </c>
      <c r="L429" s="44" t="s">
        <v>746</v>
      </c>
      <c r="M429" s="44"/>
      <c r="N429" s="44"/>
      <c r="O429" s="44"/>
      <c r="P429" s="44"/>
      <c r="Q429" s="44"/>
      <c r="R429" s="44"/>
      <c r="S429" s="44"/>
      <c r="T429" s="365" t="b" cm="1">
        <f t="array" aca="1" ref="T429" ca="1">T428</f>
        <v>1</v>
      </c>
      <c r="U429" s="44"/>
      <c r="V429" s="44"/>
      <c r="W429" s="44"/>
      <c r="X429" s="1094"/>
      <c r="Z429" s="1065"/>
      <c r="AB429" s="26" t="str">
        <f>D429&amp;".5"</f>
        <v>7.5</v>
      </c>
      <c r="AC429" s="146" t="s">
        <v>1841</v>
      </c>
      <c r="AD429" s="28" t="s">
        <v>804</v>
      </c>
      <c r="AE429" s="147">
        <v>0</v>
      </c>
      <c r="AF429" s="147"/>
      <c r="AG429" s="147"/>
      <c r="AH429" s="190">
        <f t="shared" si="116"/>
        <v>0</v>
      </c>
      <c r="AI429" s="147">
        <v>0</v>
      </c>
      <c r="AJ429" s="147">
        <f ca="1">SUMIFS('Корректировка НВВ'!$AF$25:$AF$180,'Корректировка НВВ'!$F$25:$F$180,$F429,'Корректировка НВВ'!$I$25:$I$180,$G429)</f>
        <v>0</v>
      </c>
      <c r="AK429" s="787"/>
      <c r="AL429" s="787"/>
      <c r="AM429" s="787"/>
      <c r="AN429" s="787"/>
      <c r="AO429" s="787"/>
      <c r="AP429" s="787"/>
      <c r="AQ429" s="787"/>
      <c r="AR429" s="787"/>
      <c r="AS429" s="787"/>
      <c r="AT429" s="147">
        <f ca="1">SUMIFS('Корректировка НВВ'!$AG$25:$AG$180,'Корректировка НВВ'!$F$25:$F$180,$F429,'Корректировка НВВ'!$I$25:$I$180,$G429)</f>
        <v>0</v>
      </c>
      <c r="AU429" s="787"/>
      <c r="AV429" s="787"/>
      <c r="AW429" s="787"/>
      <c r="AX429" s="787"/>
      <c r="AY429" s="787"/>
      <c r="AZ429" s="787"/>
      <c r="BA429" s="787"/>
      <c r="BB429" s="787"/>
      <c r="BC429" s="787"/>
      <c r="BD429" s="552"/>
      <c r="BE429" s="552"/>
      <c r="BF429" s="552"/>
      <c r="BG429" s="552"/>
      <c r="BH429" s="552"/>
      <c r="BI429" s="552"/>
      <c r="BJ429" s="552"/>
      <c r="BK429" s="552"/>
      <c r="BL429" s="552"/>
      <c r="BM429" s="552"/>
      <c r="BN429" s="215"/>
      <c r="BO429" s="610" t="str">
        <f ca="1">IF(IFERROR(INDEX('Корректировка НВВ'!$K$26:$L$180,MATCH($F429&amp;"4komm",'Корректировка НВВ'!$K$26:$K$180,0),2),"")=0,"",IFERROR(INDEX('Корректировка НВВ'!$K$26:$L$180,MATCH($F429&amp;"4komm",'Корректировка НВВ'!$K$26:$K$180,0),2),""))</f>
        <v/>
      </c>
      <c r="BP429" s="215"/>
      <c r="BS429" s="705" t="s">
        <v>1370</v>
      </c>
    </row>
    <row r="430" spans="1:75" ht="14.65" customHeight="1">
      <c r="B430" s="65"/>
      <c r="C430" s="44"/>
      <c r="D430" s="44" t="str" cm="1">
        <f t="array" ref="D430">D429</f>
        <v>7</v>
      </c>
      <c r="E430" s="462">
        <v>15</v>
      </c>
      <c r="F430" s="3" t="str" cm="1">
        <f t="array" aca="1" ref="F430" ca="1">OFFSET(E430,-1,1)</f>
        <v>2</v>
      </c>
      <c r="G430" s="44" t="s">
        <v>2179</v>
      </c>
      <c r="H430" s="44"/>
      <c r="I430" s="44" t="s">
        <v>783</v>
      </c>
      <c r="J430" s="44"/>
      <c r="K430" s="91" t="s">
        <v>783</v>
      </c>
      <c r="L430" s="44" t="s">
        <v>782</v>
      </c>
      <c r="M430" s="44"/>
      <c r="N430" s="44"/>
      <c r="O430" s="44"/>
      <c r="P430" s="44"/>
      <c r="Q430" s="44"/>
      <c r="R430" s="44"/>
      <c r="S430" s="44"/>
      <c r="T430" s="365" t="b" cm="1">
        <f t="array" aca="1" ref="T430" ca="1">T429</f>
        <v>1</v>
      </c>
      <c r="U430" s="44"/>
      <c r="V430" s="44"/>
      <c r="W430" s="44"/>
      <c r="X430" s="1094"/>
      <c r="Z430" s="1065"/>
      <c r="AB430" s="26" t="str">
        <f>IF(B429,D430&amp;".6",D430&amp;".4")</f>
        <v>7.6</v>
      </c>
      <c r="AC430" s="146" t="s">
        <v>1583</v>
      </c>
      <c r="AD430" s="26" t="s">
        <v>804</v>
      </c>
      <c r="AE430" s="147">
        <v>0</v>
      </c>
      <c r="AF430" s="147"/>
      <c r="AG430" s="147"/>
      <c r="AH430" s="190">
        <f t="shared" si="116"/>
        <v>0</v>
      </c>
      <c r="AI430" s="147">
        <v>0</v>
      </c>
      <c r="AJ430" s="147">
        <f ca="1">SUMIFS('Корректировка НВВ'!$AF$25:$AF$180,'Корректировка НВВ'!$F$25:$F$180,$F430,'Корректировка НВВ'!$I$25:$I$180,$G430)</f>
        <v>0</v>
      </c>
      <c r="AK430" s="787"/>
      <c r="AL430" s="787"/>
      <c r="AM430" s="787"/>
      <c r="AN430" s="787"/>
      <c r="AO430" s="787"/>
      <c r="AP430" s="787"/>
      <c r="AQ430" s="787"/>
      <c r="AR430" s="787"/>
      <c r="AS430" s="787"/>
      <c r="AT430" s="147">
        <f ca="1">SUMIFS('Корректировка НВВ'!$AG$25:$AG$180,'Корректировка НВВ'!$F$25:$F$180,$F430,'Корректировка НВВ'!$I$25:$I$180,$G430)</f>
        <v>0</v>
      </c>
      <c r="AU430" s="787"/>
      <c r="AV430" s="787"/>
      <c r="AW430" s="787"/>
      <c r="AX430" s="787"/>
      <c r="AY430" s="787"/>
      <c r="AZ430" s="787"/>
      <c r="BA430" s="787"/>
      <c r="BB430" s="787"/>
      <c r="BC430" s="787"/>
      <c r="BD430" s="552"/>
      <c r="BE430" s="552"/>
      <c r="BF430" s="552"/>
      <c r="BG430" s="552"/>
      <c r="BH430" s="552"/>
      <c r="BI430" s="552"/>
      <c r="BJ430" s="552"/>
      <c r="BK430" s="552"/>
      <c r="BL430" s="552"/>
      <c r="BM430" s="552"/>
      <c r="BN430" s="215"/>
      <c r="BO430" s="610" t="str">
        <f ca="1">IF(IFERROR(INDEX('Корректировка НВВ'!$K$26:$L$180,MATCH($F430&amp;"5komm",'Корректировка НВВ'!$K$26:$K$180,0),2),"")=0,"",IFERROR(INDEX('Корректировка НВВ'!$K$26:$L$180,MATCH($F430&amp;"5komm",'Корректировка НВВ'!$K$26:$K$180,0),2),""))</f>
        <v/>
      </c>
      <c r="BP430" s="215"/>
      <c r="BS430" s="705" t="s">
        <v>2180</v>
      </c>
    </row>
    <row r="431" spans="1:75" ht="14.65" customHeight="1">
      <c r="C431" s="44"/>
      <c r="D431" s="44" t="str" cm="1">
        <f t="array" ref="D431">D430</f>
        <v>7</v>
      </c>
      <c r="E431" s="462">
        <v>15</v>
      </c>
      <c r="F431" s="3" t="str" cm="1">
        <f t="array" aca="1" ref="F431" ca="1">OFFSET(E431,-1,1)</f>
        <v>2</v>
      </c>
      <c r="G431" s="44" t="s">
        <v>2181</v>
      </c>
      <c r="H431" s="44"/>
      <c r="I431" s="44" t="s">
        <v>1850</v>
      </c>
      <c r="J431" s="44"/>
      <c r="K431" s="91" t="s">
        <v>1850</v>
      </c>
      <c r="L431" s="44" t="s">
        <v>783</v>
      </c>
      <c r="M431" s="44"/>
      <c r="N431" s="44"/>
      <c r="O431" s="44"/>
      <c r="P431" s="44"/>
      <c r="Q431" s="44"/>
      <c r="R431" s="44"/>
      <c r="S431" s="44"/>
      <c r="T431" s="365" t="b" cm="1">
        <f t="array" aca="1" ref="T431" ca="1">T430</f>
        <v>1</v>
      </c>
      <c r="U431" s="44"/>
      <c r="V431" s="44"/>
      <c r="W431" s="44"/>
      <c r="X431" s="1094"/>
      <c r="Z431" s="1065"/>
      <c r="AB431" s="26" t="str">
        <f>IF(B429,D430&amp;".7",D430&amp;".5")</f>
        <v>7.7</v>
      </c>
      <c r="AC431" s="146" t="s">
        <v>1545</v>
      </c>
      <c r="AD431" s="26" t="s">
        <v>804</v>
      </c>
      <c r="AE431" s="147">
        <v>-160.7398387417</v>
      </c>
      <c r="AF431" s="147">
        <f>AF432+AF433</f>
        <v>0</v>
      </c>
      <c r="AG431" s="147">
        <f>AG432+AG433</f>
        <v>0</v>
      </c>
      <c r="AH431" s="190">
        <f t="shared" si="116"/>
        <v>0</v>
      </c>
      <c r="AI431" s="147">
        <v>-35.5525234459</v>
      </c>
      <c r="AJ431" s="147">
        <f ca="1">SUMIFS('Корректировка НВВ'!$AF$25:$AF$180,'Корректировка НВВ'!$F$25:$F$180,$F431,'Корректировка НВВ'!$I$25:$I$180,$G431)</f>
        <v>0</v>
      </c>
      <c r="AK431" s="787">
        <f t="shared" ref="AK431:AS431" si="117">AK432+AK433</f>
        <v>0</v>
      </c>
      <c r="AL431" s="787">
        <f t="shared" si="117"/>
        <v>0</v>
      </c>
      <c r="AM431" s="787">
        <f t="shared" si="117"/>
        <v>0</v>
      </c>
      <c r="AN431" s="787">
        <f t="shared" si="117"/>
        <v>0</v>
      </c>
      <c r="AO431" s="787">
        <f t="shared" si="117"/>
        <v>0</v>
      </c>
      <c r="AP431" s="787">
        <f t="shared" si="117"/>
        <v>0</v>
      </c>
      <c r="AQ431" s="787">
        <f t="shared" si="117"/>
        <v>0</v>
      </c>
      <c r="AR431" s="787">
        <f t="shared" si="117"/>
        <v>0</v>
      </c>
      <c r="AS431" s="787">
        <f t="shared" si="117"/>
        <v>0</v>
      </c>
      <c r="AT431" s="147">
        <f ca="1">SUMIFS('Корректировка НВВ'!$AG$25:$AG$180,'Корректировка НВВ'!$F$25:$F$180,$F431,'Корректировка НВВ'!$I$25:$I$180,$G431)</f>
        <v>-307.85000000000002</v>
      </c>
      <c r="AU431" s="787">
        <f t="shared" ref="AU431:BC431" si="118">AU432+AU433</f>
        <v>0</v>
      </c>
      <c r="AV431" s="787">
        <f t="shared" si="118"/>
        <v>0</v>
      </c>
      <c r="AW431" s="787">
        <f t="shared" si="118"/>
        <v>0</v>
      </c>
      <c r="AX431" s="787">
        <f t="shared" si="118"/>
        <v>0</v>
      </c>
      <c r="AY431" s="787">
        <f t="shared" si="118"/>
        <v>0</v>
      </c>
      <c r="AZ431" s="787">
        <f t="shared" si="118"/>
        <v>0</v>
      </c>
      <c r="BA431" s="787">
        <f t="shared" si="118"/>
        <v>0</v>
      </c>
      <c r="BB431" s="787">
        <f t="shared" si="118"/>
        <v>0</v>
      </c>
      <c r="BC431" s="787">
        <f t="shared" si="118"/>
        <v>0</v>
      </c>
      <c r="BD431" s="190">
        <f ca="1">IF(AI431=0,0,(AT431-AI431)/AI431*100)</f>
        <v>765.90196746077095</v>
      </c>
      <c r="BE431" s="190">
        <f t="shared" ref="BE431:BM431" ca="1" si="119">IF(AT431=0,0,(AU431-AT431)/AT431*100)</f>
        <v>-100</v>
      </c>
      <c r="BF431" s="190">
        <f t="shared" si="119"/>
        <v>0</v>
      </c>
      <c r="BG431" s="190">
        <f t="shared" si="119"/>
        <v>0</v>
      </c>
      <c r="BH431" s="190">
        <f t="shared" si="119"/>
        <v>0</v>
      </c>
      <c r="BI431" s="190">
        <f t="shared" si="119"/>
        <v>0</v>
      </c>
      <c r="BJ431" s="190">
        <f t="shared" si="119"/>
        <v>0</v>
      </c>
      <c r="BK431" s="190">
        <f t="shared" si="119"/>
        <v>0</v>
      </c>
      <c r="BL431" s="190">
        <f t="shared" si="119"/>
        <v>0</v>
      </c>
      <c r="BM431" s="190">
        <f t="shared" si="119"/>
        <v>0</v>
      </c>
      <c r="BN431" s="215"/>
      <c r="BO431" s="610" t="str">
        <f ca="1">IF(IFERROR(INDEX('Корректировка НВВ'!$K$26:$L$180,MATCH($F431&amp;"6komm",'Корректировка НВВ'!$K$26:$K$180,0),2),"")=0,"",IFERROR(INDEX('Корректировка НВВ'!$K$26:$L$180,MATCH($F431&amp;"6komm",'Корректировка НВВ'!$K$26:$K$180,0),2),""))</f>
        <v/>
      </c>
      <c r="BP431" s="215"/>
      <c r="BS431" s="705" t="s">
        <v>1547</v>
      </c>
    </row>
    <row r="432" spans="1:75" ht="96.75" customHeight="1">
      <c r="C432" s="44"/>
      <c r="D432" s="44" t="str" cm="1">
        <f t="array" ref="D432">D431</f>
        <v>7</v>
      </c>
      <c r="E432" s="462">
        <v>22.5</v>
      </c>
      <c r="F432" s="3" t="str" cm="1">
        <f t="array" aca="1" ref="F432" ca="1">OFFSET(E432,-1,1)</f>
        <v>2</v>
      </c>
      <c r="G432" s="44" t="s">
        <v>2182</v>
      </c>
      <c r="H432" s="44"/>
      <c r="I432" s="44" t="s">
        <v>2183</v>
      </c>
      <c r="J432" s="44"/>
      <c r="K432" s="91" t="s">
        <v>2183</v>
      </c>
      <c r="L432" s="44" t="s">
        <v>1845</v>
      </c>
      <c r="M432" s="44"/>
      <c r="N432" s="44"/>
      <c r="O432" s="44"/>
      <c r="P432" s="44"/>
      <c r="Q432" s="44"/>
      <c r="R432" s="44"/>
      <c r="S432" s="44"/>
      <c r="T432" s="365" t="b" cm="1">
        <f t="array" aca="1" ref="T432" ca="1">T431</f>
        <v>1</v>
      </c>
      <c r="U432" s="44"/>
      <c r="V432" s="44"/>
      <c r="W432" s="44"/>
      <c r="X432" s="1094"/>
      <c r="Z432" s="1065"/>
      <c r="AB432" s="26" t="str">
        <f>AB431&amp;".1"</f>
        <v>7.7.1</v>
      </c>
      <c r="AC432" s="559" t="s">
        <v>1548</v>
      </c>
      <c r="AD432" s="26" t="s">
        <v>804</v>
      </c>
      <c r="AE432" s="147">
        <v>-160.7398387417</v>
      </c>
      <c r="AF432" s="147"/>
      <c r="AG432" s="147"/>
      <c r="AH432" s="190">
        <f t="shared" si="116"/>
        <v>0</v>
      </c>
      <c r="AI432" s="147">
        <v>-35.5525234459</v>
      </c>
      <c r="AJ432" s="147">
        <f ca="1">SUMIFS('Корректировка НВВ'!$AF$25:$AF$180,'Корректировка НВВ'!$F$25:$F$180,$F432,'Корректировка НВВ'!$I$25:$I$180,$G432)</f>
        <v>0</v>
      </c>
      <c r="AK432" s="787"/>
      <c r="AL432" s="787"/>
      <c r="AM432" s="787"/>
      <c r="AN432" s="787"/>
      <c r="AO432" s="787"/>
      <c r="AP432" s="787"/>
      <c r="AQ432" s="787"/>
      <c r="AR432" s="787"/>
      <c r="AS432" s="787"/>
      <c r="AT432" s="147">
        <f ca="1">SUMIFS('Корректировка НВВ'!$AG$25:$AG$180,'Корректировка НВВ'!$F$25:$F$180,$F432,'Корректировка НВВ'!$I$25:$I$180,$G432)</f>
        <v>-307.85000000000002</v>
      </c>
      <c r="AU432" s="787"/>
      <c r="AV432" s="787"/>
      <c r="AW432" s="787"/>
      <c r="AX432" s="787"/>
      <c r="AY432" s="787"/>
      <c r="AZ432" s="787"/>
      <c r="BA432" s="787"/>
      <c r="BB432" s="787"/>
      <c r="BC432" s="787"/>
      <c r="BD432" s="552"/>
      <c r="BE432" s="552"/>
      <c r="BF432" s="552"/>
      <c r="BG432" s="552"/>
      <c r="BH432" s="552"/>
      <c r="BI432" s="552"/>
      <c r="BJ432" s="552"/>
      <c r="BK432" s="552"/>
      <c r="BL432" s="552"/>
      <c r="BM432" s="552"/>
      <c r="BN432" s="215"/>
      <c r="BO432" s="610" t="s">
        <v>2210</v>
      </c>
      <c r="BP432" s="215" t="s">
        <v>2211</v>
      </c>
      <c r="BS432" s="705" t="s">
        <v>1549</v>
      </c>
    </row>
    <row r="433" spans="1:75" ht="21.95" customHeight="1">
      <c r="C433" s="44"/>
      <c r="D433" s="44" t="str" cm="1">
        <f t="array" ref="D433">D432</f>
        <v>7</v>
      </c>
      <c r="E433" s="462">
        <v>22.5</v>
      </c>
      <c r="F433" s="3" t="str" cm="1">
        <f t="array" aca="1" ref="F433" ca="1">OFFSET(E433,-1,1)</f>
        <v>2</v>
      </c>
      <c r="G433" s="44" t="s">
        <v>2184</v>
      </c>
      <c r="H433" s="44"/>
      <c r="I433" s="44" t="s">
        <v>2185</v>
      </c>
      <c r="J433" s="44"/>
      <c r="K433" s="91" t="s">
        <v>2185</v>
      </c>
      <c r="L433" s="44" t="s">
        <v>1847</v>
      </c>
      <c r="M433" s="44"/>
      <c r="N433" s="44"/>
      <c r="O433" s="44"/>
      <c r="P433" s="44"/>
      <c r="Q433" s="44"/>
      <c r="R433" s="44"/>
      <c r="S433" s="44"/>
      <c r="T433" s="365" t="b" cm="1">
        <f t="array" aca="1" ref="T433" ca="1">T432</f>
        <v>1</v>
      </c>
      <c r="U433" s="44"/>
      <c r="V433" s="44"/>
      <c r="W433" s="44"/>
      <c r="X433" s="1094"/>
      <c r="Z433" s="1065"/>
      <c r="AB433" s="26" t="str">
        <f>AB431&amp;".2"</f>
        <v>7.7.2</v>
      </c>
      <c r="AC433" s="559" t="s">
        <v>1550</v>
      </c>
      <c r="AD433" s="26" t="s">
        <v>804</v>
      </c>
      <c r="AE433" s="147">
        <v>0</v>
      </c>
      <c r="AF433" s="147"/>
      <c r="AG433" s="147"/>
      <c r="AH433" s="190">
        <f t="shared" si="116"/>
        <v>0</v>
      </c>
      <c r="AI433" s="147">
        <v>0</v>
      </c>
      <c r="AJ433" s="147">
        <f ca="1">SUMIFS('Корректировка НВВ'!$AF$25:$AF$180,'Корректировка НВВ'!$F$25:$F$180,$F433,'Корректировка НВВ'!$I$25:$I$180,$G433)</f>
        <v>0</v>
      </c>
      <c r="AK433" s="787"/>
      <c r="AL433" s="787"/>
      <c r="AM433" s="787"/>
      <c r="AN433" s="787"/>
      <c r="AO433" s="787"/>
      <c r="AP433" s="787"/>
      <c r="AQ433" s="787"/>
      <c r="AR433" s="787"/>
      <c r="AS433" s="787"/>
      <c r="AT433" s="147">
        <f ca="1">SUMIFS('Корректировка НВВ'!$AG$25:$AG$180,'Корректировка НВВ'!$F$25:$F$180,$F433,'Корректировка НВВ'!$I$25:$I$180,$G433)</f>
        <v>0</v>
      </c>
      <c r="AU433" s="787"/>
      <c r="AV433" s="787"/>
      <c r="AW433" s="787"/>
      <c r="AX433" s="787"/>
      <c r="AY433" s="787"/>
      <c r="AZ433" s="787"/>
      <c r="BA433" s="787"/>
      <c r="BB433" s="787"/>
      <c r="BC433" s="787"/>
      <c r="BD433" s="552"/>
      <c r="BE433" s="552"/>
      <c r="BF433" s="552"/>
      <c r="BG433" s="552"/>
      <c r="BH433" s="552"/>
      <c r="BI433" s="552"/>
      <c r="BJ433" s="552"/>
      <c r="BK433" s="552"/>
      <c r="BL433" s="552"/>
      <c r="BM433" s="552"/>
      <c r="BN433" s="215"/>
      <c r="BO433" s="610" t="str">
        <f ca="1">IF(IFERROR(INDEX('Корректировка НВВ'!$K$26:$L$180,MATCH($F433&amp;"8komm",'Корректировка НВВ'!$K$26:$K$180,0),2),"")=0,"",IFERROR(INDEX('Корректировка НВВ'!$K$26:$L$180,MATCH($F433&amp;"8komm",'Корректировка НВВ'!$K$26:$K$180,0),2),""))</f>
        <v/>
      </c>
      <c r="BP433" s="215"/>
      <c r="BS433" s="705" t="s">
        <v>1551</v>
      </c>
    </row>
    <row r="434" spans="1:75" ht="14.65" customHeight="1">
      <c r="C434" s="44"/>
      <c r="D434" s="44" t="str" cm="1">
        <f t="array" ref="D434">D433</f>
        <v>7</v>
      </c>
      <c r="E434" s="462">
        <v>15</v>
      </c>
      <c r="F434" s="3" t="str" cm="1">
        <f t="array" aca="1" ref="F434" ca="1">OFFSET(E434,-1,1)</f>
        <v>2</v>
      </c>
      <c r="G434" s="44" t="s">
        <v>314</v>
      </c>
      <c r="H434" s="44"/>
      <c r="I434" s="44" t="s">
        <v>1851</v>
      </c>
      <c r="J434" s="44"/>
      <c r="K434" s="91" t="s">
        <v>1851</v>
      </c>
      <c r="L434" s="44" t="s">
        <v>1850</v>
      </c>
      <c r="M434" s="44"/>
      <c r="N434" s="44"/>
      <c r="O434" s="44"/>
      <c r="P434" s="44"/>
      <c r="Q434" s="44"/>
      <c r="R434" s="44"/>
      <c r="S434" s="44"/>
      <c r="T434" s="365" t="b" cm="1">
        <f t="array" aca="1" ref="T434" ca="1">T433</f>
        <v>1</v>
      </c>
      <c r="U434" s="44"/>
      <c r="V434" s="44"/>
      <c r="W434" s="44"/>
      <c r="X434" s="1094"/>
      <c r="Z434" s="1065"/>
      <c r="AB434" s="26" t="str">
        <f>IF(B429,D430&amp;".8",D430&amp;".6")</f>
        <v>7.8</v>
      </c>
      <c r="AC434" s="560" t="s">
        <v>1552</v>
      </c>
      <c r="AD434" s="26" t="s">
        <v>804</v>
      </c>
      <c r="AE434" s="147">
        <v>0</v>
      </c>
      <c r="AF434" s="147"/>
      <c r="AG434" s="147"/>
      <c r="AH434" s="190">
        <f t="shared" si="116"/>
        <v>0</v>
      </c>
      <c r="AI434" s="147">
        <v>0</v>
      </c>
      <c r="AJ434" s="147">
        <f ca="1">SUMIFS('Корректировка НВВ'!$AF$25:$AF$180,'Корректировка НВВ'!$F$25:$F$180,$F434,'Корректировка НВВ'!$I$25:$I$180,$G434)</f>
        <v>0</v>
      </c>
      <c r="AK434" s="787"/>
      <c r="AL434" s="787"/>
      <c r="AM434" s="787"/>
      <c r="AN434" s="787"/>
      <c r="AO434" s="787"/>
      <c r="AP434" s="787"/>
      <c r="AQ434" s="787"/>
      <c r="AR434" s="787"/>
      <c r="AS434" s="787"/>
      <c r="AT434" s="147">
        <f ca="1">SUMIFS('Корректировка НВВ'!$AG$25:$AG$180,'Корректировка НВВ'!$F$25:$F$180,$F434,'Корректировка НВВ'!$I$25:$I$180,$G434)</f>
        <v>0</v>
      </c>
      <c r="AU434" s="787"/>
      <c r="AV434" s="787"/>
      <c r="AW434" s="787"/>
      <c r="AX434" s="787"/>
      <c r="AY434" s="787"/>
      <c r="AZ434" s="787"/>
      <c r="BA434" s="787"/>
      <c r="BB434" s="787"/>
      <c r="BC434" s="787"/>
      <c r="BD434" s="552"/>
      <c r="BE434" s="552"/>
      <c r="BF434" s="552"/>
      <c r="BG434" s="552"/>
      <c r="BH434" s="552"/>
      <c r="BI434" s="552"/>
      <c r="BJ434" s="552"/>
      <c r="BK434" s="552"/>
      <c r="BL434" s="552"/>
      <c r="BM434" s="552"/>
      <c r="BN434" s="215"/>
      <c r="BO434" s="610" t="str">
        <f ca="1">IF(IFERROR(INDEX('Корректировка НВВ'!$K$26:$L$180,MATCH($F434&amp;"9komm",'Корректировка НВВ'!$K$26:$K$180,0),2),"")=0,"",IFERROR(INDEX('Корректировка НВВ'!$K$26:$L$180,MATCH($F434&amp;"9komm",'Корректировка НВВ'!$K$26:$K$180,0),2),""))</f>
        <v/>
      </c>
      <c r="BP434" s="215"/>
      <c r="BS434" s="705" t="s">
        <v>2186</v>
      </c>
    </row>
    <row r="435" spans="1:75" ht="14.65" customHeight="1">
      <c r="C435" s="44"/>
      <c r="D435" s="44" t="str" cm="1">
        <f t="array" ref="D435">D434</f>
        <v>7</v>
      </c>
      <c r="E435" s="462">
        <v>15</v>
      </c>
      <c r="F435" s="3" t="str" cm="1">
        <f t="array" aca="1" ref="F435" ca="1">OFFSET(E435,-1,1)</f>
        <v>2</v>
      </c>
      <c r="G435" s="44" t="s">
        <v>2187</v>
      </c>
      <c r="H435" s="44"/>
      <c r="I435" s="44" t="s">
        <v>1853</v>
      </c>
      <c r="J435" s="44"/>
      <c r="K435" s="91" t="s">
        <v>1853</v>
      </c>
      <c r="L435" s="44" t="s">
        <v>1851</v>
      </c>
      <c r="M435" s="44"/>
      <c r="N435" s="44"/>
      <c r="O435" s="44"/>
      <c r="P435" s="44"/>
      <c r="Q435" s="44"/>
      <c r="R435" s="44"/>
      <c r="S435" s="44"/>
      <c r="T435" s="365" t="b" cm="1">
        <f t="array" aca="1" ref="T435" ca="1">T434</f>
        <v>1</v>
      </c>
      <c r="U435" s="44"/>
      <c r="V435" s="44"/>
      <c r="W435" s="44"/>
      <c r="X435" s="1094"/>
      <c r="Z435" s="1065"/>
      <c r="AB435" s="26" t="str">
        <f>IF(B429,D430&amp;".9",D430&amp;".7")</f>
        <v>7.9</v>
      </c>
      <c r="AC435" s="560" t="s">
        <v>1554</v>
      </c>
      <c r="AD435" s="26" t="s">
        <v>804</v>
      </c>
      <c r="AE435" s="147">
        <v>0</v>
      </c>
      <c r="AF435" s="147"/>
      <c r="AG435" s="147"/>
      <c r="AH435" s="190">
        <f t="shared" si="116"/>
        <v>0</v>
      </c>
      <c r="AI435" s="147">
        <v>0</v>
      </c>
      <c r="AJ435" s="147">
        <f ca="1">SUMIFS('Корректировка НВВ'!$AF$25:$AF$180,'Корректировка НВВ'!$F$25:$F$180,$F435,'Корректировка НВВ'!$I$25:$I$180,$G435)</f>
        <v>0</v>
      </c>
      <c r="AK435" s="787"/>
      <c r="AL435" s="787"/>
      <c r="AM435" s="787"/>
      <c r="AN435" s="787"/>
      <c r="AO435" s="787"/>
      <c r="AP435" s="787"/>
      <c r="AQ435" s="787"/>
      <c r="AR435" s="787"/>
      <c r="AS435" s="787"/>
      <c r="AT435" s="147">
        <f ca="1">SUMIFS('Корректировка НВВ'!$AG$25:$AG$180,'Корректировка НВВ'!$F$25:$F$180,$F435,'Корректировка НВВ'!$I$25:$I$180,$G435)</f>
        <v>0</v>
      </c>
      <c r="AU435" s="787"/>
      <c r="AV435" s="787"/>
      <c r="AW435" s="787"/>
      <c r="AX435" s="787"/>
      <c r="AY435" s="787"/>
      <c r="AZ435" s="787"/>
      <c r="BA435" s="787"/>
      <c r="BB435" s="787"/>
      <c r="BC435" s="787"/>
      <c r="BD435" s="552"/>
      <c r="BE435" s="552"/>
      <c r="BF435" s="552"/>
      <c r="BG435" s="552"/>
      <c r="BH435" s="552"/>
      <c r="BI435" s="552"/>
      <c r="BJ435" s="552"/>
      <c r="BK435" s="552"/>
      <c r="BL435" s="552"/>
      <c r="BM435" s="552"/>
      <c r="BN435" s="215"/>
      <c r="BO435" s="610" t="str">
        <f ca="1">IF(IFERROR(INDEX('Корректировка НВВ'!$K$26:$L$180,MATCH($F435&amp;"10komm",'Корректировка НВВ'!$K$26:$K$180,0),2),"")=0,"",IFERROR(INDEX('Корректировка НВВ'!$K$26:$L$180,MATCH($F435&amp;"10komm",'Корректировка НВВ'!$K$26:$K$180,0),2),""))</f>
        <v/>
      </c>
      <c r="BP435" s="215"/>
      <c r="BS435" s="705" t="s">
        <v>1555</v>
      </c>
    </row>
    <row r="436" spans="1:75" s="950" customFormat="1" ht="96.75" customHeight="1">
      <c r="A436" s="95"/>
      <c r="B436" s="344"/>
      <c r="C436" s="46"/>
      <c r="D436" s="46">
        <f>D435+1</f>
        <v>8</v>
      </c>
      <c r="E436" s="569">
        <v>21</v>
      </c>
      <c r="F436" s="3" t="str" cm="1">
        <f t="array" aca="1" ref="F436" ca="1">OFFSET(E436,-1,1)</f>
        <v>2</v>
      </c>
      <c r="G436" s="46"/>
      <c r="H436" s="46"/>
      <c r="I436" s="46" t="s">
        <v>585</v>
      </c>
      <c r="J436" s="46"/>
      <c r="K436" s="95" t="s">
        <v>585</v>
      </c>
      <c r="L436" s="46"/>
      <c r="M436" s="46"/>
      <c r="N436" s="46"/>
      <c r="O436" s="46"/>
      <c r="P436" s="46"/>
      <c r="Q436" s="46"/>
      <c r="R436" s="46"/>
      <c r="S436" s="46"/>
      <c r="T436" s="365" t="b" cm="1">
        <f t="array" aca="1" ref="T436" ca="1">T435</f>
        <v>1</v>
      </c>
      <c r="U436" s="46"/>
      <c r="V436" s="46"/>
      <c r="W436" s="46"/>
      <c r="X436" s="1094"/>
      <c r="Y436" s="95"/>
      <c r="Z436" s="1065"/>
      <c r="AA436" s="95"/>
      <c r="AB436" s="143" cm="1">
        <f t="array" ref="AB436">D436</f>
        <v>8</v>
      </c>
      <c r="AC436" s="144" t="s">
        <v>2188</v>
      </c>
      <c r="AD436" s="143" t="s">
        <v>804</v>
      </c>
      <c r="AE436" s="157">
        <v>-4425.0990000000002</v>
      </c>
      <c r="AF436" s="157"/>
      <c r="AG436" s="157"/>
      <c r="AH436" s="145">
        <f t="shared" si="116"/>
        <v>0</v>
      </c>
      <c r="AI436" s="157">
        <v>-4107.7920000000004</v>
      </c>
      <c r="AJ436" s="157"/>
      <c r="AK436" s="783"/>
      <c r="AL436" s="783"/>
      <c r="AM436" s="783"/>
      <c r="AN436" s="783"/>
      <c r="AO436" s="783"/>
      <c r="AP436" s="783"/>
      <c r="AQ436" s="783"/>
      <c r="AR436" s="783"/>
      <c r="AS436" s="783"/>
      <c r="AT436" s="157"/>
      <c r="AU436" s="783"/>
      <c r="AV436" s="783"/>
      <c r="AW436" s="783"/>
      <c r="AX436" s="783"/>
      <c r="AY436" s="783"/>
      <c r="AZ436" s="783"/>
      <c r="BA436" s="783"/>
      <c r="BB436" s="783"/>
      <c r="BC436" s="783"/>
      <c r="BD436" s="148"/>
      <c r="BE436" s="148"/>
      <c r="BF436" s="148"/>
      <c r="BG436" s="148"/>
      <c r="BH436" s="148"/>
      <c r="BI436" s="148"/>
      <c r="BJ436" s="148"/>
      <c r="BK436" s="148"/>
      <c r="BL436" s="148"/>
      <c r="BM436" s="148"/>
      <c r="BN436" s="566"/>
      <c r="BO436" s="566" t="s">
        <v>2216</v>
      </c>
      <c r="BP436" s="566"/>
      <c r="BQ436" s="95"/>
      <c r="BR436" s="95"/>
      <c r="BS436" s="711" t="s">
        <v>2189</v>
      </c>
      <c r="BT436" s="711"/>
      <c r="BU436" s="711"/>
      <c r="BV436" s="522"/>
      <c r="BW436" s="522"/>
    </row>
    <row r="437" spans="1:75" ht="14.25" customHeight="1">
      <c r="C437" s="44"/>
      <c r="D437" s="46" cm="1">
        <f t="array" ref="D437">D436</f>
        <v>8</v>
      </c>
      <c r="E437" s="462">
        <v>15</v>
      </c>
      <c r="F437" s="3" t="str" cm="1">
        <f t="array" aca="1" ref="F437" ca="1">OFFSET(E437,-1,1)</f>
        <v>2</v>
      </c>
      <c r="G437" s="44"/>
      <c r="H437" s="44"/>
      <c r="I437" s="44" t="s">
        <v>589</v>
      </c>
      <c r="J437" s="44"/>
      <c r="K437" s="91" t="s">
        <v>589</v>
      </c>
      <c r="L437" s="44"/>
      <c r="M437" s="44"/>
      <c r="N437" s="44"/>
      <c r="O437" s="44"/>
      <c r="P437" s="44"/>
      <c r="Q437" s="44"/>
      <c r="R437" s="44"/>
      <c r="S437" s="44"/>
      <c r="T437" s="365" t="b" cm="1">
        <f t="array" aca="1" ref="T437" ca="1">T436</f>
        <v>1</v>
      </c>
      <c r="U437" s="44"/>
      <c r="V437" s="44"/>
      <c r="W437" s="44"/>
      <c r="X437" s="1094"/>
      <c r="Z437" s="1065"/>
      <c r="AB437" s="26" t="str">
        <f>D437&amp;".1"</f>
        <v>8.1</v>
      </c>
      <c r="AC437" s="146" t="s">
        <v>2190</v>
      </c>
      <c r="AD437" s="26" t="s">
        <v>456</v>
      </c>
      <c r="AE437" s="190">
        <f ca="1">IF(AE438=0,0,AE436/(AE438+AE423)*100)</f>
        <v>-42.910821334551464</v>
      </c>
      <c r="AF437" s="190">
        <f ca="1">IF(AF438=0,0,AF436/(AF438+AF423)*100)</f>
        <v>0</v>
      </c>
      <c r="AG437" s="190">
        <f ca="1">IF(AG438=0,0,AG436/(AG438+AG423)*100)</f>
        <v>0</v>
      </c>
      <c r="AH437" s="190">
        <f t="shared" ca="1" si="116"/>
        <v>0</v>
      </c>
      <c r="AI437" s="190">
        <f t="shared" ref="AI437:BC437" ca="1" si="120">IF(AI438=0,0,AI436/(AI438+AI423)*100)</f>
        <v>-64.156131295059339</v>
      </c>
      <c r="AJ437" s="190">
        <f t="shared" ca="1" si="120"/>
        <v>0</v>
      </c>
      <c r="AK437" s="190">
        <f t="shared" ca="1" si="120"/>
        <v>0</v>
      </c>
      <c r="AL437" s="190">
        <f t="shared" ca="1" si="120"/>
        <v>0</v>
      </c>
      <c r="AM437" s="190">
        <f t="shared" ca="1" si="120"/>
        <v>0</v>
      </c>
      <c r="AN437" s="190">
        <f t="shared" ca="1" si="120"/>
        <v>0</v>
      </c>
      <c r="AO437" s="190">
        <f t="shared" ca="1" si="120"/>
        <v>0</v>
      </c>
      <c r="AP437" s="190">
        <f t="shared" ca="1" si="120"/>
        <v>0</v>
      </c>
      <c r="AQ437" s="190">
        <f t="shared" ca="1" si="120"/>
        <v>0</v>
      </c>
      <c r="AR437" s="190">
        <f t="shared" ca="1" si="120"/>
        <v>0</v>
      </c>
      <c r="AS437" s="190">
        <f t="shared" ca="1" si="120"/>
        <v>0</v>
      </c>
      <c r="AT437" s="190">
        <f t="shared" ca="1" si="120"/>
        <v>0</v>
      </c>
      <c r="AU437" s="190">
        <f t="shared" ca="1" si="120"/>
        <v>0</v>
      </c>
      <c r="AV437" s="190">
        <f t="shared" ca="1" si="120"/>
        <v>0</v>
      </c>
      <c r="AW437" s="190">
        <f t="shared" ca="1" si="120"/>
        <v>0</v>
      </c>
      <c r="AX437" s="190">
        <f t="shared" ca="1" si="120"/>
        <v>0</v>
      </c>
      <c r="AY437" s="190">
        <f t="shared" ca="1" si="120"/>
        <v>0</v>
      </c>
      <c r="AZ437" s="190">
        <f t="shared" ca="1" si="120"/>
        <v>0</v>
      </c>
      <c r="BA437" s="190">
        <f t="shared" ca="1" si="120"/>
        <v>0</v>
      </c>
      <c r="BB437" s="190">
        <f t="shared" ca="1" si="120"/>
        <v>0</v>
      </c>
      <c r="BC437" s="190">
        <f t="shared" ca="1" si="120"/>
        <v>0</v>
      </c>
      <c r="BD437" s="552"/>
      <c r="BE437" s="552"/>
      <c r="BF437" s="552"/>
      <c r="BG437" s="552"/>
      <c r="BH437" s="552"/>
      <c r="BI437" s="552"/>
      <c r="BJ437" s="552"/>
      <c r="BK437" s="552"/>
      <c r="BL437" s="552"/>
      <c r="BM437" s="552"/>
      <c r="BN437" s="215"/>
      <c r="BO437" s="215"/>
      <c r="BP437" s="215"/>
      <c r="BS437" s="705" t="s">
        <v>2191</v>
      </c>
    </row>
    <row r="438" spans="1:75" s="950" customFormat="1" ht="20.25" customHeight="1">
      <c r="A438" s="95"/>
      <c r="B438" s="344"/>
      <c r="C438" s="46"/>
      <c r="D438" s="46">
        <f>D437+1</f>
        <v>9</v>
      </c>
      <c r="E438" s="569">
        <v>21</v>
      </c>
      <c r="F438" s="3" t="str" cm="1">
        <f t="array" aca="1" ref="F438" ca="1">OFFSET(E438,-1,1)</f>
        <v>2</v>
      </c>
      <c r="G438" s="46"/>
      <c r="H438" s="44"/>
      <c r="I438" s="44" t="s">
        <v>743</v>
      </c>
      <c r="J438" s="46"/>
      <c r="K438" s="91" t="s">
        <v>743</v>
      </c>
      <c r="L438" s="46" t="s">
        <v>1853</v>
      </c>
      <c r="M438" s="46"/>
      <c r="N438" s="46"/>
      <c r="O438" s="46"/>
      <c r="P438" s="46"/>
      <c r="Q438" s="46"/>
      <c r="R438" s="46"/>
      <c r="S438" s="46"/>
      <c r="T438" s="365" t="b" cm="1">
        <f t="array" aca="1" ref="T438" ca="1">T437</f>
        <v>1</v>
      </c>
      <c r="U438" s="46"/>
      <c r="V438" s="46"/>
      <c r="W438" s="46"/>
      <c r="X438" s="1094"/>
      <c r="Y438" s="95"/>
      <c r="Z438" s="1065"/>
      <c r="AA438" s="95"/>
      <c r="AB438" s="143" cm="1">
        <f t="array" ref="AB438">D438</f>
        <v>9</v>
      </c>
      <c r="AC438" s="144" t="s">
        <v>1855</v>
      </c>
      <c r="AD438" s="166" t="s">
        <v>804</v>
      </c>
      <c r="AE438" s="145">
        <f ca="1">AE316+AE366+AE402+AE403+AE405+AE410+AE411+AE414</f>
        <v>10620.168687017382</v>
      </c>
      <c r="AF438" s="145">
        <f ca="1">AF316+AF366+AF402+AF403+AF405+AF410+AF411+AF414</f>
        <v>5518.6254600000002</v>
      </c>
      <c r="AG438" s="145">
        <f ca="1">AG316+AG366+AG402+AG403+AG405+AG410+AG411+AG414</f>
        <v>4940.5454600000003</v>
      </c>
      <c r="AH438" s="145">
        <f t="shared" ca="1" si="116"/>
        <v>-578.07999999999993</v>
      </c>
      <c r="AI438" s="145">
        <f t="shared" ref="AI438:BC438" ca="1" si="121">AI316+AI366+AI402+AI403+AI405+AI410+AI411+AI414</f>
        <v>8328.008614021699</v>
      </c>
      <c r="AJ438" s="145">
        <f t="shared" ca="1" si="121"/>
        <v>6892.4802000000009</v>
      </c>
      <c r="AK438" s="145">
        <f t="shared" ca="1" si="121"/>
        <v>0</v>
      </c>
      <c r="AL438" s="145">
        <f t="shared" ca="1" si="121"/>
        <v>0</v>
      </c>
      <c r="AM438" s="145">
        <f t="shared" ca="1" si="121"/>
        <v>0</v>
      </c>
      <c r="AN438" s="145">
        <f t="shared" ca="1" si="121"/>
        <v>0</v>
      </c>
      <c r="AO438" s="145">
        <f t="shared" ca="1" si="121"/>
        <v>0</v>
      </c>
      <c r="AP438" s="145">
        <f t="shared" ca="1" si="121"/>
        <v>0</v>
      </c>
      <c r="AQ438" s="145">
        <f t="shared" ca="1" si="121"/>
        <v>0</v>
      </c>
      <c r="AR438" s="145">
        <f t="shared" ca="1" si="121"/>
        <v>0</v>
      </c>
      <c r="AS438" s="145">
        <f t="shared" ca="1" si="121"/>
        <v>0</v>
      </c>
      <c r="AT438" s="145">
        <f t="shared" ca="1" si="121"/>
        <v>6727.1082500000002</v>
      </c>
      <c r="AU438" s="145">
        <f t="shared" ca="1" si="121"/>
        <v>0</v>
      </c>
      <c r="AV438" s="145">
        <f t="shared" ca="1" si="121"/>
        <v>0</v>
      </c>
      <c r="AW438" s="145">
        <f t="shared" ca="1" si="121"/>
        <v>0</v>
      </c>
      <c r="AX438" s="145">
        <f t="shared" ca="1" si="121"/>
        <v>0</v>
      </c>
      <c r="AY438" s="145">
        <f t="shared" ca="1" si="121"/>
        <v>0</v>
      </c>
      <c r="AZ438" s="145">
        <f t="shared" ca="1" si="121"/>
        <v>0</v>
      </c>
      <c r="BA438" s="145">
        <f t="shared" ca="1" si="121"/>
        <v>0</v>
      </c>
      <c r="BB438" s="145">
        <f t="shared" ca="1" si="121"/>
        <v>0</v>
      </c>
      <c r="BC438" s="145">
        <f t="shared" ca="1" si="121"/>
        <v>0</v>
      </c>
      <c r="BD438" s="145">
        <f ca="1">IF(AI438=0,0,(AT438-AI438)/AI438*100)</f>
        <v>-19.223087273544547</v>
      </c>
      <c r="BE438" s="145">
        <f t="shared" ref="BE438:BM439" ca="1" si="122">IF(AT438=0,0,(AU438-AT438)/AT438*100)</f>
        <v>-100</v>
      </c>
      <c r="BF438" s="145">
        <f t="shared" ca="1" si="122"/>
        <v>0</v>
      </c>
      <c r="BG438" s="145">
        <f t="shared" ca="1" si="122"/>
        <v>0</v>
      </c>
      <c r="BH438" s="145">
        <f t="shared" ca="1" si="122"/>
        <v>0</v>
      </c>
      <c r="BI438" s="145">
        <f t="shared" ca="1" si="122"/>
        <v>0</v>
      </c>
      <c r="BJ438" s="145">
        <f t="shared" ca="1" si="122"/>
        <v>0</v>
      </c>
      <c r="BK438" s="145">
        <f t="shared" ca="1" si="122"/>
        <v>0</v>
      </c>
      <c r="BL438" s="145">
        <f t="shared" ca="1" si="122"/>
        <v>0</v>
      </c>
      <c r="BM438" s="145">
        <f t="shared" ca="1" si="122"/>
        <v>0</v>
      </c>
      <c r="BN438" s="215"/>
      <c r="BO438" s="215"/>
      <c r="BP438" s="215"/>
      <c r="BQ438" s="95"/>
      <c r="BR438" s="95"/>
      <c r="BS438" s="711" t="s">
        <v>1856</v>
      </c>
      <c r="BT438" s="711"/>
      <c r="BU438" s="711"/>
      <c r="BV438" s="522"/>
      <c r="BW438" s="522"/>
    </row>
    <row r="439" spans="1:75" s="950" customFormat="1" ht="222.75" customHeight="1">
      <c r="A439" s="95"/>
      <c r="B439" s="344"/>
      <c r="C439" s="46"/>
      <c r="D439" s="46">
        <f>D438+1</f>
        <v>10</v>
      </c>
      <c r="E439" s="569">
        <v>21</v>
      </c>
      <c r="F439" s="3" t="str" cm="1">
        <f t="array" aca="1" ref="F439" ca="1">OFFSET(E439,-1,1)</f>
        <v>2</v>
      </c>
      <c r="G439" s="46"/>
      <c r="H439" s="44"/>
      <c r="I439" s="44" t="s">
        <v>1865</v>
      </c>
      <c r="J439" s="46"/>
      <c r="K439" s="91" t="s">
        <v>1865</v>
      </c>
      <c r="L439" s="46"/>
      <c r="M439" s="46"/>
      <c r="N439" s="46"/>
      <c r="O439" s="46"/>
      <c r="P439" s="46"/>
      <c r="Q439" s="46"/>
      <c r="R439" s="46"/>
      <c r="S439" s="46"/>
      <c r="T439" s="365" t="b" cm="1">
        <f t="array" aca="1" ref="T439" ca="1">T438</f>
        <v>1</v>
      </c>
      <c r="U439" s="46"/>
      <c r="V439" s="46"/>
      <c r="W439" s="46"/>
      <c r="X439" s="1094"/>
      <c r="Y439" s="95"/>
      <c r="Z439" s="1065"/>
      <c r="AA439" s="95"/>
      <c r="AB439" s="143" cm="1">
        <f t="array" ref="AB439">D439</f>
        <v>10</v>
      </c>
      <c r="AC439" s="144" t="s">
        <v>2192</v>
      </c>
      <c r="AD439" s="143" t="s">
        <v>804</v>
      </c>
      <c r="AE439" s="145">
        <f t="shared" ref="AE439:BC439" ca="1" si="123">AE438+AE423+AE436</f>
        <v>5887.2158482756822</v>
      </c>
      <c r="AF439" s="145">
        <f t="shared" ca="1" si="123"/>
        <v>5518.6254600000002</v>
      </c>
      <c r="AG439" s="145">
        <f t="shared" ca="1" si="123"/>
        <v>4940.5454600000003</v>
      </c>
      <c r="AH439" s="145">
        <f t="shared" ca="1" si="123"/>
        <v>-578.07999999999993</v>
      </c>
      <c r="AI439" s="145">
        <f t="shared" ca="1" si="123"/>
        <v>2295.013027485099</v>
      </c>
      <c r="AJ439" s="145">
        <f t="shared" ca="1" si="123"/>
        <v>11932.380660000006</v>
      </c>
      <c r="AK439" s="145">
        <f t="shared" ca="1" si="123"/>
        <v>0</v>
      </c>
      <c r="AL439" s="145">
        <f t="shared" ca="1" si="123"/>
        <v>0</v>
      </c>
      <c r="AM439" s="145">
        <f t="shared" ca="1" si="123"/>
        <v>0</v>
      </c>
      <c r="AN439" s="145">
        <f t="shared" ca="1" si="123"/>
        <v>0</v>
      </c>
      <c r="AO439" s="145">
        <f t="shared" ca="1" si="123"/>
        <v>0</v>
      </c>
      <c r="AP439" s="145">
        <f t="shared" ca="1" si="123"/>
        <v>0</v>
      </c>
      <c r="AQ439" s="145">
        <f t="shared" ca="1" si="123"/>
        <v>0</v>
      </c>
      <c r="AR439" s="145">
        <f t="shared" ca="1" si="123"/>
        <v>0</v>
      </c>
      <c r="AS439" s="145">
        <f t="shared" ca="1" si="123"/>
        <v>0</v>
      </c>
      <c r="AT439" s="145">
        <f t="shared" ca="1" si="123"/>
        <v>6305.8137100000031</v>
      </c>
      <c r="AU439" s="145">
        <f t="shared" ca="1" si="123"/>
        <v>0</v>
      </c>
      <c r="AV439" s="145">
        <f t="shared" ca="1" si="123"/>
        <v>0</v>
      </c>
      <c r="AW439" s="145">
        <f t="shared" ca="1" si="123"/>
        <v>0</v>
      </c>
      <c r="AX439" s="145">
        <f t="shared" ca="1" si="123"/>
        <v>0</v>
      </c>
      <c r="AY439" s="145">
        <f t="shared" ca="1" si="123"/>
        <v>0</v>
      </c>
      <c r="AZ439" s="145">
        <f t="shared" ca="1" si="123"/>
        <v>0</v>
      </c>
      <c r="BA439" s="145">
        <f t="shared" ca="1" si="123"/>
        <v>0</v>
      </c>
      <c r="BB439" s="145">
        <f t="shared" ca="1" si="123"/>
        <v>0</v>
      </c>
      <c r="BC439" s="145">
        <f t="shared" ca="1" si="123"/>
        <v>0</v>
      </c>
      <c r="BD439" s="145">
        <f ca="1">IF(AI439=0,0,(AT439-AI439)/AI439*100)</f>
        <v>174.76156494457831</v>
      </c>
      <c r="BE439" s="145">
        <f t="shared" ca="1" si="122"/>
        <v>-100</v>
      </c>
      <c r="BF439" s="145">
        <f t="shared" ca="1" si="122"/>
        <v>0</v>
      </c>
      <c r="BG439" s="145">
        <f t="shared" ca="1" si="122"/>
        <v>0</v>
      </c>
      <c r="BH439" s="145">
        <f t="shared" ca="1" si="122"/>
        <v>0</v>
      </c>
      <c r="BI439" s="145">
        <f t="shared" ca="1" si="122"/>
        <v>0</v>
      </c>
      <c r="BJ439" s="145">
        <f t="shared" ca="1" si="122"/>
        <v>0</v>
      </c>
      <c r="BK439" s="145">
        <f t="shared" ca="1" si="122"/>
        <v>0</v>
      </c>
      <c r="BL439" s="145">
        <f t="shared" ca="1" si="122"/>
        <v>0</v>
      </c>
      <c r="BM439" s="145">
        <f t="shared" ca="1" si="122"/>
        <v>0</v>
      </c>
      <c r="BN439" s="215"/>
      <c r="BO439" s="215" t="s">
        <v>2213</v>
      </c>
      <c r="BP439" s="215"/>
      <c r="BQ439" s="95"/>
      <c r="BR439" s="95"/>
      <c r="BS439" s="711" t="s">
        <v>2193</v>
      </c>
      <c r="BT439" s="711"/>
      <c r="BU439" s="711"/>
      <c r="BV439" s="522"/>
      <c r="BW439" s="522"/>
    </row>
    <row r="440" spans="1:75" ht="14.25" hidden="1" customHeight="1">
      <c r="B440" s="353" t="b">
        <f>A315="двухставочный"</f>
        <v>0</v>
      </c>
      <c r="C440" s="44"/>
      <c r="D440" s="44" cm="1">
        <f t="array" ref="D440">D439</f>
        <v>10</v>
      </c>
      <c r="E440" s="462">
        <v>15</v>
      </c>
      <c r="F440" s="3" t="str" cm="1">
        <f t="array" aca="1" ref="F440" ca="1">OFFSET(E440,-1,1)</f>
        <v>2</v>
      </c>
      <c r="G440" s="44"/>
      <c r="H440" s="581"/>
      <c r="I440" s="581" t="s">
        <v>1869</v>
      </c>
      <c r="J440" s="44"/>
      <c r="K440" s="291" t="s">
        <v>1869</v>
      </c>
      <c r="L440" s="44" t="s">
        <v>1857</v>
      </c>
      <c r="M440" s="44"/>
      <c r="N440" s="44"/>
      <c r="O440" s="44"/>
      <c r="P440" s="44"/>
      <c r="Q440" s="44"/>
      <c r="R440" s="44"/>
      <c r="S440" s="44"/>
      <c r="T440" s="365" t="b" cm="1">
        <f t="array" aca="1" ref="T440" ca="1">T439</f>
        <v>1</v>
      </c>
      <c r="U440" s="44"/>
      <c r="V440" s="44"/>
      <c r="W440" s="44"/>
      <c r="X440" s="1094"/>
      <c r="Z440" s="1065"/>
      <c r="AB440" s="26" t="str">
        <f>D440&amp;".1"</f>
        <v>10.1</v>
      </c>
      <c r="AC440" s="560" t="s">
        <v>1859</v>
      </c>
      <c r="AD440" s="26" t="s">
        <v>804</v>
      </c>
      <c r="AE440" s="787"/>
      <c r="AF440" s="787"/>
      <c r="AG440" s="787"/>
      <c r="AH440" s="190">
        <f t="shared" ref="AH440:AH446" si="124">AG440-AF440</f>
        <v>0</v>
      </c>
      <c r="AI440" s="787"/>
      <c r="AJ440" s="787"/>
      <c r="AK440" s="787"/>
      <c r="AL440" s="787"/>
      <c r="AM440" s="787"/>
      <c r="AN440" s="787"/>
      <c r="AO440" s="787"/>
      <c r="AP440" s="787"/>
      <c r="AQ440" s="787"/>
      <c r="AR440" s="787"/>
      <c r="AS440" s="787"/>
      <c r="AT440" s="787"/>
      <c r="AU440" s="787"/>
      <c r="AV440" s="787"/>
      <c r="AW440" s="787"/>
      <c r="AX440" s="787"/>
      <c r="AY440" s="787"/>
      <c r="AZ440" s="787"/>
      <c r="BA440" s="787"/>
      <c r="BB440" s="787"/>
      <c r="BC440" s="787"/>
      <c r="BD440" s="552"/>
      <c r="BE440" s="552"/>
      <c r="BF440" s="552"/>
      <c r="BG440" s="552"/>
      <c r="BH440" s="552"/>
      <c r="BI440" s="552"/>
      <c r="BJ440" s="552"/>
      <c r="BK440" s="552"/>
      <c r="BL440" s="552"/>
      <c r="BM440" s="552"/>
      <c r="BN440" s="784"/>
      <c r="BO440" s="784"/>
      <c r="BP440" s="784"/>
      <c r="BS440" s="703" t="s">
        <v>1860</v>
      </c>
    </row>
    <row r="441" spans="1:75" ht="14.25" hidden="1" customHeight="1">
      <c r="B441" s="353" t="b">
        <f>A315="двухставочный"</f>
        <v>0</v>
      </c>
      <c r="C441" s="44"/>
      <c r="D441" s="44" cm="1">
        <f t="array" ref="D441">D440</f>
        <v>10</v>
      </c>
      <c r="E441" s="462">
        <v>15</v>
      </c>
      <c r="F441" s="3" t="str" cm="1">
        <f t="array" aca="1" ref="F441" ca="1">OFFSET(E441,-1,1)</f>
        <v>2</v>
      </c>
      <c r="G441" s="44"/>
      <c r="H441" s="581"/>
      <c r="I441" s="581" t="s">
        <v>1873</v>
      </c>
      <c r="J441" s="44"/>
      <c r="K441" s="291" t="s">
        <v>1873</v>
      </c>
      <c r="L441" s="44" t="s">
        <v>1861</v>
      </c>
      <c r="M441" s="44"/>
      <c r="N441" s="44"/>
      <c r="O441" s="44"/>
      <c r="P441" s="44"/>
      <c r="Q441" s="44"/>
      <c r="R441" s="44"/>
      <c r="S441" s="44"/>
      <c r="T441" s="365" t="b" cm="1">
        <f t="array" aca="1" ref="T441" ca="1">T440</f>
        <v>1</v>
      </c>
      <c r="U441" s="44"/>
      <c r="V441" s="44"/>
      <c r="W441" s="44"/>
      <c r="X441" s="1094"/>
      <c r="Z441" s="1065"/>
      <c r="AB441" s="26" t="str">
        <f>D441&amp;".2"</f>
        <v>10.2</v>
      </c>
      <c r="AC441" s="560" t="s">
        <v>1863</v>
      </c>
      <c r="AD441" s="26" t="s">
        <v>804</v>
      </c>
      <c r="AE441" s="787"/>
      <c r="AF441" s="787"/>
      <c r="AG441" s="787"/>
      <c r="AH441" s="190">
        <f t="shared" si="124"/>
        <v>0</v>
      </c>
      <c r="AI441" s="787"/>
      <c r="AJ441" s="787"/>
      <c r="AK441" s="787"/>
      <c r="AL441" s="787"/>
      <c r="AM441" s="787"/>
      <c r="AN441" s="787"/>
      <c r="AO441" s="787"/>
      <c r="AP441" s="787"/>
      <c r="AQ441" s="787"/>
      <c r="AR441" s="787"/>
      <c r="AS441" s="787"/>
      <c r="AT441" s="787"/>
      <c r="AU441" s="787"/>
      <c r="AV441" s="787"/>
      <c r="AW441" s="787"/>
      <c r="AX441" s="787"/>
      <c r="AY441" s="787"/>
      <c r="AZ441" s="787"/>
      <c r="BA441" s="787"/>
      <c r="BB441" s="787"/>
      <c r="BC441" s="787"/>
      <c r="BD441" s="552"/>
      <c r="BE441" s="552"/>
      <c r="BF441" s="552"/>
      <c r="BG441" s="552"/>
      <c r="BH441" s="552"/>
      <c r="BI441" s="552"/>
      <c r="BJ441" s="552"/>
      <c r="BK441" s="552"/>
      <c r="BL441" s="552"/>
      <c r="BM441" s="552"/>
      <c r="BN441" s="784"/>
      <c r="BO441" s="784"/>
      <c r="BP441" s="784"/>
      <c r="BS441" s="703" t="s">
        <v>1864</v>
      </c>
    </row>
    <row r="442" spans="1:75" s="950" customFormat="1" ht="20.25" customHeight="1">
      <c r="A442" s="95"/>
      <c r="B442" s="344"/>
      <c r="C442" s="46"/>
      <c r="D442" s="46">
        <f>D441+1</f>
        <v>11</v>
      </c>
      <c r="E442" s="569">
        <v>21</v>
      </c>
      <c r="F442" s="3" t="str" cm="1">
        <f t="array" aca="1" ref="F442" ca="1">OFFSET(E442,-1,1)</f>
        <v>2</v>
      </c>
      <c r="G442" s="44" t="s">
        <v>1633</v>
      </c>
      <c r="H442" s="44"/>
      <c r="I442" s="44" t="s">
        <v>1893</v>
      </c>
      <c r="J442" s="46"/>
      <c r="K442" s="91" t="s">
        <v>1893</v>
      </c>
      <c r="L442" s="46" t="s">
        <v>1865</v>
      </c>
      <c r="M442" s="46"/>
      <c r="N442" s="46"/>
      <c r="O442" s="46"/>
      <c r="P442" s="46"/>
      <c r="Q442" s="46"/>
      <c r="R442" s="46"/>
      <c r="S442" s="46"/>
      <c r="T442" s="365" t="b" cm="1">
        <f t="array" aca="1" ref="T442" ca="1">T441</f>
        <v>1</v>
      </c>
      <c r="U442" s="46"/>
      <c r="V442" s="46"/>
      <c r="W442" s="46"/>
      <c r="X442" s="1094"/>
      <c r="Y442" s="95"/>
      <c r="Z442" s="1065"/>
      <c r="AA442" s="95"/>
      <c r="AB442" s="143" cm="1">
        <f t="array" ref="AB442">D442</f>
        <v>11</v>
      </c>
      <c r="AC442" s="144" t="s">
        <v>1867</v>
      </c>
      <c r="AD442" s="143" t="s">
        <v>534</v>
      </c>
      <c r="AE442" s="562">
        <f ca="1">SUMIFS(Баланс!AE$26:AE$300,Баланс!$F$26:$F$300,$F442,Баланс!$G$26:$G$300,"ПО")</f>
        <v>945.83128278079994</v>
      </c>
      <c r="AF442" s="562">
        <f ca="1">SUMIFS(Баланс!AF$26:AF$300,Баланс!$F$26:$F$300,$F442,Баланс!$G$26:$G$300,"ПО")</f>
        <v>948.16300000000001</v>
      </c>
      <c r="AG442" s="562">
        <f ca="1">SUMIFS(Баланс!AG$26:AG$300,Баланс!$F$26:$F$300,$F442,Баланс!$G$26:$G$300,"ПО")</f>
        <v>948.16300000000001</v>
      </c>
      <c r="AH442" s="562">
        <f t="shared" ca="1" si="124"/>
        <v>0</v>
      </c>
      <c r="AI442" s="562">
        <f ca="1">SUMIFS(Баланс!AH$26:AH$300,Баланс!$F$26:$F$300,$F442,Баланс!$G$26:$G$300,"ПО")</f>
        <v>949.96699999999998</v>
      </c>
      <c r="AJ442" s="562">
        <f ca="1">SUMIFS(Баланс!AI$26:AI$300,Баланс!$F$26:$F$300,$F442,Баланс!$G$26:$G$300,"ПО")</f>
        <v>938.9369999999999</v>
      </c>
      <c r="AK442" s="562">
        <f ca="1">SUMIFS(Баланс!AJ$26:AJ$300,Баланс!$F$26:$F$300,$F442,Баланс!$G$26:$G$300,"ПО")</f>
        <v>0</v>
      </c>
      <c r="AL442" s="562">
        <f ca="1">SUMIFS(Баланс!AK$26:AK$300,Баланс!$F$26:$F$300,$F442,Баланс!$G$26:$G$300,"ПО")</f>
        <v>0</v>
      </c>
      <c r="AM442" s="562">
        <f ca="1">SUMIFS(Баланс!AL$26:AL$300,Баланс!$F$26:$F$300,$F442,Баланс!$G$26:$G$300,"ПО")</f>
        <v>0</v>
      </c>
      <c r="AN442" s="562">
        <f ca="1">SUMIFS(Баланс!AM$26:AM$300,Баланс!$F$26:$F$300,$F442,Баланс!$G$26:$G$300,"ПО")</f>
        <v>0</v>
      </c>
      <c r="AO442" s="562">
        <f ca="1">SUMIFS(Баланс!AN$26:AN$300,Баланс!$F$26:$F$300,$F442,Баланс!$G$26:$G$300,"ПО")</f>
        <v>0</v>
      </c>
      <c r="AP442" s="562">
        <f ca="1">SUMIFS(Баланс!AO$26:AO$300,Баланс!$F$26:$F$300,$F442,Баланс!$G$26:$G$300,"ПО")</f>
        <v>0</v>
      </c>
      <c r="AQ442" s="562">
        <f ca="1">SUMIFS(Баланс!AP$26:AP$300,Баланс!$F$26:$F$300,$F442,Баланс!$G$26:$G$300,"ПО")</f>
        <v>0</v>
      </c>
      <c r="AR442" s="562">
        <f ca="1">SUMIFS(Баланс!AQ$26:AQ$300,Баланс!$F$26:$F$300,$F442,Баланс!$G$26:$G$300,"ПО")</f>
        <v>0</v>
      </c>
      <c r="AS442" s="562">
        <f ca="1">SUMIFS(Баланс!AR$26:AR$300,Баланс!$F$26:$F$300,$F442,Баланс!$G$26:$G$300,"ПО")</f>
        <v>0</v>
      </c>
      <c r="AT442" s="562">
        <f ca="1">SUMIFS(Баланс!AS$26:AS$300,Баланс!$F$26:$F$300,$F442,Баланс!$G$26:$G$300,"ПО")</f>
        <v>948.16300000000001</v>
      </c>
      <c r="AU442" s="562">
        <f ca="1">SUMIFS(Баланс!AT$26:AT$300,Баланс!$F$26:$F$300,$F442,Баланс!$G$26:$G$300,"ПО")</f>
        <v>0</v>
      </c>
      <c r="AV442" s="562">
        <f ca="1">SUMIFS(Баланс!AU$26:AU$300,Баланс!$F$26:$F$300,$F442,Баланс!$G$26:$G$300,"ПО")</f>
        <v>0</v>
      </c>
      <c r="AW442" s="562">
        <f ca="1">SUMIFS(Баланс!AV$26:AV$300,Баланс!$F$26:$F$300,$F442,Баланс!$G$26:$G$300,"ПО")</f>
        <v>0</v>
      </c>
      <c r="AX442" s="562">
        <f ca="1">SUMIFS(Баланс!AW$26:AW$300,Баланс!$F$26:$F$300,$F442,Баланс!$G$26:$G$300,"ПО")</f>
        <v>0</v>
      </c>
      <c r="AY442" s="562">
        <f ca="1">SUMIFS(Баланс!AX$26:AX$300,Баланс!$F$26:$F$300,$F442,Баланс!$G$26:$G$300,"ПО")</f>
        <v>0</v>
      </c>
      <c r="AZ442" s="562">
        <f ca="1">SUMIFS(Баланс!AY$26:AY$300,Баланс!$F$26:$F$300,$F442,Баланс!$G$26:$G$300,"ПО")</f>
        <v>0</v>
      </c>
      <c r="BA442" s="562">
        <f ca="1">SUMIFS(Баланс!AZ$26:AZ$300,Баланс!$F$26:$F$300,$F442,Баланс!$G$26:$G$300,"ПО")</f>
        <v>0</v>
      </c>
      <c r="BB442" s="562">
        <f ca="1">SUMIFS(Баланс!BA$26:BA$300,Баланс!$F$26:$F$300,$F442,Баланс!$G$26:$G$300,"ПО")</f>
        <v>0</v>
      </c>
      <c r="BC442" s="562">
        <f ca="1">SUMIFS(Баланс!BB$26:BB$300,Баланс!$F$26:$F$300,$F442,Баланс!$G$26:$G$300,"ПО")</f>
        <v>0</v>
      </c>
      <c r="BD442" s="148"/>
      <c r="BE442" s="148"/>
      <c r="BF442" s="148"/>
      <c r="BG442" s="148"/>
      <c r="BH442" s="148"/>
      <c r="BI442" s="148"/>
      <c r="BJ442" s="148"/>
      <c r="BK442" s="148"/>
      <c r="BL442" s="148"/>
      <c r="BM442" s="148"/>
      <c r="BN442" s="215"/>
      <c r="BO442" s="215"/>
      <c r="BP442" s="215"/>
      <c r="BQ442" s="95"/>
      <c r="BR442" s="95"/>
      <c r="BS442" s="704" t="s">
        <v>1868</v>
      </c>
      <c r="BT442" s="711"/>
      <c r="BU442" s="711"/>
      <c r="BV442" s="522"/>
      <c r="BW442" s="522"/>
    </row>
    <row r="443" spans="1:75" ht="14.65" customHeight="1">
      <c r="C443" s="44"/>
      <c r="D443" s="44" cm="1">
        <f t="array" ref="D443">D442</f>
        <v>11</v>
      </c>
      <c r="E443" s="462">
        <v>15</v>
      </c>
      <c r="F443" s="3" t="str" cm="1">
        <f t="array" aca="1" ref="F443" ca="1">OFFSET(E443,-1,1)</f>
        <v>2</v>
      </c>
      <c r="G443" s="44" t="s">
        <v>1660</v>
      </c>
      <c r="H443" s="44"/>
      <c r="I443" s="44" t="s">
        <v>2194</v>
      </c>
      <c r="J443" s="44"/>
      <c r="K443" s="91" t="s">
        <v>2194</v>
      </c>
      <c r="L443" s="44" t="s">
        <v>1869</v>
      </c>
      <c r="M443" s="44"/>
      <c r="N443" s="44"/>
      <c r="O443" s="44"/>
      <c r="P443" s="44"/>
      <c r="Q443" s="44"/>
      <c r="R443" s="44"/>
      <c r="S443" s="44"/>
      <c r="T443" s="365" t="b" cm="1">
        <f t="array" aca="1" ref="T443" ca="1">T442</f>
        <v>1</v>
      </c>
      <c r="U443" s="44"/>
      <c r="V443" s="44"/>
      <c r="W443" s="44"/>
      <c r="X443" s="1094"/>
      <c r="Z443" s="1065"/>
      <c r="AB443" s="26" t="str">
        <f>D443&amp;".1"</f>
        <v>11.1</v>
      </c>
      <c r="AC443" s="146" t="s">
        <v>1871</v>
      </c>
      <c r="AD443" s="26" t="s">
        <v>534</v>
      </c>
      <c r="AE443" s="455">
        <v>472.91564139040003</v>
      </c>
      <c r="AF443" s="455">
        <f ca="1">IF(AF$24="2026 год",AF442/12*9,AF442/2)</f>
        <v>474.08150000000001</v>
      </c>
      <c r="AG443" s="455">
        <f ca="1">IF(AG$24="2026 год",AG442/12*9,AG442/2)</f>
        <v>474.08150000000001</v>
      </c>
      <c r="AH443" s="568">
        <f t="shared" ca="1" si="124"/>
        <v>0</v>
      </c>
      <c r="AI443" s="455">
        <v>474.98349999999999</v>
      </c>
      <c r="AJ443" s="455">
        <f t="shared" ref="AJ443:BC443" ca="1" si="125">IF(AJ$24="2026 год",AJ442/12*9,AJ442/2)</f>
        <v>704.20274999999992</v>
      </c>
      <c r="AK443" s="785">
        <f t="shared" ca="1" si="125"/>
        <v>0</v>
      </c>
      <c r="AL443" s="785">
        <f t="shared" ca="1" si="125"/>
        <v>0</v>
      </c>
      <c r="AM443" s="785">
        <f t="shared" ca="1" si="125"/>
        <v>0</v>
      </c>
      <c r="AN443" s="785">
        <f t="shared" ca="1" si="125"/>
        <v>0</v>
      </c>
      <c r="AO443" s="785">
        <f t="shared" ca="1" si="125"/>
        <v>0</v>
      </c>
      <c r="AP443" s="785">
        <f t="shared" ca="1" si="125"/>
        <v>0</v>
      </c>
      <c r="AQ443" s="785">
        <f t="shared" ca="1" si="125"/>
        <v>0</v>
      </c>
      <c r="AR443" s="785">
        <f t="shared" ca="1" si="125"/>
        <v>0</v>
      </c>
      <c r="AS443" s="785">
        <f t="shared" ca="1" si="125"/>
        <v>0</v>
      </c>
      <c r="AT443" s="455">
        <f t="shared" ca="1" si="125"/>
        <v>711.12225000000001</v>
      </c>
      <c r="AU443" s="785">
        <f t="shared" ca="1" si="125"/>
        <v>0</v>
      </c>
      <c r="AV443" s="785">
        <f t="shared" ca="1" si="125"/>
        <v>0</v>
      </c>
      <c r="AW443" s="785">
        <f t="shared" ca="1" si="125"/>
        <v>0</v>
      </c>
      <c r="AX443" s="785">
        <f t="shared" ca="1" si="125"/>
        <v>0</v>
      </c>
      <c r="AY443" s="785">
        <f t="shared" ca="1" si="125"/>
        <v>0</v>
      </c>
      <c r="AZ443" s="785">
        <f t="shared" ca="1" si="125"/>
        <v>0</v>
      </c>
      <c r="BA443" s="785">
        <f t="shared" ca="1" si="125"/>
        <v>0</v>
      </c>
      <c r="BB443" s="785">
        <f t="shared" ca="1" si="125"/>
        <v>0</v>
      </c>
      <c r="BC443" s="785">
        <f t="shared" ca="1" si="125"/>
        <v>0</v>
      </c>
      <c r="BD443" s="552"/>
      <c r="BE443" s="552"/>
      <c r="BF443" s="552"/>
      <c r="BG443" s="552"/>
      <c r="BH443" s="552"/>
      <c r="BI443" s="552"/>
      <c r="BJ443" s="552"/>
      <c r="BK443" s="552"/>
      <c r="BL443" s="552"/>
      <c r="BM443" s="552"/>
      <c r="BN443" s="215"/>
      <c r="BO443" s="215"/>
      <c r="BP443" s="215"/>
      <c r="BS443" s="703" t="s">
        <v>1872</v>
      </c>
    </row>
    <row r="444" spans="1:75" ht="107.25" customHeight="1">
      <c r="C444" s="44"/>
      <c r="D444" s="44" cm="1">
        <f t="array" ref="D444">D443</f>
        <v>11</v>
      </c>
      <c r="E444" s="462">
        <v>15</v>
      </c>
      <c r="F444" s="3" t="str" cm="1">
        <f t="array" aca="1" ref="F444" ca="1">OFFSET(E444,-1,1)</f>
        <v>2</v>
      </c>
      <c r="G444" s="44" t="s">
        <v>1621</v>
      </c>
      <c r="H444" s="44"/>
      <c r="I444" s="44" t="s">
        <v>2195</v>
      </c>
      <c r="J444" s="44"/>
      <c r="K444" s="91" t="s">
        <v>2195</v>
      </c>
      <c r="L444" s="44" t="s">
        <v>1873</v>
      </c>
      <c r="M444" s="44"/>
      <c r="N444" s="44"/>
      <c r="O444" s="44"/>
      <c r="P444" s="44"/>
      <c r="Q444" s="44"/>
      <c r="R444" s="44"/>
      <c r="S444" s="44"/>
      <c r="T444" s="365" t="b" cm="1">
        <f t="array" aca="1" ref="T444" ca="1">T443</f>
        <v>1</v>
      </c>
      <c r="U444" s="44"/>
      <c r="V444" s="44"/>
      <c r="W444" s="44"/>
      <c r="X444" s="1094"/>
      <c r="Z444" s="1065"/>
      <c r="AB444" s="26" t="str">
        <f>D444&amp;".2"</f>
        <v>11.2</v>
      </c>
      <c r="AC444" s="146" t="s">
        <v>1875</v>
      </c>
      <c r="AD444" s="26" t="s">
        <v>1624</v>
      </c>
      <c r="AE444" s="147">
        <v>32.56</v>
      </c>
      <c r="AF444" s="147"/>
      <c r="AG444" s="147"/>
      <c r="AH444" s="190">
        <f t="shared" si="124"/>
        <v>0</v>
      </c>
      <c r="AI444" s="147">
        <v>37.1</v>
      </c>
      <c r="AJ444" s="147"/>
      <c r="AK444" s="787"/>
      <c r="AL444" s="787"/>
      <c r="AM444" s="787"/>
      <c r="AN444" s="787"/>
      <c r="AO444" s="787"/>
      <c r="AP444" s="787"/>
      <c r="AQ444" s="787"/>
      <c r="AR444" s="787"/>
      <c r="AS444" s="787"/>
      <c r="AT444" s="147"/>
      <c r="AU444" s="787" cm="1">
        <f t="array" aca="1" ref="AU444" ca="1">AT446</f>
        <v>26.602234889992555</v>
      </c>
      <c r="AV444" s="787" cm="1">
        <f t="array" aca="1" ref="AV444" ca="1">AU446</f>
        <v>0</v>
      </c>
      <c r="AW444" s="787" cm="1">
        <f t="array" aca="1" ref="AW444" ca="1">AV446</f>
        <v>0</v>
      </c>
      <c r="AX444" s="787" cm="1">
        <f t="array" aca="1" ref="AX444" ca="1">AW446</f>
        <v>0</v>
      </c>
      <c r="AY444" s="787" cm="1">
        <f t="array" aca="1" ref="AY444" ca="1">AX446</f>
        <v>0</v>
      </c>
      <c r="AZ444" s="787" cm="1">
        <f t="array" aca="1" ref="AZ444" ca="1">AY446</f>
        <v>0</v>
      </c>
      <c r="BA444" s="787" cm="1">
        <f t="array" aca="1" ref="BA444" ca="1">AZ446</f>
        <v>0</v>
      </c>
      <c r="BB444" s="787" cm="1">
        <f t="array" aca="1" ref="BB444" ca="1">BA446</f>
        <v>0</v>
      </c>
      <c r="BC444" s="787" cm="1">
        <f t="array" aca="1" ref="BC444" ca="1">BB446</f>
        <v>0</v>
      </c>
      <c r="BD444" s="552"/>
      <c r="BE444" s="552"/>
      <c r="BF444" s="552"/>
      <c r="BG444" s="552"/>
      <c r="BH444" s="552"/>
      <c r="BI444" s="552"/>
      <c r="BJ444" s="552"/>
      <c r="BK444" s="552"/>
      <c r="BL444" s="552"/>
      <c r="BM444" s="552"/>
      <c r="BN444" s="215"/>
      <c r="BO444" s="215" t="s">
        <v>2215</v>
      </c>
      <c r="BP444" s="215"/>
      <c r="BS444" s="703" t="s">
        <v>1876</v>
      </c>
    </row>
    <row r="445" spans="1:75" ht="14.25" customHeight="1">
      <c r="C445" s="44"/>
      <c r="D445" s="44" cm="1">
        <f t="array" ref="D445">D444</f>
        <v>11</v>
      </c>
      <c r="E445" s="462">
        <v>15</v>
      </c>
      <c r="F445" s="3" t="str" cm="1">
        <f t="array" aca="1" ref="F445" ca="1">OFFSET(E445,-1,1)</f>
        <v>2</v>
      </c>
      <c r="G445" s="44" t="s">
        <v>1673</v>
      </c>
      <c r="H445" s="44"/>
      <c r="I445" s="44" t="s">
        <v>2196</v>
      </c>
      <c r="J445" s="44"/>
      <c r="K445" s="91" t="s">
        <v>2196</v>
      </c>
      <c r="L445" s="44" t="s">
        <v>1877</v>
      </c>
      <c r="M445" s="44"/>
      <c r="N445" s="44"/>
      <c r="O445" s="44"/>
      <c r="P445" s="44"/>
      <c r="Q445" s="44"/>
      <c r="R445" s="44"/>
      <c r="S445" s="44"/>
      <c r="T445" s="365" t="b" cm="1">
        <f t="array" aca="1" ref="T445" ca="1">T444</f>
        <v>1</v>
      </c>
      <c r="U445" s="44"/>
      <c r="V445" s="44"/>
      <c r="W445" s="44"/>
      <c r="X445" s="1094"/>
      <c r="Z445" s="1065"/>
      <c r="AB445" s="26" t="str">
        <f>D445&amp;".3"</f>
        <v>11.3</v>
      </c>
      <c r="AC445" s="146" t="s">
        <v>2197</v>
      </c>
      <c r="AD445" s="26" t="s">
        <v>534</v>
      </c>
      <c r="AE445" s="568">
        <f ca="1">AE442-AE443</f>
        <v>472.91564139039991</v>
      </c>
      <c r="AF445" s="568">
        <f ca="1">AF442-AF443</f>
        <v>474.08150000000001</v>
      </c>
      <c r="AG445" s="568">
        <f ca="1">AG442-AG443</f>
        <v>474.08150000000001</v>
      </c>
      <c r="AH445" s="568">
        <f t="shared" ca="1" si="124"/>
        <v>0</v>
      </c>
      <c r="AI445" s="568">
        <f t="shared" ref="AI445:BC445" ca="1" si="126">AI442-AI443</f>
        <v>474.98349999999999</v>
      </c>
      <c r="AJ445" s="568">
        <f t="shared" ca="1" si="126"/>
        <v>234.73424999999997</v>
      </c>
      <c r="AK445" s="568">
        <f t="shared" ca="1" si="126"/>
        <v>0</v>
      </c>
      <c r="AL445" s="568">
        <f t="shared" ca="1" si="126"/>
        <v>0</v>
      </c>
      <c r="AM445" s="568">
        <f t="shared" ca="1" si="126"/>
        <v>0</v>
      </c>
      <c r="AN445" s="568">
        <f t="shared" ca="1" si="126"/>
        <v>0</v>
      </c>
      <c r="AO445" s="568">
        <f t="shared" ca="1" si="126"/>
        <v>0</v>
      </c>
      <c r="AP445" s="568">
        <f t="shared" ca="1" si="126"/>
        <v>0</v>
      </c>
      <c r="AQ445" s="568">
        <f t="shared" ca="1" si="126"/>
        <v>0</v>
      </c>
      <c r="AR445" s="568">
        <f t="shared" ca="1" si="126"/>
        <v>0</v>
      </c>
      <c r="AS445" s="568">
        <f t="shared" ca="1" si="126"/>
        <v>0</v>
      </c>
      <c r="AT445" s="568">
        <f t="shared" ca="1" si="126"/>
        <v>237.04075</v>
      </c>
      <c r="AU445" s="568">
        <f t="shared" ca="1" si="126"/>
        <v>0</v>
      </c>
      <c r="AV445" s="568">
        <f t="shared" ca="1" si="126"/>
        <v>0</v>
      </c>
      <c r="AW445" s="568">
        <f t="shared" ca="1" si="126"/>
        <v>0</v>
      </c>
      <c r="AX445" s="568">
        <f t="shared" ca="1" si="126"/>
        <v>0</v>
      </c>
      <c r="AY445" s="568">
        <f t="shared" ca="1" si="126"/>
        <v>0</v>
      </c>
      <c r="AZ445" s="568">
        <f t="shared" ca="1" si="126"/>
        <v>0</v>
      </c>
      <c r="BA445" s="568">
        <f t="shared" ca="1" si="126"/>
        <v>0</v>
      </c>
      <c r="BB445" s="568">
        <f t="shared" ca="1" si="126"/>
        <v>0</v>
      </c>
      <c r="BC445" s="568">
        <f t="shared" ca="1" si="126"/>
        <v>0</v>
      </c>
      <c r="BD445" s="552"/>
      <c r="BE445" s="552"/>
      <c r="BF445" s="552"/>
      <c r="BG445" s="552"/>
      <c r="BH445" s="552"/>
      <c r="BI445" s="552"/>
      <c r="BJ445" s="552"/>
      <c r="BK445" s="552"/>
      <c r="BL445" s="552"/>
      <c r="BM445" s="552"/>
      <c r="BN445" s="215"/>
      <c r="BO445" s="215"/>
      <c r="BP445" s="215"/>
      <c r="BS445" s="703" t="s">
        <v>1880</v>
      </c>
    </row>
    <row r="446" spans="1:75" ht="14.65" customHeight="1">
      <c r="C446" s="44"/>
      <c r="D446" s="44" cm="1">
        <f t="array" ref="D446">D445</f>
        <v>11</v>
      </c>
      <c r="E446" s="462">
        <v>15</v>
      </c>
      <c r="F446" s="3" t="str" cm="1">
        <f t="array" aca="1" ref="F446" ca="1">OFFSET(E446,-1,1)</f>
        <v>2</v>
      </c>
      <c r="G446" s="44" t="s">
        <v>1626</v>
      </c>
      <c r="H446" s="44"/>
      <c r="I446" s="44" t="s">
        <v>2198</v>
      </c>
      <c r="J446" s="44"/>
      <c r="K446" s="91" t="s">
        <v>2198</v>
      </c>
      <c r="L446" s="44" t="s">
        <v>1881</v>
      </c>
      <c r="M446" s="44"/>
      <c r="N446" s="44"/>
      <c r="O446" s="44"/>
      <c r="P446" s="44"/>
      <c r="Q446" s="44"/>
      <c r="R446" s="44"/>
      <c r="S446" s="44"/>
      <c r="T446" s="365" t="b" cm="1">
        <f t="array" aca="1" ref="T446" ca="1">T445</f>
        <v>1</v>
      </c>
      <c r="U446" s="44"/>
      <c r="V446" s="44"/>
      <c r="W446" s="44"/>
      <c r="X446" s="1094"/>
      <c r="Z446" s="1065"/>
      <c r="AB446" s="26" t="str">
        <f>D446&amp;".4"</f>
        <v>11.4</v>
      </c>
      <c r="AC446" s="146" t="s">
        <v>1883</v>
      </c>
      <c r="AD446" s="26" t="s">
        <v>1624</v>
      </c>
      <c r="AE446" s="147">
        <v>37.100001194299999</v>
      </c>
      <c r="AF446" s="147">
        <f ca="1">IF(AF445=0,0,(AF439-AF443*AF444)/AF445)</f>
        <v>11.640668239532655</v>
      </c>
      <c r="AG446" s="147">
        <f ca="1">IF(AG445=0,0,(AG439-AG443*AG444)/AG445)</f>
        <v>10.421299839795479</v>
      </c>
      <c r="AH446" s="190">
        <f t="shared" ca="1" si="124"/>
        <v>-1.219368399737176</v>
      </c>
      <c r="AI446" s="147">
        <v>40.9199998044</v>
      </c>
      <c r="AJ446" s="147">
        <f t="shared" ref="AJ446:BC446" ca="1" si="127">IF(AJ445=0,0,(AJ439-AJ443*AJ444)/AJ445)</f>
        <v>50.833573115129163</v>
      </c>
      <c r="AK446" s="787">
        <f t="shared" ca="1" si="127"/>
        <v>0</v>
      </c>
      <c r="AL446" s="787">
        <f t="shared" ca="1" si="127"/>
        <v>0</v>
      </c>
      <c r="AM446" s="787">
        <f t="shared" ca="1" si="127"/>
        <v>0</v>
      </c>
      <c r="AN446" s="787">
        <f t="shared" ca="1" si="127"/>
        <v>0</v>
      </c>
      <c r="AO446" s="787">
        <f t="shared" ca="1" si="127"/>
        <v>0</v>
      </c>
      <c r="AP446" s="787">
        <f t="shared" ca="1" si="127"/>
        <v>0</v>
      </c>
      <c r="AQ446" s="787">
        <f t="shared" ca="1" si="127"/>
        <v>0</v>
      </c>
      <c r="AR446" s="787">
        <f t="shared" ca="1" si="127"/>
        <v>0</v>
      </c>
      <c r="AS446" s="787">
        <f t="shared" ca="1" si="127"/>
        <v>0</v>
      </c>
      <c r="AT446" s="147">
        <f t="shared" ca="1" si="127"/>
        <v>26.602234889992555</v>
      </c>
      <c r="AU446" s="787">
        <f t="shared" ca="1" si="127"/>
        <v>0</v>
      </c>
      <c r="AV446" s="787">
        <f t="shared" ca="1" si="127"/>
        <v>0</v>
      </c>
      <c r="AW446" s="787">
        <f t="shared" ca="1" si="127"/>
        <v>0</v>
      </c>
      <c r="AX446" s="787">
        <f t="shared" ca="1" si="127"/>
        <v>0</v>
      </c>
      <c r="AY446" s="787">
        <f t="shared" ca="1" si="127"/>
        <v>0</v>
      </c>
      <c r="AZ446" s="787">
        <f t="shared" ca="1" si="127"/>
        <v>0</v>
      </c>
      <c r="BA446" s="787">
        <f t="shared" ca="1" si="127"/>
        <v>0</v>
      </c>
      <c r="BB446" s="787">
        <f t="shared" ca="1" si="127"/>
        <v>0</v>
      </c>
      <c r="BC446" s="787">
        <f t="shared" ca="1" si="127"/>
        <v>0</v>
      </c>
      <c r="BD446" s="552"/>
      <c r="BE446" s="552"/>
      <c r="BF446" s="552"/>
      <c r="BG446" s="552"/>
      <c r="BH446" s="552"/>
      <c r="BI446" s="552"/>
      <c r="BJ446" s="552"/>
      <c r="BK446" s="552"/>
      <c r="BL446" s="552"/>
      <c r="BM446" s="552"/>
      <c r="BN446" s="215"/>
      <c r="BO446" s="215"/>
      <c r="BP446" s="215"/>
      <c r="BS446" s="703" t="s">
        <v>1884</v>
      </c>
    </row>
    <row r="447" spans="1:75" ht="14.25" customHeight="1">
      <c r="C447" s="44"/>
      <c r="D447" s="44" cm="1">
        <f t="array" ref="D447">D446</f>
        <v>11</v>
      </c>
      <c r="E447" s="462">
        <v>15</v>
      </c>
      <c r="F447" s="3" t="str" cm="1">
        <f t="array" aca="1" ref="F447" ca="1">OFFSET(E447,-1,1)</f>
        <v>2</v>
      </c>
      <c r="G447" s="44"/>
      <c r="H447" s="44"/>
      <c r="I447" s="44" t="s">
        <v>2199</v>
      </c>
      <c r="J447" s="44"/>
      <c r="K447" s="91" t="s">
        <v>2199</v>
      </c>
      <c r="L447" s="44" t="s">
        <v>1885</v>
      </c>
      <c r="M447" s="44"/>
      <c r="N447" s="44"/>
      <c r="O447" s="44"/>
      <c r="P447" s="44"/>
      <c r="Q447" s="44"/>
      <c r="R447" s="44"/>
      <c r="S447" s="44"/>
      <c r="T447" s="365" t="b" cm="1">
        <f t="array" aca="1" ref="T447" ca="1">T446</f>
        <v>1</v>
      </c>
      <c r="U447" s="44"/>
      <c r="V447" s="44"/>
      <c r="W447" s="44"/>
      <c r="X447" s="1094"/>
      <c r="Z447" s="1065"/>
      <c r="AB447" s="26" t="str">
        <f>D447&amp;".5"</f>
        <v>11.5</v>
      </c>
      <c r="AC447" s="146" t="s">
        <v>1887</v>
      </c>
      <c r="AD447" s="26" t="s">
        <v>456</v>
      </c>
      <c r="AE447" s="190">
        <f>IF(AE444=0,0,AE446/AE444*100)</f>
        <v>113.94349261148649</v>
      </c>
      <c r="AF447" s="190">
        <f>IF(AF444=0,0,AF446/AF444*100)</f>
        <v>0</v>
      </c>
      <c r="AG447" s="190">
        <f>IF(AG444=0,0,AG446/AG444*100)</f>
        <v>0</v>
      </c>
      <c r="AH447" s="552"/>
      <c r="AI447" s="190">
        <f t="shared" ref="AI447:BC447" si="128">IF(AI444=0,0,AI446/AI444*100)</f>
        <v>110.29649542964958</v>
      </c>
      <c r="AJ447" s="190">
        <f t="shared" si="128"/>
        <v>0</v>
      </c>
      <c r="AK447" s="190">
        <f t="shared" si="128"/>
        <v>0</v>
      </c>
      <c r="AL447" s="190">
        <f t="shared" si="128"/>
        <v>0</v>
      </c>
      <c r="AM447" s="190">
        <f t="shared" si="128"/>
        <v>0</v>
      </c>
      <c r="AN447" s="190">
        <f t="shared" si="128"/>
        <v>0</v>
      </c>
      <c r="AO447" s="190">
        <f t="shared" si="128"/>
        <v>0</v>
      </c>
      <c r="AP447" s="190">
        <f t="shared" si="128"/>
        <v>0</v>
      </c>
      <c r="AQ447" s="190">
        <f t="shared" si="128"/>
        <v>0</v>
      </c>
      <c r="AR447" s="190">
        <f t="shared" si="128"/>
        <v>0</v>
      </c>
      <c r="AS447" s="190">
        <f t="shared" si="128"/>
        <v>0</v>
      </c>
      <c r="AT447" s="190">
        <f t="shared" si="128"/>
        <v>0</v>
      </c>
      <c r="AU447" s="190">
        <f t="shared" ca="1" si="128"/>
        <v>0</v>
      </c>
      <c r="AV447" s="190">
        <f t="shared" ca="1" si="128"/>
        <v>0</v>
      </c>
      <c r="AW447" s="190">
        <f t="shared" ca="1" si="128"/>
        <v>0</v>
      </c>
      <c r="AX447" s="190">
        <f t="shared" ca="1" si="128"/>
        <v>0</v>
      </c>
      <c r="AY447" s="190">
        <f t="shared" ca="1" si="128"/>
        <v>0</v>
      </c>
      <c r="AZ447" s="190">
        <f t="shared" ca="1" si="128"/>
        <v>0</v>
      </c>
      <c r="BA447" s="190">
        <f t="shared" ca="1" si="128"/>
        <v>0</v>
      </c>
      <c r="BB447" s="190">
        <f t="shared" ca="1" si="128"/>
        <v>0</v>
      </c>
      <c r="BC447" s="190">
        <f t="shared" ca="1" si="128"/>
        <v>0</v>
      </c>
      <c r="BD447" s="552"/>
      <c r="BE447" s="552"/>
      <c r="BF447" s="552"/>
      <c r="BG447" s="552"/>
      <c r="BH447" s="552"/>
      <c r="BI447" s="552"/>
      <c r="BJ447" s="552"/>
      <c r="BK447" s="552"/>
      <c r="BL447" s="552"/>
      <c r="BM447" s="552"/>
      <c r="BN447" s="215"/>
      <c r="BO447" s="215"/>
      <c r="BP447" s="215"/>
      <c r="BS447" s="703" t="s">
        <v>1888</v>
      </c>
    </row>
    <row r="448" spans="1:75" ht="14.65" customHeight="1">
      <c r="C448" s="44"/>
      <c r="D448" s="44" cm="1">
        <f t="array" ref="D448">D447</f>
        <v>11</v>
      </c>
      <c r="E448" s="462">
        <v>15</v>
      </c>
      <c r="F448" s="3" t="str" cm="1">
        <f t="array" aca="1" ref="F448" ca="1">OFFSET(E448,-1,1)</f>
        <v>2</v>
      </c>
      <c r="G448" s="44"/>
      <c r="H448" s="44"/>
      <c r="I448" s="44" t="s">
        <v>2200</v>
      </c>
      <c r="J448" s="44"/>
      <c r="K448" s="91" t="s">
        <v>2200</v>
      </c>
      <c r="L448" s="44" t="s">
        <v>1889</v>
      </c>
      <c r="M448" s="44"/>
      <c r="N448" s="44"/>
      <c r="O448" s="44"/>
      <c r="P448" s="44"/>
      <c r="Q448" s="44"/>
      <c r="R448" s="44"/>
      <c r="S448" s="44"/>
      <c r="T448" s="365" t="b" cm="1">
        <f t="array" aca="1" ref="T448" ca="1">T447</f>
        <v>1</v>
      </c>
      <c r="U448" s="44"/>
      <c r="V448" s="44"/>
      <c r="W448" s="44"/>
      <c r="X448" s="1094"/>
      <c r="Z448" s="1065"/>
      <c r="AB448" s="26" t="str">
        <f>D448&amp;".6"</f>
        <v>11.6</v>
      </c>
      <c r="AC448" s="146" t="s">
        <v>1891</v>
      </c>
      <c r="AD448" s="26" t="s">
        <v>1624</v>
      </c>
      <c r="AE448" s="147">
        <v>34.830000597100003</v>
      </c>
      <c r="AF448" s="147">
        <f ca="1">IF(AF442=0,0,AF439/AF442)</f>
        <v>5.8203341197663274</v>
      </c>
      <c r="AG448" s="147">
        <f ca="1">IF(AG442=0,0,AG439/AG442)</f>
        <v>5.2106499198977394</v>
      </c>
      <c r="AH448" s="190">
        <f ca="1">AG448-AF448</f>
        <v>-0.60968419986858802</v>
      </c>
      <c r="AI448" s="147">
        <v>39.009999902200001</v>
      </c>
      <c r="AJ448" s="147">
        <f t="shared" ref="AJ448:BC448" ca="1" si="129">IF(AJ442=0,0,AJ439/AJ442)</f>
        <v>12.708393278782291</v>
      </c>
      <c r="AK448" s="787">
        <f t="shared" ca="1" si="129"/>
        <v>0</v>
      </c>
      <c r="AL448" s="787">
        <f t="shared" ca="1" si="129"/>
        <v>0</v>
      </c>
      <c r="AM448" s="787">
        <f t="shared" ca="1" si="129"/>
        <v>0</v>
      </c>
      <c r="AN448" s="787">
        <f t="shared" ca="1" si="129"/>
        <v>0</v>
      </c>
      <c r="AO448" s="787">
        <f t="shared" ca="1" si="129"/>
        <v>0</v>
      </c>
      <c r="AP448" s="787">
        <f t="shared" ca="1" si="129"/>
        <v>0</v>
      </c>
      <c r="AQ448" s="787">
        <f t="shared" ca="1" si="129"/>
        <v>0</v>
      </c>
      <c r="AR448" s="787">
        <f t="shared" ca="1" si="129"/>
        <v>0</v>
      </c>
      <c r="AS448" s="787">
        <f t="shared" ca="1" si="129"/>
        <v>0</v>
      </c>
      <c r="AT448" s="147">
        <f t="shared" ca="1" si="129"/>
        <v>6.6505587224981388</v>
      </c>
      <c r="AU448" s="787">
        <f t="shared" ca="1" si="129"/>
        <v>0</v>
      </c>
      <c r="AV448" s="787">
        <f t="shared" ca="1" si="129"/>
        <v>0</v>
      </c>
      <c r="AW448" s="787">
        <f t="shared" ca="1" si="129"/>
        <v>0</v>
      </c>
      <c r="AX448" s="787">
        <f t="shared" ca="1" si="129"/>
        <v>0</v>
      </c>
      <c r="AY448" s="787">
        <f t="shared" ca="1" si="129"/>
        <v>0</v>
      </c>
      <c r="AZ448" s="787">
        <f t="shared" ca="1" si="129"/>
        <v>0</v>
      </c>
      <c r="BA448" s="787">
        <f t="shared" ca="1" si="129"/>
        <v>0</v>
      </c>
      <c r="BB448" s="787">
        <f t="shared" ca="1" si="129"/>
        <v>0</v>
      </c>
      <c r="BC448" s="787">
        <f t="shared" ca="1" si="129"/>
        <v>0</v>
      </c>
      <c r="BD448" s="552"/>
      <c r="BE448" s="552"/>
      <c r="BF448" s="552"/>
      <c r="BG448" s="552"/>
      <c r="BH448" s="552"/>
      <c r="BI448" s="552"/>
      <c r="BJ448" s="552"/>
      <c r="BK448" s="552"/>
      <c r="BL448" s="552"/>
      <c r="BM448" s="552"/>
      <c r="BN448" s="215"/>
      <c r="BO448" s="215"/>
      <c r="BP448" s="215"/>
      <c r="BS448" s="703" t="s">
        <v>1892</v>
      </c>
    </row>
    <row r="449" spans="1:75" s="950" customFormat="1" ht="20.45" customHeight="1">
      <c r="A449" s="95"/>
      <c r="B449" s="344"/>
      <c r="C449" s="46"/>
      <c r="D449" s="46">
        <f>D448+1</f>
        <v>12</v>
      </c>
      <c r="E449" s="569">
        <v>21</v>
      </c>
      <c r="F449" s="3" t="str" cm="1">
        <f t="array" aca="1" ref="F449" ca="1">OFFSET(E449,-1,1)</f>
        <v>2</v>
      </c>
      <c r="G449" s="46"/>
      <c r="H449" s="44"/>
      <c r="I449" s="44" t="s">
        <v>1897</v>
      </c>
      <c r="J449" s="46"/>
      <c r="K449" s="91" t="s">
        <v>1897</v>
      </c>
      <c r="L449" s="46" t="s">
        <v>1893</v>
      </c>
      <c r="M449" s="46"/>
      <c r="N449" s="46"/>
      <c r="O449" s="46"/>
      <c r="P449" s="46"/>
      <c r="Q449" s="46"/>
      <c r="R449" s="46"/>
      <c r="S449" s="46"/>
      <c r="T449" s="365" t="b" cm="1">
        <f t="array" aca="1" ref="T449" ca="1">T448</f>
        <v>1</v>
      </c>
      <c r="U449" s="46"/>
      <c r="V449" s="46"/>
      <c r="W449" s="46"/>
      <c r="X449" s="1094"/>
      <c r="Y449" s="95"/>
      <c r="Z449" s="1065"/>
      <c r="AA449" s="95"/>
      <c r="AB449" s="143" cm="1">
        <f t="array" ref="AB449">D449</f>
        <v>12</v>
      </c>
      <c r="AC449" s="144" t="s">
        <v>1895</v>
      </c>
      <c r="AD449" s="143" t="s">
        <v>804</v>
      </c>
      <c r="AE449" s="157">
        <v>20913.9344351697</v>
      </c>
      <c r="AF449" s="157">
        <f ca="1">IF(AF442=0,0,AF439/AF442*AF450)</f>
        <v>3475.7929499761754</v>
      </c>
      <c r="AG449" s="157">
        <f ca="1">IF(AG442=0,0,AG439/AG442*AG450)</f>
        <v>3111.7011298144521</v>
      </c>
      <c r="AH449" s="145">
        <f ca="1">AH451*AH452+AH453*AH454</f>
        <v>0</v>
      </c>
      <c r="AI449" s="157">
        <v>23857.462670193701</v>
      </c>
      <c r="AJ449" s="157">
        <f t="shared" ref="AJ449:BC449" ca="1" si="130">IF(AJ442=0,0,AJ439/AJ442*AJ450)</f>
        <v>7630.8437029977777</v>
      </c>
      <c r="AK449" s="783">
        <f t="shared" ca="1" si="130"/>
        <v>0</v>
      </c>
      <c r="AL449" s="783">
        <f t="shared" ca="1" si="130"/>
        <v>0</v>
      </c>
      <c r="AM449" s="783">
        <f t="shared" ca="1" si="130"/>
        <v>0</v>
      </c>
      <c r="AN449" s="783">
        <f t="shared" ca="1" si="130"/>
        <v>0</v>
      </c>
      <c r="AO449" s="783">
        <f t="shared" ca="1" si="130"/>
        <v>0</v>
      </c>
      <c r="AP449" s="783">
        <f t="shared" ca="1" si="130"/>
        <v>0</v>
      </c>
      <c r="AQ449" s="783">
        <f t="shared" ca="1" si="130"/>
        <v>0</v>
      </c>
      <c r="AR449" s="783">
        <f t="shared" ca="1" si="130"/>
        <v>0</v>
      </c>
      <c r="AS449" s="783">
        <f t="shared" ca="1" si="130"/>
        <v>0</v>
      </c>
      <c r="AT449" s="157">
        <f t="shared" ca="1" si="130"/>
        <v>3971.5873084601612</v>
      </c>
      <c r="AU449" s="783">
        <f t="shared" ca="1" si="130"/>
        <v>0</v>
      </c>
      <c r="AV449" s="783">
        <f t="shared" ca="1" si="130"/>
        <v>0</v>
      </c>
      <c r="AW449" s="783">
        <f t="shared" ca="1" si="130"/>
        <v>0</v>
      </c>
      <c r="AX449" s="783">
        <f t="shared" ca="1" si="130"/>
        <v>0</v>
      </c>
      <c r="AY449" s="783">
        <f t="shared" ca="1" si="130"/>
        <v>0</v>
      </c>
      <c r="AZ449" s="783">
        <f t="shared" ca="1" si="130"/>
        <v>0</v>
      </c>
      <c r="BA449" s="783">
        <f t="shared" ca="1" si="130"/>
        <v>0</v>
      </c>
      <c r="BB449" s="783">
        <f t="shared" ca="1" si="130"/>
        <v>0</v>
      </c>
      <c r="BC449" s="783">
        <f t="shared" ca="1" si="130"/>
        <v>0</v>
      </c>
      <c r="BD449" s="145">
        <f ca="1">IF(AI449=0,0,(AT449-AI449)/AI449*100)</f>
        <v>-83.352851209017871</v>
      </c>
      <c r="BE449" s="145">
        <f t="shared" ref="BE449:BM449" ca="1" si="131">IF(AT449=0,0,(AU449-AT449)/AT449*100)</f>
        <v>-100</v>
      </c>
      <c r="BF449" s="145">
        <f t="shared" ca="1" si="131"/>
        <v>0</v>
      </c>
      <c r="BG449" s="145">
        <f t="shared" ca="1" si="131"/>
        <v>0</v>
      </c>
      <c r="BH449" s="145">
        <f t="shared" ca="1" si="131"/>
        <v>0</v>
      </c>
      <c r="BI449" s="145">
        <f t="shared" ca="1" si="131"/>
        <v>0</v>
      </c>
      <c r="BJ449" s="145">
        <f t="shared" ca="1" si="131"/>
        <v>0</v>
      </c>
      <c r="BK449" s="145">
        <f t="shared" ca="1" si="131"/>
        <v>0</v>
      </c>
      <c r="BL449" s="145">
        <f t="shared" ca="1" si="131"/>
        <v>0</v>
      </c>
      <c r="BM449" s="145">
        <f t="shared" ca="1" si="131"/>
        <v>0</v>
      </c>
      <c r="BN449" s="215"/>
      <c r="BO449" s="215"/>
      <c r="BP449" s="215"/>
      <c r="BQ449" s="95"/>
      <c r="BR449" s="95"/>
      <c r="BS449" s="704" t="s">
        <v>1896</v>
      </c>
      <c r="BT449" s="711"/>
      <c r="BU449" s="711"/>
      <c r="BV449" s="522"/>
      <c r="BW449" s="522"/>
    </row>
    <row r="450" spans="1:75" s="950" customFormat="1" ht="20.25" customHeight="1">
      <c r="A450" s="95"/>
      <c r="B450" s="344"/>
      <c r="C450" s="46"/>
      <c r="D450" s="46">
        <f>D449+1</f>
        <v>13</v>
      </c>
      <c r="E450" s="569">
        <v>21</v>
      </c>
      <c r="F450" s="3" t="str" cm="1">
        <f t="array" aca="1" ref="F450" ca="1">OFFSET(E450,-1,1)</f>
        <v>2</v>
      </c>
      <c r="G450" s="44" t="s">
        <v>1646</v>
      </c>
      <c r="H450" s="44"/>
      <c r="I450" s="44" t="s">
        <v>2201</v>
      </c>
      <c r="J450" s="46"/>
      <c r="K450" s="91" t="s">
        <v>2201</v>
      </c>
      <c r="L450" s="46" t="s">
        <v>1897</v>
      </c>
      <c r="M450" s="46"/>
      <c r="N450" s="46"/>
      <c r="O450" s="46"/>
      <c r="P450" s="46"/>
      <c r="Q450" s="46"/>
      <c r="R450" s="46"/>
      <c r="S450" s="46"/>
      <c r="T450" s="365" t="b" cm="1">
        <f t="array" aca="1" ref="T450" ca="1">T449</f>
        <v>1</v>
      </c>
      <c r="U450" s="46"/>
      <c r="V450" s="46"/>
      <c r="W450" s="46"/>
      <c r="X450" s="1094"/>
      <c r="Y450" s="95"/>
      <c r="Z450" s="1065"/>
      <c r="AA450" s="95"/>
      <c r="AB450" s="143" cm="1">
        <f t="array" ref="AB450">D450</f>
        <v>13</v>
      </c>
      <c r="AC450" s="144" t="s">
        <v>1899</v>
      </c>
      <c r="AD450" s="143" t="s">
        <v>534</v>
      </c>
      <c r="AE450" s="562">
        <f ca="1">SUMIFS(Баланс!AE$26:AE$300,Баланс!$F$26:$F$300,$F450,Баланс!$G$26:$G$300,"население")</f>
        <v>600.45748138409999</v>
      </c>
      <c r="AF450" s="562">
        <f ca="1">SUMIFS(Баланс!AF$26:AF$300,Баланс!$F$26:$F$300,$F450,Баланс!$G$26:$G$300,"население")</f>
        <v>597.18100000000004</v>
      </c>
      <c r="AG450" s="562">
        <f ca="1">SUMIFS(Баланс!AG$26:AG$300,Баланс!$F$26:$F$300,$F450,Баланс!$G$26:$G$300,"население")</f>
        <v>597.18100000000004</v>
      </c>
      <c r="AH450" s="562">
        <f t="shared" ref="AH450:AH458" ca="1" si="132">AG450-AF450</f>
        <v>0</v>
      </c>
      <c r="AI450" s="562">
        <f ca="1">SUMIFS(Баланс!AH$26:AH$300,Баланс!$F$26:$F$300,$F450,Баланс!$G$26:$G$300,"население")</f>
        <v>611.57299999999998</v>
      </c>
      <c r="AJ450" s="562">
        <f ca="1">SUMIFS(Баланс!AI$26:AI$300,Баланс!$F$26:$F$300,$F450,Баланс!$G$26:$G$300,"население")</f>
        <v>600.45699999999999</v>
      </c>
      <c r="AK450" s="562">
        <f ca="1">SUMIFS(Баланс!AJ$26:AJ$300,Баланс!$F$26:$F$300,$F450,Баланс!$G$26:$G$300,"население")</f>
        <v>0</v>
      </c>
      <c r="AL450" s="562">
        <f ca="1">SUMIFS(Баланс!AK$26:AK$300,Баланс!$F$26:$F$300,$F450,Баланс!$G$26:$G$300,"население")</f>
        <v>0</v>
      </c>
      <c r="AM450" s="562">
        <f ca="1">SUMIFS(Баланс!AL$26:AL$300,Баланс!$F$26:$F$300,$F450,Баланс!$G$26:$G$300,"население")</f>
        <v>0</v>
      </c>
      <c r="AN450" s="562">
        <f ca="1">SUMIFS(Баланс!AM$26:AM$300,Баланс!$F$26:$F$300,$F450,Баланс!$G$26:$G$300,"население")</f>
        <v>0</v>
      </c>
      <c r="AO450" s="562">
        <f ca="1">SUMIFS(Баланс!AN$26:AN$300,Баланс!$F$26:$F$300,$F450,Баланс!$G$26:$G$300,"население")</f>
        <v>0</v>
      </c>
      <c r="AP450" s="562">
        <f ca="1">SUMIFS(Баланс!AO$26:AO$300,Баланс!$F$26:$F$300,$F450,Баланс!$G$26:$G$300,"население")</f>
        <v>0</v>
      </c>
      <c r="AQ450" s="562">
        <f ca="1">SUMIFS(Баланс!AP$26:AP$300,Баланс!$F$26:$F$300,$F450,Баланс!$G$26:$G$300,"население")</f>
        <v>0</v>
      </c>
      <c r="AR450" s="562">
        <f ca="1">SUMIFS(Баланс!AQ$26:AQ$300,Баланс!$F$26:$F$300,$F450,Баланс!$G$26:$G$300,"население")</f>
        <v>0</v>
      </c>
      <c r="AS450" s="562">
        <f ca="1">SUMIFS(Баланс!AR$26:AR$300,Баланс!$F$26:$F$300,$F450,Баланс!$G$26:$G$300,"население")</f>
        <v>0</v>
      </c>
      <c r="AT450" s="562">
        <f ca="1">SUMIFS(Баланс!AS$26:AS$300,Баланс!$F$26:$F$300,$F450,Баланс!$G$26:$G$300,"население")</f>
        <v>597.18100000000004</v>
      </c>
      <c r="AU450" s="562">
        <f ca="1">SUMIFS(Баланс!AT$26:AT$300,Баланс!$F$26:$F$300,$F450,Баланс!$G$26:$G$300,"население")</f>
        <v>0</v>
      </c>
      <c r="AV450" s="562">
        <f ca="1">SUMIFS(Баланс!AU$26:AU$300,Баланс!$F$26:$F$300,$F450,Баланс!$G$26:$G$300,"население")</f>
        <v>0</v>
      </c>
      <c r="AW450" s="562">
        <f ca="1">SUMIFS(Баланс!AV$26:AV$300,Баланс!$F$26:$F$300,$F450,Баланс!$G$26:$G$300,"население")</f>
        <v>0</v>
      </c>
      <c r="AX450" s="562">
        <f ca="1">SUMIFS(Баланс!AW$26:AW$300,Баланс!$F$26:$F$300,$F450,Баланс!$G$26:$G$300,"население")</f>
        <v>0</v>
      </c>
      <c r="AY450" s="562">
        <f ca="1">SUMIFS(Баланс!AX$26:AX$300,Баланс!$F$26:$F$300,$F450,Баланс!$G$26:$G$300,"население")</f>
        <v>0</v>
      </c>
      <c r="AZ450" s="562">
        <f ca="1">SUMIFS(Баланс!AY$26:AY$300,Баланс!$F$26:$F$300,$F450,Баланс!$G$26:$G$300,"население")</f>
        <v>0</v>
      </c>
      <c r="BA450" s="562">
        <f ca="1">SUMIFS(Баланс!AZ$26:AZ$300,Баланс!$F$26:$F$300,$F450,Баланс!$G$26:$G$300,"население")</f>
        <v>0</v>
      </c>
      <c r="BB450" s="562">
        <f ca="1">SUMIFS(Баланс!BA$26:BA$300,Баланс!$F$26:$F$300,$F450,Баланс!$G$26:$G$300,"население")</f>
        <v>0</v>
      </c>
      <c r="BC450" s="562">
        <f ca="1">SUMIFS(Баланс!BB$26:BB$300,Баланс!$F$26:$F$300,$F450,Баланс!$G$26:$G$300,"население")</f>
        <v>0</v>
      </c>
      <c r="BD450" s="148"/>
      <c r="BE450" s="148"/>
      <c r="BF450" s="148"/>
      <c r="BG450" s="148"/>
      <c r="BH450" s="148"/>
      <c r="BI450" s="148"/>
      <c r="BJ450" s="148"/>
      <c r="BK450" s="148"/>
      <c r="BL450" s="148"/>
      <c r="BM450" s="148"/>
      <c r="BN450" s="215"/>
      <c r="BO450" s="215"/>
      <c r="BP450" s="215"/>
      <c r="BQ450" s="95"/>
      <c r="BR450" s="95"/>
      <c r="BS450" s="704" t="s">
        <v>1900</v>
      </c>
      <c r="BT450" s="711"/>
      <c r="BU450" s="711"/>
      <c r="BV450" s="522"/>
      <c r="BW450" s="522"/>
    </row>
    <row r="451" spans="1:75" ht="14.65" customHeight="1">
      <c r="C451" s="44"/>
      <c r="D451" s="44" cm="1">
        <f t="array" ref="D451">D450</f>
        <v>13</v>
      </c>
      <c r="E451" s="462">
        <v>15</v>
      </c>
      <c r="F451" s="3" t="str" cm="1">
        <f t="array" aca="1" ref="F451" ca="1">OFFSET(E451,-1,1)</f>
        <v>2</v>
      </c>
      <c r="G451" s="44" t="s">
        <v>1680</v>
      </c>
      <c r="H451" s="44"/>
      <c r="I451" s="44" t="s">
        <v>2202</v>
      </c>
      <c r="J451" s="44"/>
      <c r="K451" s="91" t="s">
        <v>2202</v>
      </c>
      <c r="L451" s="44" t="s">
        <v>1901</v>
      </c>
      <c r="M451" s="44"/>
      <c r="N451" s="44"/>
      <c r="O451" s="44"/>
      <c r="P451" s="44"/>
      <c r="Q451" s="44"/>
      <c r="R451" s="44"/>
      <c r="S451" s="44"/>
      <c r="T451" s="365" t="b" cm="1">
        <f t="array" aca="1" ref="T451" ca="1">T450</f>
        <v>1</v>
      </c>
      <c r="U451" s="44"/>
      <c r="V451" s="44"/>
      <c r="W451" s="44"/>
      <c r="X451" s="1094"/>
      <c r="Z451" s="1065"/>
      <c r="AB451" s="26" t="str">
        <f>D451&amp;".1"</f>
        <v>13.1</v>
      </c>
      <c r="AC451" s="146" t="s">
        <v>1903</v>
      </c>
      <c r="AD451" s="26" t="s">
        <v>534</v>
      </c>
      <c r="AE451" s="455">
        <v>300.22874069210002</v>
      </c>
      <c r="AF451" s="455">
        <f ca="1">IF(AF$24="2026 год",AF450/12*9,AF450/2)</f>
        <v>298.59050000000002</v>
      </c>
      <c r="AG451" s="455">
        <f ca="1">IF(AG$24="2026 год",AG450/12*9,AG450/2)</f>
        <v>298.59050000000002</v>
      </c>
      <c r="AH451" s="568">
        <f t="shared" ca="1" si="132"/>
        <v>0</v>
      </c>
      <c r="AI451" s="455">
        <v>305.78649999999999</v>
      </c>
      <c r="AJ451" s="455">
        <f t="shared" ref="AJ451:BC451" ca="1" si="133">IF(AJ$24="2026 год",AJ450/12*9,AJ450/2)</f>
        <v>450.34275000000002</v>
      </c>
      <c r="AK451" s="785">
        <f t="shared" ca="1" si="133"/>
        <v>0</v>
      </c>
      <c r="AL451" s="785">
        <f t="shared" ca="1" si="133"/>
        <v>0</v>
      </c>
      <c r="AM451" s="785">
        <f t="shared" ca="1" si="133"/>
        <v>0</v>
      </c>
      <c r="AN451" s="785">
        <f t="shared" ca="1" si="133"/>
        <v>0</v>
      </c>
      <c r="AO451" s="785">
        <f t="shared" ca="1" si="133"/>
        <v>0</v>
      </c>
      <c r="AP451" s="785">
        <f t="shared" ca="1" si="133"/>
        <v>0</v>
      </c>
      <c r="AQ451" s="785">
        <f t="shared" ca="1" si="133"/>
        <v>0</v>
      </c>
      <c r="AR451" s="785">
        <f t="shared" ca="1" si="133"/>
        <v>0</v>
      </c>
      <c r="AS451" s="785">
        <f t="shared" ca="1" si="133"/>
        <v>0</v>
      </c>
      <c r="AT451" s="455">
        <f t="shared" ca="1" si="133"/>
        <v>447.88575000000003</v>
      </c>
      <c r="AU451" s="785">
        <f t="shared" ca="1" si="133"/>
        <v>0</v>
      </c>
      <c r="AV451" s="785">
        <f t="shared" ca="1" si="133"/>
        <v>0</v>
      </c>
      <c r="AW451" s="785">
        <f t="shared" ca="1" si="133"/>
        <v>0</v>
      </c>
      <c r="AX451" s="785">
        <f t="shared" ca="1" si="133"/>
        <v>0</v>
      </c>
      <c r="AY451" s="785">
        <f t="shared" ca="1" si="133"/>
        <v>0</v>
      </c>
      <c r="AZ451" s="785">
        <f t="shared" ca="1" si="133"/>
        <v>0</v>
      </c>
      <c r="BA451" s="785">
        <f t="shared" ca="1" si="133"/>
        <v>0</v>
      </c>
      <c r="BB451" s="785">
        <f t="shared" ca="1" si="133"/>
        <v>0</v>
      </c>
      <c r="BC451" s="785">
        <f t="shared" ca="1" si="133"/>
        <v>0</v>
      </c>
      <c r="BD451" s="552"/>
      <c r="BE451" s="552"/>
      <c r="BF451" s="552"/>
      <c r="BG451" s="552"/>
      <c r="BH451" s="552"/>
      <c r="BI451" s="552"/>
      <c r="BJ451" s="552"/>
      <c r="BK451" s="552"/>
      <c r="BL451" s="552"/>
      <c r="BM451" s="552"/>
      <c r="BN451" s="215"/>
      <c r="BO451" s="215"/>
      <c r="BP451" s="215"/>
      <c r="BS451" s="703" t="s">
        <v>1904</v>
      </c>
    </row>
    <row r="452" spans="1:75" ht="14.65" customHeight="1">
      <c r="C452" s="44"/>
      <c r="D452" s="44" cm="1">
        <f t="array" ref="D452">D451</f>
        <v>13</v>
      </c>
      <c r="E452" s="462">
        <v>15</v>
      </c>
      <c r="F452" s="3" t="str" cm="1">
        <f t="array" aca="1" ref="F452" ca="1">OFFSET(E452,-1,1)</f>
        <v>2</v>
      </c>
      <c r="G452" s="44" t="s">
        <v>1636</v>
      </c>
      <c r="H452" s="44"/>
      <c r="I452" s="44" t="s">
        <v>2203</v>
      </c>
      <c r="J452" s="44"/>
      <c r="K452" s="91" t="s">
        <v>2203</v>
      </c>
      <c r="L452" s="44" t="s">
        <v>1905</v>
      </c>
      <c r="M452" s="44"/>
      <c r="N452" s="44"/>
      <c r="O452" s="44"/>
      <c r="P452" s="44"/>
      <c r="Q452" s="44"/>
      <c r="R452" s="44"/>
      <c r="S452" s="44"/>
      <c r="T452" s="365" t="b" cm="1">
        <f t="array" aca="1" ref="T452" ca="1">T451</f>
        <v>1</v>
      </c>
      <c r="U452" s="44"/>
      <c r="V452" s="44"/>
      <c r="W452" s="44"/>
      <c r="X452" s="1094"/>
      <c r="Z452" s="1065"/>
      <c r="AB452" s="26" t="str">
        <f>D452&amp;".2"</f>
        <v>13.2</v>
      </c>
      <c r="AC452" s="146" t="s">
        <v>1907</v>
      </c>
      <c r="AD452" s="26" t="s">
        <v>1624</v>
      </c>
      <c r="AE452" s="147">
        <v>39.072000000000003</v>
      </c>
      <c r="AF452" s="147">
        <f ca="1">IF(AF450=0,0,AF444*(1+Сценарии!AF$26/100))</f>
        <v>0</v>
      </c>
      <c r="AG452" s="147">
        <f ca="1">IF(AG450=0,0,AG444*(1+Сценарии!AG$26/100))</f>
        <v>0</v>
      </c>
      <c r="AH452" s="190">
        <f t="shared" ca="1" si="132"/>
        <v>0</v>
      </c>
      <c r="AI452" s="147">
        <v>44.52</v>
      </c>
      <c r="AJ452" s="147">
        <f ca="1">IF(AJ450=0,0,AJ444*(1+Сценарии!AJ$26/100))</f>
        <v>0</v>
      </c>
      <c r="AK452" s="787">
        <f ca="1">IF(AK450=0,0,AK444*(1+Сценарии!AO$26/100))</f>
        <v>0</v>
      </c>
      <c r="AL452" s="787">
        <f ca="1">IF(AL450=0,0,AL444*(1+Сценарии!AP$26/100))</f>
        <v>0</v>
      </c>
      <c r="AM452" s="787">
        <f ca="1">IF(AM450=0,0,AM444*(1+Сценарии!AQ$26/100))</f>
        <v>0</v>
      </c>
      <c r="AN452" s="787">
        <f ca="1">IF(AN450=0,0,AN444*(1+Сценарии!AR$26/100))</f>
        <v>0</v>
      </c>
      <c r="AO452" s="787">
        <f ca="1">IF(AO450=0,0,AO444*(1+Сценарии!AS$26/100))</f>
        <v>0</v>
      </c>
      <c r="AP452" s="787">
        <f ca="1">IF(AP450=0,0,AP444*(1+Сценарии!AT$26/100))</f>
        <v>0</v>
      </c>
      <c r="AQ452" s="787">
        <f ca="1">IF(AQ450=0,0,AQ444*(1+Сценарии!AU$26/100))</f>
        <v>0</v>
      </c>
      <c r="AR452" s="787">
        <f ca="1">IF(AR450=0,0,AR444*(1+Сценарии!AV$26/100))</f>
        <v>0</v>
      </c>
      <c r="AS452" s="787">
        <f ca="1">IF(AS450=0,0,AS444*(1+Сценарии!AW$26/100))</f>
        <v>0</v>
      </c>
      <c r="AT452" s="147">
        <f ca="1">IF(AT450=0,0,AT444*(1+Сценарии!AK$26/100))</f>
        <v>0</v>
      </c>
      <c r="AU452" s="787">
        <f ca="1">IF(AU450=0,0,AU444*(1+Сценарии!AX$26/100))</f>
        <v>0</v>
      </c>
      <c r="AV452" s="787">
        <f ca="1">IF(AV450=0,0,AV444*(1+Сценарии!AY$26/100))</f>
        <v>0</v>
      </c>
      <c r="AW452" s="787">
        <f ca="1">IF(AW450=0,0,AW444*(1+Сценарии!AZ$26/100))</f>
        <v>0</v>
      </c>
      <c r="AX452" s="787">
        <f ca="1">IF(AX450=0,0,AX444*(1+Сценарии!BA$26/100))</f>
        <v>0</v>
      </c>
      <c r="AY452" s="787">
        <f ca="1">IF(AY450=0,0,AY444*(1+Сценарии!BB$26/100))</f>
        <v>0</v>
      </c>
      <c r="AZ452" s="787">
        <f ca="1">IF(AZ450=0,0,AZ444*(1+Сценарии!BC$26/100))</f>
        <v>0</v>
      </c>
      <c r="BA452" s="787">
        <f ca="1">IF(BA450=0,0,BA444*(1+Сценарии!BD$26/100))</f>
        <v>0</v>
      </c>
      <c r="BB452" s="787">
        <f ca="1">IF(BB450=0,0,BB444*(1+Сценарии!BE$26/100))</f>
        <v>0</v>
      </c>
      <c r="BC452" s="787">
        <f ca="1">IF(BC450=0,0,BC444*(1+Сценарии!BF$26/100))</f>
        <v>0</v>
      </c>
      <c r="BD452" s="552"/>
      <c r="BE452" s="552"/>
      <c r="BF452" s="552"/>
      <c r="BG452" s="552"/>
      <c r="BH452" s="552"/>
      <c r="BI452" s="552"/>
      <c r="BJ452" s="552"/>
      <c r="BK452" s="552"/>
      <c r="BL452" s="552"/>
      <c r="BM452" s="552"/>
      <c r="BN452" s="215"/>
      <c r="BO452" s="215"/>
      <c r="BP452" s="215"/>
      <c r="BS452" s="703" t="s">
        <v>1908</v>
      </c>
    </row>
    <row r="453" spans="1:75" ht="14.25" customHeight="1">
      <c r="C453" s="44"/>
      <c r="D453" s="44" cm="1">
        <f t="array" ref="D453">D452</f>
        <v>13</v>
      </c>
      <c r="E453" s="462">
        <v>15</v>
      </c>
      <c r="F453" s="3" t="str" cm="1">
        <f t="array" aca="1" ref="F453" ca="1">OFFSET(E453,-1,1)</f>
        <v>2</v>
      </c>
      <c r="G453" s="44" t="s">
        <v>1687</v>
      </c>
      <c r="H453" s="44"/>
      <c r="I453" s="44" t="s">
        <v>2204</v>
      </c>
      <c r="J453" s="44"/>
      <c r="K453" s="44" t="s">
        <v>2204</v>
      </c>
      <c r="L453" s="44" t="s">
        <v>1909</v>
      </c>
      <c r="M453" s="44"/>
      <c r="N453" s="44"/>
      <c r="O453" s="44"/>
      <c r="P453" s="44"/>
      <c r="Q453" s="44"/>
      <c r="R453" s="44"/>
      <c r="S453" s="44"/>
      <c r="T453" s="365" t="b" cm="1">
        <f t="array" aca="1" ref="T453" ca="1">T452</f>
        <v>1</v>
      </c>
      <c r="U453" s="44"/>
      <c r="V453" s="44"/>
      <c r="W453" s="44"/>
      <c r="X453" s="1094"/>
      <c r="Z453" s="1065"/>
      <c r="AB453" s="26" t="str">
        <f>D453&amp;".3"</f>
        <v>13.3</v>
      </c>
      <c r="AC453" s="146" t="s">
        <v>1879</v>
      </c>
      <c r="AD453" s="26" t="s">
        <v>534</v>
      </c>
      <c r="AE453" s="568">
        <f ca="1">AE450-AE451</f>
        <v>300.22874069199997</v>
      </c>
      <c r="AF453" s="568">
        <f ca="1">AF450-AF451</f>
        <v>298.59050000000002</v>
      </c>
      <c r="AG453" s="568">
        <f ca="1">AG450-AG451</f>
        <v>298.59050000000002</v>
      </c>
      <c r="AH453" s="568">
        <f t="shared" ca="1" si="132"/>
        <v>0</v>
      </c>
      <c r="AI453" s="568">
        <f t="shared" ref="AI453:BC453" ca="1" si="134">AI450-AI451</f>
        <v>305.78649999999999</v>
      </c>
      <c r="AJ453" s="568">
        <f t="shared" ca="1" si="134"/>
        <v>150.11424999999997</v>
      </c>
      <c r="AK453" s="568">
        <f t="shared" ca="1" si="134"/>
        <v>0</v>
      </c>
      <c r="AL453" s="568">
        <f t="shared" ca="1" si="134"/>
        <v>0</v>
      </c>
      <c r="AM453" s="568">
        <f t="shared" ca="1" si="134"/>
        <v>0</v>
      </c>
      <c r="AN453" s="568">
        <f t="shared" ca="1" si="134"/>
        <v>0</v>
      </c>
      <c r="AO453" s="568">
        <f t="shared" ca="1" si="134"/>
        <v>0</v>
      </c>
      <c r="AP453" s="568">
        <f t="shared" ca="1" si="134"/>
        <v>0</v>
      </c>
      <c r="AQ453" s="568">
        <f t="shared" ca="1" si="134"/>
        <v>0</v>
      </c>
      <c r="AR453" s="568">
        <f t="shared" ca="1" si="134"/>
        <v>0</v>
      </c>
      <c r="AS453" s="568">
        <f t="shared" ca="1" si="134"/>
        <v>0</v>
      </c>
      <c r="AT453" s="568">
        <f t="shared" ca="1" si="134"/>
        <v>149.29525000000001</v>
      </c>
      <c r="AU453" s="568">
        <f t="shared" ca="1" si="134"/>
        <v>0</v>
      </c>
      <c r="AV453" s="568">
        <f t="shared" ca="1" si="134"/>
        <v>0</v>
      </c>
      <c r="AW453" s="568">
        <f t="shared" ca="1" si="134"/>
        <v>0</v>
      </c>
      <c r="AX453" s="568">
        <f t="shared" ca="1" si="134"/>
        <v>0</v>
      </c>
      <c r="AY453" s="568">
        <f t="shared" ca="1" si="134"/>
        <v>0</v>
      </c>
      <c r="AZ453" s="568">
        <f t="shared" ca="1" si="134"/>
        <v>0</v>
      </c>
      <c r="BA453" s="568">
        <f t="shared" ca="1" si="134"/>
        <v>0</v>
      </c>
      <c r="BB453" s="568">
        <f t="shared" ca="1" si="134"/>
        <v>0</v>
      </c>
      <c r="BC453" s="568">
        <f t="shared" ca="1" si="134"/>
        <v>0</v>
      </c>
      <c r="BD453" s="552"/>
      <c r="BE453" s="552"/>
      <c r="BF453" s="552"/>
      <c r="BG453" s="552"/>
      <c r="BH453" s="552"/>
      <c r="BI453" s="552"/>
      <c r="BJ453" s="552"/>
      <c r="BK453" s="552"/>
      <c r="BL453" s="552"/>
      <c r="BM453" s="552"/>
      <c r="BN453" s="215"/>
      <c r="BO453" s="215"/>
      <c r="BP453" s="215"/>
      <c r="BS453" s="703" t="s">
        <v>1911</v>
      </c>
    </row>
    <row r="454" spans="1:75" ht="14.65" customHeight="1">
      <c r="C454" s="44"/>
      <c r="D454" s="44" cm="1">
        <f t="array" ref="D454">D453</f>
        <v>13</v>
      </c>
      <c r="E454" s="462">
        <v>15</v>
      </c>
      <c r="F454" s="3" t="str" cm="1">
        <f t="array" aca="1" ref="F454" ca="1">OFFSET(E454,-1,1)</f>
        <v>2</v>
      </c>
      <c r="G454" s="44" t="s">
        <v>1640</v>
      </c>
      <c r="H454" s="44"/>
      <c r="I454" s="44" t="s">
        <v>2205</v>
      </c>
      <c r="J454" s="44"/>
      <c r="K454" s="44" t="s">
        <v>2205</v>
      </c>
      <c r="L454" s="44" t="s">
        <v>1912</v>
      </c>
      <c r="M454" s="44"/>
      <c r="N454" s="44"/>
      <c r="O454" s="44"/>
      <c r="P454" s="44"/>
      <c r="Q454" s="44"/>
      <c r="R454" s="44"/>
      <c r="S454" s="44"/>
      <c r="T454" s="365" t="b" cm="1">
        <f t="array" aca="1" ref="T454" ca="1">T453</f>
        <v>1</v>
      </c>
      <c r="U454" s="44"/>
      <c r="V454" s="44"/>
      <c r="W454" s="44"/>
      <c r="X454" s="1094"/>
      <c r="Z454" s="1065"/>
      <c r="AB454" s="26" t="str">
        <f>D454&amp;".4"</f>
        <v>13.4</v>
      </c>
      <c r="AC454" s="146" t="s">
        <v>1883</v>
      </c>
      <c r="AD454" s="26" t="s">
        <v>1624</v>
      </c>
      <c r="AE454" s="147">
        <v>44.520001433200001</v>
      </c>
      <c r="AF454" s="147">
        <f ca="1">IF(AF450=0,0,AF446*(1+Сценарии!AF$26/100))</f>
        <v>11.640668239532655</v>
      </c>
      <c r="AG454" s="147">
        <f ca="1">IF(AG450=0,0,AG446*(1+Сценарии!AG$26/100))</f>
        <v>10.421299839795479</v>
      </c>
      <c r="AH454" s="190">
        <f t="shared" ca="1" si="132"/>
        <v>-1.219368399737176</v>
      </c>
      <c r="AI454" s="147">
        <v>49.103999765300003</v>
      </c>
      <c r="AJ454" s="147">
        <f ca="1">IF(AJ450=0,0,AJ446*(1+Сценарии!AJ$26/100))</f>
        <v>50.833573115129163</v>
      </c>
      <c r="AK454" s="787">
        <f ca="1">IF(AK450=0,0,AK446*(1+Сценарии!AO$26/100))</f>
        <v>0</v>
      </c>
      <c r="AL454" s="787">
        <f ca="1">IF(AL450=0,0,AL446*(1+Сценарии!AP$26/100))</f>
        <v>0</v>
      </c>
      <c r="AM454" s="787">
        <f ca="1">IF(AM450=0,0,AM446*(1+Сценарии!AQ$26/100))</f>
        <v>0</v>
      </c>
      <c r="AN454" s="787">
        <f ca="1">IF(AN450=0,0,AN446*(1+Сценарии!AR$26/100))</f>
        <v>0</v>
      </c>
      <c r="AO454" s="787">
        <f ca="1">IF(AO450=0,0,AO446*(1+Сценарии!AS$26/100))</f>
        <v>0</v>
      </c>
      <c r="AP454" s="787">
        <f ca="1">IF(AP450=0,0,AP446*(1+Сценарии!AT$26/100))</f>
        <v>0</v>
      </c>
      <c r="AQ454" s="787">
        <f ca="1">IF(AQ450=0,0,AQ446*(1+Сценарии!AU$26/100))</f>
        <v>0</v>
      </c>
      <c r="AR454" s="787">
        <f ca="1">IF(AR450=0,0,AR446*(1+Сценарии!AV$26/100))</f>
        <v>0</v>
      </c>
      <c r="AS454" s="787">
        <f ca="1">IF(AS450=0,0,AS446*(1+Сценарии!AW$26/100))</f>
        <v>0</v>
      </c>
      <c r="AT454" s="147">
        <f ca="1">IF(AT450=0,0,AT446*(1+Сценарии!AK$26/100))</f>
        <v>27.932346634492184</v>
      </c>
      <c r="AU454" s="787">
        <f ca="1">IF(AU450=0,0,AU446*(1+Сценарии!AX$26/100))</f>
        <v>0</v>
      </c>
      <c r="AV454" s="787">
        <f ca="1">IF(AV450=0,0,AV446*(1+Сценарии!AY$26/100))</f>
        <v>0</v>
      </c>
      <c r="AW454" s="787">
        <f ca="1">IF(AW450=0,0,AW446*(1+Сценарии!AZ$26/100))</f>
        <v>0</v>
      </c>
      <c r="AX454" s="787">
        <f ca="1">IF(AX450=0,0,AX446*(1+Сценарии!BA$26/100))</f>
        <v>0</v>
      </c>
      <c r="AY454" s="787">
        <f ca="1">IF(AY450=0,0,AY446*(1+Сценарии!BB$26/100))</f>
        <v>0</v>
      </c>
      <c r="AZ454" s="787">
        <f ca="1">IF(AZ450=0,0,AZ446*(1+Сценарии!BC$26/100))</f>
        <v>0</v>
      </c>
      <c r="BA454" s="787">
        <f ca="1">IF(BA450=0,0,BA446*(1+Сценарии!BD$26/100))</f>
        <v>0</v>
      </c>
      <c r="BB454" s="787">
        <f ca="1">IF(BB450=0,0,BB446*(1+Сценарии!BE$26/100))</f>
        <v>0</v>
      </c>
      <c r="BC454" s="787">
        <f ca="1">IF(BC450=0,0,BC446*(1+Сценарии!BF$26/100))</f>
        <v>0</v>
      </c>
      <c r="BD454" s="552"/>
      <c r="BE454" s="552"/>
      <c r="BF454" s="552"/>
      <c r="BG454" s="552"/>
      <c r="BH454" s="552"/>
      <c r="BI454" s="552"/>
      <c r="BJ454" s="552"/>
      <c r="BK454" s="552"/>
      <c r="BL454" s="552"/>
      <c r="BM454" s="552"/>
      <c r="BN454" s="215"/>
      <c r="BO454" s="215"/>
      <c r="BP454" s="215"/>
      <c r="BS454" s="703" t="s">
        <v>1915</v>
      </c>
    </row>
    <row r="455" spans="1:75" ht="14.25" customHeight="1">
      <c r="C455" s="44"/>
      <c r="D455" s="44">
        <f>D454+1</f>
        <v>14</v>
      </c>
      <c r="E455" s="462">
        <v>15</v>
      </c>
      <c r="F455" s="3" t="str" cm="1">
        <f t="array" aca="1" ref="F455" ca="1">OFFSET(E455,-1,1)</f>
        <v>2</v>
      </c>
      <c r="G455" s="44"/>
      <c r="H455" s="44"/>
      <c r="I455" s="44"/>
      <c r="J455" s="44"/>
      <c r="K455" s="44"/>
      <c r="L455" s="44"/>
      <c r="M455" s="44"/>
      <c r="N455" s="44"/>
      <c r="O455" s="44"/>
      <c r="P455" s="44"/>
      <c r="Q455" s="44"/>
      <c r="R455" s="44"/>
      <c r="S455" s="44"/>
      <c r="T455" s="365" t="b" cm="1">
        <f t="array" aca="1" ref="T455" ca="1">T454</f>
        <v>1</v>
      </c>
      <c r="U455" s="44"/>
      <c r="V455" s="44"/>
      <c r="W455" s="44"/>
      <c r="X455" s="1094"/>
      <c r="Z455" s="1065"/>
      <c r="AB455" s="143" cm="1">
        <f t="array" ref="AB455">D455</f>
        <v>14</v>
      </c>
      <c r="AC455" s="144" t="s">
        <v>1917</v>
      </c>
      <c r="AD455" s="143" t="s">
        <v>804</v>
      </c>
      <c r="AE455" s="147"/>
      <c r="AF455" s="147"/>
      <c r="AG455" s="147"/>
      <c r="AH455" s="190">
        <f t="shared" si="132"/>
        <v>0</v>
      </c>
      <c r="AI455" s="147"/>
      <c r="AJ455" s="147"/>
      <c r="AK455" s="787"/>
      <c r="AL455" s="787"/>
      <c r="AM455" s="787"/>
      <c r="AN455" s="787"/>
      <c r="AO455" s="787"/>
      <c r="AP455" s="787"/>
      <c r="AQ455" s="787"/>
      <c r="AR455" s="787"/>
      <c r="AS455" s="787"/>
      <c r="AT455" s="147"/>
      <c r="AU455" s="787"/>
      <c r="AV455" s="787"/>
      <c r="AW455" s="787"/>
      <c r="AX455" s="787"/>
      <c r="AY455" s="787"/>
      <c r="AZ455" s="787"/>
      <c r="BA455" s="787"/>
      <c r="BB455" s="787"/>
      <c r="BC455" s="787"/>
      <c r="BD455" s="552"/>
      <c r="BE455" s="552"/>
      <c r="BF455" s="552"/>
      <c r="BG455" s="552"/>
      <c r="BH455" s="552"/>
      <c r="BI455" s="552"/>
      <c r="BJ455" s="552"/>
      <c r="BK455" s="552"/>
      <c r="BL455" s="552"/>
      <c r="BM455" s="552"/>
      <c r="BN455" s="215"/>
      <c r="BO455" s="215"/>
      <c r="BP455" s="215"/>
      <c r="BS455" s="703" t="s">
        <v>1918</v>
      </c>
    </row>
    <row r="456" spans="1:75" s="388" customFormat="1" ht="20.25" customHeight="1">
      <c r="B456" s="548"/>
      <c r="C456" s="44"/>
      <c r="D456" s="44" cm="1">
        <f t="array" ref="D456">D455</f>
        <v>14</v>
      </c>
      <c r="E456" s="462">
        <v>21</v>
      </c>
      <c r="F456" s="3" t="str" cm="1">
        <f t="array" aca="1" ref="F456" ca="1">OFFSET(E456,-1,1)</f>
        <v>2</v>
      </c>
      <c r="G456" s="44"/>
      <c r="H456" s="44"/>
      <c r="I456" s="44"/>
      <c r="J456" s="44"/>
      <c r="K456" s="44"/>
      <c r="L456" s="44"/>
      <c r="M456" s="44"/>
      <c r="N456" s="44"/>
      <c r="O456" s="44"/>
      <c r="P456" s="44"/>
      <c r="Q456" s="44"/>
      <c r="R456" s="44"/>
      <c r="S456" s="44"/>
      <c r="T456" s="365" t="b" cm="1">
        <f t="array" aca="1" ref="T456" ca="1">T455</f>
        <v>1</v>
      </c>
      <c r="U456" s="44"/>
      <c r="V456" s="44"/>
      <c r="W456" s="44"/>
      <c r="X456" s="1094"/>
      <c r="Z456" s="1065"/>
      <c r="AB456" s="26" t="str">
        <f>D456&amp;".1"</f>
        <v>14.1</v>
      </c>
      <c r="AC456" s="146" t="s">
        <v>1920</v>
      </c>
      <c r="AD456" s="26" t="s">
        <v>804</v>
      </c>
      <c r="AE456" s="147"/>
      <c r="AF456" s="147"/>
      <c r="AG456" s="147"/>
      <c r="AH456" s="190">
        <f t="shared" si="132"/>
        <v>0</v>
      </c>
      <c r="AI456" s="147"/>
      <c r="AJ456" s="147"/>
      <c r="AK456" s="787"/>
      <c r="AL456" s="787"/>
      <c r="AM456" s="787"/>
      <c r="AN456" s="787"/>
      <c r="AO456" s="787"/>
      <c r="AP456" s="787"/>
      <c r="AQ456" s="787"/>
      <c r="AR456" s="787"/>
      <c r="AS456" s="787"/>
      <c r="AT456" s="147"/>
      <c r="AU456" s="787"/>
      <c r="AV456" s="787"/>
      <c r="AW456" s="787"/>
      <c r="AX456" s="787"/>
      <c r="AY456" s="787"/>
      <c r="AZ456" s="787"/>
      <c r="BA456" s="787"/>
      <c r="BB456" s="787"/>
      <c r="BC456" s="787"/>
      <c r="BD456" s="552"/>
      <c r="BE456" s="552"/>
      <c r="BF456" s="552"/>
      <c r="BG456" s="552"/>
      <c r="BH456" s="552"/>
      <c r="BI456" s="552"/>
      <c r="BJ456" s="552"/>
      <c r="BK456" s="552"/>
      <c r="BL456" s="552"/>
      <c r="BM456" s="552"/>
      <c r="BN456" s="215"/>
      <c r="BO456" s="215"/>
      <c r="BP456" s="215"/>
      <c r="BS456" s="703" t="s">
        <v>1921</v>
      </c>
      <c r="BT456" s="712"/>
      <c r="BU456" s="712"/>
      <c r="BV456" s="713"/>
      <c r="BW456" s="713"/>
    </row>
    <row r="457" spans="1:75" s="388" customFormat="1" ht="64.5" customHeight="1">
      <c r="B457" s="548"/>
      <c r="C457" s="44"/>
      <c r="D457" s="44" cm="1">
        <f t="array" ref="D457">D456</f>
        <v>14</v>
      </c>
      <c r="E457" s="462">
        <v>66.599999999999994</v>
      </c>
      <c r="F457" s="3" t="str" cm="1">
        <f t="array" aca="1" ref="F457" ca="1">OFFSET(E457,-1,1)</f>
        <v>2</v>
      </c>
      <c r="G457" s="44"/>
      <c r="H457" s="44"/>
      <c r="I457" s="44"/>
      <c r="J457" s="44"/>
      <c r="K457" s="44"/>
      <c r="L457" s="44"/>
      <c r="M457" s="44"/>
      <c r="N457" s="44"/>
      <c r="O457" s="44"/>
      <c r="P457" s="44"/>
      <c r="Q457" s="44"/>
      <c r="R457" s="44"/>
      <c r="S457" s="44"/>
      <c r="T457" s="365" t="b" cm="1">
        <f t="array" aca="1" ref="T457" ca="1">T456</f>
        <v>1</v>
      </c>
      <c r="U457" s="44"/>
      <c r="V457" s="44"/>
      <c r="W457" s="44"/>
      <c r="X457" s="1094"/>
      <c r="Z457" s="1065"/>
      <c r="AB457" s="26" t="str">
        <f>D457&amp;".2"</f>
        <v>14.2</v>
      </c>
      <c r="AC457" s="146" t="s">
        <v>1923</v>
      </c>
      <c r="AD457" s="26" t="s">
        <v>804</v>
      </c>
      <c r="AE457" s="147"/>
      <c r="AF457" s="147"/>
      <c r="AG457" s="147"/>
      <c r="AH457" s="190">
        <f t="shared" si="132"/>
        <v>0</v>
      </c>
      <c r="AI457" s="147"/>
      <c r="AJ457" s="147"/>
      <c r="AK457" s="787"/>
      <c r="AL457" s="787"/>
      <c r="AM457" s="787"/>
      <c r="AN457" s="787"/>
      <c r="AO457" s="787"/>
      <c r="AP457" s="787"/>
      <c r="AQ457" s="787"/>
      <c r="AR457" s="787"/>
      <c r="AS457" s="787"/>
      <c r="AT457" s="147"/>
      <c r="AU457" s="787"/>
      <c r="AV457" s="787"/>
      <c r="AW457" s="787"/>
      <c r="AX457" s="787"/>
      <c r="AY457" s="787"/>
      <c r="AZ457" s="787"/>
      <c r="BA457" s="787"/>
      <c r="BB457" s="787"/>
      <c r="BC457" s="787"/>
      <c r="BD457" s="552"/>
      <c r="BE457" s="552"/>
      <c r="BF457" s="552"/>
      <c r="BG457" s="552"/>
      <c r="BH457" s="552"/>
      <c r="BI457" s="552"/>
      <c r="BJ457" s="552"/>
      <c r="BK457" s="552"/>
      <c r="BL457" s="552"/>
      <c r="BM457" s="552"/>
      <c r="BN457" s="215"/>
      <c r="BO457" s="215"/>
      <c r="BP457" s="215"/>
      <c r="BS457" s="703" t="s">
        <v>1924</v>
      </c>
      <c r="BT457" s="712"/>
      <c r="BU457" s="712"/>
      <c r="BV457" s="713"/>
      <c r="BW457" s="713"/>
    </row>
    <row r="458" spans="1:75" s="388" customFormat="1" ht="44.25" customHeight="1">
      <c r="B458" s="548"/>
      <c r="C458" s="44"/>
      <c r="D458" s="44" cm="1">
        <f t="array" ref="D458">D457</f>
        <v>14</v>
      </c>
      <c r="E458" s="462">
        <v>45.6</v>
      </c>
      <c r="F458" s="3" t="str" cm="1">
        <f t="array" aca="1" ref="F458" ca="1">OFFSET(E458,-1,1)</f>
        <v>2</v>
      </c>
      <c r="G458" s="44"/>
      <c r="H458" s="44"/>
      <c r="I458" s="44"/>
      <c r="J458" s="44"/>
      <c r="K458" s="44"/>
      <c r="L458" s="44"/>
      <c r="M458" s="44"/>
      <c r="N458" s="44"/>
      <c r="O458" s="44"/>
      <c r="P458" s="44"/>
      <c r="Q458" s="44"/>
      <c r="R458" s="44"/>
      <c r="S458" s="44"/>
      <c r="T458" s="365" t="b" cm="1">
        <f t="array" aca="1" ref="T458" ca="1">T457</f>
        <v>1</v>
      </c>
      <c r="U458" s="44"/>
      <c r="V458" s="44"/>
      <c r="W458" s="44"/>
      <c r="X458" s="1094"/>
      <c r="Z458" s="1065"/>
      <c r="AB458" s="26" t="str">
        <f>D458&amp;".3"</f>
        <v>14.3</v>
      </c>
      <c r="AC458" s="146" t="s">
        <v>2206</v>
      </c>
      <c r="AD458" s="26" t="s">
        <v>804</v>
      </c>
      <c r="AE458" s="552"/>
      <c r="AF458" s="147"/>
      <c r="AG458" s="147"/>
      <c r="AH458" s="190">
        <f t="shared" si="132"/>
        <v>0</v>
      </c>
      <c r="AI458" s="552"/>
      <c r="AJ458" s="552"/>
      <c r="AK458" s="552"/>
      <c r="AL458" s="552"/>
      <c r="AM458" s="552"/>
      <c r="AN458" s="552"/>
      <c r="AO458" s="552"/>
      <c r="AP458" s="552"/>
      <c r="AQ458" s="552"/>
      <c r="AR458" s="552"/>
      <c r="AS458" s="552"/>
      <c r="AT458" s="552"/>
      <c r="AU458" s="552"/>
      <c r="AV458" s="552"/>
      <c r="AW458" s="552"/>
      <c r="AX458" s="552"/>
      <c r="AY458" s="552"/>
      <c r="AZ458" s="552"/>
      <c r="BA458" s="552"/>
      <c r="BB458" s="552"/>
      <c r="BC458" s="552"/>
      <c r="BD458" s="552"/>
      <c r="BE458" s="552"/>
      <c r="BF458" s="552"/>
      <c r="BG458" s="552"/>
      <c r="BH458" s="552"/>
      <c r="BI458" s="552"/>
      <c r="BJ458" s="552"/>
      <c r="BK458" s="552"/>
      <c r="BL458" s="552"/>
      <c r="BM458" s="552"/>
      <c r="BN458" s="215"/>
      <c r="BO458" s="215"/>
      <c r="BP458" s="215"/>
      <c r="BS458" s="712" t="s">
        <v>2207</v>
      </c>
      <c r="BT458" s="712"/>
      <c r="BU458" s="712"/>
      <c r="BV458" s="713"/>
      <c r="BW458" s="713"/>
    </row>
    <row r="459" spans="1:75" ht="10.9" customHeight="1">
      <c r="A459"/>
      <c r="B459" s="339"/>
      <c r="C459"/>
      <c r="D459"/>
      <c r="E459" s="465">
        <v>11.25</v>
      </c>
      <c r="F459" s="23"/>
      <c r="G459"/>
      <c r="H459"/>
      <c r="I459"/>
      <c r="J459"/>
      <c r="K459"/>
      <c r="L459"/>
      <c r="M459"/>
      <c r="N459"/>
      <c r="O459"/>
      <c r="P459"/>
      <c r="Q459"/>
      <c r="R459"/>
      <c r="S459"/>
      <c r="T459"/>
      <c r="U459" t="s">
        <v>177</v>
      </c>
      <c r="V459" s="517" t="s">
        <v>2217</v>
      </c>
      <c r="W459"/>
      <c r="X459"/>
      <c r="Y459"/>
      <c r="Z459"/>
      <c r="AA459"/>
      <c r="AB459" s="327"/>
      <c r="AC459" s="37"/>
      <c r="AD459" s="37"/>
      <c r="AE459" s="327"/>
      <c r="AF459" s="327"/>
      <c r="AG459"/>
      <c r="AH459"/>
      <c r="AI459"/>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c r="BO459"/>
      <c r="BP459"/>
      <c r="BQ459"/>
      <c r="BR459"/>
      <c r="BS459" s="670"/>
      <c r="BT459" s="670"/>
      <c r="BU459" s="670"/>
      <c r="BV459" s="465"/>
      <c r="BW459" s="465"/>
    </row>
    <row r="460" spans="1:75" ht="14.65" customHeight="1">
      <c r="C460" s="44"/>
      <c r="D460" s="44"/>
      <c r="E460" s="462">
        <v>15</v>
      </c>
      <c r="F460" s="44"/>
      <c r="G460" s="44"/>
      <c r="H460" s="44"/>
      <c r="I460" s="44"/>
      <c r="J460" s="44"/>
      <c r="K460" s="44"/>
      <c r="L460" s="44"/>
      <c r="M460" s="44"/>
      <c r="N460" s="44"/>
      <c r="O460" s="44"/>
      <c r="P460" s="44"/>
      <c r="Q460" s="44"/>
      <c r="R460" s="44"/>
      <c r="S460" s="44"/>
      <c r="T460" s="44"/>
      <c r="U460" s="44"/>
      <c r="V460" s="44"/>
      <c r="W460" s="44"/>
      <c r="X460" s="44"/>
      <c r="AB460" s="1088" t="s">
        <v>398</v>
      </c>
      <c r="AC460" s="1088"/>
      <c r="AD460" s="1088"/>
      <c r="AE460" s="1088"/>
      <c r="AF460" s="1088"/>
      <c r="AG460" s="1088"/>
      <c r="AH460" s="1088"/>
      <c r="AI460" s="1088"/>
      <c r="AJ460" s="1088"/>
      <c r="AK460" s="1088"/>
      <c r="AL460" s="1088"/>
      <c r="AM460" s="1088"/>
      <c r="AN460" s="1088"/>
      <c r="AO460" s="1088"/>
      <c r="AP460" s="1088"/>
      <c r="AQ460" s="1088"/>
      <c r="AR460" s="1088"/>
      <c r="AS460" s="1088"/>
      <c r="AT460" s="1088"/>
      <c r="AU460" s="1088"/>
      <c r="AV460" s="1088"/>
      <c r="AW460" s="1088"/>
      <c r="AX460" s="1088"/>
      <c r="AY460" s="1088"/>
      <c r="AZ460" s="1088"/>
      <c r="BA460" s="1088"/>
      <c r="BB460" s="1088"/>
      <c r="BC460" s="1088"/>
      <c r="BD460" s="1088"/>
      <c r="BE460" s="1088"/>
      <c r="BF460" s="1088"/>
      <c r="BG460" s="1088"/>
      <c r="BH460" s="1088"/>
      <c r="BI460" s="1088"/>
      <c r="BJ460" s="1088"/>
      <c r="BK460" s="1088"/>
      <c r="BL460" s="1088"/>
      <c r="BM460" s="1088"/>
      <c r="BN460" s="1088"/>
      <c r="BO460" s="1088"/>
      <c r="BP460" s="1088"/>
    </row>
    <row r="461" spans="1:75" ht="14.65" customHeight="1">
      <c r="E461" s="518">
        <v>15</v>
      </c>
      <c r="AA461" s="106"/>
      <c r="AB461" s="1158"/>
      <c r="AC461" s="1164"/>
      <c r="AD461" s="1164"/>
      <c r="AE461" s="1164"/>
      <c r="AF461" s="1164"/>
      <c r="AG461" s="1164"/>
      <c r="AH461" s="1164"/>
      <c r="AI461" s="1164"/>
      <c r="AJ461" s="1164"/>
      <c r="AK461" s="1164"/>
      <c r="AL461" s="1164"/>
      <c r="AM461" s="1164"/>
      <c r="AN461" s="1164"/>
      <c r="AO461" s="1164"/>
      <c r="AP461" s="1164"/>
      <c r="AQ461" s="1164"/>
      <c r="AR461" s="1164"/>
      <c r="AS461" s="1164"/>
      <c r="AT461" s="1164"/>
      <c r="AU461" s="1164"/>
      <c r="AV461" s="1164"/>
      <c r="AW461" s="1164"/>
      <c r="AX461" s="1164"/>
      <c r="AY461" s="1164"/>
      <c r="AZ461" s="1164"/>
      <c r="BA461" s="1164"/>
      <c r="BB461" s="1164"/>
      <c r="BC461" s="1164"/>
      <c r="BD461" s="1164"/>
      <c r="BE461" s="1164"/>
      <c r="BF461" s="1164"/>
      <c r="BG461" s="1164"/>
      <c r="BH461" s="1164"/>
      <c r="BI461" s="1164"/>
      <c r="BJ461" s="1164"/>
      <c r="BK461" s="1164"/>
      <c r="BL461" s="1164"/>
      <c r="BM461" s="1164"/>
      <c r="BN461" s="1164"/>
      <c r="BO461" s="1164"/>
      <c r="BP461" s="1164"/>
    </row>
    <row r="462" spans="1:75" ht="14.65" hidden="1" customHeight="1">
      <c r="E462" s="518">
        <v>15</v>
      </c>
      <c r="T462" s="365" t="b">
        <f>ROW(W462)&gt;ROW(W$462)</f>
        <v>0</v>
      </c>
      <c r="W462" s="91" t="s">
        <v>173</v>
      </c>
      <c r="AA462" s="332" t="s">
        <v>174</v>
      </c>
      <c r="AB462" s="1159" t="s">
        <v>225</v>
      </c>
      <c r="AC462" s="1164"/>
      <c r="AD462" s="1164"/>
      <c r="AE462" s="1164"/>
      <c r="AF462" s="1164"/>
      <c r="AG462" s="1164"/>
      <c r="AH462" s="1164"/>
      <c r="AI462" s="1164"/>
      <c r="AJ462" s="1164"/>
      <c r="AK462" s="1164"/>
      <c r="AL462" s="1164"/>
      <c r="AM462" s="1164"/>
      <c r="AN462" s="1164"/>
      <c r="AO462" s="1164"/>
      <c r="AP462" s="1164"/>
      <c r="AQ462" s="1164"/>
      <c r="AR462" s="1164"/>
      <c r="AS462" s="1164"/>
      <c r="AT462" s="1164"/>
      <c r="AU462" s="1164"/>
      <c r="AV462" s="1164"/>
      <c r="AW462" s="1164"/>
      <c r="AX462" s="1164"/>
      <c r="AY462" s="1164"/>
      <c r="AZ462" s="1164"/>
      <c r="BA462" s="1164"/>
      <c r="BB462" s="1164"/>
      <c r="BC462" s="1164"/>
      <c r="BD462" s="1164"/>
      <c r="BE462" s="1164"/>
      <c r="BF462" s="1164"/>
      <c r="BG462" s="1164"/>
      <c r="BH462" s="1164"/>
      <c r="BI462" s="1164"/>
      <c r="BJ462" s="1164"/>
      <c r="BK462" s="1164"/>
      <c r="BL462" s="1164"/>
      <c r="BM462" s="1164"/>
      <c r="BN462" s="1164"/>
      <c r="BO462" s="1164"/>
      <c r="BP462" s="1164"/>
    </row>
    <row r="463" spans="1:75" ht="14.65" customHeight="1">
      <c r="E463" s="518">
        <v>15</v>
      </c>
      <c r="W463" s="517" t="s">
        <v>399</v>
      </c>
      <c r="AB463" s="496"/>
      <c r="AC463" s="394" t="s">
        <v>400</v>
      </c>
      <c r="AD463" s="231"/>
      <c r="AE463" s="231"/>
      <c r="AF463" s="231"/>
      <c r="AG463" s="231"/>
      <c r="AH463" s="231"/>
      <c r="AI463" s="231"/>
      <c r="AJ463" s="231"/>
      <c r="AK463" s="231"/>
      <c r="AL463" s="231"/>
      <c r="AM463" s="231"/>
      <c r="AN463" s="231"/>
      <c r="AO463" s="231"/>
      <c r="AP463" s="231"/>
      <c r="AQ463" s="231"/>
      <c r="AR463" s="231"/>
      <c r="AS463" s="231"/>
      <c r="AT463" s="231"/>
      <c r="AU463" s="231"/>
      <c r="AV463" s="231"/>
      <c r="AW463" s="231"/>
      <c r="AX463" s="231"/>
      <c r="AY463" s="231"/>
      <c r="AZ463" s="231"/>
      <c r="BA463" s="231"/>
      <c r="BB463" s="231"/>
      <c r="BC463" s="231"/>
      <c r="BD463" s="231"/>
      <c r="BE463" s="231"/>
      <c r="BF463" s="231"/>
      <c r="BG463" s="231"/>
      <c r="BH463" s="231"/>
      <c r="BI463" s="231"/>
      <c r="BJ463" s="231"/>
      <c r="BK463" s="231"/>
      <c r="BL463" s="231"/>
      <c r="BM463" s="231"/>
      <c r="BN463" s="231"/>
      <c r="BO463" s="231"/>
      <c r="BP463" s="206"/>
    </row>
    <row r="464" spans="1:75" ht="10.9" customHeight="1">
      <c r="E464" s="518">
        <v>11.25</v>
      </c>
      <c r="BQ464" s="41"/>
    </row>
  </sheetData>
  <sheetProtection formatColumns="0" formatRows="0" insertRows="0" deleteColumns="0" deleteRows="0" sort="0" autoFilter="0"/>
  <mergeCells count="16">
    <mergeCell ref="X27:X170"/>
    <mergeCell ref="Z27:Z170"/>
    <mergeCell ref="AB462:BP462"/>
    <mergeCell ref="AB461:BP461"/>
    <mergeCell ref="BP24:BP25"/>
    <mergeCell ref="BN24:BN25"/>
    <mergeCell ref="BO24:BO25"/>
    <mergeCell ref="AB460:BP460"/>
    <mergeCell ref="AB24:AB25"/>
    <mergeCell ref="AC24:AC25"/>
    <mergeCell ref="AD24:AD25"/>
    <mergeCell ref="BD25:BM25"/>
    <mergeCell ref="X171:X314"/>
    <mergeCell ref="Z171:Z314"/>
    <mergeCell ref="X315:X458"/>
    <mergeCell ref="Z315:Z458"/>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xr:uid="{00000000-0002-0000-1C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xr:uid="{00000000-0002-0000-1C00-000001000000}">
      <formula1>900</formula1>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0BD58-8308-A7E8-9A18-D3747EE7C93D}">
  <sheetPr>
    <tabColor rgb="FF92D050"/>
    <outlinePr summaryBelow="0" summaryRight="0"/>
    <pageSetUpPr fitToPage="1"/>
  </sheetPr>
  <dimension ref="A1:BW469"/>
  <sheetViews>
    <sheetView showGridLines="0" tabSelected="1" workbookViewId="0">
      <pane xSplit="30" ySplit="25" topLeftCell="AI295" activePane="bottomRight" state="frozen"/>
      <selection pane="topRight" activeCell="AE1" sqref="AE1"/>
      <selection pane="bottomLeft" activeCell="A26" sqref="A26"/>
      <selection pane="bottomRight" activeCell="BP301" sqref="BP301"/>
    </sheetView>
  </sheetViews>
  <sheetFormatPr defaultColWidth="9.140625" defaultRowHeight="10.5" customHeight="1"/>
  <cols>
    <col min="1" max="1" width="3.5703125" style="91" hidden="1" customWidth="1"/>
    <col min="2" max="2" width="8.5703125" style="341" hidden="1" customWidth="1"/>
    <col min="3" max="4" width="3.5703125" style="91" hidden="1" customWidth="1"/>
    <col min="5" max="5" width="3.5703125" style="518" hidden="1" customWidth="1"/>
    <col min="6" max="6" width="3.5703125" style="91" hidden="1" customWidth="1"/>
    <col min="7" max="7" width="12.28515625" style="91" hidden="1" customWidth="1"/>
    <col min="8" max="11" width="3.5703125" style="91" hidden="1" customWidth="1"/>
    <col min="12" max="12" width="6.5703125" style="91" hidden="1" customWidth="1"/>
    <col min="13" max="16" width="3.5703125" style="91" hidden="1" customWidth="1"/>
    <col min="17" max="17" width="8" style="91" hidden="1" customWidth="1"/>
    <col min="18" max="18" width="6.42578125" style="91" hidden="1" customWidth="1"/>
    <col min="19" max="19" width="11.140625" style="91" hidden="1" customWidth="1"/>
    <col min="20" max="20" width="10.42578125" style="91" hidden="1" customWidth="1"/>
    <col min="21" max="21" width="5.85546875" style="91" hidden="1" customWidth="1"/>
    <col min="22" max="23" width="6.140625" style="91" hidden="1" customWidth="1"/>
    <col min="24" max="25" width="5.5703125" style="91" hidden="1" customWidth="1"/>
    <col min="26" max="26" width="5.28515625" style="91" hidden="1" customWidth="1"/>
    <col min="27" max="27" width="3" style="91" customWidth="1"/>
    <col min="28" max="28" width="11" style="435" customWidth="1"/>
    <col min="29" max="29" width="47.7109375" style="90" customWidth="1"/>
    <col min="30" max="30" width="12" style="435" customWidth="1"/>
    <col min="31" max="33" width="10.28515625" style="91" customWidth="1"/>
    <col min="34" max="34" width="21" style="91" customWidth="1"/>
    <col min="35" max="36" width="12.5703125" style="91" customWidth="1"/>
    <col min="37" max="45" width="12.5703125" style="91" hidden="1" customWidth="1"/>
    <col min="46" max="46" width="12.5703125" style="91" customWidth="1"/>
    <col min="47" max="55" width="12.5703125" style="91" hidden="1" customWidth="1"/>
    <col min="56" max="56" width="12.5703125" style="91" customWidth="1"/>
    <col min="57" max="65" width="12.5703125" style="91" hidden="1" customWidth="1"/>
    <col min="66" max="66" width="20" style="91" customWidth="1"/>
    <col min="67" max="67" width="37.28515625" style="91" customWidth="1"/>
    <col min="68" max="68" width="66.140625" style="91" customWidth="1"/>
    <col min="69" max="69" width="3" style="91" customWidth="1"/>
    <col min="70" max="70" width="9.140625" style="91" hidden="1"/>
    <col min="71" max="73" width="9.140625" style="705" hidden="1"/>
    <col min="74" max="75" width="9.140625" style="518" hidden="1"/>
  </cols>
  <sheetData>
    <row r="1" spans="1:75" ht="11.25" hidden="1" customHeight="1">
      <c r="E1" s="91"/>
      <c r="F1" s="91" t="s">
        <v>315</v>
      </c>
      <c r="I1" s="91" t="s">
        <v>1926</v>
      </c>
      <c r="J1" s="91" t="s">
        <v>350</v>
      </c>
      <c r="K1" s="91" t="s">
        <v>1927</v>
      </c>
      <c r="L1" s="91" t="s">
        <v>1928</v>
      </c>
      <c r="M1" s="91" t="s">
        <v>1929</v>
      </c>
      <c r="T1" s="365" t="s">
        <v>93</v>
      </c>
      <c r="U1" s="365" t="s">
        <v>98</v>
      </c>
      <c r="V1" s="365" t="s">
        <v>94</v>
      </c>
      <c r="W1" s="365" t="s">
        <v>95</v>
      </c>
      <c r="X1" s="365" t="s">
        <v>96</v>
      </c>
      <c r="Y1" s="367" t="s">
        <v>317</v>
      </c>
      <c r="Z1" s="365" t="s">
        <v>100</v>
      </c>
      <c r="AA1" s="366" t="s">
        <v>97</v>
      </c>
      <c r="AB1" s="23"/>
      <c r="AC1" s="366" t="s">
        <v>99</v>
      </c>
      <c r="BS1" s="705" t="s">
        <v>318</v>
      </c>
      <c r="BT1" s="705" t="s">
        <v>319</v>
      </c>
      <c r="BU1" s="705" t="s">
        <v>320</v>
      </c>
      <c r="BV1" s="518" t="s">
        <v>323</v>
      </c>
      <c r="BW1" s="518" t="s">
        <v>324</v>
      </c>
    </row>
    <row r="2" spans="1:75" s="341" customFormat="1" ht="11.25" hidden="1" customHeight="1">
      <c r="B2" s="353" t="s">
        <v>19</v>
      </c>
      <c r="AC2" s="342"/>
      <c r="AF2" s="341" t="b" cm="1">
        <f t="array" ref="AF2">isOrgDeclare</f>
        <v>1</v>
      </c>
      <c r="AH2" s="341" t="b" cm="1">
        <f t="array" ref="AH2">isOrgDeclare</f>
        <v>1</v>
      </c>
      <c r="AJ2" s="354" t="b">
        <f t="shared" ref="AJ2:AS2" si="0">AND(AJ6&lt;=last_year_vis,isOrgDeclare)</f>
        <v>1</v>
      </c>
      <c r="AK2" s="354" t="b">
        <f t="shared" si="0"/>
        <v>0</v>
      </c>
      <c r="AL2" s="354" t="b">
        <f t="shared" si="0"/>
        <v>0</v>
      </c>
      <c r="AM2" s="354" t="b">
        <f t="shared" si="0"/>
        <v>0</v>
      </c>
      <c r="AN2" s="354" t="b">
        <f t="shared" si="0"/>
        <v>0</v>
      </c>
      <c r="AO2" s="354" t="b">
        <f t="shared" si="0"/>
        <v>0</v>
      </c>
      <c r="AP2" s="354" t="b">
        <f t="shared" si="0"/>
        <v>0</v>
      </c>
      <c r="AQ2" s="354" t="b">
        <f t="shared" si="0"/>
        <v>0</v>
      </c>
      <c r="AR2" s="354" t="b">
        <f t="shared" si="0"/>
        <v>0</v>
      </c>
      <c r="AS2" s="354" t="b">
        <f t="shared" si="0"/>
        <v>0</v>
      </c>
      <c r="AT2" s="354" t="b">
        <f t="shared" ref="AT2:BM2" si="1">AT6&lt;=last_year_vis</f>
        <v>1</v>
      </c>
      <c r="AU2" s="354" t="b">
        <f t="shared" si="1"/>
        <v>0</v>
      </c>
      <c r="AV2" s="354" t="b">
        <f t="shared" si="1"/>
        <v>0</v>
      </c>
      <c r="AW2" s="354" t="b">
        <f t="shared" si="1"/>
        <v>0</v>
      </c>
      <c r="AX2" s="354" t="b">
        <f t="shared" si="1"/>
        <v>0</v>
      </c>
      <c r="AY2" s="354" t="b">
        <f t="shared" si="1"/>
        <v>0</v>
      </c>
      <c r="AZ2" s="354" t="b">
        <f t="shared" si="1"/>
        <v>0</v>
      </c>
      <c r="BA2" s="354" t="b">
        <f t="shared" si="1"/>
        <v>0</v>
      </c>
      <c r="BB2" s="354" t="b">
        <f t="shared" si="1"/>
        <v>0</v>
      </c>
      <c r="BC2" s="354" t="b">
        <f t="shared" si="1"/>
        <v>0</v>
      </c>
      <c r="BD2" s="354" t="b">
        <f t="shared" si="1"/>
        <v>1</v>
      </c>
      <c r="BE2" s="354" t="b">
        <f t="shared" si="1"/>
        <v>0</v>
      </c>
      <c r="BF2" s="354" t="b">
        <f t="shared" si="1"/>
        <v>0</v>
      </c>
      <c r="BG2" s="354" t="b">
        <f t="shared" si="1"/>
        <v>0</v>
      </c>
      <c r="BH2" s="354" t="b">
        <f t="shared" si="1"/>
        <v>0</v>
      </c>
      <c r="BI2" s="354" t="b">
        <f t="shared" si="1"/>
        <v>0</v>
      </c>
      <c r="BJ2" s="354" t="b">
        <f t="shared" si="1"/>
        <v>0</v>
      </c>
      <c r="BK2" s="354" t="b">
        <f t="shared" si="1"/>
        <v>0</v>
      </c>
      <c r="BL2" s="354" t="b">
        <f t="shared" si="1"/>
        <v>0</v>
      </c>
      <c r="BM2" s="354" t="b">
        <f t="shared" si="1"/>
        <v>0</v>
      </c>
      <c r="BS2" s="706"/>
      <c r="BT2" s="706"/>
      <c r="BU2" s="706"/>
      <c r="BV2" s="463"/>
      <c r="BW2" s="463"/>
    </row>
    <row r="3" spans="1:75" ht="11.25" hidden="1" customHeight="1">
      <c r="E3" s="91"/>
      <c r="R3" s="353" t="b">
        <v>0</v>
      </c>
    </row>
    <row r="4" spans="1:75" ht="11.25" hidden="1" customHeight="1">
      <c r="E4" s="91"/>
    </row>
    <row r="5" spans="1:75" s="518" customFormat="1" ht="11.25" hidden="1" customHeight="1">
      <c r="A5" s="91"/>
      <c r="B5" s="341"/>
      <c r="C5" s="91"/>
      <c r="D5" s="91"/>
      <c r="E5" s="518" t="s">
        <v>20</v>
      </c>
      <c r="AA5" s="518">
        <v>3</v>
      </c>
      <c r="AB5" s="523">
        <v>11</v>
      </c>
      <c r="AC5" s="519">
        <v>75</v>
      </c>
      <c r="AD5" s="523">
        <v>12</v>
      </c>
      <c r="AE5" s="518">
        <v>12.57</v>
      </c>
      <c r="AF5" s="518">
        <v>12.57</v>
      </c>
      <c r="AG5" s="518">
        <v>12.57</v>
      </c>
      <c r="AH5" s="518">
        <v>21</v>
      </c>
      <c r="AI5" s="518">
        <v>12.57</v>
      </c>
      <c r="AJ5" s="518">
        <v>12.57</v>
      </c>
      <c r="AK5" s="518">
        <v>12.57</v>
      </c>
      <c r="AL5" s="518">
        <v>12.57</v>
      </c>
      <c r="AM5" s="518">
        <v>12.57</v>
      </c>
      <c r="AN5" s="518">
        <v>12.57</v>
      </c>
      <c r="AO5" s="518">
        <v>12.57</v>
      </c>
      <c r="AP5" s="518">
        <v>12.57</v>
      </c>
      <c r="AQ5" s="518">
        <v>12.57</v>
      </c>
      <c r="AR5" s="518">
        <v>12.57</v>
      </c>
      <c r="AS5" s="518">
        <v>12.57</v>
      </c>
      <c r="AT5" s="518">
        <v>12.57</v>
      </c>
      <c r="AU5" s="518">
        <v>12.57</v>
      </c>
      <c r="AV5" s="518">
        <v>12.57</v>
      </c>
      <c r="AW5" s="518">
        <v>12.57</v>
      </c>
      <c r="AX5" s="518">
        <v>12.57</v>
      </c>
      <c r="AY5" s="518">
        <v>12.57</v>
      </c>
      <c r="AZ5" s="518">
        <v>12.57</v>
      </c>
      <c r="BA5" s="518">
        <v>12.57</v>
      </c>
      <c r="BB5" s="518">
        <v>12.57</v>
      </c>
      <c r="BC5" s="518">
        <v>12.57</v>
      </c>
      <c r="BD5" s="518">
        <v>12.57</v>
      </c>
      <c r="BE5" s="518">
        <v>12.57</v>
      </c>
      <c r="BF5" s="518">
        <v>12.57</v>
      </c>
      <c r="BG5" s="518">
        <v>12.57</v>
      </c>
      <c r="BH5" s="518">
        <v>12.57</v>
      </c>
      <c r="BI5" s="518">
        <v>12.57</v>
      </c>
      <c r="BJ5" s="518">
        <v>12.57</v>
      </c>
      <c r="BK5" s="518">
        <v>12.57</v>
      </c>
      <c r="BL5" s="518">
        <v>12.57</v>
      </c>
      <c r="BM5" s="518">
        <v>12.57</v>
      </c>
      <c r="BN5" s="518">
        <v>20</v>
      </c>
      <c r="BO5" s="518">
        <v>20</v>
      </c>
      <c r="BP5" s="518">
        <v>42</v>
      </c>
      <c r="BQ5" s="518">
        <v>3</v>
      </c>
      <c r="BS5" s="705"/>
      <c r="BT5" s="705"/>
      <c r="BU5" s="705"/>
    </row>
    <row r="6" spans="1:75" ht="11.25" hidden="1" customHeight="1">
      <c r="A6" s="91" t="s">
        <v>353</v>
      </c>
      <c r="AE6" s="91">
        <f>god-2</f>
        <v>2024</v>
      </c>
      <c r="AF6" s="91">
        <f>god-2</f>
        <v>2024</v>
      </c>
      <c r="AG6" s="91">
        <f>god-2</f>
        <v>2024</v>
      </c>
      <c r="AH6" s="91">
        <f>god-2</f>
        <v>2024</v>
      </c>
      <c r="AI6" s="36">
        <f>god-1</f>
        <v>2025</v>
      </c>
      <c r="AJ6" s="36" cm="1">
        <f t="array" ref="AJ6">god</f>
        <v>2026</v>
      </c>
      <c r="AK6" s="36">
        <f>god+1</f>
        <v>2027</v>
      </c>
      <c r="AL6" s="36">
        <f>god+2</f>
        <v>2028</v>
      </c>
      <c r="AM6" s="36">
        <f>god+3</f>
        <v>2029</v>
      </c>
      <c r="AN6" s="36">
        <f>god+4</f>
        <v>2030</v>
      </c>
      <c r="AO6" s="36">
        <f>god+5</f>
        <v>2031</v>
      </c>
      <c r="AP6" s="36">
        <f>god+6</f>
        <v>2032</v>
      </c>
      <c r="AQ6" s="36">
        <f>god+7</f>
        <v>2033</v>
      </c>
      <c r="AR6" s="36">
        <f>god+8</f>
        <v>2034</v>
      </c>
      <c r="AS6" s="36">
        <f>god+9</f>
        <v>2035</v>
      </c>
      <c r="AT6" s="36" cm="1">
        <f t="array" ref="AT6">god</f>
        <v>2026</v>
      </c>
      <c r="AU6" s="36">
        <f>god+1</f>
        <v>2027</v>
      </c>
      <c r="AV6" s="36">
        <f>god+2</f>
        <v>2028</v>
      </c>
      <c r="AW6" s="36">
        <f>god+3</f>
        <v>2029</v>
      </c>
      <c r="AX6" s="36">
        <f>god+4</f>
        <v>2030</v>
      </c>
      <c r="AY6" s="36">
        <f>god+5</f>
        <v>2031</v>
      </c>
      <c r="AZ6" s="36">
        <f>god+6</f>
        <v>2032</v>
      </c>
      <c r="BA6" s="36">
        <f>god+7</f>
        <v>2033</v>
      </c>
      <c r="BB6" s="36">
        <f>god+8</f>
        <v>2034</v>
      </c>
      <c r="BC6" s="36">
        <f>god+9</f>
        <v>2035</v>
      </c>
      <c r="BD6" s="36" cm="1">
        <f t="array" ref="BD6">god</f>
        <v>2026</v>
      </c>
      <c r="BE6" s="36">
        <f>god+1</f>
        <v>2027</v>
      </c>
      <c r="BF6" s="36">
        <f>god+2</f>
        <v>2028</v>
      </c>
      <c r="BG6" s="36">
        <f>god+3</f>
        <v>2029</v>
      </c>
      <c r="BH6" s="36">
        <f>god+4</f>
        <v>2030</v>
      </c>
      <c r="BI6" s="36">
        <f>god+5</f>
        <v>2031</v>
      </c>
      <c r="BJ6" s="36">
        <f>god+6</f>
        <v>2032</v>
      </c>
      <c r="BK6" s="36">
        <f>god+7</f>
        <v>2033</v>
      </c>
      <c r="BL6" s="36">
        <f>god+8</f>
        <v>2034</v>
      </c>
      <c r="BM6" s="36">
        <f>god+9</f>
        <v>2035</v>
      </c>
    </row>
    <row r="7" spans="1:75" ht="11.25" hidden="1" customHeight="1">
      <c r="A7" s="91" t="s">
        <v>354</v>
      </c>
      <c r="AE7" s="36" t="str" cm="1">
        <f t="array" ref="AE7">AE25</f>
        <v>Принято органом регулирования</v>
      </c>
      <c r="AF7" s="36" t="str" cm="1">
        <f t="array" ref="AF7">AF25</f>
        <v>Факт по данным организации</v>
      </c>
      <c r="AG7" s="36" t="str" cm="1">
        <f t="array" ref="AG7">AG25</f>
        <v>Факт, принятый органом регулирования</v>
      </c>
      <c r="AH7" s="36" t="str" cm="1">
        <f t="array" ref="AH7">AH25</f>
        <v>отклонение факта по данным организации к факту принятому органом регулирования</v>
      </c>
      <c r="AI7" s="36" t="str" cm="1">
        <f t="array" ref="AI7">AI25</f>
        <v>Принято органом регулирования</v>
      </c>
      <c r="AJ7" s="36" t="str" cm="1">
        <f t="array" ref="AJ7">$AJ$25</f>
        <v>Предложение организации</v>
      </c>
      <c r="AK7" s="36" t="str" cm="1">
        <f t="array" ref="AK7">$AJ$25</f>
        <v>Предложение организации</v>
      </c>
      <c r="AL7" s="36" t="str" cm="1">
        <f t="array" ref="AL7">$AJ$25</f>
        <v>Предложение организации</v>
      </c>
      <c r="AM7" s="36" t="str" cm="1">
        <f t="array" ref="AM7">$AJ$25</f>
        <v>Предложение организации</v>
      </c>
      <c r="AN7" s="36" t="str" cm="1">
        <f t="array" ref="AN7">$AJ$25</f>
        <v>Предложение организации</v>
      </c>
      <c r="AO7" s="36" t="str" cm="1">
        <f t="array" ref="AO7">$AJ$25</f>
        <v>Предложение организации</v>
      </c>
      <c r="AP7" s="36" t="str" cm="1">
        <f t="array" ref="AP7">$AJ$25</f>
        <v>Предложение организации</v>
      </c>
      <c r="AQ7" s="36" t="str" cm="1">
        <f t="array" ref="AQ7">$AJ$25</f>
        <v>Предложение организации</v>
      </c>
      <c r="AR7" s="36" t="str" cm="1">
        <f t="array" ref="AR7">$AJ$25</f>
        <v>Предложение организации</v>
      </c>
      <c r="AS7" s="36" t="str" cm="1">
        <f t="array" ref="AS7">$AJ$25</f>
        <v>Предложение организации</v>
      </c>
      <c r="AT7" s="36" t="str" cm="1">
        <f t="array" ref="AT7">$AT$25</f>
        <v>Принято органом регулирования</v>
      </c>
      <c r="AU7" s="36" t="str" cm="1">
        <f t="array" ref="AU7">$AT$25</f>
        <v>Принято органом регулирования</v>
      </c>
      <c r="AV7" s="36" t="str" cm="1">
        <f t="array" ref="AV7">$AT$25</f>
        <v>Принято органом регулирования</v>
      </c>
      <c r="AW7" s="36" t="str" cm="1">
        <f t="array" ref="AW7">$AT$25</f>
        <v>Принято органом регулирования</v>
      </c>
      <c r="AX7" s="36" t="str" cm="1">
        <f t="array" ref="AX7">$AT$25</f>
        <v>Принято органом регулирования</v>
      </c>
      <c r="AY7" s="36" t="str" cm="1">
        <f t="array" ref="AY7">$AT$25</f>
        <v>Принято органом регулирования</v>
      </c>
      <c r="AZ7" s="36" t="str" cm="1">
        <f t="array" ref="AZ7">$AT$25</f>
        <v>Принято органом регулирования</v>
      </c>
      <c r="BA7" s="36" t="str" cm="1">
        <f t="array" ref="BA7">$AT$25</f>
        <v>Принято органом регулирования</v>
      </c>
      <c r="BB7" s="36" t="str" cm="1">
        <f t="array" ref="BB7">$AT$25</f>
        <v>Принято органом регулирования</v>
      </c>
      <c r="BC7" s="36" t="str" cm="1">
        <f t="array" ref="BC7">$AT$25</f>
        <v>Принято органом регулирования</v>
      </c>
      <c r="BD7" s="36"/>
      <c r="BE7" s="36"/>
      <c r="BF7" s="36"/>
      <c r="BG7" s="36"/>
      <c r="BH7" s="36"/>
      <c r="BI7" s="36"/>
      <c r="BJ7" s="36"/>
      <c r="BK7" s="36"/>
      <c r="BL7" s="36"/>
      <c r="BM7" s="36"/>
    </row>
    <row r="8" spans="1:75" ht="11.25" hidden="1" customHeight="1">
      <c r="AE8" s="36" t="str">
        <f t="shared" ref="AE8:BC8" si="2">AE6&amp;AE7</f>
        <v>2024Принято органом регулирования</v>
      </c>
      <c r="AF8" s="36" t="str">
        <f t="shared" si="2"/>
        <v>2024Факт по данным организации</v>
      </c>
      <c r="AG8" s="36" t="str">
        <f t="shared" si="2"/>
        <v>2024Факт, принятый органом регулирования</v>
      </c>
      <c r="AH8" s="36" t="str">
        <f t="shared" si="2"/>
        <v>2024отклонение факта по данным организации к факту принятому органом регулирования</v>
      </c>
      <c r="AI8" s="36" t="str">
        <f t="shared" si="2"/>
        <v>2025Принято органом регулирования</v>
      </c>
      <c r="AJ8" s="36" t="str">
        <f t="shared" si="2"/>
        <v>2026Предложение организации</v>
      </c>
      <c r="AK8" s="36" t="str">
        <f t="shared" si="2"/>
        <v>2027Предложение организации</v>
      </c>
      <c r="AL8" s="36" t="str">
        <f t="shared" si="2"/>
        <v>2028Предложение организации</v>
      </c>
      <c r="AM8" s="36" t="str">
        <f t="shared" si="2"/>
        <v>2029Предложение организации</v>
      </c>
      <c r="AN8" s="36" t="str">
        <f t="shared" si="2"/>
        <v>2030Предложение организации</v>
      </c>
      <c r="AO8" s="36" t="str">
        <f t="shared" si="2"/>
        <v>2031Предложение организации</v>
      </c>
      <c r="AP8" s="36" t="str">
        <f t="shared" si="2"/>
        <v>2032Предложение организации</v>
      </c>
      <c r="AQ8" s="36" t="str">
        <f t="shared" si="2"/>
        <v>2033Предложение организации</v>
      </c>
      <c r="AR8" s="36" t="str">
        <f t="shared" si="2"/>
        <v>2034Предложение организации</v>
      </c>
      <c r="AS8" s="36" t="str">
        <f t="shared" si="2"/>
        <v>2035Предложение организации</v>
      </c>
      <c r="AT8" s="36" t="str">
        <f t="shared" si="2"/>
        <v>2026Принято органом регулирования</v>
      </c>
      <c r="AU8" s="36" t="str">
        <f t="shared" si="2"/>
        <v>2027Принято органом регулирования</v>
      </c>
      <c r="AV8" s="36" t="str">
        <f t="shared" si="2"/>
        <v>2028Принято органом регулирования</v>
      </c>
      <c r="AW8" s="36" t="str">
        <f t="shared" si="2"/>
        <v>2029Принято органом регулирования</v>
      </c>
      <c r="AX8" s="36" t="str">
        <f t="shared" si="2"/>
        <v>2030Принято органом регулирования</v>
      </c>
      <c r="AY8" s="36" t="str">
        <f t="shared" si="2"/>
        <v>2031Принято органом регулирования</v>
      </c>
      <c r="AZ8" s="36" t="str">
        <f t="shared" si="2"/>
        <v>2032Принято органом регулирования</v>
      </c>
      <c r="BA8" s="36" t="str">
        <f t="shared" si="2"/>
        <v>2033Принято органом регулирования</v>
      </c>
      <c r="BB8" s="36" t="str">
        <f t="shared" si="2"/>
        <v>2034Принято органом регулирования</v>
      </c>
      <c r="BC8" s="36" t="str">
        <f t="shared" si="2"/>
        <v>2035Принято органом регулирования</v>
      </c>
      <c r="BD8" s="36"/>
      <c r="BE8" s="36"/>
      <c r="BF8" s="36"/>
      <c r="BG8" s="36"/>
      <c r="BH8" s="36"/>
      <c r="BI8" s="36"/>
      <c r="BJ8" s="36"/>
      <c r="BK8" s="36"/>
      <c r="BL8" s="36"/>
      <c r="BM8" s="36"/>
    </row>
    <row r="9" spans="1:75" s="705" customFormat="1" ht="11.25" hidden="1" customHeight="1">
      <c r="A9" s="665" t="s">
        <v>358</v>
      </c>
      <c r="B9" s="703"/>
      <c r="C9" s="703"/>
      <c r="D9" s="703"/>
      <c r="E9" s="703"/>
      <c r="F9" s="703"/>
      <c r="G9" s="703"/>
      <c r="H9" s="703"/>
      <c r="I9" s="703"/>
      <c r="J9" s="703"/>
      <c r="K9" s="703"/>
      <c r="L9" s="703"/>
      <c r="M9" s="703"/>
      <c r="N9" s="703"/>
      <c r="O9" s="703"/>
      <c r="P9" s="703"/>
      <c r="Q9" s="703"/>
      <c r="R9" s="703"/>
      <c r="S9" s="703"/>
      <c r="T9" s="703"/>
      <c r="U9" s="703"/>
      <c r="V9" s="703"/>
      <c r="W9" s="703"/>
      <c r="X9" s="703"/>
      <c r="Y9" s="703"/>
      <c r="Z9" s="703"/>
      <c r="AA9" s="703"/>
      <c r="AB9" s="703"/>
      <c r="AC9" s="703"/>
      <c r="AD9" s="703"/>
      <c r="AE9" s="680" cm="1">
        <f t="array" ref="AE9">AE6</f>
        <v>2024</v>
      </c>
      <c r="AF9" s="680" cm="1">
        <f t="array" ref="AF9">AF6</f>
        <v>2024</v>
      </c>
      <c r="AG9" s="680" cm="1">
        <f t="array" ref="AG9">AG6</f>
        <v>2024</v>
      </c>
      <c r="AH9" s="680" cm="1">
        <f t="array" ref="AH9">AH6</f>
        <v>2024</v>
      </c>
      <c r="AI9" s="680" cm="1">
        <f t="array" ref="AI9">AI6</f>
        <v>2025</v>
      </c>
      <c r="AJ9" s="680" cm="1">
        <f t="array" ref="AJ9">AJ6</f>
        <v>2026</v>
      </c>
      <c r="AK9" s="680" cm="1">
        <f t="array" ref="AK9">AK6</f>
        <v>2027</v>
      </c>
      <c r="AL9" s="680" cm="1">
        <f t="array" ref="AL9">AL6</f>
        <v>2028</v>
      </c>
      <c r="AM9" s="680" cm="1">
        <f t="array" ref="AM9">AM6</f>
        <v>2029</v>
      </c>
      <c r="AN9" s="680" cm="1">
        <f t="array" ref="AN9">AN6</f>
        <v>2030</v>
      </c>
      <c r="AO9" s="680" cm="1">
        <f t="array" ref="AO9">AO6</f>
        <v>2031</v>
      </c>
      <c r="AP9" s="680" cm="1">
        <f t="array" ref="AP9">AP6</f>
        <v>2032</v>
      </c>
      <c r="AQ9" s="680" cm="1">
        <f t="array" ref="AQ9">AQ6</f>
        <v>2033</v>
      </c>
      <c r="AR9" s="680" cm="1">
        <f t="array" ref="AR9">AR6</f>
        <v>2034</v>
      </c>
      <c r="AS9" s="680" cm="1">
        <f t="array" ref="AS9">AS6</f>
        <v>2035</v>
      </c>
      <c r="AT9" s="680" cm="1">
        <f t="array" ref="AT9">AT6</f>
        <v>2026</v>
      </c>
      <c r="AU9" s="680" cm="1">
        <f t="array" ref="AU9">AU6</f>
        <v>2027</v>
      </c>
      <c r="AV9" s="680" cm="1">
        <f t="array" ref="AV9">AV6</f>
        <v>2028</v>
      </c>
      <c r="AW9" s="680" cm="1">
        <f t="array" ref="AW9">AW6</f>
        <v>2029</v>
      </c>
      <c r="AX9" s="680" cm="1">
        <f t="array" ref="AX9">AX6</f>
        <v>2030</v>
      </c>
      <c r="AY9" s="680" cm="1">
        <f t="array" ref="AY9">AY6</f>
        <v>2031</v>
      </c>
      <c r="AZ9" s="680" cm="1">
        <f t="array" ref="AZ9">AZ6</f>
        <v>2032</v>
      </c>
      <c r="BA9" s="680" cm="1">
        <f t="array" ref="BA9">BA6</f>
        <v>2033</v>
      </c>
      <c r="BB9" s="680" cm="1">
        <f t="array" ref="BB9">BB6</f>
        <v>2034</v>
      </c>
      <c r="BC9" s="680" cm="1">
        <f t="array" ref="BC9">BC6</f>
        <v>2035</v>
      </c>
      <c r="BD9" s="680" cm="1">
        <f t="array" ref="BD9">BD6</f>
        <v>2026</v>
      </c>
      <c r="BE9" s="680" cm="1">
        <f t="array" ref="BE9">BE6</f>
        <v>2027</v>
      </c>
      <c r="BF9" s="680" cm="1">
        <f t="array" ref="BF9">BF6</f>
        <v>2028</v>
      </c>
      <c r="BG9" s="680" cm="1">
        <f t="array" ref="BG9">BG6</f>
        <v>2029</v>
      </c>
      <c r="BH9" s="680" cm="1">
        <f t="array" ref="BH9">BH6</f>
        <v>2030</v>
      </c>
      <c r="BI9" s="680" cm="1">
        <f t="array" ref="BI9">BI6</f>
        <v>2031</v>
      </c>
      <c r="BJ9" s="680" cm="1">
        <f t="array" ref="BJ9">BJ6</f>
        <v>2032</v>
      </c>
      <c r="BK9" s="680" cm="1">
        <f t="array" ref="BK9">BK6</f>
        <v>2033</v>
      </c>
      <c r="BL9" s="680" cm="1">
        <f t="array" ref="BL9">BL6</f>
        <v>2034</v>
      </c>
      <c r="BM9" s="680" cm="1">
        <f t="array" ref="BM9">BM6</f>
        <v>2035</v>
      </c>
      <c r="BV9" s="518"/>
      <c r="BW9" s="518"/>
    </row>
    <row r="10" spans="1:75" s="705" customFormat="1" ht="11.25" hidden="1" customHeight="1">
      <c r="A10" s="665" t="s">
        <v>359</v>
      </c>
      <c r="B10" s="703"/>
      <c r="C10" s="703"/>
      <c r="D10" s="703"/>
      <c r="E10" s="703"/>
      <c r="F10" s="703"/>
      <c r="G10" s="703"/>
      <c r="H10" s="703"/>
      <c r="I10" s="703"/>
      <c r="J10" s="703"/>
      <c r="K10" s="703"/>
      <c r="L10" s="703"/>
      <c r="M10" s="703"/>
      <c r="N10" s="703"/>
      <c r="O10" s="703"/>
      <c r="P10" s="703"/>
      <c r="Q10" s="703"/>
      <c r="R10" s="703"/>
      <c r="S10" s="703"/>
      <c r="T10" s="703"/>
      <c r="U10" s="703"/>
      <c r="V10" s="703"/>
      <c r="W10" s="703"/>
      <c r="X10" s="703"/>
      <c r="Y10" s="703"/>
      <c r="Z10" s="703"/>
      <c r="AA10" s="703"/>
      <c r="AB10" s="703"/>
      <c r="AC10" s="703"/>
      <c r="AD10" s="703"/>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отклонение факта по данным организации к факту принятому органом регулирования</v>
      </c>
      <c r="AI10" s="680" t="str" cm="1">
        <f t="array" ref="AI10">AI25</f>
        <v>Принято органом регулирования</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Предложение организации</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c r="BC10" s="680" t="str" cm="1">
        <f t="array" ref="BC10">BC25</f>
        <v>Принято органом регулирования</v>
      </c>
      <c r="BD10" s="680"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0" cm="1">
        <f t="array" ref="BE10">BE25</f>
        <v>0</v>
      </c>
      <c r="BF10" s="680" cm="1">
        <f t="array" ref="BF10">BF25</f>
        <v>0</v>
      </c>
      <c r="BG10" s="680" cm="1">
        <f t="array" ref="BG10">BG25</f>
        <v>0</v>
      </c>
      <c r="BH10" s="680" cm="1">
        <f t="array" ref="BH10">BH25</f>
        <v>0</v>
      </c>
      <c r="BI10" s="680" cm="1">
        <f t="array" ref="BI10">BI25</f>
        <v>0</v>
      </c>
      <c r="BJ10" s="680" cm="1">
        <f t="array" ref="BJ10">BJ25</f>
        <v>0</v>
      </c>
      <c r="BK10" s="680" cm="1">
        <f t="array" ref="BK10">BK25</f>
        <v>0</v>
      </c>
      <c r="BL10" s="680" cm="1">
        <f t="array" ref="BL10">BL25</f>
        <v>0</v>
      </c>
      <c r="BM10" s="680" cm="1">
        <f t="array" ref="BM10">BM25</f>
        <v>0</v>
      </c>
      <c r="BV10" s="518"/>
      <c r="BW10" s="518"/>
    </row>
    <row r="11" spans="1:75" s="705" customFormat="1" ht="11.25" hidden="1" customHeight="1">
      <c r="A11" s="665" t="s">
        <v>360</v>
      </c>
      <c r="B11" s="703"/>
      <c r="C11" s="703"/>
      <c r="D11" s="703"/>
      <c r="E11" s="703"/>
      <c r="F11" s="703"/>
      <c r="G11" s="703"/>
      <c r="H11" s="703"/>
      <c r="I11" s="703"/>
      <c r="J11" s="703"/>
      <c r="K11" s="703"/>
      <c r="L11" s="703"/>
      <c r="M11" s="703"/>
      <c r="N11" s="703"/>
      <c r="O11" s="703"/>
      <c r="P11" s="703"/>
      <c r="Q11" s="703"/>
      <c r="R11" s="703"/>
      <c r="S11" s="703"/>
      <c r="T11" s="703"/>
      <c r="U11" s="703"/>
      <c r="V11" s="703"/>
      <c r="W11" s="703"/>
      <c r="X11" s="703"/>
      <c r="Y11" s="703"/>
      <c r="Z11" s="703"/>
      <c r="AA11" s="703"/>
      <c r="AB11" s="703"/>
      <c r="AC11" s="703"/>
      <c r="AD11" s="703"/>
      <c r="AE11" s="680"/>
      <c r="BN11" s="705" t="str" cm="1">
        <f t="array" ref="BN11">BN24</f>
        <v>Указание на подтверждающие документы / URL-ссылка на копии подтверждающих документов</v>
      </c>
      <c r="BO11" s="705" t="str" cm="1">
        <f t="array" ref="BO11">BO24</f>
        <v>Ссылка на правовую норму (основание для принятия показателя в расчет тарифа)</v>
      </c>
      <c r="BP11" s="705"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18"/>
      <c r="BW11" s="518"/>
    </row>
    <row r="12" spans="1:75" s="705" customFormat="1" ht="11.25" hidden="1" customHeight="1">
      <c r="A12" s="703" t="s">
        <v>333</v>
      </c>
      <c r="B12" s="703"/>
      <c r="C12" s="703"/>
      <c r="D12" s="703"/>
      <c r="E12" s="703"/>
      <c r="F12" s="703"/>
      <c r="G12" s="703"/>
      <c r="H12" s="703"/>
      <c r="I12" s="703"/>
      <c r="J12" s="703"/>
      <c r="K12" s="703"/>
      <c r="L12" s="703"/>
      <c r="M12" s="703"/>
      <c r="N12" s="703"/>
      <c r="O12" s="703"/>
      <c r="P12" s="703"/>
      <c r="Q12" s="703"/>
      <c r="R12" s="703"/>
      <c r="S12" s="703"/>
      <c r="T12" s="703"/>
      <c r="U12" s="703"/>
      <c r="V12" s="703"/>
      <c r="W12" s="703"/>
      <c r="X12" s="703"/>
      <c r="Y12" s="703"/>
      <c r="Z12" s="703"/>
      <c r="AA12" s="703"/>
      <c r="AB12" s="703"/>
      <c r="AC12" s="703" t="s">
        <v>320</v>
      </c>
      <c r="AD12" s="703"/>
      <c r="AE12" s="680"/>
      <c r="BV12" s="518"/>
      <c r="BW12" s="518"/>
    </row>
    <row r="13" spans="1:75" ht="11.25" hidden="1" customHeight="1">
      <c r="A13" s="91" t="s">
        <v>1715</v>
      </c>
      <c r="BN13" s="91" t="str" cm="1">
        <f t="array" ref="BN13">BN24</f>
        <v>Указание на подтверждающие документы / URL-ссылка на копии подтверждающих документов</v>
      </c>
      <c r="BO13" s="91" t="str" cm="1">
        <f t="array" ref="BO13">BO24</f>
        <v>Ссылка на правовую норму (основание для принятия показателя в расчет тарифа)</v>
      </c>
      <c r="BP13" s="9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row>
    <row r="15" spans="1:75" ht="11.25" hidden="1" customHeight="1">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row>
    <row r="16" spans="1:75" ht="11.25" hidden="1" customHeight="1">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row>
    <row r="17" spans="1:75" ht="11.25" hidden="1" customHeight="1"/>
    <row r="18" spans="1:75" ht="11.25" hidden="1" customHeight="1">
      <c r="A18" s="91" t="s">
        <v>361</v>
      </c>
      <c r="AC18" s="90" t="s">
        <v>362</v>
      </c>
    </row>
    <row r="19" spans="1:75" ht="11.25" hidden="1" customHeight="1"/>
    <row r="20" spans="1:75" ht="11.25" hidden="1" customHeight="1"/>
    <row r="21" spans="1:75" ht="14.65" customHeight="1">
      <c r="E21" s="518">
        <v>15</v>
      </c>
      <c r="AA21" s="337"/>
      <c r="AB21" s="91"/>
      <c r="AC21" s="3" t="str" cm="1">
        <f t="array" ref="AC21">tpl_title</f>
        <v>Кемеровская область / 2026 / ООО "Энергосервис г. Гурьевска" (ИНН:4202049045, КПП:420201001) / ДПР: 2024-2028</v>
      </c>
      <c r="AD21" s="91"/>
    </row>
    <row r="22" spans="1:75" s="44" customFormat="1" ht="19.5" customHeight="1">
      <c r="B22" s="341"/>
      <c r="E22" s="462">
        <v>20</v>
      </c>
      <c r="AB22" s="239" t="s">
        <v>80</v>
      </c>
      <c r="AC22" s="183"/>
      <c r="AD22" s="183"/>
      <c r="AE22" s="183"/>
      <c r="AF22" s="183"/>
      <c r="AG22" s="183"/>
      <c r="AH22" s="183"/>
      <c r="AI22" s="183"/>
      <c r="AJ22" s="183"/>
      <c r="AK22" s="183"/>
      <c r="AL22" s="183"/>
      <c r="AM22" s="183"/>
      <c r="AN22" s="183"/>
      <c r="AO22" s="183"/>
      <c r="AP22" s="183"/>
      <c r="AQ22" s="183"/>
      <c r="AR22" s="183"/>
      <c r="AS22" s="183"/>
      <c r="AT22" s="183"/>
      <c r="AU22" s="183"/>
      <c r="AV22" s="183"/>
      <c r="AW22" s="183"/>
      <c r="AX22" s="183"/>
      <c r="AY22" s="183"/>
      <c r="AZ22" s="183"/>
      <c r="BA22" s="183"/>
      <c r="BB22" s="183"/>
      <c r="BC22" s="183"/>
      <c r="BD22" s="183"/>
      <c r="BE22" s="183"/>
      <c r="BF22" s="183"/>
      <c r="BG22" s="183"/>
      <c r="BH22" s="183"/>
      <c r="BI22" s="183"/>
      <c r="BJ22" s="183"/>
      <c r="BK22" s="183"/>
      <c r="BL22" s="183"/>
      <c r="BM22" s="183"/>
      <c r="BN22" s="183"/>
      <c r="BO22" s="183"/>
      <c r="BP22" s="183"/>
      <c r="BS22" s="707"/>
      <c r="BT22" s="707"/>
      <c r="BU22" s="707"/>
      <c r="BV22" s="462"/>
      <c r="BW22" s="462"/>
    </row>
    <row r="23" spans="1:75" s="44" customFormat="1" ht="10.15" customHeight="1">
      <c r="B23" s="341"/>
      <c r="E23" s="462">
        <v>10.5</v>
      </c>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S23" s="707"/>
      <c r="BT23" s="707"/>
      <c r="BU23" s="707"/>
      <c r="BV23" s="462"/>
      <c r="BW23" s="462"/>
    </row>
    <row r="24" spans="1:75" s="90" customFormat="1" ht="24.2" customHeight="1">
      <c r="B24" s="342"/>
      <c r="E24" s="519">
        <v>24.75</v>
      </c>
      <c r="AB24" s="1091" t="s">
        <v>22</v>
      </c>
      <c r="AC24" s="1091" t="s">
        <v>362</v>
      </c>
      <c r="AD24" s="1091" t="s">
        <v>363</v>
      </c>
      <c r="AE24" s="29" t="str">
        <f>god-2&amp;" год"</f>
        <v>2024 год</v>
      </c>
      <c r="AF24" s="736" t="str">
        <f>god-2&amp;" год"</f>
        <v>2024 год</v>
      </c>
      <c r="AG24" s="29" t="str">
        <f>god-2&amp;" год"</f>
        <v>2024 год</v>
      </c>
      <c r="AH24" s="29" t="str">
        <f>god-2&amp;" год"</f>
        <v>2024 год</v>
      </c>
      <c r="AI24" s="29" t="str">
        <f>god-1&amp;" год"</f>
        <v>2025 год</v>
      </c>
      <c r="AJ24" s="734" t="str">
        <f>god&amp;" год"</f>
        <v>2026 год</v>
      </c>
      <c r="AK24" s="734" t="str">
        <f>god+1&amp;" год"</f>
        <v>2027 год</v>
      </c>
      <c r="AL24" s="734" t="str">
        <f>god+2&amp;" год"</f>
        <v>2028 год</v>
      </c>
      <c r="AM24" s="734" t="str">
        <f>god+3&amp;" год"</f>
        <v>2029 год</v>
      </c>
      <c r="AN24" s="734" t="str">
        <f>god+4&amp;" год"</f>
        <v>2030 год</v>
      </c>
      <c r="AO24" s="734" t="str">
        <f>god+5&amp;" год"</f>
        <v>2031 год</v>
      </c>
      <c r="AP24" s="734" t="str">
        <f>god+6&amp;" год"</f>
        <v>2032 год</v>
      </c>
      <c r="AQ24" s="734" t="str">
        <f>god+7&amp;" год"</f>
        <v>2033 год</v>
      </c>
      <c r="AR24" s="734" t="str">
        <f>god+8&amp;" год"</f>
        <v>2034 год</v>
      </c>
      <c r="AS24" s="734" t="str">
        <f>god+9&amp;" год"</f>
        <v>2035 год</v>
      </c>
      <c r="AT24" s="30" t="str">
        <f>god&amp;" год"</f>
        <v>2026 год</v>
      </c>
      <c r="AU24" s="30" t="str">
        <f>god+1&amp;" год"</f>
        <v>2027 год</v>
      </c>
      <c r="AV24" s="30" t="str">
        <f>god+2&amp;" год"</f>
        <v>2028 год</v>
      </c>
      <c r="AW24" s="30" t="str">
        <f>god+3&amp;" год"</f>
        <v>2029 год</v>
      </c>
      <c r="AX24" s="30" t="str">
        <f>god+4&amp;" год"</f>
        <v>2030 год</v>
      </c>
      <c r="AY24" s="30" t="str">
        <f>god+5&amp;" год"</f>
        <v>2031 год</v>
      </c>
      <c r="AZ24" s="30" t="str">
        <f>god+6&amp;" год"</f>
        <v>2032 год</v>
      </c>
      <c r="BA24" s="30" t="str">
        <f>god+7&amp;" год"</f>
        <v>2033 год</v>
      </c>
      <c r="BB24" s="30" t="str">
        <f>god+8&amp;" год"</f>
        <v>2034 год</v>
      </c>
      <c r="BC24" s="30" t="str">
        <f>god+9&amp;" год"</f>
        <v>2035 год</v>
      </c>
      <c r="BD24" s="30" t="str">
        <f>god&amp;" год"</f>
        <v>2026 год</v>
      </c>
      <c r="BE24" s="30" t="str">
        <f>god+1&amp;" год"</f>
        <v>2027 год</v>
      </c>
      <c r="BF24" s="30" t="str">
        <f>god+2&amp;" год"</f>
        <v>2028 год</v>
      </c>
      <c r="BG24" s="30" t="str">
        <f>god+3&amp;" год"</f>
        <v>2029 год</v>
      </c>
      <c r="BH24" s="30" t="str">
        <f>god+4&amp;" год"</f>
        <v>2030 год</v>
      </c>
      <c r="BI24" s="30" t="str">
        <f>god+5&amp;" год"</f>
        <v>2031 год</v>
      </c>
      <c r="BJ24" s="30" t="str">
        <f>god+6&amp;" год"</f>
        <v>2032 год</v>
      </c>
      <c r="BK24" s="30" t="str">
        <f>god+7&amp;" год"</f>
        <v>2033 год</v>
      </c>
      <c r="BL24" s="30" t="str">
        <f>god+8&amp;" год"</f>
        <v>2034 год</v>
      </c>
      <c r="BM24" s="30" t="str">
        <f>god+9&amp;" год"</f>
        <v>2035 год</v>
      </c>
      <c r="BN24" s="1099" t="s">
        <v>1718</v>
      </c>
      <c r="BO24" s="1099" t="s">
        <v>529</v>
      </c>
      <c r="BP24" s="1099" t="s">
        <v>1719</v>
      </c>
      <c r="BS24" s="708"/>
      <c r="BT24" s="708"/>
      <c r="BU24" s="708"/>
      <c r="BV24" s="519"/>
      <c r="BW24" s="519"/>
    </row>
    <row r="25" spans="1:75" s="90" customFormat="1" ht="48.95" customHeight="1">
      <c r="B25" s="342"/>
      <c r="E25" s="519">
        <v>50.25</v>
      </c>
      <c r="AB25" s="1091"/>
      <c r="AC25" s="1091"/>
      <c r="AD25" s="1091"/>
      <c r="AE25" s="29" t="s">
        <v>355</v>
      </c>
      <c r="AF25" s="736" t="s">
        <v>450</v>
      </c>
      <c r="AG25" s="29" t="s">
        <v>451</v>
      </c>
      <c r="AH25" s="29" t="s">
        <v>1720</v>
      </c>
      <c r="AI25" s="29" t="s">
        <v>355</v>
      </c>
      <c r="AJ25" s="738" t="s">
        <v>356</v>
      </c>
      <c r="AK25" s="738" t="s">
        <v>356</v>
      </c>
      <c r="AL25" s="738" t="s">
        <v>356</v>
      </c>
      <c r="AM25" s="738" t="s">
        <v>356</v>
      </c>
      <c r="AN25" s="738" t="s">
        <v>356</v>
      </c>
      <c r="AO25" s="738" t="s">
        <v>356</v>
      </c>
      <c r="AP25" s="738" t="s">
        <v>356</v>
      </c>
      <c r="AQ25" s="738" t="s">
        <v>356</v>
      </c>
      <c r="AR25" s="738" t="s">
        <v>356</v>
      </c>
      <c r="AS25" s="738" t="s">
        <v>356</v>
      </c>
      <c r="AT25" s="275" t="s">
        <v>355</v>
      </c>
      <c r="AU25" s="275" t="s">
        <v>355</v>
      </c>
      <c r="AV25" s="275" t="s">
        <v>355</v>
      </c>
      <c r="AW25" s="275" t="s">
        <v>355</v>
      </c>
      <c r="AX25" s="275" t="s">
        <v>355</v>
      </c>
      <c r="AY25" s="275" t="s">
        <v>355</v>
      </c>
      <c r="AZ25" s="275" t="s">
        <v>355</v>
      </c>
      <c r="BA25" s="275" t="s">
        <v>355</v>
      </c>
      <c r="BB25" s="275" t="s">
        <v>355</v>
      </c>
      <c r="BC25" s="275" t="s">
        <v>355</v>
      </c>
      <c r="BD25" s="1099" t="s">
        <v>1717</v>
      </c>
      <c r="BE25" s="1099"/>
      <c r="BF25" s="1099"/>
      <c r="BG25" s="1099"/>
      <c r="BH25" s="1099"/>
      <c r="BI25" s="1099"/>
      <c r="BJ25" s="1099"/>
      <c r="BK25" s="1099"/>
      <c r="BL25" s="1099"/>
      <c r="BM25" s="1099"/>
      <c r="BN25" s="1099"/>
      <c r="BO25" s="1099"/>
      <c r="BP25" s="1099"/>
      <c r="BS25" s="708"/>
      <c r="BT25" s="708"/>
      <c r="BU25" s="708"/>
      <c r="BV25" s="519"/>
      <c r="BW25" s="519"/>
    </row>
    <row r="26" spans="1:75" ht="11.25" customHeight="1">
      <c r="A26"/>
      <c r="B26" s="339"/>
      <c r="C26"/>
      <c r="D26"/>
      <c r="E26" s="465" t="s">
        <v>366</v>
      </c>
      <c r="F26" s="105" t="s">
        <v>1930</v>
      </c>
      <c r="G26"/>
      <c r="H26"/>
      <c r="I26"/>
      <c r="J26"/>
      <c r="K26"/>
      <c r="L26"/>
      <c r="M26"/>
      <c r="N26"/>
      <c r="O26"/>
      <c r="P26"/>
      <c r="Q26"/>
      <c r="R26"/>
      <c r="S26" s="544" t="s">
        <v>367</v>
      </c>
      <c r="T26"/>
      <c r="U26"/>
      <c r="V26"/>
      <c r="W26"/>
      <c r="X26"/>
      <c r="Y26"/>
      <c r="Z26"/>
      <c r="AA26"/>
      <c r="AB26"/>
      <c r="AC26" s="37"/>
      <c r="AD26" s="37"/>
      <c r="AE26" s="37"/>
      <c r="AF26" s="37"/>
      <c r="AG26"/>
      <c r="AH26"/>
      <c r="AI26"/>
      <c r="AJ26"/>
      <c r="AK26"/>
      <c r="AL26"/>
      <c r="AM26"/>
      <c r="AN26"/>
      <c r="AO26"/>
      <c r="AP26"/>
      <c r="AQ26" s="38"/>
      <c r="AR26"/>
      <c r="AS26"/>
      <c r="AT26"/>
      <c r="AU26"/>
      <c r="AV26"/>
      <c r="AW26"/>
      <c r="AX26"/>
      <c r="AY26"/>
      <c r="AZ26"/>
      <c r="BA26"/>
      <c r="BB26"/>
      <c r="BC26"/>
      <c r="BD26"/>
      <c r="BE26"/>
      <c r="BF26"/>
      <c r="BG26"/>
      <c r="BH26"/>
      <c r="BI26"/>
      <c r="BJ26"/>
      <c r="BK26"/>
      <c r="BL26"/>
      <c r="BM26"/>
      <c r="BN26"/>
      <c r="BO26"/>
      <c r="BP26"/>
      <c r="BQ26"/>
      <c r="BR26"/>
      <c r="BS26" s="670"/>
      <c r="BT26" s="670"/>
      <c r="BU26" s="670"/>
      <c r="BV26" s="465"/>
      <c r="BW26" s="465"/>
    </row>
    <row r="27" spans="1:75" s="57" customFormat="1" ht="14.65" hidden="1" customHeight="1">
      <c r="B27" s="62"/>
      <c r="E27" s="459">
        <v>15</v>
      </c>
      <c r="F27" s="36" cm="1">
        <f t="array" ref="F27">X27</f>
        <v>0</v>
      </c>
      <c r="G27" s="36" cm="1">
        <f t="array" ref="G27">INDEX('Общие сведения'!$AK$179:$AK$222,MATCH($X27,'Общие сведения'!$Z$179:$Z$222,0))</f>
        <v>0</v>
      </c>
      <c r="I27" s="36"/>
      <c r="L27" s="41"/>
      <c r="M27" s="41"/>
      <c r="S27" s="57" cm="1">
        <f t="array" ref="S27">INDEX('Общие сведения'!$AE$179:$AE$222,MATCH($X27,'Общие сведения'!$Z$179:$Z$222,0))</f>
        <v>0</v>
      </c>
      <c r="T27" s="365" t="b">
        <f>X27&gt;0</f>
        <v>0</v>
      </c>
      <c r="V27" s="57" t="s">
        <v>264</v>
      </c>
      <c r="X27" s="1075">
        <v>0</v>
      </c>
      <c r="Z27" s="1065"/>
      <c r="AB27" s="293" t="str" cm="1">
        <f t="array" ref="AB27">INDEX('Общие сведения'!$AG$179:$AG$222,MATCH($X27,'Общие сведения'!$Z$179:$Z$222,0))</f>
        <v xml:space="preserve">Тариф 0 () - </v>
      </c>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4"/>
      <c r="BP27" s="184"/>
      <c r="BS27" s="665"/>
      <c r="BT27" s="665"/>
      <c r="BU27" s="665"/>
      <c r="BV27" s="459"/>
      <c r="BW27" s="459"/>
    </row>
    <row r="28" spans="1:75" s="94" customFormat="1" ht="20.45" hidden="1" customHeight="1">
      <c r="B28" s="343"/>
      <c r="E28" s="520">
        <v>21</v>
      </c>
      <c r="F28" s="3" cm="1">
        <f t="array" aca="1" ref="F28" ca="1">OFFSET(E28,-1,1)</f>
        <v>0</v>
      </c>
      <c r="H28" s="289"/>
      <c r="I28" s="289" t="s">
        <v>327</v>
      </c>
      <c r="K28" s="289" t="s">
        <v>327</v>
      </c>
      <c r="L28" s="585"/>
      <c r="M28" s="585"/>
      <c r="R28" s="94" t="s">
        <v>2218</v>
      </c>
      <c r="T28" s="365" t="b" cm="1">
        <f t="array" ref="T28">T27</f>
        <v>0</v>
      </c>
      <c r="X28" s="1075"/>
      <c r="Z28" s="1065"/>
      <c r="AB28" s="179" t="s">
        <v>275</v>
      </c>
      <c r="AC28" s="144" t="s">
        <v>1931</v>
      </c>
      <c r="AD28" s="166" t="s">
        <v>804</v>
      </c>
      <c r="AE28" s="783">
        <f ca="1">SUM(AE30,AE47,AE53,AE73,AE74,AE75)</f>
        <v>0</v>
      </c>
      <c r="AF28" s="145">
        <f ca="1">SUM(AF30,AF47,AF53,AF73,AF74,AF75)</f>
        <v>0</v>
      </c>
      <c r="AG28" s="145">
        <f ca="1">SUM(AG30,AG47,AG53,AG73,AG74,AG75)</f>
        <v>0</v>
      </c>
      <c r="AH28" s="145">
        <f t="shared" ref="AH28:AH59" ca="1" si="3">AG28-AF28</f>
        <v>0</v>
      </c>
      <c r="AI28" s="783">
        <f ca="1">AE28*AI29</f>
        <v>0</v>
      </c>
      <c r="AJ28" s="783">
        <f t="shared" ref="AJ28:AS28" ca="1" si="4">AI28*AJ29</f>
        <v>0</v>
      </c>
      <c r="AK28" s="783">
        <f t="shared" ca="1" si="4"/>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783">
        <f ca="1">AI28*AT29</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145">
        <f ca="1">IF(AI28=0,0,(AT28-AI28)/AI28*100)</f>
        <v>0</v>
      </c>
      <c r="BE28" s="145">
        <f t="shared" ref="BE28:BM28" ca="1" si="6">IF(AT28=0,0,(AU28-AT28)/AT28*100)</f>
        <v>0</v>
      </c>
      <c r="BF28" s="145">
        <f t="shared" ca="1" si="6"/>
        <v>0</v>
      </c>
      <c r="BG28" s="145">
        <f t="shared" ca="1" si="6"/>
        <v>0</v>
      </c>
      <c r="BH28" s="145">
        <f t="shared" ca="1" si="6"/>
        <v>0</v>
      </c>
      <c r="BI28" s="145">
        <f t="shared" ca="1" si="6"/>
        <v>0</v>
      </c>
      <c r="BJ28" s="145">
        <f t="shared" ca="1" si="6"/>
        <v>0</v>
      </c>
      <c r="BK28" s="145">
        <f t="shared" ca="1" si="6"/>
        <v>0</v>
      </c>
      <c r="BL28" s="145">
        <f t="shared" ca="1" si="6"/>
        <v>0</v>
      </c>
      <c r="BM28" s="145">
        <f t="shared" ca="1" si="6"/>
        <v>0</v>
      </c>
      <c r="BN28" s="784"/>
      <c r="BO28" s="784"/>
      <c r="BP28" s="784"/>
      <c r="BQ28" s="93"/>
      <c r="BS28" s="709" t="s">
        <v>526</v>
      </c>
      <c r="BT28" s="709"/>
      <c r="BU28" s="709"/>
      <c r="BV28" s="520"/>
      <c r="BW28" s="520"/>
    </row>
    <row r="29" spans="1:75" ht="14.65" hidden="1" customHeight="1">
      <c r="E29" s="518">
        <v>15</v>
      </c>
      <c r="F29" s="3" cm="1">
        <f t="array" aca="1" ref="F29" ca="1">OFFSET(E29,-1,1)</f>
        <v>0</v>
      </c>
      <c r="H29" s="290"/>
      <c r="I29" s="290" t="s">
        <v>461</v>
      </c>
      <c r="K29" s="290" t="s">
        <v>461</v>
      </c>
      <c r="L29" s="44"/>
      <c r="M29" s="44"/>
      <c r="R29" s="94" t="s">
        <v>2218</v>
      </c>
      <c r="T29" s="365" t="b" cm="1">
        <f t="array" ref="T29">T28</f>
        <v>0</v>
      </c>
      <c r="X29" s="1075"/>
      <c r="Z29" s="1065"/>
      <c r="AB29" s="152" t="s">
        <v>897</v>
      </c>
      <c r="AC29" s="146" t="s">
        <v>1932</v>
      </c>
      <c r="AD29" s="26"/>
      <c r="AE29" s="785"/>
      <c r="AF29" s="785"/>
      <c r="AG29" s="785"/>
      <c r="AH29" s="568">
        <f t="shared" si="3"/>
        <v>0</v>
      </c>
      <c r="AI29" s="785">
        <f ca="1">SUMIFS(INDEX(Сценарии!$AE$25:$BF$109,,MATCH(AI$8,Сценарии!$AE$8:$BF$8,0)),Сценарии!$F$25:$F$109,$F29,Сценарии!$G$25:$G$109,"ИОР")</f>
        <v>1</v>
      </c>
      <c r="AJ29" s="785">
        <f ca="1">SUMIFS(INDEX(Сценарии!$AE$25:$BF$109,,MATCH(AJ$8,Сценарии!$AE$8:$BF$8,0)),Сценарии!$F$25:$F$109,$F29,Сценарии!$G$25:$G$109,"ИОР")</f>
        <v>1</v>
      </c>
      <c r="AK29" s="785">
        <f ca="1">SUMIFS(INDEX(Сценарии!$AE$25:$BF$109,,MATCH(AK$8,Сценарии!$AE$8:$BF$8,0)),Сценарии!$F$25:$F$109,$F29,Сценарии!$G$25:$G$109,"ИОР")</f>
        <v>1</v>
      </c>
      <c r="AL29" s="785">
        <f ca="1">SUMIFS(INDEX(Сценарии!$AE$25:$BF$109,,MATCH(AL$8,Сценарии!$AE$8:$BF$8,0)),Сценарии!$F$25:$F$109,$F29,Сценарии!$G$25:$G$109,"ИОР")</f>
        <v>1</v>
      </c>
      <c r="AM29" s="785">
        <f ca="1">SUMIFS(INDEX(Сценарии!$AE$25:$BF$109,,MATCH(AM$8,Сценарии!$AE$8:$BF$8,0)),Сценарии!$F$25:$F$109,$F29,Сценарии!$G$25:$G$109,"ИОР")</f>
        <v>1</v>
      </c>
      <c r="AN29" s="785">
        <f ca="1">SUMIFS(INDEX(Сценарии!$AE$25:$BF$109,,MATCH(AN$8,Сценарии!$AE$8:$BF$8,0)),Сценарии!$F$25:$F$109,$F29,Сценарии!$G$25:$G$109,"ИОР")</f>
        <v>1</v>
      </c>
      <c r="AO29" s="785">
        <f ca="1">SUMIFS(INDEX(Сценарии!$AE$25:$BF$109,,MATCH(AO$8,Сценарии!$AE$8:$BF$8,0)),Сценарии!$F$25:$F$109,$F29,Сценарии!$G$25:$G$109,"ИОР")</f>
        <v>1</v>
      </c>
      <c r="AP29" s="785">
        <f ca="1">SUMIFS(INDEX(Сценарии!$AE$25:$BF$109,,MATCH(AP$8,Сценарии!$AE$8:$BF$8,0)),Сценарии!$F$25:$F$109,$F29,Сценарии!$G$25:$G$109,"ИОР")</f>
        <v>1</v>
      </c>
      <c r="AQ29" s="785">
        <f ca="1">SUMIFS(INDEX(Сценарии!$AE$25:$BF$109,,MATCH(AQ$8,Сценарии!$AE$8:$BF$8,0)),Сценарии!$F$25:$F$109,$F29,Сценарии!$G$25:$G$109,"ИОР")</f>
        <v>1</v>
      </c>
      <c r="AR29" s="785">
        <f ca="1">SUMIFS(INDEX(Сценарии!$AE$25:$BF$109,,MATCH(AR$8,Сценарии!$AE$8:$BF$8,0)),Сценарии!$F$25:$F$109,$F29,Сценарии!$G$25:$G$109,"ИОР")</f>
        <v>1</v>
      </c>
      <c r="AS29" s="785">
        <f ca="1">SUMIFS(INDEX(Сценарии!$AE$25:$BF$109,,MATCH(AS$8,Сценарии!$AE$8:$BF$8,0)),Сценарии!$F$25:$F$109,$F29,Сценарии!$G$25:$G$109,"ИОР")</f>
        <v>1</v>
      </c>
      <c r="AT29" s="785">
        <f ca="1">SUMIFS(INDEX(Сценарии!$AE$25:$BF$109,,MATCH(AT$8,Сценарии!$AE$8:$BF$8,0)),Сценарии!$F$25:$F$109,$F29,Сценарии!$G$25:$G$109,"ИОР")</f>
        <v>1</v>
      </c>
      <c r="AU29" s="785">
        <f ca="1">SUMIFS(INDEX(Сценарии!$AE$25:$BF$109,,MATCH(AU$8,Сценарии!$AE$8:$BF$8,0)),Сценарии!$F$25:$F$109,$F29,Сценарии!$G$25:$G$109,"ИОР")</f>
        <v>1</v>
      </c>
      <c r="AV29" s="785">
        <f ca="1">SUMIFS(INDEX(Сценарии!$AE$25:$BF$109,,MATCH(AV$8,Сценарии!$AE$8:$BF$8,0)),Сценарии!$F$25:$F$109,$F29,Сценарии!$G$25:$G$109,"ИОР")</f>
        <v>1</v>
      </c>
      <c r="AW29" s="785">
        <f ca="1">SUMIFS(INDEX(Сценарии!$AE$25:$BF$109,,MATCH(AW$8,Сценарии!$AE$8:$BF$8,0)),Сценарии!$F$25:$F$109,$F29,Сценарии!$G$25:$G$109,"ИОР")</f>
        <v>1</v>
      </c>
      <c r="AX29" s="785">
        <f ca="1">SUMIFS(INDEX(Сценарии!$AE$25:$BF$109,,MATCH(AX$8,Сценарии!$AE$8:$BF$8,0)),Сценарии!$F$25:$F$109,$F29,Сценарии!$G$25:$G$109,"ИОР")</f>
        <v>1</v>
      </c>
      <c r="AY29" s="785">
        <f ca="1">SUMIFS(INDEX(Сценарии!$AE$25:$BF$109,,MATCH(AY$8,Сценарии!$AE$8:$BF$8,0)),Сценарии!$F$25:$F$109,$F29,Сценарии!$G$25:$G$109,"ИОР")</f>
        <v>1</v>
      </c>
      <c r="AZ29" s="785">
        <f ca="1">SUMIFS(INDEX(Сценарии!$AE$25:$BF$109,,MATCH(AZ$8,Сценарии!$AE$8:$BF$8,0)),Сценарии!$F$25:$F$109,$F29,Сценарии!$G$25:$G$109,"ИОР")</f>
        <v>1</v>
      </c>
      <c r="BA29" s="785">
        <f ca="1">SUMIFS(INDEX(Сценарии!$AE$25:$BF$109,,MATCH(BA$8,Сценарии!$AE$8:$BF$8,0)),Сценарии!$F$25:$F$109,$F29,Сценарии!$G$25:$G$109,"ИОР")</f>
        <v>1</v>
      </c>
      <c r="BB29" s="785">
        <f ca="1">SUMIFS(INDEX(Сценарии!$AE$25:$BF$109,,MATCH(BB$8,Сценарии!$AE$8:$BF$8,0)),Сценарии!$F$25:$F$109,$F29,Сценарии!$G$25:$G$109,"ИОР")</f>
        <v>1</v>
      </c>
      <c r="BC29" s="785">
        <f ca="1">SUMIFS(INDEX(Сценарии!$AE$25:$BF$109,,MATCH(BC$8,Сценарии!$AE$8:$BF$8,0)),Сценарии!$F$25:$F$109,$F29,Сценарии!$G$25:$G$109,"ИОР")</f>
        <v>1</v>
      </c>
      <c r="BD29" s="552"/>
      <c r="BE29" s="552"/>
      <c r="BF29" s="552"/>
      <c r="BG29" s="552"/>
      <c r="BH29" s="552"/>
      <c r="BI29" s="552"/>
      <c r="BJ29" s="552"/>
      <c r="BK29" s="552"/>
      <c r="BL29" s="552"/>
      <c r="BM29" s="552"/>
      <c r="BN29" s="784"/>
      <c r="BO29" s="784"/>
      <c r="BP29" s="784"/>
      <c r="BS29" s="705" t="s">
        <v>1933</v>
      </c>
    </row>
    <row r="30" spans="1:75" s="93" customFormat="1" ht="20.45" hidden="1" customHeight="1">
      <c r="B30" s="343"/>
      <c r="E30" s="521">
        <v>21</v>
      </c>
      <c r="F30" s="3" cm="1">
        <f t="array" aca="1" ref="F30" ca="1">OFFSET(E30,-1,1)</f>
        <v>0</v>
      </c>
      <c r="H30" s="289"/>
      <c r="I30" s="289" t="s">
        <v>465</v>
      </c>
      <c r="K30" s="289" t="s">
        <v>465</v>
      </c>
      <c r="L30" s="588" t="s">
        <v>327</v>
      </c>
      <c r="M30" s="588"/>
      <c r="Q30" s="91" t="s">
        <v>2218</v>
      </c>
      <c r="R30" s="94" t="s">
        <v>2218</v>
      </c>
      <c r="T30" s="365" t="b" cm="1">
        <f t="array" ref="T30">T29</f>
        <v>0</v>
      </c>
      <c r="X30" s="1075"/>
      <c r="Z30" s="1065"/>
      <c r="AB30" s="179" t="s">
        <v>900</v>
      </c>
      <c r="AC30" s="276" t="s">
        <v>1721</v>
      </c>
      <c r="AD30" s="166" t="s">
        <v>804</v>
      </c>
      <c r="AE30" s="145">
        <f ca="1">SUM(AE31,AE34,AE35,AE38,AE39)</f>
        <v>0</v>
      </c>
      <c r="AF30" s="145">
        <f ca="1">SUM(AF31,AF34,AF35,AF38,AF39)</f>
        <v>0</v>
      </c>
      <c r="AG30" s="145">
        <f ca="1">SUM(AG31,AG34,AG35,AG38,AG39)</f>
        <v>0</v>
      </c>
      <c r="AH30" s="145">
        <f t="shared" ca="1" si="3"/>
        <v>0</v>
      </c>
      <c r="AI30" s="951">
        <f ca="1">SUM(AI31,AI34,AI35,AI38,AI39)</f>
        <v>0</v>
      </c>
      <c r="AJ30" s="785"/>
      <c r="AK30" s="148"/>
      <c r="AL30" s="148"/>
      <c r="AM30" s="148"/>
      <c r="AN30" s="148"/>
      <c r="AO30" s="148"/>
      <c r="AP30" s="148"/>
      <c r="AQ30" s="148"/>
      <c r="AR30" s="148"/>
      <c r="AS30" s="148"/>
      <c r="AT30" s="148"/>
      <c r="AU30" s="148"/>
      <c r="AV30" s="148"/>
      <c r="AW30" s="148"/>
      <c r="AX30" s="148"/>
      <c r="AY30" s="148"/>
      <c r="AZ30" s="148"/>
      <c r="BA30" s="148"/>
      <c r="BB30" s="148"/>
      <c r="BC30" s="148"/>
      <c r="BD30" s="148"/>
      <c r="BE30" s="148"/>
      <c r="BF30" s="148"/>
      <c r="BG30" s="148"/>
      <c r="BH30" s="148"/>
      <c r="BI30" s="148"/>
      <c r="BJ30" s="148"/>
      <c r="BK30" s="148"/>
      <c r="BL30" s="148"/>
      <c r="BM30" s="148"/>
      <c r="BN30" s="786"/>
      <c r="BO30" s="786"/>
      <c r="BP30" s="786"/>
      <c r="BS30" s="703" t="s">
        <v>516</v>
      </c>
      <c r="BT30" s="710"/>
      <c r="BU30" s="710"/>
      <c r="BV30" s="521"/>
      <c r="BW30" s="521"/>
    </row>
    <row r="31" spans="1:75" ht="14.65" hidden="1" customHeight="1">
      <c r="E31" s="518">
        <v>15</v>
      </c>
      <c r="F31" s="3" cm="1">
        <f t="array" aca="1" ref="F31" ca="1">OFFSET(E31,-1,1)</f>
        <v>0</v>
      </c>
      <c r="H31" s="290"/>
      <c r="I31" s="290" t="s">
        <v>1336</v>
      </c>
      <c r="K31" s="290" t="s">
        <v>1336</v>
      </c>
      <c r="L31" s="44" t="s">
        <v>461</v>
      </c>
      <c r="M31" s="44"/>
      <c r="Q31" s="91" t="s">
        <v>2218</v>
      </c>
      <c r="R31" s="94" t="s">
        <v>2218</v>
      </c>
      <c r="T31" s="365" t="b" cm="1">
        <f t="array" ref="T31">T30</f>
        <v>0</v>
      </c>
      <c r="X31" s="1075"/>
      <c r="Z31" s="1065"/>
      <c r="AB31" s="152" t="s">
        <v>1337</v>
      </c>
      <c r="AC31" s="153" t="s">
        <v>1934</v>
      </c>
      <c r="AD31" s="28" t="s">
        <v>804</v>
      </c>
      <c r="AE31" s="190">
        <f ca="1">SUM(AE32,AE33)</f>
        <v>0</v>
      </c>
      <c r="AF31" s="190">
        <f ca="1">SUM(AF32,AF33)</f>
        <v>0</v>
      </c>
      <c r="AG31" s="190">
        <f ca="1">SUM(AG32,AG33)</f>
        <v>0</v>
      </c>
      <c r="AH31" s="190">
        <f t="shared" ca="1" si="3"/>
        <v>0</v>
      </c>
      <c r="AI31" s="952">
        <f>SUM(AI32,AI33)</f>
        <v>0</v>
      </c>
      <c r="AJ31" s="785"/>
      <c r="AK31" s="552"/>
      <c r="AL31" s="552"/>
      <c r="AM31" s="552"/>
      <c r="AN31" s="552"/>
      <c r="AO31" s="552"/>
      <c r="AP31" s="552"/>
      <c r="AQ31" s="552"/>
      <c r="AR31" s="552"/>
      <c r="AS31" s="552"/>
      <c r="AT31" s="552"/>
      <c r="AU31" s="552"/>
      <c r="AV31" s="552"/>
      <c r="AW31" s="552"/>
      <c r="AX31" s="552"/>
      <c r="AY31" s="552"/>
      <c r="AZ31" s="552"/>
      <c r="BA31" s="552"/>
      <c r="BB31" s="552"/>
      <c r="BC31" s="552"/>
      <c r="BD31" s="552"/>
      <c r="BE31" s="552"/>
      <c r="BF31" s="552"/>
      <c r="BG31" s="552"/>
      <c r="BH31" s="552"/>
      <c r="BI31" s="552"/>
      <c r="BJ31" s="552"/>
      <c r="BK31" s="552"/>
      <c r="BL31" s="552"/>
      <c r="BM31" s="552"/>
      <c r="BN31" s="784"/>
      <c r="BO31" s="784"/>
      <c r="BP31" s="784"/>
      <c r="BQ31" s="47"/>
      <c r="BS31" s="704" t="s">
        <v>1723</v>
      </c>
    </row>
    <row r="32" spans="1:75" ht="14.65" hidden="1" customHeight="1">
      <c r="E32" s="518">
        <v>15</v>
      </c>
      <c r="F32" s="3" cm="1">
        <f t="array" aca="1" ref="F32" ca="1">OFFSET(E32,-1,1)</f>
        <v>0</v>
      </c>
      <c r="H32" s="290"/>
      <c r="I32" s="290" t="s">
        <v>1935</v>
      </c>
      <c r="K32" s="290" t="s">
        <v>1935</v>
      </c>
      <c r="L32" s="44" t="s">
        <v>1008</v>
      </c>
      <c r="M32" s="44"/>
      <c r="Q32" s="91" t="s">
        <v>2218</v>
      </c>
      <c r="R32" s="94" t="s">
        <v>2218</v>
      </c>
      <c r="T32" s="365" t="b" cm="1">
        <f t="array" ref="T32">T31</f>
        <v>0</v>
      </c>
      <c r="X32" s="1075"/>
      <c r="Z32" s="1065"/>
      <c r="AB32" s="152" t="s">
        <v>1936</v>
      </c>
      <c r="AC32" s="553" t="s">
        <v>1726</v>
      </c>
      <c r="AD32" s="28" t="s">
        <v>804</v>
      </c>
      <c r="AE32" s="190">
        <f ca="1">SUMIFS('Сырье и материалы'!AE$25:AE$96,'Сырье и материалы'!$F$25:$F$96,$F32,'Сырье и материалы'!$I$25:$I$96,"Горюче-смазочные материалы")</f>
        <v>0</v>
      </c>
      <c r="AF32" s="190">
        <f ca="1">SUMIFS('Сырье и материалы'!AF$25:AF$96,'Сырье и материалы'!$F$25:$F$96,$F32,'Сырье и материалы'!$I$25:$I$96,"Горюче-смазочные материалы")</f>
        <v>0</v>
      </c>
      <c r="AG32" s="190">
        <f ca="1">SUMIFS('Сырье и материалы'!AG$25:AG$96,'Сырье и материалы'!$F$25:$F$96,$F32,'Сырье и материалы'!$I$25:$I$96,"Горюче-смазочные материалы")</f>
        <v>0</v>
      </c>
      <c r="AH32" s="190">
        <f t="shared" ca="1" si="3"/>
        <v>0</v>
      </c>
      <c r="AI32" s="952"/>
      <c r="AJ32" s="785"/>
      <c r="AK32" s="552"/>
      <c r="AL32" s="552"/>
      <c r="AM32" s="552"/>
      <c r="AN32" s="552"/>
      <c r="AO32" s="552"/>
      <c r="AP32" s="552"/>
      <c r="AQ32" s="552"/>
      <c r="AR32" s="552"/>
      <c r="AS32" s="552"/>
      <c r="AT32" s="552"/>
      <c r="AU32" s="552"/>
      <c r="AV32" s="552"/>
      <c r="AW32" s="552"/>
      <c r="AX32" s="552"/>
      <c r="AY32" s="552"/>
      <c r="AZ32" s="552"/>
      <c r="BA32" s="552"/>
      <c r="BB32" s="552"/>
      <c r="BC32" s="552"/>
      <c r="BD32" s="552"/>
      <c r="BE32" s="552"/>
      <c r="BF32" s="552"/>
      <c r="BG32" s="552"/>
      <c r="BH32" s="552"/>
      <c r="BI32" s="552"/>
      <c r="BJ32" s="552"/>
      <c r="BK32" s="552"/>
      <c r="BL32" s="552"/>
      <c r="BM32" s="552"/>
      <c r="BN32" s="784"/>
      <c r="BO32" s="784"/>
      <c r="BP32" s="784"/>
      <c r="BS32" s="703" t="s">
        <v>1727</v>
      </c>
    </row>
    <row r="33" spans="2:75" ht="14.65" hidden="1" customHeight="1">
      <c r="E33" s="518">
        <v>15</v>
      </c>
      <c r="F33" s="3" cm="1">
        <f t="array" aca="1" ref="F33" ca="1">OFFSET(E33,-1,1)</f>
        <v>0</v>
      </c>
      <c r="H33" s="290"/>
      <c r="I33" s="290" t="s">
        <v>1937</v>
      </c>
      <c r="K33" s="290" t="s">
        <v>1937</v>
      </c>
      <c r="L33" s="44" t="s">
        <v>1311</v>
      </c>
      <c r="M33" s="44"/>
      <c r="Q33" s="91" t="s">
        <v>2218</v>
      </c>
      <c r="R33" s="94" t="s">
        <v>2218</v>
      </c>
      <c r="T33" s="365" t="b" cm="1">
        <f t="array" ref="T33">T32</f>
        <v>0</v>
      </c>
      <c r="X33" s="1075"/>
      <c r="Z33" s="1065"/>
      <c r="AB33" s="152" t="s">
        <v>1938</v>
      </c>
      <c r="AC33" s="553" t="s">
        <v>1728</v>
      </c>
      <c r="AD33" s="28" t="s">
        <v>804</v>
      </c>
      <c r="AE33" s="190">
        <f ca="1">SUMIFS('Сырье и материалы'!AE$25:AE$96,'Сырье и материалы'!$F$25:$F$96,$F33,'Сырье и материалы'!$I$25:$I$96,"Материалы")</f>
        <v>0</v>
      </c>
      <c r="AF33" s="190">
        <f ca="1">SUMIFS('Сырье и материалы'!AF$25:AF$96,'Сырье и материалы'!$F$25:$F$96,$F33,'Сырье и материалы'!$I$25:$I$96,"Материалы")</f>
        <v>0</v>
      </c>
      <c r="AG33" s="190">
        <f ca="1">SUMIFS('Сырье и материалы'!AG$25:AG$96,'Сырье и материалы'!$F$25:$F$96,$F33,'Сырье и материалы'!$I$25:$I$96,"Материалы")</f>
        <v>0</v>
      </c>
      <c r="AH33" s="190">
        <f t="shared" ca="1" si="3"/>
        <v>0</v>
      </c>
      <c r="AI33" s="952"/>
      <c r="AJ33" s="785"/>
      <c r="AK33" s="552"/>
      <c r="AL33" s="552"/>
      <c r="AM33" s="552"/>
      <c r="AN33" s="552"/>
      <c r="AO33" s="552"/>
      <c r="AP33" s="552"/>
      <c r="AQ33" s="552"/>
      <c r="AR33" s="552"/>
      <c r="AS33" s="552"/>
      <c r="AT33" s="552"/>
      <c r="AU33" s="552"/>
      <c r="AV33" s="552"/>
      <c r="AW33" s="552"/>
      <c r="AX33" s="552"/>
      <c r="AY33" s="552"/>
      <c r="AZ33" s="552"/>
      <c r="BA33" s="552"/>
      <c r="BB33" s="552"/>
      <c r="BC33" s="552"/>
      <c r="BD33" s="552"/>
      <c r="BE33" s="552"/>
      <c r="BF33" s="552"/>
      <c r="BG33" s="552"/>
      <c r="BH33" s="552"/>
      <c r="BI33" s="552"/>
      <c r="BJ33" s="552"/>
      <c r="BK33" s="552"/>
      <c r="BL33" s="552"/>
      <c r="BM33" s="552"/>
      <c r="BN33" s="784"/>
      <c r="BO33" s="784"/>
      <c r="BP33" s="784"/>
      <c r="BS33" s="703" t="s">
        <v>1729</v>
      </c>
    </row>
    <row r="34" spans="2:75" ht="21.95" hidden="1" customHeight="1">
      <c r="E34" s="518">
        <v>22.5</v>
      </c>
      <c r="F34" s="3" cm="1">
        <f t="array" aca="1" ref="F34" ca="1">OFFSET(E34,-1,1)</f>
        <v>0</v>
      </c>
      <c r="H34" s="290"/>
      <c r="I34" s="290" t="s">
        <v>1339</v>
      </c>
      <c r="K34" s="290" t="s">
        <v>1339</v>
      </c>
      <c r="L34" s="44" t="s">
        <v>468</v>
      </c>
      <c r="M34" s="44"/>
      <c r="Q34" s="91" t="s">
        <v>2218</v>
      </c>
      <c r="R34" s="94" t="s">
        <v>2218</v>
      </c>
      <c r="T34" s="365" t="b" cm="1">
        <f t="array" ref="T34">T33</f>
        <v>0</v>
      </c>
      <c r="X34" s="1075"/>
      <c r="Z34" s="1065"/>
      <c r="AB34" s="152" t="s">
        <v>1340</v>
      </c>
      <c r="AC34" s="153" t="s">
        <v>1939</v>
      </c>
      <c r="AD34" s="28" t="s">
        <v>804</v>
      </c>
      <c r="AE34" s="787"/>
      <c r="AF34" s="787"/>
      <c r="AG34" s="787"/>
      <c r="AH34" s="190">
        <f t="shared" si="3"/>
        <v>0</v>
      </c>
      <c r="AI34" s="952"/>
      <c r="AJ34" s="785"/>
      <c r="AK34" s="552"/>
      <c r="AL34" s="552"/>
      <c r="AM34" s="552"/>
      <c r="AN34" s="552"/>
      <c r="AO34" s="552"/>
      <c r="AP34" s="552"/>
      <c r="AQ34" s="552"/>
      <c r="AR34" s="552"/>
      <c r="AS34" s="552"/>
      <c r="AT34" s="552"/>
      <c r="AU34" s="552"/>
      <c r="AV34" s="552"/>
      <c r="AW34" s="552"/>
      <c r="AX34" s="552"/>
      <c r="AY34" s="552"/>
      <c r="AZ34" s="552"/>
      <c r="BA34" s="552"/>
      <c r="BB34" s="552"/>
      <c r="BC34" s="552"/>
      <c r="BD34" s="552"/>
      <c r="BE34" s="552"/>
      <c r="BF34" s="552"/>
      <c r="BG34" s="552"/>
      <c r="BH34" s="552"/>
      <c r="BI34" s="552"/>
      <c r="BJ34" s="552"/>
      <c r="BK34" s="552"/>
      <c r="BL34" s="552"/>
      <c r="BM34" s="552"/>
      <c r="BN34" s="784"/>
      <c r="BO34" s="784"/>
      <c r="BP34" s="784"/>
      <c r="BS34" s="704" t="s">
        <v>1754</v>
      </c>
    </row>
    <row r="35" spans="2:75" ht="21.95" hidden="1" customHeight="1">
      <c r="E35" s="518">
        <v>22.5</v>
      </c>
      <c r="F35" s="3" cm="1">
        <f t="array" aca="1" ref="F35" ca="1">OFFSET(E35,-1,1)</f>
        <v>0</v>
      </c>
      <c r="H35" s="290"/>
      <c r="I35" s="290" t="s">
        <v>1343</v>
      </c>
      <c r="K35" s="290" t="s">
        <v>1343</v>
      </c>
      <c r="L35" s="44" t="s">
        <v>472</v>
      </c>
      <c r="M35" s="44"/>
      <c r="Q35" s="91" t="s">
        <v>2218</v>
      </c>
      <c r="R35" s="94" t="s">
        <v>2218</v>
      </c>
      <c r="T35" s="365" t="b" cm="1">
        <f t="array" ref="T35">T34</f>
        <v>0</v>
      </c>
      <c r="X35" s="1075"/>
      <c r="Z35" s="1065"/>
      <c r="AB35" s="152" t="s">
        <v>1344</v>
      </c>
      <c r="AC35" s="153" t="s">
        <v>1940</v>
      </c>
      <c r="AD35" s="28" t="s">
        <v>804</v>
      </c>
      <c r="AE35" s="190">
        <f ca="1">AE36+AE37</f>
        <v>0</v>
      </c>
      <c r="AF35" s="190">
        <f ca="1">AF36+AF37</f>
        <v>0</v>
      </c>
      <c r="AG35" s="190">
        <f ca="1">AG36+AG37</f>
        <v>0</v>
      </c>
      <c r="AH35" s="190">
        <f t="shared" ca="1" si="3"/>
        <v>0</v>
      </c>
      <c r="AI35" s="952">
        <f ca="1">AI36+AI37</f>
        <v>0</v>
      </c>
      <c r="AJ35" s="785"/>
      <c r="AK35" s="552"/>
      <c r="AL35" s="552"/>
      <c r="AM35" s="552"/>
      <c r="AN35" s="552"/>
      <c r="AO35" s="552"/>
      <c r="AP35" s="552"/>
      <c r="AQ35" s="552"/>
      <c r="AR35" s="552"/>
      <c r="AS35" s="552"/>
      <c r="AT35" s="552"/>
      <c r="AU35" s="552"/>
      <c r="AV35" s="552"/>
      <c r="AW35" s="552"/>
      <c r="AX35" s="552"/>
      <c r="AY35" s="552"/>
      <c r="AZ35" s="552"/>
      <c r="BA35" s="552"/>
      <c r="BB35" s="552"/>
      <c r="BC35" s="552"/>
      <c r="BD35" s="552"/>
      <c r="BE35" s="552"/>
      <c r="BF35" s="552"/>
      <c r="BG35" s="552"/>
      <c r="BH35" s="552"/>
      <c r="BI35" s="552"/>
      <c r="BJ35" s="552"/>
      <c r="BK35" s="552"/>
      <c r="BL35" s="552"/>
      <c r="BM35" s="552"/>
      <c r="BN35" s="784"/>
      <c r="BO35" s="784"/>
      <c r="BP35" s="784"/>
      <c r="BS35" s="704" t="s">
        <v>1941</v>
      </c>
    </row>
    <row r="36" spans="2:75" ht="14.65" hidden="1" customHeight="1">
      <c r="E36" s="518">
        <v>15</v>
      </c>
      <c r="F36" s="3" cm="1">
        <f t="array" aca="1" ref="F36" ca="1">OFFSET(E36,-1,1)</f>
        <v>0</v>
      </c>
      <c r="G36" s="266" t="s">
        <v>1156</v>
      </c>
      <c r="H36" s="290"/>
      <c r="I36" s="290" t="s">
        <v>1487</v>
      </c>
      <c r="K36" s="290" t="s">
        <v>1487</v>
      </c>
      <c r="L36" s="44" t="s">
        <v>1363</v>
      </c>
      <c r="M36" s="44"/>
      <c r="Q36" s="91" t="s">
        <v>2218</v>
      </c>
      <c r="R36" s="94" t="s">
        <v>2218</v>
      </c>
      <c r="T36" s="365" t="b" cm="1">
        <f t="array" ref="T36">T35</f>
        <v>0</v>
      </c>
      <c r="X36" s="1075"/>
      <c r="Z36" s="1065"/>
      <c r="AB36" s="152" t="s">
        <v>1942</v>
      </c>
      <c r="AC36" s="553" t="s">
        <v>1757</v>
      </c>
      <c r="AD36" s="28" t="s">
        <v>804</v>
      </c>
      <c r="AE36" s="787"/>
      <c r="AF36" s="787"/>
      <c r="AG36" s="787"/>
      <c r="AH36" s="190">
        <f t="shared" si="3"/>
        <v>0</v>
      </c>
      <c r="AI36" s="952"/>
      <c r="AJ36" s="785"/>
      <c r="AK36" s="552"/>
      <c r="AL36" s="552"/>
      <c r="AM36" s="552"/>
      <c r="AN36" s="552"/>
      <c r="AO36" s="552"/>
      <c r="AP36" s="552"/>
      <c r="AQ36" s="552"/>
      <c r="AR36" s="552"/>
      <c r="AS36" s="552"/>
      <c r="AT36" s="552"/>
      <c r="AU36" s="552"/>
      <c r="AV36" s="552"/>
      <c r="AW36" s="552"/>
      <c r="AX36" s="552"/>
      <c r="AY36" s="552"/>
      <c r="AZ36" s="552"/>
      <c r="BA36" s="552"/>
      <c r="BB36" s="552"/>
      <c r="BC36" s="552"/>
      <c r="BD36" s="552"/>
      <c r="BE36" s="552"/>
      <c r="BF36" s="552"/>
      <c r="BG36" s="552"/>
      <c r="BH36" s="552"/>
      <c r="BI36" s="552"/>
      <c r="BJ36" s="552"/>
      <c r="BK36" s="552"/>
      <c r="BL36" s="552"/>
      <c r="BM36" s="552"/>
      <c r="BN36" s="784"/>
      <c r="BO36" s="788" t="str">
        <f ca="1">IF(IFERROR(INDEX(ФОТ!$K$26:$L$102,MATCH($F36&amp;"1komm",ФОТ!$K$26:$K$102,0),2),"")=0,"",IFERROR(INDEX(ФОТ!$K$26:$L$102,MATCH($F36&amp;"1komm",ФОТ!$K$26:$K$102,0),2),""))</f>
        <v/>
      </c>
      <c r="BP36" s="784"/>
      <c r="BS36" s="703" t="s">
        <v>1758</v>
      </c>
    </row>
    <row r="37" spans="2:75" ht="21.95" hidden="1" customHeight="1">
      <c r="E37" s="518">
        <v>22.5</v>
      </c>
      <c r="F37" s="3" cm="1">
        <f t="array" aca="1" ref="F37" ca="1">OFFSET(E37,-1,1)</f>
        <v>0</v>
      </c>
      <c r="G37" s="266" t="s">
        <v>1168</v>
      </c>
      <c r="H37" s="290"/>
      <c r="I37" s="290" t="s">
        <v>1491</v>
      </c>
      <c r="K37" s="290" t="s">
        <v>1491</v>
      </c>
      <c r="L37" s="44" t="s">
        <v>1364</v>
      </c>
      <c r="M37" s="44"/>
      <c r="Q37" s="91" t="s">
        <v>2218</v>
      </c>
      <c r="R37" s="94" t="s">
        <v>2218</v>
      </c>
      <c r="T37" s="365" t="b" cm="1">
        <f t="array" ref="T37">T36</f>
        <v>0</v>
      </c>
      <c r="X37" s="1075"/>
      <c r="Z37" s="1065"/>
      <c r="AB37" s="152" t="s">
        <v>1943</v>
      </c>
      <c r="AC37" s="553" t="s">
        <v>1944</v>
      </c>
      <c r="AD37" s="28" t="s">
        <v>804</v>
      </c>
      <c r="AE37" s="787">
        <f ca="1">AE36*SUMIFS(INDEX(Сценарии!$AE$25:$BF$109,,MATCH(AE$8,Сценарии!$AE$8:$BF$8,0)),Сценарии!$F$25:$F$109,$F37,Сценарии!$G$25:$G$109,"СВФОТ")/100</f>
        <v>0</v>
      </c>
      <c r="AF37" s="787">
        <f ca="1">AF36*SUMIFS(INDEX(Сценарии!$AE$25:$BF$109,,MATCH(AF$8,Сценарии!$AE$8:$BF$8,0)),Сценарии!$F$25:$F$109,$F37,Сценарии!$G$25:$G$109,"СВФОТ")/100</f>
        <v>0</v>
      </c>
      <c r="AG37" s="787">
        <f ca="1">AG36*SUMIFS(INDEX(Сценарии!$AE$25:$BF$109,,MATCH(AG$8,Сценарии!$AE$8:$BF$8,0)),Сценарии!$F$25:$F$109,$F37,Сценарии!$G$25:$G$109,"СВФОТ")/100</f>
        <v>0</v>
      </c>
      <c r="AH37" s="190">
        <f t="shared" ca="1" si="3"/>
        <v>0</v>
      </c>
      <c r="AI37" s="952">
        <f ca="1">AI36*SUMIFS(INDEX(Сценарии!$AE$25:$BF$109,,MATCH(AG$8,Сценарии!$AE$8:$BF$8,0)),Сценарии!$F$25:$F$109,$F37,Сценарии!$G$25:$G$109,"СВФОТ")/100</f>
        <v>0</v>
      </c>
      <c r="AJ37" s="785"/>
      <c r="AK37" s="552"/>
      <c r="AL37" s="552"/>
      <c r="AM37" s="552"/>
      <c r="AN37" s="552"/>
      <c r="AO37" s="552"/>
      <c r="AP37" s="552"/>
      <c r="AQ37" s="552"/>
      <c r="AR37" s="552"/>
      <c r="AS37" s="552"/>
      <c r="AT37" s="552"/>
      <c r="AU37" s="552"/>
      <c r="AV37" s="552"/>
      <c r="AW37" s="552"/>
      <c r="AX37" s="552"/>
      <c r="AY37" s="552"/>
      <c r="AZ37" s="552"/>
      <c r="BA37" s="552"/>
      <c r="BB37" s="552"/>
      <c r="BC37" s="552"/>
      <c r="BD37" s="552"/>
      <c r="BE37" s="552"/>
      <c r="BF37" s="552"/>
      <c r="BG37" s="552"/>
      <c r="BH37" s="552"/>
      <c r="BI37" s="552"/>
      <c r="BJ37" s="552"/>
      <c r="BK37" s="552"/>
      <c r="BL37" s="552"/>
      <c r="BM37" s="552"/>
      <c r="BN37" s="784"/>
      <c r="BO37" s="788" t="str">
        <f ca="1">IF(IFERROR(INDEX(ФОТ!$K$26:$L$102,MATCH($F37&amp;"2komm",ФОТ!$K$26:$K$102,0),2),"")=0,"",IFERROR(INDEX(ФОТ!$K$26:$L$102,MATCH($F37&amp;"2komm",ФОТ!$K$26:$K$102,0),2),""))</f>
        <v/>
      </c>
      <c r="BP37" s="784"/>
      <c r="BS37" s="703" t="s">
        <v>1760</v>
      </c>
    </row>
    <row r="38" spans="2:75" ht="14.65" hidden="1" customHeight="1">
      <c r="E38" s="518">
        <v>15</v>
      </c>
      <c r="F38" s="3" cm="1">
        <f t="array" aca="1" ref="F38" ca="1">OFFSET(E38,-1,1)</f>
        <v>0</v>
      </c>
      <c r="H38" s="290"/>
      <c r="I38" s="290" t="s">
        <v>1502</v>
      </c>
      <c r="K38" s="290" t="s">
        <v>1502</v>
      </c>
      <c r="L38" s="44" t="s">
        <v>1762</v>
      </c>
      <c r="M38" s="44"/>
      <c r="Q38" s="91" t="s">
        <v>2218</v>
      </c>
      <c r="R38" s="94" t="s">
        <v>2218</v>
      </c>
      <c r="T38" s="365" t="b" cm="1">
        <f t="array" ref="T38">T37</f>
        <v>0</v>
      </c>
      <c r="X38" s="1075"/>
      <c r="Z38" s="1065"/>
      <c r="AB38" s="152" t="s">
        <v>1736</v>
      </c>
      <c r="AC38" s="153" t="s">
        <v>1945</v>
      </c>
      <c r="AD38" s="28" t="s">
        <v>804</v>
      </c>
      <c r="AE38" s="787"/>
      <c r="AF38" s="787"/>
      <c r="AG38" s="787"/>
      <c r="AH38" s="190">
        <f t="shared" si="3"/>
        <v>0</v>
      </c>
      <c r="AI38" s="952"/>
      <c r="AJ38" s="785"/>
      <c r="AK38" s="552"/>
      <c r="AL38" s="552"/>
      <c r="AM38" s="552"/>
      <c r="AN38" s="552"/>
      <c r="AO38" s="552"/>
      <c r="AP38" s="552"/>
      <c r="AQ38" s="552"/>
      <c r="AR38" s="552"/>
      <c r="AS38" s="552"/>
      <c r="AT38" s="552"/>
      <c r="AU38" s="552"/>
      <c r="AV38" s="552"/>
      <c r="AW38" s="552"/>
      <c r="AX38" s="552"/>
      <c r="AY38" s="552"/>
      <c r="AZ38" s="552"/>
      <c r="BA38" s="552"/>
      <c r="BB38" s="552"/>
      <c r="BC38" s="552"/>
      <c r="BD38" s="552"/>
      <c r="BE38" s="552"/>
      <c r="BF38" s="552"/>
      <c r="BG38" s="552"/>
      <c r="BH38" s="552"/>
      <c r="BI38" s="552"/>
      <c r="BJ38" s="552"/>
      <c r="BK38" s="552"/>
      <c r="BL38" s="552"/>
      <c r="BM38" s="552"/>
      <c r="BN38" s="784"/>
      <c r="BO38" s="784"/>
      <c r="BP38" s="784"/>
      <c r="BS38" s="704" t="s">
        <v>1765</v>
      </c>
    </row>
    <row r="39" spans="2:75" ht="14.65" hidden="1" customHeight="1">
      <c r="E39" s="518">
        <v>15</v>
      </c>
      <c r="F39" s="3" cm="1">
        <f t="array" aca="1" ref="F39" ca="1">OFFSET(E39,-1,1)</f>
        <v>0</v>
      </c>
      <c r="H39" s="290"/>
      <c r="I39" s="290" t="s">
        <v>1506</v>
      </c>
      <c r="K39" s="290" t="s">
        <v>1506</v>
      </c>
      <c r="L39" s="44" t="s">
        <v>1766</v>
      </c>
      <c r="Q39" s="91" t="s">
        <v>2218</v>
      </c>
      <c r="R39" s="94" t="s">
        <v>2218</v>
      </c>
      <c r="T39" s="365" t="b" cm="1">
        <f t="array" ref="T39">T38</f>
        <v>0</v>
      </c>
      <c r="X39" s="1075"/>
      <c r="Z39" s="1065"/>
      <c r="AB39" s="152" t="s">
        <v>1738</v>
      </c>
      <c r="AC39" s="153" t="s">
        <v>1946</v>
      </c>
      <c r="AD39" s="26" t="s">
        <v>804</v>
      </c>
      <c r="AE39" s="190">
        <f>SUM(AE40:AE46)</f>
        <v>0</v>
      </c>
      <c r="AF39" s="190">
        <f>SUM(AF40:AF46)</f>
        <v>0</v>
      </c>
      <c r="AG39" s="190">
        <f>SUM(AG40:AG46)</f>
        <v>0</v>
      </c>
      <c r="AH39" s="190">
        <f t="shared" si="3"/>
        <v>0</v>
      </c>
      <c r="AI39" s="952">
        <f>SUM(AI40:AI46)</f>
        <v>0</v>
      </c>
      <c r="AJ39" s="785"/>
      <c r="AK39" s="552"/>
      <c r="AL39" s="552"/>
      <c r="AM39" s="552"/>
      <c r="AN39" s="552"/>
      <c r="AO39" s="552"/>
      <c r="AP39" s="552"/>
      <c r="AQ39" s="552"/>
      <c r="AR39" s="552"/>
      <c r="AS39" s="552"/>
      <c r="AT39" s="552"/>
      <c r="AU39" s="552"/>
      <c r="AV39" s="552"/>
      <c r="AW39" s="552"/>
      <c r="AX39" s="552"/>
      <c r="AY39" s="552"/>
      <c r="AZ39" s="552"/>
      <c r="BA39" s="552"/>
      <c r="BB39" s="552"/>
      <c r="BC39" s="552"/>
      <c r="BD39" s="552"/>
      <c r="BE39" s="552"/>
      <c r="BF39" s="552"/>
      <c r="BG39" s="552"/>
      <c r="BH39" s="552"/>
      <c r="BI39" s="552"/>
      <c r="BJ39" s="552"/>
      <c r="BK39" s="552"/>
      <c r="BL39" s="552"/>
      <c r="BM39" s="552"/>
      <c r="BN39" s="784"/>
      <c r="BO39" s="784"/>
      <c r="BP39" s="784"/>
      <c r="BS39" s="704" t="s">
        <v>1947</v>
      </c>
    </row>
    <row r="40" spans="2:75" ht="14.65" hidden="1" customHeight="1">
      <c r="E40" s="518">
        <v>15</v>
      </c>
      <c r="F40" s="3" cm="1">
        <f t="array" aca="1" ref="F40" ca="1">OFFSET(E40,-1,1)</f>
        <v>0</v>
      </c>
      <c r="H40" s="290"/>
      <c r="I40" s="290" t="s">
        <v>1948</v>
      </c>
      <c r="K40" s="290" t="s">
        <v>1948</v>
      </c>
      <c r="L40" s="44" t="s">
        <v>1766</v>
      </c>
      <c r="M40" s="44" t="s">
        <v>1774</v>
      </c>
      <c r="Q40" s="91" t="s">
        <v>2218</v>
      </c>
      <c r="R40" s="94" t="s">
        <v>2218</v>
      </c>
      <c r="T40" s="365" t="b" cm="1">
        <f t="array" ref="T40">T39</f>
        <v>0</v>
      </c>
      <c r="X40" s="1075"/>
      <c r="Z40" s="1065"/>
      <c r="AB40" s="152" t="s">
        <v>1949</v>
      </c>
      <c r="AC40" s="553" t="s">
        <v>1950</v>
      </c>
      <c r="AD40" s="26" t="s">
        <v>804</v>
      </c>
      <c r="AE40" s="787"/>
      <c r="AF40" s="787"/>
      <c r="AG40" s="787"/>
      <c r="AH40" s="190">
        <f t="shared" si="3"/>
        <v>0</v>
      </c>
      <c r="AI40" s="952"/>
      <c r="AJ40" s="785"/>
      <c r="AK40" s="552"/>
      <c r="AL40" s="552"/>
      <c r="AM40" s="552"/>
      <c r="AN40" s="552"/>
      <c r="AO40" s="552"/>
      <c r="AP40" s="552"/>
      <c r="AQ40" s="552"/>
      <c r="AR40" s="552"/>
      <c r="AS40" s="552"/>
      <c r="AT40" s="552"/>
      <c r="AU40" s="552"/>
      <c r="AV40" s="552"/>
      <c r="AW40" s="552"/>
      <c r="AX40" s="552"/>
      <c r="AY40" s="552"/>
      <c r="AZ40" s="552"/>
      <c r="BA40" s="552"/>
      <c r="BB40" s="552"/>
      <c r="BC40" s="552"/>
      <c r="BD40" s="552"/>
      <c r="BE40" s="552"/>
      <c r="BF40" s="552"/>
      <c r="BG40" s="552"/>
      <c r="BH40" s="552"/>
      <c r="BI40" s="552"/>
      <c r="BJ40" s="552"/>
      <c r="BK40" s="552"/>
      <c r="BL40" s="552"/>
      <c r="BM40" s="552"/>
      <c r="BN40" s="784"/>
      <c r="BO40" s="784"/>
      <c r="BP40" s="784"/>
      <c r="BS40" s="703" t="s">
        <v>1777</v>
      </c>
    </row>
    <row r="41" spans="2:75" ht="21.95" hidden="1" customHeight="1">
      <c r="E41" s="518">
        <v>22.5</v>
      </c>
      <c r="F41" s="3" cm="1">
        <f t="array" aca="1" ref="F41" ca="1">OFFSET(E41,-1,1)</f>
        <v>0</v>
      </c>
      <c r="H41" s="290"/>
      <c r="I41" s="290" t="s">
        <v>1951</v>
      </c>
      <c r="K41" s="290" t="s">
        <v>1951</v>
      </c>
      <c r="L41" s="44" t="s">
        <v>1766</v>
      </c>
      <c r="M41" s="44" t="s">
        <v>1770</v>
      </c>
      <c r="Q41" s="91" t="s">
        <v>2218</v>
      </c>
      <c r="R41" s="94" t="s">
        <v>2218</v>
      </c>
      <c r="T41" s="365" t="b" cm="1">
        <f t="array" ref="T41">T40</f>
        <v>0</v>
      </c>
      <c r="X41" s="1075"/>
      <c r="Z41" s="1065"/>
      <c r="AB41" s="152" t="s">
        <v>1952</v>
      </c>
      <c r="AC41" s="553" t="s">
        <v>1953</v>
      </c>
      <c r="AD41" s="26" t="s">
        <v>804</v>
      </c>
      <c r="AE41" s="787"/>
      <c r="AF41" s="787"/>
      <c r="AG41" s="787"/>
      <c r="AH41" s="190">
        <f t="shared" si="3"/>
        <v>0</v>
      </c>
      <c r="AI41" s="952"/>
      <c r="AJ41" s="785"/>
      <c r="AK41" s="552"/>
      <c r="AL41" s="552"/>
      <c r="AM41" s="552"/>
      <c r="AN41" s="552"/>
      <c r="AO41" s="552"/>
      <c r="AP41" s="552"/>
      <c r="AQ41" s="552"/>
      <c r="AR41" s="552"/>
      <c r="AS41" s="552"/>
      <c r="AT41" s="552"/>
      <c r="AU41" s="552"/>
      <c r="AV41" s="552"/>
      <c r="AW41" s="552"/>
      <c r="AX41" s="552"/>
      <c r="AY41" s="552"/>
      <c r="AZ41" s="552"/>
      <c r="BA41" s="552"/>
      <c r="BB41" s="552"/>
      <c r="BC41" s="552"/>
      <c r="BD41" s="552"/>
      <c r="BE41" s="552"/>
      <c r="BF41" s="552"/>
      <c r="BG41" s="552"/>
      <c r="BH41" s="552"/>
      <c r="BI41" s="552"/>
      <c r="BJ41" s="552"/>
      <c r="BK41" s="552"/>
      <c r="BL41" s="552"/>
      <c r="BM41" s="552"/>
      <c r="BN41" s="784"/>
      <c r="BO41" s="784"/>
      <c r="BP41" s="784"/>
      <c r="BS41" s="705" t="s">
        <v>1954</v>
      </c>
    </row>
    <row r="42" spans="2:75" ht="21.95" hidden="1" customHeight="1">
      <c r="E42" s="518">
        <v>22.5</v>
      </c>
      <c r="F42" s="3" cm="1">
        <f t="array" aca="1" ref="F42" ca="1">OFFSET(E42,-1,1)</f>
        <v>0</v>
      </c>
      <c r="H42" s="290"/>
      <c r="I42" s="290" t="s">
        <v>1955</v>
      </c>
      <c r="K42" s="290" t="s">
        <v>1955</v>
      </c>
      <c r="Q42" s="91" t="s">
        <v>2218</v>
      </c>
      <c r="R42" s="94" t="s">
        <v>2218</v>
      </c>
      <c r="T42" s="365" t="b" cm="1">
        <f t="array" ref="T42">T41</f>
        <v>0</v>
      </c>
      <c r="X42" s="1075"/>
      <c r="Z42" s="1065"/>
      <c r="AB42" s="152" t="s">
        <v>1956</v>
      </c>
      <c r="AC42" s="554" t="s">
        <v>1957</v>
      </c>
      <c r="AD42" s="26" t="s">
        <v>804</v>
      </c>
      <c r="AE42" s="787"/>
      <c r="AF42" s="787"/>
      <c r="AG42" s="787"/>
      <c r="AH42" s="190">
        <f t="shared" si="3"/>
        <v>0</v>
      </c>
      <c r="AI42" s="952"/>
      <c r="AJ42" s="785"/>
      <c r="AK42" s="552"/>
      <c r="AL42" s="552"/>
      <c r="AM42" s="552"/>
      <c r="AN42" s="552"/>
      <c r="AO42" s="552"/>
      <c r="AP42" s="552"/>
      <c r="AQ42" s="552"/>
      <c r="AR42" s="552"/>
      <c r="AS42" s="552"/>
      <c r="AT42" s="552"/>
      <c r="AU42" s="552"/>
      <c r="AV42" s="552"/>
      <c r="AW42" s="552"/>
      <c r="AX42" s="552"/>
      <c r="AY42" s="552"/>
      <c r="AZ42" s="552"/>
      <c r="BA42" s="552"/>
      <c r="BB42" s="552"/>
      <c r="BC42" s="552"/>
      <c r="BD42" s="552"/>
      <c r="BE42" s="552"/>
      <c r="BF42" s="552"/>
      <c r="BG42" s="552"/>
      <c r="BH42" s="552"/>
      <c r="BI42" s="552"/>
      <c r="BJ42" s="552"/>
      <c r="BK42" s="552"/>
      <c r="BL42" s="552"/>
      <c r="BM42" s="552"/>
      <c r="BN42" s="784"/>
      <c r="BO42" s="784"/>
      <c r="BP42" s="784"/>
      <c r="BS42" s="705" t="s">
        <v>1958</v>
      </c>
    </row>
    <row r="43" spans="2:75" ht="21.95" hidden="1" customHeight="1">
      <c r="E43" s="518">
        <v>22.5</v>
      </c>
      <c r="F43" s="3" cm="1">
        <f t="array" aca="1" ref="F43" ca="1">OFFSET(E43,-1,1)</f>
        <v>0</v>
      </c>
      <c r="H43" s="290"/>
      <c r="I43" s="290" t="s">
        <v>1959</v>
      </c>
      <c r="K43" s="290" t="s">
        <v>1959</v>
      </c>
      <c r="L43" s="44"/>
      <c r="Q43" s="91" t="s">
        <v>2218</v>
      </c>
      <c r="R43" s="94" t="s">
        <v>2218</v>
      </c>
      <c r="T43" s="365" t="b" cm="1">
        <f t="array" ref="T43">T42</f>
        <v>0</v>
      </c>
      <c r="X43" s="1075"/>
      <c r="Z43" s="1065"/>
      <c r="AB43" s="152" t="s">
        <v>1960</v>
      </c>
      <c r="AC43" s="554" t="s">
        <v>1961</v>
      </c>
      <c r="AD43" s="26" t="s">
        <v>804</v>
      </c>
      <c r="AE43" s="787"/>
      <c r="AF43" s="787"/>
      <c r="AG43" s="787"/>
      <c r="AH43" s="190">
        <f t="shared" si="3"/>
        <v>0</v>
      </c>
      <c r="AI43" s="952"/>
      <c r="AJ43" s="785"/>
      <c r="AK43" s="552"/>
      <c r="AL43" s="552"/>
      <c r="AM43" s="552"/>
      <c r="AN43" s="552"/>
      <c r="AO43" s="552"/>
      <c r="AP43" s="552"/>
      <c r="AQ43" s="552"/>
      <c r="AR43" s="552"/>
      <c r="AS43" s="552"/>
      <c r="AT43" s="552"/>
      <c r="AU43" s="552"/>
      <c r="AV43" s="552"/>
      <c r="AW43" s="552"/>
      <c r="AX43" s="552"/>
      <c r="AY43" s="552"/>
      <c r="AZ43" s="552"/>
      <c r="BA43" s="552"/>
      <c r="BB43" s="552"/>
      <c r="BC43" s="552"/>
      <c r="BD43" s="552"/>
      <c r="BE43" s="552"/>
      <c r="BF43" s="552"/>
      <c r="BG43" s="552"/>
      <c r="BH43" s="552"/>
      <c r="BI43" s="552"/>
      <c r="BJ43" s="552"/>
      <c r="BK43" s="552"/>
      <c r="BL43" s="552"/>
      <c r="BM43" s="552"/>
      <c r="BN43" s="784"/>
      <c r="BO43" s="784"/>
      <c r="BP43" s="784"/>
      <c r="BS43" s="705" t="s">
        <v>1962</v>
      </c>
    </row>
    <row r="44" spans="2:75" ht="43.9" hidden="1" customHeight="1">
      <c r="E44" s="518">
        <v>45</v>
      </c>
      <c r="F44" s="3" cm="1">
        <f t="array" aca="1" ref="F44" ca="1">OFFSET(E44,-1,1)</f>
        <v>0</v>
      </c>
      <c r="H44" s="290"/>
      <c r="I44" s="290" t="s">
        <v>1963</v>
      </c>
      <c r="K44" s="290" t="s">
        <v>1963</v>
      </c>
      <c r="L44" s="44" t="s">
        <v>1766</v>
      </c>
      <c r="M44" s="44" t="s">
        <v>1778</v>
      </c>
      <c r="Q44" s="91" t="s">
        <v>2218</v>
      </c>
      <c r="R44" s="94" t="s">
        <v>2218</v>
      </c>
      <c r="T44" s="365" t="b" cm="1">
        <f t="array" ref="T44">T43</f>
        <v>0</v>
      </c>
      <c r="X44" s="1075"/>
      <c r="Z44" s="1065"/>
      <c r="AB44" s="152" t="s">
        <v>1964</v>
      </c>
      <c r="AC44" s="553" t="s">
        <v>1965</v>
      </c>
      <c r="AD44" s="26" t="s">
        <v>804</v>
      </c>
      <c r="AE44" s="787"/>
      <c r="AF44" s="787"/>
      <c r="AG44" s="787"/>
      <c r="AH44" s="190">
        <f t="shared" si="3"/>
        <v>0</v>
      </c>
      <c r="AI44" s="952"/>
      <c r="AJ44" s="785"/>
      <c r="AK44" s="552"/>
      <c r="AL44" s="552"/>
      <c r="AM44" s="552"/>
      <c r="AN44" s="552"/>
      <c r="AO44" s="552"/>
      <c r="AP44" s="552"/>
      <c r="AQ44" s="552"/>
      <c r="AR44" s="552"/>
      <c r="AS44" s="552"/>
      <c r="AT44" s="552"/>
      <c r="AU44" s="552"/>
      <c r="AV44" s="552"/>
      <c r="AW44" s="552"/>
      <c r="AX44" s="552"/>
      <c r="AY44" s="552"/>
      <c r="AZ44" s="552"/>
      <c r="BA44" s="552"/>
      <c r="BB44" s="552"/>
      <c r="BC44" s="552"/>
      <c r="BD44" s="552"/>
      <c r="BE44" s="552"/>
      <c r="BF44" s="552"/>
      <c r="BG44" s="552"/>
      <c r="BH44" s="552"/>
      <c r="BI44" s="552"/>
      <c r="BJ44" s="552"/>
      <c r="BK44" s="552"/>
      <c r="BL44" s="552"/>
      <c r="BM44" s="552"/>
      <c r="BN44" s="784"/>
      <c r="BO44" s="784"/>
      <c r="BP44" s="784"/>
      <c r="BS44" s="705" t="s">
        <v>1781</v>
      </c>
    </row>
    <row r="45" spans="2:75" ht="14.65" hidden="1" customHeight="1">
      <c r="E45" s="518">
        <v>15</v>
      </c>
      <c r="F45" s="3" cm="1">
        <f t="array" aca="1" ref="F45" ca="1">OFFSET(E45,-1,1)</f>
        <v>0</v>
      </c>
      <c r="H45" s="290"/>
      <c r="I45" s="290" t="s">
        <v>1966</v>
      </c>
      <c r="K45" s="290" t="s">
        <v>1966</v>
      </c>
      <c r="L45" s="44" t="s">
        <v>1766</v>
      </c>
      <c r="M45" s="44" t="s">
        <v>1782</v>
      </c>
      <c r="Q45" s="91" t="s">
        <v>2218</v>
      </c>
      <c r="R45" s="94" t="s">
        <v>2218</v>
      </c>
      <c r="T45" s="365" t="b" cm="1">
        <f t="array" ref="T45">T44</f>
        <v>0</v>
      </c>
      <c r="X45" s="1075"/>
      <c r="Z45" s="1065"/>
      <c r="AB45" s="152" t="s">
        <v>1967</v>
      </c>
      <c r="AC45" s="553" t="s">
        <v>1784</v>
      </c>
      <c r="AD45" s="26" t="s">
        <v>804</v>
      </c>
      <c r="AE45" s="787"/>
      <c r="AF45" s="787"/>
      <c r="AG45" s="787"/>
      <c r="AH45" s="190">
        <f t="shared" si="3"/>
        <v>0</v>
      </c>
      <c r="AI45" s="952"/>
      <c r="AJ45" s="785"/>
      <c r="AK45" s="552"/>
      <c r="AL45" s="552"/>
      <c r="AM45" s="552"/>
      <c r="AN45" s="552"/>
      <c r="AO45" s="552"/>
      <c r="AP45" s="552"/>
      <c r="AQ45" s="552"/>
      <c r="AR45" s="552"/>
      <c r="AS45" s="552"/>
      <c r="AT45" s="552"/>
      <c r="AU45" s="552"/>
      <c r="AV45" s="552"/>
      <c r="AW45" s="552"/>
      <c r="AX45" s="552"/>
      <c r="AY45" s="552"/>
      <c r="AZ45" s="552"/>
      <c r="BA45" s="552"/>
      <c r="BB45" s="552"/>
      <c r="BC45" s="552"/>
      <c r="BD45" s="552"/>
      <c r="BE45" s="552"/>
      <c r="BF45" s="552"/>
      <c r="BG45" s="552"/>
      <c r="BH45" s="552"/>
      <c r="BI45" s="552"/>
      <c r="BJ45" s="552"/>
      <c r="BK45" s="552"/>
      <c r="BL45" s="552"/>
      <c r="BM45" s="552"/>
      <c r="BN45" s="784"/>
      <c r="BO45" s="784"/>
      <c r="BP45" s="784"/>
      <c r="BS45" s="705" t="s">
        <v>1785</v>
      </c>
    </row>
    <row r="46" spans="2:75" ht="14.65" hidden="1" customHeight="1">
      <c r="E46" s="518">
        <v>15</v>
      </c>
      <c r="F46" s="3" cm="1">
        <f t="array" aca="1" ref="F46" ca="1">OFFSET(E46,-1,1)</f>
        <v>0</v>
      </c>
      <c r="H46" s="290"/>
      <c r="I46" s="290" t="s">
        <v>1968</v>
      </c>
      <c r="K46" s="290" t="s">
        <v>1968</v>
      </c>
      <c r="L46" s="44"/>
      <c r="M46" s="44"/>
      <c r="Q46" s="91" t="s">
        <v>2218</v>
      </c>
      <c r="R46" s="94" t="s">
        <v>2218</v>
      </c>
      <c r="T46" s="365" t="b" cm="1">
        <f t="array" ref="T46">T45</f>
        <v>0</v>
      </c>
      <c r="X46" s="1075"/>
      <c r="Z46" s="1065"/>
      <c r="AB46" s="152" t="s">
        <v>1969</v>
      </c>
      <c r="AC46" s="553" t="s">
        <v>1970</v>
      </c>
      <c r="AD46" s="26" t="s">
        <v>804</v>
      </c>
      <c r="AE46" s="787"/>
      <c r="AF46" s="787"/>
      <c r="AG46" s="787"/>
      <c r="AH46" s="190">
        <f t="shared" si="3"/>
        <v>0</v>
      </c>
      <c r="AI46" s="952"/>
      <c r="AJ46" s="785"/>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552"/>
      <c r="BN46" s="784"/>
      <c r="BO46" s="784"/>
      <c r="BP46" s="784"/>
      <c r="BS46" s="705" t="s">
        <v>1769</v>
      </c>
    </row>
    <row r="47" spans="2:75" s="95" customFormat="1" ht="20.45" hidden="1" customHeight="1">
      <c r="B47" s="344"/>
      <c r="E47" s="522">
        <v>21</v>
      </c>
      <c r="F47" s="3" cm="1">
        <f t="array" aca="1" ref="F47" ca="1">OFFSET(E47,-1,1)</f>
        <v>0</v>
      </c>
      <c r="H47" s="290"/>
      <c r="I47" s="290" t="s">
        <v>468</v>
      </c>
      <c r="K47" s="290" t="s">
        <v>468</v>
      </c>
      <c r="L47" s="46"/>
      <c r="M47" s="46"/>
      <c r="Q47" s="91" t="s">
        <v>2218</v>
      </c>
      <c r="R47" s="94" t="s">
        <v>2218</v>
      </c>
      <c r="T47" s="365" t="b" cm="1">
        <f t="array" ref="T47">T46</f>
        <v>0</v>
      </c>
      <c r="X47" s="1075"/>
      <c r="Z47" s="1065"/>
      <c r="AB47" s="150" t="s">
        <v>903</v>
      </c>
      <c r="AC47" s="276" t="s">
        <v>1788</v>
      </c>
      <c r="AD47" s="143" t="s">
        <v>804</v>
      </c>
      <c r="AE47" s="145">
        <f ca="1">AE48+AE49+AE50</f>
        <v>0</v>
      </c>
      <c r="AF47" s="145">
        <f ca="1">AF48+AF49+AF50</f>
        <v>0</v>
      </c>
      <c r="AG47" s="145">
        <f ca="1">AG48+AG49+AG50</f>
        <v>0</v>
      </c>
      <c r="AH47" s="145">
        <f t="shared" ca="1" si="3"/>
        <v>0</v>
      </c>
      <c r="AI47" s="951">
        <f>AI48+AI49+AI50</f>
        <v>0</v>
      </c>
      <c r="AJ47" s="785"/>
      <c r="AK47" s="148"/>
      <c r="AL47" s="148"/>
      <c r="AM47" s="148"/>
      <c r="AN47" s="148"/>
      <c r="AO47" s="148"/>
      <c r="AP47" s="148"/>
      <c r="AQ47" s="148"/>
      <c r="AR47" s="148"/>
      <c r="AS47" s="148"/>
      <c r="AT47" s="148"/>
      <c r="AU47" s="148"/>
      <c r="AV47" s="148"/>
      <c r="AW47" s="148"/>
      <c r="AX47" s="148"/>
      <c r="AY47" s="148"/>
      <c r="AZ47" s="148"/>
      <c r="BA47" s="148"/>
      <c r="BB47" s="148"/>
      <c r="BC47" s="148"/>
      <c r="BD47" s="148"/>
      <c r="BE47" s="148"/>
      <c r="BF47" s="148"/>
      <c r="BG47" s="148"/>
      <c r="BH47" s="148"/>
      <c r="BI47" s="148"/>
      <c r="BJ47" s="148"/>
      <c r="BK47" s="148"/>
      <c r="BL47" s="148"/>
      <c r="BM47" s="148"/>
      <c r="BN47" s="786"/>
      <c r="BO47" s="786"/>
      <c r="BP47" s="786"/>
      <c r="BS47" s="704" t="s">
        <v>1789</v>
      </c>
      <c r="BT47" s="711"/>
      <c r="BU47" s="711"/>
      <c r="BV47" s="522"/>
      <c r="BW47" s="522"/>
    </row>
    <row r="48" spans="2:75" ht="21.95" hidden="1" customHeight="1">
      <c r="E48" s="518">
        <v>22.5</v>
      </c>
      <c r="F48" s="3" cm="1">
        <f t="array" aca="1" ref="F48" ca="1">OFFSET(E48,-1,1)</f>
        <v>0</v>
      </c>
      <c r="H48" s="290"/>
      <c r="I48" s="290" t="s">
        <v>1349</v>
      </c>
      <c r="K48" s="290" t="s">
        <v>1349</v>
      </c>
      <c r="L48" s="44"/>
      <c r="M48" s="44"/>
      <c r="Q48" s="91" t="s">
        <v>2218</v>
      </c>
      <c r="R48" s="94" t="s">
        <v>2218</v>
      </c>
      <c r="T48" s="365" t="b" cm="1">
        <f t="array" ref="T48">T47</f>
        <v>0</v>
      </c>
      <c r="X48" s="1075"/>
      <c r="Z48" s="1065"/>
      <c r="AB48" s="152" t="s">
        <v>1350</v>
      </c>
      <c r="AC48" s="153" t="s">
        <v>1971</v>
      </c>
      <c r="AD48" s="26" t="s">
        <v>804</v>
      </c>
      <c r="AE48" s="787"/>
      <c r="AF48" s="787"/>
      <c r="AG48" s="787"/>
      <c r="AH48" s="190">
        <f t="shared" si="3"/>
        <v>0</v>
      </c>
      <c r="AI48" s="952"/>
      <c r="AJ48" s="785"/>
      <c r="AK48" s="552"/>
      <c r="AL48" s="552"/>
      <c r="AM48" s="552"/>
      <c r="AN48" s="552"/>
      <c r="AO48" s="552"/>
      <c r="AP48" s="552"/>
      <c r="AQ48" s="552"/>
      <c r="AR48" s="552"/>
      <c r="AS48" s="552"/>
      <c r="AT48" s="552"/>
      <c r="AU48" s="552"/>
      <c r="AV48" s="552"/>
      <c r="AW48" s="552"/>
      <c r="AX48" s="552"/>
      <c r="AY48" s="552"/>
      <c r="AZ48" s="552"/>
      <c r="BA48" s="552"/>
      <c r="BB48" s="552"/>
      <c r="BC48" s="552"/>
      <c r="BD48" s="552"/>
      <c r="BE48" s="552"/>
      <c r="BF48" s="552"/>
      <c r="BG48" s="552"/>
      <c r="BH48" s="552"/>
      <c r="BI48" s="552"/>
      <c r="BJ48" s="552"/>
      <c r="BK48" s="552"/>
      <c r="BL48" s="552"/>
      <c r="BM48" s="552"/>
      <c r="BN48" s="784"/>
      <c r="BO48" s="784"/>
      <c r="BP48" s="784"/>
      <c r="BS48" s="703" t="s">
        <v>1791</v>
      </c>
    </row>
    <row r="49" spans="2:75" ht="21.95" hidden="1" customHeight="1">
      <c r="E49" s="518">
        <v>22.5</v>
      </c>
      <c r="F49" s="3" cm="1">
        <f t="array" aca="1" ref="F49" ca="1">OFFSET(E49,-1,1)</f>
        <v>0</v>
      </c>
      <c r="H49" s="290"/>
      <c r="I49" s="290" t="s">
        <v>1353</v>
      </c>
      <c r="K49" s="290" t="s">
        <v>1353</v>
      </c>
      <c r="L49" s="44"/>
      <c r="M49" s="44"/>
      <c r="Q49" s="91" t="s">
        <v>2218</v>
      </c>
      <c r="R49" s="94" t="s">
        <v>2218</v>
      </c>
      <c r="T49" s="365" t="b" cm="1">
        <f t="array" ref="T49">T48</f>
        <v>0</v>
      </c>
      <c r="X49" s="1075"/>
      <c r="Z49" s="1065"/>
      <c r="AB49" s="152" t="s">
        <v>1354</v>
      </c>
      <c r="AC49" s="153" t="s">
        <v>1972</v>
      </c>
      <c r="AD49" s="26" t="s">
        <v>804</v>
      </c>
      <c r="AE49" s="787"/>
      <c r="AF49" s="787"/>
      <c r="AG49" s="787"/>
      <c r="AH49" s="190">
        <f t="shared" si="3"/>
        <v>0</v>
      </c>
      <c r="AI49" s="952"/>
      <c r="AJ49" s="785"/>
      <c r="AK49" s="552"/>
      <c r="AL49" s="552"/>
      <c r="AM49" s="552"/>
      <c r="AN49" s="552"/>
      <c r="AO49" s="552"/>
      <c r="AP49" s="552"/>
      <c r="AQ49" s="552"/>
      <c r="AR49" s="552"/>
      <c r="AS49" s="552"/>
      <c r="AT49" s="552"/>
      <c r="AU49" s="552"/>
      <c r="AV49" s="552"/>
      <c r="AW49" s="552"/>
      <c r="AX49" s="552"/>
      <c r="AY49" s="552"/>
      <c r="AZ49" s="552"/>
      <c r="BA49" s="552"/>
      <c r="BB49" s="552"/>
      <c r="BC49" s="552"/>
      <c r="BD49" s="552"/>
      <c r="BE49" s="552"/>
      <c r="BF49" s="552"/>
      <c r="BG49" s="552"/>
      <c r="BH49" s="552"/>
      <c r="BI49" s="552"/>
      <c r="BJ49" s="552"/>
      <c r="BK49" s="552"/>
      <c r="BL49" s="552"/>
      <c r="BM49" s="552"/>
      <c r="BN49" s="784"/>
      <c r="BO49" s="784"/>
      <c r="BP49" s="784"/>
      <c r="BS49" s="705" t="s">
        <v>1973</v>
      </c>
    </row>
    <row r="50" spans="2:75" ht="21.95" hidden="1" customHeight="1">
      <c r="E50" s="518">
        <v>22.5</v>
      </c>
      <c r="F50" s="3" cm="1">
        <f t="array" aca="1" ref="F50" ca="1">OFFSET(E50,-1,1)</f>
        <v>0</v>
      </c>
      <c r="H50" s="290"/>
      <c r="I50" s="290" t="s">
        <v>1357</v>
      </c>
      <c r="K50" s="290" t="s">
        <v>1357</v>
      </c>
      <c r="L50" s="44" t="s">
        <v>482</v>
      </c>
      <c r="M50" s="44"/>
      <c r="Q50" s="91" t="s">
        <v>2218</v>
      </c>
      <c r="R50" s="94" t="s">
        <v>2218</v>
      </c>
      <c r="T50" s="365" t="b" cm="1">
        <f t="array" ref="T50">T49</f>
        <v>0</v>
      </c>
      <c r="X50" s="1075"/>
      <c r="Z50" s="1065"/>
      <c r="AB50" s="152" t="s">
        <v>1358</v>
      </c>
      <c r="AC50" s="153" t="s">
        <v>1974</v>
      </c>
      <c r="AD50" s="26" t="s">
        <v>804</v>
      </c>
      <c r="AE50" s="787">
        <f ca="1">AE51+AE52</f>
        <v>0</v>
      </c>
      <c r="AF50" s="787">
        <f ca="1">AF51+AF52</f>
        <v>0</v>
      </c>
      <c r="AG50" s="787">
        <f ca="1">AG51+AG52</f>
        <v>0</v>
      </c>
      <c r="AH50" s="190">
        <f t="shared" ca="1" si="3"/>
        <v>0</v>
      </c>
      <c r="AI50" s="952"/>
      <c r="AJ50" s="785"/>
      <c r="AK50" s="552"/>
      <c r="AL50" s="552"/>
      <c r="AM50" s="552"/>
      <c r="AN50" s="552"/>
      <c r="AO50" s="552"/>
      <c r="AP50" s="552"/>
      <c r="AQ50" s="552"/>
      <c r="AR50" s="552"/>
      <c r="AS50" s="552"/>
      <c r="AT50" s="552"/>
      <c r="AU50" s="552"/>
      <c r="AV50" s="552"/>
      <c r="AW50" s="552"/>
      <c r="AX50" s="552"/>
      <c r="AY50" s="552"/>
      <c r="AZ50" s="552"/>
      <c r="BA50" s="552"/>
      <c r="BB50" s="552"/>
      <c r="BC50" s="552"/>
      <c r="BD50" s="552"/>
      <c r="BE50" s="552"/>
      <c r="BF50" s="552"/>
      <c r="BG50" s="552"/>
      <c r="BH50" s="552"/>
      <c r="BI50" s="552"/>
      <c r="BJ50" s="552"/>
      <c r="BK50" s="552"/>
      <c r="BL50" s="552"/>
      <c r="BM50" s="552"/>
      <c r="BN50" s="784"/>
      <c r="BO50" s="784"/>
      <c r="BP50" s="784"/>
      <c r="BS50" s="703" t="s">
        <v>1793</v>
      </c>
    </row>
    <row r="51" spans="2:75" ht="14.65" hidden="1" customHeight="1">
      <c r="E51" s="518">
        <v>15</v>
      </c>
      <c r="F51" s="3" cm="1">
        <f t="array" aca="1" ref="F51" ca="1">OFFSET(E51,-1,1)</f>
        <v>0</v>
      </c>
      <c r="G51" s="2" t="s">
        <v>1171</v>
      </c>
      <c r="H51" s="290"/>
      <c r="I51" s="290" t="s">
        <v>1975</v>
      </c>
      <c r="K51" s="290" t="s">
        <v>1975</v>
      </c>
      <c r="L51" s="44" t="s">
        <v>1794</v>
      </c>
      <c r="M51" s="44"/>
      <c r="Q51" s="91" t="s">
        <v>2218</v>
      </c>
      <c r="R51" s="94" t="s">
        <v>2218</v>
      </c>
      <c r="T51" s="365" t="b" cm="1">
        <f t="array" ref="T51">T50</f>
        <v>0</v>
      </c>
      <c r="X51" s="1075"/>
      <c r="Z51" s="1065"/>
      <c r="AB51" s="152" t="s">
        <v>1976</v>
      </c>
      <c r="AC51" s="553" t="s">
        <v>1795</v>
      </c>
      <c r="AD51" s="26" t="s">
        <v>804</v>
      </c>
      <c r="AE51" s="787"/>
      <c r="AF51" s="787"/>
      <c r="AG51" s="787"/>
      <c r="AH51" s="190">
        <f t="shared" si="3"/>
        <v>0</v>
      </c>
      <c r="AI51" s="952"/>
      <c r="AJ51" s="785"/>
      <c r="AK51" s="552"/>
      <c r="AL51" s="552"/>
      <c r="AM51" s="552"/>
      <c r="AN51" s="552"/>
      <c r="AO51" s="552"/>
      <c r="AP51" s="552"/>
      <c r="AQ51" s="552"/>
      <c r="AR51" s="552"/>
      <c r="AS51" s="552"/>
      <c r="AT51" s="552"/>
      <c r="AU51" s="552"/>
      <c r="AV51" s="552"/>
      <c r="AW51" s="552"/>
      <c r="AX51" s="552"/>
      <c r="AY51" s="552"/>
      <c r="AZ51" s="552"/>
      <c r="BA51" s="552"/>
      <c r="BB51" s="552"/>
      <c r="BC51" s="552"/>
      <c r="BD51" s="552"/>
      <c r="BE51" s="552"/>
      <c r="BF51" s="552"/>
      <c r="BG51" s="552"/>
      <c r="BH51" s="552"/>
      <c r="BI51" s="552"/>
      <c r="BJ51" s="552"/>
      <c r="BK51" s="552"/>
      <c r="BL51" s="552"/>
      <c r="BM51" s="552"/>
      <c r="BN51" s="784"/>
      <c r="BO51" s="788" t="str">
        <f ca="1">IF(IFERROR(INDEX(ФОТ!$K$26:$L$102,MATCH($F51&amp;"3komm",ФОТ!$K$26:$K$102,0),2),"")=0,"",IFERROR(INDEX(ФОТ!$K$26:$L$102,MATCH($F51&amp;"3komm",ФОТ!$K$26:$K$102,0),2),""))</f>
        <v/>
      </c>
      <c r="BP51" s="784"/>
      <c r="BS51" s="703" t="s">
        <v>1796</v>
      </c>
    </row>
    <row r="52" spans="2:75" ht="21.95" hidden="1" customHeight="1">
      <c r="E52" s="518">
        <v>22.5</v>
      </c>
      <c r="F52" s="3" cm="1">
        <f t="array" aca="1" ref="F52" ca="1">OFFSET(E52,-1,1)</f>
        <v>0</v>
      </c>
      <c r="G52" s="2" t="s">
        <v>1176</v>
      </c>
      <c r="H52" s="290"/>
      <c r="I52" s="290" t="s">
        <v>1977</v>
      </c>
      <c r="K52" s="290" t="s">
        <v>1977</v>
      </c>
      <c r="L52" s="44" t="s">
        <v>1797</v>
      </c>
      <c r="M52" s="44"/>
      <c r="Q52" s="91" t="s">
        <v>2218</v>
      </c>
      <c r="R52" s="94" t="s">
        <v>2218</v>
      </c>
      <c r="T52" s="365" t="b" cm="1">
        <f t="array" ref="T52">T51</f>
        <v>0</v>
      </c>
      <c r="X52" s="1075"/>
      <c r="Z52" s="1065"/>
      <c r="AB52" s="152" t="s">
        <v>1978</v>
      </c>
      <c r="AC52" s="553" t="s">
        <v>1979</v>
      </c>
      <c r="AD52" s="26" t="s">
        <v>804</v>
      </c>
      <c r="AE52" s="787">
        <f ca="1">AE51*SUMIFS(INDEX(Сценарии!$AE$25:$BF$109,,MATCH(AE$8,Сценарии!$AE$8:$BF$8,0)),Сценарии!$F$25:$F$109,$F52,Сценарии!$G$25:$G$109,"СВФОТ")/100</f>
        <v>0</v>
      </c>
      <c r="AF52" s="787">
        <f ca="1">AF51*SUMIFS(INDEX(Сценарии!$AE$25:$BF$109,,MATCH(AF$8,Сценарии!$AE$8:$BF$8,0)),Сценарии!$F$25:$F$109,$F52,Сценарии!$G$25:$G$109,"СВФОТ")/100</f>
        <v>0</v>
      </c>
      <c r="AG52" s="787">
        <f ca="1">AG51*SUMIFS(INDEX(Сценарии!$AE$25:$BF$109,,MATCH(AG$8,Сценарии!$AE$8:$BF$8,0)),Сценарии!$F$25:$F$109,$F52,Сценарии!$G$25:$G$109,"СВФОТ")/100</f>
        <v>0</v>
      </c>
      <c r="AH52" s="190">
        <f t="shared" ca="1" si="3"/>
        <v>0</v>
      </c>
      <c r="AI52" s="952">
        <f ca="1">AI51*SUMIFS(INDEX(Сценарии!$AE$25:$BF$109,,MATCH(AG$8,Сценарии!$AE$8:$BF$8,0)),Сценарии!$F$25:$F$109,$F52,Сценарии!$G$25:$G$109,"СВФОТ")/100</f>
        <v>0</v>
      </c>
      <c r="AJ52" s="785"/>
      <c r="AK52" s="552"/>
      <c r="AL52" s="552"/>
      <c r="AM52" s="552"/>
      <c r="AN52" s="552"/>
      <c r="AO52" s="552"/>
      <c r="AP52" s="552"/>
      <c r="AQ52" s="552"/>
      <c r="AR52" s="552"/>
      <c r="AS52" s="552"/>
      <c r="AT52" s="552"/>
      <c r="AU52" s="552"/>
      <c r="AV52" s="552"/>
      <c r="AW52" s="552"/>
      <c r="AX52" s="552"/>
      <c r="AY52" s="552"/>
      <c r="AZ52" s="552"/>
      <c r="BA52" s="552"/>
      <c r="BB52" s="552"/>
      <c r="BC52" s="552"/>
      <c r="BD52" s="552"/>
      <c r="BE52" s="552"/>
      <c r="BF52" s="552"/>
      <c r="BG52" s="552"/>
      <c r="BH52" s="552"/>
      <c r="BI52" s="552"/>
      <c r="BJ52" s="552"/>
      <c r="BK52" s="552"/>
      <c r="BL52" s="552"/>
      <c r="BM52" s="552"/>
      <c r="BN52" s="784"/>
      <c r="BO52" s="788" t="str">
        <f ca="1">IF(IFERROR(INDEX(ФОТ!$K$26:$L$102,MATCH($F52&amp;"4komm",ФОТ!$K$26:$K$102,0),2),"")=0,"",IFERROR(INDEX(ФОТ!$K$26:$L$102,MATCH($F52&amp;"4komm",ФОТ!$K$26:$K$102,0),2),""))</f>
        <v/>
      </c>
      <c r="BP52" s="784"/>
      <c r="BS52" s="703" t="s">
        <v>1799</v>
      </c>
    </row>
    <row r="53" spans="2:75" s="95" customFormat="1" ht="20.45" hidden="1" customHeight="1">
      <c r="B53" s="344"/>
      <c r="E53" s="522">
        <v>21</v>
      </c>
      <c r="F53" s="3" cm="1">
        <f t="array" aca="1" ref="F53" ca="1">OFFSET(E53,-1,1)</f>
        <v>0</v>
      </c>
      <c r="H53" s="290"/>
      <c r="I53" s="290" t="s">
        <v>472</v>
      </c>
      <c r="K53" s="290" t="s">
        <v>472</v>
      </c>
      <c r="L53" s="46" t="s">
        <v>329</v>
      </c>
      <c r="M53" s="46"/>
      <c r="Q53" s="91" t="s">
        <v>2218</v>
      </c>
      <c r="R53" s="94" t="s">
        <v>2218</v>
      </c>
      <c r="T53" s="365" t="b" cm="1">
        <f t="array" ref="T53">T52</f>
        <v>0</v>
      </c>
      <c r="X53" s="1075"/>
      <c r="Z53" s="1065"/>
      <c r="AB53" s="150" t="s">
        <v>906</v>
      </c>
      <c r="AC53" s="276" t="s">
        <v>1980</v>
      </c>
      <c r="AD53" s="143" t="s">
        <v>804</v>
      </c>
      <c r="AE53" s="145">
        <f ca="1">AE54+AE62+AE65+AE66+AE67+AE68+AE69</f>
        <v>0</v>
      </c>
      <c r="AF53" s="145">
        <f ca="1">AF54+AF62+AF65+AF66+AF67+AF68+AF69</f>
        <v>0</v>
      </c>
      <c r="AG53" s="145">
        <f ca="1">AG54+AG62+AG65+AG66+AG67+AG68+AG69</f>
        <v>0</v>
      </c>
      <c r="AH53" s="145">
        <f t="shared" ca="1" si="3"/>
        <v>0</v>
      </c>
      <c r="AI53" s="951">
        <f ca="1">AI54+AI62+AI65+AI66+AI67+AI68+AI69</f>
        <v>0</v>
      </c>
      <c r="AJ53" s="785"/>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c r="BM53" s="148"/>
      <c r="BN53" s="786"/>
      <c r="BO53" s="786"/>
      <c r="BP53" s="786"/>
      <c r="BS53" s="704" t="s">
        <v>1801</v>
      </c>
      <c r="BT53" s="711"/>
      <c r="BU53" s="711"/>
      <c r="BV53" s="522"/>
      <c r="BW53" s="522"/>
    </row>
    <row r="54" spans="2:75" ht="21.95" hidden="1" customHeight="1">
      <c r="E54" s="518">
        <v>22.5</v>
      </c>
      <c r="F54" s="3" cm="1">
        <f t="array" aca="1" ref="F54" ca="1">OFFSET(E54,-1,1)</f>
        <v>0</v>
      </c>
      <c r="G54" s="91" t="s">
        <v>1197</v>
      </c>
      <c r="H54" s="290"/>
      <c r="I54" s="290" t="s">
        <v>1363</v>
      </c>
      <c r="K54" s="290" t="s">
        <v>1363</v>
      </c>
      <c r="L54" s="44" t="s">
        <v>927</v>
      </c>
      <c r="M54" s="44"/>
      <c r="Q54" s="91" t="s">
        <v>2218</v>
      </c>
      <c r="R54" s="94" t="s">
        <v>2218</v>
      </c>
      <c r="T54" s="365" t="b" cm="1">
        <f t="array" ref="T54">T53</f>
        <v>0</v>
      </c>
      <c r="X54" s="1075"/>
      <c r="Z54" s="1065"/>
      <c r="AB54" s="152" t="s">
        <v>1021</v>
      </c>
      <c r="AC54" s="153" t="s">
        <v>1981</v>
      </c>
      <c r="AD54" s="26" t="s">
        <v>804</v>
      </c>
      <c r="AE54" s="190">
        <f>SUM(AE55:AE61)</f>
        <v>0</v>
      </c>
      <c r="AF54" s="190">
        <f>SUM(AF55:AF61)</f>
        <v>0</v>
      </c>
      <c r="AG54" s="190">
        <f>SUM(AG55:AG61)</f>
        <v>0</v>
      </c>
      <c r="AH54" s="190">
        <f t="shared" si="3"/>
        <v>0</v>
      </c>
      <c r="AI54" s="952">
        <f>SUM(AI55:AI61)</f>
        <v>0</v>
      </c>
      <c r="AJ54" s="785"/>
      <c r="AK54" s="552"/>
      <c r="AL54" s="552"/>
      <c r="AM54" s="552"/>
      <c r="AN54" s="552"/>
      <c r="AO54" s="552"/>
      <c r="AP54" s="552"/>
      <c r="AQ54" s="552"/>
      <c r="AR54" s="552"/>
      <c r="AS54" s="552"/>
      <c r="AT54" s="552"/>
      <c r="AU54" s="552"/>
      <c r="AV54" s="552"/>
      <c r="AW54" s="552"/>
      <c r="AX54" s="552"/>
      <c r="AY54" s="552"/>
      <c r="AZ54" s="552"/>
      <c r="BA54" s="552"/>
      <c r="BB54" s="552"/>
      <c r="BC54" s="552"/>
      <c r="BD54" s="552"/>
      <c r="BE54" s="552"/>
      <c r="BF54" s="552"/>
      <c r="BG54" s="552"/>
      <c r="BH54" s="552"/>
      <c r="BI54" s="552"/>
      <c r="BJ54" s="552"/>
      <c r="BK54" s="552"/>
      <c r="BL54" s="552"/>
      <c r="BM54" s="552"/>
      <c r="BN54" s="784"/>
      <c r="BO54" s="788" t="str">
        <f ca="1">IF(IFERROR(INDEX(Административные!$K$26:$L$84,MATCH($F54&amp;"17komm",Административные!$K$26:$K$84,0),2),"")=0,"",IFERROR(INDEX(Административные!$K$26:$L$84,MATCH($F54&amp;"17komm",Административные!$K$26:$K$84,0),2),""))</f>
        <v/>
      </c>
      <c r="BP54" s="784"/>
      <c r="BS54" s="703" t="s">
        <v>1199</v>
      </c>
    </row>
    <row r="55" spans="2:75" ht="14.65" hidden="1" customHeight="1">
      <c r="E55" s="518">
        <v>15</v>
      </c>
      <c r="F55" s="3" cm="1">
        <f t="array" aca="1" ref="F55" ca="1">OFFSET(E55,-1,1)</f>
        <v>0</v>
      </c>
      <c r="G55" s="91" t="s">
        <v>1200</v>
      </c>
      <c r="H55" s="290"/>
      <c r="I55" s="290" t="s">
        <v>1982</v>
      </c>
      <c r="K55" s="290" t="s">
        <v>1982</v>
      </c>
      <c r="L55" s="44"/>
      <c r="M55" s="44"/>
      <c r="Q55" s="91" t="s">
        <v>2218</v>
      </c>
      <c r="R55" s="94" t="s">
        <v>2218</v>
      </c>
      <c r="T55" s="365" t="b" cm="1">
        <f t="array" ref="T55">T54</f>
        <v>0</v>
      </c>
      <c r="X55" s="1075"/>
      <c r="Z55" s="1065"/>
      <c r="AB55" s="152" t="s">
        <v>1983</v>
      </c>
      <c r="AC55" s="553" t="s">
        <v>1201</v>
      </c>
      <c r="AD55" s="26" t="s">
        <v>804</v>
      </c>
      <c r="AE55" s="787"/>
      <c r="AF55" s="787"/>
      <c r="AG55" s="787"/>
      <c r="AH55" s="190">
        <f t="shared" si="3"/>
        <v>0</v>
      </c>
      <c r="AI55" s="952"/>
      <c r="AJ55" s="785"/>
      <c r="AK55" s="552"/>
      <c r="AL55" s="552"/>
      <c r="AM55" s="552"/>
      <c r="AN55" s="552"/>
      <c r="AO55" s="552"/>
      <c r="AP55" s="552"/>
      <c r="AQ55" s="552"/>
      <c r="AR55" s="552"/>
      <c r="AS55" s="552"/>
      <c r="AT55" s="552"/>
      <c r="AU55" s="552"/>
      <c r="AV55" s="552"/>
      <c r="AW55" s="552"/>
      <c r="AX55" s="552"/>
      <c r="AY55" s="552"/>
      <c r="AZ55" s="552"/>
      <c r="BA55" s="552"/>
      <c r="BB55" s="552"/>
      <c r="BC55" s="552"/>
      <c r="BD55" s="552"/>
      <c r="BE55" s="552"/>
      <c r="BF55" s="552"/>
      <c r="BG55" s="552"/>
      <c r="BH55" s="552"/>
      <c r="BI55" s="552"/>
      <c r="BJ55" s="552"/>
      <c r="BK55" s="552"/>
      <c r="BL55" s="552"/>
      <c r="BM55" s="552"/>
      <c r="BN55" s="784"/>
      <c r="BO55" s="788" t="str">
        <f ca="1">IF(IFERROR(INDEX(Административные!$K$26:$L$84,MATCH($F55&amp;"18komm",Административные!$K$26:$K$84,0),2),"")=0,"",IFERROR(INDEX(Административные!$K$26:$L$84,MATCH($F55&amp;"18komm",Административные!$K$26:$K$84,0),2),""))</f>
        <v/>
      </c>
      <c r="BP55" s="784"/>
      <c r="BS55" s="705" t="s">
        <v>1202</v>
      </c>
    </row>
    <row r="56" spans="2:75" ht="14.65" hidden="1" customHeight="1">
      <c r="E56" s="518">
        <v>15</v>
      </c>
      <c r="F56" s="3" cm="1">
        <f t="array" aca="1" ref="F56" ca="1">OFFSET(E56,-1,1)</f>
        <v>0</v>
      </c>
      <c r="G56" s="91" t="s">
        <v>1203</v>
      </c>
      <c r="H56" s="290"/>
      <c r="I56" s="290" t="s">
        <v>1984</v>
      </c>
      <c r="K56" s="290" t="s">
        <v>1984</v>
      </c>
      <c r="L56" s="44"/>
      <c r="M56" s="44"/>
      <c r="Q56" s="91" t="s">
        <v>2218</v>
      </c>
      <c r="R56" s="94" t="s">
        <v>2218</v>
      </c>
      <c r="T56" s="365" t="b" cm="1">
        <f t="array" ref="T56">T55</f>
        <v>0</v>
      </c>
      <c r="X56" s="1075"/>
      <c r="Z56" s="1065"/>
      <c r="AB56" s="152" t="s">
        <v>1985</v>
      </c>
      <c r="AC56" s="553" t="s">
        <v>1204</v>
      </c>
      <c r="AD56" s="26" t="s">
        <v>804</v>
      </c>
      <c r="AE56" s="787"/>
      <c r="AF56" s="787"/>
      <c r="AG56" s="787"/>
      <c r="AH56" s="190">
        <f t="shared" si="3"/>
        <v>0</v>
      </c>
      <c r="AI56" s="952"/>
      <c r="AJ56" s="785"/>
      <c r="AK56" s="552"/>
      <c r="AL56" s="552"/>
      <c r="AM56" s="552"/>
      <c r="AN56" s="552"/>
      <c r="AO56" s="552"/>
      <c r="AP56" s="552"/>
      <c r="AQ56" s="552"/>
      <c r="AR56" s="552"/>
      <c r="AS56" s="552"/>
      <c r="AT56" s="552"/>
      <c r="AU56" s="552"/>
      <c r="AV56" s="552"/>
      <c r="AW56" s="552"/>
      <c r="AX56" s="552"/>
      <c r="AY56" s="552"/>
      <c r="AZ56" s="552"/>
      <c r="BA56" s="552"/>
      <c r="BB56" s="552"/>
      <c r="BC56" s="552"/>
      <c r="BD56" s="552"/>
      <c r="BE56" s="552"/>
      <c r="BF56" s="552"/>
      <c r="BG56" s="552"/>
      <c r="BH56" s="552"/>
      <c r="BI56" s="552"/>
      <c r="BJ56" s="552"/>
      <c r="BK56" s="552"/>
      <c r="BL56" s="552"/>
      <c r="BM56" s="552"/>
      <c r="BN56" s="784"/>
      <c r="BO56" s="788" t="str">
        <f ca="1">IF(IFERROR(INDEX(Административные!$K$26:$L$84,MATCH($F56&amp;"11komm",Административные!$K$26:$K$84,0),2),"")=0,"",IFERROR(INDEX(Административные!$K$26:$L$84,MATCH($F56&amp;"11komm",Административные!$K$26:$K$84,0),2),""))</f>
        <v/>
      </c>
      <c r="BP56" s="784"/>
      <c r="BS56" s="705" t="s">
        <v>1205</v>
      </c>
    </row>
    <row r="57" spans="2:75" ht="14.65" hidden="1" customHeight="1">
      <c r="E57" s="518">
        <v>15</v>
      </c>
      <c r="F57" s="3" cm="1">
        <f t="array" aca="1" ref="F57" ca="1">OFFSET(E57,-1,1)</f>
        <v>0</v>
      </c>
      <c r="G57" s="91" t="s">
        <v>1206</v>
      </c>
      <c r="H57" s="290"/>
      <c r="I57" s="290" t="s">
        <v>1986</v>
      </c>
      <c r="K57" s="290" t="s">
        <v>1986</v>
      </c>
      <c r="L57" s="44"/>
      <c r="M57" s="44"/>
      <c r="Q57" s="91" t="s">
        <v>2218</v>
      </c>
      <c r="R57" s="94" t="s">
        <v>2218</v>
      </c>
      <c r="T57" s="365" t="b" cm="1">
        <f t="array" ref="T57">T56</f>
        <v>0</v>
      </c>
      <c r="X57" s="1075"/>
      <c r="Z57" s="1065"/>
      <c r="AB57" s="152" t="s">
        <v>1987</v>
      </c>
      <c r="AC57" s="553" t="s">
        <v>1207</v>
      </c>
      <c r="AD57" s="26" t="s">
        <v>804</v>
      </c>
      <c r="AE57" s="787"/>
      <c r="AF57" s="787"/>
      <c r="AG57" s="787"/>
      <c r="AH57" s="190">
        <f t="shared" si="3"/>
        <v>0</v>
      </c>
      <c r="AI57" s="952"/>
      <c r="AJ57" s="785"/>
      <c r="AK57" s="552"/>
      <c r="AL57" s="552"/>
      <c r="AM57" s="552"/>
      <c r="AN57" s="552"/>
      <c r="AO57" s="552"/>
      <c r="AP57" s="552"/>
      <c r="AQ57" s="552"/>
      <c r="AR57" s="552"/>
      <c r="AS57" s="552"/>
      <c r="AT57" s="552"/>
      <c r="AU57" s="552"/>
      <c r="AV57" s="552"/>
      <c r="AW57" s="552"/>
      <c r="AX57" s="552"/>
      <c r="AY57" s="552"/>
      <c r="AZ57" s="552"/>
      <c r="BA57" s="552"/>
      <c r="BB57" s="552"/>
      <c r="BC57" s="552"/>
      <c r="BD57" s="552"/>
      <c r="BE57" s="552"/>
      <c r="BF57" s="552"/>
      <c r="BG57" s="552"/>
      <c r="BH57" s="552"/>
      <c r="BI57" s="552"/>
      <c r="BJ57" s="552"/>
      <c r="BK57" s="552"/>
      <c r="BL57" s="552"/>
      <c r="BM57" s="552"/>
      <c r="BN57" s="784"/>
      <c r="BO57" s="788" t="str">
        <f ca="1">IF(IFERROR(INDEX(Административные!$K$26:$L$84,MATCH($F57&amp;"12komm",Административные!$K$26:$K$84,0),2),"")=0,"",IFERROR(INDEX(Административные!$K$26:$L$84,MATCH($F57&amp;"12komm",Административные!$K$26:$K$84,0),2),""))</f>
        <v/>
      </c>
      <c r="BP57" s="784"/>
      <c r="BS57" s="705" t="s">
        <v>1208</v>
      </c>
    </row>
    <row r="58" spans="2:75" ht="14.65" hidden="1" customHeight="1">
      <c r="E58" s="518">
        <v>15</v>
      </c>
      <c r="F58" s="3" cm="1">
        <f t="array" aca="1" ref="F58" ca="1">OFFSET(E58,-1,1)</f>
        <v>0</v>
      </c>
      <c r="G58" s="91" t="s">
        <v>1209</v>
      </c>
      <c r="H58" s="290"/>
      <c r="I58" s="290" t="s">
        <v>1988</v>
      </c>
      <c r="K58" s="290" t="s">
        <v>1988</v>
      </c>
      <c r="L58" s="44"/>
      <c r="M58" s="44"/>
      <c r="Q58" s="91" t="s">
        <v>2218</v>
      </c>
      <c r="R58" s="94" t="s">
        <v>2218</v>
      </c>
      <c r="T58" s="365" t="b" cm="1">
        <f t="array" ref="T58">T57</f>
        <v>0</v>
      </c>
      <c r="X58" s="1075"/>
      <c r="Z58" s="1065"/>
      <c r="AB58" s="152" t="s">
        <v>1989</v>
      </c>
      <c r="AC58" s="553" t="s">
        <v>1210</v>
      </c>
      <c r="AD58" s="26" t="s">
        <v>804</v>
      </c>
      <c r="AE58" s="787"/>
      <c r="AF58" s="787"/>
      <c r="AG58" s="787"/>
      <c r="AH58" s="190">
        <f t="shared" si="3"/>
        <v>0</v>
      </c>
      <c r="AI58" s="952"/>
      <c r="AJ58" s="785"/>
      <c r="AK58" s="552"/>
      <c r="AL58" s="552"/>
      <c r="AM58" s="552"/>
      <c r="AN58" s="552"/>
      <c r="AO58" s="552"/>
      <c r="AP58" s="552"/>
      <c r="AQ58" s="552"/>
      <c r="AR58" s="552"/>
      <c r="AS58" s="552"/>
      <c r="AT58" s="552"/>
      <c r="AU58" s="552"/>
      <c r="AV58" s="552"/>
      <c r="AW58" s="552"/>
      <c r="AX58" s="552"/>
      <c r="AY58" s="552"/>
      <c r="AZ58" s="552"/>
      <c r="BA58" s="552"/>
      <c r="BB58" s="552"/>
      <c r="BC58" s="552"/>
      <c r="BD58" s="552"/>
      <c r="BE58" s="552"/>
      <c r="BF58" s="552"/>
      <c r="BG58" s="552"/>
      <c r="BH58" s="552"/>
      <c r="BI58" s="552"/>
      <c r="BJ58" s="552"/>
      <c r="BK58" s="552"/>
      <c r="BL58" s="552"/>
      <c r="BM58" s="552"/>
      <c r="BN58" s="784"/>
      <c r="BO58" s="788" t="str">
        <f ca="1">IF(IFERROR(INDEX(Административные!$K$26:$L$84,MATCH($F58&amp;"13komm",Административные!$K$26:$K$84,0),2),"")=0,"",IFERROR(INDEX(Административные!$K$26:$L$84,MATCH($F58&amp;"13komm",Административные!$K$26:$K$84,0),2),""))</f>
        <v/>
      </c>
      <c r="BP58" s="784"/>
      <c r="BS58" s="705" t="s">
        <v>1211</v>
      </c>
    </row>
    <row r="59" spans="2:75" ht="14.65" hidden="1" customHeight="1">
      <c r="E59" s="518">
        <v>15</v>
      </c>
      <c r="F59" s="3" cm="1">
        <f t="array" aca="1" ref="F59" ca="1">OFFSET(E59,-1,1)</f>
        <v>0</v>
      </c>
      <c r="G59" s="91" t="s">
        <v>1212</v>
      </c>
      <c r="H59" s="290"/>
      <c r="I59" s="290" t="s">
        <v>1990</v>
      </c>
      <c r="K59" s="290" t="s">
        <v>1990</v>
      </c>
      <c r="L59" s="44"/>
      <c r="M59" s="44"/>
      <c r="Q59" s="91" t="s">
        <v>2218</v>
      </c>
      <c r="R59" s="94" t="s">
        <v>2218</v>
      </c>
      <c r="T59" s="365" t="b" cm="1">
        <f t="array" ref="T59">T58</f>
        <v>0</v>
      </c>
      <c r="X59" s="1075"/>
      <c r="Z59" s="1065"/>
      <c r="AB59" s="152" t="s">
        <v>1991</v>
      </c>
      <c r="AC59" s="553" t="s">
        <v>1213</v>
      </c>
      <c r="AD59" s="26" t="s">
        <v>804</v>
      </c>
      <c r="AE59" s="787"/>
      <c r="AF59" s="787"/>
      <c r="AG59" s="787"/>
      <c r="AH59" s="190">
        <f t="shared" si="3"/>
        <v>0</v>
      </c>
      <c r="AI59" s="952"/>
      <c r="AJ59" s="785"/>
      <c r="AK59" s="552"/>
      <c r="AL59" s="552"/>
      <c r="AM59" s="552"/>
      <c r="AN59" s="552"/>
      <c r="AO59" s="552"/>
      <c r="AP59" s="552"/>
      <c r="AQ59" s="552"/>
      <c r="AR59" s="552"/>
      <c r="AS59" s="552"/>
      <c r="AT59" s="552"/>
      <c r="AU59" s="552"/>
      <c r="AV59" s="552"/>
      <c r="AW59" s="552"/>
      <c r="AX59" s="552"/>
      <c r="AY59" s="552"/>
      <c r="AZ59" s="552"/>
      <c r="BA59" s="552"/>
      <c r="BB59" s="552"/>
      <c r="BC59" s="552"/>
      <c r="BD59" s="552"/>
      <c r="BE59" s="552"/>
      <c r="BF59" s="552"/>
      <c r="BG59" s="552"/>
      <c r="BH59" s="552"/>
      <c r="BI59" s="552"/>
      <c r="BJ59" s="552"/>
      <c r="BK59" s="552"/>
      <c r="BL59" s="552"/>
      <c r="BM59" s="552"/>
      <c r="BN59" s="784"/>
      <c r="BO59" s="788" t="str">
        <f ca="1">IF(IFERROR(INDEX(Административные!$K$26:$L$84,MATCH($F59&amp;"14komm",Административные!$K$26:$K$84,0),2),"")=0,"",IFERROR(INDEX(Административные!$K$26:$L$84,MATCH($F59&amp;"14komm",Административные!$K$26:$K$84,0),2),""))</f>
        <v/>
      </c>
      <c r="BP59" s="784"/>
      <c r="BS59" s="705" t="s">
        <v>1992</v>
      </c>
    </row>
    <row r="60" spans="2:75" ht="14.65" hidden="1" customHeight="1">
      <c r="E60" s="518">
        <v>15</v>
      </c>
      <c r="F60" s="3" cm="1">
        <f t="array" aca="1" ref="F60" ca="1">OFFSET(E60,-1,1)</f>
        <v>0</v>
      </c>
      <c r="G60" s="91" t="s">
        <v>1215</v>
      </c>
      <c r="H60" s="290"/>
      <c r="I60" s="290" t="s">
        <v>1993</v>
      </c>
      <c r="K60" s="290" t="s">
        <v>1993</v>
      </c>
      <c r="L60" s="44"/>
      <c r="M60" s="44"/>
      <c r="Q60" s="91" t="s">
        <v>2218</v>
      </c>
      <c r="R60" s="94" t="s">
        <v>2218</v>
      </c>
      <c r="T60" s="365" t="b" cm="1">
        <f t="array" ref="T60">T59</f>
        <v>0</v>
      </c>
      <c r="X60" s="1075"/>
      <c r="Z60" s="1065"/>
      <c r="AB60" s="152" t="s">
        <v>1994</v>
      </c>
      <c r="AC60" s="553" t="s">
        <v>1218</v>
      </c>
      <c r="AD60" s="26" t="s">
        <v>804</v>
      </c>
      <c r="AE60" s="787"/>
      <c r="AF60" s="787"/>
      <c r="AG60" s="787"/>
      <c r="AH60" s="190">
        <f t="shared" ref="AH60:AH76" si="7">AG60-AF60</f>
        <v>0</v>
      </c>
      <c r="AI60" s="952"/>
      <c r="AJ60" s="785"/>
      <c r="AK60" s="552"/>
      <c r="AL60" s="552"/>
      <c r="AM60" s="552"/>
      <c r="AN60" s="552"/>
      <c r="AO60" s="552"/>
      <c r="AP60" s="552"/>
      <c r="AQ60" s="552"/>
      <c r="AR60" s="552"/>
      <c r="AS60" s="552"/>
      <c r="AT60" s="552"/>
      <c r="AU60" s="552"/>
      <c r="AV60" s="552"/>
      <c r="AW60" s="552"/>
      <c r="AX60" s="552"/>
      <c r="AY60" s="552"/>
      <c r="AZ60" s="552"/>
      <c r="BA60" s="552"/>
      <c r="BB60" s="552"/>
      <c r="BC60" s="552"/>
      <c r="BD60" s="552"/>
      <c r="BE60" s="552"/>
      <c r="BF60" s="552"/>
      <c r="BG60" s="552"/>
      <c r="BH60" s="552"/>
      <c r="BI60" s="552"/>
      <c r="BJ60" s="552"/>
      <c r="BK60" s="552"/>
      <c r="BL60" s="552"/>
      <c r="BM60" s="552"/>
      <c r="BN60" s="784"/>
      <c r="BO60" s="788" t="str">
        <f ca="1">IF(IFERROR(INDEX(Административные!$K$26:$L$84,MATCH($F60&amp;"15komm",Административные!$K$26:$K$84,0),2),"")=0,"",IFERROR(INDEX(Административные!$K$26:$L$84,MATCH($F60&amp;"15komm",Административные!$K$26:$K$84,0),2),""))</f>
        <v/>
      </c>
      <c r="BP60" s="784"/>
      <c r="BS60" s="705" t="s">
        <v>1219</v>
      </c>
    </row>
    <row r="61" spans="2:75" ht="14.65" hidden="1" customHeight="1">
      <c r="E61" s="518">
        <v>15</v>
      </c>
      <c r="F61" s="3" cm="1">
        <f t="array" aca="1" ref="F61" ca="1">OFFSET(E61,-1,1)</f>
        <v>0</v>
      </c>
      <c r="G61" s="91" t="s">
        <v>1220</v>
      </c>
      <c r="H61" s="290"/>
      <c r="I61" s="290" t="s">
        <v>1995</v>
      </c>
      <c r="K61" s="290" t="s">
        <v>1995</v>
      </c>
      <c r="L61" s="44"/>
      <c r="M61" s="44"/>
      <c r="Q61" s="91" t="s">
        <v>2218</v>
      </c>
      <c r="R61" s="94" t="s">
        <v>2218</v>
      </c>
      <c r="T61" s="365" t="b" cm="1">
        <f t="array" ref="T61">T60</f>
        <v>0</v>
      </c>
      <c r="X61" s="1075"/>
      <c r="Z61" s="1065"/>
      <c r="AB61" s="152" t="s">
        <v>1996</v>
      </c>
      <c r="AC61" s="553" t="s">
        <v>1223</v>
      </c>
      <c r="AD61" s="26" t="s">
        <v>804</v>
      </c>
      <c r="AE61" s="787"/>
      <c r="AF61" s="787"/>
      <c r="AG61" s="787"/>
      <c r="AH61" s="190">
        <f t="shared" si="7"/>
        <v>0</v>
      </c>
      <c r="AI61" s="952"/>
      <c r="AJ61" s="785"/>
      <c r="AK61" s="552"/>
      <c r="AL61" s="552"/>
      <c r="AM61" s="552"/>
      <c r="AN61" s="552"/>
      <c r="AO61" s="552"/>
      <c r="AP61" s="552"/>
      <c r="AQ61" s="552"/>
      <c r="AR61" s="552"/>
      <c r="AS61" s="552"/>
      <c r="AT61" s="552"/>
      <c r="AU61" s="552"/>
      <c r="AV61" s="552"/>
      <c r="AW61" s="552"/>
      <c r="AX61" s="552"/>
      <c r="AY61" s="552"/>
      <c r="AZ61" s="552"/>
      <c r="BA61" s="552"/>
      <c r="BB61" s="552"/>
      <c r="BC61" s="552"/>
      <c r="BD61" s="552"/>
      <c r="BE61" s="552"/>
      <c r="BF61" s="552"/>
      <c r="BG61" s="552"/>
      <c r="BH61" s="552"/>
      <c r="BI61" s="552"/>
      <c r="BJ61" s="552"/>
      <c r="BK61" s="552"/>
      <c r="BL61" s="552"/>
      <c r="BM61" s="552"/>
      <c r="BN61" s="784"/>
      <c r="BO61" s="788" t="str">
        <f ca="1">IF(IFERROR(INDEX(Административные!$K$26:$L$84,MATCH($F61&amp;"16komm",Административные!$K$26:$K$84,0),2),"")=0,"",IFERROR(INDEX(Административные!$K$26:$L$84,MATCH($F61&amp;"16komm",Административные!$K$26:$K$84,0),2),""))</f>
        <v/>
      </c>
      <c r="BP61" s="784"/>
      <c r="BS61" s="705" t="s">
        <v>1997</v>
      </c>
    </row>
    <row r="62" spans="2:75" ht="21.95" hidden="1" customHeight="1">
      <c r="E62" s="518">
        <v>22.5</v>
      </c>
      <c r="F62" s="3" cm="1">
        <f t="array" aca="1" ref="F62" ca="1">OFFSET(E62,-1,1)</f>
        <v>0</v>
      </c>
      <c r="H62" s="290"/>
      <c r="I62" s="290" t="s">
        <v>1364</v>
      </c>
      <c r="K62" s="290" t="s">
        <v>1364</v>
      </c>
      <c r="L62" s="44" t="s">
        <v>929</v>
      </c>
      <c r="M62" s="44"/>
      <c r="Q62" s="91" t="s">
        <v>2218</v>
      </c>
      <c r="R62" s="94" t="s">
        <v>2218</v>
      </c>
      <c r="T62" s="365" t="b" cm="1">
        <f t="array" ref="T62">T61</f>
        <v>0</v>
      </c>
      <c r="X62" s="1075"/>
      <c r="Z62" s="1065"/>
      <c r="AB62" s="152" t="s">
        <v>1024</v>
      </c>
      <c r="AC62" s="153" t="s">
        <v>1998</v>
      </c>
      <c r="AD62" s="26" t="s">
        <v>804</v>
      </c>
      <c r="AE62" s="190">
        <f ca="1">AE63+AE64</f>
        <v>0</v>
      </c>
      <c r="AF62" s="190">
        <f ca="1">AF63+AF64</f>
        <v>0</v>
      </c>
      <c r="AG62" s="190">
        <f ca="1">AG63+AG64</f>
        <v>0</v>
      </c>
      <c r="AH62" s="190">
        <f t="shared" ca="1" si="7"/>
        <v>0</v>
      </c>
      <c r="AI62" s="952">
        <f ca="1">AI63+AI64</f>
        <v>0</v>
      </c>
      <c r="AJ62" s="785"/>
      <c r="AK62" s="552"/>
      <c r="AL62" s="552"/>
      <c r="AM62" s="552"/>
      <c r="AN62" s="552"/>
      <c r="AO62" s="552"/>
      <c r="AP62" s="552"/>
      <c r="AQ62" s="552"/>
      <c r="AR62" s="552"/>
      <c r="AS62" s="552"/>
      <c r="AT62" s="552"/>
      <c r="AU62" s="552"/>
      <c r="AV62" s="552"/>
      <c r="AW62" s="552"/>
      <c r="AX62" s="552"/>
      <c r="AY62" s="552"/>
      <c r="AZ62" s="552"/>
      <c r="BA62" s="552"/>
      <c r="BB62" s="552"/>
      <c r="BC62" s="552"/>
      <c r="BD62" s="552"/>
      <c r="BE62" s="552"/>
      <c r="BF62" s="552"/>
      <c r="BG62" s="552"/>
      <c r="BH62" s="552"/>
      <c r="BI62" s="552"/>
      <c r="BJ62" s="552"/>
      <c r="BK62" s="552"/>
      <c r="BL62" s="552"/>
      <c r="BM62" s="552"/>
      <c r="BN62" s="784"/>
      <c r="BO62" s="784"/>
      <c r="BP62" s="784"/>
      <c r="BS62" s="703" t="s">
        <v>1804</v>
      </c>
    </row>
    <row r="63" spans="2:75" ht="14.65" hidden="1" customHeight="1">
      <c r="E63" s="518">
        <v>15</v>
      </c>
      <c r="F63" s="3" cm="1">
        <f t="array" aca="1" ref="F63" ca="1">OFFSET(E63,-1,1)</f>
        <v>0</v>
      </c>
      <c r="G63" s="91" t="s">
        <v>1179</v>
      </c>
      <c r="H63" s="290"/>
      <c r="I63" s="290" t="s">
        <v>1999</v>
      </c>
      <c r="K63" s="290" t="s">
        <v>1999</v>
      </c>
      <c r="L63" s="44" t="s">
        <v>497</v>
      </c>
      <c r="M63" s="44"/>
      <c r="Q63" s="91" t="s">
        <v>2218</v>
      </c>
      <c r="R63" s="94" t="s">
        <v>2218</v>
      </c>
      <c r="T63" s="365" t="b" cm="1">
        <f t="array" ref="T63">T62</f>
        <v>0</v>
      </c>
      <c r="X63" s="1075"/>
      <c r="Z63" s="1065"/>
      <c r="AB63" s="152" t="s">
        <v>2000</v>
      </c>
      <c r="AC63" s="553" t="s">
        <v>1805</v>
      </c>
      <c r="AD63" s="555" t="s">
        <v>804</v>
      </c>
      <c r="AE63" s="787"/>
      <c r="AF63" s="787"/>
      <c r="AG63" s="787"/>
      <c r="AH63" s="190">
        <f t="shared" si="7"/>
        <v>0</v>
      </c>
      <c r="AI63" s="952"/>
      <c r="AJ63" s="785"/>
      <c r="AK63" s="552"/>
      <c r="AL63" s="552"/>
      <c r="AM63" s="552"/>
      <c r="AN63" s="552"/>
      <c r="AO63" s="552"/>
      <c r="AP63" s="552"/>
      <c r="AQ63" s="552"/>
      <c r="AR63" s="552"/>
      <c r="AS63" s="552"/>
      <c r="AT63" s="552"/>
      <c r="AU63" s="552"/>
      <c r="AV63" s="552"/>
      <c r="AW63" s="552"/>
      <c r="AX63" s="552"/>
      <c r="AY63" s="552"/>
      <c r="AZ63" s="552"/>
      <c r="BA63" s="552"/>
      <c r="BB63" s="552"/>
      <c r="BC63" s="552"/>
      <c r="BD63" s="552"/>
      <c r="BE63" s="552"/>
      <c r="BF63" s="552"/>
      <c r="BG63" s="552"/>
      <c r="BH63" s="552"/>
      <c r="BI63" s="552"/>
      <c r="BJ63" s="552"/>
      <c r="BK63" s="552"/>
      <c r="BL63" s="552"/>
      <c r="BM63" s="552"/>
      <c r="BN63" s="784"/>
      <c r="BO63" s="788" t="str">
        <f ca="1">IF(IFERROR(INDEX(ФОТ!$K$26:$L$102,MATCH($F63&amp;"5komm",ФОТ!$K$26:$K$102,0),2),"")=0,"",IFERROR(INDEX(ФОТ!$K$26:$L$102,MATCH($F63&amp;"5komm",ФОТ!$K$26:$K$102,0),2),""))</f>
        <v/>
      </c>
      <c r="BP63" s="784"/>
      <c r="BS63" s="703" t="s">
        <v>1196</v>
      </c>
    </row>
    <row r="64" spans="2:75" ht="21.95" hidden="1" customHeight="1">
      <c r="E64" s="518">
        <v>22.5</v>
      </c>
      <c r="F64" s="3" cm="1">
        <f t="array" aca="1" ref="F64" ca="1">OFFSET(E64,-1,1)</f>
        <v>0</v>
      </c>
      <c r="G64" s="91" t="s">
        <v>1184</v>
      </c>
      <c r="H64" s="290"/>
      <c r="I64" s="290" t="s">
        <v>2001</v>
      </c>
      <c r="K64" s="290" t="s">
        <v>2001</v>
      </c>
      <c r="L64" s="44" t="s">
        <v>502</v>
      </c>
      <c r="M64" s="44"/>
      <c r="Q64" s="91" t="s">
        <v>2218</v>
      </c>
      <c r="R64" s="94" t="s">
        <v>2218</v>
      </c>
      <c r="T64" s="365" t="b" cm="1">
        <f t="array" ref="T64">T63</f>
        <v>0</v>
      </c>
      <c r="X64" s="1075"/>
      <c r="Z64" s="1065"/>
      <c r="AB64" s="152" t="s">
        <v>2002</v>
      </c>
      <c r="AC64" s="553" t="s">
        <v>2003</v>
      </c>
      <c r="AD64" s="26" t="s">
        <v>804</v>
      </c>
      <c r="AE64" s="787">
        <f ca="1">AE63*SUMIFS(INDEX(Сценарии!$AE$25:$BF$109,,MATCH(AE$8,Сценарии!$AE$8:$BF$8,0)),Сценарии!$F$25:$F$109,$F64,Сценарии!$G$25:$G$109,"СВФОТ")/100</f>
        <v>0</v>
      </c>
      <c r="AF64" s="787">
        <f ca="1">AF63*SUMIFS(INDEX(Сценарии!$AE$25:$BF$109,,MATCH(AF$8,Сценарии!$AE$8:$BF$8,0)),Сценарии!$F$25:$F$109,$F64,Сценарии!$G$25:$G$109,"СВФОТ")/100</f>
        <v>0</v>
      </c>
      <c r="AG64" s="787">
        <f ca="1">AG63*SUMIFS(INDEX(Сценарии!$AE$25:$BF$109,,MATCH(AG$8,Сценарии!$AE$8:$BF$8,0)),Сценарии!$F$25:$F$109,$F64,Сценарии!$G$25:$G$109,"СВФОТ")/100</f>
        <v>0</v>
      </c>
      <c r="AH64" s="190">
        <f t="shared" ca="1" si="7"/>
        <v>0</v>
      </c>
      <c r="AI64" s="952">
        <f ca="1">AI63*SUMIFS(INDEX(Сценарии!$AE$25:$BF$109,,MATCH(AG$8,Сценарии!$AE$8:$BF$8,0)),Сценарии!$F$25:$F$109,$F64,Сценарии!$G$25:$G$109,"СВФОТ")/100</f>
        <v>0</v>
      </c>
      <c r="AJ64" s="785"/>
      <c r="AK64" s="552"/>
      <c r="AL64" s="552"/>
      <c r="AM64" s="552"/>
      <c r="AN64" s="552"/>
      <c r="AO64" s="552"/>
      <c r="AP64" s="552"/>
      <c r="AQ64" s="552"/>
      <c r="AR64" s="552"/>
      <c r="AS64" s="552"/>
      <c r="AT64" s="552"/>
      <c r="AU64" s="552"/>
      <c r="AV64" s="552"/>
      <c r="AW64" s="552"/>
      <c r="AX64" s="552"/>
      <c r="AY64" s="552"/>
      <c r="AZ64" s="552"/>
      <c r="BA64" s="552"/>
      <c r="BB64" s="552"/>
      <c r="BC64" s="552"/>
      <c r="BD64" s="552"/>
      <c r="BE64" s="552"/>
      <c r="BF64" s="552"/>
      <c r="BG64" s="552"/>
      <c r="BH64" s="552"/>
      <c r="BI64" s="552"/>
      <c r="BJ64" s="552"/>
      <c r="BK64" s="552"/>
      <c r="BL64" s="552"/>
      <c r="BM64" s="552"/>
      <c r="BN64" s="784"/>
      <c r="BO64" s="788" t="str">
        <f ca="1">IF(IFERROR(INDEX(ФОТ!$K$26:$L$102,MATCH($F64&amp;"6komm",ФОТ!$K$26:$K$102,0),2),"")=0,"",IFERROR(INDEX(ФОТ!$K$26:$L$102,MATCH($F64&amp;"6komm",ФОТ!$K$26:$K$102,0),2),""))</f>
        <v/>
      </c>
      <c r="BP64" s="784"/>
      <c r="BS64" s="703" t="s">
        <v>1807</v>
      </c>
    </row>
    <row r="65" spans="2:75" ht="32.85" hidden="1" customHeight="1">
      <c r="E65" s="518">
        <v>33.75</v>
      </c>
      <c r="F65" s="3" cm="1">
        <f t="array" aca="1" ref="F65" ca="1">OFFSET(E65,-1,1)</f>
        <v>0</v>
      </c>
      <c r="G65" s="2" t="s">
        <v>1225</v>
      </c>
      <c r="H65" s="290"/>
      <c r="I65" s="290" t="s">
        <v>1367</v>
      </c>
      <c r="K65" s="290" t="s">
        <v>1367</v>
      </c>
      <c r="L65" s="44" t="s">
        <v>931</v>
      </c>
      <c r="M65" s="44"/>
      <c r="Q65" s="91" t="s">
        <v>2218</v>
      </c>
      <c r="R65" s="94" t="s">
        <v>2218</v>
      </c>
      <c r="T65" s="365" t="b" cm="1">
        <f t="array" ref="T65">T64</f>
        <v>0</v>
      </c>
      <c r="X65" s="1075"/>
      <c r="Z65" s="1065"/>
      <c r="AB65" s="152" t="s">
        <v>1368</v>
      </c>
      <c r="AC65" s="153" t="s">
        <v>2004</v>
      </c>
      <c r="AD65" s="26" t="s">
        <v>804</v>
      </c>
      <c r="AE65" s="787"/>
      <c r="AF65" s="787"/>
      <c r="AG65" s="787"/>
      <c r="AH65" s="190">
        <f t="shared" si="7"/>
        <v>0</v>
      </c>
      <c r="AI65" s="952"/>
      <c r="AJ65" s="785"/>
      <c r="AK65" s="552"/>
      <c r="AL65" s="552"/>
      <c r="AM65" s="552"/>
      <c r="AN65" s="552"/>
      <c r="AO65" s="552"/>
      <c r="AP65" s="552"/>
      <c r="AQ65" s="552"/>
      <c r="AR65" s="552"/>
      <c r="AS65" s="552"/>
      <c r="AT65" s="552"/>
      <c r="AU65" s="552"/>
      <c r="AV65" s="552"/>
      <c r="AW65" s="552"/>
      <c r="AX65" s="552"/>
      <c r="AY65" s="552"/>
      <c r="AZ65" s="552"/>
      <c r="BA65" s="552"/>
      <c r="BB65" s="552"/>
      <c r="BC65" s="552"/>
      <c r="BD65" s="552"/>
      <c r="BE65" s="552"/>
      <c r="BF65" s="552"/>
      <c r="BG65" s="552"/>
      <c r="BH65" s="552"/>
      <c r="BI65" s="552"/>
      <c r="BJ65" s="552"/>
      <c r="BK65" s="552"/>
      <c r="BL65" s="552"/>
      <c r="BM65" s="552"/>
      <c r="BN65" s="784"/>
      <c r="BO65" s="788" t="str">
        <f ca="1">IF(IFERROR(INDEX(Административные!$K$26:$L$84,MATCH($F65&amp;"2komm",Административные!$K$26:$K$84,0),2),"")=0,"",IFERROR(INDEX(Административные!$K$26:$L$84,MATCH($F65&amp;"2komm",Административные!$K$26:$K$84,0),2),""))</f>
        <v/>
      </c>
      <c r="BP65" s="784"/>
      <c r="BS65" s="703" t="s">
        <v>1227</v>
      </c>
    </row>
    <row r="66" spans="2:75" ht="14.65" hidden="1" customHeight="1">
      <c r="E66" s="518">
        <v>15</v>
      </c>
      <c r="F66" s="3" cm="1">
        <f t="array" aca="1" ref="F66" ca="1">OFFSET(E66,-1,1)</f>
        <v>0</v>
      </c>
      <c r="G66" s="2" t="s">
        <v>1228</v>
      </c>
      <c r="H66" s="290"/>
      <c r="I66" s="290" t="s">
        <v>1371</v>
      </c>
      <c r="K66" s="290" t="s">
        <v>1371</v>
      </c>
      <c r="L66" s="44" t="s">
        <v>933</v>
      </c>
      <c r="M66" s="44"/>
      <c r="Q66" s="91" t="s">
        <v>2218</v>
      </c>
      <c r="R66" s="94" t="s">
        <v>2218</v>
      </c>
      <c r="T66" s="365" t="b" cm="1">
        <f t="array" ref="T66">T65</f>
        <v>0</v>
      </c>
      <c r="X66" s="1075"/>
      <c r="Z66" s="1065"/>
      <c r="AB66" s="152" t="s">
        <v>1372</v>
      </c>
      <c r="AC66" s="153" t="s">
        <v>2005</v>
      </c>
      <c r="AD66" s="26" t="s">
        <v>804</v>
      </c>
      <c r="AE66" s="787"/>
      <c r="AF66" s="787"/>
      <c r="AG66" s="787"/>
      <c r="AH66" s="190">
        <f t="shared" si="7"/>
        <v>0</v>
      </c>
      <c r="AI66" s="952"/>
      <c r="AJ66" s="785"/>
      <c r="AK66" s="552"/>
      <c r="AL66" s="552"/>
      <c r="AM66" s="552"/>
      <c r="AN66" s="552"/>
      <c r="AO66" s="552"/>
      <c r="AP66" s="552"/>
      <c r="AQ66" s="552"/>
      <c r="AR66" s="552"/>
      <c r="AS66" s="552"/>
      <c r="AT66" s="552"/>
      <c r="AU66" s="552"/>
      <c r="AV66" s="552"/>
      <c r="AW66" s="552"/>
      <c r="AX66" s="552"/>
      <c r="AY66" s="552"/>
      <c r="AZ66" s="552"/>
      <c r="BA66" s="552"/>
      <c r="BB66" s="552"/>
      <c r="BC66" s="552"/>
      <c r="BD66" s="552"/>
      <c r="BE66" s="552"/>
      <c r="BF66" s="552"/>
      <c r="BG66" s="552"/>
      <c r="BH66" s="552"/>
      <c r="BI66" s="552"/>
      <c r="BJ66" s="552"/>
      <c r="BK66" s="552"/>
      <c r="BL66" s="552"/>
      <c r="BM66" s="552"/>
      <c r="BN66" s="784"/>
      <c r="BO66" s="788" t="str">
        <f ca="1">IF(IFERROR(INDEX(Административные!$K$26:$L$84,MATCH($F66&amp;"3komm",Административные!$K$26:$K$84,0),2),"")=0,"",IFERROR(INDEX(Административные!$K$26:$L$84,MATCH($F66&amp;"3komm",Административные!$K$26:$K$84,0),2),""))</f>
        <v/>
      </c>
      <c r="BP66" s="784"/>
      <c r="BS66" s="703" t="s">
        <v>1230</v>
      </c>
    </row>
    <row r="67" spans="2:75" ht="14.65" hidden="1" customHeight="1">
      <c r="E67" s="518">
        <v>15</v>
      </c>
      <c r="F67" s="3" cm="1">
        <f t="array" aca="1" ref="F67" ca="1">OFFSET(E67,-1,1)</f>
        <v>0</v>
      </c>
      <c r="G67" s="2" t="s">
        <v>1231</v>
      </c>
      <c r="H67" s="290"/>
      <c r="I67" s="290" t="s">
        <v>2006</v>
      </c>
      <c r="K67" s="290" t="s">
        <v>2006</v>
      </c>
      <c r="L67" s="44" t="s">
        <v>936</v>
      </c>
      <c r="M67" s="44"/>
      <c r="Q67" s="91" t="s">
        <v>2218</v>
      </c>
      <c r="R67" s="94" t="s">
        <v>2218</v>
      </c>
      <c r="T67" s="365" t="b" cm="1">
        <f t="array" ref="T67">T66</f>
        <v>0</v>
      </c>
      <c r="X67" s="1075"/>
      <c r="Z67" s="1065"/>
      <c r="AB67" s="152" t="s">
        <v>2007</v>
      </c>
      <c r="AC67" s="153" t="s">
        <v>2008</v>
      </c>
      <c r="AD67" s="26" t="s">
        <v>804</v>
      </c>
      <c r="AE67" s="787"/>
      <c r="AF67" s="787"/>
      <c r="AG67" s="787"/>
      <c r="AH67" s="190">
        <f t="shared" si="7"/>
        <v>0</v>
      </c>
      <c r="AI67" s="952"/>
      <c r="AJ67" s="785"/>
      <c r="AK67" s="552"/>
      <c r="AL67" s="552"/>
      <c r="AM67" s="552"/>
      <c r="AN67" s="552"/>
      <c r="AO67" s="552"/>
      <c r="AP67" s="552"/>
      <c r="AQ67" s="552"/>
      <c r="AR67" s="552"/>
      <c r="AS67" s="552"/>
      <c r="AT67" s="552"/>
      <c r="AU67" s="552"/>
      <c r="AV67" s="552"/>
      <c r="AW67" s="552"/>
      <c r="AX67" s="552"/>
      <c r="AY67" s="552"/>
      <c r="AZ67" s="552"/>
      <c r="BA67" s="552"/>
      <c r="BB67" s="552"/>
      <c r="BC67" s="552"/>
      <c r="BD67" s="552"/>
      <c r="BE67" s="552"/>
      <c r="BF67" s="552"/>
      <c r="BG67" s="552"/>
      <c r="BH67" s="552"/>
      <c r="BI67" s="552"/>
      <c r="BJ67" s="552"/>
      <c r="BK67" s="552"/>
      <c r="BL67" s="552"/>
      <c r="BM67" s="552"/>
      <c r="BN67" s="784"/>
      <c r="BO67" s="788" t="str">
        <f ca="1">IF(IFERROR(INDEX(Административные!$K$26:$L$84,MATCH($F67&amp;"4komm",Административные!$K$26:$K$84,0),2),"")=0,"",IFERROR(INDEX(Административные!$K$26:$L$84,MATCH($F67&amp;"4komm",Административные!$K$26:$K$84,0),2),""))</f>
        <v/>
      </c>
      <c r="BP67" s="784"/>
      <c r="BS67" s="703" t="s">
        <v>1233</v>
      </c>
    </row>
    <row r="68" spans="2:75" ht="14.65" hidden="1" customHeight="1">
      <c r="E68" s="518">
        <v>15</v>
      </c>
      <c r="F68" s="3" cm="1">
        <f t="array" aca="1" ref="F68" ca="1">OFFSET(E68,-1,1)</f>
        <v>0</v>
      </c>
      <c r="G68" s="2" t="s">
        <v>1234</v>
      </c>
      <c r="H68" s="290"/>
      <c r="I68" s="290" t="s">
        <v>2009</v>
      </c>
      <c r="K68" s="290" t="s">
        <v>2009</v>
      </c>
      <c r="L68" s="44" t="s">
        <v>1216</v>
      </c>
      <c r="M68" s="44"/>
      <c r="Q68" s="91" t="s">
        <v>2218</v>
      </c>
      <c r="R68" s="94" t="s">
        <v>2218</v>
      </c>
      <c r="T68" s="365" t="b" cm="1">
        <f t="array" ref="T68">T67</f>
        <v>0</v>
      </c>
      <c r="X68" s="1075"/>
      <c r="Z68" s="1065"/>
      <c r="AB68" s="152" t="s">
        <v>2010</v>
      </c>
      <c r="AC68" s="153" t="s">
        <v>2011</v>
      </c>
      <c r="AD68" s="26" t="s">
        <v>804</v>
      </c>
      <c r="AE68" s="787"/>
      <c r="AF68" s="787"/>
      <c r="AG68" s="787"/>
      <c r="AH68" s="190">
        <f t="shared" si="7"/>
        <v>0</v>
      </c>
      <c r="AI68" s="952"/>
      <c r="AJ68" s="785"/>
      <c r="AK68" s="552"/>
      <c r="AL68" s="552"/>
      <c r="AM68" s="552"/>
      <c r="AN68" s="552"/>
      <c r="AO68" s="552"/>
      <c r="AP68" s="552"/>
      <c r="AQ68" s="552"/>
      <c r="AR68" s="552"/>
      <c r="AS68" s="552"/>
      <c r="AT68" s="552"/>
      <c r="AU68" s="552"/>
      <c r="AV68" s="552"/>
      <c r="AW68" s="552"/>
      <c r="AX68" s="552"/>
      <c r="AY68" s="552"/>
      <c r="AZ68" s="552"/>
      <c r="BA68" s="552"/>
      <c r="BB68" s="552"/>
      <c r="BC68" s="552"/>
      <c r="BD68" s="552"/>
      <c r="BE68" s="552"/>
      <c r="BF68" s="552"/>
      <c r="BG68" s="552"/>
      <c r="BH68" s="552"/>
      <c r="BI68" s="552"/>
      <c r="BJ68" s="552"/>
      <c r="BK68" s="552"/>
      <c r="BL68" s="552"/>
      <c r="BM68" s="552"/>
      <c r="BN68" s="784"/>
      <c r="BO68" s="788" t="str">
        <f ca="1">IF(IFERROR(INDEX(Административные!$K$26:$L$84,MATCH($F68&amp;"5komm",Административные!$K$26:$K$84,0),2),"")=0,"",IFERROR(INDEX(Административные!$K$26:$L$84,MATCH($F68&amp;"5komm",Административные!$K$26:$K$84,0),2),""))</f>
        <v/>
      </c>
      <c r="BP68" s="784"/>
      <c r="BS68" s="703" t="s">
        <v>1809</v>
      </c>
    </row>
    <row r="69" spans="2:75" ht="14.65" hidden="1" customHeight="1">
      <c r="E69" s="518">
        <v>15</v>
      </c>
      <c r="F69" s="3" cm="1">
        <f t="array" aca="1" ref="F69" ca="1">OFFSET(E69,-1,1)</f>
        <v>0</v>
      </c>
      <c r="G69" s="2" t="s">
        <v>1237</v>
      </c>
      <c r="H69" s="290"/>
      <c r="I69" s="290" t="s">
        <v>2012</v>
      </c>
      <c r="K69" s="290" t="s">
        <v>2012</v>
      </c>
      <c r="L69" s="44" t="s">
        <v>1221</v>
      </c>
      <c r="M69" s="44"/>
      <c r="Q69" s="91" t="s">
        <v>2218</v>
      </c>
      <c r="R69" s="94" t="s">
        <v>2218</v>
      </c>
      <c r="T69" s="365" t="b" cm="1">
        <f t="array" ref="T69">T68</f>
        <v>0</v>
      </c>
      <c r="X69" s="1075"/>
      <c r="Z69" s="1065"/>
      <c r="AB69" s="152" t="s">
        <v>2013</v>
      </c>
      <c r="AC69" s="153" t="s">
        <v>2014</v>
      </c>
      <c r="AD69" s="26" t="s">
        <v>804</v>
      </c>
      <c r="AE69" s="190">
        <f>SUM(AE70:AE72)</f>
        <v>0</v>
      </c>
      <c r="AF69" s="190">
        <f>SUM(AF70:AF72)</f>
        <v>0</v>
      </c>
      <c r="AG69" s="190">
        <f>SUM(AG70:AG72)</f>
        <v>0</v>
      </c>
      <c r="AH69" s="190">
        <f t="shared" si="7"/>
        <v>0</v>
      </c>
      <c r="AI69" s="952">
        <f>SUM(AI70:AI72)</f>
        <v>0</v>
      </c>
      <c r="AJ69" s="785"/>
      <c r="AK69" s="552"/>
      <c r="AL69" s="552"/>
      <c r="AM69" s="552"/>
      <c r="AN69" s="552"/>
      <c r="AO69" s="552"/>
      <c r="AP69" s="552"/>
      <c r="AQ69" s="552"/>
      <c r="AR69" s="552"/>
      <c r="AS69" s="552"/>
      <c r="AT69" s="552"/>
      <c r="AU69" s="552"/>
      <c r="AV69" s="552"/>
      <c r="AW69" s="552"/>
      <c r="AX69" s="552"/>
      <c r="AY69" s="552"/>
      <c r="AZ69" s="552"/>
      <c r="BA69" s="552"/>
      <c r="BB69" s="552"/>
      <c r="BC69" s="552"/>
      <c r="BD69" s="552"/>
      <c r="BE69" s="552"/>
      <c r="BF69" s="552"/>
      <c r="BG69" s="552"/>
      <c r="BH69" s="552"/>
      <c r="BI69" s="552"/>
      <c r="BJ69" s="552"/>
      <c r="BK69" s="552"/>
      <c r="BL69" s="552"/>
      <c r="BM69" s="552"/>
      <c r="BN69" s="784"/>
      <c r="BO69" s="788" t="str">
        <f ca="1">IF(IFERROR(INDEX(Административные!$K$26:$L$84,MATCH($F69&amp;"6komm",Административные!$K$26:$K$84,0),2),"")=0,"",IFERROR(INDEX(Административные!$K$26:$L$84,MATCH($F69&amp;"6komm",Административные!$K$26:$K$84,0),2),""))</f>
        <v/>
      </c>
      <c r="BP69" s="784"/>
      <c r="BS69" s="703" t="s">
        <v>1811</v>
      </c>
    </row>
    <row r="70" spans="2:75" ht="14.65" hidden="1" customHeight="1">
      <c r="E70" s="518">
        <v>15</v>
      </c>
      <c r="F70" s="3" cm="1">
        <f t="array" aca="1" ref="F70" ca="1">OFFSET(E70,-1,1)</f>
        <v>0</v>
      </c>
      <c r="G70" s="2" t="s">
        <v>1239</v>
      </c>
      <c r="H70" s="290"/>
      <c r="I70" s="290" t="s">
        <v>2015</v>
      </c>
      <c r="K70" s="290" t="s">
        <v>2015</v>
      </c>
      <c r="L70" s="44" t="s">
        <v>1812</v>
      </c>
      <c r="M70" s="44"/>
      <c r="Q70" s="91" t="s">
        <v>2218</v>
      </c>
      <c r="R70" s="94" t="s">
        <v>2218</v>
      </c>
      <c r="T70" s="365" t="b" cm="1">
        <f t="array" ref="T70">T69</f>
        <v>0</v>
      </c>
      <c r="X70" s="1075"/>
      <c r="Z70" s="1065"/>
      <c r="AB70" s="152" t="s">
        <v>2016</v>
      </c>
      <c r="AC70" s="553" t="s">
        <v>1814</v>
      </c>
      <c r="AD70" s="26" t="s">
        <v>804</v>
      </c>
      <c r="AE70" s="787"/>
      <c r="AF70" s="787"/>
      <c r="AG70" s="787"/>
      <c r="AH70" s="190">
        <f t="shared" si="7"/>
        <v>0</v>
      </c>
      <c r="AI70" s="952"/>
      <c r="AJ70" s="785"/>
      <c r="AK70" s="552"/>
      <c r="AL70" s="552"/>
      <c r="AM70" s="552"/>
      <c r="AN70" s="552"/>
      <c r="AO70" s="552"/>
      <c r="AP70" s="552"/>
      <c r="AQ70" s="552"/>
      <c r="AR70" s="552"/>
      <c r="AS70" s="552"/>
      <c r="AT70" s="552"/>
      <c r="AU70" s="552"/>
      <c r="AV70" s="552"/>
      <c r="AW70" s="552"/>
      <c r="AX70" s="552"/>
      <c r="AY70" s="552"/>
      <c r="AZ70" s="552"/>
      <c r="BA70" s="552"/>
      <c r="BB70" s="552"/>
      <c r="BC70" s="552"/>
      <c r="BD70" s="552"/>
      <c r="BE70" s="552"/>
      <c r="BF70" s="552"/>
      <c r="BG70" s="552"/>
      <c r="BH70" s="552"/>
      <c r="BI70" s="552"/>
      <c r="BJ70" s="552"/>
      <c r="BK70" s="552"/>
      <c r="BL70" s="552"/>
      <c r="BM70" s="552"/>
      <c r="BN70" s="784"/>
      <c r="BO70" s="788" t="str">
        <f ca="1">IF(IFERROR(INDEX(Административные!$K$26:$L$84,MATCH($F70&amp;"7komm",Административные!$K$26:$K$84,0),2),"")=0,"",IFERROR(INDEX(Административные!$K$26:$L$84,MATCH($F70&amp;"7komm",Административные!$K$26:$K$84,0),2),""))</f>
        <v/>
      </c>
      <c r="BP70" s="784"/>
      <c r="BS70" s="703" t="s">
        <v>1815</v>
      </c>
    </row>
    <row r="71" spans="2:75" ht="14.65" hidden="1" customHeight="1">
      <c r="E71" s="518">
        <v>15</v>
      </c>
      <c r="F71" s="3" cm="1">
        <f t="array" aca="1" ref="F71" ca="1">OFFSET(E71,-1,1)</f>
        <v>0</v>
      </c>
      <c r="G71" s="2" t="s">
        <v>1242</v>
      </c>
      <c r="H71" s="290"/>
      <c r="I71" s="290" t="s">
        <v>2017</v>
      </c>
      <c r="K71" s="290" t="s">
        <v>2017</v>
      </c>
      <c r="L71" s="44" t="s">
        <v>1816</v>
      </c>
      <c r="M71" s="44"/>
      <c r="Q71" s="91" t="s">
        <v>2218</v>
      </c>
      <c r="R71" s="94" t="s">
        <v>2218</v>
      </c>
      <c r="T71" s="365" t="b" cm="1">
        <f t="array" ref="T71">T70</f>
        <v>0</v>
      </c>
      <c r="X71" s="1075"/>
      <c r="Z71" s="1065"/>
      <c r="AB71" s="152" t="s">
        <v>2018</v>
      </c>
      <c r="AC71" s="553" t="s">
        <v>1243</v>
      </c>
      <c r="AD71" s="26" t="s">
        <v>804</v>
      </c>
      <c r="AE71" s="787"/>
      <c r="AF71" s="787"/>
      <c r="AG71" s="787"/>
      <c r="AH71" s="190">
        <f t="shared" si="7"/>
        <v>0</v>
      </c>
      <c r="AI71" s="952"/>
      <c r="AJ71" s="785"/>
      <c r="AK71" s="552"/>
      <c r="AL71" s="552"/>
      <c r="AM71" s="552"/>
      <c r="AN71" s="552"/>
      <c r="AO71" s="552"/>
      <c r="AP71" s="552"/>
      <c r="AQ71" s="552"/>
      <c r="AR71" s="552"/>
      <c r="AS71" s="552"/>
      <c r="AT71" s="552"/>
      <c r="AU71" s="552"/>
      <c r="AV71" s="552"/>
      <c r="AW71" s="552"/>
      <c r="AX71" s="552"/>
      <c r="AY71" s="552"/>
      <c r="AZ71" s="552"/>
      <c r="BA71" s="552"/>
      <c r="BB71" s="552"/>
      <c r="BC71" s="552"/>
      <c r="BD71" s="552"/>
      <c r="BE71" s="552"/>
      <c r="BF71" s="552"/>
      <c r="BG71" s="552"/>
      <c r="BH71" s="552"/>
      <c r="BI71" s="552"/>
      <c r="BJ71" s="552"/>
      <c r="BK71" s="552"/>
      <c r="BL71" s="552"/>
      <c r="BM71" s="552"/>
      <c r="BN71" s="784"/>
      <c r="BO71" s="788" t="str">
        <f ca="1">IF(IFERROR(INDEX(Административные!$K$26:$L$84,MATCH($F71&amp;"8komm",Административные!$K$26:$K$84,0),2),"")=0,"",IFERROR(INDEX(Административные!$K$26:$L$84,MATCH($F71&amp;"8komm",Административные!$K$26:$K$84,0),2),""))</f>
        <v/>
      </c>
      <c r="BP71" s="784"/>
      <c r="BS71" s="703" t="s">
        <v>1818</v>
      </c>
    </row>
    <row r="72" spans="2:75" ht="14.65" hidden="1" customHeight="1">
      <c r="E72" s="518">
        <v>15</v>
      </c>
      <c r="F72" s="3" cm="1">
        <f t="array" aca="1" ref="F72" ca="1">OFFSET(E72,-1,1)</f>
        <v>0</v>
      </c>
      <c r="G72" s="91" t="s">
        <v>1245</v>
      </c>
      <c r="H72" s="290"/>
      <c r="I72" s="290" t="s">
        <v>2019</v>
      </c>
      <c r="K72" s="290" t="s">
        <v>2019</v>
      </c>
      <c r="L72" s="44" t="s">
        <v>1819</v>
      </c>
      <c r="M72" s="44"/>
      <c r="Q72" s="91" t="s">
        <v>2218</v>
      </c>
      <c r="R72" s="94" t="s">
        <v>2218</v>
      </c>
      <c r="T72" s="365" t="b" cm="1">
        <f t="array" ref="T72">T71</f>
        <v>0</v>
      </c>
      <c r="X72" s="1075"/>
      <c r="Z72" s="1065"/>
      <c r="AB72" s="152" t="s">
        <v>2020</v>
      </c>
      <c r="AC72" s="553" t="s">
        <v>1246</v>
      </c>
      <c r="AD72" s="26" t="s">
        <v>804</v>
      </c>
      <c r="AE72" s="787"/>
      <c r="AF72" s="787"/>
      <c r="AG72" s="787"/>
      <c r="AH72" s="190">
        <f t="shared" si="7"/>
        <v>0</v>
      </c>
      <c r="AI72" s="952"/>
      <c r="AJ72" s="785"/>
      <c r="AK72" s="552"/>
      <c r="AL72" s="552"/>
      <c r="AM72" s="552"/>
      <c r="AN72" s="552"/>
      <c r="AO72" s="552"/>
      <c r="AP72" s="552"/>
      <c r="AQ72" s="552"/>
      <c r="AR72" s="552"/>
      <c r="AS72" s="552"/>
      <c r="AT72" s="552"/>
      <c r="AU72" s="552"/>
      <c r="AV72" s="552"/>
      <c r="AW72" s="552"/>
      <c r="AX72" s="552"/>
      <c r="AY72" s="552"/>
      <c r="AZ72" s="552"/>
      <c r="BA72" s="552"/>
      <c r="BB72" s="552"/>
      <c r="BC72" s="552"/>
      <c r="BD72" s="552"/>
      <c r="BE72" s="552"/>
      <c r="BF72" s="552"/>
      <c r="BG72" s="552"/>
      <c r="BH72" s="552"/>
      <c r="BI72" s="552"/>
      <c r="BJ72" s="552"/>
      <c r="BK72" s="552"/>
      <c r="BL72" s="552"/>
      <c r="BM72" s="552"/>
      <c r="BN72" s="784"/>
      <c r="BO72" s="788" t="str">
        <f ca="1">IF(IFERROR(INDEX(Административные!$K$26:$L$84,MATCH($F72&amp;"9komm",Административные!$K$26:$K$84,0),2),"")=0,"",IFERROR(INDEX(Административные!$K$26:$L$84,MATCH($F72&amp;"9komm",Административные!$K$26:$K$84,0),2),""))</f>
        <v/>
      </c>
      <c r="BP72" s="784"/>
      <c r="BS72" s="703" t="s">
        <v>1821</v>
      </c>
    </row>
    <row r="73" spans="2:75" ht="21.95" hidden="1" customHeight="1">
      <c r="B73" s="341" t="b">
        <f>STATUS_GO="да"</f>
        <v>0</v>
      </c>
      <c r="E73" s="518">
        <v>22.5</v>
      </c>
      <c r="F73" s="3" cm="1">
        <f t="array" aca="1" ref="F73" ca="1">OFFSET(E73,-1,1)</f>
        <v>0</v>
      </c>
      <c r="H73" s="290"/>
      <c r="I73" s="290" t="s">
        <v>909</v>
      </c>
      <c r="K73" s="290" t="s">
        <v>909</v>
      </c>
      <c r="L73" s="44" t="s">
        <v>331</v>
      </c>
      <c r="M73" s="44"/>
      <c r="Q73" s="91" t="s">
        <v>2218</v>
      </c>
      <c r="R73" s="94" t="s">
        <v>2218</v>
      </c>
      <c r="T73" s="365" t="b" cm="1">
        <f t="array" ref="T73">T72</f>
        <v>0</v>
      </c>
      <c r="X73" s="1075"/>
      <c r="Z73" s="1065"/>
      <c r="AB73" s="152" t="s">
        <v>910</v>
      </c>
      <c r="AC73" s="146" t="s">
        <v>2021</v>
      </c>
      <c r="AD73" s="26" t="s">
        <v>804</v>
      </c>
      <c r="AE73" s="787"/>
      <c r="AF73" s="787"/>
      <c r="AG73" s="787"/>
      <c r="AH73" s="190">
        <f t="shared" si="7"/>
        <v>0</v>
      </c>
      <c r="AI73" s="952"/>
      <c r="AJ73" s="785"/>
      <c r="AK73" s="552"/>
      <c r="AL73" s="552"/>
      <c r="AM73" s="552"/>
      <c r="AN73" s="552"/>
      <c r="AO73" s="552"/>
      <c r="AP73" s="552"/>
      <c r="AQ73" s="552"/>
      <c r="AR73" s="552"/>
      <c r="AS73" s="552"/>
      <c r="AT73" s="552"/>
      <c r="AU73" s="552"/>
      <c r="AV73" s="552"/>
      <c r="AW73" s="552"/>
      <c r="AX73" s="552"/>
      <c r="AY73" s="552"/>
      <c r="AZ73" s="552"/>
      <c r="BA73" s="552"/>
      <c r="BB73" s="552"/>
      <c r="BC73" s="552"/>
      <c r="BD73" s="552"/>
      <c r="BE73" s="552"/>
      <c r="BF73" s="552"/>
      <c r="BG73" s="552"/>
      <c r="BH73" s="552"/>
      <c r="BI73" s="552"/>
      <c r="BJ73" s="552"/>
      <c r="BK73" s="552"/>
      <c r="BL73" s="552"/>
      <c r="BM73" s="552"/>
      <c r="BN73" s="784"/>
      <c r="BO73" s="784"/>
      <c r="BP73" s="784"/>
      <c r="BS73" s="704" t="s">
        <v>1823</v>
      </c>
    </row>
    <row r="74" spans="2:75" ht="14.65" hidden="1" customHeight="1">
      <c r="E74" s="518">
        <v>15</v>
      </c>
      <c r="F74" s="3" cm="1">
        <f t="array" aca="1" ref="F74" ca="1">OFFSET(E74,-1,1)</f>
        <v>0</v>
      </c>
      <c r="H74" s="290"/>
      <c r="I74" s="290" t="s">
        <v>1762</v>
      </c>
      <c r="K74" s="290" t="s">
        <v>1762</v>
      </c>
      <c r="L74" s="44"/>
      <c r="M74" s="44"/>
      <c r="Q74" s="91" t="s">
        <v>2218</v>
      </c>
      <c r="R74" s="94" t="s">
        <v>2218</v>
      </c>
      <c r="T74" s="365" t="b" cm="1">
        <f t="array" ref="T74">T73</f>
        <v>0</v>
      </c>
      <c r="X74" s="1075"/>
      <c r="Z74" s="1065"/>
      <c r="AB74" s="152" t="s">
        <v>1763</v>
      </c>
      <c r="AC74" s="146" t="s">
        <v>2022</v>
      </c>
      <c r="AD74" s="26" t="s">
        <v>804</v>
      </c>
      <c r="AE74" s="787"/>
      <c r="AF74" s="787"/>
      <c r="AG74" s="787"/>
      <c r="AH74" s="190">
        <f t="shared" si="7"/>
        <v>0</v>
      </c>
      <c r="AI74" s="952"/>
      <c r="AJ74" s="785"/>
      <c r="AK74" s="552"/>
      <c r="AL74" s="552"/>
      <c r="AM74" s="552"/>
      <c r="AN74" s="552"/>
      <c r="AO74" s="552"/>
      <c r="AP74" s="552"/>
      <c r="AQ74" s="552"/>
      <c r="AR74" s="552"/>
      <c r="AS74" s="552"/>
      <c r="AT74" s="552"/>
      <c r="AU74" s="552"/>
      <c r="AV74" s="552"/>
      <c r="AW74" s="552"/>
      <c r="AX74" s="552"/>
      <c r="AY74" s="552"/>
      <c r="AZ74" s="552"/>
      <c r="BA74" s="552"/>
      <c r="BB74" s="552"/>
      <c r="BC74" s="552"/>
      <c r="BD74" s="552"/>
      <c r="BE74" s="552"/>
      <c r="BF74" s="552"/>
      <c r="BG74" s="552"/>
      <c r="BH74" s="552"/>
      <c r="BI74" s="552"/>
      <c r="BJ74" s="552"/>
      <c r="BK74" s="552"/>
      <c r="BL74" s="552"/>
      <c r="BM74" s="552"/>
      <c r="BN74" s="784"/>
      <c r="BO74" s="784"/>
      <c r="BP74" s="784"/>
      <c r="BS74" s="705" t="s">
        <v>2023</v>
      </c>
    </row>
    <row r="75" spans="2:75" s="95" customFormat="1" ht="20.45" hidden="1" customHeight="1">
      <c r="B75" s="344"/>
      <c r="E75" s="522">
        <v>21</v>
      </c>
      <c r="F75" s="3" cm="1">
        <f t="array" aca="1" ref="F75" ca="1">OFFSET(E75,-1,1)</f>
        <v>0</v>
      </c>
      <c r="H75" s="290"/>
      <c r="I75" s="290" t="s">
        <v>1766</v>
      </c>
      <c r="K75" s="290" t="s">
        <v>1766</v>
      </c>
      <c r="L75" s="46"/>
      <c r="M75" s="46"/>
      <c r="Q75" s="91" t="s">
        <v>2218</v>
      </c>
      <c r="R75" s="94" t="s">
        <v>2218</v>
      </c>
      <c r="T75" s="365" t="b" cm="1">
        <f t="array" ref="T75">T74</f>
        <v>0</v>
      </c>
      <c r="X75" s="1075"/>
      <c r="Z75" s="1065"/>
      <c r="AB75" s="150" t="s">
        <v>1767</v>
      </c>
      <c r="AC75" s="276" t="s">
        <v>2024</v>
      </c>
      <c r="AD75" s="143" t="s">
        <v>804</v>
      </c>
      <c r="AE75" s="145">
        <f>SUM(AE76:AE77)</f>
        <v>0</v>
      </c>
      <c r="AF75" s="145">
        <f>SUM(AF76:AF77)</f>
        <v>0</v>
      </c>
      <c r="AG75" s="145">
        <f>SUM(AG76:AG77)</f>
        <v>0</v>
      </c>
      <c r="AH75" s="145">
        <f t="shared" si="7"/>
        <v>0</v>
      </c>
      <c r="AI75" s="951">
        <f>SUM(AI76:AI77)</f>
        <v>0</v>
      </c>
      <c r="AJ75" s="785"/>
      <c r="AK75" s="148"/>
      <c r="AL75" s="148"/>
      <c r="AM75" s="148"/>
      <c r="AN75" s="148"/>
      <c r="AO75" s="148"/>
      <c r="AP75" s="148"/>
      <c r="AQ75" s="148"/>
      <c r="AR75" s="148"/>
      <c r="AS75" s="148"/>
      <c r="AT75" s="552"/>
      <c r="AU75" s="552"/>
      <c r="AV75" s="148"/>
      <c r="AW75" s="148"/>
      <c r="AX75" s="148"/>
      <c r="AY75" s="148"/>
      <c r="AZ75" s="148"/>
      <c r="BA75" s="148"/>
      <c r="BB75" s="148"/>
      <c r="BC75" s="148"/>
      <c r="BD75" s="148"/>
      <c r="BE75" s="148"/>
      <c r="BF75" s="148"/>
      <c r="BG75" s="148"/>
      <c r="BH75" s="148"/>
      <c r="BI75" s="148"/>
      <c r="BJ75" s="148"/>
      <c r="BK75" s="148"/>
      <c r="BL75" s="148"/>
      <c r="BM75" s="148"/>
      <c r="BN75" s="786"/>
      <c r="BO75" s="786"/>
      <c r="BP75" s="786"/>
      <c r="BS75" s="711" t="s">
        <v>2025</v>
      </c>
      <c r="BT75" s="711"/>
      <c r="BU75" s="711"/>
      <c r="BV75" s="522"/>
      <c r="BW75" s="522"/>
    </row>
    <row r="76" spans="2:75" ht="14.65" hidden="1" customHeight="1">
      <c r="E76" s="518">
        <v>15</v>
      </c>
      <c r="F76" s="3" cm="1">
        <f t="array" aca="1" ref="F76" ca="1">OFFSET(E76,-1,1)</f>
        <v>0</v>
      </c>
      <c r="I76" s="290" t="s">
        <v>1766</v>
      </c>
      <c r="J76" s="91" cm="1">
        <f t="array" ref="J76">AC76</f>
        <v>0</v>
      </c>
      <c r="K76" s="290" t="s">
        <v>1766</v>
      </c>
      <c r="L76" s="44"/>
      <c r="M76" s="44"/>
      <c r="Q76" s="91" t="s">
        <v>2218</v>
      </c>
      <c r="R76" s="94" t="s">
        <v>2218</v>
      </c>
      <c r="T76" s="365" t="b">
        <f ca="1">AND(F76&gt;0,Y76&gt;0)</f>
        <v>0</v>
      </c>
      <c r="W76" s="91" t="s">
        <v>173</v>
      </c>
      <c r="X76" s="1075"/>
      <c r="Y76" s="91">
        <v>0</v>
      </c>
      <c r="Z76" s="1065"/>
      <c r="AA76" s="332" t="s">
        <v>174</v>
      </c>
      <c r="AB76" s="26" t="str">
        <f>"1.7."&amp;Y76</f>
        <v>1.7.0</v>
      </c>
      <c r="AC76" s="789"/>
      <c r="AD76" s="26" t="s">
        <v>804</v>
      </c>
      <c r="AE76" s="787"/>
      <c r="AF76" s="787"/>
      <c r="AG76" s="787"/>
      <c r="AH76" s="190">
        <f t="shared" si="7"/>
        <v>0</v>
      </c>
      <c r="AI76" s="952"/>
      <c r="AJ76" s="787"/>
      <c r="AK76" s="552"/>
      <c r="AL76" s="552"/>
      <c r="AM76" s="552"/>
      <c r="AN76" s="552"/>
      <c r="AO76" s="552"/>
      <c r="AP76" s="552"/>
      <c r="AQ76" s="552"/>
      <c r="AR76" s="552"/>
      <c r="AS76" s="552"/>
      <c r="AT76" s="552"/>
      <c r="AU76" s="552"/>
      <c r="AV76" s="552"/>
      <c r="AW76" s="552"/>
      <c r="AX76" s="552"/>
      <c r="AY76" s="552"/>
      <c r="AZ76" s="552"/>
      <c r="BA76" s="552"/>
      <c r="BB76" s="552"/>
      <c r="BC76" s="552"/>
      <c r="BD76" s="148"/>
      <c r="BE76" s="552"/>
      <c r="BF76" s="552"/>
      <c r="BG76" s="552"/>
      <c r="BH76" s="552"/>
      <c r="BI76" s="552"/>
      <c r="BJ76" s="552"/>
      <c r="BK76" s="552"/>
      <c r="BL76" s="552"/>
      <c r="BM76" s="552"/>
      <c r="BN76" s="784"/>
      <c r="BO76" s="784"/>
      <c r="BP76" s="784"/>
      <c r="BS76" s="705" t="s">
        <v>2025</v>
      </c>
      <c r="BT76" s="705" t="s">
        <v>2026</v>
      </c>
      <c r="BU76" s="705" cm="1">
        <f t="array" ref="BU76">AC76</f>
        <v>0</v>
      </c>
      <c r="BW76" s="518" t="b">
        <v>1</v>
      </c>
    </row>
    <row r="77" spans="2:75" ht="14.65" hidden="1" customHeight="1">
      <c r="E77" s="518">
        <v>15</v>
      </c>
      <c r="F77" s="3" cm="1">
        <f t="array" aca="1" ref="F77" ca="1">OFFSET(E77,-1,1)</f>
        <v>0</v>
      </c>
      <c r="G77" s="279"/>
      <c r="J77" s="91" t="s">
        <v>2027</v>
      </c>
      <c r="L77" s="44"/>
      <c r="M77" s="44"/>
      <c r="T77" s="365" t="b">
        <f ca="1">F77&gt;0</f>
        <v>0</v>
      </c>
      <c r="W77" s="517" t="s">
        <v>2219</v>
      </c>
      <c r="X77" s="1075"/>
      <c r="Z77" s="1065"/>
      <c r="AB77" s="556"/>
      <c r="AC77" s="191" t="s">
        <v>177</v>
      </c>
      <c r="AD77" s="557"/>
      <c r="AE77" s="557"/>
      <c r="AF77" s="557"/>
      <c r="AG77" s="557"/>
      <c r="AH77" s="557"/>
      <c r="AI77" s="557"/>
      <c r="AJ77" s="557"/>
      <c r="AK77" s="557"/>
      <c r="AL77" s="557"/>
      <c r="AM77" s="557"/>
      <c r="AN77" s="557"/>
      <c r="AO77" s="557"/>
      <c r="AP77" s="557"/>
      <c r="AQ77" s="557"/>
      <c r="AR77" s="557"/>
      <c r="AS77" s="557"/>
      <c r="AT77" s="557"/>
      <c r="AU77" s="557"/>
      <c r="AV77" s="557"/>
      <c r="AW77" s="557"/>
      <c r="AX77" s="557"/>
      <c r="AY77" s="557"/>
      <c r="AZ77" s="557"/>
      <c r="BA77" s="557"/>
      <c r="BB77" s="557"/>
      <c r="BC77" s="557"/>
      <c r="BD77" s="557"/>
      <c r="BE77" s="557"/>
      <c r="BF77" s="557"/>
      <c r="BG77" s="557"/>
      <c r="BH77" s="557"/>
      <c r="BI77" s="557"/>
      <c r="BJ77" s="557"/>
      <c r="BK77" s="557"/>
      <c r="BL77" s="557"/>
      <c r="BM77" s="557"/>
      <c r="BN77" s="557"/>
      <c r="BO77" s="557"/>
      <c r="BP77" s="558"/>
      <c r="BV77" s="518" t="s">
        <v>2026</v>
      </c>
    </row>
    <row r="78" spans="2:75" s="95" customFormat="1" ht="20.45" hidden="1" customHeight="1">
      <c r="B78" s="344"/>
      <c r="E78" s="522">
        <v>21</v>
      </c>
      <c r="F78" s="3" cm="1">
        <f t="array" aca="1" ref="F78" ca="1">OFFSET(E78,-1,1)</f>
        <v>0</v>
      </c>
      <c r="H78" s="91"/>
      <c r="I78" s="91" t="s">
        <v>328</v>
      </c>
      <c r="K78" s="91" t="s">
        <v>328</v>
      </c>
      <c r="L78" s="46"/>
      <c r="M78" s="46"/>
      <c r="T78" s="365" t="b" cm="1">
        <f t="array" aca="1" ref="T78" ca="1">T77</f>
        <v>0</v>
      </c>
      <c r="X78" s="1075"/>
      <c r="Z78" s="1065"/>
      <c r="AB78" s="179" t="s">
        <v>285</v>
      </c>
      <c r="AC78" s="144" t="s">
        <v>2028</v>
      </c>
      <c r="AD78" s="166" t="s">
        <v>804</v>
      </c>
      <c r="AE78" s="145">
        <f ca="1">AE79+AE91+AE92++AE103+AE104+AE105+AE107+AE108+AE109+AE110+AE113</f>
        <v>0</v>
      </c>
      <c r="AF78" s="145">
        <f ca="1">AF79+AF91+AF92++AF103+AF104+AF105+AF107+AF108+AF109+AF110+AF113</f>
        <v>0</v>
      </c>
      <c r="AG78" s="145">
        <f ca="1">AG79+AG91+AG92++AG103+AG104+AG105+AG107+AG108+AG109+AG110+AG113</f>
        <v>0</v>
      </c>
      <c r="AH78" s="145">
        <f t="shared" ref="AH78:AH123" ca="1" si="8">AG78-AF78</f>
        <v>0</v>
      </c>
      <c r="AI78" s="145">
        <f t="shared" ref="AI78:BC78" ca="1" si="9">AI79+AI91+AI92++AI103+AI104+AI105+AI107+AI108+AI109+AI110+AI113</f>
        <v>0</v>
      </c>
      <c r="AJ78" s="145">
        <f t="shared" ca="1" si="9"/>
        <v>0</v>
      </c>
      <c r="AK78" s="145">
        <f t="shared" ca="1" si="9"/>
        <v>0</v>
      </c>
      <c r="AL78" s="145">
        <f t="shared" ca="1" si="9"/>
        <v>0</v>
      </c>
      <c r="AM78" s="145">
        <f t="shared" ca="1" si="9"/>
        <v>0</v>
      </c>
      <c r="AN78" s="145">
        <f t="shared" ca="1" si="9"/>
        <v>0</v>
      </c>
      <c r="AO78" s="145">
        <f t="shared" ca="1" si="9"/>
        <v>0</v>
      </c>
      <c r="AP78" s="145">
        <f t="shared" ca="1" si="9"/>
        <v>0</v>
      </c>
      <c r="AQ78" s="145">
        <f t="shared" ca="1" si="9"/>
        <v>0</v>
      </c>
      <c r="AR78" s="145">
        <f t="shared" ca="1" si="9"/>
        <v>0</v>
      </c>
      <c r="AS78" s="145">
        <f t="shared" ca="1" si="9"/>
        <v>0</v>
      </c>
      <c r="AT78" s="145">
        <f t="shared" ca="1" si="9"/>
        <v>0</v>
      </c>
      <c r="AU78" s="145">
        <f t="shared" ca="1" si="9"/>
        <v>0</v>
      </c>
      <c r="AV78" s="145">
        <f t="shared" ca="1" si="9"/>
        <v>0</v>
      </c>
      <c r="AW78" s="145">
        <f t="shared" ca="1" si="9"/>
        <v>0</v>
      </c>
      <c r="AX78" s="145">
        <f t="shared" ca="1" si="9"/>
        <v>0</v>
      </c>
      <c r="AY78" s="145">
        <f t="shared" ca="1" si="9"/>
        <v>0</v>
      </c>
      <c r="AZ78" s="145">
        <f t="shared" ca="1" si="9"/>
        <v>0</v>
      </c>
      <c r="BA78" s="145">
        <f t="shared" ca="1" si="9"/>
        <v>0</v>
      </c>
      <c r="BB78" s="145">
        <f t="shared" ca="1" si="9"/>
        <v>0</v>
      </c>
      <c r="BC78" s="145">
        <f t="shared" ca="1" si="9"/>
        <v>0</v>
      </c>
      <c r="BD78" s="145">
        <f t="shared" ref="BD78:BD123" ca="1" si="10">IF(AI78=0,0,(AT78-AI78)/AI78*100)</f>
        <v>0</v>
      </c>
      <c r="BE78" s="145">
        <f t="shared" ref="BE78:BE123" ca="1" si="11">IF(AT78=0,0,(AU78-AT78)/AT78*100)</f>
        <v>0</v>
      </c>
      <c r="BF78" s="145">
        <f t="shared" ref="BF78:BF123" ca="1" si="12">IF(AU78=0,0,(AV78-AU78)/AU78*100)</f>
        <v>0</v>
      </c>
      <c r="BG78" s="145">
        <f t="shared" ref="BG78:BG123" ca="1" si="13">IF(AV78=0,0,(AW78-AV78)/AV78*100)</f>
        <v>0</v>
      </c>
      <c r="BH78" s="145">
        <f t="shared" ref="BH78:BH123" ca="1" si="14">IF(AW78=0,0,(AX78-AW78)/AW78*100)</f>
        <v>0</v>
      </c>
      <c r="BI78" s="145">
        <f t="shared" ref="BI78:BI123" ca="1" si="15">IF(AX78=0,0,(AY78-AX78)/AX78*100)</f>
        <v>0</v>
      </c>
      <c r="BJ78" s="145">
        <f t="shared" ref="BJ78:BJ123" ca="1" si="16">IF(AY78=0,0,(AZ78-AY78)/AY78*100)</f>
        <v>0</v>
      </c>
      <c r="BK78" s="145">
        <f t="shared" ref="BK78:BK123" ca="1" si="17">IF(AZ78=0,0,(BA78-AZ78)/AZ78*100)</f>
        <v>0</v>
      </c>
      <c r="BL78" s="145">
        <f t="shared" ref="BL78:BL123" ca="1" si="18">IF(BA78=0,0,(BB78-BA78)/BA78*100)</f>
        <v>0</v>
      </c>
      <c r="BM78" s="145">
        <f t="shared" ref="BM78:BM123" ca="1" si="19">IF(BB78=0,0,(BC78-BB78)/BB78*100)</f>
        <v>0</v>
      </c>
      <c r="BN78" s="784"/>
      <c r="BO78" s="784"/>
      <c r="BP78" s="784"/>
      <c r="BQ78" s="93"/>
      <c r="BS78" s="711" t="s">
        <v>2029</v>
      </c>
      <c r="BT78" s="711"/>
      <c r="BU78" s="711"/>
      <c r="BV78" s="522"/>
      <c r="BW78" s="522"/>
    </row>
    <row r="79" spans="2:75" s="95" customFormat="1" ht="21.95" hidden="1" customHeight="1">
      <c r="B79" s="344"/>
      <c r="E79" s="522">
        <v>22.5</v>
      </c>
      <c r="F79" s="3" cm="1">
        <f t="array" aca="1" ref="F79" ca="1">OFFSET(E79,-1,1)</f>
        <v>0</v>
      </c>
      <c r="H79" s="91"/>
      <c r="I79" s="91" t="s">
        <v>479</v>
      </c>
      <c r="K79" s="91" t="s">
        <v>479</v>
      </c>
      <c r="L79" s="46" t="s">
        <v>465</v>
      </c>
      <c r="M79" s="46"/>
      <c r="T79" s="365" t="b" cm="1">
        <f t="array" aca="1" ref="T79" ca="1">T78</f>
        <v>0</v>
      </c>
      <c r="X79" s="1075"/>
      <c r="Z79" s="1065"/>
      <c r="AB79" s="150" t="s">
        <v>537</v>
      </c>
      <c r="AC79" s="276" t="s">
        <v>2030</v>
      </c>
      <c r="AD79" s="143" t="s">
        <v>804</v>
      </c>
      <c r="AE79" s="145">
        <f ca="1">SUM(AE80:AE90)</f>
        <v>0</v>
      </c>
      <c r="AF79" s="145">
        <f ca="1">SUM(AF80:AF90)</f>
        <v>0</v>
      </c>
      <c r="AG79" s="145">
        <f ca="1">SUM(AG80:AG90)</f>
        <v>0</v>
      </c>
      <c r="AH79" s="145">
        <f t="shared" ca="1" si="8"/>
        <v>0</v>
      </c>
      <c r="AI79" s="145">
        <f t="shared" ref="AI79:BC79" ca="1" si="20">SUM(AI80:AI90)</f>
        <v>0</v>
      </c>
      <c r="AJ79" s="145">
        <f t="shared" ca="1" si="20"/>
        <v>0</v>
      </c>
      <c r="AK79" s="145">
        <f t="shared" ca="1" si="20"/>
        <v>0</v>
      </c>
      <c r="AL79" s="145">
        <f t="shared" ca="1" si="20"/>
        <v>0</v>
      </c>
      <c r="AM79" s="145">
        <f t="shared" ca="1" si="20"/>
        <v>0</v>
      </c>
      <c r="AN79" s="145">
        <f t="shared" ca="1" si="20"/>
        <v>0</v>
      </c>
      <c r="AO79" s="145">
        <f t="shared" ca="1" si="20"/>
        <v>0</v>
      </c>
      <c r="AP79" s="145">
        <f t="shared" ca="1" si="20"/>
        <v>0</v>
      </c>
      <c r="AQ79" s="145">
        <f t="shared" ca="1" si="20"/>
        <v>0</v>
      </c>
      <c r="AR79" s="145">
        <f t="shared" ca="1" si="20"/>
        <v>0</v>
      </c>
      <c r="AS79" s="145">
        <f t="shared" ca="1" si="20"/>
        <v>0</v>
      </c>
      <c r="AT79" s="145">
        <f t="shared" ca="1" si="20"/>
        <v>0</v>
      </c>
      <c r="AU79" s="145">
        <f t="shared" ca="1" si="20"/>
        <v>0</v>
      </c>
      <c r="AV79" s="145">
        <f t="shared" ca="1" si="20"/>
        <v>0</v>
      </c>
      <c r="AW79" s="145">
        <f t="shared" ca="1" si="20"/>
        <v>0</v>
      </c>
      <c r="AX79" s="145">
        <f t="shared" ca="1" si="20"/>
        <v>0</v>
      </c>
      <c r="AY79" s="145">
        <f t="shared" ca="1" si="20"/>
        <v>0</v>
      </c>
      <c r="AZ79" s="145">
        <f t="shared" ca="1" si="20"/>
        <v>0</v>
      </c>
      <c r="BA79" s="145">
        <f t="shared" ca="1" si="20"/>
        <v>0</v>
      </c>
      <c r="BB79" s="145">
        <f t="shared" ca="1" si="20"/>
        <v>0</v>
      </c>
      <c r="BC79" s="145">
        <f t="shared" ca="1" si="20"/>
        <v>0</v>
      </c>
      <c r="BD79" s="145">
        <f t="shared" ca="1" si="10"/>
        <v>0</v>
      </c>
      <c r="BE79" s="145">
        <f t="shared" ca="1" si="11"/>
        <v>0</v>
      </c>
      <c r="BF79" s="145">
        <f t="shared" ca="1" si="12"/>
        <v>0</v>
      </c>
      <c r="BG79" s="145">
        <f t="shared" ca="1" si="13"/>
        <v>0</v>
      </c>
      <c r="BH79" s="145">
        <f t="shared" ca="1" si="14"/>
        <v>0</v>
      </c>
      <c r="BI79" s="145">
        <f t="shared" ca="1" si="15"/>
        <v>0</v>
      </c>
      <c r="BJ79" s="145">
        <f t="shared" ca="1" si="16"/>
        <v>0</v>
      </c>
      <c r="BK79" s="145">
        <f t="shared" ca="1" si="17"/>
        <v>0</v>
      </c>
      <c r="BL79" s="145">
        <f t="shared" ca="1" si="18"/>
        <v>0</v>
      </c>
      <c r="BM79" s="145">
        <f t="shared" ca="1" si="19"/>
        <v>0</v>
      </c>
      <c r="BN79" s="786"/>
      <c r="BO79" s="786"/>
      <c r="BP79" s="786"/>
      <c r="BS79" s="711" t="s">
        <v>2031</v>
      </c>
      <c r="BT79" s="711"/>
      <c r="BU79" s="711"/>
      <c r="BV79" s="522"/>
      <c r="BW79" s="522"/>
    </row>
    <row r="80" spans="2:75" ht="14.65" hidden="1" customHeight="1">
      <c r="E80" s="518">
        <v>15</v>
      </c>
      <c r="F80" s="3" cm="1">
        <f t="array" aca="1" ref="F80" ca="1">OFFSET(E80,-1,1)</f>
        <v>0</v>
      </c>
      <c r="G80" s="91" t="s">
        <v>1106</v>
      </c>
      <c r="I80" s="91" t="s">
        <v>1562</v>
      </c>
      <c r="K80" s="91" t="s">
        <v>1562</v>
      </c>
      <c r="L80" s="44" t="s">
        <v>1339</v>
      </c>
      <c r="M80" s="44"/>
      <c r="T80" s="365" t="b" cm="1">
        <f t="array" aca="1" ref="T80" ca="1">T79</f>
        <v>0</v>
      </c>
      <c r="X80" s="1075"/>
      <c r="Z80" s="1065"/>
      <c r="AB80" s="152" t="s">
        <v>487</v>
      </c>
      <c r="AC80" s="153" t="s">
        <v>2032</v>
      </c>
      <c r="AD80" s="26" t="s">
        <v>804</v>
      </c>
      <c r="AE80" s="190">
        <f ca="1">SUMIFS(Покупка!AE$25:AE$254,Покупка!$F$25:$F$254,$F80,Покупка!$AC$25:$AC$254,$G80)</f>
        <v>0</v>
      </c>
      <c r="AF80" s="190">
        <f ca="1">SUMIFS(Покупка!AF$25:AF$254,Покупка!$F$25:$F$254,$F80,Покупка!$AC$25:$AC$254,$G80)</f>
        <v>0</v>
      </c>
      <c r="AG80" s="190">
        <f ca="1">SUMIFS(Покупка!AG$25:AG$254,Покупка!$F$25:$F$254,$F80,Покупка!$AC$25:$AC$254,$G80)</f>
        <v>0</v>
      </c>
      <c r="AH80" s="190">
        <f t="shared" ca="1" si="8"/>
        <v>0</v>
      </c>
      <c r="AI80" s="190">
        <f ca="1">SUMIFS(Покупка!AH$25:AH$254,Покупка!$F$25:$F$254,$F80,Покупка!$AC$25:$AC$254,$G80)</f>
        <v>0</v>
      </c>
      <c r="AJ80" s="190">
        <f ca="1">SUMIFS(Покупка!AI$25:AI$254,Покупка!$F$25:$F$254,$F80,Покупка!$AC$25:$AC$254,$G80)</f>
        <v>0</v>
      </c>
      <c r="AK80" s="190">
        <f ca="1">SUMIFS(Покупка!AJ$25:AJ$254,Покупка!$F$25:$F$254,$F80,Покупка!$AC$25:$AC$254,$G80)</f>
        <v>0</v>
      </c>
      <c r="AL80" s="190">
        <f ca="1">SUMIFS(Покупка!AK$25:AK$254,Покупка!$F$25:$F$254,$F80,Покупка!$AC$25:$AC$254,$G80)</f>
        <v>0</v>
      </c>
      <c r="AM80" s="190">
        <f ca="1">SUMIFS(Покупка!AL$25:AL$254,Покупка!$F$25:$F$254,$F80,Покупка!$AC$25:$AC$254,$G80)</f>
        <v>0</v>
      </c>
      <c r="AN80" s="190">
        <f ca="1">SUMIFS(Покупка!AM$25:AM$254,Покупка!$F$25:$F$254,$F80,Покупка!$AC$25:$AC$254,$G80)</f>
        <v>0</v>
      </c>
      <c r="AO80" s="190">
        <f ca="1">SUMIFS(Покупка!AN$25:AN$254,Покупка!$F$25:$F$254,$F80,Покупка!$AC$25:$AC$254,$G80)</f>
        <v>0</v>
      </c>
      <c r="AP80" s="190">
        <f ca="1">SUMIFS(Покупка!AO$25:AO$254,Покупка!$F$25:$F$254,$F80,Покупка!$AC$25:$AC$254,$G80)</f>
        <v>0</v>
      </c>
      <c r="AQ80" s="190">
        <f ca="1">SUMIFS(Покупка!AP$25:AP$254,Покупка!$F$25:$F$254,$F80,Покупка!$AC$25:$AC$254,$G80)</f>
        <v>0</v>
      </c>
      <c r="AR80" s="190">
        <f ca="1">SUMIFS(Покупка!AQ$25:AQ$254,Покупка!$F$25:$F$254,$F80,Покупка!$AC$25:$AC$254,$G80)</f>
        <v>0</v>
      </c>
      <c r="AS80" s="190">
        <f ca="1">SUMIFS(Покупка!AR$25:AR$254,Покупка!$F$25:$F$254,$F80,Покупка!$AC$25:$AC$254,$G80)</f>
        <v>0</v>
      </c>
      <c r="AT80" s="190">
        <f ca="1">SUMIFS(Покупка!AS$25:AS$254,Покупка!$F$25:$F$254,$F80,Покупка!$AC$25:$AC$254,$G80)</f>
        <v>0</v>
      </c>
      <c r="AU80" s="190">
        <f ca="1">SUMIFS(Покупка!AT$25:AT$254,Покупка!$F$25:$F$254,$F80,Покупка!$AC$25:$AC$254,$G80)</f>
        <v>0</v>
      </c>
      <c r="AV80" s="190">
        <f ca="1">SUMIFS(Покупка!AU$25:AU$254,Покупка!$F$25:$F$254,$F80,Покупка!$AC$25:$AC$254,$G80)</f>
        <v>0</v>
      </c>
      <c r="AW80" s="190">
        <f ca="1">SUMIFS(Покупка!AV$25:AV$254,Покупка!$F$25:$F$254,$F80,Покупка!$AC$25:$AC$254,$G80)</f>
        <v>0</v>
      </c>
      <c r="AX80" s="190">
        <f ca="1">SUMIFS(Покупка!AW$25:AW$254,Покупка!$F$25:$F$254,$F80,Покупка!$AC$25:$AC$254,$G80)</f>
        <v>0</v>
      </c>
      <c r="AY80" s="190">
        <f ca="1">SUMIFS(Покупка!AX$25:AX$254,Покупка!$F$25:$F$254,$F80,Покупка!$AC$25:$AC$254,$G80)</f>
        <v>0</v>
      </c>
      <c r="AZ80" s="190">
        <f ca="1">SUMIFS(Покупка!AY$25:AY$254,Покупка!$F$25:$F$254,$F80,Покупка!$AC$25:$AC$254,$G80)</f>
        <v>0</v>
      </c>
      <c r="BA80" s="190">
        <f ca="1">SUMIFS(Покупка!AZ$25:AZ$254,Покупка!$F$25:$F$254,$F80,Покупка!$AC$25:$AC$254,$G80)</f>
        <v>0</v>
      </c>
      <c r="BB80" s="190">
        <f ca="1">SUMIFS(Покупка!BA$25:BA$254,Покупка!$F$25:$F$254,$F80,Покупка!$AC$25:$AC$254,$G80)</f>
        <v>0</v>
      </c>
      <c r="BC80" s="190">
        <f ca="1">SUMIFS(Покупка!BB$25:BB$254,Покупка!$F$25:$F$254,$F80,Покупка!$AC$25:$AC$254,$G80)</f>
        <v>0</v>
      </c>
      <c r="BD80" s="190">
        <f t="shared" ca="1" si="10"/>
        <v>0</v>
      </c>
      <c r="BE80" s="190">
        <f t="shared" ca="1" si="11"/>
        <v>0</v>
      </c>
      <c r="BF80" s="190">
        <f t="shared" ca="1" si="12"/>
        <v>0</v>
      </c>
      <c r="BG80" s="190">
        <f t="shared" ca="1" si="13"/>
        <v>0</v>
      </c>
      <c r="BH80" s="190">
        <f t="shared" ca="1" si="14"/>
        <v>0</v>
      </c>
      <c r="BI80" s="190">
        <f t="shared" ca="1" si="15"/>
        <v>0</v>
      </c>
      <c r="BJ80" s="190">
        <f t="shared" ca="1" si="16"/>
        <v>0</v>
      </c>
      <c r="BK80" s="190">
        <f t="shared" ca="1" si="17"/>
        <v>0</v>
      </c>
      <c r="BL80" s="190">
        <f t="shared" ca="1" si="18"/>
        <v>0</v>
      </c>
      <c r="BM80" s="190">
        <f t="shared" ca="1" si="19"/>
        <v>0</v>
      </c>
      <c r="BN80" s="784"/>
      <c r="BO80" s="788" t="str">
        <f ca="1">IF(IFERROR(INDEX(Покупка!$K$26:$L$254,MATCH($F80&amp;"6komm",Покупка!$K$26:$K$254,0),2),"")=0,"",IFERROR(INDEX(Покупка!$K$26:$L$254,MATCH($F80&amp;"6komm",Покупка!$K$26:$K$254,0),2),""))</f>
        <v/>
      </c>
      <c r="BP80" s="784"/>
      <c r="BS80" s="705" t="s">
        <v>1107</v>
      </c>
    </row>
    <row r="81" spans="2:75" ht="14.65" hidden="1" customHeight="1">
      <c r="B81" s="34"/>
      <c r="C81" s="44"/>
      <c r="D81" s="44"/>
      <c r="E81" s="462">
        <v>15</v>
      </c>
      <c r="F81" s="3" cm="1">
        <f t="array" aca="1" ref="F81" ca="1">OFFSET(E81,-1,1)</f>
        <v>0</v>
      </c>
      <c r="G81" s="44" t="s">
        <v>1128</v>
      </c>
      <c r="H81" s="44"/>
      <c r="I81" s="44" t="s">
        <v>1566</v>
      </c>
      <c r="J81" s="44"/>
      <c r="K81" s="44" t="s">
        <v>1566</v>
      </c>
      <c r="L81" s="44" t="s">
        <v>1343</v>
      </c>
      <c r="M81" s="44"/>
      <c r="N81" s="44"/>
      <c r="O81" s="44"/>
      <c r="P81" s="44"/>
      <c r="Q81" s="44"/>
      <c r="R81" s="44"/>
      <c r="S81" s="44"/>
      <c r="T81" s="365" t="b" cm="1">
        <f t="array" aca="1" ref="T81" ca="1">T80</f>
        <v>0</v>
      </c>
      <c r="U81" s="44"/>
      <c r="V81" s="44"/>
      <c r="X81" s="1075"/>
      <c r="Z81" s="1065"/>
      <c r="AB81" s="152" t="s">
        <v>2033</v>
      </c>
      <c r="AC81" s="153" t="s">
        <v>2034</v>
      </c>
      <c r="AD81" s="26" t="s">
        <v>804</v>
      </c>
      <c r="AE81" s="190">
        <f ca="1">SUMIFS(Покупка!AE$25:AE$254,Покупка!$F$25:$F$254,$F81,Покупка!$AC$25:$AC$254,$G81)</f>
        <v>0</v>
      </c>
      <c r="AF81" s="190">
        <f ca="1">SUMIFS(Покупка!AF$25:AF$254,Покупка!$F$25:$F$254,$F81,Покупка!$AC$25:$AC$254,$G81)</f>
        <v>0</v>
      </c>
      <c r="AG81" s="190">
        <f ca="1">SUMIFS(Покупка!AG$25:AG$254,Покупка!$F$25:$F$254,$F81,Покупка!$AC$25:$AC$254,$G81)</f>
        <v>0</v>
      </c>
      <c r="AH81" s="190">
        <f t="shared" ca="1" si="8"/>
        <v>0</v>
      </c>
      <c r="AI81" s="190">
        <f ca="1">SUMIFS(Покупка!AH$25:AH$254,Покупка!$F$25:$F$254,$F81,Покупка!$AC$25:$AC$254,$G81)</f>
        <v>0</v>
      </c>
      <c r="AJ81" s="190">
        <f ca="1">SUMIFS(Покупка!AI$25:AI$254,Покупка!$F$25:$F$254,$F81,Покупка!$AC$25:$AC$254,$G81)</f>
        <v>0</v>
      </c>
      <c r="AK81" s="190">
        <f ca="1">SUMIFS(Покупка!AJ$25:AJ$254,Покупка!$F$25:$F$254,$F81,Покупка!$AC$25:$AC$254,$G81)</f>
        <v>0</v>
      </c>
      <c r="AL81" s="190">
        <f ca="1">SUMIFS(Покупка!AK$25:AK$254,Покупка!$F$25:$F$254,$F81,Покупка!$AC$25:$AC$254,$G81)</f>
        <v>0</v>
      </c>
      <c r="AM81" s="190">
        <f ca="1">SUMIFS(Покупка!AL$25:AL$254,Покупка!$F$25:$F$254,$F81,Покупка!$AC$25:$AC$254,$G81)</f>
        <v>0</v>
      </c>
      <c r="AN81" s="190">
        <f ca="1">SUMIFS(Покупка!AM$25:AM$254,Покупка!$F$25:$F$254,$F81,Покупка!$AC$25:$AC$254,$G81)</f>
        <v>0</v>
      </c>
      <c r="AO81" s="190">
        <f ca="1">SUMIFS(Покупка!AN$25:AN$254,Покупка!$F$25:$F$254,$F81,Покупка!$AC$25:$AC$254,$G81)</f>
        <v>0</v>
      </c>
      <c r="AP81" s="190">
        <f ca="1">SUMIFS(Покупка!AO$25:AO$254,Покупка!$F$25:$F$254,$F81,Покупка!$AC$25:$AC$254,$G81)</f>
        <v>0</v>
      </c>
      <c r="AQ81" s="190">
        <f ca="1">SUMIFS(Покупка!AP$25:AP$254,Покупка!$F$25:$F$254,$F81,Покупка!$AC$25:$AC$254,$G81)</f>
        <v>0</v>
      </c>
      <c r="AR81" s="190">
        <f ca="1">SUMIFS(Покупка!AQ$25:AQ$254,Покупка!$F$25:$F$254,$F81,Покупка!$AC$25:$AC$254,$G81)</f>
        <v>0</v>
      </c>
      <c r="AS81" s="190">
        <f ca="1">SUMIFS(Покупка!AR$25:AR$254,Покупка!$F$25:$F$254,$F81,Покупка!$AC$25:$AC$254,$G81)</f>
        <v>0</v>
      </c>
      <c r="AT81" s="190">
        <f ca="1">SUMIFS(Покупка!AS$25:AS$254,Покупка!$F$25:$F$254,$F81,Покупка!$AC$25:$AC$254,$G81)</f>
        <v>0</v>
      </c>
      <c r="AU81" s="190">
        <f ca="1">SUMIFS(Покупка!AT$25:AT$254,Покупка!$F$25:$F$254,$F81,Покупка!$AC$25:$AC$254,$G81)</f>
        <v>0</v>
      </c>
      <c r="AV81" s="190">
        <f ca="1">SUMIFS(Покупка!AU$25:AU$254,Покупка!$F$25:$F$254,$F81,Покупка!$AC$25:$AC$254,$G81)</f>
        <v>0</v>
      </c>
      <c r="AW81" s="190">
        <f ca="1">SUMIFS(Покупка!AV$25:AV$254,Покупка!$F$25:$F$254,$F81,Покупка!$AC$25:$AC$254,$G81)</f>
        <v>0</v>
      </c>
      <c r="AX81" s="190">
        <f ca="1">SUMIFS(Покупка!AW$25:AW$254,Покупка!$F$25:$F$254,$F81,Покупка!$AC$25:$AC$254,$G81)</f>
        <v>0</v>
      </c>
      <c r="AY81" s="190">
        <f ca="1">SUMIFS(Покупка!AX$25:AX$254,Покупка!$F$25:$F$254,$F81,Покупка!$AC$25:$AC$254,$G81)</f>
        <v>0</v>
      </c>
      <c r="AZ81" s="190">
        <f ca="1">SUMIFS(Покупка!AY$25:AY$254,Покупка!$F$25:$F$254,$F81,Покупка!$AC$25:$AC$254,$G81)</f>
        <v>0</v>
      </c>
      <c r="BA81" s="190">
        <f ca="1">SUMIFS(Покупка!AZ$25:AZ$254,Покупка!$F$25:$F$254,$F81,Покупка!$AC$25:$AC$254,$G81)</f>
        <v>0</v>
      </c>
      <c r="BB81" s="190">
        <f ca="1">SUMIFS(Покупка!BA$25:BA$254,Покупка!$F$25:$F$254,$F81,Покупка!$AC$25:$AC$254,$G81)</f>
        <v>0</v>
      </c>
      <c r="BC81" s="190">
        <f ca="1">SUMIFS(Покупка!BB$25:BB$254,Покупка!$F$25:$F$254,$F81,Покупка!$AC$25:$AC$254,$G81)</f>
        <v>0</v>
      </c>
      <c r="BD81" s="190">
        <f t="shared" ca="1" si="10"/>
        <v>0</v>
      </c>
      <c r="BE81" s="190">
        <f t="shared" ca="1" si="11"/>
        <v>0</v>
      </c>
      <c r="BF81" s="190">
        <f t="shared" ca="1" si="12"/>
        <v>0</v>
      </c>
      <c r="BG81" s="190">
        <f t="shared" ca="1" si="13"/>
        <v>0</v>
      </c>
      <c r="BH81" s="190">
        <f t="shared" ca="1" si="14"/>
        <v>0</v>
      </c>
      <c r="BI81" s="190">
        <f t="shared" ca="1" si="15"/>
        <v>0</v>
      </c>
      <c r="BJ81" s="190">
        <f t="shared" ca="1" si="16"/>
        <v>0</v>
      </c>
      <c r="BK81" s="190">
        <f t="shared" ca="1" si="17"/>
        <v>0</v>
      </c>
      <c r="BL81" s="190">
        <f t="shared" ca="1" si="18"/>
        <v>0</v>
      </c>
      <c r="BM81" s="190">
        <f t="shared" ca="1" si="19"/>
        <v>0</v>
      </c>
      <c r="BN81" s="784"/>
      <c r="BO81" s="788" t="str">
        <f ca="1">IF(IFERROR(INDEX(Покупка!$K$26:$L$254,MATCH($F81&amp;"7komm",Покупка!$K$26:$K$254,0),2),"")=0,"",IFERROR(INDEX(Покупка!$K$26:$L$254,MATCH($F81&amp;"7komm",Покупка!$K$26:$K$254,0),2),""))</f>
        <v/>
      </c>
      <c r="BP81" s="784"/>
      <c r="BS81" s="705" t="s">
        <v>1129</v>
      </c>
    </row>
    <row r="82" spans="2:75" ht="14.65" hidden="1" customHeight="1">
      <c r="B82" s="34"/>
      <c r="C82" s="44"/>
      <c r="D82" s="44"/>
      <c r="E82" s="462">
        <v>15</v>
      </c>
      <c r="F82" s="3" cm="1">
        <f t="array" aca="1" ref="F82" ca="1">OFFSET(E82,-1,1)</f>
        <v>0</v>
      </c>
      <c r="G82" s="44" t="s">
        <v>1080</v>
      </c>
      <c r="H82" s="44"/>
      <c r="I82" s="44" t="s">
        <v>1661</v>
      </c>
      <c r="J82" s="44"/>
      <c r="K82" s="44" t="s">
        <v>1661</v>
      </c>
      <c r="L82" s="44" t="s">
        <v>1511</v>
      </c>
      <c r="M82" s="44"/>
      <c r="N82" s="44"/>
      <c r="O82" s="44"/>
      <c r="P82" s="44"/>
      <c r="Q82" s="44"/>
      <c r="R82" s="44"/>
      <c r="S82" s="44"/>
      <c r="T82" s="365" t="b" cm="1">
        <f t="array" aca="1" ref="T82" ca="1">T81</f>
        <v>0</v>
      </c>
      <c r="U82" s="44"/>
      <c r="V82" s="44"/>
      <c r="X82" s="1075"/>
      <c r="Z82" s="1065"/>
      <c r="AB82" s="152" t="s">
        <v>2035</v>
      </c>
      <c r="AC82" s="153" t="s">
        <v>2036</v>
      </c>
      <c r="AD82" s="26" t="s">
        <v>804</v>
      </c>
      <c r="AE82" s="190">
        <f ca="1">SUMIFS(Покупка!AE$25:AE$254,Покупка!$F$25:$F$254,$F82,Покупка!$AC$25:$AC$254,$G82)</f>
        <v>0</v>
      </c>
      <c r="AF82" s="190">
        <f ca="1">SUMIFS(Покупка!AF$25:AF$254,Покупка!$F$25:$F$254,$F82,Покупка!$AC$25:$AC$254,$G82)</f>
        <v>0</v>
      </c>
      <c r="AG82" s="190">
        <f ca="1">SUMIFS(Покупка!AG$25:AG$254,Покупка!$F$25:$F$254,$F82,Покупка!$AC$25:$AC$254,$G82)</f>
        <v>0</v>
      </c>
      <c r="AH82" s="190">
        <f t="shared" ca="1" si="8"/>
        <v>0</v>
      </c>
      <c r="AI82" s="190">
        <f ca="1">SUMIFS(Покупка!AH$25:AH$254,Покупка!$F$25:$F$254,$F82,Покупка!$AC$25:$AC$254,$G82)</f>
        <v>0</v>
      </c>
      <c r="AJ82" s="190">
        <f ca="1">SUMIFS(Покупка!AI$25:AI$254,Покупка!$F$25:$F$254,$F82,Покупка!$AC$25:$AC$254,$G82)</f>
        <v>0</v>
      </c>
      <c r="AK82" s="190">
        <f ca="1">SUMIFS(Покупка!AJ$25:AJ$254,Покупка!$F$25:$F$254,$F82,Покупка!$AC$25:$AC$254,$G82)</f>
        <v>0</v>
      </c>
      <c r="AL82" s="190">
        <f ca="1">SUMIFS(Покупка!AK$25:AK$254,Покупка!$F$25:$F$254,$F82,Покупка!$AC$25:$AC$254,$G82)</f>
        <v>0</v>
      </c>
      <c r="AM82" s="190">
        <f ca="1">SUMIFS(Покупка!AL$25:AL$254,Покупка!$F$25:$F$254,$F82,Покупка!$AC$25:$AC$254,$G82)</f>
        <v>0</v>
      </c>
      <c r="AN82" s="190">
        <f ca="1">SUMIFS(Покупка!AM$25:AM$254,Покупка!$F$25:$F$254,$F82,Покупка!$AC$25:$AC$254,$G82)</f>
        <v>0</v>
      </c>
      <c r="AO82" s="190">
        <f ca="1">SUMIFS(Покупка!AN$25:AN$254,Покупка!$F$25:$F$254,$F82,Покупка!$AC$25:$AC$254,$G82)</f>
        <v>0</v>
      </c>
      <c r="AP82" s="190">
        <f ca="1">SUMIFS(Покупка!AO$25:AO$254,Покупка!$F$25:$F$254,$F82,Покупка!$AC$25:$AC$254,$G82)</f>
        <v>0</v>
      </c>
      <c r="AQ82" s="190">
        <f ca="1">SUMIFS(Покупка!AP$25:AP$254,Покупка!$F$25:$F$254,$F82,Покупка!$AC$25:$AC$254,$G82)</f>
        <v>0</v>
      </c>
      <c r="AR82" s="190">
        <f ca="1">SUMIFS(Покупка!AQ$25:AQ$254,Покупка!$F$25:$F$254,$F82,Покупка!$AC$25:$AC$254,$G82)</f>
        <v>0</v>
      </c>
      <c r="AS82" s="190">
        <f ca="1">SUMIFS(Покупка!AR$25:AR$254,Покупка!$F$25:$F$254,$F82,Покупка!$AC$25:$AC$254,$G82)</f>
        <v>0</v>
      </c>
      <c r="AT82" s="190">
        <f ca="1">SUMIFS(Покупка!AS$25:AS$254,Покупка!$F$25:$F$254,$F82,Покупка!$AC$25:$AC$254,$G82)</f>
        <v>0</v>
      </c>
      <c r="AU82" s="190">
        <f ca="1">SUMIFS(Покупка!AT$25:AT$254,Покупка!$F$25:$F$254,$F82,Покупка!$AC$25:$AC$254,$G82)</f>
        <v>0</v>
      </c>
      <c r="AV82" s="190">
        <f ca="1">SUMIFS(Покупка!AU$25:AU$254,Покупка!$F$25:$F$254,$F82,Покупка!$AC$25:$AC$254,$G82)</f>
        <v>0</v>
      </c>
      <c r="AW82" s="190">
        <f ca="1">SUMIFS(Покупка!AV$25:AV$254,Покупка!$F$25:$F$254,$F82,Покупка!$AC$25:$AC$254,$G82)</f>
        <v>0</v>
      </c>
      <c r="AX82" s="190">
        <f ca="1">SUMIFS(Покупка!AW$25:AW$254,Покупка!$F$25:$F$254,$F82,Покупка!$AC$25:$AC$254,$G82)</f>
        <v>0</v>
      </c>
      <c r="AY82" s="190">
        <f ca="1">SUMIFS(Покупка!AX$25:AX$254,Покупка!$F$25:$F$254,$F82,Покупка!$AC$25:$AC$254,$G82)</f>
        <v>0</v>
      </c>
      <c r="AZ82" s="190">
        <f ca="1">SUMIFS(Покупка!AY$25:AY$254,Покупка!$F$25:$F$254,$F82,Покупка!$AC$25:$AC$254,$G82)</f>
        <v>0</v>
      </c>
      <c r="BA82" s="190">
        <f ca="1">SUMIFS(Покупка!AZ$25:AZ$254,Покупка!$F$25:$F$254,$F82,Покупка!$AC$25:$AC$254,$G82)</f>
        <v>0</v>
      </c>
      <c r="BB82" s="190">
        <f ca="1">SUMIFS(Покупка!BA$25:BA$254,Покупка!$F$25:$F$254,$F82,Покупка!$AC$25:$AC$254,$G82)</f>
        <v>0</v>
      </c>
      <c r="BC82" s="190">
        <f ca="1">SUMIFS(Покупка!BB$25:BB$254,Покупка!$F$25:$F$254,$F82,Покупка!$AC$25:$AC$254,$G82)</f>
        <v>0</v>
      </c>
      <c r="BD82" s="190">
        <f t="shared" ca="1" si="10"/>
        <v>0</v>
      </c>
      <c r="BE82" s="190">
        <f t="shared" ca="1" si="11"/>
        <v>0</v>
      </c>
      <c r="BF82" s="190">
        <f t="shared" ca="1" si="12"/>
        <v>0</v>
      </c>
      <c r="BG82" s="190">
        <f t="shared" ca="1" si="13"/>
        <v>0</v>
      </c>
      <c r="BH82" s="190">
        <f t="shared" ca="1" si="14"/>
        <v>0</v>
      </c>
      <c r="BI82" s="190">
        <f t="shared" ca="1" si="15"/>
        <v>0</v>
      </c>
      <c r="BJ82" s="190">
        <f t="shared" ca="1" si="16"/>
        <v>0</v>
      </c>
      <c r="BK82" s="190">
        <f t="shared" ca="1" si="17"/>
        <v>0</v>
      </c>
      <c r="BL82" s="190">
        <f t="shared" ca="1" si="18"/>
        <v>0</v>
      </c>
      <c r="BM82" s="190">
        <f t="shared" ca="1" si="19"/>
        <v>0</v>
      </c>
      <c r="BN82" s="784"/>
      <c r="BO82" s="788" t="str">
        <f ca="1">IF(IFERROR(INDEX(Покупка!$K$26:$L$254,MATCH($F82&amp;"2komm",Покупка!$K$26:$K$254,0),2),"")=0,"",IFERROR(INDEX(Покупка!$K$26:$L$254,MATCH($F82&amp;"2komm",Покупка!$K$26:$K$254,0),2),""))</f>
        <v/>
      </c>
      <c r="BP82" s="784"/>
      <c r="BS82" s="705" t="s">
        <v>2037</v>
      </c>
    </row>
    <row r="83" spans="2:75" ht="14.65" hidden="1" customHeight="1">
      <c r="B83" s="34"/>
      <c r="C83" s="44"/>
      <c r="D83" s="44"/>
      <c r="E83" s="462">
        <v>15</v>
      </c>
      <c r="F83" s="3" cm="1">
        <f t="array" aca="1" ref="F83" ca="1">OFFSET(E83,-1,1)</f>
        <v>0</v>
      </c>
      <c r="G83" s="44" t="s">
        <v>1067</v>
      </c>
      <c r="H83" s="44"/>
      <c r="I83" s="44" t="s">
        <v>1663</v>
      </c>
      <c r="J83" s="44"/>
      <c r="K83" s="44" t="s">
        <v>1663</v>
      </c>
      <c r="L83" s="44" t="s">
        <v>1506</v>
      </c>
      <c r="M83" s="44"/>
      <c r="N83" s="44"/>
      <c r="O83" s="44"/>
      <c r="P83" s="44"/>
      <c r="Q83" s="44"/>
      <c r="R83" s="44"/>
      <c r="S83" s="44"/>
      <c r="T83" s="365" t="b" cm="1">
        <f t="array" aca="1" ref="T83" ca="1">T82</f>
        <v>0</v>
      </c>
      <c r="U83" s="44"/>
      <c r="V83" s="44"/>
      <c r="X83" s="1075"/>
      <c r="Z83" s="1065"/>
      <c r="AB83" s="152" t="s">
        <v>2038</v>
      </c>
      <c r="AC83" s="153" t="s">
        <v>2039</v>
      </c>
      <c r="AD83" s="26" t="s">
        <v>804</v>
      </c>
      <c r="AE83" s="190">
        <f ca="1">SUMIFS(Покупка!AE$25:AE$254,Покупка!$F$25:$F$254,$F83,Покупка!$AC$25:$AC$254,$G83)</f>
        <v>0</v>
      </c>
      <c r="AF83" s="190">
        <f ca="1">SUMIFS(Покупка!AF$25:AF$254,Покупка!$F$25:$F$254,$F83,Покупка!$AC$25:$AC$254,$G83)</f>
        <v>0</v>
      </c>
      <c r="AG83" s="190">
        <f ca="1">SUMIFS(Покупка!AG$25:AG$254,Покупка!$F$25:$F$254,$F83,Покупка!$AC$25:$AC$254,$G83)</f>
        <v>0</v>
      </c>
      <c r="AH83" s="190">
        <f t="shared" ca="1" si="8"/>
        <v>0</v>
      </c>
      <c r="AI83" s="190">
        <f ca="1">SUMIFS(Покупка!AH$25:AH$254,Покупка!$F$25:$F$254,$F83,Покупка!$AC$25:$AC$254,$G83)</f>
        <v>0</v>
      </c>
      <c r="AJ83" s="190">
        <f ca="1">SUMIFS(Покупка!AI$25:AI$254,Покупка!$F$25:$F$254,$F83,Покупка!$AC$25:$AC$254,$G83)</f>
        <v>0</v>
      </c>
      <c r="AK83" s="190">
        <f ca="1">SUMIFS(Покупка!AJ$25:AJ$254,Покупка!$F$25:$F$254,$F83,Покупка!$AC$25:$AC$254,$G83)</f>
        <v>0</v>
      </c>
      <c r="AL83" s="190">
        <f ca="1">SUMIFS(Покупка!AK$25:AK$254,Покупка!$F$25:$F$254,$F83,Покупка!$AC$25:$AC$254,$G83)</f>
        <v>0</v>
      </c>
      <c r="AM83" s="190">
        <f ca="1">SUMIFS(Покупка!AL$25:AL$254,Покупка!$F$25:$F$254,$F83,Покупка!$AC$25:$AC$254,$G83)</f>
        <v>0</v>
      </c>
      <c r="AN83" s="190">
        <f ca="1">SUMIFS(Покупка!AM$25:AM$254,Покупка!$F$25:$F$254,$F83,Покупка!$AC$25:$AC$254,$G83)</f>
        <v>0</v>
      </c>
      <c r="AO83" s="190">
        <f ca="1">SUMIFS(Покупка!AN$25:AN$254,Покупка!$F$25:$F$254,$F83,Покупка!$AC$25:$AC$254,$G83)</f>
        <v>0</v>
      </c>
      <c r="AP83" s="190">
        <f ca="1">SUMIFS(Покупка!AO$25:AO$254,Покупка!$F$25:$F$254,$F83,Покупка!$AC$25:$AC$254,$G83)</f>
        <v>0</v>
      </c>
      <c r="AQ83" s="190">
        <f ca="1">SUMIFS(Покупка!AP$25:AP$254,Покупка!$F$25:$F$254,$F83,Покупка!$AC$25:$AC$254,$G83)</f>
        <v>0</v>
      </c>
      <c r="AR83" s="190">
        <f ca="1">SUMIFS(Покупка!AQ$25:AQ$254,Покупка!$F$25:$F$254,$F83,Покупка!$AC$25:$AC$254,$G83)</f>
        <v>0</v>
      </c>
      <c r="AS83" s="190">
        <f ca="1">SUMIFS(Покупка!AR$25:AR$254,Покупка!$F$25:$F$254,$F83,Покупка!$AC$25:$AC$254,$G83)</f>
        <v>0</v>
      </c>
      <c r="AT83" s="190">
        <f ca="1">SUMIFS(Покупка!AS$25:AS$254,Покупка!$F$25:$F$254,$F83,Покупка!$AC$25:$AC$254,$G83)</f>
        <v>0</v>
      </c>
      <c r="AU83" s="190">
        <f ca="1">SUMIFS(Покупка!AT$25:AT$254,Покупка!$F$25:$F$254,$F83,Покупка!$AC$25:$AC$254,$G83)</f>
        <v>0</v>
      </c>
      <c r="AV83" s="190">
        <f ca="1">SUMIFS(Покупка!AU$25:AU$254,Покупка!$F$25:$F$254,$F83,Покупка!$AC$25:$AC$254,$G83)</f>
        <v>0</v>
      </c>
      <c r="AW83" s="190">
        <f ca="1">SUMIFS(Покупка!AV$25:AV$254,Покупка!$F$25:$F$254,$F83,Покупка!$AC$25:$AC$254,$G83)</f>
        <v>0</v>
      </c>
      <c r="AX83" s="190">
        <f ca="1">SUMIFS(Покупка!AW$25:AW$254,Покупка!$F$25:$F$254,$F83,Покупка!$AC$25:$AC$254,$G83)</f>
        <v>0</v>
      </c>
      <c r="AY83" s="190">
        <f ca="1">SUMIFS(Покупка!AX$25:AX$254,Покупка!$F$25:$F$254,$F83,Покупка!$AC$25:$AC$254,$G83)</f>
        <v>0</v>
      </c>
      <c r="AZ83" s="190">
        <f ca="1">SUMIFS(Покупка!AY$25:AY$254,Покупка!$F$25:$F$254,$F83,Покупка!$AC$25:$AC$254,$G83)</f>
        <v>0</v>
      </c>
      <c r="BA83" s="190">
        <f ca="1">SUMIFS(Покупка!AZ$25:AZ$254,Покупка!$F$25:$F$254,$F83,Покупка!$AC$25:$AC$254,$G83)</f>
        <v>0</v>
      </c>
      <c r="BB83" s="190">
        <f ca="1">SUMIFS(Покупка!BA$25:BA$254,Покупка!$F$25:$F$254,$F83,Покупка!$AC$25:$AC$254,$G83)</f>
        <v>0</v>
      </c>
      <c r="BC83" s="190">
        <f ca="1">SUMIFS(Покупка!BB$25:BB$254,Покупка!$F$25:$F$254,$F83,Покупка!$AC$25:$AC$254,$G83)</f>
        <v>0</v>
      </c>
      <c r="BD83" s="190">
        <f t="shared" ca="1" si="10"/>
        <v>0</v>
      </c>
      <c r="BE83" s="190">
        <f t="shared" ca="1" si="11"/>
        <v>0</v>
      </c>
      <c r="BF83" s="190">
        <f t="shared" ca="1" si="12"/>
        <v>0</v>
      </c>
      <c r="BG83" s="190">
        <f t="shared" ca="1" si="13"/>
        <v>0</v>
      </c>
      <c r="BH83" s="190">
        <f t="shared" ca="1" si="14"/>
        <v>0</v>
      </c>
      <c r="BI83" s="190">
        <f t="shared" ca="1" si="15"/>
        <v>0</v>
      </c>
      <c r="BJ83" s="190">
        <f t="shared" ca="1" si="16"/>
        <v>0</v>
      </c>
      <c r="BK83" s="190">
        <f t="shared" ca="1" si="17"/>
        <v>0</v>
      </c>
      <c r="BL83" s="190">
        <f t="shared" ca="1" si="18"/>
        <v>0</v>
      </c>
      <c r="BM83" s="190">
        <f t="shared" ca="1" si="19"/>
        <v>0</v>
      </c>
      <c r="BN83" s="784"/>
      <c r="BO83" s="788" t="str">
        <f ca="1">IF(IFERROR(INDEX(Покупка!$K$26:$L$254,MATCH($F83&amp;"1komm",Покупка!$K$26:$K$254,0),2),"")=0,"",IFERROR(INDEX(Покупка!$K$26:$L$254,MATCH($F83&amp;"1komm",Покупка!$K$26:$K$254,0),2),""))</f>
        <v/>
      </c>
      <c r="BP83" s="784"/>
      <c r="BS83" s="705" t="s">
        <v>2040</v>
      </c>
    </row>
    <row r="84" spans="2:75" ht="14.65" hidden="1" customHeight="1">
      <c r="B84" s="34"/>
      <c r="C84" s="44"/>
      <c r="D84" s="44"/>
      <c r="E84" s="462">
        <v>15</v>
      </c>
      <c r="F84" s="3" cm="1">
        <f t="array" aca="1" ref="F84" ca="1">OFFSET(E84,-1,1)</f>
        <v>0</v>
      </c>
      <c r="G84" s="44" t="s">
        <v>1134</v>
      </c>
      <c r="H84" s="44"/>
      <c r="I84" s="44" t="s">
        <v>1666</v>
      </c>
      <c r="J84" s="44"/>
      <c r="K84" s="44" t="s">
        <v>1666</v>
      </c>
      <c r="L84" s="44"/>
      <c r="M84" s="44"/>
      <c r="N84" s="44"/>
      <c r="O84" s="44"/>
      <c r="P84" s="44"/>
      <c r="Q84" s="44"/>
      <c r="R84" s="44"/>
      <c r="S84" s="44"/>
      <c r="T84" s="365" t="b" cm="1">
        <f t="array" aca="1" ref="T84" ca="1">T83</f>
        <v>0</v>
      </c>
      <c r="U84" s="44"/>
      <c r="V84" s="44"/>
      <c r="X84" s="1075"/>
      <c r="Z84" s="1065"/>
      <c r="AB84" s="152" t="s">
        <v>2041</v>
      </c>
      <c r="AC84" s="153" t="s">
        <v>2042</v>
      </c>
      <c r="AD84" s="26" t="s">
        <v>804</v>
      </c>
      <c r="AE84" s="190">
        <f ca="1">SUMIFS(Покупка!AE$25:AE$254,Покупка!$F$25:$F$254,$F84,Покупка!$AC$25:$AC$254,$G84)</f>
        <v>0</v>
      </c>
      <c r="AF84" s="190">
        <f ca="1">SUMIFS(Покупка!AF$25:AF$254,Покупка!$F$25:$F$254,$F84,Покупка!$AC$25:$AC$254,$G84)</f>
        <v>0</v>
      </c>
      <c r="AG84" s="190">
        <f ca="1">SUMIFS(Покупка!AG$25:AG$254,Покупка!$F$25:$F$254,$F84,Покупка!$AC$25:$AC$254,$G84)</f>
        <v>0</v>
      </c>
      <c r="AH84" s="190">
        <f t="shared" ca="1" si="8"/>
        <v>0</v>
      </c>
      <c r="AI84" s="190">
        <f ca="1">SUMIFS(Покупка!AH$25:AH$254,Покупка!$F$25:$F$254,$F84,Покупка!$AC$25:$AC$254,$G84)</f>
        <v>0</v>
      </c>
      <c r="AJ84" s="190">
        <f ca="1">SUMIFS(Покупка!AI$25:AI$254,Покупка!$F$25:$F$254,$F84,Покупка!$AC$25:$AC$254,$G84)</f>
        <v>0</v>
      </c>
      <c r="AK84" s="190">
        <f ca="1">SUMIFS(Покупка!AJ$25:AJ$254,Покупка!$F$25:$F$254,$F84,Покупка!$AC$25:$AC$254,$G84)</f>
        <v>0</v>
      </c>
      <c r="AL84" s="190">
        <f ca="1">SUMIFS(Покупка!AK$25:AK$254,Покупка!$F$25:$F$254,$F84,Покупка!$AC$25:$AC$254,$G84)</f>
        <v>0</v>
      </c>
      <c r="AM84" s="190">
        <f ca="1">SUMIFS(Покупка!AL$25:AL$254,Покупка!$F$25:$F$254,$F84,Покупка!$AC$25:$AC$254,$G84)</f>
        <v>0</v>
      </c>
      <c r="AN84" s="190">
        <f ca="1">SUMIFS(Покупка!AM$25:AM$254,Покупка!$F$25:$F$254,$F84,Покупка!$AC$25:$AC$254,$G84)</f>
        <v>0</v>
      </c>
      <c r="AO84" s="190">
        <f ca="1">SUMIFS(Покупка!AN$25:AN$254,Покупка!$F$25:$F$254,$F84,Покупка!$AC$25:$AC$254,$G84)</f>
        <v>0</v>
      </c>
      <c r="AP84" s="190">
        <f ca="1">SUMIFS(Покупка!AO$25:AO$254,Покупка!$F$25:$F$254,$F84,Покупка!$AC$25:$AC$254,$G84)</f>
        <v>0</v>
      </c>
      <c r="AQ84" s="190">
        <f ca="1">SUMIFS(Покупка!AP$25:AP$254,Покупка!$F$25:$F$254,$F84,Покупка!$AC$25:$AC$254,$G84)</f>
        <v>0</v>
      </c>
      <c r="AR84" s="190">
        <f ca="1">SUMIFS(Покупка!AQ$25:AQ$254,Покупка!$F$25:$F$254,$F84,Покупка!$AC$25:$AC$254,$G84)</f>
        <v>0</v>
      </c>
      <c r="AS84" s="190">
        <f ca="1">SUMIFS(Покупка!AR$25:AR$254,Покупка!$F$25:$F$254,$F84,Покупка!$AC$25:$AC$254,$G84)</f>
        <v>0</v>
      </c>
      <c r="AT84" s="190">
        <f ca="1">SUMIFS(Покупка!AS$25:AS$254,Покупка!$F$25:$F$254,$F84,Покупка!$AC$25:$AC$254,$G84)</f>
        <v>0</v>
      </c>
      <c r="AU84" s="190">
        <f ca="1">SUMIFS(Покупка!AT$25:AT$254,Покупка!$F$25:$F$254,$F84,Покупка!$AC$25:$AC$254,$G84)</f>
        <v>0</v>
      </c>
      <c r="AV84" s="190">
        <f ca="1">SUMIFS(Покупка!AU$25:AU$254,Покупка!$F$25:$F$254,$F84,Покупка!$AC$25:$AC$254,$G84)</f>
        <v>0</v>
      </c>
      <c r="AW84" s="190">
        <f ca="1">SUMIFS(Покупка!AV$25:AV$254,Покупка!$F$25:$F$254,$F84,Покупка!$AC$25:$AC$254,$G84)</f>
        <v>0</v>
      </c>
      <c r="AX84" s="190">
        <f ca="1">SUMIFS(Покупка!AW$25:AW$254,Покупка!$F$25:$F$254,$F84,Покупка!$AC$25:$AC$254,$G84)</f>
        <v>0</v>
      </c>
      <c r="AY84" s="190">
        <f ca="1">SUMIFS(Покупка!AX$25:AX$254,Покупка!$F$25:$F$254,$F84,Покупка!$AC$25:$AC$254,$G84)</f>
        <v>0</v>
      </c>
      <c r="AZ84" s="190">
        <f ca="1">SUMIFS(Покупка!AY$25:AY$254,Покупка!$F$25:$F$254,$F84,Покупка!$AC$25:$AC$254,$G84)</f>
        <v>0</v>
      </c>
      <c r="BA84" s="190">
        <f ca="1">SUMIFS(Покупка!AZ$25:AZ$254,Покупка!$F$25:$F$254,$F84,Покупка!$AC$25:$AC$254,$G84)</f>
        <v>0</v>
      </c>
      <c r="BB84" s="190">
        <f ca="1">SUMIFS(Покупка!BA$25:BA$254,Покупка!$F$25:$F$254,$F84,Покупка!$AC$25:$AC$254,$G84)</f>
        <v>0</v>
      </c>
      <c r="BC84" s="190">
        <f ca="1">SUMIFS(Покупка!BB$25:BB$254,Покупка!$F$25:$F$254,$F84,Покупка!$AC$25:$AC$254,$G84)</f>
        <v>0</v>
      </c>
      <c r="BD84" s="190">
        <f t="shared" ca="1" si="10"/>
        <v>0</v>
      </c>
      <c r="BE84" s="190">
        <f t="shared" ca="1" si="11"/>
        <v>0</v>
      </c>
      <c r="BF84" s="190">
        <f t="shared" ca="1" si="12"/>
        <v>0</v>
      </c>
      <c r="BG84" s="190">
        <f t="shared" ca="1" si="13"/>
        <v>0</v>
      </c>
      <c r="BH84" s="190">
        <f t="shared" ca="1" si="14"/>
        <v>0</v>
      </c>
      <c r="BI84" s="190">
        <f t="shared" ca="1" si="15"/>
        <v>0</v>
      </c>
      <c r="BJ84" s="190">
        <f t="shared" ca="1" si="16"/>
        <v>0</v>
      </c>
      <c r="BK84" s="190">
        <f t="shared" ca="1" si="17"/>
        <v>0</v>
      </c>
      <c r="BL84" s="190">
        <f t="shared" ca="1" si="18"/>
        <v>0</v>
      </c>
      <c r="BM84" s="190">
        <f t="shared" ca="1" si="19"/>
        <v>0</v>
      </c>
      <c r="BN84" s="784"/>
      <c r="BO84" s="788" t="str">
        <f ca="1">IF(IFERROR(INDEX(Покупка!$K$26:$L$254,MATCH($F84&amp;"8komm",Покупка!$K$26:$K$254,0),2),"")=0,"",IFERROR(INDEX(Покупка!$K$26:$L$254,MATCH($F84&amp;"8komm",Покупка!$K$26:$K$254,0),2),""))</f>
        <v/>
      </c>
      <c r="BP84" s="784"/>
      <c r="BS84" s="705" t="s">
        <v>1135</v>
      </c>
    </row>
    <row r="85" spans="2:75" ht="14.65" hidden="1" customHeight="1">
      <c r="B85" s="34"/>
      <c r="C85" s="44"/>
      <c r="D85" s="44"/>
      <c r="E85" s="462">
        <v>15</v>
      </c>
      <c r="F85" s="3" cm="1">
        <f t="array" aca="1" ref="F85" ca="1">OFFSET(E85,-1,1)</f>
        <v>0</v>
      </c>
      <c r="G85" s="44"/>
      <c r="H85" s="44"/>
      <c r="I85" s="44" t="s">
        <v>2043</v>
      </c>
      <c r="J85" s="44"/>
      <c r="K85" s="44" t="s">
        <v>2043</v>
      </c>
      <c r="L85" s="44"/>
      <c r="M85" s="44"/>
      <c r="N85" s="44"/>
      <c r="O85" s="44"/>
      <c r="P85" s="44"/>
      <c r="Q85" s="44"/>
      <c r="R85" s="44"/>
      <c r="S85" s="44"/>
      <c r="T85" s="365" t="b" cm="1">
        <f t="array" aca="1" ref="T85" ca="1">T84</f>
        <v>0</v>
      </c>
      <c r="U85" s="44"/>
      <c r="V85" s="44"/>
      <c r="X85" s="1075"/>
      <c r="Z85" s="1065"/>
      <c r="AB85" s="152" t="s">
        <v>2044</v>
      </c>
      <c r="AC85" s="153" t="s">
        <v>2045</v>
      </c>
      <c r="AD85" s="26" t="s">
        <v>804</v>
      </c>
      <c r="AE85" s="787"/>
      <c r="AF85" s="787"/>
      <c r="AG85" s="787"/>
      <c r="AH85" s="190">
        <f t="shared" si="8"/>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190">
        <f t="shared" si="10"/>
        <v>0</v>
      </c>
      <c r="BE85" s="190">
        <f t="shared" si="11"/>
        <v>0</v>
      </c>
      <c r="BF85" s="190">
        <f t="shared" si="12"/>
        <v>0</v>
      </c>
      <c r="BG85" s="190">
        <f t="shared" si="13"/>
        <v>0</v>
      </c>
      <c r="BH85" s="190">
        <f t="shared" si="14"/>
        <v>0</v>
      </c>
      <c r="BI85" s="190">
        <f t="shared" si="15"/>
        <v>0</v>
      </c>
      <c r="BJ85" s="190">
        <f t="shared" si="16"/>
        <v>0</v>
      </c>
      <c r="BK85" s="190">
        <f t="shared" si="17"/>
        <v>0</v>
      </c>
      <c r="BL85" s="190">
        <f t="shared" si="18"/>
        <v>0</v>
      </c>
      <c r="BM85" s="190">
        <f t="shared" si="19"/>
        <v>0</v>
      </c>
      <c r="BN85" s="784"/>
      <c r="BO85" s="784"/>
      <c r="BP85" s="784"/>
      <c r="BS85" s="705" t="s">
        <v>2046</v>
      </c>
    </row>
    <row r="86" spans="2:75" ht="14.65" hidden="1" customHeight="1">
      <c r="B86" s="34"/>
      <c r="C86" s="44"/>
      <c r="D86" s="44"/>
      <c r="E86" s="462">
        <v>15</v>
      </c>
      <c r="F86" s="3" cm="1">
        <f t="array" aca="1" ref="F86" ca="1">OFFSET(E86,-1,1)</f>
        <v>0</v>
      </c>
      <c r="G86" s="44"/>
      <c r="H86" s="44"/>
      <c r="I86" s="44" t="s">
        <v>2047</v>
      </c>
      <c r="J86" s="44"/>
      <c r="K86" s="44" t="s">
        <v>2047</v>
      </c>
      <c r="L86" s="44"/>
      <c r="M86" s="44"/>
      <c r="N86" s="44"/>
      <c r="O86" s="44"/>
      <c r="P86" s="44"/>
      <c r="Q86" s="44"/>
      <c r="R86" s="44"/>
      <c r="S86" s="44"/>
      <c r="T86" s="365" t="b" cm="1">
        <f t="array" aca="1" ref="T86" ca="1">T85</f>
        <v>0</v>
      </c>
      <c r="U86" s="44"/>
      <c r="V86" s="44"/>
      <c r="X86" s="1075"/>
      <c r="Z86" s="1065"/>
      <c r="AB86" s="152" t="s">
        <v>2048</v>
      </c>
      <c r="AC86" s="153" t="s">
        <v>2049</v>
      </c>
      <c r="AD86" s="26" t="s">
        <v>804</v>
      </c>
      <c r="AE86" s="787"/>
      <c r="AF86" s="787"/>
      <c r="AG86" s="787"/>
      <c r="AH86" s="190">
        <f t="shared" si="8"/>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190">
        <f t="shared" si="10"/>
        <v>0</v>
      </c>
      <c r="BE86" s="190">
        <f t="shared" si="11"/>
        <v>0</v>
      </c>
      <c r="BF86" s="190">
        <f t="shared" si="12"/>
        <v>0</v>
      </c>
      <c r="BG86" s="190">
        <f t="shared" si="13"/>
        <v>0</v>
      </c>
      <c r="BH86" s="190">
        <f t="shared" si="14"/>
        <v>0</v>
      </c>
      <c r="BI86" s="190">
        <f t="shared" si="15"/>
        <v>0</v>
      </c>
      <c r="BJ86" s="190">
        <f t="shared" si="16"/>
        <v>0</v>
      </c>
      <c r="BK86" s="190">
        <f t="shared" si="17"/>
        <v>0</v>
      </c>
      <c r="BL86" s="190">
        <f t="shared" si="18"/>
        <v>0</v>
      </c>
      <c r="BM86" s="190">
        <f t="shared" si="19"/>
        <v>0</v>
      </c>
      <c r="BN86" s="784"/>
      <c r="BO86" s="784"/>
      <c r="BP86" s="784"/>
      <c r="BS86" s="705" t="s">
        <v>2050</v>
      </c>
    </row>
    <row r="87" spans="2:75" ht="14.65" hidden="1" customHeight="1">
      <c r="B87" s="34"/>
      <c r="C87" s="44"/>
      <c r="D87" s="44"/>
      <c r="E87" s="462">
        <v>15</v>
      </c>
      <c r="F87" s="3" cm="1">
        <f t="array" aca="1" ref="F87" ca="1">OFFSET(E87,-1,1)</f>
        <v>0</v>
      </c>
      <c r="G87" s="44" t="s">
        <v>1086</v>
      </c>
      <c r="H87" s="44"/>
      <c r="I87" s="44" t="s">
        <v>2051</v>
      </c>
      <c r="J87" s="44"/>
      <c r="K87" s="44" t="s">
        <v>2051</v>
      </c>
      <c r="L87" s="44" t="s">
        <v>1520</v>
      </c>
      <c r="M87" s="44"/>
      <c r="N87" s="44"/>
      <c r="O87" s="44"/>
      <c r="P87" s="44"/>
      <c r="Q87" s="44"/>
      <c r="R87" s="44"/>
      <c r="S87" s="44"/>
      <c r="T87" s="365" t="b" cm="1">
        <f t="array" aca="1" ref="T87" ca="1">T86</f>
        <v>0</v>
      </c>
      <c r="U87" s="44"/>
      <c r="V87" s="44"/>
      <c r="X87" s="1075"/>
      <c r="Z87" s="1065"/>
      <c r="AB87" s="152" t="s">
        <v>2052</v>
      </c>
      <c r="AC87" s="153" t="s">
        <v>2053</v>
      </c>
      <c r="AD87" s="26" t="s">
        <v>804</v>
      </c>
      <c r="AE87" s="190">
        <f ca="1">SUMIFS(Покупка!AE$25:AE$254,Покупка!$F$25:$F$254,$F87,Покупка!$AC$25:$AC$254,$G87)</f>
        <v>0</v>
      </c>
      <c r="AF87" s="190">
        <f ca="1">SUMIFS(Покупка!AF$25:AF$254,Покупка!$F$25:$F$254,$F87,Покупка!$AC$25:$AC$254,$G87)</f>
        <v>0</v>
      </c>
      <c r="AG87" s="190">
        <f ca="1">SUMIFS(Покупка!AG$25:AG$254,Покупка!$F$25:$F$254,$F87,Покупка!$AC$25:$AC$254,$G87)</f>
        <v>0</v>
      </c>
      <c r="AH87" s="190">
        <f t="shared" ca="1" si="8"/>
        <v>0</v>
      </c>
      <c r="AI87" s="190">
        <f ca="1">SUMIFS(Покупка!AH$25:AH$254,Покупка!$F$25:$F$254,$F87,Покупка!$AC$25:$AC$254,$G87)</f>
        <v>0</v>
      </c>
      <c r="AJ87" s="190">
        <f ca="1">SUMIFS(Покупка!AI$25:AI$254,Покупка!$F$25:$F$254,$F87,Покупка!$AC$25:$AC$254,$G87)</f>
        <v>0</v>
      </c>
      <c r="AK87" s="190">
        <f ca="1">SUMIFS(Покупка!AJ$25:AJ$254,Покупка!$F$25:$F$254,$F87,Покупка!$AC$25:$AC$254,$G87)</f>
        <v>0</v>
      </c>
      <c r="AL87" s="190">
        <f ca="1">SUMIFS(Покупка!AK$25:AK$254,Покупка!$F$25:$F$254,$F87,Покупка!$AC$25:$AC$254,$G87)</f>
        <v>0</v>
      </c>
      <c r="AM87" s="190">
        <f ca="1">SUMIFS(Покупка!AL$25:AL$254,Покупка!$F$25:$F$254,$F87,Покупка!$AC$25:$AC$254,$G87)</f>
        <v>0</v>
      </c>
      <c r="AN87" s="190">
        <f ca="1">SUMIFS(Покупка!AM$25:AM$254,Покупка!$F$25:$F$254,$F87,Покупка!$AC$25:$AC$254,$G87)</f>
        <v>0</v>
      </c>
      <c r="AO87" s="190">
        <f ca="1">SUMIFS(Покупка!AN$25:AN$254,Покупка!$F$25:$F$254,$F87,Покупка!$AC$25:$AC$254,$G87)</f>
        <v>0</v>
      </c>
      <c r="AP87" s="190">
        <f ca="1">SUMIFS(Покупка!AO$25:AO$254,Покупка!$F$25:$F$254,$F87,Покупка!$AC$25:$AC$254,$G87)</f>
        <v>0</v>
      </c>
      <c r="AQ87" s="190">
        <f ca="1">SUMIFS(Покупка!AP$25:AP$254,Покупка!$F$25:$F$254,$F87,Покупка!$AC$25:$AC$254,$G87)</f>
        <v>0</v>
      </c>
      <c r="AR87" s="190">
        <f ca="1">SUMIFS(Покупка!AQ$25:AQ$254,Покупка!$F$25:$F$254,$F87,Покупка!$AC$25:$AC$254,$G87)</f>
        <v>0</v>
      </c>
      <c r="AS87" s="190">
        <f ca="1">SUMIFS(Покупка!AR$25:AR$254,Покупка!$F$25:$F$254,$F87,Покупка!$AC$25:$AC$254,$G87)</f>
        <v>0</v>
      </c>
      <c r="AT87" s="190">
        <f ca="1">SUMIFS(Покупка!AS$25:AS$254,Покупка!$F$25:$F$254,$F87,Покупка!$AC$25:$AC$254,$G87)</f>
        <v>0</v>
      </c>
      <c r="AU87" s="190">
        <f ca="1">SUMIFS(Покупка!AT$25:AT$254,Покупка!$F$25:$F$254,$F87,Покупка!$AC$25:$AC$254,$G87)</f>
        <v>0</v>
      </c>
      <c r="AV87" s="190">
        <f ca="1">SUMIFS(Покупка!AU$25:AU$254,Покупка!$F$25:$F$254,$F87,Покупка!$AC$25:$AC$254,$G87)</f>
        <v>0</v>
      </c>
      <c r="AW87" s="190">
        <f ca="1">SUMIFS(Покупка!AV$25:AV$254,Покупка!$F$25:$F$254,$F87,Покупка!$AC$25:$AC$254,$G87)</f>
        <v>0</v>
      </c>
      <c r="AX87" s="190">
        <f ca="1">SUMIFS(Покупка!AW$25:AW$254,Покупка!$F$25:$F$254,$F87,Покупка!$AC$25:$AC$254,$G87)</f>
        <v>0</v>
      </c>
      <c r="AY87" s="190">
        <f ca="1">SUMIFS(Покупка!AX$25:AX$254,Покупка!$F$25:$F$254,$F87,Покупка!$AC$25:$AC$254,$G87)</f>
        <v>0</v>
      </c>
      <c r="AZ87" s="190">
        <f ca="1">SUMIFS(Покупка!AY$25:AY$254,Покупка!$F$25:$F$254,$F87,Покупка!$AC$25:$AC$254,$G87)</f>
        <v>0</v>
      </c>
      <c r="BA87" s="190">
        <f ca="1">SUMIFS(Покупка!AZ$25:AZ$254,Покупка!$F$25:$F$254,$F87,Покупка!$AC$25:$AC$254,$G87)</f>
        <v>0</v>
      </c>
      <c r="BB87" s="190">
        <f ca="1">SUMIFS(Покупка!BA$25:BA$254,Покупка!$F$25:$F$254,$F87,Покупка!$AC$25:$AC$254,$G87)</f>
        <v>0</v>
      </c>
      <c r="BC87" s="190">
        <f ca="1">SUMIFS(Покупка!BB$25:BB$254,Покупка!$F$25:$F$254,$F87,Покупка!$AC$25:$AC$254,$G87)</f>
        <v>0</v>
      </c>
      <c r="BD87" s="190">
        <f t="shared" ca="1" si="10"/>
        <v>0</v>
      </c>
      <c r="BE87" s="190">
        <f t="shared" ca="1" si="11"/>
        <v>0</v>
      </c>
      <c r="BF87" s="190">
        <f t="shared" ca="1" si="12"/>
        <v>0</v>
      </c>
      <c r="BG87" s="190">
        <f t="shared" ca="1" si="13"/>
        <v>0</v>
      </c>
      <c r="BH87" s="190">
        <f t="shared" ca="1" si="14"/>
        <v>0</v>
      </c>
      <c r="BI87" s="190">
        <f t="shared" ca="1" si="15"/>
        <v>0</v>
      </c>
      <c r="BJ87" s="190">
        <f t="shared" ca="1" si="16"/>
        <v>0</v>
      </c>
      <c r="BK87" s="190">
        <f t="shared" ca="1" si="17"/>
        <v>0</v>
      </c>
      <c r="BL87" s="190">
        <f t="shared" ca="1" si="18"/>
        <v>0</v>
      </c>
      <c r="BM87" s="190">
        <f t="shared" ca="1" si="19"/>
        <v>0</v>
      </c>
      <c r="BN87" s="784"/>
      <c r="BO87" s="788" t="str">
        <f ca="1">IF(IFERROR(INDEX(Покупка!$K$26:$L$254,MATCH($F87&amp;"3komm",Покупка!$K$26:$K$254,0),2),"")=0,"",IFERROR(INDEX(Покупка!$K$26:$L$254,MATCH($F87&amp;"3komm",Покупка!$K$26:$K$254,0),2),""))</f>
        <v/>
      </c>
      <c r="BP87" s="784"/>
      <c r="BS87" s="705" t="s">
        <v>1746</v>
      </c>
    </row>
    <row r="88" spans="2:75" ht="14.65" hidden="1" customHeight="1">
      <c r="B88" s="34"/>
      <c r="C88" s="44"/>
      <c r="D88" s="44"/>
      <c r="E88" s="462">
        <v>15</v>
      </c>
      <c r="F88" s="3" cm="1">
        <f t="array" aca="1" ref="F88" ca="1">OFFSET(E88,-1,1)</f>
        <v>0</v>
      </c>
      <c r="G88" s="44" t="s">
        <v>1092</v>
      </c>
      <c r="H88" s="44"/>
      <c r="I88" s="44" t="s">
        <v>2054</v>
      </c>
      <c r="J88" s="44"/>
      <c r="K88" s="44" t="s">
        <v>2054</v>
      </c>
      <c r="L88" s="44" t="s">
        <v>1525</v>
      </c>
      <c r="M88" s="44"/>
      <c r="N88" s="44"/>
      <c r="O88" s="44"/>
      <c r="P88" s="44"/>
      <c r="Q88" s="44"/>
      <c r="R88" s="44"/>
      <c r="S88" s="44"/>
      <c r="T88" s="365" t="b" cm="1">
        <f t="array" aca="1" ref="T88" ca="1">T87</f>
        <v>0</v>
      </c>
      <c r="U88" s="44"/>
      <c r="V88" s="44"/>
      <c r="X88" s="1075"/>
      <c r="Z88" s="1065"/>
      <c r="AB88" s="152" t="s">
        <v>2055</v>
      </c>
      <c r="AC88" s="153" t="s">
        <v>2056</v>
      </c>
      <c r="AD88" s="26" t="s">
        <v>804</v>
      </c>
      <c r="AE88" s="190">
        <f ca="1">SUMIFS(Покупка!AE$25:AE$254,Покупка!$F$25:$F$254,$F88,Покупка!$AC$25:$AC$254,$G88)</f>
        <v>0</v>
      </c>
      <c r="AF88" s="190">
        <f ca="1">SUMIFS(Покупка!AF$25:AF$254,Покупка!$F$25:$F$254,$F88,Покупка!$AC$25:$AC$254,$G88)</f>
        <v>0</v>
      </c>
      <c r="AG88" s="190">
        <f ca="1">SUMIFS(Покупка!AG$25:AG$254,Покупка!$F$25:$F$254,$F88,Покупка!$AC$25:$AC$254,$G88)</f>
        <v>0</v>
      </c>
      <c r="AH88" s="190">
        <f t="shared" ca="1" si="8"/>
        <v>0</v>
      </c>
      <c r="AI88" s="190">
        <f ca="1">SUMIFS(Покупка!AH$25:AH$254,Покупка!$F$25:$F$254,$F88,Покупка!$AC$25:$AC$254,$G88)</f>
        <v>0</v>
      </c>
      <c r="AJ88" s="190">
        <f ca="1">SUMIFS(Покупка!AI$25:AI$254,Покупка!$F$25:$F$254,$F88,Покупка!$AC$25:$AC$254,$G88)</f>
        <v>0</v>
      </c>
      <c r="AK88" s="190">
        <f ca="1">SUMIFS(Покупка!AJ$25:AJ$254,Покупка!$F$25:$F$254,$F88,Покупка!$AC$25:$AC$254,$G88)</f>
        <v>0</v>
      </c>
      <c r="AL88" s="190">
        <f ca="1">SUMIFS(Покупка!AK$25:AK$254,Покупка!$F$25:$F$254,$F88,Покупка!$AC$25:$AC$254,$G88)</f>
        <v>0</v>
      </c>
      <c r="AM88" s="190">
        <f ca="1">SUMIFS(Покупка!AL$25:AL$254,Покупка!$F$25:$F$254,$F88,Покупка!$AC$25:$AC$254,$G88)</f>
        <v>0</v>
      </c>
      <c r="AN88" s="190">
        <f ca="1">SUMIFS(Покупка!AM$25:AM$254,Покупка!$F$25:$F$254,$F88,Покупка!$AC$25:$AC$254,$G88)</f>
        <v>0</v>
      </c>
      <c r="AO88" s="190">
        <f ca="1">SUMIFS(Покупка!AN$25:AN$254,Покупка!$F$25:$F$254,$F88,Покупка!$AC$25:$AC$254,$G88)</f>
        <v>0</v>
      </c>
      <c r="AP88" s="190">
        <f ca="1">SUMIFS(Покупка!AO$25:AO$254,Покупка!$F$25:$F$254,$F88,Покупка!$AC$25:$AC$254,$G88)</f>
        <v>0</v>
      </c>
      <c r="AQ88" s="190">
        <f ca="1">SUMIFS(Покупка!AP$25:AP$254,Покупка!$F$25:$F$254,$F88,Покупка!$AC$25:$AC$254,$G88)</f>
        <v>0</v>
      </c>
      <c r="AR88" s="190">
        <f ca="1">SUMIFS(Покупка!AQ$25:AQ$254,Покупка!$F$25:$F$254,$F88,Покупка!$AC$25:$AC$254,$G88)</f>
        <v>0</v>
      </c>
      <c r="AS88" s="190">
        <f ca="1">SUMIFS(Покупка!AR$25:AR$254,Покупка!$F$25:$F$254,$F88,Покупка!$AC$25:$AC$254,$G88)</f>
        <v>0</v>
      </c>
      <c r="AT88" s="190">
        <f ca="1">SUMIFS(Покупка!AS$25:AS$254,Покупка!$F$25:$F$254,$F88,Покупка!$AC$25:$AC$254,$G88)</f>
        <v>0</v>
      </c>
      <c r="AU88" s="190">
        <f ca="1">SUMIFS(Покупка!AT$25:AT$254,Покупка!$F$25:$F$254,$F88,Покупка!$AC$25:$AC$254,$G88)</f>
        <v>0</v>
      </c>
      <c r="AV88" s="190">
        <f ca="1">SUMIFS(Покупка!AU$25:AU$254,Покупка!$F$25:$F$254,$F88,Покупка!$AC$25:$AC$254,$G88)</f>
        <v>0</v>
      </c>
      <c r="AW88" s="190">
        <f ca="1">SUMIFS(Покупка!AV$25:AV$254,Покупка!$F$25:$F$254,$F88,Покупка!$AC$25:$AC$254,$G88)</f>
        <v>0</v>
      </c>
      <c r="AX88" s="190">
        <f ca="1">SUMIFS(Покупка!AW$25:AW$254,Покупка!$F$25:$F$254,$F88,Покупка!$AC$25:$AC$254,$G88)</f>
        <v>0</v>
      </c>
      <c r="AY88" s="190">
        <f ca="1">SUMIFS(Покупка!AX$25:AX$254,Покупка!$F$25:$F$254,$F88,Покупка!$AC$25:$AC$254,$G88)</f>
        <v>0</v>
      </c>
      <c r="AZ88" s="190">
        <f ca="1">SUMIFS(Покупка!AY$25:AY$254,Покупка!$F$25:$F$254,$F88,Покупка!$AC$25:$AC$254,$G88)</f>
        <v>0</v>
      </c>
      <c r="BA88" s="190">
        <f ca="1">SUMIFS(Покупка!AZ$25:AZ$254,Покупка!$F$25:$F$254,$F88,Покупка!$AC$25:$AC$254,$G88)</f>
        <v>0</v>
      </c>
      <c r="BB88" s="190">
        <f ca="1">SUMIFS(Покупка!BA$25:BA$254,Покупка!$F$25:$F$254,$F88,Покупка!$AC$25:$AC$254,$G88)</f>
        <v>0</v>
      </c>
      <c r="BC88" s="190">
        <f ca="1">SUMIFS(Покупка!BB$25:BB$254,Покупка!$F$25:$F$254,$F88,Покупка!$AC$25:$AC$254,$G88)</f>
        <v>0</v>
      </c>
      <c r="BD88" s="190">
        <f t="shared" ca="1" si="10"/>
        <v>0</v>
      </c>
      <c r="BE88" s="190">
        <f t="shared" ca="1" si="11"/>
        <v>0</v>
      </c>
      <c r="BF88" s="190">
        <f t="shared" ca="1" si="12"/>
        <v>0</v>
      </c>
      <c r="BG88" s="190">
        <f t="shared" ca="1" si="13"/>
        <v>0</v>
      </c>
      <c r="BH88" s="190">
        <f t="shared" ca="1" si="14"/>
        <v>0</v>
      </c>
      <c r="BI88" s="190">
        <f t="shared" ca="1" si="15"/>
        <v>0</v>
      </c>
      <c r="BJ88" s="190">
        <f t="shared" ca="1" si="16"/>
        <v>0</v>
      </c>
      <c r="BK88" s="190">
        <f t="shared" ca="1" si="17"/>
        <v>0</v>
      </c>
      <c r="BL88" s="190">
        <f t="shared" ca="1" si="18"/>
        <v>0</v>
      </c>
      <c r="BM88" s="190">
        <f t="shared" ca="1" si="19"/>
        <v>0</v>
      </c>
      <c r="BN88" s="784"/>
      <c r="BO88" s="788" t="str">
        <f ca="1">IF(IFERROR(INDEX(Покупка!$K$26:$L$254,MATCH($F88&amp;"4komm",Покупка!$K$26:$K$254,0),2),"")=0,"",IFERROR(INDEX(Покупка!$K$26:$L$254,MATCH($F87&amp;"3komm",Покупка!$K$26:$K$254,0),2),""))</f>
        <v/>
      </c>
      <c r="BP88" s="784"/>
      <c r="BS88" s="705" t="s">
        <v>1749</v>
      </c>
    </row>
    <row r="89" spans="2:75" ht="14.65" hidden="1" customHeight="1">
      <c r="B89" s="34"/>
      <c r="C89" s="44"/>
      <c r="D89" s="44"/>
      <c r="E89" s="462">
        <v>15</v>
      </c>
      <c r="F89" s="3" cm="1">
        <f t="array" aca="1" ref="F89" ca="1">OFFSET(E89,-1,1)</f>
        <v>0</v>
      </c>
      <c r="G89" s="44" t="s">
        <v>1099</v>
      </c>
      <c r="H89" s="44"/>
      <c r="I89" s="44" t="s">
        <v>2057</v>
      </c>
      <c r="J89" s="44"/>
      <c r="K89" s="44" t="s">
        <v>2057</v>
      </c>
      <c r="L89" s="44" t="s">
        <v>1535</v>
      </c>
      <c r="M89" s="44"/>
      <c r="N89" s="44"/>
      <c r="O89" s="44"/>
      <c r="P89" s="44"/>
      <c r="Q89" s="44"/>
      <c r="R89" s="44"/>
      <c r="S89" s="44"/>
      <c r="T89" s="365" t="b" cm="1">
        <f t="array" aca="1" ref="T89" ca="1">T88</f>
        <v>0</v>
      </c>
      <c r="U89" s="44"/>
      <c r="V89" s="44"/>
      <c r="X89" s="1075"/>
      <c r="Z89" s="1065"/>
      <c r="AB89" s="152" t="s">
        <v>2058</v>
      </c>
      <c r="AC89" s="153" t="s">
        <v>2059</v>
      </c>
      <c r="AD89" s="26" t="s">
        <v>804</v>
      </c>
      <c r="AE89" s="190">
        <f ca="1">SUMIFS(Покупка!AE$25:AE$254,Покупка!$F$25:$F$254,$F89,Покупка!$AC$25:$AC$254,$G89)</f>
        <v>0</v>
      </c>
      <c r="AF89" s="190">
        <f ca="1">SUMIFS(Покупка!AF$25:AF$254,Покупка!$F$25:$F$254,$F89,Покупка!$AC$25:$AC$254,$G89)</f>
        <v>0</v>
      </c>
      <c r="AG89" s="190">
        <f ca="1">SUMIFS(Покупка!AG$25:AG$254,Покупка!$F$25:$F$254,$F89,Покупка!$AC$25:$AC$254,$G89)</f>
        <v>0</v>
      </c>
      <c r="AH89" s="190">
        <f t="shared" ca="1" si="8"/>
        <v>0</v>
      </c>
      <c r="AI89" s="190">
        <f ca="1">SUMIFS(Покупка!AH$25:AH$254,Покупка!$F$25:$F$254,$F89,Покупка!$AC$25:$AC$254,$G89)</f>
        <v>0</v>
      </c>
      <c r="AJ89" s="190">
        <f ca="1">SUMIFS(Покупка!AI$25:AI$254,Покупка!$F$25:$F$254,$F89,Покупка!$AC$25:$AC$254,$G89)</f>
        <v>0</v>
      </c>
      <c r="AK89" s="190">
        <f ca="1">SUMIFS(Покупка!AJ$25:AJ$254,Покупка!$F$25:$F$254,$F89,Покупка!$AC$25:$AC$254,$G89)</f>
        <v>0</v>
      </c>
      <c r="AL89" s="190">
        <f ca="1">SUMIFS(Покупка!AK$25:AK$254,Покупка!$F$25:$F$254,$F89,Покупка!$AC$25:$AC$254,$G89)</f>
        <v>0</v>
      </c>
      <c r="AM89" s="190">
        <f ca="1">SUMIFS(Покупка!AL$25:AL$254,Покупка!$F$25:$F$254,$F89,Покупка!$AC$25:$AC$254,$G89)</f>
        <v>0</v>
      </c>
      <c r="AN89" s="190">
        <f ca="1">SUMIFS(Покупка!AM$25:AM$254,Покупка!$F$25:$F$254,$F89,Покупка!$AC$25:$AC$254,$G89)</f>
        <v>0</v>
      </c>
      <c r="AO89" s="190">
        <f ca="1">SUMIFS(Покупка!AN$25:AN$254,Покупка!$F$25:$F$254,$F89,Покупка!$AC$25:$AC$254,$G89)</f>
        <v>0</v>
      </c>
      <c r="AP89" s="190">
        <f ca="1">SUMIFS(Покупка!AO$25:AO$254,Покупка!$F$25:$F$254,$F89,Покупка!$AC$25:$AC$254,$G89)</f>
        <v>0</v>
      </c>
      <c r="AQ89" s="190">
        <f ca="1">SUMIFS(Покупка!AP$25:AP$254,Покупка!$F$25:$F$254,$F89,Покупка!$AC$25:$AC$254,$G89)</f>
        <v>0</v>
      </c>
      <c r="AR89" s="190">
        <f ca="1">SUMIFS(Покупка!AQ$25:AQ$254,Покупка!$F$25:$F$254,$F89,Покупка!$AC$25:$AC$254,$G89)</f>
        <v>0</v>
      </c>
      <c r="AS89" s="190">
        <f ca="1">SUMIFS(Покупка!AR$25:AR$254,Покупка!$F$25:$F$254,$F89,Покупка!$AC$25:$AC$254,$G89)</f>
        <v>0</v>
      </c>
      <c r="AT89" s="190">
        <f ca="1">SUMIFS(Покупка!AS$25:AS$254,Покупка!$F$25:$F$254,$F89,Покупка!$AC$25:$AC$254,$G89)</f>
        <v>0</v>
      </c>
      <c r="AU89" s="190">
        <f ca="1">SUMIFS(Покупка!AT$25:AT$254,Покупка!$F$25:$F$254,$F89,Покупка!$AC$25:$AC$254,$G89)</f>
        <v>0</v>
      </c>
      <c r="AV89" s="190">
        <f ca="1">SUMIFS(Покупка!AU$25:AU$254,Покупка!$F$25:$F$254,$F89,Покупка!$AC$25:$AC$254,$G89)</f>
        <v>0</v>
      </c>
      <c r="AW89" s="190">
        <f ca="1">SUMIFS(Покупка!AV$25:AV$254,Покупка!$F$25:$F$254,$F89,Покупка!$AC$25:$AC$254,$G89)</f>
        <v>0</v>
      </c>
      <c r="AX89" s="190">
        <f ca="1">SUMIFS(Покупка!AW$25:AW$254,Покупка!$F$25:$F$254,$F89,Покупка!$AC$25:$AC$254,$G89)</f>
        <v>0</v>
      </c>
      <c r="AY89" s="190">
        <f ca="1">SUMIFS(Покупка!AX$25:AX$254,Покупка!$F$25:$F$254,$F89,Покупка!$AC$25:$AC$254,$G89)</f>
        <v>0</v>
      </c>
      <c r="AZ89" s="190">
        <f ca="1">SUMIFS(Покупка!AY$25:AY$254,Покупка!$F$25:$F$254,$F89,Покупка!$AC$25:$AC$254,$G89)</f>
        <v>0</v>
      </c>
      <c r="BA89" s="190">
        <f ca="1">SUMIFS(Покупка!AZ$25:AZ$254,Покупка!$F$25:$F$254,$F89,Покупка!$AC$25:$AC$254,$G89)</f>
        <v>0</v>
      </c>
      <c r="BB89" s="190">
        <f ca="1">SUMIFS(Покупка!BA$25:BA$254,Покупка!$F$25:$F$254,$F89,Покупка!$AC$25:$AC$254,$G89)</f>
        <v>0</v>
      </c>
      <c r="BC89" s="190">
        <f ca="1">SUMIFS(Покупка!BB$25:BB$254,Покупка!$F$25:$F$254,$F89,Покупка!$AC$25:$AC$254,$G89)</f>
        <v>0</v>
      </c>
      <c r="BD89" s="190">
        <f t="shared" ca="1" si="10"/>
        <v>0</v>
      </c>
      <c r="BE89" s="190">
        <f t="shared" ca="1" si="11"/>
        <v>0</v>
      </c>
      <c r="BF89" s="190">
        <f t="shared" ca="1" si="12"/>
        <v>0</v>
      </c>
      <c r="BG89" s="190">
        <f t="shared" ca="1" si="13"/>
        <v>0</v>
      </c>
      <c r="BH89" s="190">
        <f t="shared" ca="1" si="14"/>
        <v>0</v>
      </c>
      <c r="BI89" s="190">
        <f t="shared" ca="1" si="15"/>
        <v>0</v>
      </c>
      <c r="BJ89" s="190">
        <f t="shared" ca="1" si="16"/>
        <v>0</v>
      </c>
      <c r="BK89" s="190">
        <f t="shared" ca="1" si="17"/>
        <v>0</v>
      </c>
      <c r="BL89" s="190">
        <f t="shared" ca="1" si="18"/>
        <v>0</v>
      </c>
      <c r="BM89" s="190">
        <f t="shared" ca="1" si="19"/>
        <v>0</v>
      </c>
      <c r="BN89" s="784"/>
      <c r="BO89" s="788" t="str">
        <f ca="1">IF(IFERROR(INDEX(Покупка!$K$26:$L$254,MATCH($F89&amp;"5komm",Покупка!$K$26:$K$254,0),2),"")=0,"",IFERROR(INDEX(Покупка!$K$26:$L$254,MATCH($F89&amp;"5komm",Покупка!$K$26:$K$254,0),2),""))</f>
        <v/>
      </c>
      <c r="BP89" s="784"/>
      <c r="BS89" s="705" t="s">
        <v>1752</v>
      </c>
    </row>
    <row r="90" spans="2:75" s="388" customFormat="1" ht="14.65" hidden="1" customHeight="1">
      <c r="B90" s="34"/>
      <c r="C90" s="44"/>
      <c r="D90" s="44"/>
      <c r="E90" s="462">
        <v>15</v>
      </c>
      <c r="F90" s="3" cm="1">
        <f t="array" aca="1" ref="F90" ca="1">OFFSET(E90,-1,1)</f>
        <v>0</v>
      </c>
      <c r="G90" s="44" t="s">
        <v>1140</v>
      </c>
      <c r="H90" s="44"/>
      <c r="I90" s="44"/>
      <c r="J90" s="44"/>
      <c r="K90" s="44"/>
      <c r="L90" s="44" t="s">
        <v>1502</v>
      </c>
      <c r="M90" s="44"/>
      <c r="N90" s="44"/>
      <c r="O90" s="44"/>
      <c r="P90" s="44"/>
      <c r="Q90" s="44"/>
      <c r="R90" s="44"/>
      <c r="S90" s="44"/>
      <c r="T90" s="365" t="b" cm="1">
        <f t="array" aca="1" ref="T90" ca="1">T89</f>
        <v>0</v>
      </c>
      <c r="U90" s="44"/>
      <c r="V90" s="44"/>
      <c r="X90" s="1075"/>
      <c r="Z90" s="1065"/>
      <c r="AB90" s="152" t="s">
        <v>2060</v>
      </c>
      <c r="AC90" s="153" t="s">
        <v>2061</v>
      </c>
      <c r="AD90" s="26" t="s">
        <v>804</v>
      </c>
      <c r="AE90" s="190">
        <f ca="1">SUMIFS(Покупка!AE$25:AE$254,Покупка!$F$25:$F$254,$F90,Покупка!$AC$25:$AC$254,$G90)</f>
        <v>0</v>
      </c>
      <c r="AF90" s="190">
        <f ca="1">SUMIFS(Покупка!AF$25:AF$254,Покупка!$F$25:$F$254,$F90,Покупка!$AC$25:$AC$254,$G90)</f>
        <v>0</v>
      </c>
      <c r="AG90" s="190">
        <f ca="1">SUMIFS(Покупка!AG$25:AG$254,Покупка!$F$25:$F$254,$F90,Покупка!$AC$25:$AC$254,$G90)</f>
        <v>0</v>
      </c>
      <c r="AH90" s="190">
        <f t="shared" ca="1" si="8"/>
        <v>0</v>
      </c>
      <c r="AI90" s="190">
        <f ca="1">SUMIFS(Покупка!AH$25:AH$254,Покупка!$F$25:$F$254,$F90,Покупка!$AC$25:$AC$254,$G90)</f>
        <v>0</v>
      </c>
      <c r="AJ90" s="190">
        <f ca="1">SUMIFS(Покупка!AI$25:AI$254,Покупка!$F$25:$F$254,$F90,Покупка!$AC$25:$AC$254,$G90)</f>
        <v>0</v>
      </c>
      <c r="AK90" s="190">
        <f ca="1">SUMIFS(Покупка!AJ$25:AJ$254,Покупка!$F$25:$F$254,$F90,Покупка!$AC$25:$AC$254,$G90)</f>
        <v>0</v>
      </c>
      <c r="AL90" s="190">
        <f ca="1">SUMIFS(Покупка!AK$25:AK$254,Покупка!$F$25:$F$254,$F90,Покупка!$AC$25:$AC$254,$G90)</f>
        <v>0</v>
      </c>
      <c r="AM90" s="190">
        <f ca="1">SUMIFS(Покупка!AL$25:AL$254,Покупка!$F$25:$F$254,$F90,Покупка!$AC$25:$AC$254,$G90)</f>
        <v>0</v>
      </c>
      <c r="AN90" s="190">
        <f ca="1">SUMIFS(Покупка!AM$25:AM$254,Покупка!$F$25:$F$254,$F90,Покупка!$AC$25:$AC$254,$G90)</f>
        <v>0</v>
      </c>
      <c r="AO90" s="190">
        <f ca="1">SUMIFS(Покупка!AN$25:AN$254,Покупка!$F$25:$F$254,$F90,Покупка!$AC$25:$AC$254,$G90)</f>
        <v>0</v>
      </c>
      <c r="AP90" s="190">
        <f ca="1">SUMIFS(Покупка!AO$25:AO$254,Покупка!$F$25:$F$254,$F90,Покупка!$AC$25:$AC$254,$G90)</f>
        <v>0</v>
      </c>
      <c r="AQ90" s="190">
        <f ca="1">SUMIFS(Покупка!AP$25:AP$254,Покупка!$F$25:$F$254,$F90,Покупка!$AC$25:$AC$254,$G90)</f>
        <v>0</v>
      </c>
      <c r="AR90" s="190">
        <f ca="1">SUMIFS(Покупка!AQ$25:AQ$254,Покупка!$F$25:$F$254,$F90,Покупка!$AC$25:$AC$254,$G90)</f>
        <v>0</v>
      </c>
      <c r="AS90" s="190">
        <f ca="1">SUMIFS(Покупка!AR$25:AR$254,Покупка!$F$25:$F$254,$F90,Покупка!$AC$25:$AC$254,$G90)</f>
        <v>0</v>
      </c>
      <c r="AT90" s="190">
        <f ca="1">SUMIFS(Покупка!AS$25:AS$254,Покупка!$F$25:$F$254,$F90,Покупка!$AC$25:$AC$254,$G90)</f>
        <v>0</v>
      </c>
      <c r="AU90" s="190">
        <f ca="1">SUMIFS(Покупка!AT$25:AT$254,Покупка!$F$25:$F$254,$F90,Покупка!$AC$25:$AC$254,$G90)</f>
        <v>0</v>
      </c>
      <c r="AV90" s="190">
        <f ca="1">SUMIFS(Покупка!AU$25:AU$254,Покупка!$F$25:$F$254,$F90,Покупка!$AC$25:$AC$254,$G90)</f>
        <v>0</v>
      </c>
      <c r="AW90" s="190">
        <f ca="1">SUMIFS(Покупка!AV$25:AV$254,Покупка!$F$25:$F$254,$F90,Покупка!$AC$25:$AC$254,$G90)</f>
        <v>0</v>
      </c>
      <c r="AX90" s="190">
        <f ca="1">SUMIFS(Покупка!AW$25:AW$254,Покупка!$F$25:$F$254,$F90,Покупка!$AC$25:$AC$254,$G90)</f>
        <v>0</v>
      </c>
      <c r="AY90" s="190">
        <f ca="1">SUMIFS(Покупка!AX$25:AX$254,Покупка!$F$25:$F$254,$F90,Покупка!$AC$25:$AC$254,$G90)</f>
        <v>0</v>
      </c>
      <c r="AZ90" s="190">
        <f ca="1">SUMIFS(Покупка!AY$25:AY$254,Покупка!$F$25:$F$254,$F90,Покупка!$AC$25:$AC$254,$G90)</f>
        <v>0</v>
      </c>
      <c r="BA90" s="190">
        <f ca="1">SUMIFS(Покупка!AZ$25:AZ$254,Покупка!$F$25:$F$254,$F90,Покупка!$AC$25:$AC$254,$G90)</f>
        <v>0</v>
      </c>
      <c r="BB90" s="190">
        <f ca="1">SUMIFS(Покупка!BA$25:BA$254,Покупка!$F$25:$F$254,$F90,Покупка!$AC$25:$AC$254,$G90)</f>
        <v>0</v>
      </c>
      <c r="BC90" s="190">
        <f ca="1">SUMIFS(Покупка!BB$25:BB$254,Покупка!$F$25:$F$254,$F90,Покупка!$AC$25:$AC$254,$G90)</f>
        <v>0</v>
      </c>
      <c r="BD90" s="190">
        <f t="shared" ca="1" si="10"/>
        <v>0</v>
      </c>
      <c r="BE90" s="190">
        <f t="shared" ca="1" si="11"/>
        <v>0</v>
      </c>
      <c r="BF90" s="190">
        <f t="shared" ca="1" si="12"/>
        <v>0</v>
      </c>
      <c r="BG90" s="190">
        <f t="shared" ca="1" si="13"/>
        <v>0</v>
      </c>
      <c r="BH90" s="190">
        <f t="shared" ca="1" si="14"/>
        <v>0</v>
      </c>
      <c r="BI90" s="190">
        <f t="shared" ca="1" si="15"/>
        <v>0</v>
      </c>
      <c r="BJ90" s="190">
        <f t="shared" ca="1" si="16"/>
        <v>0</v>
      </c>
      <c r="BK90" s="190">
        <f t="shared" ca="1" si="17"/>
        <v>0</v>
      </c>
      <c r="BL90" s="190">
        <f t="shared" ca="1" si="18"/>
        <v>0</v>
      </c>
      <c r="BM90" s="190">
        <f t="shared" ca="1" si="19"/>
        <v>0</v>
      </c>
      <c r="BN90" s="784"/>
      <c r="BO90" s="788" t="str">
        <f ca="1">IF(IFERROR(INDEX(Покупка!$K$26:$L$254,MATCH($F90&amp;"9komm",Покупка!$K$26:$K$254,0),2),"")=0,"",IFERROR(INDEX(Покупка!$K$26:$L$254,MATCH($F90&amp;"9komm",Покупка!$K$26:$K$254,0),2),""))</f>
        <v/>
      </c>
      <c r="BP90" s="784"/>
      <c r="BS90" s="705" t="s">
        <v>1141</v>
      </c>
      <c r="BT90" s="705"/>
      <c r="BU90" s="705"/>
      <c r="BV90" s="518"/>
      <c r="BW90" s="518"/>
    </row>
    <row r="91" spans="2:75" ht="14.65" hidden="1" customHeight="1">
      <c r="B91" s="34"/>
      <c r="C91" s="44"/>
      <c r="D91" s="44"/>
      <c r="E91" s="462">
        <v>15</v>
      </c>
      <c r="F91" s="3" cm="1">
        <f t="array" aca="1" ref="F91" ca="1">OFFSET(E91,-1,1)</f>
        <v>0</v>
      </c>
      <c r="G91" s="44"/>
      <c r="H91" s="44"/>
      <c r="I91" s="44" t="s">
        <v>482</v>
      </c>
      <c r="J91" s="44"/>
      <c r="K91" s="44" t="s">
        <v>482</v>
      </c>
      <c r="L91" s="44"/>
      <c r="M91" s="44"/>
      <c r="N91" s="44"/>
      <c r="O91" s="44"/>
      <c r="P91" s="44"/>
      <c r="Q91" s="44"/>
      <c r="R91" s="44"/>
      <c r="S91" s="44"/>
      <c r="T91" s="365" t="b" cm="1">
        <f t="array" aca="1" ref="T91" ca="1">T90</f>
        <v>0</v>
      </c>
      <c r="U91" s="44"/>
      <c r="V91" s="44"/>
      <c r="X91" s="1075"/>
      <c r="Z91" s="1065"/>
      <c r="AB91" s="152" t="s">
        <v>541</v>
      </c>
      <c r="AC91" s="146" t="s">
        <v>2062</v>
      </c>
      <c r="AD91" s="118" t="s">
        <v>804</v>
      </c>
      <c r="AE91" s="190">
        <f ca="1">SUMIFS('Сырье и материалы'!AE$25:AE$96,'Сырье и материалы'!$F$25:$F$96,$F91,'Сырье и материалы'!$I$25:$I$96,"Реагенты")</f>
        <v>0</v>
      </c>
      <c r="AF91" s="190">
        <f ca="1">SUMIFS('Сырье и материалы'!AF$25:AF$96,'Сырье и материалы'!$F$25:$F$96,$F91,'Сырье и материалы'!$I$25:$I$96,"Реагенты")</f>
        <v>0</v>
      </c>
      <c r="AG91" s="190">
        <f ca="1">SUMIFS('Сырье и материалы'!AG$25:AG$96,'Сырье и материалы'!$F$25:$F$96,$F91,'Сырье и материалы'!$I$25:$I$96,"Реагенты")</f>
        <v>0</v>
      </c>
      <c r="AH91" s="190">
        <f t="shared" ca="1" si="8"/>
        <v>0</v>
      </c>
      <c r="AI91" s="190">
        <f ca="1">SUMIFS('Сырье и материалы'!AH$25:AH$96,'Сырье и материалы'!$F$25:$F$96,$F91,'Сырье и материалы'!$I$25:$I$96,"Реагенты")</f>
        <v>0</v>
      </c>
      <c r="AJ91" s="190">
        <f ca="1">SUMIFS('Сырье и материалы'!AI$25:AI$96,'Сырье и материалы'!$F$25:$F$96,$F91,'Сырье и материалы'!$I$25:$I$96,"Реагенты")</f>
        <v>0</v>
      </c>
      <c r="AK91" s="190">
        <f ca="1">SUMIFS('Сырье и материалы'!AJ$25:AJ$96,'Сырье и материалы'!$F$25:$F$96,$F91,'Сырье и материалы'!$I$25:$I$96,"Реагенты")</f>
        <v>0</v>
      </c>
      <c r="AL91" s="190">
        <f ca="1">SUMIFS('Сырье и материалы'!AK$25:AK$96,'Сырье и материалы'!$F$25:$F$96,$F91,'Сырье и материалы'!$I$25:$I$96,"Реагенты")</f>
        <v>0</v>
      </c>
      <c r="AM91" s="190">
        <f ca="1">SUMIFS('Сырье и материалы'!AL$25:AL$96,'Сырье и материалы'!$F$25:$F$96,$F91,'Сырье и материалы'!$I$25:$I$96,"Реагенты")</f>
        <v>0</v>
      </c>
      <c r="AN91" s="190">
        <f ca="1">SUMIFS('Сырье и материалы'!AM$25:AM$96,'Сырье и материалы'!$F$25:$F$96,$F91,'Сырье и материалы'!$I$25:$I$96,"Реагенты")</f>
        <v>0</v>
      </c>
      <c r="AO91" s="190">
        <f ca="1">SUMIFS('Сырье и материалы'!AN$25:AN$96,'Сырье и материалы'!$F$25:$F$96,$F91,'Сырье и материалы'!$I$25:$I$96,"Реагенты")</f>
        <v>0</v>
      </c>
      <c r="AP91" s="190">
        <f ca="1">SUMIFS('Сырье и материалы'!AO$25:AO$96,'Сырье и материалы'!$F$25:$F$96,$F91,'Сырье и материалы'!$I$25:$I$96,"Реагенты")</f>
        <v>0</v>
      </c>
      <c r="AQ91" s="190">
        <f ca="1">SUMIFS('Сырье и материалы'!AP$25:AP$96,'Сырье и материалы'!$F$25:$F$96,$F91,'Сырье и материалы'!$I$25:$I$96,"Реагенты")</f>
        <v>0</v>
      </c>
      <c r="AR91" s="190">
        <f ca="1">SUMIFS('Сырье и материалы'!AQ$25:AQ$96,'Сырье и материалы'!$F$25:$F$96,$F91,'Сырье и материалы'!$I$25:$I$96,"Реагенты")</f>
        <v>0</v>
      </c>
      <c r="AS91" s="190">
        <f ca="1">SUMIFS('Сырье и материалы'!AR$25:AR$96,'Сырье и материалы'!$F$25:$F$96,$F91,'Сырье и материалы'!$I$25:$I$96,"Реагенты")</f>
        <v>0</v>
      </c>
      <c r="AT91" s="190">
        <f ca="1">SUMIFS('Сырье и материалы'!AS$25:AS$96,'Сырье и материалы'!$F$25:$F$96,$F91,'Сырье и материалы'!$I$25:$I$96,"Реагенты")</f>
        <v>0</v>
      </c>
      <c r="AU91" s="190">
        <f ca="1">SUMIFS('Сырье и материалы'!AT$25:AT$96,'Сырье и материалы'!$F$25:$F$96,$F91,'Сырье и материалы'!$I$25:$I$96,"Реагенты")</f>
        <v>0</v>
      </c>
      <c r="AV91" s="190">
        <f ca="1">SUMIFS('Сырье и материалы'!AU$25:AU$96,'Сырье и материалы'!$F$25:$F$96,$F91,'Сырье и материалы'!$I$25:$I$96,"Реагенты")</f>
        <v>0</v>
      </c>
      <c r="AW91" s="190">
        <f ca="1">SUMIFS('Сырье и материалы'!AV$25:AV$96,'Сырье и материалы'!$F$25:$F$96,$F91,'Сырье и материалы'!$I$25:$I$96,"Реагенты")</f>
        <v>0</v>
      </c>
      <c r="AX91" s="190">
        <f ca="1">SUMIFS('Сырье и материалы'!AW$25:AW$96,'Сырье и материалы'!$F$25:$F$96,$F91,'Сырье и материалы'!$I$25:$I$96,"Реагенты")</f>
        <v>0</v>
      </c>
      <c r="AY91" s="190">
        <f ca="1">SUMIFS('Сырье и материалы'!AX$25:AX$96,'Сырье и материалы'!$F$25:$F$96,$F91,'Сырье и материалы'!$I$25:$I$96,"Реагенты")</f>
        <v>0</v>
      </c>
      <c r="AZ91" s="190">
        <f ca="1">SUMIFS('Сырье и материалы'!AY$25:AY$96,'Сырье и материалы'!$F$25:$F$96,$F91,'Сырье и материалы'!$I$25:$I$96,"Реагенты")</f>
        <v>0</v>
      </c>
      <c r="BA91" s="190">
        <f ca="1">SUMIFS('Сырье и материалы'!AZ$25:AZ$96,'Сырье и материалы'!$F$25:$F$96,$F91,'Сырье и материалы'!$I$25:$I$96,"Реагенты")</f>
        <v>0</v>
      </c>
      <c r="BB91" s="190">
        <f ca="1">SUMIFS('Сырье и материалы'!BA$25:BA$96,'Сырье и материалы'!$F$25:$F$96,$F91,'Сырье и материалы'!$I$25:$I$96,"Реагенты")</f>
        <v>0</v>
      </c>
      <c r="BC91" s="190">
        <f ca="1">SUMIFS('Сырье и материалы'!BB$25:BB$96,'Сырье и материалы'!$F$25:$F$96,$F91,'Сырье и материалы'!$I$25:$I$96,"Реагенты")</f>
        <v>0</v>
      </c>
      <c r="BD91" s="190">
        <f t="shared" ca="1" si="10"/>
        <v>0</v>
      </c>
      <c r="BE91" s="190">
        <f t="shared" ca="1" si="11"/>
        <v>0</v>
      </c>
      <c r="BF91" s="190">
        <f t="shared" ca="1" si="12"/>
        <v>0</v>
      </c>
      <c r="BG91" s="190">
        <f t="shared" ca="1" si="13"/>
        <v>0</v>
      </c>
      <c r="BH91" s="190">
        <f t="shared" ca="1" si="14"/>
        <v>0</v>
      </c>
      <c r="BI91" s="190">
        <f t="shared" ca="1" si="15"/>
        <v>0</v>
      </c>
      <c r="BJ91" s="190">
        <f t="shared" ca="1" si="16"/>
        <v>0</v>
      </c>
      <c r="BK91" s="190">
        <f t="shared" ca="1" si="17"/>
        <v>0</v>
      </c>
      <c r="BL91" s="190">
        <f t="shared" ca="1" si="18"/>
        <v>0</v>
      </c>
      <c r="BM91" s="190">
        <f t="shared" ca="1" si="19"/>
        <v>0</v>
      </c>
      <c r="BN91" s="784"/>
      <c r="BO91" s="788" t="str">
        <f ca="1">IF(IFERROR(INDEX('Сырье и материалы'!$K$26:$L$96,MATCH($F91&amp;"komm",'Сырье и материалы'!$K$26:$K$96,0),2),"")=0,"",IFERROR(INDEX('Сырье и материалы'!$K$26:$L$96,MATCH($F91&amp;"komm",'Сырье и материалы'!$K$26:$K$96,0),2),""))</f>
        <v/>
      </c>
      <c r="BP91" s="784"/>
      <c r="BS91" s="705" t="s">
        <v>1725</v>
      </c>
    </row>
    <row r="92" spans="2:75" s="95" customFormat="1" ht="20.45" hidden="1" customHeight="1">
      <c r="B92" s="48"/>
      <c r="C92" s="46"/>
      <c r="D92" s="46"/>
      <c r="E92" s="569">
        <v>21</v>
      </c>
      <c r="F92" s="3" cm="1">
        <f t="array" aca="1" ref="F92" ca="1">OFFSET(E92,-1,1)</f>
        <v>0</v>
      </c>
      <c r="G92" s="46"/>
      <c r="H92" s="44"/>
      <c r="I92" s="44" t="s">
        <v>917</v>
      </c>
      <c r="J92" s="46"/>
      <c r="K92" s="44" t="s">
        <v>917</v>
      </c>
      <c r="L92" s="46" t="s">
        <v>514</v>
      </c>
      <c r="M92" s="46"/>
      <c r="N92" s="46"/>
      <c r="O92" s="46"/>
      <c r="P92" s="46"/>
      <c r="Q92" s="46"/>
      <c r="R92" s="46"/>
      <c r="S92" s="46"/>
      <c r="T92" s="365" t="b" cm="1">
        <f t="array" aca="1" ref="T92" ca="1">T91</f>
        <v>0</v>
      </c>
      <c r="U92" s="46"/>
      <c r="V92" s="46"/>
      <c r="X92" s="1075"/>
      <c r="Z92" s="1065"/>
      <c r="AB92" s="150" t="s">
        <v>545</v>
      </c>
      <c r="AC92" s="276" t="s">
        <v>2063</v>
      </c>
      <c r="AD92" s="143" t="s">
        <v>804</v>
      </c>
      <c r="AE92" s="145">
        <f ca="1">SUM(AE93:AE102)</f>
        <v>0</v>
      </c>
      <c r="AF92" s="145">
        <f ca="1">SUM(AF93:AF102)</f>
        <v>0</v>
      </c>
      <c r="AG92" s="145">
        <f ca="1">SUM(AG93:AG102)</f>
        <v>0</v>
      </c>
      <c r="AH92" s="145">
        <f t="shared" ca="1" si="8"/>
        <v>0</v>
      </c>
      <c r="AI92" s="145">
        <f t="shared" ref="AI92:BC92" ca="1" si="21">SUM(AI93:AI102)</f>
        <v>0</v>
      </c>
      <c r="AJ92" s="145">
        <f t="shared" ca="1" si="21"/>
        <v>0</v>
      </c>
      <c r="AK92" s="145">
        <f t="shared" ca="1" si="21"/>
        <v>0</v>
      </c>
      <c r="AL92" s="145">
        <f t="shared" ca="1" si="21"/>
        <v>0</v>
      </c>
      <c r="AM92" s="145">
        <f t="shared" ca="1" si="21"/>
        <v>0</v>
      </c>
      <c r="AN92" s="145">
        <f t="shared" ca="1" si="21"/>
        <v>0</v>
      </c>
      <c r="AO92" s="145">
        <f t="shared" ca="1" si="21"/>
        <v>0</v>
      </c>
      <c r="AP92" s="145">
        <f t="shared" ca="1" si="21"/>
        <v>0</v>
      </c>
      <c r="AQ92" s="145">
        <f t="shared" ca="1" si="21"/>
        <v>0</v>
      </c>
      <c r="AR92" s="145">
        <f t="shared" ca="1" si="21"/>
        <v>0</v>
      </c>
      <c r="AS92" s="145">
        <f t="shared" ca="1" si="21"/>
        <v>0</v>
      </c>
      <c r="AT92" s="145">
        <f t="shared" ca="1" si="21"/>
        <v>0</v>
      </c>
      <c r="AU92" s="145">
        <f t="shared" ca="1" si="21"/>
        <v>0</v>
      </c>
      <c r="AV92" s="145">
        <f t="shared" ca="1" si="21"/>
        <v>0</v>
      </c>
      <c r="AW92" s="145">
        <f t="shared" ca="1" si="21"/>
        <v>0</v>
      </c>
      <c r="AX92" s="145">
        <f t="shared" ca="1" si="21"/>
        <v>0</v>
      </c>
      <c r="AY92" s="145">
        <f t="shared" ca="1" si="21"/>
        <v>0</v>
      </c>
      <c r="AZ92" s="145">
        <f t="shared" ca="1" si="21"/>
        <v>0</v>
      </c>
      <c r="BA92" s="145">
        <f t="shared" ca="1" si="21"/>
        <v>0</v>
      </c>
      <c r="BB92" s="145">
        <f t="shared" ca="1" si="21"/>
        <v>0</v>
      </c>
      <c r="BC92" s="145">
        <f t="shared" ca="1" si="21"/>
        <v>0</v>
      </c>
      <c r="BD92" s="145">
        <f t="shared" ca="1" si="10"/>
        <v>0</v>
      </c>
      <c r="BE92" s="145">
        <f t="shared" ca="1" si="11"/>
        <v>0</v>
      </c>
      <c r="BF92" s="145">
        <f t="shared" ca="1" si="12"/>
        <v>0</v>
      </c>
      <c r="BG92" s="145">
        <f t="shared" ca="1" si="13"/>
        <v>0</v>
      </c>
      <c r="BH92" s="145">
        <f t="shared" ca="1" si="14"/>
        <v>0</v>
      </c>
      <c r="BI92" s="145">
        <f t="shared" ca="1" si="15"/>
        <v>0</v>
      </c>
      <c r="BJ92" s="145">
        <f t="shared" ca="1" si="16"/>
        <v>0</v>
      </c>
      <c r="BK92" s="145">
        <f t="shared" ca="1" si="17"/>
        <v>0</v>
      </c>
      <c r="BL92" s="145">
        <f t="shared" ca="1" si="18"/>
        <v>0</v>
      </c>
      <c r="BM92" s="145">
        <f t="shared" ca="1" si="19"/>
        <v>0</v>
      </c>
      <c r="BN92" s="786"/>
      <c r="BO92" s="788" t="str">
        <f ca="1">IF(IFERROR(INDEX(Налоги!$K$26:$L$69,MATCH($F92&amp;"komm",Налоги!$K$26:$K$69,0),2),"")=0,"",IFERROR(INDEX(Налоги!$K$26:$L$69,MATCH($F92&amp;"komm",Налоги!$K$26:$K$69,0),2),""))</f>
        <v/>
      </c>
      <c r="BP92" s="786"/>
      <c r="BS92" s="711" t="s">
        <v>1270</v>
      </c>
      <c r="BT92" s="711"/>
      <c r="BU92" s="711"/>
      <c r="BV92" s="522"/>
      <c r="BW92" s="522"/>
    </row>
    <row r="93" spans="2:75" ht="14.65" hidden="1" customHeight="1">
      <c r="B93" s="34"/>
      <c r="C93" s="44"/>
      <c r="D93" s="44"/>
      <c r="E93" s="462">
        <v>15</v>
      </c>
      <c r="F93" s="3" cm="1">
        <f t="array" aca="1" ref="F93" ca="1">OFFSET(E93,-1,1)</f>
        <v>0</v>
      </c>
      <c r="G93" s="620">
        <v>7</v>
      </c>
      <c r="H93" s="44"/>
      <c r="I93" s="44" t="s">
        <v>2064</v>
      </c>
      <c r="J93" s="44"/>
      <c r="K93" s="44" t="s">
        <v>2064</v>
      </c>
      <c r="L93" s="44"/>
      <c r="M93" s="44"/>
      <c r="N93" s="44"/>
      <c r="O93" s="44"/>
      <c r="P93" s="44"/>
      <c r="Q93" s="44"/>
      <c r="R93" s="44"/>
      <c r="S93" s="44"/>
      <c r="T93" s="365" t="b" cm="1">
        <f t="array" aca="1" ref="T93" ca="1">T92</f>
        <v>0</v>
      </c>
      <c r="U93" s="44"/>
      <c r="V93" s="44"/>
      <c r="X93" s="1075"/>
      <c r="Z93" s="1065"/>
      <c r="AB93" s="152" t="s">
        <v>498</v>
      </c>
      <c r="AC93" s="153" t="s">
        <v>1284</v>
      </c>
      <c r="AD93" s="26" t="s">
        <v>804</v>
      </c>
      <c r="AE93" s="190">
        <f ca="1">SUMIFS(Налоги!AE$25:AE$69,Налоги!$F$25:$F$69,$F93,Налоги!$AB$25:$AB$69,$G93)</f>
        <v>0</v>
      </c>
      <c r="AF93" s="190">
        <f ca="1">SUMIFS(Налоги!AF$25:AF$69,Налоги!$F$25:$F$69,$F93,Налоги!$AB$25:$AB$69,$G93)</f>
        <v>0</v>
      </c>
      <c r="AG93" s="190">
        <f ca="1">SUMIFS(Налоги!AG$25:AG$69,Налоги!$F$25:$F$69,$F93,Налоги!$AB$25:$AB$69,$G93)</f>
        <v>0</v>
      </c>
      <c r="AH93" s="190">
        <f t="shared" ca="1" si="8"/>
        <v>0</v>
      </c>
      <c r="AI93" s="190">
        <f ca="1">SUMIFS(Налоги!AH$25:AH$69,Налоги!$F$25:$F$69,$F93,Налоги!$AB$25:$AB$69,$G93)</f>
        <v>0</v>
      </c>
      <c r="AJ93" s="190">
        <f ca="1">SUMIFS(Налоги!AI$25:AI$69,Налоги!$F$25:$F$69,$F93,Налоги!$AB$25:$AB$69,$G93)</f>
        <v>0</v>
      </c>
      <c r="AK93" s="190">
        <f ca="1">SUMIFS(Налоги!AJ$25:AJ$69,Налоги!$F$25:$F$69,$F93,Налоги!$AB$25:$AB$69,$G93)</f>
        <v>0</v>
      </c>
      <c r="AL93" s="190">
        <f ca="1">SUMIFS(Налоги!AK$25:AK$69,Налоги!$F$25:$F$69,$F93,Налоги!$AB$25:$AB$69,$G93)</f>
        <v>0</v>
      </c>
      <c r="AM93" s="190">
        <f ca="1">SUMIFS(Налоги!AL$25:AL$69,Налоги!$F$25:$F$69,$F93,Налоги!$AB$25:$AB$69,$G93)</f>
        <v>0</v>
      </c>
      <c r="AN93" s="190">
        <f ca="1">SUMIFS(Налоги!AM$25:AM$69,Налоги!$F$25:$F$69,$F93,Налоги!$AB$25:$AB$69,$G93)</f>
        <v>0</v>
      </c>
      <c r="AO93" s="190">
        <f ca="1">SUMIFS(Налоги!AN$25:AN$69,Налоги!$F$25:$F$69,$F93,Налоги!$AB$25:$AB$69,$G93)</f>
        <v>0</v>
      </c>
      <c r="AP93" s="190">
        <f ca="1">SUMIFS(Налоги!AO$25:AO$69,Налоги!$F$25:$F$69,$F93,Налоги!$AB$25:$AB$69,$G93)</f>
        <v>0</v>
      </c>
      <c r="AQ93" s="190">
        <f ca="1">SUMIFS(Налоги!AP$25:AP$69,Налоги!$F$25:$F$69,$F93,Налоги!$AB$25:$AB$69,$G93)</f>
        <v>0</v>
      </c>
      <c r="AR93" s="190">
        <f ca="1">SUMIFS(Налоги!AQ$25:AQ$69,Налоги!$F$25:$F$69,$F93,Налоги!$AB$25:$AB$69,$G93)</f>
        <v>0</v>
      </c>
      <c r="AS93" s="190">
        <f ca="1">SUMIFS(Налоги!AR$25:AR$69,Налоги!$F$25:$F$69,$F93,Налоги!$AB$25:$AB$69,$G93)</f>
        <v>0</v>
      </c>
      <c r="AT93" s="190">
        <f ca="1">SUMIFS(Налоги!AS$25:AS$69,Налоги!$F$25:$F$69,$F93,Налоги!$AB$25:$AB$69,$G93)</f>
        <v>0</v>
      </c>
      <c r="AU93" s="190">
        <f ca="1">SUMIFS(Налоги!AT$25:AT$69,Налоги!$F$25:$F$69,$F93,Налоги!$AB$25:$AB$69,$G93)</f>
        <v>0</v>
      </c>
      <c r="AV93" s="190">
        <f ca="1">SUMIFS(Налоги!AU$25:AU$69,Налоги!$F$25:$F$69,$F93,Налоги!$AB$25:$AB$69,$G93)</f>
        <v>0</v>
      </c>
      <c r="AW93" s="190">
        <f ca="1">SUMIFS(Налоги!AV$25:AV$69,Налоги!$F$25:$F$69,$F93,Налоги!$AB$25:$AB$69,$G93)</f>
        <v>0</v>
      </c>
      <c r="AX93" s="190">
        <f ca="1">SUMIFS(Налоги!AW$25:AW$69,Налоги!$F$25:$F$69,$F93,Налоги!$AB$25:$AB$69,$G93)</f>
        <v>0</v>
      </c>
      <c r="AY93" s="190">
        <f ca="1">SUMIFS(Налоги!AX$25:AX$69,Налоги!$F$25:$F$69,$F93,Налоги!$AB$25:$AB$69,$G93)</f>
        <v>0</v>
      </c>
      <c r="AZ93" s="190">
        <f ca="1">SUMIFS(Налоги!AY$25:AY$69,Налоги!$F$25:$F$69,$F93,Налоги!$AB$25:$AB$69,$G93)</f>
        <v>0</v>
      </c>
      <c r="BA93" s="190">
        <f ca="1">SUMIFS(Налоги!AZ$25:AZ$69,Налоги!$F$25:$F$69,$F93,Налоги!$AB$25:$AB$69,$G93)</f>
        <v>0</v>
      </c>
      <c r="BB93" s="190">
        <f ca="1">SUMIFS(Налоги!BA$25:BA$69,Налоги!$F$25:$F$69,$F93,Налоги!$AB$25:$AB$69,$G93)</f>
        <v>0</v>
      </c>
      <c r="BC93" s="190">
        <f ca="1">SUMIFS(Налоги!BB$25:BB$69,Налоги!$F$25:$F$69,$F93,Налоги!$AB$25:$AB$69,$G93)</f>
        <v>0</v>
      </c>
      <c r="BD93" s="190">
        <f t="shared" ca="1" si="10"/>
        <v>0</v>
      </c>
      <c r="BE93" s="190">
        <f t="shared" ca="1" si="11"/>
        <v>0</v>
      </c>
      <c r="BF93" s="190">
        <f t="shared" ca="1" si="12"/>
        <v>0</v>
      </c>
      <c r="BG93" s="190">
        <f t="shared" ca="1" si="13"/>
        <v>0</v>
      </c>
      <c r="BH93" s="190">
        <f t="shared" ca="1" si="14"/>
        <v>0</v>
      </c>
      <c r="BI93" s="190">
        <f t="shared" ca="1" si="15"/>
        <v>0</v>
      </c>
      <c r="BJ93" s="190">
        <f t="shared" ca="1" si="16"/>
        <v>0</v>
      </c>
      <c r="BK93" s="190">
        <f t="shared" ca="1" si="17"/>
        <v>0</v>
      </c>
      <c r="BL93" s="190">
        <f t="shared" ca="1" si="18"/>
        <v>0</v>
      </c>
      <c r="BM93" s="190">
        <f t="shared" ca="1" si="19"/>
        <v>0</v>
      </c>
      <c r="BN93" s="784"/>
      <c r="BO93" s="788" t="str">
        <f ca="1">IF(IFERROR(INDEX(Налоги!$K$26:$L$69,MATCH($F93&amp;"7komm",Налоги!$K$26:$K$69,0),2),"")=0,"",IFERROR(INDEX(Налоги!$K$26:$L$69,MATCH($F93&amp;"7komm",Налоги!$K$26:$K$69,0),2),""))</f>
        <v/>
      </c>
      <c r="BP93" s="784"/>
      <c r="BS93" s="705" t="s">
        <v>2065</v>
      </c>
    </row>
    <row r="94" spans="2:75" ht="14.65" hidden="1" customHeight="1">
      <c r="B94" s="34"/>
      <c r="C94" s="44"/>
      <c r="D94" s="44"/>
      <c r="E94" s="462">
        <v>15</v>
      </c>
      <c r="F94" s="3" cm="1">
        <f t="array" aca="1" ref="F94" ca="1">OFFSET(E94,-1,1)</f>
        <v>0</v>
      </c>
      <c r="G94" s="620">
        <v>6</v>
      </c>
      <c r="H94" s="44"/>
      <c r="I94" s="44" t="s">
        <v>2066</v>
      </c>
      <c r="J94" s="44"/>
      <c r="K94" s="44" t="s">
        <v>2066</v>
      </c>
      <c r="L94" s="44"/>
      <c r="M94" s="44"/>
      <c r="N94" s="44"/>
      <c r="O94" s="44"/>
      <c r="P94" s="44"/>
      <c r="Q94" s="44"/>
      <c r="R94" s="44"/>
      <c r="S94" s="44"/>
      <c r="T94" s="365" t="b" cm="1">
        <f t="array" aca="1" ref="T94" ca="1">T93</f>
        <v>0</v>
      </c>
      <c r="U94" s="44"/>
      <c r="V94" s="44"/>
      <c r="X94" s="1075"/>
      <c r="Z94" s="1065"/>
      <c r="AB94" s="152" t="s">
        <v>1492</v>
      </c>
      <c r="AC94" s="153" t="s">
        <v>2067</v>
      </c>
      <c r="AD94" s="26" t="s">
        <v>804</v>
      </c>
      <c r="AE94" s="190">
        <f ca="1">SUMIFS(Налоги!AE$25:AE$69,Налоги!$F$25:$F$69,$F94,Налоги!$AB$25:$AB$69,$G94)</f>
        <v>0</v>
      </c>
      <c r="AF94" s="190">
        <f ca="1">SUMIFS(Налоги!AF$25:AF$69,Налоги!$F$25:$F$69,$F94,Налоги!$AB$25:$AB$69,$G94)</f>
        <v>0</v>
      </c>
      <c r="AG94" s="190">
        <f ca="1">SUMIFS(Налоги!AG$25:AG$69,Налоги!$F$25:$F$69,$F94,Налоги!$AB$25:$AB$69,$G94)</f>
        <v>0</v>
      </c>
      <c r="AH94" s="190">
        <f t="shared" ca="1" si="8"/>
        <v>0</v>
      </c>
      <c r="AI94" s="190">
        <f ca="1">SUMIFS(Налоги!AH$25:AH$69,Налоги!$F$25:$F$69,$F94,Налоги!$AB$25:$AB$69,$G94)</f>
        <v>0</v>
      </c>
      <c r="AJ94" s="190">
        <f ca="1">SUMIFS(Налоги!AI$25:AI$69,Налоги!$F$25:$F$69,$F94,Налоги!$AB$25:$AB$69,$G94)</f>
        <v>0</v>
      </c>
      <c r="AK94" s="190">
        <f ca="1">SUMIFS(Налоги!AJ$25:AJ$69,Налоги!$F$25:$F$69,$F94,Налоги!$AB$25:$AB$69,$G94)</f>
        <v>0</v>
      </c>
      <c r="AL94" s="190">
        <f ca="1">SUMIFS(Налоги!AK$25:AK$69,Налоги!$F$25:$F$69,$F94,Налоги!$AB$25:$AB$69,$G94)</f>
        <v>0</v>
      </c>
      <c r="AM94" s="190">
        <f ca="1">SUMIFS(Налоги!AL$25:AL$69,Налоги!$F$25:$F$69,$F94,Налоги!$AB$25:$AB$69,$G94)</f>
        <v>0</v>
      </c>
      <c r="AN94" s="190">
        <f ca="1">SUMIFS(Налоги!AM$25:AM$69,Налоги!$F$25:$F$69,$F94,Налоги!$AB$25:$AB$69,$G94)</f>
        <v>0</v>
      </c>
      <c r="AO94" s="190">
        <f ca="1">SUMIFS(Налоги!AN$25:AN$69,Налоги!$F$25:$F$69,$F94,Налоги!$AB$25:$AB$69,$G94)</f>
        <v>0</v>
      </c>
      <c r="AP94" s="190">
        <f ca="1">SUMIFS(Налоги!AO$25:AO$69,Налоги!$F$25:$F$69,$F94,Налоги!$AB$25:$AB$69,$G94)</f>
        <v>0</v>
      </c>
      <c r="AQ94" s="190">
        <f ca="1">SUMIFS(Налоги!AP$25:AP$69,Налоги!$F$25:$F$69,$F94,Налоги!$AB$25:$AB$69,$G94)</f>
        <v>0</v>
      </c>
      <c r="AR94" s="190">
        <f ca="1">SUMIFS(Налоги!AQ$25:AQ$69,Налоги!$F$25:$F$69,$F94,Налоги!$AB$25:$AB$69,$G94)</f>
        <v>0</v>
      </c>
      <c r="AS94" s="190">
        <f ca="1">SUMIFS(Налоги!AR$25:AR$69,Налоги!$F$25:$F$69,$F94,Налоги!$AB$25:$AB$69,$G94)</f>
        <v>0</v>
      </c>
      <c r="AT94" s="190">
        <f ca="1">SUMIFS(Налоги!AS$25:AS$69,Налоги!$F$25:$F$69,$F94,Налоги!$AB$25:$AB$69,$G94)</f>
        <v>0</v>
      </c>
      <c r="AU94" s="190">
        <f ca="1">SUMIFS(Налоги!AT$25:AT$69,Налоги!$F$25:$F$69,$F94,Налоги!$AB$25:$AB$69,$G94)</f>
        <v>0</v>
      </c>
      <c r="AV94" s="190">
        <f ca="1">SUMIFS(Налоги!AU$25:AU$69,Налоги!$F$25:$F$69,$F94,Налоги!$AB$25:$AB$69,$G94)</f>
        <v>0</v>
      </c>
      <c r="AW94" s="190">
        <f ca="1">SUMIFS(Налоги!AV$25:AV$69,Налоги!$F$25:$F$69,$F94,Налоги!$AB$25:$AB$69,$G94)</f>
        <v>0</v>
      </c>
      <c r="AX94" s="190">
        <f ca="1">SUMIFS(Налоги!AW$25:AW$69,Налоги!$F$25:$F$69,$F94,Налоги!$AB$25:$AB$69,$G94)</f>
        <v>0</v>
      </c>
      <c r="AY94" s="190">
        <f ca="1">SUMIFS(Налоги!AX$25:AX$69,Налоги!$F$25:$F$69,$F94,Налоги!$AB$25:$AB$69,$G94)</f>
        <v>0</v>
      </c>
      <c r="AZ94" s="190">
        <f ca="1">SUMIFS(Налоги!AY$25:AY$69,Налоги!$F$25:$F$69,$F94,Налоги!$AB$25:$AB$69,$G94)</f>
        <v>0</v>
      </c>
      <c r="BA94" s="190">
        <f ca="1">SUMIFS(Налоги!AZ$25:AZ$69,Налоги!$F$25:$F$69,$F94,Налоги!$AB$25:$AB$69,$G94)</f>
        <v>0</v>
      </c>
      <c r="BB94" s="190">
        <f ca="1">SUMIFS(Налоги!BA$25:BA$69,Налоги!$F$25:$F$69,$F94,Налоги!$AB$25:$AB$69,$G94)</f>
        <v>0</v>
      </c>
      <c r="BC94" s="190">
        <f ca="1">SUMIFS(Налоги!BB$25:BB$69,Налоги!$F$25:$F$69,$F94,Налоги!$AB$25:$AB$69,$G94)</f>
        <v>0</v>
      </c>
      <c r="BD94" s="190">
        <f t="shared" ca="1" si="10"/>
        <v>0</v>
      </c>
      <c r="BE94" s="190">
        <f t="shared" ca="1" si="11"/>
        <v>0</v>
      </c>
      <c r="BF94" s="190">
        <f t="shared" ca="1" si="12"/>
        <v>0</v>
      </c>
      <c r="BG94" s="190">
        <f t="shared" ca="1" si="13"/>
        <v>0</v>
      </c>
      <c r="BH94" s="190">
        <f t="shared" ca="1" si="14"/>
        <v>0</v>
      </c>
      <c r="BI94" s="190">
        <f t="shared" ca="1" si="15"/>
        <v>0</v>
      </c>
      <c r="BJ94" s="190">
        <f t="shared" ca="1" si="16"/>
        <v>0</v>
      </c>
      <c r="BK94" s="190">
        <f t="shared" ca="1" si="17"/>
        <v>0</v>
      </c>
      <c r="BL94" s="190">
        <f t="shared" ca="1" si="18"/>
        <v>0</v>
      </c>
      <c r="BM94" s="190">
        <f t="shared" ca="1" si="19"/>
        <v>0</v>
      </c>
      <c r="BN94" s="784"/>
      <c r="BO94" s="788" t="str">
        <f ca="1">IF(IFERROR(INDEX(Налоги!$K$26:$L$69,MATCH($F94&amp;"6komm",Налоги!$K$26:$K$69,0),2),"")=0,"",IFERROR(INDEX(Налоги!$K$26:$L$69,MATCH($F94&amp;"6komm",Налоги!$K$26:$K$69,0),2),""))</f>
        <v/>
      </c>
      <c r="BP94" s="784"/>
      <c r="BS94" s="705" t="s">
        <v>2068</v>
      </c>
    </row>
    <row r="95" spans="2:75" ht="14.65" hidden="1" customHeight="1">
      <c r="B95" s="34"/>
      <c r="C95" s="44"/>
      <c r="D95" s="44"/>
      <c r="E95" s="462">
        <v>15</v>
      </c>
      <c r="F95" s="3" cm="1">
        <f t="array" aca="1" ref="F95" ca="1">OFFSET(E95,-1,1)</f>
        <v>0</v>
      </c>
      <c r="G95" s="620">
        <v>2</v>
      </c>
      <c r="H95" s="44"/>
      <c r="I95" s="44" t="s">
        <v>2069</v>
      </c>
      <c r="J95" s="44"/>
      <c r="K95" s="44" t="s">
        <v>2069</v>
      </c>
      <c r="L95" s="44"/>
      <c r="M95" s="44"/>
      <c r="N95" s="44"/>
      <c r="O95" s="44"/>
      <c r="P95" s="44"/>
      <c r="Q95" s="44"/>
      <c r="R95" s="44"/>
      <c r="S95" s="44"/>
      <c r="T95" s="365" t="b" cm="1">
        <f t="array" aca="1" ref="T95" ca="1">T94</f>
        <v>0</v>
      </c>
      <c r="U95" s="44"/>
      <c r="V95" s="44"/>
      <c r="X95" s="1075"/>
      <c r="Z95" s="1065"/>
      <c r="AB95" s="152" t="s">
        <v>1497</v>
      </c>
      <c r="AC95" s="153" t="s">
        <v>2070</v>
      </c>
      <c r="AD95" s="26" t="s">
        <v>804</v>
      </c>
      <c r="AE95" s="190">
        <f ca="1">SUMIFS(Налоги!AE$25:AE$69,Налоги!$F$25:$F$69,$F95,Налоги!$AB$25:$AB$69,$G95)</f>
        <v>0</v>
      </c>
      <c r="AF95" s="190">
        <f ca="1">SUMIFS(Налоги!AF$25:AF$69,Налоги!$F$25:$F$69,$F95,Налоги!$AB$25:$AB$69,$G95)</f>
        <v>0</v>
      </c>
      <c r="AG95" s="190">
        <f ca="1">SUMIFS(Налоги!AG$25:AG$69,Налоги!$F$25:$F$69,$F95,Налоги!$AB$25:$AB$69,$G95)</f>
        <v>0</v>
      </c>
      <c r="AH95" s="190">
        <f t="shared" ca="1" si="8"/>
        <v>0</v>
      </c>
      <c r="AI95" s="190">
        <f ca="1">SUMIFS(Налоги!AH$25:AH$69,Налоги!$F$25:$F$69,$F95,Налоги!$AB$25:$AB$69,$G95)</f>
        <v>0</v>
      </c>
      <c r="AJ95" s="190">
        <f ca="1">SUMIFS(Налоги!AI$25:AI$69,Налоги!$F$25:$F$69,$F95,Налоги!$AB$25:$AB$69,$G95)</f>
        <v>0</v>
      </c>
      <c r="AK95" s="190">
        <f ca="1">SUMIFS(Налоги!AJ$25:AJ$69,Налоги!$F$25:$F$69,$F95,Налоги!$AB$25:$AB$69,$G95)</f>
        <v>0</v>
      </c>
      <c r="AL95" s="190">
        <f ca="1">SUMIFS(Налоги!AK$25:AK$69,Налоги!$F$25:$F$69,$F95,Налоги!$AB$25:$AB$69,$G95)</f>
        <v>0</v>
      </c>
      <c r="AM95" s="190">
        <f ca="1">SUMIFS(Налоги!AL$25:AL$69,Налоги!$F$25:$F$69,$F95,Налоги!$AB$25:$AB$69,$G95)</f>
        <v>0</v>
      </c>
      <c r="AN95" s="190">
        <f ca="1">SUMIFS(Налоги!AM$25:AM$69,Налоги!$F$25:$F$69,$F95,Налоги!$AB$25:$AB$69,$G95)</f>
        <v>0</v>
      </c>
      <c r="AO95" s="190">
        <f ca="1">SUMIFS(Налоги!AN$25:AN$69,Налоги!$F$25:$F$69,$F95,Налоги!$AB$25:$AB$69,$G95)</f>
        <v>0</v>
      </c>
      <c r="AP95" s="190">
        <f ca="1">SUMIFS(Налоги!AO$25:AO$69,Налоги!$F$25:$F$69,$F95,Налоги!$AB$25:$AB$69,$G95)</f>
        <v>0</v>
      </c>
      <c r="AQ95" s="190">
        <f ca="1">SUMIFS(Налоги!AP$25:AP$69,Налоги!$F$25:$F$69,$F95,Налоги!$AB$25:$AB$69,$G95)</f>
        <v>0</v>
      </c>
      <c r="AR95" s="190">
        <f ca="1">SUMIFS(Налоги!AQ$25:AQ$69,Налоги!$F$25:$F$69,$F95,Налоги!$AB$25:$AB$69,$G95)</f>
        <v>0</v>
      </c>
      <c r="AS95" s="190">
        <f ca="1">SUMIFS(Налоги!AR$25:AR$69,Налоги!$F$25:$F$69,$F95,Налоги!$AB$25:$AB$69,$G95)</f>
        <v>0</v>
      </c>
      <c r="AT95" s="190">
        <f ca="1">SUMIFS(Налоги!AS$25:AS$69,Налоги!$F$25:$F$69,$F95,Налоги!$AB$25:$AB$69,$G95)</f>
        <v>0</v>
      </c>
      <c r="AU95" s="190">
        <f ca="1">SUMIFS(Налоги!AT$25:AT$69,Налоги!$F$25:$F$69,$F95,Налоги!$AB$25:$AB$69,$G95)</f>
        <v>0</v>
      </c>
      <c r="AV95" s="190">
        <f ca="1">SUMIFS(Налоги!AU$25:AU$69,Налоги!$F$25:$F$69,$F95,Налоги!$AB$25:$AB$69,$G95)</f>
        <v>0</v>
      </c>
      <c r="AW95" s="190">
        <f ca="1">SUMIFS(Налоги!AV$25:AV$69,Налоги!$F$25:$F$69,$F95,Налоги!$AB$25:$AB$69,$G95)</f>
        <v>0</v>
      </c>
      <c r="AX95" s="190">
        <f ca="1">SUMIFS(Налоги!AW$25:AW$69,Налоги!$F$25:$F$69,$F95,Налоги!$AB$25:$AB$69,$G95)</f>
        <v>0</v>
      </c>
      <c r="AY95" s="190">
        <f ca="1">SUMIFS(Налоги!AX$25:AX$69,Налоги!$F$25:$F$69,$F95,Налоги!$AB$25:$AB$69,$G95)</f>
        <v>0</v>
      </c>
      <c r="AZ95" s="190">
        <f ca="1">SUMIFS(Налоги!AY$25:AY$69,Налоги!$F$25:$F$69,$F95,Налоги!$AB$25:$AB$69,$G95)</f>
        <v>0</v>
      </c>
      <c r="BA95" s="190">
        <f ca="1">SUMIFS(Налоги!AZ$25:AZ$69,Налоги!$F$25:$F$69,$F95,Налоги!$AB$25:$AB$69,$G95)</f>
        <v>0</v>
      </c>
      <c r="BB95" s="190">
        <f ca="1">SUMIFS(Налоги!BA$25:BA$69,Налоги!$F$25:$F$69,$F95,Налоги!$AB$25:$AB$69,$G95)</f>
        <v>0</v>
      </c>
      <c r="BC95" s="190">
        <f ca="1">SUMIFS(Налоги!BB$25:BB$69,Налоги!$F$25:$F$69,$F95,Налоги!$AB$25:$AB$69,$G95)</f>
        <v>0</v>
      </c>
      <c r="BD95" s="190">
        <f t="shared" ca="1" si="10"/>
        <v>0</v>
      </c>
      <c r="BE95" s="190">
        <f t="shared" ca="1" si="11"/>
        <v>0</v>
      </c>
      <c r="BF95" s="190">
        <f t="shared" ca="1" si="12"/>
        <v>0</v>
      </c>
      <c r="BG95" s="190">
        <f t="shared" ca="1" si="13"/>
        <v>0</v>
      </c>
      <c r="BH95" s="190">
        <f t="shared" ca="1" si="14"/>
        <v>0</v>
      </c>
      <c r="BI95" s="190">
        <f t="shared" ca="1" si="15"/>
        <v>0</v>
      </c>
      <c r="BJ95" s="190">
        <f t="shared" ca="1" si="16"/>
        <v>0</v>
      </c>
      <c r="BK95" s="190">
        <f t="shared" ca="1" si="17"/>
        <v>0</v>
      </c>
      <c r="BL95" s="190">
        <f t="shared" ca="1" si="18"/>
        <v>0</v>
      </c>
      <c r="BM95" s="190">
        <f t="shared" ca="1" si="19"/>
        <v>0</v>
      </c>
      <c r="BN95" s="784"/>
      <c r="BO95" s="788" t="str">
        <f ca="1">IF(IFERROR(INDEX(Налоги!$K$26:$L$69,MATCH($F95&amp;"2komm",Налоги!$K$26:$K$69,0),2),"")=0,"",IFERROR(INDEX(Налоги!$K$26:$L$69,MATCH($F95&amp;"2komm",Налоги!$K$26:$K$69,0),2),""))</f>
        <v/>
      </c>
      <c r="BP95" s="784"/>
      <c r="BS95" s="705" t="s">
        <v>2071</v>
      </c>
    </row>
    <row r="96" spans="2:75" ht="14.65" hidden="1" customHeight="1">
      <c r="B96" s="34"/>
      <c r="C96" s="44"/>
      <c r="D96" s="44"/>
      <c r="E96" s="462">
        <v>15</v>
      </c>
      <c r="F96" s="3" cm="1">
        <f t="array" aca="1" ref="F96" ca="1">OFFSET(E96,-1,1)</f>
        <v>0</v>
      </c>
      <c r="G96" s="620">
        <v>4</v>
      </c>
      <c r="H96" s="44"/>
      <c r="I96" s="44" t="s">
        <v>2072</v>
      </c>
      <c r="J96" s="44"/>
      <c r="K96" s="44" t="s">
        <v>2072</v>
      </c>
      <c r="L96" s="44"/>
      <c r="M96" s="44"/>
      <c r="N96" s="44"/>
      <c r="O96" s="44"/>
      <c r="P96" s="44"/>
      <c r="Q96" s="44"/>
      <c r="R96" s="44"/>
      <c r="S96" s="44"/>
      <c r="T96" s="365" t="b" cm="1">
        <f t="array" aca="1" ref="T96" ca="1">T95</f>
        <v>0</v>
      </c>
      <c r="U96" s="44"/>
      <c r="V96" s="44"/>
      <c r="X96" s="1075"/>
      <c r="Z96" s="1065"/>
      <c r="AB96" s="152" t="s">
        <v>2073</v>
      </c>
      <c r="AC96" s="153" t="s">
        <v>2074</v>
      </c>
      <c r="AD96" s="26" t="s">
        <v>804</v>
      </c>
      <c r="AE96" s="190">
        <f ca="1">SUMIFS(Налоги!AE$25:AE$69,Налоги!$F$25:$F$69,$F96,Налоги!$AB$25:$AB$69,$G96)</f>
        <v>0</v>
      </c>
      <c r="AF96" s="190">
        <f ca="1">SUMIFS(Налоги!AF$25:AF$69,Налоги!$F$25:$F$69,$F96,Налоги!$AB$25:$AB$69,$G96)</f>
        <v>0</v>
      </c>
      <c r="AG96" s="190">
        <f ca="1">SUMIFS(Налоги!AG$25:AG$69,Налоги!$F$25:$F$69,$F96,Налоги!$AB$25:$AB$69,$G96)</f>
        <v>0</v>
      </c>
      <c r="AH96" s="190">
        <f t="shared" ca="1" si="8"/>
        <v>0</v>
      </c>
      <c r="AI96" s="190">
        <f ca="1">SUMIFS(Налоги!AH$25:AH$69,Налоги!$F$25:$F$69,$F96,Налоги!$AB$25:$AB$69,$G96)</f>
        <v>0</v>
      </c>
      <c r="AJ96" s="190">
        <f ca="1">SUMIFS(Налоги!AI$25:AI$69,Налоги!$F$25:$F$69,$F96,Налоги!$AB$25:$AB$69,$G96)</f>
        <v>0</v>
      </c>
      <c r="AK96" s="190">
        <f ca="1">SUMIFS(Налоги!AJ$25:AJ$69,Налоги!$F$25:$F$69,$F96,Налоги!$AB$25:$AB$69,$G96)</f>
        <v>0</v>
      </c>
      <c r="AL96" s="190">
        <f ca="1">SUMIFS(Налоги!AK$25:AK$69,Налоги!$F$25:$F$69,$F96,Налоги!$AB$25:$AB$69,$G96)</f>
        <v>0</v>
      </c>
      <c r="AM96" s="190">
        <f ca="1">SUMIFS(Налоги!AL$25:AL$69,Налоги!$F$25:$F$69,$F96,Налоги!$AB$25:$AB$69,$G96)</f>
        <v>0</v>
      </c>
      <c r="AN96" s="190">
        <f ca="1">SUMIFS(Налоги!AM$25:AM$69,Налоги!$F$25:$F$69,$F96,Налоги!$AB$25:$AB$69,$G96)</f>
        <v>0</v>
      </c>
      <c r="AO96" s="190">
        <f ca="1">SUMIFS(Налоги!AN$25:AN$69,Налоги!$F$25:$F$69,$F96,Налоги!$AB$25:$AB$69,$G96)</f>
        <v>0</v>
      </c>
      <c r="AP96" s="190">
        <f ca="1">SUMIFS(Налоги!AO$25:AO$69,Налоги!$F$25:$F$69,$F96,Налоги!$AB$25:$AB$69,$G96)</f>
        <v>0</v>
      </c>
      <c r="AQ96" s="190">
        <f ca="1">SUMIFS(Налоги!AP$25:AP$69,Налоги!$F$25:$F$69,$F96,Налоги!$AB$25:$AB$69,$G96)</f>
        <v>0</v>
      </c>
      <c r="AR96" s="190">
        <f ca="1">SUMIFS(Налоги!AQ$25:AQ$69,Налоги!$F$25:$F$69,$F96,Налоги!$AB$25:$AB$69,$G96)</f>
        <v>0</v>
      </c>
      <c r="AS96" s="190">
        <f ca="1">SUMIFS(Налоги!AR$25:AR$69,Налоги!$F$25:$F$69,$F96,Налоги!$AB$25:$AB$69,$G96)</f>
        <v>0</v>
      </c>
      <c r="AT96" s="190">
        <f ca="1">SUMIFS(Налоги!AS$25:AS$69,Налоги!$F$25:$F$69,$F96,Налоги!$AB$25:$AB$69,$G96)</f>
        <v>0</v>
      </c>
      <c r="AU96" s="190">
        <f ca="1">SUMIFS(Налоги!AT$25:AT$69,Налоги!$F$25:$F$69,$F96,Налоги!$AB$25:$AB$69,$G96)</f>
        <v>0</v>
      </c>
      <c r="AV96" s="190">
        <f ca="1">SUMIFS(Налоги!AU$25:AU$69,Налоги!$F$25:$F$69,$F96,Налоги!$AB$25:$AB$69,$G96)</f>
        <v>0</v>
      </c>
      <c r="AW96" s="190">
        <f ca="1">SUMIFS(Налоги!AV$25:AV$69,Налоги!$F$25:$F$69,$F96,Налоги!$AB$25:$AB$69,$G96)</f>
        <v>0</v>
      </c>
      <c r="AX96" s="190">
        <f ca="1">SUMIFS(Налоги!AW$25:AW$69,Налоги!$F$25:$F$69,$F96,Налоги!$AB$25:$AB$69,$G96)</f>
        <v>0</v>
      </c>
      <c r="AY96" s="190">
        <f ca="1">SUMIFS(Налоги!AX$25:AX$69,Налоги!$F$25:$F$69,$F96,Налоги!$AB$25:$AB$69,$G96)</f>
        <v>0</v>
      </c>
      <c r="AZ96" s="190">
        <f ca="1">SUMIFS(Налоги!AY$25:AY$69,Налоги!$F$25:$F$69,$F96,Налоги!$AB$25:$AB$69,$G96)</f>
        <v>0</v>
      </c>
      <c r="BA96" s="190">
        <f ca="1">SUMIFS(Налоги!AZ$25:AZ$69,Налоги!$F$25:$F$69,$F96,Налоги!$AB$25:$AB$69,$G96)</f>
        <v>0</v>
      </c>
      <c r="BB96" s="190">
        <f ca="1">SUMIFS(Налоги!BA$25:BA$69,Налоги!$F$25:$F$69,$F96,Налоги!$AB$25:$AB$69,$G96)</f>
        <v>0</v>
      </c>
      <c r="BC96" s="190">
        <f ca="1">SUMIFS(Налоги!BB$25:BB$69,Налоги!$F$25:$F$69,$F96,Налоги!$AB$25:$AB$69,$G96)</f>
        <v>0</v>
      </c>
      <c r="BD96" s="190">
        <f t="shared" ca="1" si="10"/>
        <v>0</v>
      </c>
      <c r="BE96" s="190">
        <f t="shared" ca="1" si="11"/>
        <v>0</v>
      </c>
      <c r="BF96" s="190">
        <f t="shared" ca="1" si="12"/>
        <v>0</v>
      </c>
      <c r="BG96" s="190">
        <f t="shared" ca="1" si="13"/>
        <v>0</v>
      </c>
      <c r="BH96" s="190">
        <f t="shared" ca="1" si="14"/>
        <v>0</v>
      </c>
      <c r="BI96" s="190">
        <f t="shared" ca="1" si="15"/>
        <v>0</v>
      </c>
      <c r="BJ96" s="190">
        <f t="shared" ca="1" si="16"/>
        <v>0</v>
      </c>
      <c r="BK96" s="190">
        <f t="shared" ca="1" si="17"/>
        <v>0</v>
      </c>
      <c r="BL96" s="190">
        <f t="shared" ca="1" si="18"/>
        <v>0</v>
      </c>
      <c r="BM96" s="190">
        <f t="shared" ca="1" si="19"/>
        <v>0</v>
      </c>
      <c r="BN96" s="784"/>
      <c r="BO96" s="788" t="str">
        <f ca="1">IF(IFERROR(INDEX(Налоги!$K$26:$L$69,MATCH($F96&amp;"4komm",Налоги!$K$26:$K$69,0),2),"")=0,"",IFERROR(INDEX(Налоги!$K$26:$L$69,MATCH($F96&amp;"4komm",Налоги!$K$26:$K$69,0),2),""))</f>
        <v/>
      </c>
      <c r="BP96" s="784"/>
      <c r="BS96" s="705" t="s">
        <v>2075</v>
      </c>
    </row>
    <row r="97" spans="2:75" ht="14.65" hidden="1" customHeight="1">
      <c r="B97" s="34"/>
      <c r="C97" s="44"/>
      <c r="D97" s="44"/>
      <c r="E97" s="462">
        <v>15</v>
      </c>
      <c r="F97" s="3" cm="1">
        <f t="array" aca="1" ref="F97" ca="1">OFFSET(E97,-1,1)</f>
        <v>0</v>
      </c>
      <c r="G97" s="620">
        <v>5</v>
      </c>
      <c r="H97" s="44"/>
      <c r="I97" s="44" t="s">
        <v>2076</v>
      </c>
      <c r="J97" s="44"/>
      <c r="K97" s="44" t="s">
        <v>2076</v>
      </c>
      <c r="L97" s="44"/>
      <c r="M97" s="44"/>
      <c r="N97" s="44"/>
      <c r="O97" s="44"/>
      <c r="P97" s="44"/>
      <c r="Q97" s="44"/>
      <c r="R97" s="44"/>
      <c r="S97" s="44"/>
      <c r="T97" s="365" t="b" cm="1">
        <f t="array" aca="1" ref="T97" ca="1">T96</f>
        <v>0</v>
      </c>
      <c r="U97" s="44"/>
      <c r="V97" s="44"/>
      <c r="X97" s="1075"/>
      <c r="Z97" s="1065"/>
      <c r="AB97" s="152" t="s">
        <v>2077</v>
      </c>
      <c r="AC97" s="153" t="s">
        <v>2078</v>
      </c>
      <c r="AD97" s="26" t="s">
        <v>804</v>
      </c>
      <c r="AE97" s="190">
        <f ca="1">SUMIFS(Налоги!AE$25:AE$69,Налоги!$F$25:$F$69,$F97,Налоги!$AB$25:$AB$69,$G97)</f>
        <v>0</v>
      </c>
      <c r="AF97" s="190">
        <f ca="1">SUMIFS(Налоги!AF$25:AF$69,Налоги!$F$25:$F$69,$F97,Налоги!$AB$25:$AB$69,$G97)</f>
        <v>0</v>
      </c>
      <c r="AG97" s="190">
        <f ca="1">SUMIFS(Налоги!AG$25:AG$69,Налоги!$F$25:$F$69,$F97,Налоги!$AB$25:$AB$69,$G97)</f>
        <v>0</v>
      </c>
      <c r="AH97" s="190">
        <f t="shared" ca="1" si="8"/>
        <v>0</v>
      </c>
      <c r="AI97" s="190">
        <f ca="1">SUMIFS(Налоги!AH$25:AH$69,Налоги!$F$25:$F$69,$F97,Налоги!$AB$25:$AB$69,$G97)</f>
        <v>0</v>
      </c>
      <c r="AJ97" s="190">
        <f ca="1">SUMIFS(Налоги!AI$25:AI$69,Налоги!$F$25:$F$69,$F97,Налоги!$AB$25:$AB$69,$G97)</f>
        <v>0</v>
      </c>
      <c r="AK97" s="190">
        <f ca="1">SUMIFS(Налоги!AJ$25:AJ$69,Налоги!$F$25:$F$69,$F97,Налоги!$AB$25:$AB$69,$G97)</f>
        <v>0</v>
      </c>
      <c r="AL97" s="190">
        <f ca="1">SUMIFS(Налоги!AK$25:AK$69,Налоги!$F$25:$F$69,$F97,Налоги!$AB$25:$AB$69,$G97)</f>
        <v>0</v>
      </c>
      <c r="AM97" s="190">
        <f ca="1">SUMIFS(Налоги!AL$25:AL$69,Налоги!$F$25:$F$69,$F97,Налоги!$AB$25:$AB$69,$G97)</f>
        <v>0</v>
      </c>
      <c r="AN97" s="190">
        <f ca="1">SUMIFS(Налоги!AM$25:AM$69,Налоги!$F$25:$F$69,$F97,Налоги!$AB$25:$AB$69,$G97)</f>
        <v>0</v>
      </c>
      <c r="AO97" s="190">
        <f ca="1">SUMIFS(Налоги!AN$25:AN$69,Налоги!$F$25:$F$69,$F97,Налоги!$AB$25:$AB$69,$G97)</f>
        <v>0</v>
      </c>
      <c r="AP97" s="190">
        <f ca="1">SUMIFS(Налоги!AO$25:AO$69,Налоги!$F$25:$F$69,$F97,Налоги!$AB$25:$AB$69,$G97)</f>
        <v>0</v>
      </c>
      <c r="AQ97" s="190">
        <f ca="1">SUMIFS(Налоги!AP$25:AP$69,Налоги!$F$25:$F$69,$F97,Налоги!$AB$25:$AB$69,$G97)</f>
        <v>0</v>
      </c>
      <c r="AR97" s="190">
        <f ca="1">SUMIFS(Налоги!AQ$25:AQ$69,Налоги!$F$25:$F$69,$F97,Налоги!$AB$25:$AB$69,$G97)</f>
        <v>0</v>
      </c>
      <c r="AS97" s="190">
        <f ca="1">SUMIFS(Налоги!AR$25:AR$69,Налоги!$F$25:$F$69,$F97,Налоги!$AB$25:$AB$69,$G97)</f>
        <v>0</v>
      </c>
      <c r="AT97" s="190">
        <f ca="1">SUMIFS(Налоги!AS$25:AS$69,Налоги!$F$25:$F$69,$F97,Налоги!$AB$25:$AB$69,$G97)</f>
        <v>0</v>
      </c>
      <c r="AU97" s="190">
        <f ca="1">SUMIFS(Налоги!AT$25:AT$69,Налоги!$F$25:$F$69,$F97,Налоги!$AB$25:$AB$69,$G97)</f>
        <v>0</v>
      </c>
      <c r="AV97" s="190">
        <f ca="1">SUMIFS(Налоги!AU$25:AU$69,Налоги!$F$25:$F$69,$F97,Налоги!$AB$25:$AB$69,$G97)</f>
        <v>0</v>
      </c>
      <c r="AW97" s="190">
        <f ca="1">SUMIFS(Налоги!AV$25:AV$69,Налоги!$F$25:$F$69,$F97,Налоги!$AB$25:$AB$69,$G97)</f>
        <v>0</v>
      </c>
      <c r="AX97" s="190">
        <f ca="1">SUMIFS(Налоги!AW$25:AW$69,Налоги!$F$25:$F$69,$F97,Налоги!$AB$25:$AB$69,$G97)</f>
        <v>0</v>
      </c>
      <c r="AY97" s="190">
        <f ca="1">SUMIFS(Налоги!AX$25:AX$69,Налоги!$F$25:$F$69,$F97,Налоги!$AB$25:$AB$69,$G97)</f>
        <v>0</v>
      </c>
      <c r="AZ97" s="190">
        <f ca="1">SUMIFS(Налоги!AY$25:AY$69,Налоги!$F$25:$F$69,$F97,Налоги!$AB$25:$AB$69,$G97)</f>
        <v>0</v>
      </c>
      <c r="BA97" s="190">
        <f ca="1">SUMIFS(Налоги!AZ$25:AZ$69,Налоги!$F$25:$F$69,$F97,Налоги!$AB$25:$AB$69,$G97)</f>
        <v>0</v>
      </c>
      <c r="BB97" s="190">
        <f ca="1">SUMIFS(Налоги!BA$25:BA$69,Налоги!$F$25:$F$69,$F97,Налоги!$AB$25:$AB$69,$G97)</f>
        <v>0</v>
      </c>
      <c r="BC97" s="190">
        <f ca="1">SUMIFS(Налоги!BB$25:BB$69,Налоги!$F$25:$F$69,$F97,Налоги!$AB$25:$AB$69,$G97)</f>
        <v>0</v>
      </c>
      <c r="BD97" s="190">
        <f t="shared" ca="1" si="10"/>
        <v>0</v>
      </c>
      <c r="BE97" s="190">
        <f t="shared" ca="1" si="11"/>
        <v>0</v>
      </c>
      <c r="BF97" s="190">
        <f t="shared" ca="1" si="12"/>
        <v>0</v>
      </c>
      <c r="BG97" s="190">
        <f t="shared" ca="1" si="13"/>
        <v>0</v>
      </c>
      <c r="BH97" s="190">
        <f t="shared" ca="1" si="14"/>
        <v>0</v>
      </c>
      <c r="BI97" s="190">
        <f t="shared" ca="1" si="15"/>
        <v>0</v>
      </c>
      <c r="BJ97" s="190">
        <f t="shared" ca="1" si="16"/>
        <v>0</v>
      </c>
      <c r="BK97" s="190">
        <f t="shared" ca="1" si="17"/>
        <v>0</v>
      </c>
      <c r="BL97" s="190">
        <f t="shared" ca="1" si="18"/>
        <v>0</v>
      </c>
      <c r="BM97" s="190">
        <f t="shared" ca="1" si="19"/>
        <v>0</v>
      </c>
      <c r="BN97" s="784"/>
      <c r="BO97" s="788" t="str">
        <f ca="1">IF(IFERROR(INDEX(Налоги!$K$26:$L$69,MATCH($F97&amp;"5komm",Налоги!$K$26:$K$69,0),2),"")=0,"",IFERROR(INDEX(Налоги!$K$26:$L$69,MATCH($F97&amp;"5komm",Налоги!$K$26:$K$69,0),2),""))</f>
        <v/>
      </c>
      <c r="BP97" s="784"/>
      <c r="BS97" s="705" t="s">
        <v>2079</v>
      </c>
    </row>
    <row r="98" spans="2:75" ht="14.65" hidden="1" customHeight="1">
      <c r="B98" s="34"/>
      <c r="C98" s="44"/>
      <c r="D98" s="44"/>
      <c r="E98" s="462">
        <v>15</v>
      </c>
      <c r="F98" s="3" cm="1">
        <f t="array" aca="1" ref="F98" ca="1">OFFSET(E98,-1,1)</f>
        <v>0</v>
      </c>
      <c r="G98" s="620">
        <v>1</v>
      </c>
      <c r="H98" s="44"/>
      <c r="I98" s="44" t="s">
        <v>2080</v>
      </c>
      <c r="J98" s="44"/>
      <c r="K98" s="44" t="s">
        <v>2080</v>
      </c>
      <c r="L98" s="44"/>
      <c r="M98" s="44"/>
      <c r="N98" s="44"/>
      <c r="O98" s="44"/>
      <c r="P98" s="44"/>
      <c r="Q98" s="44"/>
      <c r="R98" s="44"/>
      <c r="S98" s="44"/>
      <c r="T98" s="365" t="b" cm="1">
        <f t="array" aca="1" ref="T98" ca="1">T97</f>
        <v>0</v>
      </c>
      <c r="U98" s="44"/>
      <c r="V98" s="44"/>
      <c r="X98" s="1075"/>
      <c r="Z98" s="1065"/>
      <c r="AB98" s="152" t="s">
        <v>2081</v>
      </c>
      <c r="AC98" s="153" t="s">
        <v>2082</v>
      </c>
      <c r="AD98" s="26" t="s">
        <v>804</v>
      </c>
      <c r="AE98" s="190">
        <f ca="1">SUMIFS(Налоги!AE$25:AE$69,Налоги!$F$25:$F$69,$F98,Налоги!$AB$25:$AB$69,$G98)</f>
        <v>0</v>
      </c>
      <c r="AF98" s="190">
        <f ca="1">SUMIFS(Налоги!AF$25:AF$69,Налоги!$F$25:$F$69,$F98,Налоги!$AB$25:$AB$69,$G98)</f>
        <v>0</v>
      </c>
      <c r="AG98" s="190">
        <f ca="1">SUMIFS(Налоги!AG$25:AG$69,Налоги!$F$25:$F$69,$F98,Налоги!$AB$25:$AB$69,$G98)</f>
        <v>0</v>
      </c>
      <c r="AH98" s="190">
        <f t="shared" ca="1" si="8"/>
        <v>0</v>
      </c>
      <c r="AI98" s="190">
        <f ca="1">SUMIFS(Налоги!AH$25:AH$69,Налоги!$F$25:$F$69,$F98,Налоги!$AB$25:$AB$69,$G98)</f>
        <v>0</v>
      </c>
      <c r="AJ98" s="190">
        <f ca="1">SUMIFS(Налоги!AI$25:AI$69,Налоги!$F$25:$F$69,$F98,Налоги!$AB$25:$AB$69,$G98)</f>
        <v>0</v>
      </c>
      <c r="AK98" s="190">
        <f ca="1">SUMIFS(Налоги!AJ$25:AJ$69,Налоги!$F$25:$F$69,$F98,Налоги!$AB$25:$AB$69,$G98)</f>
        <v>0</v>
      </c>
      <c r="AL98" s="190">
        <f ca="1">SUMIFS(Налоги!AK$25:AK$69,Налоги!$F$25:$F$69,$F98,Налоги!$AB$25:$AB$69,$G98)</f>
        <v>0</v>
      </c>
      <c r="AM98" s="190">
        <f ca="1">SUMIFS(Налоги!AL$25:AL$69,Налоги!$F$25:$F$69,$F98,Налоги!$AB$25:$AB$69,$G98)</f>
        <v>0</v>
      </c>
      <c r="AN98" s="190">
        <f ca="1">SUMIFS(Налоги!AM$25:AM$69,Налоги!$F$25:$F$69,$F98,Налоги!$AB$25:$AB$69,$G98)</f>
        <v>0</v>
      </c>
      <c r="AO98" s="190">
        <f ca="1">SUMIFS(Налоги!AN$25:AN$69,Налоги!$F$25:$F$69,$F98,Налоги!$AB$25:$AB$69,$G98)</f>
        <v>0</v>
      </c>
      <c r="AP98" s="190">
        <f ca="1">SUMIFS(Налоги!AO$25:AO$69,Налоги!$F$25:$F$69,$F98,Налоги!$AB$25:$AB$69,$G98)</f>
        <v>0</v>
      </c>
      <c r="AQ98" s="190">
        <f ca="1">SUMIFS(Налоги!AP$25:AP$69,Налоги!$F$25:$F$69,$F98,Налоги!$AB$25:$AB$69,$G98)</f>
        <v>0</v>
      </c>
      <c r="AR98" s="190">
        <f ca="1">SUMIFS(Налоги!AQ$25:AQ$69,Налоги!$F$25:$F$69,$F98,Налоги!$AB$25:$AB$69,$G98)</f>
        <v>0</v>
      </c>
      <c r="AS98" s="190">
        <f ca="1">SUMIFS(Налоги!AR$25:AR$69,Налоги!$F$25:$F$69,$F98,Налоги!$AB$25:$AB$69,$G98)</f>
        <v>0</v>
      </c>
      <c r="AT98" s="190">
        <f ca="1">SUMIFS(Налоги!AS$25:AS$69,Налоги!$F$25:$F$69,$F98,Налоги!$AB$25:$AB$69,$G98)</f>
        <v>0</v>
      </c>
      <c r="AU98" s="190">
        <f ca="1">SUMIFS(Налоги!AT$25:AT$69,Налоги!$F$25:$F$69,$F98,Налоги!$AB$25:$AB$69,$G98)</f>
        <v>0</v>
      </c>
      <c r="AV98" s="190">
        <f ca="1">SUMIFS(Налоги!AU$25:AU$69,Налоги!$F$25:$F$69,$F98,Налоги!$AB$25:$AB$69,$G98)</f>
        <v>0</v>
      </c>
      <c r="AW98" s="190">
        <f ca="1">SUMIFS(Налоги!AV$25:AV$69,Налоги!$F$25:$F$69,$F98,Налоги!$AB$25:$AB$69,$G98)</f>
        <v>0</v>
      </c>
      <c r="AX98" s="190">
        <f ca="1">SUMIFS(Налоги!AW$25:AW$69,Налоги!$F$25:$F$69,$F98,Налоги!$AB$25:$AB$69,$G98)</f>
        <v>0</v>
      </c>
      <c r="AY98" s="190">
        <f ca="1">SUMIFS(Налоги!AX$25:AX$69,Налоги!$F$25:$F$69,$F98,Налоги!$AB$25:$AB$69,$G98)</f>
        <v>0</v>
      </c>
      <c r="AZ98" s="190">
        <f ca="1">SUMIFS(Налоги!AY$25:AY$69,Налоги!$F$25:$F$69,$F98,Налоги!$AB$25:$AB$69,$G98)</f>
        <v>0</v>
      </c>
      <c r="BA98" s="190">
        <f ca="1">SUMIFS(Налоги!AZ$25:AZ$69,Налоги!$F$25:$F$69,$F98,Налоги!$AB$25:$AB$69,$G98)</f>
        <v>0</v>
      </c>
      <c r="BB98" s="190">
        <f ca="1">SUMIFS(Налоги!BA$25:BA$69,Налоги!$F$25:$F$69,$F98,Налоги!$AB$25:$AB$69,$G98)</f>
        <v>0</v>
      </c>
      <c r="BC98" s="190">
        <f ca="1">SUMIFS(Налоги!BB$25:BB$69,Налоги!$F$25:$F$69,$F98,Налоги!$AB$25:$AB$69,$G98)</f>
        <v>0</v>
      </c>
      <c r="BD98" s="190">
        <f t="shared" ca="1" si="10"/>
        <v>0</v>
      </c>
      <c r="BE98" s="190">
        <f t="shared" ca="1" si="11"/>
        <v>0</v>
      </c>
      <c r="BF98" s="190">
        <f t="shared" ca="1" si="12"/>
        <v>0</v>
      </c>
      <c r="BG98" s="190">
        <f t="shared" ca="1" si="13"/>
        <v>0</v>
      </c>
      <c r="BH98" s="190">
        <f t="shared" ca="1" si="14"/>
        <v>0</v>
      </c>
      <c r="BI98" s="190">
        <f t="shared" ca="1" si="15"/>
        <v>0</v>
      </c>
      <c r="BJ98" s="190">
        <f t="shared" ca="1" si="16"/>
        <v>0</v>
      </c>
      <c r="BK98" s="190">
        <f t="shared" ca="1" si="17"/>
        <v>0</v>
      </c>
      <c r="BL98" s="190">
        <f t="shared" ca="1" si="18"/>
        <v>0</v>
      </c>
      <c r="BM98" s="190">
        <f t="shared" ca="1" si="19"/>
        <v>0</v>
      </c>
      <c r="BN98" s="784"/>
      <c r="BO98" s="788" t="str">
        <f ca="1">IF(IFERROR(INDEX(Налоги!$K$26:$L$69,MATCH($F98&amp;"1komm",Налоги!$K$26:$K$69,0),2),"")=0,"",IFERROR(INDEX(Налоги!$K$26:$L$69,MATCH($F98&amp;"1komm",Налоги!$K$26:$K$69,0),2),""))</f>
        <v/>
      </c>
      <c r="BP98" s="784"/>
      <c r="BS98" s="705" t="s">
        <v>2083</v>
      </c>
    </row>
    <row r="99" spans="2:75" ht="14.65" hidden="1" customHeight="1">
      <c r="B99" s="34"/>
      <c r="C99" s="44"/>
      <c r="D99" s="44"/>
      <c r="E99" s="462">
        <v>15</v>
      </c>
      <c r="F99" s="3" cm="1">
        <f t="array" aca="1" ref="F99" ca="1">OFFSET(E99,-1,1)</f>
        <v>0</v>
      </c>
      <c r="G99" s="620">
        <v>3</v>
      </c>
      <c r="H99" s="44"/>
      <c r="I99" s="44" t="s">
        <v>2084</v>
      </c>
      <c r="J99" s="44"/>
      <c r="K99" s="44" t="s">
        <v>2084</v>
      </c>
      <c r="L99" s="44"/>
      <c r="M99" s="44"/>
      <c r="N99" s="44"/>
      <c r="O99" s="44"/>
      <c r="P99" s="44"/>
      <c r="Q99" s="44"/>
      <c r="R99" s="44"/>
      <c r="S99" s="44"/>
      <c r="T99" s="365" t="b" cm="1">
        <f t="array" aca="1" ref="T99" ca="1">T98</f>
        <v>0</v>
      </c>
      <c r="U99" s="44"/>
      <c r="V99" s="44"/>
      <c r="X99" s="1075"/>
      <c r="Z99" s="1065"/>
      <c r="AB99" s="152" t="s">
        <v>2085</v>
      </c>
      <c r="AC99" s="153" t="s">
        <v>2086</v>
      </c>
      <c r="AD99" s="26" t="s">
        <v>804</v>
      </c>
      <c r="AE99" s="787">
        <f ca="1">SUMIFS(Налоги!AE$25:AE$69,Налоги!$F$25:$F$69,$F99,Налоги!$AB$25:$AB$69,$G99)</f>
        <v>0</v>
      </c>
      <c r="AF99" s="787">
        <f ca="1">SUMIFS(Налоги!AF$25:AF$69,Налоги!$F$25:$F$69,$F99,Налоги!$AB$25:$AB$69,$G99)</f>
        <v>0</v>
      </c>
      <c r="AG99" s="787">
        <f ca="1">SUMIFS(Налоги!AG$25:AG$69,Налоги!$F$25:$F$69,$F99,Налоги!$AB$25:$AB$69,$G99)</f>
        <v>0</v>
      </c>
      <c r="AH99" s="190">
        <f t="shared" ca="1" si="8"/>
        <v>0</v>
      </c>
      <c r="AI99" s="787">
        <f ca="1">SUMIFS(Налоги!AH$25:AH$69,Налоги!$F$25:$F$69,$F99,Налоги!$AB$25:$AB$69,$G99)</f>
        <v>0</v>
      </c>
      <c r="AJ99" s="787">
        <f ca="1">SUMIFS(Налоги!AI$25:AI$69,Налоги!$F$25:$F$69,$F99,Налоги!$AB$25:$AB$69,$G99)</f>
        <v>0</v>
      </c>
      <c r="AK99" s="787">
        <f ca="1">SUMIFS(Налоги!AJ$25:AJ$69,Налоги!$F$25:$F$69,$F99,Налоги!$AB$25:$AB$69,$G99)</f>
        <v>0</v>
      </c>
      <c r="AL99" s="787">
        <f ca="1">SUMIFS(Налоги!AK$25:AK$69,Налоги!$F$25:$F$69,$F99,Налоги!$AB$25:$AB$69,$G99)</f>
        <v>0</v>
      </c>
      <c r="AM99" s="787">
        <f ca="1">SUMIFS(Налоги!AL$25:AL$69,Налоги!$F$25:$F$69,$F99,Налоги!$AB$25:$AB$69,$G99)</f>
        <v>0</v>
      </c>
      <c r="AN99" s="787">
        <f ca="1">SUMIFS(Налоги!AM$25:AM$69,Налоги!$F$25:$F$69,$F99,Налоги!$AB$25:$AB$69,$G99)</f>
        <v>0</v>
      </c>
      <c r="AO99" s="787">
        <f ca="1">SUMIFS(Налоги!AN$25:AN$69,Налоги!$F$25:$F$69,$F99,Налоги!$AB$25:$AB$69,$G99)</f>
        <v>0</v>
      </c>
      <c r="AP99" s="787">
        <f ca="1">SUMIFS(Налоги!AO$25:AO$69,Налоги!$F$25:$F$69,$F99,Налоги!$AB$25:$AB$69,$G99)</f>
        <v>0</v>
      </c>
      <c r="AQ99" s="787">
        <f ca="1">SUMIFS(Налоги!AP$25:AP$69,Налоги!$F$25:$F$69,$F99,Налоги!$AB$25:$AB$69,$G99)</f>
        <v>0</v>
      </c>
      <c r="AR99" s="787">
        <f ca="1">SUMIFS(Налоги!AQ$25:AQ$69,Налоги!$F$25:$F$69,$F99,Налоги!$AB$25:$AB$69,$G99)</f>
        <v>0</v>
      </c>
      <c r="AS99" s="787">
        <f ca="1">SUMIFS(Налоги!AR$25:AR$69,Налоги!$F$25:$F$69,$F99,Налоги!$AB$25:$AB$69,$G99)</f>
        <v>0</v>
      </c>
      <c r="AT99" s="787">
        <f ca="1">SUMIFS(Налоги!AS$25:AS$69,Налоги!$F$25:$F$69,$F99,Налоги!$AB$25:$AB$69,$G99)</f>
        <v>0</v>
      </c>
      <c r="AU99" s="787">
        <f ca="1">SUMIFS(Налоги!AT$25:AT$69,Налоги!$F$25:$F$69,$F99,Налоги!$AB$25:$AB$69,$G99)</f>
        <v>0</v>
      </c>
      <c r="AV99" s="787">
        <f ca="1">SUMIFS(Налоги!AU$25:AU$69,Налоги!$F$25:$F$69,$F99,Налоги!$AB$25:$AB$69,$G99)</f>
        <v>0</v>
      </c>
      <c r="AW99" s="787">
        <f ca="1">SUMIFS(Налоги!AV$25:AV$69,Налоги!$F$25:$F$69,$F99,Налоги!$AB$25:$AB$69,$G99)</f>
        <v>0</v>
      </c>
      <c r="AX99" s="787">
        <f ca="1">SUMIFS(Налоги!AW$25:AW$69,Налоги!$F$25:$F$69,$F99,Налоги!$AB$25:$AB$69,$G99)</f>
        <v>0</v>
      </c>
      <c r="AY99" s="787">
        <f ca="1">SUMIFS(Налоги!AX$25:AX$69,Налоги!$F$25:$F$69,$F99,Налоги!$AB$25:$AB$69,$G99)</f>
        <v>0</v>
      </c>
      <c r="AZ99" s="787">
        <f ca="1">SUMIFS(Налоги!AY$25:AY$69,Налоги!$F$25:$F$69,$F99,Налоги!$AB$25:$AB$69,$G99)</f>
        <v>0</v>
      </c>
      <c r="BA99" s="787">
        <f ca="1">SUMIFS(Налоги!AZ$25:AZ$69,Налоги!$F$25:$F$69,$F99,Налоги!$AB$25:$AB$69,$G99)</f>
        <v>0</v>
      </c>
      <c r="BB99" s="787">
        <f ca="1">SUMIFS(Налоги!BA$25:BA$69,Налоги!$F$25:$F$69,$F99,Налоги!$AB$25:$AB$69,$G99)</f>
        <v>0</v>
      </c>
      <c r="BC99" s="787">
        <f ca="1">SUMIFS(Налоги!BB$25:BB$69,Налоги!$F$25:$F$69,$F99,Налоги!$AB$25:$AB$69,$G99)</f>
        <v>0</v>
      </c>
      <c r="BD99" s="190">
        <f t="shared" ca="1" si="10"/>
        <v>0</v>
      </c>
      <c r="BE99" s="190">
        <f t="shared" ca="1" si="11"/>
        <v>0</v>
      </c>
      <c r="BF99" s="190">
        <f t="shared" ca="1" si="12"/>
        <v>0</v>
      </c>
      <c r="BG99" s="190">
        <f t="shared" ca="1" si="13"/>
        <v>0</v>
      </c>
      <c r="BH99" s="190">
        <f t="shared" ca="1" si="14"/>
        <v>0</v>
      </c>
      <c r="BI99" s="190">
        <f t="shared" ca="1" si="15"/>
        <v>0</v>
      </c>
      <c r="BJ99" s="190">
        <f t="shared" ca="1" si="16"/>
        <v>0</v>
      </c>
      <c r="BK99" s="190">
        <f t="shared" ca="1" si="17"/>
        <v>0</v>
      </c>
      <c r="BL99" s="190">
        <f t="shared" ca="1" si="18"/>
        <v>0</v>
      </c>
      <c r="BM99" s="190">
        <f t="shared" ca="1" si="19"/>
        <v>0</v>
      </c>
      <c r="BN99" s="784"/>
      <c r="BO99" s="788" t="str">
        <f ca="1">IF(IFERROR(INDEX(Налоги!$K$26:$L$69,MATCH($F99&amp;"5komm",Налоги!$K$26:$K$69,0),2),"")=0,"",IFERROR(INDEX(Налоги!$K$26:$L$69,MATCH($F99&amp;"5komm",Налоги!$K$26:$K$69,0),2),""))</f>
        <v/>
      </c>
      <c r="BP99" s="784"/>
      <c r="BS99" s="705" t="s">
        <v>2087</v>
      </c>
    </row>
    <row r="100" spans="2:75" ht="14.65" hidden="1" customHeight="1">
      <c r="B100" s="34"/>
      <c r="C100" s="44"/>
      <c r="D100" s="44"/>
      <c r="E100" s="462">
        <v>15</v>
      </c>
      <c r="F100" s="3" cm="1">
        <f t="array" aca="1" ref="F100" ca="1">OFFSET(E100,-1,1)</f>
        <v>0</v>
      </c>
      <c r="G100" s="620">
        <v>8</v>
      </c>
      <c r="H100" s="44"/>
      <c r="I100" s="44" t="s">
        <v>2088</v>
      </c>
      <c r="J100" s="44"/>
      <c r="K100" s="44" t="s">
        <v>2088</v>
      </c>
      <c r="L100" s="44"/>
      <c r="M100" s="44"/>
      <c r="N100" s="44"/>
      <c r="O100" s="44"/>
      <c r="P100" s="44"/>
      <c r="Q100" s="44"/>
      <c r="R100" s="44"/>
      <c r="S100" s="44"/>
      <c r="T100" s="365" t="b" cm="1">
        <f t="array" aca="1" ref="T100" ca="1">T99</f>
        <v>0</v>
      </c>
      <c r="U100" s="44"/>
      <c r="V100" s="44"/>
      <c r="X100" s="1075"/>
      <c r="Z100" s="1065"/>
      <c r="AB100" s="152" t="s">
        <v>2089</v>
      </c>
      <c r="AC100" s="153" t="s">
        <v>2090</v>
      </c>
      <c r="AD100" s="26" t="s">
        <v>804</v>
      </c>
      <c r="AE100" s="190">
        <f ca="1">SUMIFS(Налоги!AE$25:AE$69,Налоги!$F$25:$F$69,$F100,Налоги!$AB$25:$AB$69,$G100)</f>
        <v>0</v>
      </c>
      <c r="AF100" s="190">
        <f ca="1">SUMIFS(Налоги!AF$25:AF$69,Налоги!$F$25:$F$69,$F100,Налоги!$AB$25:$AB$69,$G100)</f>
        <v>0</v>
      </c>
      <c r="AG100" s="190">
        <f ca="1">SUMIFS(Налоги!AG$25:AG$69,Налоги!$F$25:$F$69,$F100,Налоги!$AB$25:$AB$69,$G100)</f>
        <v>0</v>
      </c>
      <c r="AH100" s="190">
        <f t="shared" ca="1" si="8"/>
        <v>0</v>
      </c>
      <c r="AI100" s="190">
        <f ca="1">SUMIFS(Налоги!AH$25:AH$69,Налоги!$F$25:$F$69,$F100,Налоги!$AB$25:$AB$69,$G100)</f>
        <v>0</v>
      </c>
      <c r="AJ100" s="190">
        <f ca="1">SUMIFS(Налоги!AI$25:AI$69,Налоги!$F$25:$F$69,$F100,Налоги!$AB$25:$AB$69,$G100)</f>
        <v>0</v>
      </c>
      <c r="AK100" s="190">
        <f ca="1">SUMIFS(Налоги!AJ$25:AJ$69,Налоги!$F$25:$F$69,$F100,Налоги!$AB$25:$AB$69,$G100)</f>
        <v>0</v>
      </c>
      <c r="AL100" s="190">
        <f ca="1">SUMIFS(Налоги!AK$25:AK$69,Налоги!$F$25:$F$69,$F100,Налоги!$AB$25:$AB$69,$G100)</f>
        <v>0</v>
      </c>
      <c r="AM100" s="190">
        <f ca="1">SUMIFS(Налоги!AL$25:AL$69,Налоги!$F$25:$F$69,$F100,Налоги!$AB$25:$AB$69,$G100)</f>
        <v>0</v>
      </c>
      <c r="AN100" s="190">
        <f ca="1">SUMIFS(Налоги!AM$25:AM$69,Налоги!$F$25:$F$69,$F100,Налоги!$AB$25:$AB$69,$G100)</f>
        <v>0</v>
      </c>
      <c r="AO100" s="190">
        <f ca="1">SUMIFS(Налоги!AN$25:AN$69,Налоги!$F$25:$F$69,$F100,Налоги!$AB$25:$AB$69,$G100)</f>
        <v>0</v>
      </c>
      <c r="AP100" s="190">
        <f ca="1">SUMIFS(Налоги!AO$25:AO$69,Налоги!$F$25:$F$69,$F100,Налоги!$AB$25:$AB$69,$G100)</f>
        <v>0</v>
      </c>
      <c r="AQ100" s="190">
        <f ca="1">SUMIFS(Налоги!AP$25:AP$69,Налоги!$F$25:$F$69,$F100,Налоги!$AB$25:$AB$69,$G100)</f>
        <v>0</v>
      </c>
      <c r="AR100" s="190">
        <f ca="1">SUMIFS(Налоги!AQ$25:AQ$69,Налоги!$F$25:$F$69,$F100,Налоги!$AB$25:$AB$69,$G100)</f>
        <v>0</v>
      </c>
      <c r="AS100" s="190">
        <f ca="1">SUMIFS(Налоги!AR$25:AR$69,Налоги!$F$25:$F$69,$F100,Налоги!$AB$25:$AB$69,$G100)</f>
        <v>0</v>
      </c>
      <c r="AT100" s="190">
        <f ca="1">SUMIFS(Налоги!AS$25:AS$69,Налоги!$F$25:$F$69,$F100,Налоги!$AB$25:$AB$69,$G100)</f>
        <v>0</v>
      </c>
      <c r="AU100" s="190">
        <f ca="1">SUMIFS(Налоги!AT$25:AT$69,Налоги!$F$25:$F$69,$F100,Налоги!$AB$25:$AB$69,$G100)</f>
        <v>0</v>
      </c>
      <c r="AV100" s="190">
        <f ca="1">SUMIFS(Налоги!AU$25:AU$69,Налоги!$F$25:$F$69,$F100,Налоги!$AB$25:$AB$69,$G100)</f>
        <v>0</v>
      </c>
      <c r="AW100" s="190">
        <f ca="1">SUMIFS(Налоги!AV$25:AV$69,Налоги!$F$25:$F$69,$F100,Налоги!$AB$25:$AB$69,$G100)</f>
        <v>0</v>
      </c>
      <c r="AX100" s="190">
        <f ca="1">SUMIFS(Налоги!AW$25:AW$69,Налоги!$F$25:$F$69,$F100,Налоги!$AB$25:$AB$69,$G100)</f>
        <v>0</v>
      </c>
      <c r="AY100" s="190">
        <f ca="1">SUMIFS(Налоги!AX$25:AX$69,Налоги!$F$25:$F$69,$F100,Налоги!$AB$25:$AB$69,$G100)</f>
        <v>0</v>
      </c>
      <c r="AZ100" s="190">
        <f ca="1">SUMIFS(Налоги!AY$25:AY$69,Налоги!$F$25:$F$69,$F100,Налоги!$AB$25:$AB$69,$G100)</f>
        <v>0</v>
      </c>
      <c r="BA100" s="190">
        <f ca="1">SUMIFS(Налоги!AZ$25:AZ$69,Налоги!$F$25:$F$69,$F100,Налоги!$AB$25:$AB$69,$G100)</f>
        <v>0</v>
      </c>
      <c r="BB100" s="190">
        <f ca="1">SUMIFS(Налоги!BA$25:BA$69,Налоги!$F$25:$F$69,$F100,Налоги!$AB$25:$AB$69,$G100)</f>
        <v>0</v>
      </c>
      <c r="BC100" s="190">
        <f ca="1">SUMIFS(Налоги!BB$25:BB$69,Налоги!$F$25:$F$69,$F100,Налоги!$AB$25:$AB$69,$G100)</f>
        <v>0</v>
      </c>
      <c r="BD100" s="190">
        <f t="shared" ca="1" si="10"/>
        <v>0</v>
      </c>
      <c r="BE100" s="190">
        <f t="shared" ca="1" si="11"/>
        <v>0</v>
      </c>
      <c r="BF100" s="190">
        <f t="shared" ca="1" si="12"/>
        <v>0</v>
      </c>
      <c r="BG100" s="190">
        <f t="shared" ca="1" si="13"/>
        <v>0</v>
      </c>
      <c r="BH100" s="190">
        <f t="shared" ca="1" si="14"/>
        <v>0</v>
      </c>
      <c r="BI100" s="190">
        <f t="shared" ca="1" si="15"/>
        <v>0</v>
      </c>
      <c r="BJ100" s="190">
        <f t="shared" ca="1" si="16"/>
        <v>0</v>
      </c>
      <c r="BK100" s="190">
        <f t="shared" ca="1" si="17"/>
        <v>0</v>
      </c>
      <c r="BL100" s="190">
        <f t="shared" ca="1" si="18"/>
        <v>0</v>
      </c>
      <c r="BM100" s="190">
        <f t="shared" ca="1" si="19"/>
        <v>0</v>
      </c>
      <c r="BN100" s="784"/>
      <c r="BO100" s="788" t="str">
        <f ca="1">IF(IFERROR(INDEX(Налоги!$K$26:$L$69,MATCH($F100&amp;"8komm",Налоги!$K$26:$K$69,0),2),"")=0,"",IFERROR(INDEX(Налоги!$K$26:$L$69,MATCH($F100&amp;"8komm",Налоги!$K$26:$K$69,0),2),""))</f>
        <v/>
      </c>
      <c r="BP100" s="784"/>
      <c r="BS100" s="705" t="s">
        <v>1288</v>
      </c>
    </row>
    <row r="101" spans="2:75" s="388" customFormat="1" ht="14.65" hidden="1" customHeight="1">
      <c r="B101" s="34"/>
      <c r="C101" s="44"/>
      <c r="D101" s="44"/>
      <c r="E101" s="462">
        <v>15</v>
      </c>
      <c r="F101" s="3" cm="1">
        <f t="array" aca="1" ref="F101" ca="1">OFFSET(E101,-1,1)</f>
        <v>0</v>
      </c>
      <c r="G101" s="620">
        <v>9</v>
      </c>
      <c r="H101" s="44"/>
      <c r="I101" s="44"/>
      <c r="J101" s="44"/>
      <c r="K101" s="44"/>
      <c r="L101" s="44"/>
      <c r="M101" s="44"/>
      <c r="N101" s="44"/>
      <c r="O101" s="44"/>
      <c r="P101" s="44"/>
      <c r="Q101" s="44"/>
      <c r="R101" s="44"/>
      <c r="S101" s="44"/>
      <c r="T101" s="365" t="b" cm="1">
        <f t="array" aca="1" ref="T101" ca="1">T100</f>
        <v>0</v>
      </c>
      <c r="U101" s="44"/>
      <c r="V101" s="44"/>
      <c r="X101" s="1075"/>
      <c r="Z101" s="1065"/>
      <c r="AB101" s="152" t="s">
        <v>2091</v>
      </c>
      <c r="AC101" s="559" t="s">
        <v>2092</v>
      </c>
      <c r="AD101" s="26" t="s">
        <v>804</v>
      </c>
      <c r="AE101" s="190">
        <f ca="1">SUMIFS(Налоги!AE$25:AE$69,Налоги!$F$25:$F$69,$F101,Налоги!$AB$25:$AB$69,$G101)</f>
        <v>0</v>
      </c>
      <c r="AF101" s="190">
        <f ca="1">SUMIFS(Налоги!AF$25:AF$69,Налоги!$F$25:$F$69,$F101,Налоги!$AB$25:$AB$69,$G101)</f>
        <v>0</v>
      </c>
      <c r="AG101" s="190">
        <f ca="1">SUMIFS(Налоги!AG$25:AG$69,Налоги!$F$25:$F$69,$F101,Налоги!$AB$25:$AB$69,$G101)</f>
        <v>0</v>
      </c>
      <c r="AH101" s="190">
        <f t="shared" ca="1" si="8"/>
        <v>0</v>
      </c>
      <c r="AI101" s="190">
        <f ca="1">SUMIFS(Налоги!AH$25:AH$69,Налоги!$F$25:$F$69,$F101,Налоги!$AB$25:$AB$69,$G101)</f>
        <v>0</v>
      </c>
      <c r="AJ101" s="190">
        <f ca="1">SUMIFS(Налоги!AI$25:AI$69,Налоги!$F$25:$F$69,$F101,Налоги!$AB$25:$AB$69,$G101)</f>
        <v>0</v>
      </c>
      <c r="AK101" s="190">
        <f ca="1">SUMIFS(Налоги!AJ$25:AJ$69,Налоги!$F$25:$F$69,$F101,Налоги!$AB$25:$AB$69,$G101)</f>
        <v>0</v>
      </c>
      <c r="AL101" s="190">
        <f ca="1">SUMIFS(Налоги!AK$25:AK$69,Налоги!$F$25:$F$69,$F101,Налоги!$AB$25:$AB$69,$G101)</f>
        <v>0</v>
      </c>
      <c r="AM101" s="190">
        <f ca="1">SUMIFS(Налоги!AL$25:AL$69,Налоги!$F$25:$F$69,$F101,Налоги!$AB$25:$AB$69,$G101)</f>
        <v>0</v>
      </c>
      <c r="AN101" s="190">
        <f ca="1">SUMIFS(Налоги!AM$25:AM$69,Налоги!$F$25:$F$69,$F101,Налоги!$AB$25:$AB$69,$G101)</f>
        <v>0</v>
      </c>
      <c r="AO101" s="190">
        <f ca="1">SUMIFS(Налоги!AN$25:AN$69,Налоги!$F$25:$F$69,$F101,Налоги!$AB$25:$AB$69,$G101)</f>
        <v>0</v>
      </c>
      <c r="AP101" s="190">
        <f ca="1">SUMIFS(Налоги!AO$25:AO$69,Налоги!$F$25:$F$69,$F101,Налоги!$AB$25:$AB$69,$G101)</f>
        <v>0</v>
      </c>
      <c r="AQ101" s="190">
        <f ca="1">SUMIFS(Налоги!AP$25:AP$69,Налоги!$F$25:$F$69,$F101,Налоги!$AB$25:$AB$69,$G101)</f>
        <v>0</v>
      </c>
      <c r="AR101" s="190">
        <f ca="1">SUMIFS(Налоги!AQ$25:AQ$69,Налоги!$F$25:$F$69,$F101,Налоги!$AB$25:$AB$69,$G101)</f>
        <v>0</v>
      </c>
      <c r="AS101" s="190">
        <f ca="1">SUMIFS(Налоги!AR$25:AR$69,Налоги!$F$25:$F$69,$F101,Налоги!$AB$25:$AB$69,$G101)</f>
        <v>0</v>
      </c>
      <c r="AT101" s="190">
        <f ca="1">SUMIFS(Налоги!AS$25:AS$69,Налоги!$F$25:$F$69,$F101,Налоги!$AB$25:$AB$69,$G101)</f>
        <v>0</v>
      </c>
      <c r="AU101" s="190">
        <f ca="1">SUMIFS(Налоги!AT$25:AT$69,Налоги!$F$25:$F$69,$F101,Налоги!$AB$25:$AB$69,$G101)</f>
        <v>0</v>
      </c>
      <c r="AV101" s="190">
        <f ca="1">SUMIFS(Налоги!AU$25:AU$69,Налоги!$F$25:$F$69,$F101,Налоги!$AB$25:$AB$69,$G101)</f>
        <v>0</v>
      </c>
      <c r="AW101" s="190">
        <f ca="1">SUMIFS(Налоги!AV$25:AV$69,Налоги!$F$25:$F$69,$F101,Налоги!$AB$25:$AB$69,$G101)</f>
        <v>0</v>
      </c>
      <c r="AX101" s="190">
        <f ca="1">SUMIFS(Налоги!AW$25:AW$69,Налоги!$F$25:$F$69,$F101,Налоги!$AB$25:$AB$69,$G101)</f>
        <v>0</v>
      </c>
      <c r="AY101" s="190">
        <f ca="1">SUMIFS(Налоги!AX$25:AX$69,Налоги!$F$25:$F$69,$F101,Налоги!$AB$25:$AB$69,$G101)</f>
        <v>0</v>
      </c>
      <c r="AZ101" s="190">
        <f ca="1">SUMIFS(Налоги!AY$25:AY$69,Налоги!$F$25:$F$69,$F101,Налоги!$AB$25:$AB$69,$G101)</f>
        <v>0</v>
      </c>
      <c r="BA101" s="190">
        <f ca="1">SUMIFS(Налоги!AZ$25:AZ$69,Налоги!$F$25:$F$69,$F101,Налоги!$AB$25:$AB$69,$G101)</f>
        <v>0</v>
      </c>
      <c r="BB101" s="190">
        <f ca="1">SUMIFS(Налоги!BA$25:BA$69,Налоги!$F$25:$F$69,$F101,Налоги!$AB$25:$AB$69,$G101)</f>
        <v>0</v>
      </c>
      <c r="BC101" s="190">
        <f ca="1">SUMIFS(Налоги!BB$25:BB$69,Налоги!$F$25:$F$69,$F101,Налоги!$AB$25:$AB$69,$G101)</f>
        <v>0</v>
      </c>
      <c r="BD101" s="190">
        <f t="shared" ca="1" si="10"/>
        <v>0</v>
      </c>
      <c r="BE101" s="190">
        <f t="shared" ca="1" si="11"/>
        <v>0</v>
      </c>
      <c r="BF101" s="190">
        <f t="shared" ca="1" si="12"/>
        <v>0</v>
      </c>
      <c r="BG101" s="190">
        <f t="shared" ca="1" si="13"/>
        <v>0</v>
      </c>
      <c r="BH101" s="190">
        <f t="shared" ca="1" si="14"/>
        <v>0</v>
      </c>
      <c r="BI101" s="190">
        <f t="shared" ca="1" si="15"/>
        <v>0</v>
      </c>
      <c r="BJ101" s="190">
        <f t="shared" ca="1" si="16"/>
        <v>0</v>
      </c>
      <c r="BK101" s="190">
        <f t="shared" ca="1" si="17"/>
        <v>0</v>
      </c>
      <c r="BL101" s="190">
        <f t="shared" ca="1" si="18"/>
        <v>0</v>
      </c>
      <c r="BM101" s="190">
        <f t="shared" ca="1" si="19"/>
        <v>0</v>
      </c>
      <c r="BN101" s="784"/>
      <c r="BO101" s="788" t="str">
        <f ca="1">IF(IFERROR(INDEX(Налоги!$K$26:$L$69,MATCH($F101&amp;"9komm",Налоги!$K$26:$K$69,0),2),"")=0,"",IFERROR(INDEX(Налоги!$K$26:$L$69,MATCH($F101&amp;"9komm",Налоги!$K$26:$K$69,0),2),""))</f>
        <v/>
      </c>
      <c r="BP101" s="784"/>
      <c r="BS101" s="712" t="s">
        <v>2093</v>
      </c>
      <c r="BT101" s="712"/>
      <c r="BU101" s="712"/>
      <c r="BV101" s="713"/>
      <c r="BW101" s="713"/>
    </row>
    <row r="102" spans="2:75" ht="14.65" hidden="1" customHeight="1">
      <c r="B102" s="34"/>
      <c r="C102" s="44"/>
      <c r="D102" s="44"/>
      <c r="E102" s="462">
        <v>15</v>
      </c>
      <c r="F102" s="3" cm="1">
        <f t="array" aca="1" ref="F102" ca="1">OFFSET(E102,-1,1)</f>
        <v>0</v>
      </c>
      <c r="G102" s="620">
        <v>10</v>
      </c>
      <c r="H102" s="44"/>
      <c r="I102" s="44" t="s">
        <v>2094</v>
      </c>
      <c r="J102" s="44"/>
      <c r="K102" s="44" t="s">
        <v>2094</v>
      </c>
      <c r="L102" s="44"/>
      <c r="M102" s="44"/>
      <c r="N102" s="44"/>
      <c r="O102" s="44"/>
      <c r="P102" s="44"/>
      <c r="Q102" s="44"/>
      <c r="R102" s="44"/>
      <c r="S102" s="44"/>
      <c r="T102" s="365" t="b" cm="1">
        <f t="array" aca="1" ref="T102" ca="1">T101</f>
        <v>0</v>
      </c>
      <c r="U102" s="44"/>
      <c r="V102" s="44"/>
      <c r="X102" s="1075"/>
      <c r="Z102" s="1065"/>
      <c r="AB102" s="152" t="s">
        <v>2095</v>
      </c>
      <c r="AC102" s="559" t="s">
        <v>2096</v>
      </c>
      <c r="AD102" s="26" t="s">
        <v>804</v>
      </c>
      <c r="AE102" s="190">
        <f ca="1">SUMIFS(Налоги!AE$25:AE$69,Налоги!$F$25:$F$69,$F102,Налоги!$AB$25:$AB$69,$G102)</f>
        <v>0</v>
      </c>
      <c r="AF102" s="190">
        <f ca="1">SUMIFS(Налоги!AF$25:AF$69,Налоги!$F$25:$F$69,$F102,Налоги!$AB$25:$AB$69,$G102)</f>
        <v>0</v>
      </c>
      <c r="AG102" s="190">
        <f ca="1">SUMIFS(Налоги!AG$25:AG$69,Налоги!$F$25:$F$69,$F102,Налоги!$AB$25:$AB$69,$G102)</f>
        <v>0</v>
      </c>
      <c r="AH102" s="190">
        <f t="shared" ca="1" si="8"/>
        <v>0</v>
      </c>
      <c r="AI102" s="190">
        <f ca="1">SUMIFS(Налоги!AH$25:AH$69,Налоги!$F$25:$F$69,$F102,Налоги!$AB$25:$AB$69,$G102)</f>
        <v>0</v>
      </c>
      <c r="AJ102" s="190">
        <f ca="1">SUMIFS(Налоги!AI$25:AI$69,Налоги!$F$25:$F$69,$F102,Налоги!$AB$25:$AB$69,$G102)</f>
        <v>0</v>
      </c>
      <c r="AK102" s="190">
        <f ca="1">SUMIFS(Налоги!AJ$25:AJ$69,Налоги!$F$25:$F$69,$F102,Налоги!$AB$25:$AB$69,$G102)</f>
        <v>0</v>
      </c>
      <c r="AL102" s="190">
        <f ca="1">SUMIFS(Налоги!AK$25:AK$69,Налоги!$F$25:$F$69,$F102,Налоги!$AB$25:$AB$69,$G102)</f>
        <v>0</v>
      </c>
      <c r="AM102" s="190">
        <f ca="1">SUMIFS(Налоги!AL$25:AL$69,Налоги!$F$25:$F$69,$F102,Налоги!$AB$25:$AB$69,$G102)</f>
        <v>0</v>
      </c>
      <c r="AN102" s="190">
        <f ca="1">SUMIFS(Налоги!AM$25:AM$69,Налоги!$F$25:$F$69,$F102,Налоги!$AB$25:$AB$69,$G102)</f>
        <v>0</v>
      </c>
      <c r="AO102" s="190">
        <f ca="1">SUMIFS(Налоги!AN$25:AN$69,Налоги!$F$25:$F$69,$F102,Налоги!$AB$25:$AB$69,$G102)</f>
        <v>0</v>
      </c>
      <c r="AP102" s="190">
        <f ca="1">SUMIFS(Налоги!AO$25:AO$69,Налоги!$F$25:$F$69,$F102,Налоги!$AB$25:$AB$69,$G102)</f>
        <v>0</v>
      </c>
      <c r="AQ102" s="190">
        <f ca="1">SUMIFS(Налоги!AP$25:AP$69,Налоги!$F$25:$F$69,$F102,Налоги!$AB$25:$AB$69,$G102)</f>
        <v>0</v>
      </c>
      <c r="AR102" s="190">
        <f ca="1">SUMIFS(Налоги!AQ$25:AQ$69,Налоги!$F$25:$F$69,$F102,Налоги!$AB$25:$AB$69,$G102)</f>
        <v>0</v>
      </c>
      <c r="AS102" s="190">
        <f ca="1">SUMIFS(Налоги!AR$25:AR$69,Налоги!$F$25:$F$69,$F102,Налоги!$AB$25:$AB$69,$G102)</f>
        <v>0</v>
      </c>
      <c r="AT102" s="190">
        <f ca="1">SUMIFS(Налоги!AS$25:AS$69,Налоги!$F$25:$F$69,$F102,Налоги!$AB$25:$AB$69,$G102)</f>
        <v>0</v>
      </c>
      <c r="AU102" s="190">
        <f ca="1">SUMIFS(Налоги!AT$25:AT$69,Налоги!$F$25:$F$69,$F102,Налоги!$AB$25:$AB$69,$G102)</f>
        <v>0</v>
      </c>
      <c r="AV102" s="190">
        <f ca="1">SUMIFS(Налоги!AU$25:AU$69,Налоги!$F$25:$F$69,$F102,Налоги!$AB$25:$AB$69,$G102)</f>
        <v>0</v>
      </c>
      <c r="AW102" s="190">
        <f ca="1">SUMIFS(Налоги!AV$25:AV$69,Налоги!$F$25:$F$69,$F102,Налоги!$AB$25:$AB$69,$G102)</f>
        <v>0</v>
      </c>
      <c r="AX102" s="190">
        <f ca="1">SUMIFS(Налоги!AW$25:AW$69,Налоги!$F$25:$F$69,$F102,Налоги!$AB$25:$AB$69,$G102)</f>
        <v>0</v>
      </c>
      <c r="AY102" s="190">
        <f ca="1">SUMIFS(Налоги!AX$25:AX$69,Налоги!$F$25:$F$69,$F102,Налоги!$AB$25:$AB$69,$G102)</f>
        <v>0</v>
      </c>
      <c r="AZ102" s="190">
        <f ca="1">SUMIFS(Налоги!AY$25:AY$69,Налоги!$F$25:$F$69,$F102,Налоги!$AB$25:$AB$69,$G102)</f>
        <v>0</v>
      </c>
      <c r="BA102" s="190">
        <f ca="1">SUMIFS(Налоги!AZ$25:AZ$69,Налоги!$F$25:$F$69,$F102,Налоги!$AB$25:$AB$69,$G102)</f>
        <v>0</v>
      </c>
      <c r="BB102" s="190">
        <f ca="1">SUMIFS(Налоги!BA$25:BA$69,Налоги!$F$25:$F$69,$F102,Налоги!$AB$25:$AB$69,$G102)</f>
        <v>0</v>
      </c>
      <c r="BC102" s="190">
        <f ca="1">SUMIFS(Налоги!BB$25:BB$69,Налоги!$F$25:$F$69,$F102,Налоги!$AB$25:$AB$69,$G102)</f>
        <v>0</v>
      </c>
      <c r="BD102" s="190">
        <f t="shared" ca="1" si="10"/>
        <v>0</v>
      </c>
      <c r="BE102" s="190">
        <f t="shared" ca="1" si="11"/>
        <v>0</v>
      </c>
      <c r="BF102" s="190">
        <f t="shared" ca="1" si="12"/>
        <v>0</v>
      </c>
      <c r="BG102" s="190">
        <f t="shared" ca="1" si="13"/>
        <v>0</v>
      </c>
      <c r="BH102" s="190">
        <f t="shared" ca="1" si="14"/>
        <v>0</v>
      </c>
      <c r="BI102" s="190">
        <f t="shared" ca="1" si="15"/>
        <v>0</v>
      </c>
      <c r="BJ102" s="190">
        <f t="shared" ca="1" si="16"/>
        <v>0</v>
      </c>
      <c r="BK102" s="190">
        <f t="shared" ca="1" si="17"/>
        <v>0</v>
      </c>
      <c r="BL102" s="190">
        <f t="shared" ca="1" si="18"/>
        <v>0</v>
      </c>
      <c r="BM102" s="190">
        <f t="shared" ca="1" si="19"/>
        <v>0</v>
      </c>
      <c r="BN102" s="784"/>
      <c r="BO102" s="788" t="str">
        <f ca="1">IF(IFERROR(INDEX(Налоги!$K$26:$L$69,MATCH($F102&amp;"10komm",Налоги!$K$26:$K$69,0),2),"")=0,"",IFERROR(INDEX(Налоги!$K$26:$L$69,MATCH($F102&amp;"10komm",Налоги!$K$26:$K$69,0),2),""))</f>
        <v/>
      </c>
      <c r="BP102" s="784"/>
      <c r="BS102" s="705" t="s">
        <v>2097</v>
      </c>
    </row>
    <row r="103" spans="2:75" ht="65.849999999999994" hidden="1" customHeight="1">
      <c r="E103" s="518">
        <v>67.5</v>
      </c>
      <c r="F103" s="3" cm="1">
        <f t="array" aca="1" ref="F103" ca="1">OFFSET(E103,-1,1)</f>
        <v>0</v>
      </c>
      <c r="G103" s="91" t="s">
        <v>1445</v>
      </c>
      <c r="I103" s="91" t="s">
        <v>919</v>
      </c>
      <c r="K103" s="91" t="s">
        <v>919</v>
      </c>
      <c r="L103" s="44"/>
      <c r="M103" s="44"/>
      <c r="T103" s="365" t="b" cm="1">
        <f t="array" aca="1" ref="T103" ca="1">T102</f>
        <v>0</v>
      </c>
      <c r="X103" s="1075"/>
      <c r="Z103" s="1065"/>
      <c r="AB103" s="152" t="s">
        <v>920</v>
      </c>
      <c r="AC103" s="560" t="s">
        <v>1448</v>
      </c>
      <c r="AD103" s="26" t="s">
        <v>804</v>
      </c>
      <c r="AE103" s="790"/>
      <c r="AF103" s="790"/>
      <c r="AG103" s="790"/>
      <c r="AH103" s="190">
        <f t="shared" si="8"/>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190">
        <f t="shared" si="10"/>
        <v>0</v>
      </c>
      <c r="BE103" s="190">
        <f t="shared" si="11"/>
        <v>0</v>
      </c>
      <c r="BF103" s="190">
        <f t="shared" si="12"/>
        <v>0</v>
      </c>
      <c r="BG103" s="190">
        <f t="shared" si="13"/>
        <v>0</v>
      </c>
      <c r="BH103" s="190">
        <f t="shared" si="14"/>
        <v>0</v>
      </c>
      <c r="BI103" s="190">
        <f t="shared" si="15"/>
        <v>0</v>
      </c>
      <c r="BJ103" s="190">
        <f t="shared" si="16"/>
        <v>0</v>
      </c>
      <c r="BK103" s="190">
        <f t="shared" si="17"/>
        <v>0</v>
      </c>
      <c r="BL103" s="190">
        <f t="shared" si="18"/>
        <v>0</v>
      </c>
      <c r="BM103" s="190">
        <f t="shared" si="19"/>
        <v>0</v>
      </c>
      <c r="BN103" s="784"/>
      <c r="BO103" s="784"/>
      <c r="BP103" s="784"/>
      <c r="BS103" s="705" t="s">
        <v>2098</v>
      </c>
    </row>
    <row r="104" spans="2:75" ht="14.65" hidden="1" customHeight="1">
      <c r="E104" s="518">
        <v>15</v>
      </c>
      <c r="F104" s="3" cm="1">
        <f t="array" aca="1" ref="F104" ca="1">OFFSET(E104,-1,1)</f>
        <v>0</v>
      </c>
      <c r="G104" s="91" t="s">
        <v>999</v>
      </c>
      <c r="I104" s="91" t="s">
        <v>922</v>
      </c>
      <c r="K104" s="91" t="s">
        <v>922</v>
      </c>
      <c r="L104" s="44" t="s">
        <v>511</v>
      </c>
      <c r="M104" s="44"/>
      <c r="T104" s="365" t="b" cm="1">
        <f t="array" aca="1" ref="T104" ca="1">T103</f>
        <v>0</v>
      </c>
      <c r="X104" s="1075"/>
      <c r="Z104" s="1065"/>
      <c r="AB104" s="152" t="s">
        <v>923</v>
      </c>
      <c r="AC104" s="146" t="s">
        <v>999</v>
      </c>
      <c r="AD104" s="26" t="s">
        <v>804</v>
      </c>
      <c r="AE104" s="190">
        <f ca="1">SUMIFS(Аренда!AE$25:AE$57,Аренда!$F$25:$F$57,$F104,Аренда!$G$25:$G$57,"Арендная и концессионная плата, лизинговые платежи")</f>
        <v>0</v>
      </c>
      <c r="AF104" s="190">
        <f ca="1">SUMIFS(Аренда!AF$25:AF$57,Аренда!$F$25:$F$57,$F104,Аренда!$G$25:$G$57,"Арендная и концессионная плата, лизинговые платежи")</f>
        <v>0</v>
      </c>
      <c r="AG104" s="190">
        <f ca="1">SUMIFS(Аренда!AG$25:AG$57,Аренда!$F$25:$F$57,$F104,Аренда!$G$25:$G$57,"Арендная и концессионная плата, лизинговые платежи")</f>
        <v>0</v>
      </c>
      <c r="AH104" s="190">
        <f t="shared" ca="1" si="8"/>
        <v>0</v>
      </c>
      <c r="AI104" s="190">
        <f ca="1">SUMIFS(Аренда!AH$25:AH$57,Аренда!$F$25:$F$57,$F104,Аренда!$G$25:$G$57,"Арендная и концессионная плата, лизинговые платежи")</f>
        <v>0</v>
      </c>
      <c r="AJ104" s="190">
        <f ca="1">SUMIFS(Аренда!AI$25:AI$57,Аренда!$F$25:$F$57,$F104,Аренда!$G$25:$G$57,"Арендная и концессионная плата, лизинговые платежи")</f>
        <v>0</v>
      </c>
      <c r="AK104" s="190">
        <f ca="1">SUMIFS(Аренда!AJ$25:AJ$57,Аренда!$F$25:$F$57,$F104,Аренда!$G$25:$G$57,"Арендная и концессионная плата, лизинговые платежи")</f>
        <v>0</v>
      </c>
      <c r="AL104" s="190">
        <f ca="1">SUMIFS(Аренда!AK$25:AK$57,Аренда!$F$25:$F$57,$F104,Аренда!$G$25:$G$57,"Арендная и концессионная плата, лизинговые платежи")</f>
        <v>0</v>
      </c>
      <c r="AM104" s="190">
        <f ca="1">SUMIFS(Аренда!AL$25:AL$57,Аренда!$F$25:$F$57,$F104,Аренда!$G$25:$G$57,"Арендная и концессионная плата, лизинговые платежи")</f>
        <v>0</v>
      </c>
      <c r="AN104" s="190">
        <f ca="1">SUMIFS(Аренда!AM$25:AM$57,Аренда!$F$25:$F$57,$F104,Аренда!$G$25:$G$57,"Арендная и концессионная плата, лизинговые платежи")</f>
        <v>0</v>
      </c>
      <c r="AO104" s="190">
        <f ca="1">SUMIFS(Аренда!AN$25:AN$57,Аренда!$F$25:$F$57,$F104,Аренда!$G$25:$G$57,"Арендная и концессионная плата, лизинговые платежи")</f>
        <v>0</v>
      </c>
      <c r="AP104" s="190">
        <f ca="1">SUMIFS(Аренда!AO$25:AO$57,Аренда!$F$25:$F$57,$F104,Аренда!$G$25:$G$57,"Арендная и концессионная плата, лизинговые платежи")</f>
        <v>0</v>
      </c>
      <c r="AQ104" s="190">
        <f ca="1">SUMIFS(Аренда!AP$25:AP$57,Аренда!$F$25:$F$57,$F104,Аренда!$G$25:$G$57,"Арендная и концессионная плата, лизинговые платежи")</f>
        <v>0</v>
      </c>
      <c r="AR104" s="190">
        <f ca="1">SUMIFS(Аренда!AQ$25:AQ$57,Аренда!$F$25:$F$57,$F104,Аренда!$G$25:$G$57,"Арендная и концессионная плата, лизинговые платежи")</f>
        <v>0</v>
      </c>
      <c r="AS104" s="190">
        <f ca="1">SUMIFS(Аренда!AR$25:AR$57,Аренда!$F$25:$F$57,$F104,Аренда!$G$25:$G$57,"Арендная и концессионная плата, лизинговые платежи")</f>
        <v>0</v>
      </c>
      <c r="AT104" s="190">
        <f ca="1">SUMIFS(Аренда!AS$25:AS$57,Аренда!$F$25:$F$57,$F104,Аренда!$G$25:$G$57,"Арендная и концессионная плата, лизинговые платежи")</f>
        <v>0</v>
      </c>
      <c r="AU104" s="190">
        <f ca="1">SUMIFS(Аренда!AT$25:AT$57,Аренда!$F$25:$F$57,$F104,Аренда!$G$25:$G$57,"Арендная и концессионная плата, лизинговые платежи")</f>
        <v>0</v>
      </c>
      <c r="AV104" s="190">
        <f ca="1">SUMIFS(Аренда!AU$25:AU$57,Аренда!$F$25:$F$57,$F104,Аренда!$G$25:$G$57,"Арендная и концессионная плата, лизинговые платежи")</f>
        <v>0</v>
      </c>
      <c r="AW104" s="190">
        <f ca="1">SUMIFS(Аренда!AV$25:AV$57,Аренда!$F$25:$F$57,$F104,Аренда!$G$25:$G$57,"Арендная и концессионная плата, лизинговые платежи")</f>
        <v>0</v>
      </c>
      <c r="AX104" s="190">
        <f ca="1">SUMIFS(Аренда!AW$25:AW$57,Аренда!$F$25:$F$57,$F104,Аренда!$G$25:$G$57,"Арендная и концессионная плата, лизинговые платежи")</f>
        <v>0</v>
      </c>
      <c r="AY104" s="190">
        <f ca="1">SUMIFS(Аренда!AX$25:AX$57,Аренда!$F$25:$F$57,$F104,Аренда!$G$25:$G$57,"Арендная и концессионная плата, лизинговые платежи")</f>
        <v>0</v>
      </c>
      <c r="AZ104" s="190">
        <f ca="1">SUMIFS(Аренда!AY$25:AY$57,Аренда!$F$25:$F$57,$F104,Аренда!$G$25:$G$57,"Арендная и концессионная плата, лизинговые платежи")</f>
        <v>0</v>
      </c>
      <c r="BA104" s="190">
        <f ca="1">SUMIFS(Аренда!AZ$25:AZ$57,Аренда!$F$25:$F$57,$F104,Аренда!$G$25:$G$57,"Арендная и концессионная плата, лизинговые платежи")</f>
        <v>0</v>
      </c>
      <c r="BB104" s="190">
        <f ca="1">SUMIFS(Аренда!BA$25:BA$57,Аренда!$F$25:$F$57,$F104,Аренда!$G$25:$G$57,"Арендная и концессионная плата, лизинговые платежи")</f>
        <v>0</v>
      </c>
      <c r="BC104" s="190">
        <f ca="1">SUMIFS(Аренда!BB$25:BB$57,Аренда!$F$25:$F$57,$F104,Аренда!$G$25:$G$57,"Арендная и концессионная плата, лизинговые платежи")</f>
        <v>0</v>
      </c>
      <c r="BD104" s="190">
        <f t="shared" ca="1" si="10"/>
        <v>0</v>
      </c>
      <c r="BE104" s="190">
        <f t="shared" ca="1" si="11"/>
        <v>0</v>
      </c>
      <c r="BF104" s="190">
        <f t="shared" ca="1" si="12"/>
        <v>0</v>
      </c>
      <c r="BG104" s="190">
        <f t="shared" ca="1" si="13"/>
        <v>0</v>
      </c>
      <c r="BH104" s="190">
        <f t="shared" ca="1" si="14"/>
        <v>0</v>
      </c>
      <c r="BI104" s="190">
        <f t="shared" ca="1" si="15"/>
        <v>0</v>
      </c>
      <c r="BJ104" s="190">
        <f t="shared" ca="1" si="16"/>
        <v>0</v>
      </c>
      <c r="BK104" s="190">
        <f t="shared" ca="1" si="17"/>
        <v>0</v>
      </c>
      <c r="BL104" s="190">
        <f t="shared" ca="1" si="18"/>
        <v>0</v>
      </c>
      <c r="BM104" s="190">
        <f t="shared" ca="1" si="19"/>
        <v>0</v>
      </c>
      <c r="BN104" s="784"/>
      <c r="BO104" s="788" t="str">
        <f ca="1">IF(IFERROR(INDEX(Аренда!$K$26:$L$57,MATCH($F104&amp;"komm",Аренда!$K$26:$K$57,0),2),"")=0,"",IFERROR(INDEX(Аренда!$K$26:$L$57,MATCH($F104&amp;"komm",Аренда!$K$26:$K$57,0),2),""))</f>
        <v/>
      </c>
      <c r="BP104" s="784"/>
      <c r="BS104" s="705" t="s">
        <v>2099</v>
      </c>
    </row>
    <row r="105" spans="2:75" ht="14.65" hidden="1" customHeight="1">
      <c r="B105" s="341" t="b">
        <f>STATUS_GO="да"</f>
        <v>0</v>
      </c>
      <c r="E105" s="518">
        <v>15</v>
      </c>
      <c r="F105" s="3" cm="1">
        <f t="array" aca="1" ref="F105" ca="1">OFFSET(E105,-1,1)</f>
        <v>0</v>
      </c>
      <c r="I105" s="91" t="s">
        <v>2100</v>
      </c>
      <c r="K105" s="91" t="s">
        <v>2100</v>
      </c>
      <c r="L105" s="44"/>
      <c r="M105" s="44"/>
      <c r="T105" s="365" t="b" cm="1">
        <f t="array" aca="1" ref="T105" ca="1">T104</f>
        <v>0</v>
      </c>
      <c r="X105" s="1075"/>
      <c r="Z105" s="1065"/>
      <c r="AB105" s="152" t="s">
        <v>1512</v>
      </c>
      <c r="AC105" s="146" t="s">
        <v>2101</v>
      </c>
      <c r="AD105" s="26" t="s">
        <v>804</v>
      </c>
      <c r="AE105" s="787"/>
      <c r="AF105" s="787"/>
      <c r="AG105" s="787"/>
      <c r="AH105" s="190">
        <f t="shared" si="8"/>
        <v>0</v>
      </c>
      <c r="AI105" s="787"/>
      <c r="AJ105" s="787"/>
      <c r="AK105" s="787"/>
      <c r="AL105" s="787"/>
      <c r="AM105" s="787"/>
      <c r="AN105" s="787"/>
      <c r="AO105" s="787"/>
      <c r="AP105" s="787"/>
      <c r="AQ105" s="787"/>
      <c r="AR105" s="787"/>
      <c r="AS105" s="787"/>
      <c r="AT105" s="787"/>
      <c r="AU105" s="787"/>
      <c r="AV105" s="787"/>
      <c r="AW105" s="787"/>
      <c r="AX105" s="787"/>
      <c r="AY105" s="787"/>
      <c r="AZ105" s="787"/>
      <c r="BA105" s="787"/>
      <c r="BB105" s="787"/>
      <c r="BC105" s="787"/>
      <c r="BD105" s="190">
        <f t="shared" si="10"/>
        <v>0</v>
      </c>
      <c r="BE105" s="190">
        <f t="shared" si="11"/>
        <v>0</v>
      </c>
      <c r="BF105" s="190">
        <f t="shared" si="12"/>
        <v>0</v>
      </c>
      <c r="BG105" s="190">
        <f t="shared" si="13"/>
        <v>0</v>
      </c>
      <c r="BH105" s="190">
        <f t="shared" si="14"/>
        <v>0</v>
      </c>
      <c r="BI105" s="190">
        <f t="shared" si="15"/>
        <v>0</v>
      </c>
      <c r="BJ105" s="190">
        <f t="shared" si="16"/>
        <v>0</v>
      </c>
      <c r="BK105" s="190">
        <f t="shared" si="17"/>
        <v>0</v>
      </c>
      <c r="BL105" s="190">
        <f t="shared" si="18"/>
        <v>0</v>
      </c>
      <c r="BM105" s="190">
        <f t="shared" si="19"/>
        <v>0</v>
      </c>
      <c r="BN105" s="784"/>
      <c r="BO105" s="784"/>
      <c r="BP105" s="784"/>
      <c r="BS105" s="705" t="s">
        <v>2102</v>
      </c>
    </row>
    <row r="106" spans="2:75" ht="14.65" hidden="1" customHeight="1">
      <c r="B106" s="341" t="b">
        <f>STATUS_GO="да"</f>
        <v>0</v>
      </c>
      <c r="E106" s="518">
        <v>15</v>
      </c>
      <c r="F106" s="3" cm="1">
        <f t="array" aca="1" ref="F106" ca="1">OFFSET(E106,-1,1)</f>
        <v>0</v>
      </c>
      <c r="G106" s="91" t="s">
        <v>1454</v>
      </c>
      <c r="I106" s="91" t="s">
        <v>2103</v>
      </c>
      <c r="K106" s="91" t="s">
        <v>2103</v>
      </c>
      <c r="L106" s="44"/>
      <c r="M106" s="44"/>
      <c r="T106" s="365" t="b" cm="1">
        <f t="array" aca="1" ref="T106" ca="1">T105</f>
        <v>0</v>
      </c>
      <c r="X106" s="1075"/>
      <c r="Z106" s="1065"/>
      <c r="AB106" s="152" t="s">
        <v>2104</v>
      </c>
      <c r="AC106" s="153" t="s">
        <v>1454</v>
      </c>
      <c r="AD106" s="26" t="s">
        <v>804</v>
      </c>
      <c r="AE106" s="787"/>
      <c r="AF106" s="787"/>
      <c r="AG106" s="787"/>
      <c r="AH106" s="190">
        <f t="shared" si="8"/>
        <v>0</v>
      </c>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787"/>
      <c r="BD106" s="190">
        <f t="shared" si="10"/>
        <v>0</v>
      </c>
      <c r="BE106" s="190">
        <f t="shared" si="11"/>
        <v>0</v>
      </c>
      <c r="BF106" s="190">
        <f t="shared" si="12"/>
        <v>0</v>
      </c>
      <c r="BG106" s="190">
        <f t="shared" si="13"/>
        <v>0</v>
      </c>
      <c r="BH106" s="190">
        <f t="shared" si="14"/>
        <v>0</v>
      </c>
      <c r="BI106" s="190">
        <f t="shared" si="15"/>
        <v>0</v>
      </c>
      <c r="BJ106" s="190">
        <f t="shared" si="16"/>
        <v>0</v>
      </c>
      <c r="BK106" s="190">
        <f t="shared" si="17"/>
        <v>0</v>
      </c>
      <c r="BL106" s="190">
        <f t="shared" si="18"/>
        <v>0</v>
      </c>
      <c r="BM106" s="190">
        <f t="shared" si="19"/>
        <v>0</v>
      </c>
      <c r="BN106" s="784"/>
      <c r="BO106" s="788" t="str">
        <f ca="1">IF(IFERROR(INDEX('Сбытовые расходы ГО'!$K$26:$M$63,MATCH($F106&amp;"komm",'Сбытовые расходы ГО'!$K$26:$K$63,0),2),"")=0,"",IFERROR(INDEX('Сбытовые расходы ГО'!$K$26:$M$63,MATCH($F106&amp;"komm",'Сбытовые расходы ГО'!$K$26:$K$63,0),2),""))</f>
        <v/>
      </c>
      <c r="BP106" s="784"/>
      <c r="BS106" s="705" t="s">
        <v>2105</v>
      </c>
    </row>
    <row r="107" spans="2:75" ht="14.65" hidden="1" customHeight="1">
      <c r="E107" s="518">
        <v>15</v>
      </c>
      <c r="F107" s="3" cm="1">
        <f t="array" aca="1" ref="F107" ca="1">OFFSET(E107,-1,1)</f>
        <v>0</v>
      </c>
      <c r="G107" s="91" t="s">
        <v>1459</v>
      </c>
      <c r="I107" s="91" t="s">
        <v>2106</v>
      </c>
      <c r="K107" s="91" t="s">
        <v>2106</v>
      </c>
      <c r="L107" s="44"/>
      <c r="M107" s="44"/>
      <c r="T107" s="365" t="b" cm="1">
        <f t="array" aca="1" ref="T107" ca="1">T106</f>
        <v>0</v>
      </c>
      <c r="X107" s="1075"/>
      <c r="Z107" s="1065"/>
      <c r="AB107" s="152" t="s">
        <v>1517</v>
      </c>
      <c r="AC107" s="146" t="s">
        <v>1459</v>
      </c>
      <c r="AD107" s="26" t="s">
        <v>804</v>
      </c>
      <c r="AE107" s="787"/>
      <c r="AF107" s="787"/>
      <c r="AG107" s="787"/>
      <c r="AH107" s="190">
        <f t="shared" si="8"/>
        <v>0</v>
      </c>
      <c r="AI107" s="787"/>
      <c r="AJ107" s="787">
        <f ca="1">SUMIFS(Экономия_корр!AE$25:AE$51,Экономия_корр!$F$25:$F$51,$F107,Экономия_корр!$AC$25:$AC$51,"Экономия расходов с учетом ИПЦ")</f>
        <v>0</v>
      </c>
      <c r="AK107" s="787">
        <f ca="1">SUMIFS(Экономия_корр!AF$25:AF$51,Экономия_корр!$F$25:$F$51,$F107,Экономия_корр!$AC$25:$AC$51,"Экономия расходов с учетом ИПЦ")</f>
        <v>0</v>
      </c>
      <c r="AL107" s="787">
        <f ca="1">SUMIFS(Экономия_корр!AG$25:AG$51,Экономия_корр!$F$25:$F$51,$F107,Экономия_корр!$AC$25:$AC$51,"Экономия расходов с учетом ИПЦ")</f>
        <v>0</v>
      </c>
      <c r="AM107" s="787">
        <f ca="1">SUMIFS(Экономия_корр!AH$25:AH$51,Экономия_корр!$F$25:$F$51,$F107,Экономия_корр!$AC$25:$AC$51,"Экономия расходов с учетом ИПЦ")</f>
        <v>0</v>
      </c>
      <c r="AN107" s="787">
        <f ca="1">SUMIFS(Экономия_корр!AI$25:AI$51,Экономия_корр!$F$25:$F$51,$F107,Экономия_корр!$AC$25:$AC$51,"Экономия расходов с учетом ИПЦ")</f>
        <v>0</v>
      </c>
      <c r="AO107" s="787">
        <f ca="1">SUMIFS(Экономия_корр!AJ$25:AJ$51,Экономия_корр!$F$25:$F$51,$F107,Экономия_корр!$AC$25:$AC$51,"Экономия расходов с учетом ИПЦ")</f>
        <v>0</v>
      </c>
      <c r="AP107" s="787">
        <f ca="1">SUMIFS(Экономия_корр!AK$25:AK$51,Экономия_корр!$F$25:$F$51,$F107,Экономия_корр!$AC$25:$AC$51,"Экономия расходов с учетом ИПЦ")</f>
        <v>0</v>
      </c>
      <c r="AQ107" s="787">
        <f ca="1">SUMIFS(Экономия_корр!AL$25:AL$51,Экономия_корр!$F$25:$F$51,$F107,Экономия_корр!$AC$25:$AC$51,"Экономия расходов с учетом ИПЦ")</f>
        <v>0</v>
      </c>
      <c r="AR107" s="787">
        <f ca="1">SUMIFS(Экономия_корр!AM$25:AM$51,Экономия_корр!$F$25:$F$51,$F107,Экономия_корр!$AC$25:$AC$51,"Экономия расходов с учетом ИПЦ")</f>
        <v>0</v>
      </c>
      <c r="AS107" s="787">
        <f ca="1">SUMIFS(Экономия_корр!AN$25:AN$51,Экономия_корр!$F$25:$F$51,$F107,Экономия_корр!$AC$25:$AC$51,"Экономия расходов с учетом ИПЦ")</f>
        <v>0</v>
      </c>
      <c r="AT107" s="787">
        <f ca="1">SUMIFS(Экономия_корр!AO$25:AO$51,Экономия_корр!$F$25:$F$51,$F107,Экономия_корр!$AC$25:$AC$51,"Экономия расходов с учетом ИПЦ")</f>
        <v>0</v>
      </c>
      <c r="AU107" s="787">
        <f ca="1">SUMIFS(Экономия_корр!AP$25:AP$51,Экономия_корр!$F$25:$F$51,$F107,Экономия_корр!$AC$25:$AC$51,"Экономия расходов с учетом ИПЦ")</f>
        <v>0</v>
      </c>
      <c r="AV107" s="787">
        <f ca="1">SUMIFS(Экономия_корр!AQ$25:AQ$51,Экономия_корр!$F$25:$F$51,$F107,Экономия_корр!$AC$25:$AC$51,"Экономия расходов с учетом ИПЦ")</f>
        <v>0</v>
      </c>
      <c r="AW107" s="787">
        <f ca="1">SUMIFS(Экономия_корр!AR$25:AR$51,Экономия_корр!$F$25:$F$51,$F107,Экономия_корр!$AC$25:$AC$51,"Экономия расходов с учетом ИПЦ")</f>
        <v>0</v>
      </c>
      <c r="AX107" s="787">
        <f ca="1">SUMIFS(Экономия_корр!AS$25:AS$51,Экономия_корр!$F$25:$F$51,$F107,Экономия_корр!$AC$25:$AC$51,"Экономия расходов с учетом ИПЦ")</f>
        <v>0</v>
      </c>
      <c r="AY107" s="787">
        <f ca="1">SUMIFS(Экономия_корр!AT$25:AT$51,Экономия_корр!$F$25:$F$51,$F107,Экономия_корр!$AC$25:$AC$51,"Экономия расходов с учетом ИПЦ")</f>
        <v>0</v>
      </c>
      <c r="AZ107" s="787">
        <f ca="1">SUMIFS(Экономия_корр!AU$25:AU$51,Экономия_корр!$F$25:$F$51,$F107,Экономия_корр!$AC$25:$AC$51,"Экономия расходов с учетом ИПЦ")</f>
        <v>0</v>
      </c>
      <c r="BA107" s="787">
        <f ca="1">SUMIFS(Экономия_корр!AV$25:AV$51,Экономия_корр!$F$25:$F$51,$F107,Экономия_корр!$AC$25:$AC$51,"Экономия расходов с учетом ИПЦ")</f>
        <v>0</v>
      </c>
      <c r="BB107" s="787">
        <f ca="1">SUMIFS(Экономия_корр!AW$25:AW$51,Экономия_корр!$F$25:$F$51,$F107,Экономия_корр!$AC$25:$AC$51,"Экономия расходов с учетом ИПЦ")</f>
        <v>0</v>
      </c>
      <c r="BC107" s="787">
        <f ca="1">SUMIFS(Экономия_корр!AX$25:AX$51,Экономия_корр!$F$25:$F$51,$F107,Экономия_корр!$AC$25:$AC$51,"Экономия расходов с учетом ИПЦ")</f>
        <v>0</v>
      </c>
      <c r="BD107" s="190">
        <f t="shared" si="10"/>
        <v>0</v>
      </c>
      <c r="BE107" s="190">
        <f t="shared" ca="1" si="11"/>
        <v>0</v>
      </c>
      <c r="BF107" s="190">
        <f t="shared" ca="1" si="12"/>
        <v>0</v>
      </c>
      <c r="BG107" s="190">
        <f t="shared" ca="1" si="13"/>
        <v>0</v>
      </c>
      <c r="BH107" s="190">
        <f t="shared" ca="1" si="14"/>
        <v>0</v>
      </c>
      <c r="BI107" s="190">
        <f t="shared" ca="1" si="15"/>
        <v>0</v>
      </c>
      <c r="BJ107" s="190">
        <f t="shared" ca="1" si="16"/>
        <v>0</v>
      </c>
      <c r="BK107" s="190">
        <f t="shared" ca="1" si="17"/>
        <v>0</v>
      </c>
      <c r="BL107" s="190">
        <f t="shared" ca="1" si="18"/>
        <v>0</v>
      </c>
      <c r="BM107" s="190">
        <f t="shared" ca="1" si="19"/>
        <v>0</v>
      </c>
      <c r="BN107" s="784"/>
      <c r="BO107" s="784"/>
      <c r="BP107" s="784"/>
      <c r="BS107" s="705" t="s">
        <v>2107</v>
      </c>
    </row>
    <row r="108" spans="2:75" ht="14.65" hidden="1" customHeight="1">
      <c r="E108" s="518">
        <v>15</v>
      </c>
      <c r="F108" s="3" cm="1">
        <f t="array" aca="1" ref="F108" ca="1">OFFSET(E108,-1,1)</f>
        <v>0</v>
      </c>
      <c r="G108" s="91" t="s">
        <v>1464</v>
      </c>
      <c r="I108" s="91" t="s">
        <v>2108</v>
      </c>
      <c r="K108" s="91" t="s">
        <v>2108</v>
      </c>
      <c r="L108" s="44"/>
      <c r="M108" s="44"/>
      <c r="T108" s="365" t="b" cm="1">
        <f t="array" aca="1" ref="T108" ca="1">T107</f>
        <v>0</v>
      </c>
      <c r="X108" s="1075"/>
      <c r="Z108" s="1065"/>
      <c r="AB108" s="152" t="s">
        <v>2109</v>
      </c>
      <c r="AC108" s="146" t="s">
        <v>1464</v>
      </c>
      <c r="AD108" s="26" t="s">
        <v>804</v>
      </c>
      <c r="AE108" s="787"/>
      <c r="AF108" s="787"/>
      <c r="AG108" s="787"/>
      <c r="AH108" s="190">
        <f t="shared" si="8"/>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190">
        <f t="shared" si="10"/>
        <v>0</v>
      </c>
      <c r="BE108" s="190">
        <f t="shared" si="11"/>
        <v>0</v>
      </c>
      <c r="BF108" s="190">
        <f t="shared" si="12"/>
        <v>0</v>
      </c>
      <c r="BG108" s="190">
        <f t="shared" si="13"/>
        <v>0</v>
      </c>
      <c r="BH108" s="190">
        <f t="shared" si="14"/>
        <v>0</v>
      </c>
      <c r="BI108" s="190">
        <f t="shared" si="15"/>
        <v>0</v>
      </c>
      <c r="BJ108" s="190">
        <f t="shared" si="16"/>
        <v>0</v>
      </c>
      <c r="BK108" s="190">
        <f t="shared" si="17"/>
        <v>0</v>
      </c>
      <c r="BL108" s="190">
        <f t="shared" si="18"/>
        <v>0</v>
      </c>
      <c r="BM108" s="190">
        <f t="shared" si="19"/>
        <v>0</v>
      </c>
      <c r="BN108" s="784"/>
      <c r="BO108" s="784"/>
      <c r="BP108" s="784"/>
      <c r="BS108" s="705" t="s">
        <v>1838</v>
      </c>
    </row>
    <row r="109" spans="2:75" ht="14.65" hidden="1" customHeight="1">
      <c r="E109" s="518">
        <v>15</v>
      </c>
      <c r="F109" s="3" cm="1">
        <f t="array" aca="1" ref="F109" ca="1">OFFSET(E109,-1,1)</f>
        <v>0</v>
      </c>
      <c r="G109" s="91" t="s">
        <v>1469</v>
      </c>
      <c r="I109" s="91" t="s">
        <v>2110</v>
      </c>
      <c r="K109" s="91" t="s">
        <v>2110</v>
      </c>
      <c r="L109" s="44"/>
      <c r="M109" s="44"/>
      <c r="T109" s="365" t="b" cm="1">
        <f t="array" aca="1" ref="T109" ca="1">T108</f>
        <v>0</v>
      </c>
      <c r="X109" s="1075"/>
      <c r="Z109" s="1065"/>
      <c r="AB109" s="152" t="s">
        <v>1536</v>
      </c>
      <c r="AC109" s="146" t="s">
        <v>1469</v>
      </c>
      <c r="AD109" s="26" t="s">
        <v>804</v>
      </c>
      <c r="AE109" s="787"/>
      <c r="AF109" s="787"/>
      <c r="AG109" s="787"/>
      <c r="AH109" s="190">
        <f t="shared" si="8"/>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190">
        <f t="shared" si="10"/>
        <v>0</v>
      </c>
      <c r="BE109" s="190">
        <f t="shared" si="11"/>
        <v>0</v>
      </c>
      <c r="BF109" s="190">
        <f t="shared" si="12"/>
        <v>0</v>
      </c>
      <c r="BG109" s="190">
        <f t="shared" si="13"/>
        <v>0</v>
      </c>
      <c r="BH109" s="190">
        <f t="shared" si="14"/>
        <v>0</v>
      </c>
      <c r="BI109" s="190">
        <f t="shared" si="15"/>
        <v>0</v>
      </c>
      <c r="BJ109" s="190">
        <f t="shared" si="16"/>
        <v>0</v>
      </c>
      <c r="BK109" s="190">
        <f t="shared" si="17"/>
        <v>0</v>
      </c>
      <c r="BL109" s="190">
        <f t="shared" si="18"/>
        <v>0</v>
      </c>
      <c r="BM109" s="190">
        <f t="shared" si="19"/>
        <v>0</v>
      </c>
      <c r="BN109" s="784"/>
      <c r="BO109" s="784"/>
      <c r="BP109" s="784"/>
      <c r="BS109" s="705" t="s">
        <v>2111</v>
      </c>
    </row>
    <row r="110" spans="2:75" ht="14.65" hidden="1" customHeight="1">
      <c r="E110" s="518">
        <v>15</v>
      </c>
      <c r="F110" s="3" cm="1">
        <f t="array" aca="1" ref="F110" ca="1">OFFSET(E110,-1,1)</f>
        <v>0</v>
      </c>
      <c r="G110" s="91" t="s">
        <v>1474</v>
      </c>
      <c r="I110" s="91" t="s">
        <v>2112</v>
      </c>
      <c r="K110" s="91" t="s">
        <v>2112</v>
      </c>
      <c r="L110" s="44"/>
      <c r="M110" s="44"/>
      <c r="T110" s="365" t="b" cm="1">
        <f t="array" aca="1" ref="T110" ca="1">T109</f>
        <v>0</v>
      </c>
      <c r="X110" s="1075"/>
      <c r="Z110" s="1065"/>
      <c r="AB110" s="152" t="s">
        <v>1540</v>
      </c>
      <c r="AC110" s="146" t="s">
        <v>1474</v>
      </c>
      <c r="AD110" s="26" t="s">
        <v>804</v>
      </c>
      <c r="AE110" s="190">
        <f>SUM(AE111,AE112)</f>
        <v>0</v>
      </c>
      <c r="AF110" s="190">
        <f>SUM(AF111,AF112)</f>
        <v>0</v>
      </c>
      <c r="AG110" s="190">
        <f>SUM(AG111,AG112)</f>
        <v>0</v>
      </c>
      <c r="AH110" s="190">
        <f t="shared" si="8"/>
        <v>0</v>
      </c>
      <c r="AI110" s="190">
        <f t="shared" ref="AI110:BC110" si="22">SUM(AI111,AI112)</f>
        <v>0</v>
      </c>
      <c r="AJ110" s="190">
        <f t="shared" si="22"/>
        <v>0</v>
      </c>
      <c r="AK110" s="190">
        <f t="shared" si="22"/>
        <v>0</v>
      </c>
      <c r="AL110" s="190">
        <f t="shared" si="22"/>
        <v>0</v>
      </c>
      <c r="AM110" s="190">
        <f t="shared" si="22"/>
        <v>0</v>
      </c>
      <c r="AN110" s="190">
        <f t="shared" si="22"/>
        <v>0</v>
      </c>
      <c r="AO110" s="190">
        <f t="shared" si="22"/>
        <v>0</v>
      </c>
      <c r="AP110" s="190">
        <f t="shared" si="22"/>
        <v>0</v>
      </c>
      <c r="AQ110" s="190">
        <f t="shared" si="22"/>
        <v>0</v>
      </c>
      <c r="AR110" s="190">
        <f t="shared" si="22"/>
        <v>0</v>
      </c>
      <c r="AS110" s="190">
        <f t="shared" si="22"/>
        <v>0</v>
      </c>
      <c r="AT110" s="190">
        <f t="shared" si="22"/>
        <v>0</v>
      </c>
      <c r="AU110" s="190">
        <f t="shared" si="22"/>
        <v>0</v>
      </c>
      <c r="AV110" s="190">
        <f t="shared" si="22"/>
        <v>0</v>
      </c>
      <c r="AW110" s="190">
        <f t="shared" si="22"/>
        <v>0</v>
      </c>
      <c r="AX110" s="190">
        <f t="shared" si="22"/>
        <v>0</v>
      </c>
      <c r="AY110" s="190">
        <f t="shared" si="22"/>
        <v>0</v>
      </c>
      <c r="AZ110" s="190">
        <f t="shared" si="22"/>
        <v>0</v>
      </c>
      <c r="BA110" s="190">
        <f t="shared" si="22"/>
        <v>0</v>
      </c>
      <c r="BB110" s="190">
        <f t="shared" si="22"/>
        <v>0</v>
      </c>
      <c r="BC110" s="190">
        <f t="shared" si="22"/>
        <v>0</v>
      </c>
      <c r="BD110" s="190">
        <f t="shared" si="10"/>
        <v>0</v>
      </c>
      <c r="BE110" s="190">
        <f t="shared" si="11"/>
        <v>0</v>
      </c>
      <c r="BF110" s="190">
        <f t="shared" si="12"/>
        <v>0</v>
      </c>
      <c r="BG110" s="190">
        <f t="shared" si="13"/>
        <v>0</v>
      </c>
      <c r="BH110" s="190">
        <f t="shared" si="14"/>
        <v>0</v>
      </c>
      <c r="BI110" s="190">
        <f t="shared" si="15"/>
        <v>0</v>
      </c>
      <c r="BJ110" s="190">
        <f t="shared" si="16"/>
        <v>0</v>
      </c>
      <c r="BK110" s="190">
        <f t="shared" si="17"/>
        <v>0</v>
      </c>
      <c r="BL110" s="190">
        <f t="shared" si="18"/>
        <v>0</v>
      </c>
      <c r="BM110" s="190">
        <f t="shared" si="19"/>
        <v>0</v>
      </c>
      <c r="BN110" s="784"/>
      <c r="BO110" s="784"/>
      <c r="BP110" s="784"/>
      <c r="BS110" s="705" t="s">
        <v>2113</v>
      </c>
    </row>
    <row r="111" spans="2:75" ht="14.65" hidden="1" customHeight="1">
      <c r="E111" s="518">
        <v>15</v>
      </c>
      <c r="F111" s="3" cm="1">
        <f t="array" aca="1" ref="F111" ca="1">OFFSET(E111,-1,1)</f>
        <v>0</v>
      </c>
      <c r="I111" s="91" t="s">
        <v>2114</v>
      </c>
      <c r="K111" s="91" t="s">
        <v>2114</v>
      </c>
      <c r="L111" s="44"/>
      <c r="M111" s="44"/>
      <c r="T111" s="365" t="b" cm="1">
        <f t="array" aca="1" ref="T111" ca="1">T110</f>
        <v>0</v>
      </c>
      <c r="X111" s="1075"/>
      <c r="Z111" s="1065"/>
      <c r="AB111" s="152" t="s">
        <v>2115</v>
      </c>
      <c r="AC111" s="153" t="s">
        <v>2116</v>
      </c>
      <c r="AD111" s="26" t="s">
        <v>804</v>
      </c>
      <c r="AE111" s="787"/>
      <c r="AF111" s="787"/>
      <c r="AG111" s="787"/>
      <c r="AH111" s="190">
        <f t="shared" si="8"/>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190">
        <f t="shared" si="10"/>
        <v>0</v>
      </c>
      <c r="BE111" s="190">
        <f t="shared" si="11"/>
        <v>0</v>
      </c>
      <c r="BF111" s="190">
        <f t="shared" si="12"/>
        <v>0</v>
      </c>
      <c r="BG111" s="190">
        <f t="shared" si="13"/>
        <v>0</v>
      </c>
      <c r="BH111" s="190">
        <f t="shared" si="14"/>
        <v>0</v>
      </c>
      <c r="BI111" s="190">
        <f t="shared" si="15"/>
        <v>0</v>
      </c>
      <c r="BJ111" s="190">
        <f t="shared" si="16"/>
        <v>0</v>
      </c>
      <c r="BK111" s="190">
        <f t="shared" si="17"/>
        <v>0</v>
      </c>
      <c r="BL111" s="190">
        <f t="shared" si="18"/>
        <v>0</v>
      </c>
      <c r="BM111" s="190">
        <f t="shared" si="19"/>
        <v>0</v>
      </c>
      <c r="BN111" s="784"/>
      <c r="BO111" s="784"/>
      <c r="BP111" s="784"/>
      <c r="BS111" s="705" t="s">
        <v>1262</v>
      </c>
    </row>
    <row r="112" spans="2:75" ht="14.65" hidden="1" customHeight="1">
      <c r="E112" s="518">
        <v>15</v>
      </c>
      <c r="F112" s="3" cm="1">
        <f t="array" aca="1" ref="F112" ca="1">OFFSET(E112,-1,1)</f>
        <v>0</v>
      </c>
      <c r="I112" s="91" t="s">
        <v>2117</v>
      </c>
      <c r="K112" s="91" t="s">
        <v>2117</v>
      </c>
      <c r="L112" s="44" t="s">
        <v>909</v>
      </c>
      <c r="M112" s="44"/>
      <c r="T112" s="365" t="b" cm="1">
        <f t="array" aca="1" ref="T112" ca="1">T111</f>
        <v>0</v>
      </c>
      <c r="X112" s="1075"/>
      <c r="Z112" s="1065"/>
      <c r="AB112" s="152" t="s">
        <v>2118</v>
      </c>
      <c r="AC112" s="153" t="s">
        <v>2119</v>
      </c>
      <c r="AD112" s="26" t="s">
        <v>804</v>
      </c>
      <c r="AE112" s="787"/>
      <c r="AF112" s="787"/>
      <c r="AG112" s="787"/>
      <c r="AH112" s="190">
        <f t="shared" si="8"/>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190">
        <f t="shared" si="10"/>
        <v>0</v>
      </c>
      <c r="BE112" s="190">
        <f t="shared" si="11"/>
        <v>0</v>
      </c>
      <c r="BF112" s="190">
        <f t="shared" si="12"/>
        <v>0</v>
      </c>
      <c r="BG112" s="190">
        <f t="shared" si="13"/>
        <v>0</v>
      </c>
      <c r="BH112" s="190">
        <f t="shared" si="14"/>
        <v>0</v>
      </c>
      <c r="BI112" s="190">
        <f t="shared" si="15"/>
        <v>0</v>
      </c>
      <c r="BJ112" s="190">
        <f t="shared" si="16"/>
        <v>0</v>
      </c>
      <c r="BK112" s="190">
        <f t="shared" si="17"/>
        <v>0</v>
      </c>
      <c r="BL112" s="190">
        <f t="shared" si="18"/>
        <v>0</v>
      </c>
      <c r="BM112" s="190">
        <f t="shared" si="19"/>
        <v>0</v>
      </c>
      <c r="BN112" s="784"/>
      <c r="BO112" s="784"/>
      <c r="BP112" s="784"/>
      <c r="BS112" s="705" t="s">
        <v>2120</v>
      </c>
    </row>
    <row r="113" spans="2:75" ht="21.95" hidden="1" customHeight="1">
      <c r="E113" s="518">
        <v>22.5</v>
      </c>
      <c r="F113" s="3" cm="1">
        <f t="array" aca="1" ref="F113" ca="1">OFFSET(E113,-1,1)</f>
        <v>0</v>
      </c>
      <c r="G113" s="91" t="s">
        <v>1479</v>
      </c>
      <c r="I113" s="91" t="s">
        <v>2121</v>
      </c>
      <c r="K113" s="91" t="s">
        <v>2121</v>
      </c>
      <c r="L113" s="44"/>
      <c r="M113" s="44"/>
      <c r="T113" s="365" t="b" cm="1">
        <f t="array" aca="1" ref="T113" ca="1">T112</f>
        <v>0</v>
      </c>
      <c r="X113" s="1075"/>
      <c r="Z113" s="1065"/>
      <c r="AB113" s="152" t="s">
        <v>1543</v>
      </c>
      <c r="AC113" s="146" t="s">
        <v>2122</v>
      </c>
      <c r="AD113" s="26" t="s">
        <v>804</v>
      </c>
      <c r="AE113" s="787"/>
      <c r="AF113" s="787"/>
      <c r="AG113" s="787"/>
      <c r="AH113" s="190">
        <f t="shared" si="8"/>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190">
        <f t="shared" si="10"/>
        <v>0</v>
      </c>
      <c r="BE113" s="190">
        <f t="shared" si="11"/>
        <v>0</v>
      </c>
      <c r="BF113" s="190">
        <f t="shared" si="12"/>
        <v>0</v>
      </c>
      <c r="BG113" s="190">
        <f t="shared" si="13"/>
        <v>0</v>
      </c>
      <c r="BH113" s="190">
        <f t="shared" si="14"/>
        <v>0</v>
      </c>
      <c r="BI113" s="190">
        <f t="shared" si="15"/>
        <v>0</v>
      </c>
      <c r="BJ113" s="190">
        <f t="shared" si="16"/>
        <v>0</v>
      </c>
      <c r="BK113" s="190">
        <f t="shared" si="17"/>
        <v>0</v>
      </c>
      <c r="BL113" s="190">
        <f t="shared" si="18"/>
        <v>0</v>
      </c>
      <c r="BM113" s="190">
        <f t="shared" si="19"/>
        <v>0</v>
      </c>
      <c r="BN113" s="784"/>
      <c r="BO113" s="784"/>
      <c r="BP113" s="784"/>
      <c r="BS113" s="705" t="s">
        <v>2123</v>
      </c>
    </row>
    <row r="114" spans="2:75" s="95" customFormat="1" ht="20.45" hidden="1" customHeight="1">
      <c r="B114" s="344"/>
      <c r="E114" s="522">
        <v>21</v>
      </c>
      <c r="F114" s="3" cm="1">
        <f t="array" aca="1" ref="F114" ca="1">OFFSET(E114,-1,1)</f>
        <v>0</v>
      </c>
      <c r="G114" s="91" t="s">
        <v>2124</v>
      </c>
      <c r="H114" s="91"/>
      <c r="I114" s="91" t="s">
        <v>329</v>
      </c>
      <c r="K114" s="91" t="s">
        <v>329</v>
      </c>
      <c r="L114" s="46" t="s">
        <v>1336</v>
      </c>
      <c r="M114" s="46"/>
      <c r="T114" s="365" t="b" cm="1">
        <f t="array" aca="1" ref="T114" ca="1">T113</f>
        <v>0</v>
      </c>
      <c r="X114" s="1075"/>
      <c r="Z114" s="1065"/>
      <c r="AB114" s="150" t="s">
        <v>325</v>
      </c>
      <c r="AC114" s="144" t="s">
        <v>2125</v>
      </c>
      <c r="AD114" s="143" t="s">
        <v>804</v>
      </c>
      <c r="AE114" s="145">
        <f ca="1">SUMIFS(ЭЭ!AE$25:AE$109,ЭЭ!$F$25:$F$109,$F114,ЭЭ!$AC$25:$AC$109,"Всего по тарифу")</f>
        <v>0</v>
      </c>
      <c r="AF114" s="145">
        <f ca="1">SUMIFS(ЭЭ!AF$25:AF$109,ЭЭ!$F$25:$F$109,$F114,ЭЭ!$AC$25:$AC$109,"Всего по тарифу")</f>
        <v>0</v>
      </c>
      <c r="AG114" s="145">
        <f ca="1">SUMIFS(ЭЭ!AG$25:AG$109,ЭЭ!$F$25:$F$109,$F114,ЭЭ!$AC$25:$AC$109,"Всего по тарифу")</f>
        <v>0</v>
      </c>
      <c r="AH114" s="145">
        <f t="shared" ca="1" si="8"/>
        <v>0</v>
      </c>
      <c r="AI114" s="145">
        <f ca="1">SUMIFS(ЭЭ!AH$25:AH$109,ЭЭ!$F$25:$F$109,$F114,ЭЭ!$AC$25:$AC$109,"Всего по тарифу")</f>
        <v>0</v>
      </c>
      <c r="AJ114" s="145">
        <f ca="1">SUMIFS(ЭЭ!AI$25:AI$109,ЭЭ!$F$25:$F$109,$F114,ЭЭ!$AC$25:$AC$109,"Всего по тарифу")</f>
        <v>0</v>
      </c>
      <c r="AK114" s="145">
        <f ca="1">SUMIFS(ЭЭ!AJ$25:AJ$109,ЭЭ!$F$25:$F$109,$F114,ЭЭ!$AC$25:$AC$109,"Всего по тарифу")</f>
        <v>0</v>
      </c>
      <c r="AL114" s="145">
        <f ca="1">SUMIFS(ЭЭ!AK$25:AK$109,ЭЭ!$F$25:$F$109,$F114,ЭЭ!$AC$25:$AC$109,"Всего по тарифу")</f>
        <v>0</v>
      </c>
      <c r="AM114" s="145">
        <f ca="1">SUMIFS(ЭЭ!AL$25:AL$109,ЭЭ!$F$25:$F$109,$F114,ЭЭ!$AC$25:$AC$109,"Всего по тарифу")</f>
        <v>0</v>
      </c>
      <c r="AN114" s="145">
        <f ca="1">SUMIFS(ЭЭ!AM$25:AM$109,ЭЭ!$F$25:$F$109,$F114,ЭЭ!$AC$25:$AC$109,"Всего по тарифу")</f>
        <v>0</v>
      </c>
      <c r="AO114" s="145">
        <f ca="1">SUMIFS(ЭЭ!AN$25:AN$109,ЭЭ!$F$25:$F$109,$F114,ЭЭ!$AC$25:$AC$109,"Всего по тарифу")</f>
        <v>0</v>
      </c>
      <c r="AP114" s="145">
        <f ca="1">SUMIFS(ЭЭ!AO$25:AO$109,ЭЭ!$F$25:$F$109,$F114,ЭЭ!$AC$25:$AC$109,"Всего по тарифу")</f>
        <v>0</v>
      </c>
      <c r="AQ114" s="145">
        <f ca="1">SUMIFS(ЭЭ!AP$25:AP$109,ЭЭ!$F$25:$F$109,$F114,ЭЭ!$AC$25:$AC$109,"Всего по тарифу")</f>
        <v>0</v>
      </c>
      <c r="AR114" s="145">
        <f ca="1">SUMIFS(ЭЭ!AQ$25:AQ$109,ЭЭ!$F$25:$F$109,$F114,ЭЭ!$AC$25:$AC$109,"Всего по тарифу")</f>
        <v>0</v>
      </c>
      <c r="AS114" s="145">
        <f ca="1">SUMIFS(ЭЭ!AR$25:AR$109,ЭЭ!$F$25:$F$109,$F114,ЭЭ!$AC$25:$AC$109,"Всего по тарифу")</f>
        <v>0</v>
      </c>
      <c r="AT114" s="145">
        <f ca="1">SUMIFS(ЭЭ!AS$25:AS$109,ЭЭ!$F$25:$F$109,$F114,ЭЭ!$AC$25:$AC$109,"Всего по тарифу")</f>
        <v>0</v>
      </c>
      <c r="AU114" s="145">
        <f ca="1">SUMIFS(ЭЭ!AT$25:AT$109,ЭЭ!$F$25:$F$109,$F114,ЭЭ!$AC$25:$AC$109,"Всего по тарифу")</f>
        <v>0</v>
      </c>
      <c r="AV114" s="145">
        <f ca="1">SUMIFS(ЭЭ!AU$25:AU$109,ЭЭ!$F$25:$F$109,$F114,ЭЭ!$AC$25:$AC$109,"Всего по тарифу")</f>
        <v>0</v>
      </c>
      <c r="AW114" s="145">
        <f ca="1">SUMIFS(ЭЭ!AV$25:AV$109,ЭЭ!$F$25:$F$109,$F114,ЭЭ!$AC$25:$AC$109,"Всего по тарифу")</f>
        <v>0</v>
      </c>
      <c r="AX114" s="145">
        <f ca="1">SUMIFS(ЭЭ!AW$25:AW$109,ЭЭ!$F$25:$F$109,$F114,ЭЭ!$AC$25:$AC$109,"Всего по тарифу")</f>
        <v>0</v>
      </c>
      <c r="AY114" s="145">
        <f ca="1">SUMIFS(ЭЭ!AX$25:AX$109,ЭЭ!$F$25:$F$109,$F114,ЭЭ!$AC$25:$AC$109,"Всего по тарифу")</f>
        <v>0</v>
      </c>
      <c r="AZ114" s="145">
        <f ca="1">SUMIFS(ЭЭ!AY$25:AY$109,ЭЭ!$F$25:$F$109,$F114,ЭЭ!$AC$25:$AC$109,"Всего по тарифу")</f>
        <v>0</v>
      </c>
      <c r="BA114" s="145">
        <f ca="1">SUMIFS(ЭЭ!AZ$25:AZ$109,ЭЭ!$F$25:$F$109,$F114,ЭЭ!$AC$25:$AC$109,"Всего по тарифу")</f>
        <v>0</v>
      </c>
      <c r="BB114" s="145">
        <f ca="1">SUMIFS(ЭЭ!BA$25:BA$109,ЭЭ!$F$25:$F$109,$F114,ЭЭ!$AC$25:$AC$109,"Всего по тарифу")</f>
        <v>0</v>
      </c>
      <c r="BC114" s="145">
        <f ca="1">SUMIFS(ЭЭ!BB$25:BB$109,ЭЭ!$F$25:$F$109,$F114,ЭЭ!$AC$25:$AC$109,"Всего по тарифу")</f>
        <v>0</v>
      </c>
      <c r="BD114" s="145">
        <f t="shared" ca="1" si="10"/>
        <v>0</v>
      </c>
      <c r="BE114" s="145">
        <f t="shared" ca="1" si="11"/>
        <v>0</v>
      </c>
      <c r="BF114" s="145">
        <f t="shared" ca="1" si="12"/>
        <v>0</v>
      </c>
      <c r="BG114" s="145">
        <f t="shared" ca="1" si="13"/>
        <v>0</v>
      </c>
      <c r="BH114" s="145">
        <f t="shared" ca="1" si="14"/>
        <v>0</v>
      </c>
      <c r="BI114" s="145">
        <f t="shared" ca="1" si="15"/>
        <v>0</v>
      </c>
      <c r="BJ114" s="145">
        <f t="shared" ca="1" si="16"/>
        <v>0</v>
      </c>
      <c r="BK114" s="145">
        <f t="shared" ca="1" si="17"/>
        <v>0</v>
      </c>
      <c r="BL114" s="145">
        <f t="shared" ca="1" si="18"/>
        <v>0</v>
      </c>
      <c r="BM114" s="145">
        <f t="shared" ca="1" si="19"/>
        <v>0</v>
      </c>
      <c r="BN114" s="784"/>
      <c r="BO114" s="788" t="str">
        <f ca="1">IF(IFERROR(INDEX(ЭЭ!$K$26:$L$109,MATCH($F114&amp;"komm",ЭЭ!$K$26:$K$109,0),2),"")=0,"",IFERROR(INDEX(ЭЭ!$K$26:$L$109,MATCH($F114&amp;"komm",ЭЭ!$K$26:$K$109,0),2),""))</f>
        <v/>
      </c>
      <c r="BP114" s="784"/>
      <c r="BS114" s="711" t="s">
        <v>1733</v>
      </c>
      <c r="BT114" s="711"/>
      <c r="BU114" s="711"/>
      <c r="BV114" s="522"/>
      <c r="BW114" s="522"/>
    </row>
    <row r="115" spans="2:75" s="95" customFormat="1" ht="21.95" hidden="1" customHeight="1">
      <c r="B115" s="95" t="b">
        <f>method_reg="Метод индексации"</f>
        <v>1</v>
      </c>
      <c r="E115" s="522">
        <v>22.5</v>
      </c>
      <c r="F115" s="3" cm="1">
        <f t="array" aca="1" ref="F115" ca="1">OFFSET(E115,-1,1)</f>
        <v>0</v>
      </c>
      <c r="G115" s="91" t="s">
        <v>1501</v>
      </c>
      <c r="H115" s="91"/>
      <c r="I115" s="91" t="s">
        <v>331</v>
      </c>
      <c r="K115" s="91" t="s">
        <v>331</v>
      </c>
      <c r="L115" s="46" t="s">
        <v>330</v>
      </c>
      <c r="M115" s="46"/>
      <c r="T115" s="365" t="b" cm="1">
        <f t="array" aca="1" ref="T115" ca="1">T114</f>
        <v>0</v>
      </c>
      <c r="X115" s="1075"/>
      <c r="Z115" s="1065"/>
      <c r="AB115" s="150" t="s">
        <v>433</v>
      </c>
      <c r="AC115" s="144" t="s">
        <v>2126</v>
      </c>
      <c r="AD115" s="143" t="s">
        <v>804</v>
      </c>
      <c r="AE115" s="145">
        <f ca="1">SUMIFS(Амортизация!AE$25:AE$174,Амортизация!$F$25:$F$174,$F115,Амортизация!$AC$25:$AC$174,"Сумма амортизационных отчислений")</f>
        <v>0</v>
      </c>
      <c r="AF115" s="145">
        <f ca="1">SUMIFS(Амортизация!AF$25:AF$174,Амортизация!$F$25:$F$174,$F115,Амортизация!$AC$25:$AC$174,"Сумма амортизационных отчислений")</f>
        <v>0</v>
      </c>
      <c r="AG115" s="145">
        <f ca="1">SUMIFS(Амортизация!AG$25:AG$174,Амортизация!$F$25:$F$174,$F115,Амортизация!$AC$25:$AC$174,"Сумма амортизационных отчислений")</f>
        <v>0</v>
      </c>
      <c r="AH115" s="145">
        <f t="shared" ca="1" si="8"/>
        <v>0</v>
      </c>
      <c r="AI115" s="145">
        <f ca="1">SUMIFS(Амортизация!AH$25:AH$174,Амортизация!$F$25:$F$174,$F115,Амортизация!$AC$25:$AC$174,"Сумма амортизационных отчислений")</f>
        <v>0</v>
      </c>
      <c r="AJ115" s="145">
        <f ca="1">SUMIFS(Амортизация!AI$25:AI$174,Амортизация!$F$25:$F$174,$F115,Амортизация!$AC$25:$AC$174,"Сумма амортизационных отчислений")</f>
        <v>0</v>
      </c>
      <c r="AK115" s="145">
        <f ca="1">SUMIFS(Амортизация!AJ$25:AJ$174,Амортизация!$F$25:$F$174,$F115,Амортизация!$AC$25:$AC$174,"Сумма амортизационных отчислений")</f>
        <v>0</v>
      </c>
      <c r="AL115" s="145">
        <f ca="1">SUMIFS(Амортизация!AK$25:AK$174,Амортизация!$F$25:$F$174,$F115,Амортизация!$AC$25:$AC$174,"Сумма амортизационных отчислений")</f>
        <v>0</v>
      </c>
      <c r="AM115" s="145">
        <f ca="1">SUMIFS(Амортизация!AL$25:AL$174,Амортизация!$F$25:$F$174,$F115,Амортизация!$AC$25:$AC$174,"Сумма амортизационных отчислений")</f>
        <v>0</v>
      </c>
      <c r="AN115" s="145">
        <f ca="1">SUMIFS(Амортизация!AM$25:AM$174,Амортизация!$F$25:$F$174,$F115,Амортизация!$AC$25:$AC$174,"Сумма амортизационных отчислений")</f>
        <v>0</v>
      </c>
      <c r="AO115" s="145">
        <f ca="1">SUMIFS(Амортизация!AN$25:AN$174,Амортизация!$F$25:$F$174,$F115,Амортизация!$AC$25:$AC$174,"Сумма амортизационных отчислений")</f>
        <v>0</v>
      </c>
      <c r="AP115" s="145">
        <f ca="1">SUMIFS(Амортизация!AO$25:AO$174,Амортизация!$F$25:$F$174,$F115,Амортизация!$AC$25:$AC$174,"Сумма амортизационных отчислений")</f>
        <v>0</v>
      </c>
      <c r="AQ115" s="145">
        <f ca="1">SUMIFS(Амортизация!AP$25:AP$174,Амортизация!$F$25:$F$174,$F115,Амортизация!$AC$25:$AC$174,"Сумма амортизационных отчислений")</f>
        <v>0</v>
      </c>
      <c r="AR115" s="145">
        <f ca="1">SUMIFS(Амортизация!AQ$25:AQ$174,Амортизация!$F$25:$F$174,$F115,Амортизация!$AC$25:$AC$174,"Сумма амортизационных отчислений")</f>
        <v>0</v>
      </c>
      <c r="AS115" s="145">
        <f ca="1">SUMIFS(Амортизация!AR$25:AR$174,Амортизация!$F$25:$F$174,$F115,Амортизация!$AC$25:$AC$174,"Сумма амортизационных отчислений")</f>
        <v>0</v>
      </c>
      <c r="AT115" s="145">
        <f ca="1">SUMIFS(Амортизация!AS$25:AS$174,Амортизация!$F$25:$F$174,$F115,Амортизация!$AC$25:$AC$174,"Сумма амортизационных отчислений")</f>
        <v>0</v>
      </c>
      <c r="AU115" s="145">
        <f ca="1">SUMIFS(Амортизация!AT$25:AT$174,Амортизация!$F$25:$F$174,$F115,Амортизация!$AC$25:$AC$174,"Сумма амортизационных отчислений")</f>
        <v>0</v>
      </c>
      <c r="AV115" s="145">
        <f ca="1">SUMIFS(Амортизация!AU$25:AU$174,Амортизация!$F$25:$F$174,$F115,Амортизация!$AC$25:$AC$174,"Сумма амортизационных отчислений")</f>
        <v>0</v>
      </c>
      <c r="AW115" s="145">
        <f ca="1">SUMIFS(Амортизация!AV$25:AV$174,Амортизация!$F$25:$F$174,$F115,Амортизация!$AC$25:$AC$174,"Сумма амортизационных отчислений")</f>
        <v>0</v>
      </c>
      <c r="AX115" s="145">
        <f ca="1">SUMIFS(Амортизация!AW$25:AW$174,Амортизация!$F$25:$F$174,$F115,Амортизация!$AC$25:$AC$174,"Сумма амортизационных отчислений")</f>
        <v>0</v>
      </c>
      <c r="AY115" s="145">
        <f ca="1">SUMIFS(Амортизация!AX$25:AX$174,Амортизация!$F$25:$F$174,$F115,Амортизация!$AC$25:$AC$174,"Сумма амортизационных отчислений")</f>
        <v>0</v>
      </c>
      <c r="AZ115" s="145">
        <f ca="1">SUMIFS(Амортизация!AY$25:AY$174,Амортизация!$F$25:$F$174,$F115,Амортизация!$AC$25:$AC$174,"Сумма амортизационных отчислений")</f>
        <v>0</v>
      </c>
      <c r="BA115" s="145">
        <f ca="1">SUMIFS(Амортизация!AZ$25:AZ$174,Амортизация!$F$25:$F$174,$F115,Амортизация!$AC$25:$AC$174,"Сумма амортизационных отчислений")</f>
        <v>0</v>
      </c>
      <c r="BB115" s="145">
        <f ca="1">SUMIFS(Амортизация!BA$25:BA$174,Амортизация!$F$25:$F$174,$F115,Амортизация!$AC$25:$AC$174,"Сумма амортизационных отчислений")</f>
        <v>0</v>
      </c>
      <c r="BC115" s="145">
        <f ca="1">SUMIFS(Амортизация!BB$25:BB$174,Амортизация!$F$25:$F$174,$F115,Амортизация!$AC$25:$AC$174,"Сумма амортизационных отчислений")</f>
        <v>0</v>
      </c>
      <c r="BD115" s="145">
        <f t="shared" ca="1" si="10"/>
        <v>0</v>
      </c>
      <c r="BE115" s="145">
        <f t="shared" ca="1" si="11"/>
        <v>0</v>
      </c>
      <c r="BF115" s="145">
        <f t="shared" ca="1" si="12"/>
        <v>0</v>
      </c>
      <c r="BG115" s="145">
        <f t="shared" ca="1" si="13"/>
        <v>0</v>
      </c>
      <c r="BH115" s="145">
        <f t="shared" ca="1" si="14"/>
        <v>0</v>
      </c>
      <c r="BI115" s="145">
        <f t="shared" ca="1" si="15"/>
        <v>0</v>
      </c>
      <c r="BJ115" s="145">
        <f t="shared" ca="1" si="16"/>
        <v>0</v>
      </c>
      <c r="BK115" s="145">
        <f t="shared" ca="1" si="17"/>
        <v>0</v>
      </c>
      <c r="BL115" s="145">
        <f t="shared" ca="1" si="18"/>
        <v>0</v>
      </c>
      <c r="BM115" s="145">
        <f t="shared" ca="1" si="19"/>
        <v>0</v>
      </c>
      <c r="BN115" s="784"/>
      <c r="BO115" s="788" t="str">
        <f ca="1">IF(IFERROR(INDEX(Амортизация!$K$26:$L$174,MATCH($F115&amp;"komm",Амортизация!$K$26:$K$174,0),2),"")=0,"",IFERROR(INDEX(Амортизация!$K$26:$L$174,MATCH($F115&amp;"komm",Амортизация!$K$26:$K$174,0),2),""))</f>
        <v/>
      </c>
      <c r="BP115" s="784"/>
      <c r="BS115" s="711" t="s">
        <v>1241</v>
      </c>
      <c r="BT115" s="711"/>
      <c r="BU115" s="711"/>
      <c r="BV115" s="522"/>
      <c r="BW115" s="522"/>
    </row>
    <row r="116" spans="2:75" ht="14.65" hidden="1" customHeight="1">
      <c r="B116" s="341" t="b" cm="1">
        <f t="array" ref="B116">B115</f>
        <v>1</v>
      </c>
      <c r="E116" s="518">
        <v>15</v>
      </c>
      <c r="F116" s="3" cm="1">
        <f t="array" aca="1" ref="F116" ca="1">OFFSET(E116,-1,1)</f>
        <v>0</v>
      </c>
      <c r="I116" s="91" t="s">
        <v>536</v>
      </c>
      <c r="K116" s="91" t="s">
        <v>536</v>
      </c>
      <c r="L116" s="44" t="s">
        <v>550</v>
      </c>
      <c r="M116" s="44"/>
      <c r="T116" s="365" t="b" cm="1">
        <f t="array" aca="1" ref="T116" ca="1">T115</f>
        <v>0</v>
      </c>
      <c r="X116" s="1075"/>
      <c r="Z116" s="1065"/>
      <c r="AB116" s="152" t="s">
        <v>673</v>
      </c>
      <c r="AC116" s="146" t="s">
        <v>1825</v>
      </c>
      <c r="AD116" s="26" t="s">
        <v>804</v>
      </c>
      <c r="AE116" s="787">
        <f ca="1">SUMIFS('ИП + источники'!AF$27:AF$145,'ИП + источники'!$F$27:$F$145,$F116,'ИП + источники'!$AC$27:$AC$145,"Амортизационные отчисления")+SUMIFS('ИП + источники'!AF$27:AF$145,'ИП + источники'!$F$27:$F$145,$F116,'ИП + источники'!$AC$27:$AC$145,"погашение займов и кредитов из амортизации")</f>
        <v>0</v>
      </c>
      <c r="AF116" s="787">
        <f ca="1">SUMIFS('ИП + источники'!AG$27:AG$145,'ИП + источники'!$F$27:$F$145,$F116,'ИП + источники'!$AC$27:$AC$145,"Амортизационные отчисления")+SUMIFS('ИП + источники'!AG$27:AG$145,'ИП + источники'!$F$27:$F$145,$F116,'ИП + источники'!$AC$27:$AC$145,"погашение займов и кредитов из амортизации")</f>
        <v>0</v>
      </c>
      <c r="AG116" s="787">
        <f ca="1">SUMIFS('ИП + источники'!AH$27:AH$145,'ИП + источники'!$F$27:$F$145,$F116,'ИП + источники'!$AC$27:$AC$145,"Амортизационные отчисления")+SUMIFS('ИП + источники'!AH$27:AH$145,'ИП + источники'!$F$27:$F$145,$F116,'ИП + источники'!$AC$27:$AC$145,"погашение займов и кредитов из амортизации")</f>
        <v>0</v>
      </c>
      <c r="AH116" s="190">
        <f t="shared" ca="1" si="8"/>
        <v>0</v>
      </c>
      <c r="AI116" s="787">
        <f ca="1">SUMIFS('ИП + источники'!AJ$27:AJ$145,'ИП + источники'!$F$27:$F$145,$F116,'ИП + источники'!$AC$27:$AC$145,"Амортизационные отчисления")+SUMIFS('ИП + источники'!AJ$27:AJ$145,'ИП + источники'!$F$27:$F$145,$F116,'ИП + источники'!$AC$27:$AC$145,"погашение займов и кредитов из амортизации")</f>
        <v>0</v>
      </c>
      <c r="AJ116" s="787">
        <f ca="1">SUMIFS('ИП + источники'!AK$27:AK$145,'ИП + источники'!$F$27:$F$145,$F116,'ИП + источники'!$AC$27:$AC$145,"Амортизационные отчисления")+SUMIFS('ИП + источники'!AK$27:AK$145,'ИП + источники'!$F$27:$F$145,$F116,'ИП + источники'!$AC$27:$AC$145,"погашение займов и кредитов из амортизации")</f>
        <v>0</v>
      </c>
      <c r="AK116" s="787">
        <f ca="1">SUMIFS('ИП + источники'!AL$27:AL$145,'ИП + источники'!$F$27:$F$145,$F116,'ИП + источники'!$AC$27:$AC$145,"Амортизационные отчисления")+SUMIFS('ИП + источники'!AL$27:AL$145,'ИП + источники'!$F$27:$F$145,$F116,'ИП + источники'!$AC$27:$AC$145,"погашение займов и кредитов из амортизации")</f>
        <v>0</v>
      </c>
      <c r="AL116" s="787">
        <f ca="1">SUMIFS('ИП + источники'!AM$27:AM$145,'ИП + источники'!$F$27:$F$145,$F116,'ИП + источники'!$AC$27:$AC$145,"Амортизационные отчисления")+SUMIFS('ИП + источники'!AM$27:AM$145,'ИП + источники'!$F$27:$F$145,$F116,'ИП + источники'!$AC$27:$AC$145,"погашение займов и кредитов из амортизации")</f>
        <v>0</v>
      </c>
      <c r="AM116" s="787">
        <f ca="1">SUMIFS('ИП + источники'!AN$27:AN$145,'ИП + источники'!$F$27:$F$145,$F116,'ИП + источники'!$AC$27:$AC$145,"Амортизационные отчисления")+SUMIFS('ИП + источники'!AN$27:AN$145,'ИП + источники'!$F$27:$F$145,$F116,'ИП + источники'!$AC$27:$AC$145,"погашение займов и кредитов из амортизации")</f>
        <v>0</v>
      </c>
      <c r="AN116" s="787">
        <f ca="1">SUMIFS('ИП + источники'!AO$27:AO$145,'ИП + источники'!$F$27:$F$145,$F116,'ИП + источники'!$AC$27:$AC$145,"Амортизационные отчисления")+SUMIFS('ИП + источники'!AO$27:AO$145,'ИП + источники'!$F$27:$F$145,$F116,'ИП + источники'!$AC$27:$AC$145,"погашение займов и кредитов из амортизации")</f>
        <v>0</v>
      </c>
      <c r="AO116" s="787">
        <f ca="1">SUMIFS('ИП + источники'!AP$27:AP$145,'ИП + источники'!$F$27:$F$145,$F116,'ИП + источники'!$AC$27:$AC$145,"Амортизационные отчисления")+SUMIFS('ИП + источники'!AP$27:AP$145,'ИП + источники'!$F$27:$F$145,$F116,'ИП + источники'!$AC$27:$AC$145,"погашение займов и кредитов из амортизации")</f>
        <v>0</v>
      </c>
      <c r="AP116" s="787">
        <f ca="1">SUMIFS('ИП + источники'!AQ$27:AQ$145,'ИП + источники'!$F$27:$F$145,$F116,'ИП + источники'!$AC$27:$AC$145,"Амортизационные отчисления")+SUMIFS('ИП + источники'!AQ$27:AQ$145,'ИП + источники'!$F$27:$F$145,$F116,'ИП + источники'!$AC$27:$AC$145,"погашение займов и кредитов из амортизации")</f>
        <v>0</v>
      </c>
      <c r="AQ116" s="787">
        <f ca="1">SUMIFS('ИП + источники'!AR$27:AR$145,'ИП + источники'!$F$27:$F$145,$F116,'ИП + источники'!$AC$27:$AC$145,"Амортизационные отчисления")+SUMIFS('ИП + источники'!AR$27:AR$145,'ИП + источники'!$F$27:$F$145,$F116,'ИП + источники'!$AC$27:$AC$145,"погашение займов и кредитов из амортизации")</f>
        <v>0</v>
      </c>
      <c r="AR116" s="787">
        <f ca="1">SUMIFS('ИП + источники'!AS$27:AS$145,'ИП + источники'!$F$27:$F$145,$F116,'ИП + источники'!$AC$27:$AC$145,"Амортизационные отчисления")+SUMIFS('ИП + источники'!AS$27:AS$145,'ИП + источники'!$F$27:$F$145,$F116,'ИП + источники'!$AC$27:$AC$145,"погашение займов и кредитов из амортизации")</f>
        <v>0</v>
      </c>
      <c r="AS116" s="787">
        <f ca="1">SUMIFS('ИП + источники'!AT$27:AT$145,'ИП + источники'!$F$27:$F$145,$F116,'ИП + источники'!$AC$27:$AC$145,"Амортизационные отчисления")+SUMIFS('ИП + источники'!AT$27:AT$145,'ИП + источники'!$F$27:$F$145,$F116,'ИП + источники'!$AC$27:$AC$145,"погашение займов и кредитов из амортизации")</f>
        <v>0</v>
      </c>
      <c r="AT116" s="787">
        <f ca="1">SUMIFS('ИП + источники'!AU$27:AU$145,'ИП + источники'!$F$27:$F$145,$F116,'ИП + источники'!$AC$27:$AC$145,"Амортизационные отчисления")+SUMIFS('ИП + источники'!AU$27:AU$145,'ИП + источники'!$F$27:$F$145,$F116,'ИП + источники'!$AC$27:$AC$145,"погашение займов и кредитов из амортизации")</f>
        <v>0</v>
      </c>
      <c r="AU116" s="787">
        <f ca="1">SUMIFS('ИП + источники'!AV$27:AV$145,'ИП + источники'!$F$27:$F$145,$F116,'ИП + источники'!$AC$27:$AC$145,"Амортизационные отчисления")+SUMIFS('ИП + источники'!AV$27:AV$145,'ИП + источники'!$F$27:$F$145,$F116,'ИП + источники'!$AC$27:$AC$145,"погашение займов и кредитов из амортизации")</f>
        <v>0</v>
      </c>
      <c r="AV116" s="787">
        <f ca="1">SUMIFS('ИП + источники'!AW$27:AW$145,'ИП + источники'!$F$27:$F$145,$F116,'ИП + источники'!$AC$27:$AC$145,"Амортизационные отчисления")+SUMIFS('ИП + источники'!AW$27:AW$145,'ИП + источники'!$F$27:$F$145,$F116,'ИП + источники'!$AC$27:$AC$145,"погашение займов и кредитов из амортизации")</f>
        <v>0</v>
      </c>
      <c r="AW116" s="787">
        <f ca="1">SUMIFS('ИП + источники'!AX$27:AX$145,'ИП + источники'!$F$27:$F$145,$F116,'ИП + источники'!$AC$27:$AC$145,"Амортизационные отчисления")+SUMIFS('ИП + источники'!AX$27:AX$145,'ИП + источники'!$F$27:$F$145,$F116,'ИП + источники'!$AC$27:$AC$145,"погашение займов и кредитов из амортизации")</f>
        <v>0</v>
      </c>
      <c r="AX116" s="787">
        <f ca="1">SUMIFS('ИП + источники'!AY$27:AY$145,'ИП + источники'!$F$27:$F$145,$F116,'ИП + источники'!$AC$27:$AC$145,"Амортизационные отчисления")+SUMIFS('ИП + источники'!AY$27:AY$145,'ИП + источники'!$F$27:$F$145,$F116,'ИП + источники'!$AC$27:$AC$145,"погашение займов и кредитов из амортизации")</f>
        <v>0</v>
      </c>
      <c r="AY116" s="787">
        <f ca="1">SUMIFS('ИП + источники'!AZ$27:AZ$145,'ИП + источники'!$F$27:$F$145,$F116,'ИП + источники'!$AC$27:$AC$145,"Амортизационные отчисления")+SUMIFS('ИП + источники'!AZ$27:AZ$145,'ИП + источники'!$F$27:$F$145,$F116,'ИП + источники'!$AC$27:$AC$145,"погашение займов и кредитов из амортизации")</f>
        <v>0</v>
      </c>
      <c r="AZ116" s="787">
        <f ca="1">SUMIFS('ИП + источники'!BA$27:BA$145,'ИП + источники'!$F$27:$F$145,$F116,'ИП + источники'!$AC$27:$AC$145,"Амортизационные отчисления")+SUMIFS('ИП + источники'!BA$27:BA$145,'ИП + источники'!$F$27:$F$145,$F116,'ИП + источники'!$AC$27:$AC$145,"погашение займов и кредитов из амортизации")</f>
        <v>0</v>
      </c>
      <c r="BA116" s="787">
        <f ca="1">SUMIFS('ИП + источники'!BB$27:BB$145,'ИП + источники'!$F$27:$F$145,$F116,'ИП + источники'!$AC$27:$AC$145,"Амортизационные отчисления")+SUMIFS('ИП + источники'!BB$27:BB$145,'ИП + источники'!$F$27:$F$145,$F116,'ИП + источники'!$AC$27:$AC$145,"погашение займов и кредитов из амортизации")</f>
        <v>0</v>
      </c>
      <c r="BB116" s="787">
        <f ca="1">SUMIFS('ИП + источники'!BC$27:BC$145,'ИП + источники'!$F$27:$F$145,$F116,'ИП + источники'!$AC$27:$AC$145,"Амортизационные отчисления")+SUMIFS('ИП + источники'!BC$27:BC$145,'ИП + источники'!$F$27:$F$145,$F116,'ИП + источники'!$AC$27:$AC$145,"погашение займов и кредитов из амортизации")</f>
        <v>0</v>
      </c>
      <c r="BC116" s="787">
        <f ca="1">SUMIFS('ИП + источники'!BD$27:BD$145,'ИП + источники'!$F$27:$F$145,$F116,'ИП + источники'!$AC$27:$AC$145,"Амортизационные отчисления")+SUMIFS('ИП + источники'!BD$27:BD$145,'ИП + источники'!$F$27:$F$145,$F116,'ИП + источники'!$AC$27:$AC$145,"погашение займов и кредитов из амортизации")</f>
        <v>0</v>
      </c>
      <c r="BD116" s="190">
        <f t="shared" ca="1" si="10"/>
        <v>0</v>
      </c>
      <c r="BE116" s="190">
        <f t="shared" ca="1" si="11"/>
        <v>0</v>
      </c>
      <c r="BF116" s="190">
        <f t="shared" ca="1" si="12"/>
        <v>0</v>
      </c>
      <c r="BG116" s="190">
        <f t="shared" ca="1" si="13"/>
        <v>0</v>
      </c>
      <c r="BH116" s="190">
        <f t="shared" ca="1" si="14"/>
        <v>0</v>
      </c>
      <c r="BI116" s="190">
        <f t="shared" ca="1" si="15"/>
        <v>0</v>
      </c>
      <c r="BJ116" s="190">
        <f t="shared" ca="1" si="16"/>
        <v>0</v>
      </c>
      <c r="BK116" s="190">
        <f t="shared" ca="1" si="17"/>
        <v>0</v>
      </c>
      <c r="BL116" s="190">
        <f t="shared" ca="1" si="18"/>
        <v>0</v>
      </c>
      <c r="BM116" s="190">
        <f t="shared" ca="1" si="19"/>
        <v>0</v>
      </c>
      <c r="BN116" s="784"/>
      <c r="BO116" s="784"/>
      <c r="BP116" s="784"/>
      <c r="BS116" s="705" t="s">
        <v>1826</v>
      </c>
    </row>
    <row r="117" spans="2:75" s="95" customFormat="1" ht="20.45" hidden="1" customHeight="1">
      <c r="B117" s="341" t="b" cm="1">
        <f t="array" ref="B117">B116</f>
        <v>1</v>
      </c>
      <c r="E117" s="522">
        <v>21</v>
      </c>
      <c r="F117" s="3" cm="1">
        <f t="array" aca="1" ref="F117" ca="1">OFFSET(E117,-1,1)</f>
        <v>0</v>
      </c>
      <c r="G117" s="91" t="s">
        <v>1505</v>
      </c>
      <c r="H117" s="91"/>
      <c r="I117" s="91" t="s">
        <v>330</v>
      </c>
      <c r="K117" s="91" t="s">
        <v>330</v>
      </c>
      <c r="L117" s="46" t="s">
        <v>562</v>
      </c>
      <c r="M117" s="46"/>
      <c r="T117" s="365" t="b" cm="1">
        <f t="array" aca="1" ref="T117" ca="1">T116</f>
        <v>0</v>
      </c>
      <c r="X117" s="1075"/>
      <c r="Z117" s="1065"/>
      <c r="AB117" s="150" t="s">
        <v>444</v>
      </c>
      <c r="AC117" s="144" t="s">
        <v>1505</v>
      </c>
      <c r="AD117" s="166" t="s">
        <v>804</v>
      </c>
      <c r="AE117" s="145">
        <f ca="1">AE118+AE119+AE120+AE121</f>
        <v>0</v>
      </c>
      <c r="AF117" s="145">
        <f ca="1">AF118+AF119+AF120+AF121</f>
        <v>0</v>
      </c>
      <c r="AG117" s="145">
        <f ca="1">AG118+AG119+AG120+AG121</f>
        <v>0</v>
      </c>
      <c r="AH117" s="145">
        <f t="shared" ca="1" si="8"/>
        <v>0</v>
      </c>
      <c r="AI117" s="145">
        <f t="shared" ref="AI117:BC117" ca="1" si="23">AI118+AI119+AI120+AI121</f>
        <v>0</v>
      </c>
      <c r="AJ117" s="145">
        <f t="shared" ca="1" si="23"/>
        <v>0</v>
      </c>
      <c r="AK117" s="145">
        <f t="shared" ca="1" si="23"/>
        <v>0</v>
      </c>
      <c r="AL117" s="145">
        <f t="shared" ca="1" si="23"/>
        <v>0</v>
      </c>
      <c r="AM117" s="145">
        <f t="shared" ca="1" si="23"/>
        <v>0</v>
      </c>
      <c r="AN117" s="145">
        <f t="shared" ca="1" si="23"/>
        <v>0</v>
      </c>
      <c r="AO117" s="145">
        <f t="shared" ca="1" si="23"/>
        <v>0</v>
      </c>
      <c r="AP117" s="145">
        <f t="shared" ca="1" si="23"/>
        <v>0</v>
      </c>
      <c r="AQ117" s="145">
        <f t="shared" ca="1" si="23"/>
        <v>0</v>
      </c>
      <c r="AR117" s="145">
        <f t="shared" ca="1" si="23"/>
        <v>0</v>
      </c>
      <c r="AS117" s="145">
        <f t="shared" ca="1" si="23"/>
        <v>0</v>
      </c>
      <c r="AT117" s="145">
        <f t="shared" ca="1" si="23"/>
        <v>0</v>
      </c>
      <c r="AU117" s="145">
        <f t="shared" ca="1" si="23"/>
        <v>0</v>
      </c>
      <c r="AV117" s="145">
        <f t="shared" ca="1" si="23"/>
        <v>0</v>
      </c>
      <c r="AW117" s="145">
        <f t="shared" ca="1" si="23"/>
        <v>0</v>
      </c>
      <c r="AX117" s="145">
        <f t="shared" ca="1" si="23"/>
        <v>0</v>
      </c>
      <c r="AY117" s="145">
        <f t="shared" ca="1" si="23"/>
        <v>0</v>
      </c>
      <c r="AZ117" s="145">
        <f t="shared" ca="1" si="23"/>
        <v>0</v>
      </c>
      <c r="BA117" s="145">
        <f t="shared" ca="1" si="23"/>
        <v>0</v>
      </c>
      <c r="BB117" s="145">
        <f t="shared" ca="1" si="23"/>
        <v>0</v>
      </c>
      <c r="BC117" s="145">
        <f t="shared" ca="1" si="23"/>
        <v>0</v>
      </c>
      <c r="BD117" s="145">
        <f t="shared" ca="1" si="10"/>
        <v>0</v>
      </c>
      <c r="BE117" s="145">
        <f t="shared" ca="1" si="11"/>
        <v>0</v>
      </c>
      <c r="BF117" s="145">
        <f t="shared" ca="1" si="12"/>
        <v>0</v>
      </c>
      <c r="BG117" s="145">
        <f t="shared" ca="1" si="13"/>
        <v>0</v>
      </c>
      <c r="BH117" s="145">
        <f t="shared" ca="1" si="14"/>
        <v>0</v>
      </c>
      <c r="BI117" s="145">
        <f t="shared" ca="1" si="15"/>
        <v>0</v>
      </c>
      <c r="BJ117" s="145">
        <f t="shared" ca="1" si="16"/>
        <v>0</v>
      </c>
      <c r="BK117" s="145">
        <f t="shared" ca="1" si="17"/>
        <v>0</v>
      </c>
      <c r="BL117" s="145">
        <f t="shared" ca="1" si="18"/>
        <v>0</v>
      </c>
      <c r="BM117" s="145">
        <f t="shared" ca="1" si="19"/>
        <v>0</v>
      </c>
      <c r="BN117" s="784"/>
      <c r="BO117" s="784"/>
      <c r="BP117" s="784"/>
      <c r="BS117" s="704" t="s">
        <v>1509</v>
      </c>
      <c r="BT117" s="711"/>
      <c r="BU117" s="711"/>
      <c r="BV117" s="522"/>
      <c r="BW117" s="522"/>
    </row>
    <row r="118" spans="2:75" ht="14.65" hidden="1" customHeight="1">
      <c r="B118" s="341" t="b" cm="1">
        <f t="array" ref="B118">B117</f>
        <v>1</v>
      </c>
      <c r="E118" s="518">
        <v>15</v>
      </c>
      <c r="F118" s="3" cm="1">
        <f t="array" aca="1" ref="F118" ca="1">OFFSET(E118,-1,1)</f>
        <v>0</v>
      </c>
      <c r="I118" s="91" t="s">
        <v>550</v>
      </c>
      <c r="K118" s="91" t="s">
        <v>550</v>
      </c>
      <c r="L118" s="44"/>
      <c r="M118" s="44"/>
      <c r="T118" s="365" t="b" cm="1">
        <f t="array" aca="1" ref="T118" ca="1">T117</f>
        <v>0</v>
      </c>
      <c r="X118" s="1075"/>
      <c r="Z118" s="1065"/>
      <c r="AB118" s="152" t="s">
        <v>680</v>
      </c>
      <c r="AC118" s="146" t="s">
        <v>2127</v>
      </c>
      <c r="AD118" s="26" t="s">
        <v>804</v>
      </c>
      <c r="AE118" s="787">
        <f ca="1">SUMIFS('ИП + источники'!AF$27:AF$145,'ИП + источники'!$F$27:$F$145,$F118,'ИП + источники'!$AC$27:$AC$145,"погашение займов и кредитов из нормативной прибыли")</f>
        <v>0</v>
      </c>
      <c r="AF118" s="787">
        <f ca="1">SUMIFS('ИП + источники'!AG$27:AG$145,'ИП + источники'!$F$27:$F$145,$F118,'ИП + источники'!$AC$27:$AC$145,"погашение займов и кредитов из нормативной прибыли")</f>
        <v>0</v>
      </c>
      <c r="AG118" s="787">
        <f ca="1">SUMIFS('ИП + источники'!AH$27:AH$145,'ИП + источники'!$F$27:$F$145,$F118,'ИП + источники'!$AC$27:$AC$145,"погашение займов и кредитов из нормативной прибыли")</f>
        <v>0</v>
      </c>
      <c r="AH118" s="190">
        <f t="shared" ca="1" si="8"/>
        <v>0</v>
      </c>
      <c r="AI118" s="787">
        <f ca="1">SUMIFS('ИП + источники'!AJ$27:AJ$145,'ИП + источники'!$F$27:$F$145,$F118,'ИП + источники'!$AC$27:$AC$145,"погашение займов и кредитов из нормативной прибыли")</f>
        <v>0</v>
      </c>
      <c r="AJ118" s="787">
        <f ca="1">SUMIFS('ИП + источники'!AK$27:AK$145,'ИП + источники'!$F$27:$F$145,$F118,'ИП + источники'!$AC$27:$AC$145,"погашение займов и кредитов из нормативной прибыли")</f>
        <v>0</v>
      </c>
      <c r="AK118" s="787">
        <f ca="1">SUMIFS('ИП + источники'!AL$27:AL$145,'ИП + источники'!$F$27:$F$145,$F118,'ИП + источники'!$AC$27:$AC$145,"погашение займов и кредитов из нормативной прибыли")</f>
        <v>0</v>
      </c>
      <c r="AL118" s="787">
        <f ca="1">SUMIFS('ИП + источники'!AM$27:AM$145,'ИП + источники'!$F$27:$F$145,$F118,'ИП + источники'!$AC$27:$AC$145,"погашение займов и кредитов из нормативной прибыли")</f>
        <v>0</v>
      </c>
      <c r="AM118" s="787">
        <f ca="1">SUMIFS('ИП + источники'!AN$27:AN$145,'ИП + источники'!$F$27:$F$145,$F118,'ИП + источники'!$AC$27:$AC$145,"погашение займов и кредитов из нормативной прибыли")</f>
        <v>0</v>
      </c>
      <c r="AN118" s="787">
        <f ca="1">SUMIFS('ИП + источники'!AO$27:AO$145,'ИП + источники'!$F$27:$F$145,$F118,'ИП + источники'!$AC$27:$AC$145,"погашение займов и кредитов из нормативной прибыли")</f>
        <v>0</v>
      </c>
      <c r="AO118" s="787">
        <f ca="1">SUMIFS('ИП + источники'!AP$27:AP$145,'ИП + источники'!$F$27:$F$145,$F118,'ИП + источники'!$AC$27:$AC$145,"погашение займов и кредитов из нормативной прибыли")</f>
        <v>0</v>
      </c>
      <c r="AP118" s="787">
        <f ca="1">SUMIFS('ИП + источники'!AQ$27:AQ$145,'ИП + источники'!$F$27:$F$145,$F118,'ИП + источники'!$AC$27:$AC$145,"погашение займов и кредитов из нормативной прибыли")</f>
        <v>0</v>
      </c>
      <c r="AQ118" s="787">
        <f ca="1">SUMIFS('ИП + источники'!AR$27:AR$145,'ИП + источники'!$F$27:$F$145,$F118,'ИП + источники'!$AC$27:$AC$145,"погашение займов и кредитов из нормативной прибыли")</f>
        <v>0</v>
      </c>
      <c r="AR118" s="787">
        <f ca="1">SUMIFS('ИП + источники'!AS$27:AS$145,'ИП + источники'!$F$27:$F$145,$F118,'ИП + источники'!$AC$27:$AC$145,"погашение займов и кредитов из нормативной прибыли")</f>
        <v>0</v>
      </c>
      <c r="AS118" s="787">
        <f ca="1">SUMIFS('ИП + источники'!AT$27:AT$145,'ИП + источники'!$F$27:$F$145,$F118,'ИП + источники'!$AC$27:$AC$145,"погашение займов и кредитов из нормативной прибыли")</f>
        <v>0</v>
      </c>
      <c r="AT118" s="787">
        <f ca="1">SUMIFS('ИП + источники'!AU$27:AU$145,'ИП + источники'!$F$27:$F$145,$F118,'ИП + источники'!$AC$27:$AC$145,"погашение займов и кредитов из нормативной прибыли")</f>
        <v>0</v>
      </c>
      <c r="AU118" s="787">
        <f ca="1">SUMIFS('ИП + источники'!AV$27:AV$145,'ИП + источники'!$F$27:$F$145,$F118,'ИП + источники'!$AC$27:$AC$145,"погашение займов и кредитов из нормативной прибыли")</f>
        <v>0</v>
      </c>
      <c r="AV118" s="787">
        <f ca="1">SUMIFS('ИП + источники'!AW$27:AW$145,'ИП + источники'!$F$27:$F$145,$F118,'ИП + источники'!$AC$27:$AC$145,"погашение займов и кредитов из нормативной прибыли")</f>
        <v>0</v>
      </c>
      <c r="AW118" s="787">
        <f ca="1">SUMIFS('ИП + источники'!AX$27:AX$145,'ИП + источники'!$F$27:$F$145,$F118,'ИП + источники'!$AC$27:$AC$145,"погашение займов и кредитов из нормативной прибыли")</f>
        <v>0</v>
      </c>
      <c r="AX118" s="787">
        <f ca="1">SUMIFS('ИП + источники'!AY$27:AY$145,'ИП + источники'!$F$27:$F$145,$F118,'ИП + источники'!$AC$27:$AC$145,"погашение займов и кредитов из нормативной прибыли")</f>
        <v>0</v>
      </c>
      <c r="AY118" s="787">
        <f ca="1">SUMIFS('ИП + источники'!AZ$27:AZ$145,'ИП + источники'!$F$27:$F$145,$F118,'ИП + источники'!$AC$27:$AC$145,"погашение займов и кредитов из нормативной прибыли")</f>
        <v>0</v>
      </c>
      <c r="AZ118" s="787">
        <f ca="1">SUMIFS('ИП + источники'!BA$27:BA$145,'ИП + источники'!$F$27:$F$145,$F118,'ИП + источники'!$AC$27:$AC$145,"погашение займов и кредитов из нормативной прибыли")</f>
        <v>0</v>
      </c>
      <c r="BA118" s="787">
        <f ca="1">SUMIFS('ИП + источники'!BB$27:BB$145,'ИП + источники'!$F$27:$F$145,$F118,'ИП + источники'!$AC$27:$AC$145,"погашение займов и кредитов из нормативной прибыли")</f>
        <v>0</v>
      </c>
      <c r="BB118" s="787">
        <f ca="1">SUMIFS('ИП + источники'!BC$27:BC$145,'ИП + источники'!$F$27:$F$145,$F118,'ИП + источники'!$AC$27:$AC$145,"погашение займов и кредитов из нормативной прибыли")</f>
        <v>0</v>
      </c>
      <c r="BC118" s="787">
        <f ca="1">SUMIFS('ИП + источники'!BD$27:BD$145,'ИП + источники'!$F$27:$F$145,$F118,'ИП + источники'!$AC$27:$AC$145,"погашение займов и кредитов из нормативной прибыли")</f>
        <v>0</v>
      </c>
      <c r="BD118" s="190">
        <f t="shared" ca="1" si="10"/>
        <v>0</v>
      </c>
      <c r="BE118" s="190">
        <f t="shared" ca="1" si="11"/>
        <v>0</v>
      </c>
      <c r="BF118" s="190">
        <f t="shared" ca="1" si="12"/>
        <v>0</v>
      </c>
      <c r="BG118" s="190">
        <f t="shared" ca="1" si="13"/>
        <v>0</v>
      </c>
      <c r="BH118" s="190">
        <f t="shared" ca="1" si="14"/>
        <v>0</v>
      </c>
      <c r="BI118" s="190">
        <f t="shared" ca="1" si="15"/>
        <v>0</v>
      </c>
      <c r="BJ118" s="190">
        <f t="shared" ca="1" si="16"/>
        <v>0</v>
      </c>
      <c r="BK118" s="190">
        <f t="shared" ca="1" si="17"/>
        <v>0</v>
      </c>
      <c r="BL118" s="190">
        <f t="shared" ca="1" si="18"/>
        <v>0</v>
      </c>
      <c r="BM118" s="190">
        <f t="shared" ca="1" si="19"/>
        <v>0</v>
      </c>
      <c r="BN118" s="784"/>
      <c r="BO118" s="788" t="str">
        <f ca="1">IF(IFERROR(INDEX('ИП + источники'!$K$57:$L$145,MATCH($F118&amp;"2komm",'ИП + источники'!$K$57:$K$145,0),2),"")=0,"",IFERROR(INDEX('ИП + источники'!$K$57:$L$145,MATCH($F118&amp;"2komm",'ИП + источники'!$K$57:$K$145,0),2),""))</f>
        <v/>
      </c>
      <c r="BP118" s="784"/>
      <c r="BS118" s="705" t="s">
        <v>2128</v>
      </c>
    </row>
    <row r="119" spans="2:75" ht="14.65" hidden="1" customHeight="1">
      <c r="B119" s="341" t="b" cm="1">
        <f t="array" ref="B119">B118</f>
        <v>1</v>
      </c>
      <c r="E119" s="518">
        <v>15</v>
      </c>
      <c r="F119" s="3" cm="1">
        <f t="array" aca="1" ref="F119" ca="1">OFFSET(E119,-1,1)</f>
        <v>0</v>
      </c>
      <c r="I119" s="91" t="s">
        <v>554</v>
      </c>
      <c r="K119" s="91" t="s">
        <v>554</v>
      </c>
      <c r="L119" s="44"/>
      <c r="M119" s="44"/>
      <c r="T119" s="365" t="b" cm="1">
        <f t="array" aca="1" ref="T119" ca="1">T118</f>
        <v>0</v>
      </c>
      <c r="X119" s="1075"/>
      <c r="Z119" s="1065"/>
      <c r="AB119" s="152" t="s">
        <v>683</v>
      </c>
      <c r="AC119" s="146" t="s">
        <v>2129</v>
      </c>
      <c r="AD119" s="26" t="s">
        <v>804</v>
      </c>
      <c r="AE119" s="787">
        <f ca="1">SUMIFS('ИП + источники'!AF$27:AF$145,'ИП + источники'!$F$27:$F$145,$F119,'ИП + источники'!$AC$27:$AC$145,"уплата процентов по кредитам из нормативной прибыли")</f>
        <v>0</v>
      </c>
      <c r="AF119" s="787">
        <f ca="1">SUMIFS('ИП + источники'!AG$27:AG$145,'ИП + источники'!$F$27:$F$145,$F119,'ИП + источники'!$AC$27:$AC$145,"уплата процентов по кредитам из нормативной прибыли")</f>
        <v>0</v>
      </c>
      <c r="AG119" s="787">
        <f ca="1">SUMIFS('ИП + источники'!AH$27:AH$145,'ИП + источники'!$F$27:$F$145,$F119,'ИП + источники'!$AC$27:$AC$145,"уплата процентов по кредитам из нормативной прибыли")</f>
        <v>0</v>
      </c>
      <c r="AH119" s="190">
        <f t="shared" ca="1" si="8"/>
        <v>0</v>
      </c>
      <c r="AI119" s="787">
        <f ca="1">SUMIFS('ИП + источники'!AJ$27:AJ$145,'ИП + источники'!$F$27:$F$145,$F119,'ИП + источники'!$AC$27:$AC$145,"уплата процентов по кредитам из нормативной прибыли")</f>
        <v>0</v>
      </c>
      <c r="AJ119" s="787">
        <f ca="1">SUMIFS('ИП + источники'!AK$27:AK$145,'ИП + источники'!$F$27:$F$145,$F119,'ИП + источники'!$AC$27:$AC$145,"уплата процентов по кредитам из нормативной прибыли")</f>
        <v>0</v>
      </c>
      <c r="AK119" s="787">
        <f ca="1">SUMIFS('ИП + источники'!AL$27:AL$145,'ИП + источники'!$F$27:$F$145,$F119,'ИП + источники'!$AC$27:$AC$145,"уплата процентов по кредитам из нормативной прибыли")</f>
        <v>0</v>
      </c>
      <c r="AL119" s="787">
        <f ca="1">SUMIFS('ИП + источники'!AM$27:AM$145,'ИП + источники'!$F$27:$F$145,$F119,'ИП + источники'!$AC$27:$AC$145,"уплата процентов по кредитам из нормативной прибыли")</f>
        <v>0</v>
      </c>
      <c r="AM119" s="787">
        <f ca="1">SUMIFS('ИП + источники'!AN$27:AN$145,'ИП + источники'!$F$27:$F$145,$F119,'ИП + источники'!$AC$27:$AC$145,"уплата процентов по кредитам из нормативной прибыли")</f>
        <v>0</v>
      </c>
      <c r="AN119" s="787">
        <f ca="1">SUMIFS('ИП + источники'!AO$27:AO$145,'ИП + источники'!$F$27:$F$145,$F119,'ИП + источники'!$AC$27:$AC$145,"уплата процентов по кредитам из нормативной прибыли")</f>
        <v>0</v>
      </c>
      <c r="AO119" s="787">
        <f ca="1">SUMIFS('ИП + источники'!AP$27:AP$145,'ИП + источники'!$F$27:$F$145,$F119,'ИП + источники'!$AC$27:$AC$145,"уплата процентов по кредитам из нормативной прибыли")</f>
        <v>0</v>
      </c>
      <c r="AP119" s="787">
        <f ca="1">SUMIFS('ИП + источники'!AQ$27:AQ$145,'ИП + источники'!$F$27:$F$145,$F119,'ИП + источники'!$AC$27:$AC$145,"уплата процентов по кредитам из нормативной прибыли")</f>
        <v>0</v>
      </c>
      <c r="AQ119" s="787">
        <f ca="1">SUMIFS('ИП + источники'!AR$27:AR$145,'ИП + источники'!$F$27:$F$145,$F119,'ИП + источники'!$AC$27:$AC$145,"уплата процентов по кредитам из нормативной прибыли")</f>
        <v>0</v>
      </c>
      <c r="AR119" s="787">
        <f ca="1">SUMIFS('ИП + источники'!AS$27:AS$145,'ИП + источники'!$F$27:$F$145,$F119,'ИП + источники'!$AC$27:$AC$145,"уплата процентов по кредитам из нормативной прибыли")</f>
        <v>0</v>
      </c>
      <c r="AS119" s="787">
        <f ca="1">SUMIFS('ИП + источники'!AT$27:AT$145,'ИП + источники'!$F$27:$F$145,$F119,'ИП + источники'!$AC$27:$AC$145,"уплата процентов по кредитам из нормативной прибыли")</f>
        <v>0</v>
      </c>
      <c r="AT119" s="787">
        <f ca="1">SUMIFS('ИП + источники'!AU$27:AU$145,'ИП + источники'!$F$27:$F$145,$F119,'ИП + источники'!$AC$27:$AC$145,"уплата процентов по кредитам из нормативной прибыли")</f>
        <v>0</v>
      </c>
      <c r="AU119" s="787">
        <f ca="1">SUMIFS('ИП + источники'!AV$27:AV$145,'ИП + источники'!$F$27:$F$145,$F119,'ИП + источники'!$AC$27:$AC$145,"уплата процентов по кредитам из нормативной прибыли")</f>
        <v>0</v>
      </c>
      <c r="AV119" s="787">
        <f ca="1">SUMIFS('ИП + источники'!AW$27:AW$145,'ИП + источники'!$F$27:$F$145,$F119,'ИП + источники'!$AC$27:$AC$145,"уплата процентов по кредитам из нормативной прибыли")</f>
        <v>0</v>
      </c>
      <c r="AW119" s="787">
        <f ca="1">SUMIFS('ИП + источники'!AX$27:AX$145,'ИП + источники'!$F$27:$F$145,$F119,'ИП + источники'!$AC$27:$AC$145,"уплата процентов по кредитам из нормативной прибыли")</f>
        <v>0</v>
      </c>
      <c r="AX119" s="787">
        <f ca="1">SUMIFS('ИП + источники'!AY$27:AY$145,'ИП + источники'!$F$27:$F$145,$F119,'ИП + источники'!$AC$27:$AC$145,"уплата процентов по кредитам из нормативной прибыли")</f>
        <v>0</v>
      </c>
      <c r="AY119" s="787">
        <f ca="1">SUMIFS('ИП + источники'!AZ$27:AZ$145,'ИП + источники'!$F$27:$F$145,$F119,'ИП + источники'!$AC$27:$AC$145,"уплата процентов по кредитам из нормативной прибыли")</f>
        <v>0</v>
      </c>
      <c r="AZ119" s="787">
        <f ca="1">SUMIFS('ИП + источники'!BA$27:BA$145,'ИП + источники'!$F$27:$F$145,$F119,'ИП + источники'!$AC$27:$AC$145,"уплата процентов по кредитам из нормативной прибыли")</f>
        <v>0</v>
      </c>
      <c r="BA119" s="787">
        <f ca="1">SUMIFS('ИП + источники'!BB$27:BB$145,'ИП + источники'!$F$27:$F$145,$F119,'ИП + источники'!$AC$27:$AC$145,"уплата процентов по кредитам из нормативной прибыли")</f>
        <v>0</v>
      </c>
      <c r="BB119" s="787">
        <f ca="1">SUMIFS('ИП + источники'!BC$27:BC$145,'ИП + источники'!$F$27:$F$145,$F119,'ИП + источники'!$AC$27:$AC$145,"уплата процентов по кредитам из нормативной прибыли")</f>
        <v>0</v>
      </c>
      <c r="BC119" s="787">
        <f ca="1">SUMIFS('ИП + источники'!BD$27:BD$145,'ИП + источники'!$F$27:$F$145,$F119,'ИП + источники'!$AC$27:$AC$145,"уплата процентов по кредитам из нормативной прибыли")</f>
        <v>0</v>
      </c>
      <c r="BD119" s="190">
        <f t="shared" ca="1" si="10"/>
        <v>0</v>
      </c>
      <c r="BE119" s="190">
        <f t="shared" ca="1" si="11"/>
        <v>0</v>
      </c>
      <c r="BF119" s="190">
        <f t="shared" ca="1" si="12"/>
        <v>0</v>
      </c>
      <c r="BG119" s="190">
        <f t="shared" ca="1" si="13"/>
        <v>0</v>
      </c>
      <c r="BH119" s="190">
        <f t="shared" ca="1" si="14"/>
        <v>0</v>
      </c>
      <c r="BI119" s="190">
        <f t="shared" ca="1" si="15"/>
        <v>0</v>
      </c>
      <c r="BJ119" s="190">
        <f t="shared" ca="1" si="16"/>
        <v>0</v>
      </c>
      <c r="BK119" s="190">
        <f t="shared" ca="1" si="17"/>
        <v>0</v>
      </c>
      <c r="BL119" s="190">
        <f t="shared" ca="1" si="18"/>
        <v>0</v>
      </c>
      <c r="BM119" s="190">
        <f t="shared" ca="1" si="19"/>
        <v>0</v>
      </c>
      <c r="BN119" s="784"/>
      <c r="BO119" s="788" t="str">
        <f ca="1">IF(IFERROR(INDEX('ИП + источники'!$K$57:$L$145,MATCH($F119&amp;"3komm",'ИП + источники'!$K$57:$K$145,0),2),"")=0,"",IFERROR(INDEX('ИП + источники'!$K$57:$L$145,MATCH($F119&amp;"3komm",'ИП + источники'!$K$57:$K$145,0),2),""))</f>
        <v/>
      </c>
      <c r="BP119" s="784"/>
      <c r="BS119" s="705" t="s">
        <v>2130</v>
      </c>
    </row>
    <row r="120" spans="2:75" ht="14.65" hidden="1" customHeight="1">
      <c r="B120" s="341" t="b" cm="1">
        <f t="array" ref="B120">B119</f>
        <v>1</v>
      </c>
      <c r="E120" s="518">
        <v>15</v>
      </c>
      <c r="F120" s="3" cm="1">
        <f t="array" aca="1" ref="F120" ca="1">OFFSET(E120,-1,1)</f>
        <v>0</v>
      </c>
      <c r="I120" s="91" t="s">
        <v>770</v>
      </c>
      <c r="K120" s="91" t="s">
        <v>770</v>
      </c>
      <c r="L120" s="44" t="s">
        <v>569</v>
      </c>
      <c r="M120" s="44"/>
      <c r="T120" s="365" t="b" cm="1">
        <f t="array" aca="1" ref="T120" ca="1">T119</f>
        <v>0</v>
      </c>
      <c r="X120" s="1075"/>
      <c r="Z120" s="1065"/>
      <c r="AB120" s="152" t="s">
        <v>952</v>
      </c>
      <c r="AC120" s="146" t="s">
        <v>2131</v>
      </c>
      <c r="AD120" s="26" t="s">
        <v>804</v>
      </c>
      <c r="AE120" s="787">
        <f ca="1">SUMIFS('ИП + источники'!AF$27:AF$145,'ИП + источники'!$F$27:$F$145,$F120,'ИП + источники'!$AC$27:$AC$145,"Прибыль на капвложения")</f>
        <v>0</v>
      </c>
      <c r="AF120" s="787">
        <f ca="1">SUMIFS('ИП + источники'!AG$27:AG$145,'ИП + источники'!$F$27:$F$145,$F120,'ИП + источники'!$AC$27:$AC$145,"Прибыль на капвложения")</f>
        <v>0</v>
      </c>
      <c r="AG120" s="787">
        <f ca="1">SUMIFS('ИП + источники'!AH$27:AH$145,'ИП + источники'!$F$27:$F$145,$F120,'ИП + источники'!$AC$27:$AC$145,"Прибыль на капвложения")</f>
        <v>0</v>
      </c>
      <c r="AH120" s="190">
        <f t="shared" ca="1" si="8"/>
        <v>0</v>
      </c>
      <c r="AI120" s="787">
        <f ca="1">SUMIFS('ИП + источники'!AJ$27:AJ$145,'ИП + источники'!$F$27:$F$145,$F120,'ИП + источники'!$AC$27:$AC$145,"Прибыль на капвложения")</f>
        <v>0</v>
      </c>
      <c r="AJ120" s="787">
        <f ca="1">SUMIFS('ИП + источники'!AK$27:AK$145,'ИП + источники'!$F$27:$F$145,$F120,'ИП + источники'!$AC$27:$AC$145,"Прибыль на капвложения")</f>
        <v>0</v>
      </c>
      <c r="AK120" s="787">
        <f ca="1">SUMIFS('ИП + источники'!AL$27:AL$145,'ИП + источники'!$F$27:$F$145,$F120,'ИП + источники'!$AC$27:$AC$145,"Прибыль на капвложения")</f>
        <v>0</v>
      </c>
      <c r="AL120" s="787">
        <f ca="1">SUMIFS('ИП + источники'!AM$27:AM$145,'ИП + источники'!$F$27:$F$145,$F120,'ИП + источники'!$AC$27:$AC$145,"Прибыль на капвложения")</f>
        <v>0</v>
      </c>
      <c r="AM120" s="787">
        <f ca="1">SUMIFS('ИП + источники'!AN$27:AN$145,'ИП + источники'!$F$27:$F$145,$F120,'ИП + источники'!$AC$27:$AC$145,"Прибыль на капвложения")</f>
        <v>0</v>
      </c>
      <c r="AN120" s="787">
        <f ca="1">SUMIFS('ИП + источники'!AO$27:AO$145,'ИП + источники'!$F$27:$F$145,$F120,'ИП + источники'!$AC$27:$AC$145,"Прибыль на капвложения")</f>
        <v>0</v>
      </c>
      <c r="AO120" s="787">
        <f ca="1">SUMIFS('ИП + источники'!AP$27:AP$145,'ИП + источники'!$F$27:$F$145,$F120,'ИП + источники'!$AC$27:$AC$145,"Прибыль на капвложения")</f>
        <v>0</v>
      </c>
      <c r="AP120" s="787">
        <f ca="1">SUMIFS('ИП + источники'!AQ$27:AQ$145,'ИП + источники'!$F$27:$F$145,$F120,'ИП + источники'!$AC$27:$AC$145,"Прибыль на капвложения")</f>
        <v>0</v>
      </c>
      <c r="AQ120" s="787">
        <f ca="1">SUMIFS('ИП + источники'!AR$27:AR$145,'ИП + источники'!$F$27:$F$145,$F120,'ИП + источники'!$AC$27:$AC$145,"Прибыль на капвложения")</f>
        <v>0</v>
      </c>
      <c r="AR120" s="787">
        <f ca="1">SUMIFS('ИП + источники'!AS$27:AS$145,'ИП + источники'!$F$27:$F$145,$F120,'ИП + источники'!$AC$27:$AC$145,"Прибыль на капвложения")</f>
        <v>0</v>
      </c>
      <c r="AS120" s="787">
        <f ca="1">SUMIFS('ИП + источники'!AT$27:AT$145,'ИП + источники'!$F$27:$F$145,$F120,'ИП + источники'!$AC$27:$AC$145,"Прибыль на капвложения")</f>
        <v>0</v>
      </c>
      <c r="AT120" s="787">
        <f ca="1">SUMIFS('ИП + источники'!AU$27:AU$145,'ИП + источники'!$F$27:$F$145,$F120,'ИП + источники'!$AC$27:$AC$145,"Прибыль на капвложения")</f>
        <v>0</v>
      </c>
      <c r="AU120" s="787">
        <f ca="1">SUMIFS('ИП + источники'!AV$27:AV$145,'ИП + источники'!$F$27:$F$145,$F120,'ИП + источники'!$AC$27:$AC$145,"Прибыль на капвложения")</f>
        <v>0</v>
      </c>
      <c r="AV120" s="787">
        <f ca="1">SUMIFS('ИП + источники'!AW$27:AW$145,'ИП + источники'!$F$27:$F$145,$F120,'ИП + источники'!$AC$27:$AC$145,"Прибыль на капвложения")</f>
        <v>0</v>
      </c>
      <c r="AW120" s="787">
        <f ca="1">SUMIFS('ИП + источники'!AX$27:AX$145,'ИП + источники'!$F$27:$F$145,$F120,'ИП + источники'!$AC$27:$AC$145,"Прибыль на капвложения")</f>
        <v>0</v>
      </c>
      <c r="AX120" s="787">
        <f ca="1">SUMIFS('ИП + источники'!AY$27:AY$145,'ИП + источники'!$F$27:$F$145,$F120,'ИП + источники'!$AC$27:$AC$145,"Прибыль на капвложения")</f>
        <v>0</v>
      </c>
      <c r="AY120" s="787">
        <f ca="1">SUMIFS('ИП + источники'!AZ$27:AZ$145,'ИП + источники'!$F$27:$F$145,$F120,'ИП + источники'!$AC$27:$AC$145,"Прибыль на капвложения")</f>
        <v>0</v>
      </c>
      <c r="AZ120" s="787">
        <f ca="1">SUMIFS('ИП + источники'!BA$27:BA$145,'ИП + источники'!$F$27:$F$145,$F120,'ИП + источники'!$AC$27:$AC$145,"Прибыль на капвложения")</f>
        <v>0</v>
      </c>
      <c r="BA120" s="787">
        <f ca="1">SUMIFS('ИП + источники'!BB$27:BB$145,'ИП + источники'!$F$27:$F$145,$F120,'ИП + источники'!$AC$27:$AC$145,"Прибыль на капвложения")</f>
        <v>0</v>
      </c>
      <c r="BB120" s="787">
        <f ca="1">SUMIFS('ИП + источники'!BC$27:BC$145,'ИП + источники'!$F$27:$F$145,$F120,'ИП + источники'!$AC$27:$AC$145,"Прибыль на капвложения")</f>
        <v>0</v>
      </c>
      <c r="BC120" s="787">
        <f ca="1">SUMIFS('ИП + источники'!BD$27:BD$145,'ИП + источники'!$F$27:$F$145,$F120,'ИП + источники'!$AC$27:$AC$145,"Прибыль на капвложения")</f>
        <v>0</v>
      </c>
      <c r="BD120" s="190">
        <f t="shared" ca="1" si="10"/>
        <v>0</v>
      </c>
      <c r="BE120" s="190">
        <f t="shared" ca="1" si="11"/>
        <v>0</v>
      </c>
      <c r="BF120" s="190">
        <f t="shared" ca="1" si="12"/>
        <v>0</v>
      </c>
      <c r="BG120" s="190">
        <f t="shared" ca="1" si="13"/>
        <v>0</v>
      </c>
      <c r="BH120" s="190">
        <f t="shared" ca="1" si="14"/>
        <v>0</v>
      </c>
      <c r="BI120" s="190">
        <f t="shared" ca="1" si="15"/>
        <v>0</v>
      </c>
      <c r="BJ120" s="190">
        <f t="shared" ca="1" si="16"/>
        <v>0</v>
      </c>
      <c r="BK120" s="190">
        <f t="shared" ca="1" si="17"/>
        <v>0</v>
      </c>
      <c r="BL120" s="190">
        <f t="shared" ca="1" si="18"/>
        <v>0</v>
      </c>
      <c r="BM120" s="190">
        <f t="shared" ca="1" si="19"/>
        <v>0</v>
      </c>
      <c r="BN120" s="784"/>
      <c r="BO120" s="788" t="str">
        <f ca="1">IF(IFERROR(INDEX('ИП + источники'!$K$57:$L$145,MATCH($F120&amp;"1komm",'ИП + источники'!$K$57:$K$145,0),2),"")=0,"",IFERROR(INDEX('ИП + источники'!$K$57:$L$145,MATCH($F120&amp;"1komm",'ИП + источники'!$K$57:$K$145,0),2),""))</f>
        <v/>
      </c>
      <c r="BP120" s="784"/>
      <c r="BS120" s="705" t="s">
        <v>1833</v>
      </c>
    </row>
    <row r="121" spans="2:75" ht="21.95" hidden="1" customHeight="1">
      <c r="B121" s="341" t="b" cm="1">
        <f t="array" ref="B121">B120</f>
        <v>1</v>
      </c>
      <c r="E121" s="518">
        <v>22.5</v>
      </c>
      <c r="F121" s="3" cm="1">
        <f t="array" aca="1" ref="F121" ca="1">OFFSET(E121,-1,1)</f>
        <v>0</v>
      </c>
      <c r="G121" s="91" t="s">
        <v>2132</v>
      </c>
      <c r="I121" s="91" t="s">
        <v>954</v>
      </c>
      <c r="K121" s="91" t="s">
        <v>954</v>
      </c>
      <c r="L121" s="44" t="s">
        <v>573</v>
      </c>
      <c r="M121" s="44"/>
      <c r="T121" s="365" t="b" cm="1">
        <f t="array" aca="1" ref="T121" ca="1">T120</f>
        <v>0</v>
      </c>
      <c r="X121" s="1075"/>
      <c r="Z121" s="1065"/>
      <c r="AB121" s="152" t="s">
        <v>955</v>
      </c>
      <c r="AC121" s="146" t="s">
        <v>2133</v>
      </c>
      <c r="AD121" s="26" t="s">
        <v>804</v>
      </c>
      <c r="AE121" s="787"/>
      <c r="AF121" s="787"/>
      <c r="AG121" s="787"/>
      <c r="AH121" s="190">
        <f t="shared" si="8"/>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190">
        <f t="shared" si="10"/>
        <v>0</v>
      </c>
      <c r="BE121" s="190">
        <f t="shared" si="11"/>
        <v>0</v>
      </c>
      <c r="BF121" s="190">
        <f t="shared" si="12"/>
        <v>0</v>
      </c>
      <c r="BG121" s="190">
        <f t="shared" si="13"/>
        <v>0</v>
      </c>
      <c r="BH121" s="190">
        <f t="shared" si="14"/>
        <v>0</v>
      </c>
      <c r="BI121" s="190">
        <f t="shared" si="15"/>
        <v>0</v>
      </c>
      <c r="BJ121" s="190">
        <f t="shared" si="16"/>
        <v>0</v>
      </c>
      <c r="BK121" s="190">
        <f t="shared" si="17"/>
        <v>0</v>
      </c>
      <c r="BL121" s="190">
        <f t="shared" si="18"/>
        <v>0</v>
      </c>
      <c r="BM121" s="190">
        <f t="shared" si="19"/>
        <v>0</v>
      </c>
      <c r="BN121" s="784"/>
      <c r="BO121" s="784"/>
      <c r="BP121" s="784"/>
      <c r="BS121" s="705" t="s">
        <v>2134</v>
      </c>
    </row>
    <row r="122" spans="2:75" ht="14.65" hidden="1" customHeight="1">
      <c r="B122" s="341" t="b">
        <f>AND(method_reg="Метод индексации",STATUS_GO="да")</f>
        <v>0</v>
      </c>
      <c r="E122" s="518">
        <v>15</v>
      </c>
      <c r="F122" s="3" cm="1">
        <f t="array" aca="1" ref="F122" ca="1">OFFSET(E122,-1,1)</f>
        <v>0</v>
      </c>
      <c r="G122" s="91" t="s">
        <v>1836</v>
      </c>
      <c r="I122" s="91" t="s">
        <v>511</v>
      </c>
      <c r="K122" s="91" t="s">
        <v>511</v>
      </c>
      <c r="L122" s="44" t="s">
        <v>577</v>
      </c>
      <c r="M122" s="44"/>
      <c r="T122" s="365" t="b" cm="1">
        <f t="array" aca="1" ref="T122" ca="1">T121</f>
        <v>0</v>
      </c>
      <c r="X122" s="1075"/>
      <c r="Z122" s="1065"/>
      <c r="AB122" s="152" t="s">
        <v>447</v>
      </c>
      <c r="AC122" s="358" t="s">
        <v>1836</v>
      </c>
      <c r="AD122" s="26" t="s">
        <v>804</v>
      </c>
      <c r="AE122" s="787"/>
      <c r="AF122" s="787"/>
      <c r="AG122" s="787"/>
      <c r="AH122" s="190">
        <f t="shared" si="8"/>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190">
        <f t="shared" si="10"/>
        <v>0</v>
      </c>
      <c r="BE122" s="190">
        <f t="shared" si="11"/>
        <v>0</v>
      </c>
      <c r="BF122" s="190">
        <f t="shared" si="12"/>
        <v>0</v>
      </c>
      <c r="BG122" s="190">
        <f t="shared" si="13"/>
        <v>0</v>
      </c>
      <c r="BH122" s="190">
        <f t="shared" si="14"/>
        <v>0</v>
      </c>
      <c r="BI122" s="190">
        <f t="shared" si="15"/>
        <v>0</v>
      </c>
      <c r="BJ122" s="190">
        <f t="shared" si="16"/>
        <v>0</v>
      </c>
      <c r="BK122" s="190">
        <f t="shared" si="17"/>
        <v>0</v>
      </c>
      <c r="BL122" s="190">
        <f t="shared" si="18"/>
        <v>0</v>
      </c>
      <c r="BM122" s="190">
        <f t="shared" si="19"/>
        <v>0</v>
      </c>
      <c r="BN122" s="784"/>
      <c r="BO122" s="784"/>
      <c r="BP122" s="784"/>
      <c r="BS122" s="705" t="s">
        <v>1837</v>
      </c>
    </row>
    <row r="123" spans="2:75" ht="14.65" hidden="1" customHeight="1">
      <c r="B123" s="653" t="b">
        <f>method_reg="Метод обеспечения доходности инвестированного капитала"</f>
        <v>0</v>
      </c>
      <c r="E123" s="518">
        <v>15</v>
      </c>
      <c r="F123" s="3" cm="1">
        <f t="array" aca="1" ref="F123" ca="1">OFFSET(E123,-1,1)</f>
        <v>0</v>
      </c>
      <c r="K123" s="44" t="s">
        <v>331</v>
      </c>
      <c r="L123" s="44"/>
      <c r="M123" s="44"/>
      <c r="T123" s="365" t="b" cm="1">
        <f t="array" aca="1" ref="T123" ca="1">T122</f>
        <v>0</v>
      </c>
      <c r="X123" s="1075"/>
      <c r="Z123" s="1065"/>
      <c r="AB123" s="150" t="s">
        <v>433</v>
      </c>
      <c r="AC123" s="151" t="s">
        <v>2135</v>
      </c>
      <c r="AD123" s="143" t="s">
        <v>804</v>
      </c>
      <c r="AE123" s="783"/>
      <c r="AF123" s="783"/>
      <c r="AG123" s="783"/>
      <c r="AH123" s="145">
        <f t="shared" si="8"/>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145">
        <f t="shared" si="10"/>
        <v>0</v>
      </c>
      <c r="BE123" s="145">
        <f t="shared" si="11"/>
        <v>0</v>
      </c>
      <c r="BF123" s="145">
        <f t="shared" si="12"/>
        <v>0</v>
      </c>
      <c r="BG123" s="145">
        <f t="shared" si="13"/>
        <v>0</v>
      </c>
      <c r="BH123" s="145">
        <f t="shared" si="14"/>
        <v>0</v>
      </c>
      <c r="BI123" s="145">
        <f t="shared" si="15"/>
        <v>0</v>
      </c>
      <c r="BJ123" s="145">
        <f t="shared" si="16"/>
        <v>0</v>
      </c>
      <c r="BK123" s="145">
        <f t="shared" si="17"/>
        <v>0</v>
      </c>
      <c r="BL123" s="145">
        <f t="shared" si="18"/>
        <v>0</v>
      </c>
      <c r="BM123" s="145">
        <f t="shared" si="19"/>
        <v>0</v>
      </c>
      <c r="BN123" s="786"/>
      <c r="BO123" s="786"/>
      <c r="BP123" s="786"/>
      <c r="BS123" s="705" t="s">
        <v>2136</v>
      </c>
    </row>
    <row r="124" spans="2:75" ht="14.65" hidden="1" customHeight="1">
      <c r="B124" s="653" t="b" cm="1">
        <f t="array" ref="B124">B123</f>
        <v>0</v>
      </c>
      <c r="E124" s="518">
        <v>15</v>
      </c>
      <c r="F124" s="3" cm="1">
        <f t="array" aca="1" ref="F124" ca="1">OFFSET(E124,-1,1)</f>
        <v>0</v>
      </c>
      <c r="K124" s="44" t="s">
        <v>536</v>
      </c>
      <c r="L124" s="44"/>
      <c r="M124" s="44"/>
      <c r="T124" s="365" t="b" cm="1">
        <f t="array" aca="1" ref="T124" ca="1">T123</f>
        <v>0</v>
      </c>
      <c r="X124" s="1075"/>
      <c r="Z124" s="1065"/>
      <c r="AB124" s="152" t="s">
        <v>673</v>
      </c>
      <c r="AC124" s="146" t="s">
        <v>2137</v>
      </c>
      <c r="AD124" s="26" t="s">
        <v>804</v>
      </c>
      <c r="AE124" s="787"/>
      <c r="AF124" s="787"/>
      <c r="AG124" s="787"/>
      <c r="AH124" s="55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52"/>
      <c r="BE124" s="552"/>
      <c r="BF124" s="552"/>
      <c r="BG124" s="552"/>
      <c r="BH124" s="552"/>
      <c r="BI124" s="552"/>
      <c r="BJ124" s="552"/>
      <c r="BK124" s="552"/>
      <c r="BL124" s="552"/>
      <c r="BM124" s="552"/>
      <c r="BN124" s="784"/>
      <c r="BO124" s="784"/>
      <c r="BP124" s="784"/>
      <c r="BS124" s="705" t="s">
        <v>2138</v>
      </c>
    </row>
    <row r="125" spans="2:75" ht="14.65" hidden="1" customHeight="1">
      <c r="B125" s="653" t="b" cm="1">
        <f t="array" ref="B125">B124</f>
        <v>0</v>
      </c>
      <c r="E125" s="518">
        <v>15</v>
      </c>
      <c r="F125" s="3" cm="1">
        <f t="array" aca="1" ref="F125" ca="1">OFFSET(E125,-1,1)</f>
        <v>0</v>
      </c>
      <c r="K125" s="44" t="s">
        <v>540</v>
      </c>
      <c r="L125" s="44"/>
      <c r="M125" s="44"/>
      <c r="T125" s="365" t="b" cm="1">
        <f t="array" aca="1" ref="T125" ca="1">T124</f>
        <v>0</v>
      </c>
      <c r="X125" s="1075"/>
      <c r="Z125" s="1065"/>
      <c r="AB125" s="152" t="s">
        <v>676</v>
      </c>
      <c r="AC125" s="146" t="s">
        <v>2139</v>
      </c>
      <c r="AD125" s="26" t="s">
        <v>2140</v>
      </c>
      <c r="AE125" s="787"/>
      <c r="AF125" s="787"/>
      <c r="AG125" s="787"/>
      <c r="AH125" s="55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52"/>
      <c r="BE125" s="552"/>
      <c r="BF125" s="552"/>
      <c r="BG125" s="552"/>
      <c r="BH125" s="552"/>
      <c r="BI125" s="552"/>
      <c r="BJ125" s="552"/>
      <c r="BK125" s="552"/>
      <c r="BL125" s="552"/>
      <c r="BM125" s="552"/>
      <c r="BN125" s="784"/>
      <c r="BO125" s="784"/>
      <c r="BP125" s="784"/>
      <c r="BS125" s="705" t="s">
        <v>2141</v>
      </c>
    </row>
    <row r="126" spans="2:75" ht="14.65" hidden="1" customHeight="1">
      <c r="B126" s="653" t="b" cm="1">
        <f t="array" ref="B126">B125</f>
        <v>0</v>
      </c>
      <c r="E126" s="518">
        <v>15</v>
      </c>
      <c r="F126" s="3" cm="1">
        <f t="array" aca="1" ref="F126" ca="1">OFFSET(E126,-1,1)</f>
        <v>0</v>
      </c>
      <c r="K126" s="44" t="s">
        <v>330</v>
      </c>
      <c r="L126" s="44"/>
      <c r="M126" s="44"/>
      <c r="T126" s="365" t="b" cm="1">
        <f t="array" aca="1" ref="T126" ca="1">T125</f>
        <v>0</v>
      </c>
      <c r="X126" s="1075"/>
      <c r="Z126" s="1065"/>
      <c r="AB126" s="150" t="s">
        <v>444</v>
      </c>
      <c r="AC126" s="151" t="s">
        <v>2142</v>
      </c>
      <c r="AD126" s="143" t="s">
        <v>804</v>
      </c>
      <c r="AE126" s="783"/>
      <c r="AF126" s="783"/>
      <c r="AG126" s="783"/>
      <c r="AH126" s="145">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145">
        <f>IF(AI126=0,0,(AT126-AI126)/AI126*100)</f>
        <v>0</v>
      </c>
      <c r="BE126" s="145">
        <f t="shared" ref="BE126:BM126" si="24">IF(AT126=0,0,(AU126-AT126)/AT126*100)</f>
        <v>0</v>
      </c>
      <c r="BF126" s="145">
        <f t="shared" si="24"/>
        <v>0</v>
      </c>
      <c r="BG126" s="145">
        <f t="shared" si="24"/>
        <v>0</v>
      </c>
      <c r="BH126" s="145">
        <f t="shared" si="24"/>
        <v>0</v>
      </c>
      <c r="BI126" s="145">
        <f t="shared" si="24"/>
        <v>0</v>
      </c>
      <c r="BJ126" s="145">
        <f t="shared" si="24"/>
        <v>0</v>
      </c>
      <c r="BK126" s="145">
        <f t="shared" si="24"/>
        <v>0</v>
      </c>
      <c r="BL126" s="145">
        <f t="shared" si="24"/>
        <v>0</v>
      </c>
      <c r="BM126" s="145">
        <f t="shared" si="24"/>
        <v>0</v>
      </c>
      <c r="BN126" s="786"/>
      <c r="BO126" s="786"/>
      <c r="BP126" s="786"/>
      <c r="BS126" s="705" t="s">
        <v>2143</v>
      </c>
    </row>
    <row r="127" spans="2:75" ht="14.65" hidden="1" customHeight="1">
      <c r="B127" s="653" t="b" cm="1">
        <f t="array" ref="B127">B126</f>
        <v>0</v>
      </c>
      <c r="E127" s="518">
        <v>15</v>
      </c>
      <c r="F127" s="3" cm="1">
        <f t="array" aca="1" ref="F127" ca="1">OFFSET(E127,-1,1)</f>
        <v>0</v>
      </c>
      <c r="K127" s="44" t="s">
        <v>550</v>
      </c>
      <c r="L127" s="44"/>
      <c r="M127" s="44"/>
      <c r="T127" s="365" t="b" cm="1">
        <f t="array" aca="1" ref="T127" ca="1">T126</f>
        <v>0</v>
      </c>
      <c r="X127" s="1075"/>
      <c r="Z127" s="1065"/>
      <c r="AB127" s="152" t="s">
        <v>680</v>
      </c>
      <c r="AC127" s="146" t="s">
        <v>2144</v>
      </c>
      <c r="AD127" s="26" t="s">
        <v>804</v>
      </c>
      <c r="AE127" s="787"/>
      <c r="AF127" s="787"/>
      <c r="AG127" s="787"/>
      <c r="AH127" s="55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52"/>
      <c r="BE127" s="552"/>
      <c r="BF127" s="552"/>
      <c r="BG127" s="552"/>
      <c r="BH127" s="552"/>
      <c r="BI127" s="552"/>
      <c r="BJ127" s="552"/>
      <c r="BK127" s="552"/>
      <c r="BL127" s="552"/>
      <c r="BM127" s="552"/>
      <c r="BN127" s="784"/>
      <c r="BO127" s="784"/>
      <c r="BP127" s="784"/>
      <c r="BS127" s="705" t="s">
        <v>2145</v>
      </c>
    </row>
    <row r="128" spans="2:75" ht="14.65" hidden="1" customHeight="1">
      <c r="B128" s="653" t="b" cm="1">
        <f t="array" ref="B128">B127</f>
        <v>0</v>
      </c>
      <c r="E128" s="518">
        <v>15</v>
      </c>
      <c r="F128" s="3" cm="1">
        <f t="array" aca="1" ref="F128" ca="1">OFFSET(E128,-1,1)</f>
        <v>0</v>
      </c>
      <c r="K128" s="44" t="s">
        <v>554</v>
      </c>
      <c r="L128" s="44"/>
      <c r="M128" s="44"/>
      <c r="T128" s="365" t="b" cm="1">
        <f t="array" aca="1" ref="T128" ca="1">T127</f>
        <v>0</v>
      </c>
      <c r="X128" s="1075"/>
      <c r="Z128" s="1065"/>
      <c r="AB128" s="152" t="s">
        <v>683</v>
      </c>
      <c r="AC128" s="146" t="s">
        <v>2146</v>
      </c>
      <c r="AD128" s="26" t="s">
        <v>456</v>
      </c>
      <c r="AE128" s="787"/>
      <c r="AF128" s="787"/>
      <c r="AG128" s="787"/>
      <c r="AH128" s="55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52"/>
      <c r="BE128" s="552"/>
      <c r="BF128" s="552"/>
      <c r="BG128" s="552"/>
      <c r="BH128" s="552"/>
      <c r="BI128" s="552"/>
      <c r="BJ128" s="552"/>
      <c r="BK128" s="552"/>
      <c r="BL128" s="552"/>
      <c r="BM128" s="552"/>
      <c r="BN128" s="784"/>
      <c r="BO128" s="784"/>
      <c r="BP128" s="784"/>
      <c r="BS128" s="705" t="s">
        <v>2147</v>
      </c>
    </row>
    <row r="129" spans="2:75" ht="14.65" hidden="1" customHeight="1">
      <c r="B129" s="653" t="b" cm="1">
        <f t="array" ref="B129">B128</f>
        <v>0</v>
      </c>
      <c r="E129" s="518">
        <v>15</v>
      </c>
      <c r="F129" s="3" cm="1">
        <f t="array" aca="1" ref="F129" ca="1">OFFSET(E129,-1,1)</f>
        <v>0</v>
      </c>
      <c r="K129" s="44" t="s">
        <v>770</v>
      </c>
      <c r="L129" s="44"/>
      <c r="M129" s="44"/>
      <c r="T129" s="365" t="b" cm="1">
        <f t="array" aca="1" ref="T129" ca="1">T128</f>
        <v>0</v>
      </c>
      <c r="X129" s="1075"/>
      <c r="Z129" s="1065"/>
      <c r="AB129" s="152" t="s">
        <v>952</v>
      </c>
      <c r="AC129" s="146" t="s">
        <v>2148</v>
      </c>
      <c r="AD129" s="26" t="s">
        <v>804</v>
      </c>
      <c r="AE129" s="787"/>
      <c r="AF129" s="787"/>
      <c r="AG129" s="787"/>
      <c r="AH129" s="55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52"/>
      <c r="BE129" s="552"/>
      <c r="BF129" s="552"/>
      <c r="BG129" s="552"/>
      <c r="BH129" s="552"/>
      <c r="BI129" s="552"/>
      <c r="BJ129" s="552"/>
      <c r="BK129" s="552"/>
      <c r="BL129" s="552"/>
      <c r="BM129" s="552"/>
      <c r="BN129" s="784"/>
      <c r="BO129" s="784"/>
      <c r="BP129" s="784"/>
      <c r="BS129" s="705" t="s">
        <v>2149</v>
      </c>
    </row>
    <row r="130" spans="2:75" ht="14.65" hidden="1" customHeight="1">
      <c r="B130" s="653" t="b" cm="1">
        <f t="array" ref="B130">B129</f>
        <v>0</v>
      </c>
      <c r="E130" s="518">
        <v>15</v>
      </c>
      <c r="F130" s="3" cm="1">
        <f t="array" aca="1" ref="F130" ca="1">OFFSET(E130,-1,1)</f>
        <v>0</v>
      </c>
      <c r="K130" s="44" t="s">
        <v>954</v>
      </c>
      <c r="L130" s="44"/>
      <c r="M130" s="44"/>
      <c r="T130" s="365" t="b" cm="1">
        <f t="array" aca="1" ref="T130" ca="1">T129</f>
        <v>0</v>
      </c>
      <c r="X130" s="1075"/>
      <c r="Z130" s="1065"/>
      <c r="AB130" s="152" t="s">
        <v>955</v>
      </c>
      <c r="AC130" s="146" t="s">
        <v>2150</v>
      </c>
      <c r="AD130" s="26" t="s">
        <v>804</v>
      </c>
      <c r="AE130" s="787"/>
      <c r="AF130" s="787"/>
      <c r="AG130" s="787"/>
      <c r="AH130" s="55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52"/>
      <c r="BE130" s="552"/>
      <c r="BF130" s="552"/>
      <c r="BG130" s="552"/>
      <c r="BH130" s="552"/>
      <c r="BI130" s="552"/>
      <c r="BJ130" s="552"/>
      <c r="BK130" s="552"/>
      <c r="BL130" s="552"/>
      <c r="BM130" s="552"/>
      <c r="BN130" s="784"/>
      <c r="BO130" s="784"/>
      <c r="BP130" s="784"/>
      <c r="BS130" s="705" t="s">
        <v>2151</v>
      </c>
    </row>
    <row r="131" spans="2:75" ht="14.65" hidden="1" customHeight="1">
      <c r="B131" s="653" t="b" cm="1">
        <f t="array" ref="B131">B130</f>
        <v>0</v>
      </c>
      <c r="E131" s="518">
        <v>15</v>
      </c>
      <c r="F131" s="3" cm="1">
        <f t="array" aca="1" ref="F131" ca="1">OFFSET(E131,-1,1)</f>
        <v>0</v>
      </c>
      <c r="K131" s="44" t="s">
        <v>2152</v>
      </c>
      <c r="L131" s="44"/>
      <c r="M131" s="44"/>
      <c r="T131" s="365" t="b" cm="1">
        <f t="array" aca="1" ref="T131" ca="1">T130</f>
        <v>0</v>
      </c>
      <c r="X131" s="1075"/>
      <c r="Z131" s="1065"/>
      <c r="AB131" s="152" t="s">
        <v>2153</v>
      </c>
      <c r="AC131" s="153" t="s">
        <v>2154</v>
      </c>
      <c r="AD131" s="26" t="s">
        <v>456</v>
      </c>
      <c r="AE131" s="787"/>
      <c r="AF131" s="787"/>
      <c r="AG131" s="787"/>
      <c r="AH131" s="55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52"/>
      <c r="BE131" s="552"/>
      <c r="BF131" s="552"/>
      <c r="BG131" s="552"/>
      <c r="BH131" s="552"/>
      <c r="BI131" s="552"/>
      <c r="BJ131" s="552"/>
      <c r="BK131" s="552"/>
      <c r="BL131" s="552"/>
      <c r="BM131" s="552"/>
      <c r="BN131" s="784"/>
      <c r="BO131" s="784"/>
      <c r="BP131" s="784"/>
      <c r="BS131" s="705" t="s">
        <v>2155</v>
      </c>
    </row>
    <row r="132" spans="2:75" ht="14.65" hidden="1" customHeight="1">
      <c r="B132" s="653" t="b" cm="1">
        <f t="array" ref="B132">B131</f>
        <v>0</v>
      </c>
      <c r="E132" s="518">
        <v>15</v>
      </c>
      <c r="F132" s="3" cm="1">
        <f t="array" aca="1" ref="F132" ca="1">OFFSET(E132,-1,1)</f>
        <v>0</v>
      </c>
      <c r="K132" s="44" t="s">
        <v>957</v>
      </c>
      <c r="L132" s="44"/>
      <c r="M132" s="44"/>
      <c r="T132" s="365" t="b" cm="1">
        <f t="array" aca="1" ref="T132" ca="1">T131</f>
        <v>0</v>
      </c>
      <c r="X132" s="1075"/>
      <c r="Z132" s="1065"/>
      <c r="AB132" s="152" t="s">
        <v>958</v>
      </c>
      <c r="AC132" s="146" t="s">
        <v>2156</v>
      </c>
      <c r="AD132" s="26" t="s">
        <v>456</v>
      </c>
      <c r="AE132" s="787"/>
      <c r="AF132" s="787"/>
      <c r="AG132" s="787"/>
      <c r="AH132" s="55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52"/>
      <c r="BE132" s="552"/>
      <c r="BF132" s="552"/>
      <c r="BG132" s="552"/>
      <c r="BH132" s="552"/>
      <c r="BI132" s="552"/>
      <c r="BJ132" s="552"/>
      <c r="BK132" s="552"/>
      <c r="BL132" s="552"/>
      <c r="BM132" s="552"/>
      <c r="BN132" s="784"/>
      <c r="BO132" s="784"/>
      <c r="BP132" s="784"/>
      <c r="BS132" s="705" t="s">
        <v>2157</v>
      </c>
    </row>
    <row r="133" spans="2:75" ht="14.65" hidden="1" customHeight="1">
      <c r="B133" s="653" t="b" cm="1">
        <f t="array" ref="B133">B132</f>
        <v>0</v>
      </c>
      <c r="E133" s="518">
        <v>15</v>
      </c>
      <c r="F133" s="3" cm="1">
        <f t="array" aca="1" ref="F133" ca="1">OFFSET(E133,-1,1)</f>
        <v>0</v>
      </c>
      <c r="K133" s="44" t="s">
        <v>2158</v>
      </c>
      <c r="L133" s="44"/>
      <c r="M133" s="44"/>
      <c r="T133" s="365" t="b" cm="1">
        <f t="array" aca="1" ref="T133" ca="1">T132</f>
        <v>0</v>
      </c>
      <c r="X133" s="1075"/>
      <c r="Z133" s="1065"/>
      <c r="AB133" s="152" t="s">
        <v>2159</v>
      </c>
      <c r="AC133" s="153" t="s">
        <v>2160</v>
      </c>
      <c r="AD133" s="26" t="s">
        <v>456</v>
      </c>
      <c r="AE133" s="787"/>
      <c r="AF133" s="787"/>
      <c r="AG133" s="787"/>
      <c r="AH133" s="55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52"/>
      <c r="BE133" s="552"/>
      <c r="BF133" s="552"/>
      <c r="BG133" s="552"/>
      <c r="BH133" s="552"/>
      <c r="BI133" s="552"/>
      <c r="BJ133" s="552"/>
      <c r="BK133" s="552"/>
      <c r="BL133" s="552"/>
      <c r="BM133" s="552"/>
      <c r="BN133" s="784"/>
      <c r="BO133" s="784"/>
      <c r="BP133" s="784"/>
      <c r="BS133" s="705" t="s">
        <v>2161</v>
      </c>
    </row>
    <row r="134" spans="2:75" ht="14.65" hidden="1" customHeight="1">
      <c r="B134" s="653" t="b" cm="1">
        <f t="array" ref="B134">B133</f>
        <v>0</v>
      </c>
      <c r="E134" s="518">
        <v>15</v>
      </c>
      <c r="F134" s="3" cm="1">
        <f t="array" aca="1" ref="F134" ca="1">OFFSET(E134,-1,1)</f>
        <v>0</v>
      </c>
      <c r="K134" s="44" t="s">
        <v>2162</v>
      </c>
      <c r="L134" s="44"/>
      <c r="M134" s="44"/>
      <c r="T134" s="365" t="b" cm="1">
        <f t="array" aca="1" ref="T134" ca="1">T133</f>
        <v>0</v>
      </c>
      <c r="X134" s="1075"/>
      <c r="Z134" s="1065"/>
      <c r="AB134" s="152" t="s">
        <v>2163</v>
      </c>
      <c r="AC134" s="153" t="s">
        <v>2164</v>
      </c>
      <c r="AD134" s="26" t="s">
        <v>456</v>
      </c>
      <c r="AE134" s="787"/>
      <c r="AF134" s="787"/>
      <c r="AG134" s="787"/>
      <c r="AH134" s="55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52"/>
      <c r="BE134" s="552"/>
      <c r="BF134" s="552"/>
      <c r="BG134" s="552"/>
      <c r="BH134" s="552"/>
      <c r="BI134" s="552"/>
      <c r="BJ134" s="552"/>
      <c r="BK134" s="552"/>
      <c r="BL134" s="552"/>
      <c r="BM134" s="552"/>
      <c r="BN134" s="784"/>
      <c r="BO134" s="784"/>
      <c r="BP134" s="784"/>
      <c r="BS134" s="705" t="s">
        <v>2165</v>
      </c>
    </row>
    <row r="135" spans="2:75" s="95" customFormat="1" ht="20.45" hidden="1" customHeight="1">
      <c r="B135" s="344"/>
      <c r="D135" s="46" t="str">
        <f>IF(B134,"6","7")</f>
        <v>7</v>
      </c>
      <c r="E135" s="522">
        <v>21</v>
      </c>
      <c r="F135" s="3" cm="1">
        <f t="array" aca="1" ref="F135" ca="1">OFFSET(E135,-1,1)</f>
        <v>0</v>
      </c>
      <c r="G135" s="91" t="s">
        <v>2166</v>
      </c>
      <c r="H135" s="91"/>
      <c r="I135" s="292" t="s">
        <v>2167</v>
      </c>
      <c r="K135" s="292" t="s">
        <v>2167</v>
      </c>
      <c r="L135" s="46"/>
      <c r="M135" s="46"/>
      <c r="T135" s="365" t="b" cm="1">
        <f t="array" aca="1" ref="T135" ca="1">T134</f>
        <v>0</v>
      </c>
      <c r="X135" s="1075"/>
      <c r="Z135" s="1065"/>
      <c r="AB135" s="143" t="str" cm="1">
        <f t="array" ref="AB135">D135</f>
        <v>7</v>
      </c>
      <c r="AC135" s="151" t="s">
        <v>1590</v>
      </c>
      <c r="AD135" s="143" t="s">
        <v>804</v>
      </c>
      <c r="AE135" s="783"/>
      <c r="AF135" s="783"/>
      <c r="AG135" s="783"/>
      <c r="AH135" s="145">
        <f>AG135-AF135</f>
        <v>0</v>
      </c>
      <c r="AI135" s="783"/>
      <c r="AJ135" s="783">
        <f ca="1">SUMIFS('Корректировка НВВ'!$AF$25:$AF$180,'Корректировка НВВ'!$F$25:$F$180,$F135,'Корректировка НВВ'!$I$25:$I$180,$G135)</f>
        <v>0</v>
      </c>
      <c r="AK135" s="783"/>
      <c r="AL135" s="783"/>
      <c r="AM135" s="783"/>
      <c r="AN135" s="783"/>
      <c r="AO135" s="783"/>
      <c r="AP135" s="783"/>
      <c r="AQ135" s="783"/>
      <c r="AR135" s="783"/>
      <c r="AS135" s="783"/>
      <c r="AT135" s="783">
        <f ca="1">SUMIFS('Корректировка НВВ'!$AG$25:$AG$180,'Корректировка НВВ'!$F$25:$F$180,$F135,'Корректировка НВВ'!$I$25:$I$180,$G135)</f>
        <v>0</v>
      </c>
      <c r="AU135" s="783"/>
      <c r="AV135" s="783"/>
      <c r="AW135" s="783"/>
      <c r="AX135" s="783"/>
      <c r="AY135" s="783"/>
      <c r="AZ135" s="783"/>
      <c r="BA135" s="783"/>
      <c r="BB135" s="783"/>
      <c r="BC135" s="783"/>
      <c r="BD135" s="145">
        <f>IF(AI135=0,0,(AT135-AI135)/AI135*100)</f>
        <v>0</v>
      </c>
      <c r="BE135" s="145">
        <f t="shared" ref="BE135:BM135" ca="1" si="25">IF(AT135=0,0,(AU135-AT135)/AT135*100)</f>
        <v>0</v>
      </c>
      <c r="BF135" s="145">
        <f t="shared" si="25"/>
        <v>0</v>
      </c>
      <c r="BG135" s="145">
        <f t="shared" si="25"/>
        <v>0</v>
      </c>
      <c r="BH135" s="145">
        <f t="shared" si="25"/>
        <v>0</v>
      </c>
      <c r="BI135" s="145">
        <f t="shared" si="25"/>
        <v>0</v>
      </c>
      <c r="BJ135" s="145">
        <f t="shared" si="25"/>
        <v>0</v>
      </c>
      <c r="BK135" s="145">
        <f t="shared" si="25"/>
        <v>0</v>
      </c>
      <c r="BL135" s="145">
        <f t="shared" si="25"/>
        <v>0</v>
      </c>
      <c r="BM135" s="145">
        <f t="shared" si="25"/>
        <v>0</v>
      </c>
      <c r="BN135" s="786"/>
      <c r="BO135" s="788" t="str">
        <f ca="1">IF(IFERROR(INDEX('Корректировка НВВ'!$K$26:$L$180,MATCH($F135&amp;"11komm",'Корректировка НВВ'!$K$26:$K$180,0),2),"")=0,"",IFERROR(INDEX('Корректировка НВВ'!$K$26:$L$180,MATCH($F135&amp;"11komm",'Корректировка НВВ'!$K$26:$K$180,0),2),""))</f>
        <v/>
      </c>
      <c r="BP135" s="786"/>
      <c r="BS135" s="711" t="s">
        <v>2168</v>
      </c>
      <c r="BT135" s="711"/>
      <c r="BU135" s="711"/>
      <c r="BV135" s="522"/>
      <c r="BW135" s="522"/>
    </row>
    <row r="136" spans="2:75" ht="14.65" hidden="1" customHeight="1">
      <c r="D136" s="44" t="str" cm="1">
        <f t="array" ref="D136">D135</f>
        <v>7</v>
      </c>
      <c r="E136" s="518">
        <v>15</v>
      </c>
      <c r="F136" s="3" cm="1">
        <f t="array" aca="1" ref="F136" ca="1">OFFSET(E136,-1,1)</f>
        <v>0</v>
      </c>
      <c r="L136" s="44"/>
      <c r="M136" s="44"/>
      <c r="T136" s="365" t="b" cm="1">
        <f t="array" aca="1" ref="T136" ca="1">T135</f>
        <v>0</v>
      </c>
      <c r="X136" s="1075"/>
      <c r="Z136" s="1065"/>
      <c r="AB136" s="26"/>
      <c r="AC136" s="358" t="s">
        <v>2169</v>
      </c>
      <c r="AD136" s="26"/>
      <c r="AE136" s="552"/>
      <c r="AF136" s="552"/>
      <c r="AG136" s="552"/>
      <c r="AH136" s="552"/>
      <c r="AI136" s="552"/>
      <c r="AJ136" s="552"/>
      <c r="AK136" s="552"/>
      <c r="AL136" s="552"/>
      <c r="AM136" s="552"/>
      <c r="AN136" s="552"/>
      <c r="AO136" s="552"/>
      <c r="AP136" s="552"/>
      <c r="AQ136" s="552"/>
      <c r="AR136" s="552"/>
      <c r="AS136" s="552"/>
      <c r="AT136" s="552"/>
      <c r="AU136" s="552"/>
      <c r="AV136" s="552"/>
      <c r="AW136" s="552"/>
      <c r="AX136" s="552"/>
      <c r="AY136" s="552"/>
      <c r="AZ136" s="552"/>
      <c r="BA136" s="552"/>
      <c r="BB136" s="552"/>
      <c r="BC136" s="552"/>
      <c r="BD136" s="552"/>
      <c r="BE136" s="552"/>
      <c r="BF136" s="552"/>
      <c r="BG136" s="552"/>
      <c r="BH136" s="552"/>
      <c r="BI136" s="552"/>
      <c r="BJ136" s="552"/>
      <c r="BK136" s="552"/>
      <c r="BL136" s="552"/>
      <c r="BM136" s="552"/>
      <c r="BN136" s="398"/>
      <c r="BO136" s="398"/>
      <c r="BP136" s="398"/>
    </row>
    <row r="137" spans="2:75" ht="21.95" hidden="1" customHeight="1">
      <c r="D137" s="44" t="str" cm="1">
        <f t="array" ref="D137">D136</f>
        <v>7</v>
      </c>
      <c r="E137" s="518">
        <v>22.5</v>
      </c>
      <c r="F137" s="3" cm="1">
        <f t="array" aca="1" ref="F137" ca="1">OFFSET(E137,-1,1)</f>
        <v>0</v>
      </c>
      <c r="G137" s="91" t="s">
        <v>368</v>
      </c>
      <c r="I137" s="91" t="s">
        <v>514</v>
      </c>
      <c r="K137" s="91" t="s">
        <v>514</v>
      </c>
      <c r="L137" s="44"/>
      <c r="M137" s="44"/>
      <c r="T137" s="365" t="b" cm="1">
        <f t="array" aca="1" ref="T137" ca="1">T136</f>
        <v>0</v>
      </c>
      <c r="X137" s="1075"/>
      <c r="Z137" s="1065"/>
      <c r="AB137" s="26" t="str">
        <f>D137&amp;".1"</f>
        <v>7.1</v>
      </c>
      <c r="AC137" s="146" t="s">
        <v>2170</v>
      </c>
      <c r="AD137" s="26" t="s">
        <v>804</v>
      </c>
      <c r="AE137" s="787"/>
      <c r="AF137" s="787"/>
      <c r="AG137" s="787"/>
      <c r="AH137" s="190">
        <f t="shared" ref="AH137:AH150" si="26">AG137-AF137</f>
        <v>0</v>
      </c>
      <c r="AI137" s="787"/>
      <c r="AJ137" s="787">
        <f ca="1">SUMIFS('Корректировка НВВ'!$AF$25:$AF$180,'Корректировка НВВ'!$F$25:$F$180,$F137,'Корректировка НВВ'!$I$25:$I$180,$G137)</f>
        <v>0</v>
      </c>
      <c r="AK137" s="787"/>
      <c r="AL137" s="787"/>
      <c r="AM137" s="787"/>
      <c r="AN137" s="787"/>
      <c r="AO137" s="787"/>
      <c r="AP137" s="787"/>
      <c r="AQ137" s="787"/>
      <c r="AR137" s="787"/>
      <c r="AS137" s="787"/>
      <c r="AT137" s="787">
        <f ca="1">SUMIFS('Корректировка НВВ'!$AG$25:$AG$180,'Корректировка НВВ'!$F$25:$F$180,$F137,'Корректировка НВВ'!$I$25:$I$180,$G137)</f>
        <v>0</v>
      </c>
      <c r="AU137" s="787"/>
      <c r="AV137" s="787"/>
      <c r="AW137" s="787"/>
      <c r="AX137" s="787"/>
      <c r="AY137" s="787"/>
      <c r="AZ137" s="787"/>
      <c r="BA137" s="787"/>
      <c r="BB137" s="787"/>
      <c r="BC137" s="787"/>
      <c r="BD137" s="552"/>
      <c r="BE137" s="552"/>
      <c r="BF137" s="552"/>
      <c r="BG137" s="552"/>
      <c r="BH137" s="552"/>
      <c r="BI137" s="552"/>
      <c r="BJ137" s="552"/>
      <c r="BK137" s="552"/>
      <c r="BL137" s="552"/>
      <c r="BM137" s="552"/>
      <c r="BN137" s="784"/>
      <c r="BO137" s="788" t="str">
        <f ca="1">IF(IFERROR(INDEX('Корректировка НВВ'!$K$26:$L$180,MATCH($F137&amp;"1komm",'Корректировка НВВ'!$K$26:$K$180,0),2),"")=0,"",IFERROR(INDEX('Корректировка НВВ'!$K$26:$L$180,MATCH($F137&amp;"1komm",'Корректировка НВВ'!$K$26:$K$180,0),2),""))</f>
        <v/>
      </c>
      <c r="BP137" s="784"/>
      <c r="BS137" s="705" t="s">
        <v>2171</v>
      </c>
    </row>
    <row r="138" spans="2:75" ht="98.65" hidden="1" customHeight="1">
      <c r="D138" s="44" t="str" cm="1">
        <f t="array" ref="D138">D137</f>
        <v>7</v>
      </c>
      <c r="E138" s="518">
        <v>101.25</v>
      </c>
      <c r="F138" s="3" cm="1">
        <f t="array" aca="1" ref="F138" ca="1">OFFSET(E138,-1,1)</f>
        <v>0</v>
      </c>
      <c r="G138" s="91" t="s">
        <v>2172</v>
      </c>
      <c r="I138" s="91" t="s">
        <v>562</v>
      </c>
      <c r="K138" s="91" t="s">
        <v>562</v>
      </c>
      <c r="L138" s="44"/>
      <c r="M138" s="44"/>
      <c r="T138" s="365" t="b" cm="1">
        <f t="array" aca="1" ref="T138" ca="1">T137</f>
        <v>0</v>
      </c>
      <c r="X138" s="1075"/>
      <c r="Z138" s="1065"/>
      <c r="AB138" s="26" t="str">
        <f>D138&amp;".2"</f>
        <v>7.2</v>
      </c>
      <c r="AC138" s="146" t="s">
        <v>2173</v>
      </c>
      <c r="AD138" s="26" t="s">
        <v>804</v>
      </c>
      <c r="AE138" s="787"/>
      <c r="AF138" s="787"/>
      <c r="AG138" s="787"/>
      <c r="AH138" s="190">
        <f t="shared" si="26"/>
        <v>0</v>
      </c>
      <c r="AI138" s="787"/>
      <c r="AJ138" s="787">
        <f ca="1">SUMIFS('Корректировка НВВ'!$AF$25:$AF$180,'Корректировка НВВ'!$F$25:$F$180,$F138,'Корректировка НВВ'!$I$25:$I$180,$G138)</f>
        <v>0</v>
      </c>
      <c r="AK138" s="787"/>
      <c r="AL138" s="787"/>
      <c r="AM138" s="787"/>
      <c r="AN138" s="787"/>
      <c r="AO138" s="787"/>
      <c r="AP138" s="787"/>
      <c r="AQ138" s="787"/>
      <c r="AR138" s="787"/>
      <c r="AS138" s="787"/>
      <c r="AT138" s="787">
        <f ca="1">SUMIFS('Корректировка НВВ'!$AG$25:$AG$180,'Корректировка НВВ'!$F$25:$F$180,$F138,'Корректировка НВВ'!$I$25:$I$180,$G138)</f>
        <v>0</v>
      </c>
      <c r="AU138" s="787"/>
      <c r="AV138" s="787"/>
      <c r="AW138" s="787"/>
      <c r="AX138" s="787"/>
      <c r="AY138" s="787"/>
      <c r="AZ138" s="787"/>
      <c r="BA138" s="787"/>
      <c r="BB138" s="787"/>
      <c r="BC138" s="787"/>
      <c r="BD138" s="552"/>
      <c r="BE138" s="552"/>
      <c r="BF138" s="552"/>
      <c r="BG138" s="552"/>
      <c r="BH138" s="552"/>
      <c r="BI138" s="552"/>
      <c r="BJ138" s="552"/>
      <c r="BK138" s="552"/>
      <c r="BL138" s="552"/>
      <c r="BM138" s="552"/>
      <c r="BN138" s="784"/>
      <c r="BO138" s="788" t="str">
        <f ca="1">IF(IFERROR(INDEX('Корректировка НВВ'!$K$26:$L$180,MATCH($F138&amp;"2komm",'Корректировка НВВ'!$K$26:$K$180,0),2),"")=0,"",IFERROR(INDEX('Корректировка НВВ'!$K$26:$L$180,MATCH($F138&amp;"2komm",'Корректировка НВВ'!$K$26:$K$180,0),2),""))</f>
        <v/>
      </c>
      <c r="BP138" s="784"/>
      <c r="BS138" s="705" t="s">
        <v>2174</v>
      </c>
    </row>
    <row r="139" spans="2:75" ht="43.9" hidden="1" customHeight="1">
      <c r="D139" s="44" t="str" cm="1">
        <f t="array" ref="D139">D138</f>
        <v>7</v>
      </c>
      <c r="E139" s="518">
        <v>45</v>
      </c>
      <c r="F139" s="3" cm="1">
        <f t="array" aca="1" ref="F139" ca="1">OFFSET(E139,-1,1)</f>
        <v>0</v>
      </c>
      <c r="I139" s="91" t="s">
        <v>577</v>
      </c>
      <c r="K139" s="91" t="s">
        <v>577</v>
      </c>
      <c r="L139" s="44"/>
      <c r="M139" s="44"/>
      <c r="T139" s="365" t="b" cm="1">
        <f t="array" aca="1" ref="T139" ca="1">T138</f>
        <v>0</v>
      </c>
      <c r="X139" s="1075"/>
      <c r="Z139" s="1065"/>
      <c r="AB139" s="26" t="str">
        <f>D139&amp;".3"</f>
        <v>7.3</v>
      </c>
      <c r="AC139" s="146" t="s">
        <v>2175</v>
      </c>
      <c r="AD139" s="26" t="s">
        <v>804</v>
      </c>
      <c r="AE139" s="787"/>
      <c r="AF139" s="787"/>
      <c r="AG139" s="787"/>
      <c r="AH139" s="190">
        <f t="shared" si="26"/>
        <v>0</v>
      </c>
      <c r="AI139" s="787"/>
      <c r="AJ139" s="787">
        <f ca="1">SUMIFS('Корректировка НВВ'!$AF$25:$AF$180,'Корректировка НВВ'!$F$25:$F$180,$F139,'Корректировка НВВ'!$I$25:$I$180,"L1")+SUMIFS('Корректировка НВВ'!$AF$25:$AF$180,'Корректировка НВВ'!$F$25:$F$180,$F139,'Корректировка НВВ'!$I$25:$I$180,"L2")</f>
        <v>0</v>
      </c>
      <c r="AK139" s="787"/>
      <c r="AL139" s="787"/>
      <c r="AM139" s="787"/>
      <c r="AN139" s="787"/>
      <c r="AO139" s="787"/>
      <c r="AP139" s="787"/>
      <c r="AQ139" s="787"/>
      <c r="AR139" s="787"/>
      <c r="AS139" s="787"/>
      <c r="AT139" s="787">
        <f ca="1">SUMIFS('Корректировка НВВ'!$AG$25:$AG$180,'Корректировка НВВ'!$F$25:$F$180,$F139,'Корректировка НВВ'!$I$25:$I$180,"L1")+SUMIFS('Корректировка НВВ'!$AF$25:$AF$180,'Корректировка НВВ'!$F$25:$F$180,$F139,'Корректировка НВВ'!$I$25:$I$180,"L2")</f>
        <v>0</v>
      </c>
      <c r="AU139" s="787"/>
      <c r="AV139" s="787"/>
      <c r="AW139" s="787"/>
      <c r="AX139" s="787"/>
      <c r="AY139" s="787"/>
      <c r="AZ139" s="787"/>
      <c r="BA139" s="787"/>
      <c r="BB139" s="787"/>
      <c r="BC139" s="787"/>
      <c r="BD139" s="552"/>
      <c r="BE139" s="552"/>
      <c r="BF139" s="552"/>
      <c r="BG139" s="552"/>
      <c r="BH139" s="552"/>
      <c r="BI139" s="552"/>
      <c r="BJ139" s="552"/>
      <c r="BK139" s="552"/>
      <c r="BL139" s="552"/>
      <c r="BM139" s="552"/>
      <c r="BN139" s="784"/>
      <c r="BO139" s="788"/>
      <c r="BP139" s="784"/>
      <c r="BS139" s="705" t="s">
        <v>2176</v>
      </c>
    </row>
    <row r="140" spans="2:75" ht="87.75" hidden="1" customHeight="1">
      <c r="B140" s="353" t="b">
        <f>S27="Водоотведение"</f>
        <v>0</v>
      </c>
      <c r="D140" s="44" t="str" cm="1">
        <f t="array" ref="D140">D139</f>
        <v>7</v>
      </c>
      <c r="E140" s="518">
        <v>90</v>
      </c>
      <c r="F140" s="3" cm="1">
        <f t="array" aca="1" ref="F140" ca="1">OFFSET(E140,-1,1)</f>
        <v>0</v>
      </c>
      <c r="G140" s="91" t="s">
        <v>2177</v>
      </c>
      <c r="H140" s="2"/>
      <c r="I140" s="91" t="s">
        <v>746</v>
      </c>
      <c r="K140" s="91" t="s">
        <v>746</v>
      </c>
      <c r="L140" s="44" t="s">
        <v>743</v>
      </c>
      <c r="M140" s="44"/>
      <c r="T140" s="365" t="b" cm="1">
        <f t="array" aca="1" ref="T140" ca="1">T139</f>
        <v>0</v>
      </c>
      <c r="X140" s="1075"/>
      <c r="Z140" s="1065"/>
      <c r="AB140" s="26" t="str">
        <f>D140&amp;".4"</f>
        <v>7.4</v>
      </c>
      <c r="AC140" s="146" t="s">
        <v>1839</v>
      </c>
      <c r="AD140" s="28" t="s">
        <v>804</v>
      </c>
      <c r="AE140" s="787"/>
      <c r="AF140" s="787"/>
      <c r="AG140" s="787"/>
      <c r="AH140" s="190">
        <f t="shared" si="26"/>
        <v>0</v>
      </c>
      <c r="AI140" s="787"/>
      <c r="AJ140" s="787">
        <f ca="1">SUMIFS('Корректировка НВВ'!$AF$25:$AF$180,'Корректировка НВВ'!$F$25:$F$180,$F140,'Корректировка НВВ'!$I$25:$I$180,$G140)</f>
        <v>0</v>
      </c>
      <c r="AK140" s="787"/>
      <c r="AL140" s="787"/>
      <c r="AM140" s="787"/>
      <c r="AN140" s="787"/>
      <c r="AO140" s="787"/>
      <c r="AP140" s="787"/>
      <c r="AQ140" s="787"/>
      <c r="AR140" s="787"/>
      <c r="AS140" s="787"/>
      <c r="AT140" s="787">
        <f ca="1">SUMIFS('Корректировка НВВ'!$AG$25:$AG$180,'Корректировка НВВ'!$F$25:$F$180,$F140,'Корректировка НВВ'!$I$25:$I$180,$G140)</f>
        <v>0</v>
      </c>
      <c r="AU140" s="787"/>
      <c r="AV140" s="787"/>
      <c r="AW140" s="787"/>
      <c r="AX140" s="787"/>
      <c r="AY140" s="787"/>
      <c r="AZ140" s="787"/>
      <c r="BA140" s="787"/>
      <c r="BB140" s="787"/>
      <c r="BC140" s="787"/>
      <c r="BD140" s="552"/>
      <c r="BE140" s="552"/>
      <c r="BF140" s="552"/>
      <c r="BG140" s="552"/>
      <c r="BH140" s="552"/>
      <c r="BI140" s="552"/>
      <c r="BJ140" s="552"/>
      <c r="BK140" s="552"/>
      <c r="BL140" s="552"/>
      <c r="BM140" s="552"/>
      <c r="BN140" s="784"/>
      <c r="BO140" s="788" t="str">
        <f ca="1">IF(IFERROR(INDEX('Корректировка НВВ'!$K$26:$L$180,MATCH($F140&amp;"3komm",'Корректировка НВВ'!$K$26:$K$180,0),2),"")=0,"",IFERROR(INDEX('Корректировка НВВ'!$K$26:$L$180,MATCH($F140&amp;"3komm",'Корректировка НВВ'!$K$26:$K$180,0),2),""))</f>
        <v/>
      </c>
      <c r="BP140" s="784"/>
      <c r="BS140" s="705" t="s">
        <v>1366</v>
      </c>
    </row>
    <row r="141" spans="2:75" ht="54.75" hidden="1" customHeight="1">
      <c r="B141" s="353" t="b" cm="1">
        <f t="array" ref="B141">B140</f>
        <v>0</v>
      </c>
      <c r="D141" s="44" t="str" cm="1">
        <f t="array" ref="D141">D140</f>
        <v>7</v>
      </c>
      <c r="E141" s="518">
        <v>56.25</v>
      </c>
      <c r="F141" s="3" cm="1">
        <f t="array" aca="1" ref="F141" ca="1">OFFSET(E141,-1,1)</f>
        <v>0</v>
      </c>
      <c r="G141" s="91" t="s">
        <v>2178</v>
      </c>
      <c r="H141" s="2"/>
      <c r="I141" s="91" t="s">
        <v>782</v>
      </c>
      <c r="K141" s="91" t="s">
        <v>782</v>
      </c>
      <c r="L141" s="44" t="s">
        <v>746</v>
      </c>
      <c r="M141" s="44"/>
      <c r="T141" s="365" t="b" cm="1">
        <f t="array" aca="1" ref="T141" ca="1">T140</f>
        <v>0</v>
      </c>
      <c r="X141" s="1075"/>
      <c r="Z141" s="1065"/>
      <c r="AB141" s="26" t="str">
        <f>D141&amp;".5"</f>
        <v>7.5</v>
      </c>
      <c r="AC141" s="146" t="s">
        <v>1841</v>
      </c>
      <c r="AD141" s="28" t="s">
        <v>804</v>
      </c>
      <c r="AE141" s="787"/>
      <c r="AF141" s="787"/>
      <c r="AG141" s="787"/>
      <c r="AH141" s="190">
        <f t="shared" si="26"/>
        <v>0</v>
      </c>
      <c r="AI141" s="787"/>
      <c r="AJ141" s="787">
        <f ca="1">SUMIFS('Корректировка НВВ'!$AF$25:$AF$180,'Корректировка НВВ'!$F$25:$F$180,$F141,'Корректировка НВВ'!$I$25:$I$180,$G141)</f>
        <v>0</v>
      </c>
      <c r="AK141" s="787"/>
      <c r="AL141" s="787"/>
      <c r="AM141" s="787"/>
      <c r="AN141" s="787"/>
      <c r="AO141" s="787"/>
      <c r="AP141" s="787"/>
      <c r="AQ141" s="787"/>
      <c r="AR141" s="787"/>
      <c r="AS141" s="787"/>
      <c r="AT141" s="787">
        <f ca="1">SUMIFS('Корректировка НВВ'!$AG$25:$AG$180,'Корректировка НВВ'!$F$25:$F$180,$F141,'Корректировка НВВ'!$I$25:$I$180,$G141)</f>
        <v>0</v>
      </c>
      <c r="AU141" s="787"/>
      <c r="AV141" s="787"/>
      <c r="AW141" s="787"/>
      <c r="AX141" s="787"/>
      <c r="AY141" s="787"/>
      <c r="AZ141" s="787"/>
      <c r="BA141" s="787"/>
      <c r="BB141" s="787"/>
      <c r="BC141" s="787"/>
      <c r="BD141" s="552"/>
      <c r="BE141" s="552"/>
      <c r="BF141" s="552"/>
      <c r="BG141" s="552"/>
      <c r="BH141" s="552"/>
      <c r="BI141" s="552"/>
      <c r="BJ141" s="552"/>
      <c r="BK141" s="552"/>
      <c r="BL141" s="552"/>
      <c r="BM141" s="552"/>
      <c r="BN141" s="784"/>
      <c r="BO141" s="788" t="str">
        <f ca="1">IF(IFERROR(INDEX('Корректировка НВВ'!$K$26:$L$180,MATCH($F141&amp;"4komm",'Корректировка НВВ'!$K$26:$K$180,0),2),"")=0,"",IFERROR(INDEX('Корректировка НВВ'!$K$26:$L$180,MATCH($F141&amp;"4komm",'Корректировка НВВ'!$K$26:$K$180,0),2),""))</f>
        <v/>
      </c>
      <c r="BP141" s="784"/>
      <c r="BS141" s="705" t="s">
        <v>1370</v>
      </c>
    </row>
    <row r="142" spans="2:75" ht="14.65" hidden="1" customHeight="1">
      <c r="D142" s="44" t="str" cm="1">
        <f t="array" ref="D142">D141</f>
        <v>7</v>
      </c>
      <c r="E142" s="518">
        <v>15</v>
      </c>
      <c r="F142" s="3" cm="1">
        <f t="array" aca="1" ref="F142" ca="1">OFFSET(E142,-1,1)</f>
        <v>0</v>
      </c>
      <c r="G142" s="91" t="s">
        <v>2179</v>
      </c>
      <c r="I142" s="91" t="s">
        <v>783</v>
      </c>
      <c r="K142" s="91" t="s">
        <v>783</v>
      </c>
      <c r="L142" s="44" t="s">
        <v>782</v>
      </c>
      <c r="M142" s="44"/>
      <c r="T142" s="365" t="b" cm="1">
        <f t="array" aca="1" ref="T142" ca="1">T141</f>
        <v>0</v>
      </c>
      <c r="X142" s="1075"/>
      <c r="Z142" s="1065"/>
      <c r="AB142" s="26" t="str">
        <f>IF(B141,D142&amp;".6",D142&amp;".4")</f>
        <v>7.4</v>
      </c>
      <c r="AC142" s="146" t="s">
        <v>1583</v>
      </c>
      <c r="AD142" s="26" t="s">
        <v>804</v>
      </c>
      <c r="AE142" s="787"/>
      <c r="AF142" s="787"/>
      <c r="AG142" s="787"/>
      <c r="AH142" s="190">
        <f t="shared" si="26"/>
        <v>0</v>
      </c>
      <c r="AI142" s="787"/>
      <c r="AJ142" s="787">
        <f ca="1">SUMIFS('Корректировка НВВ'!$AF$25:$AF$180,'Корректировка НВВ'!$F$25:$F$180,$F142,'Корректировка НВВ'!$I$25:$I$180,$G142)</f>
        <v>0</v>
      </c>
      <c r="AK142" s="787"/>
      <c r="AL142" s="787"/>
      <c r="AM142" s="787"/>
      <c r="AN142" s="787"/>
      <c r="AO142" s="787"/>
      <c r="AP142" s="787"/>
      <c r="AQ142" s="787"/>
      <c r="AR142" s="787"/>
      <c r="AS142" s="787"/>
      <c r="AT142" s="787">
        <f ca="1">SUMIFS('Корректировка НВВ'!$AG$25:$AG$180,'Корректировка НВВ'!$F$25:$F$180,$F142,'Корректировка НВВ'!$I$25:$I$180,$G142)</f>
        <v>0</v>
      </c>
      <c r="AU142" s="787"/>
      <c r="AV142" s="787"/>
      <c r="AW142" s="787"/>
      <c r="AX142" s="787"/>
      <c r="AY142" s="787"/>
      <c r="AZ142" s="787"/>
      <c r="BA142" s="787"/>
      <c r="BB142" s="787"/>
      <c r="BC142" s="787"/>
      <c r="BD142" s="552"/>
      <c r="BE142" s="552"/>
      <c r="BF142" s="552"/>
      <c r="BG142" s="552"/>
      <c r="BH142" s="552"/>
      <c r="BI142" s="552"/>
      <c r="BJ142" s="552"/>
      <c r="BK142" s="552"/>
      <c r="BL142" s="552"/>
      <c r="BM142" s="552"/>
      <c r="BN142" s="784"/>
      <c r="BO142" s="788" t="str">
        <f ca="1">IF(IFERROR(INDEX('Корректировка НВВ'!$K$26:$L$180,MATCH($F142&amp;"5komm",'Корректировка НВВ'!$K$26:$K$180,0),2),"")=0,"",IFERROR(INDEX('Корректировка НВВ'!$K$26:$L$180,MATCH($F142&amp;"5komm",'Корректировка НВВ'!$K$26:$K$180,0),2),""))</f>
        <v/>
      </c>
      <c r="BP142" s="784"/>
      <c r="BS142" s="705" t="s">
        <v>2180</v>
      </c>
    </row>
    <row r="143" spans="2:75" ht="14.65" hidden="1" customHeight="1">
      <c r="D143" s="44" t="str" cm="1">
        <f t="array" ref="D143">D142</f>
        <v>7</v>
      </c>
      <c r="E143" s="518">
        <v>15</v>
      </c>
      <c r="F143" s="3" cm="1">
        <f t="array" aca="1" ref="F143" ca="1">OFFSET(E143,-1,1)</f>
        <v>0</v>
      </c>
      <c r="G143" s="91" t="s">
        <v>2181</v>
      </c>
      <c r="I143" s="91" t="s">
        <v>1850</v>
      </c>
      <c r="K143" s="91" t="s">
        <v>1850</v>
      </c>
      <c r="L143" s="44" t="s">
        <v>783</v>
      </c>
      <c r="M143" s="44"/>
      <c r="T143" s="365" t="b" cm="1">
        <f t="array" aca="1" ref="T143" ca="1">T142</f>
        <v>0</v>
      </c>
      <c r="X143" s="1075"/>
      <c r="Z143" s="1065"/>
      <c r="AB143" s="26" t="str">
        <f>IF(B141,D142&amp;".7",D142&amp;".5")</f>
        <v>7.5</v>
      </c>
      <c r="AC143" s="146" t="s">
        <v>1545</v>
      </c>
      <c r="AD143" s="26" t="s">
        <v>804</v>
      </c>
      <c r="AE143" s="787">
        <f>AE144+AE145</f>
        <v>0</v>
      </c>
      <c r="AF143" s="787">
        <f>AF144+AF145</f>
        <v>0</v>
      </c>
      <c r="AG143" s="787">
        <f>AG144+AG145</f>
        <v>0</v>
      </c>
      <c r="AH143" s="190">
        <f t="shared" si="26"/>
        <v>0</v>
      </c>
      <c r="AI143" s="787">
        <f>AI144+AI145</f>
        <v>0</v>
      </c>
      <c r="AJ143" s="787">
        <f ca="1">SUMIFS('Корректировка НВВ'!$AF$25:$AF$180,'Корректировка НВВ'!$F$25:$F$180,$F143,'Корректировка НВВ'!$I$25:$I$180,$G143)</f>
        <v>0</v>
      </c>
      <c r="AK143" s="787">
        <f t="shared" ref="AK143:AS143" si="27">AK144+AK145</f>
        <v>0</v>
      </c>
      <c r="AL143" s="787">
        <f t="shared" si="27"/>
        <v>0</v>
      </c>
      <c r="AM143" s="787">
        <f t="shared" si="27"/>
        <v>0</v>
      </c>
      <c r="AN143" s="787">
        <f t="shared" si="27"/>
        <v>0</v>
      </c>
      <c r="AO143" s="787">
        <f t="shared" si="27"/>
        <v>0</v>
      </c>
      <c r="AP143" s="787">
        <f t="shared" si="27"/>
        <v>0</v>
      </c>
      <c r="AQ143" s="787">
        <f t="shared" si="27"/>
        <v>0</v>
      </c>
      <c r="AR143" s="787">
        <f t="shared" si="27"/>
        <v>0</v>
      </c>
      <c r="AS143" s="787">
        <f t="shared" si="27"/>
        <v>0</v>
      </c>
      <c r="AT143" s="787">
        <f ca="1">SUMIFS('Корректировка НВВ'!$AG$25:$AG$180,'Корректировка НВВ'!$F$25:$F$180,$F143,'Корректировка НВВ'!$I$25:$I$180,$G143)</f>
        <v>0</v>
      </c>
      <c r="AU143" s="787">
        <f t="shared" ref="AU143:BC143" si="28">AU144+AU145</f>
        <v>0</v>
      </c>
      <c r="AV143" s="787">
        <f t="shared" si="28"/>
        <v>0</v>
      </c>
      <c r="AW143" s="787">
        <f t="shared" si="28"/>
        <v>0</v>
      </c>
      <c r="AX143" s="787">
        <f t="shared" si="28"/>
        <v>0</v>
      </c>
      <c r="AY143" s="787">
        <f t="shared" si="28"/>
        <v>0</v>
      </c>
      <c r="AZ143" s="787">
        <f t="shared" si="28"/>
        <v>0</v>
      </c>
      <c r="BA143" s="787">
        <f t="shared" si="28"/>
        <v>0</v>
      </c>
      <c r="BB143" s="787">
        <f t="shared" si="28"/>
        <v>0</v>
      </c>
      <c r="BC143" s="787">
        <f t="shared" si="28"/>
        <v>0</v>
      </c>
      <c r="BD143" s="190">
        <f>IF(AI143=0,0,(AT143-AI143)/AI143*100)</f>
        <v>0</v>
      </c>
      <c r="BE143" s="190">
        <f t="shared" ref="BE143:BM143" ca="1" si="29">IF(AT143=0,0,(AU143-AT143)/AT143*100)</f>
        <v>0</v>
      </c>
      <c r="BF143" s="190">
        <f t="shared" si="29"/>
        <v>0</v>
      </c>
      <c r="BG143" s="190">
        <f t="shared" si="29"/>
        <v>0</v>
      </c>
      <c r="BH143" s="190">
        <f t="shared" si="29"/>
        <v>0</v>
      </c>
      <c r="BI143" s="190">
        <f t="shared" si="29"/>
        <v>0</v>
      </c>
      <c r="BJ143" s="190">
        <f t="shared" si="29"/>
        <v>0</v>
      </c>
      <c r="BK143" s="190">
        <f t="shared" si="29"/>
        <v>0</v>
      </c>
      <c r="BL143" s="190">
        <f t="shared" si="29"/>
        <v>0</v>
      </c>
      <c r="BM143" s="190">
        <f t="shared" si="29"/>
        <v>0</v>
      </c>
      <c r="BN143" s="784"/>
      <c r="BO143" s="788" t="str">
        <f ca="1">IF(IFERROR(INDEX('Корректировка НВВ'!$K$26:$L$180,MATCH($F143&amp;"6komm",'Корректировка НВВ'!$K$26:$K$180,0),2),"")=0,"",IFERROR(INDEX('Корректировка НВВ'!$K$26:$L$180,MATCH($F143&amp;"6komm",'Корректировка НВВ'!$K$26:$K$180,0),2),""))</f>
        <v/>
      </c>
      <c r="BP143" s="784"/>
      <c r="BS143" s="705" t="s">
        <v>1547</v>
      </c>
    </row>
    <row r="144" spans="2:75" ht="21.95" hidden="1" customHeight="1">
      <c r="D144" s="44" t="str" cm="1">
        <f t="array" ref="D144">D143</f>
        <v>7</v>
      </c>
      <c r="E144" s="518">
        <v>22.5</v>
      </c>
      <c r="F144" s="3" cm="1">
        <f t="array" aca="1" ref="F144" ca="1">OFFSET(E144,-1,1)</f>
        <v>0</v>
      </c>
      <c r="G144" s="91" t="s">
        <v>2182</v>
      </c>
      <c r="I144" s="91" t="s">
        <v>2183</v>
      </c>
      <c r="K144" s="91" t="s">
        <v>2183</v>
      </c>
      <c r="L144" s="44" t="s">
        <v>1845</v>
      </c>
      <c r="M144" s="44"/>
      <c r="T144" s="365" t="b" cm="1">
        <f t="array" aca="1" ref="T144" ca="1">T143</f>
        <v>0</v>
      </c>
      <c r="X144" s="1075"/>
      <c r="Z144" s="1065"/>
      <c r="AB144" s="26" t="str">
        <f>AB143&amp;".1"</f>
        <v>7.5.1</v>
      </c>
      <c r="AC144" s="559" t="s">
        <v>1548</v>
      </c>
      <c r="AD144" s="26" t="s">
        <v>804</v>
      </c>
      <c r="AE144" s="787"/>
      <c r="AF144" s="787"/>
      <c r="AG144" s="787"/>
      <c r="AH144" s="190">
        <f t="shared" si="26"/>
        <v>0</v>
      </c>
      <c r="AI144" s="787"/>
      <c r="AJ144" s="787">
        <f ca="1">SUMIFS('Корректировка НВВ'!$AF$25:$AF$180,'Корректировка НВВ'!$F$25:$F$180,$F144,'Корректировка НВВ'!$I$25:$I$180,$G144)</f>
        <v>0</v>
      </c>
      <c r="AK144" s="787"/>
      <c r="AL144" s="787"/>
      <c r="AM144" s="787"/>
      <c r="AN144" s="787"/>
      <c r="AO144" s="787"/>
      <c r="AP144" s="787"/>
      <c r="AQ144" s="787"/>
      <c r="AR144" s="787"/>
      <c r="AS144" s="787"/>
      <c r="AT144" s="787">
        <f ca="1">SUMIFS('Корректировка НВВ'!$AG$25:$AG$180,'Корректировка НВВ'!$F$25:$F$180,$F144,'Корректировка НВВ'!$I$25:$I$180,$G144)</f>
        <v>0</v>
      </c>
      <c r="AU144" s="787"/>
      <c r="AV144" s="787"/>
      <c r="AW144" s="787"/>
      <c r="AX144" s="787"/>
      <c r="AY144" s="787"/>
      <c r="AZ144" s="787"/>
      <c r="BA144" s="787"/>
      <c r="BB144" s="787"/>
      <c r="BC144" s="787"/>
      <c r="BD144" s="552"/>
      <c r="BE144" s="552"/>
      <c r="BF144" s="552"/>
      <c r="BG144" s="552"/>
      <c r="BH144" s="552"/>
      <c r="BI144" s="552"/>
      <c r="BJ144" s="552"/>
      <c r="BK144" s="552"/>
      <c r="BL144" s="552"/>
      <c r="BM144" s="552"/>
      <c r="BN144" s="784"/>
      <c r="BO144" s="788" t="str">
        <f ca="1">IF(IFERROR(INDEX('Корректировка НВВ'!$K$26:$L$180,MATCH($F144&amp;"7komm",'Корректировка НВВ'!$K$26:$K$180,0),2),"")=0,"",IFERROR(INDEX('Корректировка НВВ'!$K$26:$L$180,MATCH($F144&amp;"7komm",'Корректировка НВВ'!$K$26:$K$180,0),2),""))</f>
        <v/>
      </c>
      <c r="BP144" s="784"/>
      <c r="BS144" s="705" t="s">
        <v>1549</v>
      </c>
    </row>
    <row r="145" spans="2:75" ht="21.95" hidden="1" customHeight="1">
      <c r="D145" s="44" t="str" cm="1">
        <f t="array" ref="D145">D144</f>
        <v>7</v>
      </c>
      <c r="E145" s="518">
        <v>22.5</v>
      </c>
      <c r="F145" s="3" cm="1">
        <f t="array" aca="1" ref="F145" ca="1">OFFSET(E145,-1,1)</f>
        <v>0</v>
      </c>
      <c r="G145" s="91" t="s">
        <v>2184</v>
      </c>
      <c r="I145" s="91" t="s">
        <v>2185</v>
      </c>
      <c r="K145" s="91" t="s">
        <v>2185</v>
      </c>
      <c r="L145" s="44" t="s">
        <v>1847</v>
      </c>
      <c r="M145" s="44"/>
      <c r="T145" s="365" t="b" cm="1">
        <f t="array" aca="1" ref="T145" ca="1">T144</f>
        <v>0</v>
      </c>
      <c r="X145" s="1075"/>
      <c r="Z145" s="1065"/>
      <c r="AB145" s="26" t="str">
        <f>AB143&amp;".2"</f>
        <v>7.5.2</v>
      </c>
      <c r="AC145" s="559" t="s">
        <v>1550</v>
      </c>
      <c r="AD145" s="26" t="s">
        <v>804</v>
      </c>
      <c r="AE145" s="787"/>
      <c r="AF145" s="787"/>
      <c r="AG145" s="787"/>
      <c r="AH145" s="190">
        <f t="shared" si="26"/>
        <v>0</v>
      </c>
      <c r="AI145" s="787"/>
      <c r="AJ145" s="787">
        <f ca="1">SUMIFS('Корректировка НВВ'!$AF$25:$AF$180,'Корректировка НВВ'!$F$25:$F$180,$F145,'Корректировка НВВ'!$I$25:$I$180,$G145)</f>
        <v>0</v>
      </c>
      <c r="AK145" s="787"/>
      <c r="AL145" s="787"/>
      <c r="AM145" s="787"/>
      <c r="AN145" s="787"/>
      <c r="AO145" s="787"/>
      <c r="AP145" s="787"/>
      <c r="AQ145" s="787"/>
      <c r="AR145" s="787"/>
      <c r="AS145" s="787"/>
      <c r="AT145" s="787">
        <f ca="1">SUMIFS('Корректировка НВВ'!$AG$25:$AG$180,'Корректировка НВВ'!$F$25:$F$180,$F145,'Корректировка НВВ'!$I$25:$I$180,$G145)</f>
        <v>0</v>
      </c>
      <c r="AU145" s="787"/>
      <c r="AV145" s="787"/>
      <c r="AW145" s="787"/>
      <c r="AX145" s="787"/>
      <c r="AY145" s="787"/>
      <c r="AZ145" s="787"/>
      <c r="BA145" s="787"/>
      <c r="BB145" s="787"/>
      <c r="BC145" s="787"/>
      <c r="BD145" s="552"/>
      <c r="BE145" s="552"/>
      <c r="BF145" s="552"/>
      <c r="BG145" s="552"/>
      <c r="BH145" s="552"/>
      <c r="BI145" s="552"/>
      <c r="BJ145" s="552"/>
      <c r="BK145" s="552"/>
      <c r="BL145" s="552"/>
      <c r="BM145" s="552"/>
      <c r="BN145" s="784"/>
      <c r="BO145" s="788" t="str">
        <f ca="1">IF(IFERROR(INDEX('Корректировка НВВ'!$K$26:$L$180,MATCH($F145&amp;"8komm",'Корректировка НВВ'!$K$26:$K$180,0),2),"")=0,"",IFERROR(INDEX('Корректировка НВВ'!$K$26:$L$180,MATCH($F145&amp;"8komm",'Корректировка НВВ'!$K$26:$K$180,0),2),""))</f>
        <v/>
      </c>
      <c r="BP145" s="784"/>
      <c r="BS145" s="705" t="s">
        <v>1551</v>
      </c>
    </row>
    <row r="146" spans="2:75" ht="14.65" hidden="1" customHeight="1">
      <c r="D146" s="44" t="str" cm="1">
        <f t="array" ref="D146">D145</f>
        <v>7</v>
      </c>
      <c r="E146" s="518">
        <v>15</v>
      </c>
      <c r="F146" s="3" cm="1">
        <f t="array" aca="1" ref="F146" ca="1">OFFSET(E146,-1,1)</f>
        <v>0</v>
      </c>
      <c r="G146" s="91" t="s">
        <v>314</v>
      </c>
      <c r="I146" s="91" t="s">
        <v>1851</v>
      </c>
      <c r="K146" s="91" t="s">
        <v>1851</v>
      </c>
      <c r="L146" s="44" t="s">
        <v>1850</v>
      </c>
      <c r="M146" s="44"/>
      <c r="T146" s="365" t="b" cm="1">
        <f t="array" aca="1" ref="T146" ca="1">T145</f>
        <v>0</v>
      </c>
      <c r="X146" s="1075"/>
      <c r="Z146" s="1065"/>
      <c r="AB146" s="26" t="str">
        <f>IF(B141,D142&amp;".8",D142&amp;".6")</f>
        <v>7.6</v>
      </c>
      <c r="AC146" s="560" t="s">
        <v>1552</v>
      </c>
      <c r="AD146" s="26" t="s">
        <v>804</v>
      </c>
      <c r="AE146" s="787"/>
      <c r="AF146" s="787"/>
      <c r="AG146" s="787"/>
      <c r="AH146" s="190">
        <f t="shared" si="26"/>
        <v>0</v>
      </c>
      <c r="AI146" s="787"/>
      <c r="AJ146" s="787">
        <f ca="1">SUMIFS('Корректировка НВВ'!$AF$25:$AF$180,'Корректировка НВВ'!$F$25:$F$180,$F146,'Корректировка НВВ'!$I$25:$I$180,$G146)</f>
        <v>0</v>
      </c>
      <c r="AK146" s="787"/>
      <c r="AL146" s="787"/>
      <c r="AM146" s="787"/>
      <c r="AN146" s="787"/>
      <c r="AO146" s="787"/>
      <c r="AP146" s="787"/>
      <c r="AQ146" s="787"/>
      <c r="AR146" s="787"/>
      <c r="AS146" s="787"/>
      <c r="AT146" s="787">
        <f ca="1">SUMIFS('Корректировка НВВ'!$AG$25:$AG$180,'Корректировка НВВ'!$F$25:$F$180,$F146,'Корректировка НВВ'!$I$25:$I$180,$G146)</f>
        <v>0</v>
      </c>
      <c r="AU146" s="787"/>
      <c r="AV146" s="787"/>
      <c r="AW146" s="787"/>
      <c r="AX146" s="787"/>
      <c r="AY146" s="787"/>
      <c r="AZ146" s="787"/>
      <c r="BA146" s="787"/>
      <c r="BB146" s="787"/>
      <c r="BC146" s="787"/>
      <c r="BD146" s="552"/>
      <c r="BE146" s="552"/>
      <c r="BF146" s="552"/>
      <c r="BG146" s="552"/>
      <c r="BH146" s="552"/>
      <c r="BI146" s="552"/>
      <c r="BJ146" s="552"/>
      <c r="BK146" s="552"/>
      <c r="BL146" s="552"/>
      <c r="BM146" s="552"/>
      <c r="BN146" s="784"/>
      <c r="BO146" s="788" t="str">
        <f ca="1">IF(IFERROR(INDEX('Корректировка НВВ'!$K$26:$L$180,MATCH($F146&amp;"9komm",'Корректировка НВВ'!$K$26:$K$180,0),2),"")=0,"",IFERROR(INDEX('Корректировка НВВ'!$K$26:$L$180,MATCH($F146&amp;"9komm",'Корректировка НВВ'!$K$26:$K$180,0),2),""))</f>
        <v/>
      </c>
      <c r="BP146" s="784"/>
      <c r="BS146" s="705" t="s">
        <v>2186</v>
      </c>
    </row>
    <row r="147" spans="2:75" ht="14.65" hidden="1" customHeight="1">
      <c r="D147" s="44" t="str" cm="1">
        <f t="array" ref="D147">D146</f>
        <v>7</v>
      </c>
      <c r="E147" s="518">
        <v>15</v>
      </c>
      <c r="F147" s="3" cm="1">
        <f t="array" aca="1" ref="F147" ca="1">OFFSET(E147,-1,1)</f>
        <v>0</v>
      </c>
      <c r="G147" s="91" t="s">
        <v>2187</v>
      </c>
      <c r="I147" s="91" t="s">
        <v>1853</v>
      </c>
      <c r="K147" s="91" t="s">
        <v>1853</v>
      </c>
      <c r="L147" s="44" t="s">
        <v>1851</v>
      </c>
      <c r="M147" s="44"/>
      <c r="T147" s="365" t="b" cm="1">
        <f t="array" aca="1" ref="T147" ca="1">T146</f>
        <v>0</v>
      </c>
      <c r="X147" s="1075"/>
      <c r="Z147" s="1065"/>
      <c r="AB147" s="26" t="str">
        <f>IF(B141,D142&amp;".9",D142&amp;".7")</f>
        <v>7.7</v>
      </c>
      <c r="AC147" s="560" t="s">
        <v>1554</v>
      </c>
      <c r="AD147" s="26" t="s">
        <v>804</v>
      </c>
      <c r="AE147" s="787"/>
      <c r="AF147" s="787"/>
      <c r="AG147" s="787"/>
      <c r="AH147" s="190">
        <f t="shared" si="26"/>
        <v>0</v>
      </c>
      <c r="AI147" s="787"/>
      <c r="AJ147" s="787">
        <f ca="1">SUMIFS('Корректировка НВВ'!$AF$25:$AF$180,'Корректировка НВВ'!$F$25:$F$180,$F147,'Корректировка НВВ'!$I$25:$I$180,$G147)</f>
        <v>0</v>
      </c>
      <c r="AK147" s="787"/>
      <c r="AL147" s="787"/>
      <c r="AM147" s="787"/>
      <c r="AN147" s="787"/>
      <c r="AO147" s="787"/>
      <c r="AP147" s="787"/>
      <c r="AQ147" s="787"/>
      <c r="AR147" s="787"/>
      <c r="AS147" s="787"/>
      <c r="AT147" s="787">
        <f ca="1">SUMIFS('Корректировка НВВ'!$AG$25:$AG$180,'Корректировка НВВ'!$F$25:$F$180,$F147,'Корректировка НВВ'!$I$25:$I$180,$G147)</f>
        <v>0</v>
      </c>
      <c r="AU147" s="787"/>
      <c r="AV147" s="787"/>
      <c r="AW147" s="787"/>
      <c r="AX147" s="787"/>
      <c r="AY147" s="787"/>
      <c r="AZ147" s="787"/>
      <c r="BA147" s="787"/>
      <c r="BB147" s="787"/>
      <c r="BC147" s="787"/>
      <c r="BD147" s="552"/>
      <c r="BE147" s="552"/>
      <c r="BF147" s="552"/>
      <c r="BG147" s="552"/>
      <c r="BH147" s="552"/>
      <c r="BI147" s="552"/>
      <c r="BJ147" s="552"/>
      <c r="BK147" s="552"/>
      <c r="BL147" s="552"/>
      <c r="BM147" s="552"/>
      <c r="BN147" s="784"/>
      <c r="BO147" s="788" t="str">
        <f ca="1">IF(IFERROR(INDEX('Корректировка НВВ'!$K$26:$L$180,MATCH($F147&amp;"10komm",'Корректировка НВВ'!$K$26:$K$180,0),2),"")=0,"",IFERROR(INDEX('Корректировка НВВ'!$K$26:$L$180,MATCH($F147&amp;"10komm",'Корректировка НВВ'!$K$26:$K$180,0),2),""))</f>
        <v/>
      </c>
      <c r="BP147" s="784"/>
      <c r="BS147" s="705" t="s">
        <v>1555</v>
      </c>
    </row>
    <row r="148" spans="2:75" s="95" customFormat="1" ht="20.45" hidden="1" customHeight="1">
      <c r="B148" s="344"/>
      <c r="D148" s="46">
        <f>D147+1</f>
        <v>8</v>
      </c>
      <c r="E148" s="522">
        <v>21</v>
      </c>
      <c r="F148" s="3" cm="1">
        <f t="array" aca="1" ref="F148" ca="1">OFFSET(E148,-1,1)</f>
        <v>0</v>
      </c>
      <c r="I148" s="95" t="s">
        <v>585</v>
      </c>
      <c r="K148" s="95" t="s">
        <v>585</v>
      </c>
      <c r="L148" s="46"/>
      <c r="M148" s="46"/>
      <c r="T148" s="365" t="b" cm="1">
        <f t="array" aca="1" ref="T148" ca="1">T147</f>
        <v>0</v>
      </c>
      <c r="X148" s="1075"/>
      <c r="Z148" s="1065"/>
      <c r="AB148" s="143" cm="1">
        <f t="array" ref="AB148">D148</f>
        <v>8</v>
      </c>
      <c r="AC148" s="144" t="s">
        <v>2188</v>
      </c>
      <c r="AD148" s="143" t="s">
        <v>804</v>
      </c>
      <c r="AE148" s="783"/>
      <c r="AF148" s="783"/>
      <c r="AG148" s="783"/>
      <c r="AH148" s="145">
        <f t="shared" si="26"/>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148"/>
      <c r="BE148" s="148"/>
      <c r="BF148" s="148"/>
      <c r="BG148" s="148"/>
      <c r="BH148" s="148"/>
      <c r="BI148" s="148"/>
      <c r="BJ148" s="148"/>
      <c r="BK148" s="148"/>
      <c r="BL148" s="148"/>
      <c r="BM148" s="148"/>
      <c r="BN148" s="786"/>
      <c r="BO148" s="786"/>
      <c r="BP148" s="786"/>
      <c r="BS148" s="711" t="s">
        <v>2189</v>
      </c>
      <c r="BT148" s="711"/>
      <c r="BU148" s="711"/>
      <c r="BV148" s="522"/>
      <c r="BW148" s="522"/>
    </row>
    <row r="149" spans="2:75" ht="14.65" hidden="1" customHeight="1">
      <c r="D149" s="46" cm="1">
        <f t="array" ref="D149">D148</f>
        <v>8</v>
      </c>
      <c r="E149" s="518">
        <v>15</v>
      </c>
      <c r="F149" s="3" cm="1">
        <f t="array" aca="1" ref="F149" ca="1">OFFSET(E149,-1,1)</f>
        <v>0</v>
      </c>
      <c r="I149" s="91" t="s">
        <v>589</v>
      </c>
      <c r="K149" s="91" t="s">
        <v>589</v>
      </c>
      <c r="L149" s="44"/>
      <c r="M149" s="44"/>
      <c r="T149" s="365" t="b" cm="1">
        <f t="array" aca="1" ref="T149" ca="1">T148</f>
        <v>0</v>
      </c>
      <c r="X149" s="1075"/>
      <c r="Z149" s="1065"/>
      <c r="AB149" s="26" t="str">
        <f>D149&amp;".1"</f>
        <v>8.1</v>
      </c>
      <c r="AC149" s="146" t="s">
        <v>2190</v>
      </c>
      <c r="AD149" s="26" t="s">
        <v>456</v>
      </c>
      <c r="AE149" s="190">
        <f ca="1">IF(AE150=0,0,AE148/(AE150+AE135)*100)</f>
        <v>0</v>
      </c>
      <c r="AF149" s="190">
        <f ca="1">IF(AF150=0,0,AF148/(AF150+AF135)*100)</f>
        <v>0</v>
      </c>
      <c r="AG149" s="190">
        <f ca="1">IF(AG150=0,0,AG148/(AG150+AG135)*100)</f>
        <v>0</v>
      </c>
      <c r="AH149" s="190">
        <f t="shared" ca="1" si="26"/>
        <v>0</v>
      </c>
      <c r="AI149" s="190">
        <f t="shared" ref="AI149:BC149" ca="1" si="30">IF(AI150=0,0,AI148/(AI150+AI135)*100)</f>
        <v>0</v>
      </c>
      <c r="AJ149" s="190">
        <f t="shared" ca="1" si="30"/>
        <v>0</v>
      </c>
      <c r="AK149" s="190">
        <f t="shared" ca="1" si="30"/>
        <v>0</v>
      </c>
      <c r="AL149" s="190">
        <f t="shared" ca="1" si="30"/>
        <v>0</v>
      </c>
      <c r="AM149" s="190">
        <f t="shared" ca="1" si="30"/>
        <v>0</v>
      </c>
      <c r="AN149" s="190">
        <f t="shared" ca="1" si="30"/>
        <v>0</v>
      </c>
      <c r="AO149" s="190">
        <f t="shared" ca="1" si="30"/>
        <v>0</v>
      </c>
      <c r="AP149" s="190">
        <f t="shared" ca="1" si="30"/>
        <v>0</v>
      </c>
      <c r="AQ149" s="190">
        <f t="shared" ca="1" si="30"/>
        <v>0</v>
      </c>
      <c r="AR149" s="190">
        <f t="shared" ca="1" si="30"/>
        <v>0</v>
      </c>
      <c r="AS149" s="190">
        <f t="shared" ca="1" si="30"/>
        <v>0</v>
      </c>
      <c r="AT149" s="190">
        <f t="shared" ca="1" si="30"/>
        <v>0</v>
      </c>
      <c r="AU149" s="190">
        <f t="shared" ca="1" si="30"/>
        <v>0</v>
      </c>
      <c r="AV149" s="190">
        <f t="shared" ca="1" si="30"/>
        <v>0</v>
      </c>
      <c r="AW149" s="190">
        <f t="shared" ca="1" si="30"/>
        <v>0</v>
      </c>
      <c r="AX149" s="190">
        <f t="shared" ca="1" si="30"/>
        <v>0</v>
      </c>
      <c r="AY149" s="190">
        <f t="shared" ca="1" si="30"/>
        <v>0</v>
      </c>
      <c r="AZ149" s="190">
        <f t="shared" ca="1" si="30"/>
        <v>0</v>
      </c>
      <c r="BA149" s="190">
        <f t="shared" ca="1" si="30"/>
        <v>0</v>
      </c>
      <c r="BB149" s="190">
        <f t="shared" ca="1" si="30"/>
        <v>0</v>
      </c>
      <c r="BC149" s="190">
        <f t="shared" ca="1" si="30"/>
        <v>0</v>
      </c>
      <c r="BD149" s="552"/>
      <c r="BE149" s="552"/>
      <c r="BF149" s="552"/>
      <c r="BG149" s="552"/>
      <c r="BH149" s="552"/>
      <c r="BI149" s="552"/>
      <c r="BJ149" s="552"/>
      <c r="BK149" s="552"/>
      <c r="BL149" s="552"/>
      <c r="BM149" s="552"/>
      <c r="BN149" s="784"/>
      <c r="BO149" s="784"/>
      <c r="BP149" s="784"/>
      <c r="BS149" s="705" t="s">
        <v>2191</v>
      </c>
    </row>
    <row r="150" spans="2:75" s="95" customFormat="1" ht="20.45" hidden="1" customHeight="1">
      <c r="B150" s="344"/>
      <c r="D150" s="46">
        <f>D149+1</f>
        <v>9</v>
      </c>
      <c r="E150" s="522">
        <v>21</v>
      </c>
      <c r="F150" s="3" cm="1">
        <f t="array" aca="1" ref="F150" ca="1">OFFSET(E150,-1,1)</f>
        <v>0</v>
      </c>
      <c r="H150" s="91"/>
      <c r="I150" s="91" t="s">
        <v>743</v>
      </c>
      <c r="K150" s="91" t="s">
        <v>743</v>
      </c>
      <c r="L150" s="46" t="s">
        <v>1853</v>
      </c>
      <c r="M150" s="46"/>
      <c r="T150" s="365" t="b" cm="1">
        <f t="array" aca="1" ref="T150" ca="1">T149</f>
        <v>0</v>
      </c>
      <c r="X150" s="1075"/>
      <c r="Z150" s="1065"/>
      <c r="AB150" s="143" cm="1">
        <f t="array" ref="AB150">D150</f>
        <v>9</v>
      </c>
      <c r="AC150" s="144" t="s">
        <v>1855</v>
      </c>
      <c r="AD150" s="166" t="s">
        <v>804</v>
      </c>
      <c r="AE150" s="145">
        <f ca="1">AE28+AE78+AE114+AE115+AE117+AE122+AE123+AE126</f>
        <v>0</v>
      </c>
      <c r="AF150" s="145">
        <f ca="1">AF28+AF78+AF114+AF115+AF117+AF122+AF123+AF126</f>
        <v>0</v>
      </c>
      <c r="AG150" s="145">
        <f ca="1">AG28+AG78+AG114+AG115+AG117+AG122+AG123+AG126</f>
        <v>0</v>
      </c>
      <c r="AH150" s="145">
        <f t="shared" ca="1" si="26"/>
        <v>0</v>
      </c>
      <c r="AI150" s="145">
        <f t="shared" ref="AI150:BC150" ca="1" si="31">AI28+AI78+AI114+AI115+AI117+AI122+AI123+AI126</f>
        <v>0</v>
      </c>
      <c r="AJ150" s="145">
        <f t="shared" ca="1" si="31"/>
        <v>0</v>
      </c>
      <c r="AK150" s="145">
        <f t="shared" ca="1" si="31"/>
        <v>0</v>
      </c>
      <c r="AL150" s="145">
        <f t="shared" ca="1" si="31"/>
        <v>0</v>
      </c>
      <c r="AM150" s="145">
        <f t="shared" ca="1" si="31"/>
        <v>0</v>
      </c>
      <c r="AN150" s="145">
        <f t="shared" ca="1" si="31"/>
        <v>0</v>
      </c>
      <c r="AO150" s="145">
        <f t="shared" ca="1" si="31"/>
        <v>0</v>
      </c>
      <c r="AP150" s="145">
        <f t="shared" ca="1" si="31"/>
        <v>0</v>
      </c>
      <c r="AQ150" s="145">
        <f t="shared" ca="1" si="31"/>
        <v>0</v>
      </c>
      <c r="AR150" s="145">
        <f t="shared" ca="1" si="31"/>
        <v>0</v>
      </c>
      <c r="AS150" s="145">
        <f t="shared" ca="1" si="31"/>
        <v>0</v>
      </c>
      <c r="AT150" s="145">
        <f t="shared" ca="1" si="31"/>
        <v>0</v>
      </c>
      <c r="AU150" s="145">
        <f t="shared" ca="1" si="31"/>
        <v>0</v>
      </c>
      <c r="AV150" s="145">
        <f t="shared" ca="1" si="31"/>
        <v>0</v>
      </c>
      <c r="AW150" s="145">
        <f t="shared" ca="1" si="31"/>
        <v>0</v>
      </c>
      <c r="AX150" s="145">
        <f t="shared" ca="1" si="31"/>
        <v>0</v>
      </c>
      <c r="AY150" s="145">
        <f t="shared" ca="1" si="31"/>
        <v>0</v>
      </c>
      <c r="AZ150" s="145">
        <f t="shared" ca="1" si="31"/>
        <v>0</v>
      </c>
      <c r="BA150" s="145">
        <f t="shared" ca="1" si="31"/>
        <v>0</v>
      </c>
      <c r="BB150" s="145">
        <f t="shared" ca="1" si="31"/>
        <v>0</v>
      </c>
      <c r="BC150" s="145">
        <f t="shared" ca="1" si="31"/>
        <v>0</v>
      </c>
      <c r="BD150" s="145">
        <f ca="1">IF(AI150=0,0,(AT150-AI150)/AI150*100)</f>
        <v>0</v>
      </c>
      <c r="BE150" s="145">
        <f t="shared" ref="BE150:BM151" ca="1" si="32">IF(AT150=0,0,(AU150-AT150)/AT150*100)</f>
        <v>0</v>
      </c>
      <c r="BF150" s="145">
        <f t="shared" ca="1" si="32"/>
        <v>0</v>
      </c>
      <c r="BG150" s="145">
        <f t="shared" ca="1" si="32"/>
        <v>0</v>
      </c>
      <c r="BH150" s="145">
        <f t="shared" ca="1" si="32"/>
        <v>0</v>
      </c>
      <c r="BI150" s="145">
        <f t="shared" ca="1" si="32"/>
        <v>0</v>
      </c>
      <c r="BJ150" s="145">
        <f t="shared" ca="1" si="32"/>
        <v>0</v>
      </c>
      <c r="BK150" s="145">
        <f t="shared" ca="1" si="32"/>
        <v>0</v>
      </c>
      <c r="BL150" s="145">
        <f t="shared" ca="1" si="32"/>
        <v>0</v>
      </c>
      <c r="BM150" s="145">
        <f t="shared" ca="1" si="32"/>
        <v>0</v>
      </c>
      <c r="BN150" s="784"/>
      <c r="BO150" s="784"/>
      <c r="BP150" s="784"/>
      <c r="BS150" s="711" t="s">
        <v>1856</v>
      </c>
      <c r="BT150" s="711"/>
      <c r="BU150" s="711"/>
      <c r="BV150" s="522"/>
      <c r="BW150" s="522"/>
    </row>
    <row r="151" spans="2:75" s="95" customFormat="1" ht="20.45" hidden="1" customHeight="1">
      <c r="B151" s="344"/>
      <c r="D151" s="46">
        <f>D150+1</f>
        <v>10</v>
      </c>
      <c r="E151" s="522">
        <v>21</v>
      </c>
      <c r="F151" s="3" cm="1">
        <f t="array" aca="1" ref="F151" ca="1">OFFSET(E151,-1,1)</f>
        <v>0</v>
      </c>
      <c r="H151" s="91"/>
      <c r="I151" s="91" t="s">
        <v>1865</v>
      </c>
      <c r="K151" s="91" t="s">
        <v>1865</v>
      </c>
      <c r="L151" s="46"/>
      <c r="M151" s="46"/>
      <c r="T151" s="365" t="b" cm="1">
        <f t="array" aca="1" ref="T151" ca="1">T150</f>
        <v>0</v>
      </c>
      <c r="X151" s="1075"/>
      <c r="Z151" s="1065"/>
      <c r="AB151" s="143" cm="1">
        <f t="array" ref="AB151">D151</f>
        <v>10</v>
      </c>
      <c r="AC151" s="144" t="s">
        <v>2192</v>
      </c>
      <c r="AD151" s="143" t="s">
        <v>804</v>
      </c>
      <c r="AE151" s="145">
        <f t="shared" ref="AE151:BC151" ca="1" si="33">AE150+AE135+AE148</f>
        <v>0</v>
      </c>
      <c r="AF151" s="145">
        <f t="shared" ca="1" si="33"/>
        <v>0</v>
      </c>
      <c r="AG151" s="145">
        <f t="shared" ca="1" si="33"/>
        <v>0</v>
      </c>
      <c r="AH151" s="145">
        <f t="shared" ca="1" si="33"/>
        <v>0</v>
      </c>
      <c r="AI151" s="145">
        <f t="shared" ca="1" si="33"/>
        <v>0</v>
      </c>
      <c r="AJ151" s="145">
        <f t="shared" ca="1" si="33"/>
        <v>0</v>
      </c>
      <c r="AK151" s="145">
        <f t="shared" ca="1" si="33"/>
        <v>0</v>
      </c>
      <c r="AL151" s="145">
        <f t="shared" ca="1" si="33"/>
        <v>0</v>
      </c>
      <c r="AM151" s="145">
        <f t="shared" ca="1" si="33"/>
        <v>0</v>
      </c>
      <c r="AN151" s="145">
        <f t="shared" ca="1" si="33"/>
        <v>0</v>
      </c>
      <c r="AO151" s="145">
        <f t="shared" ca="1" si="33"/>
        <v>0</v>
      </c>
      <c r="AP151" s="145">
        <f t="shared" ca="1" si="33"/>
        <v>0</v>
      </c>
      <c r="AQ151" s="145">
        <f t="shared" ca="1" si="33"/>
        <v>0</v>
      </c>
      <c r="AR151" s="145">
        <f t="shared" ca="1" si="33"/>
        <v>0</v>
      </c>
      <c r="AS151" s="145">
        <f t="shared" ca="1" si="33"/>
        <v>0</v>
      </c>
      <c r="AT151" s="145">
        <f t="shared" ca="1" si="33"/>
        <v>0</v>
      </c>
      <c r="AU151" s="145">
        <f t="shared" ca="1" si="33"/>
        <v>0</v>
      </c>
      <c r="AV151" s="145">
        <f t="shared" ca="1" si="33"/>
        <v>0</v>
      </c>
      <c r="AW151" s="145">
        <f t="shared" ca="1" si="33"/>
        <v>0</v>
      </c>
      <c r="AX151" s="145">
        <f t="shared" ca="1" si="33"/>
        <v>0</v>
      </c>
      <c r="AY151" s="145">
        <f t="shared" ca="1" si="33"/>
        <v>0</v>
      </c>
      <c r="AZ151" s="145">
        <f t="shared" ca="1" si="33"/>
        <v>0</v>
      </c>
      <c r="BA151" s="145">
        <f t="shared" ca="1" si="33"/>
        <v>0</v>
      </c>
      <c r="BB151" s="145">
        <f t="shared" ca="1" si="33"/>
        <v>0</v>
      </c>
      <c r="BC151" s="145">
        <f t="shared" ca="1" si="33"/>
        <v>0</v>
      </c>
      <c r="BD151" s="145">
        <f ca="1">IF(AI151=0,0,(AT151-AI151)/AI151*100)</f>
        <v>0</v>
      </c>
      <c r="BE151" s="145">
        <f t="shared" ca="1" si="32"/>
        <v>0</v>
      </c>
      <c r="BF151" s="145">
        <f t="shared" ca="1" si="32"/>
        <v>0</v>
      </c>
      <c r="BG151" s="145">
        <f t="shared" ca="1" si="32"/>
        <v>0</v>
      </c>
      <c r="BH151" s="145">
        <f t="shared" ca="1" si="32"/>
        <v>0</v>
      </c>
      <c r="BI151" s="145">
        <f t="shared" ca="1" si="32"/>
        <v>0</v>
      </c>
      <c r="BJ151" s="145">
        <f t="shared" ca="1" si="32"/>
        <v>0</v>
      </c>
      <c r="BK151" s="145">
        <f t="shared" ca="1" si="32"/>
        <v>0</v>
      </c>
      <c r="BL151" s="145">
        <f t="shared" ca="1" si="32"/>
        <v>0</v>
      </c>
      <c r="BM151" s="145">
        <f t="shared" ca="1" si="32"/>
        <v>0</v>
      </c>
      <c r="BN151" s="784"/>
      <c r="BO151" s="784"/>
      <c r="BP151" s="784"/>
      <c r="BS151" s="711" t="s">
        <v>2193</v>
      </c>
      <c r="BT151" s="711"/>
      <c r="BU151" s="711"/>
      <c r="BV151" s="522"/>
      <c r="BW151" s="522"/>
    </row>
    <row r="152" spans="2:75" ht="14.65" hidden="1" customHeight="1">
      <c r="B152" s="353" t="b">
        <f>A27="двухставочный"</f>
        <v>0</v>
      </c>
      <c r="D152" s="44" cm="1">
        <f t="array" ref="D152">D151</f>
        <v>10</v>
      </c>
      <c r="E152" s="518">
        <v>15</v>
      </c>
      <c r="F152" s="3" cm="1">
        <f t="array" aca="1" ref="F152" ca="1">OFFSET(E152,-1,1)</f>
        <v>0</v>
      </c>
      <c r="H152" s="2"/>
      <c r="I152" s="291" t="s">
        <v>1869</v>
      </c>
      <c r="K152" s="291" t="s">
        <v>1869</v>
      </c>
      <c r="L152" s="44" t="s">
        <v>1857</v>
      </c>
      <c r="M152" s="44"/>
      <c r="T152" s="365" t="b" cm="1">
        <f t="array" aca="1" ref="T152" ca="1">T151</f>
        <v>0</v>
      </c>
      <c r="X152" s="1075"/>
      <c r="Z152" s="1065"/>
      <c r="AB152" s="26" t="str">
        <f>D152&amp;".1"</f>
        <v>10.1</v>
      </c>
      <c r="AC152" s="560" t="s">
        <v>1859</v>
      </c>
      <c r="AD152" s="26" t="s">
        <v>804</v>
      </c>
      <c r="AE152" s="787"/>
      <c r="AF152" s="787"/>
      <c r="AG152" s="787"/>
      <c r="AH152" s="190">
        <f t="shared" ref="AH152:AH158" si="34">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52"/>
      <c r="BE152" s="552"/>
      <c r="BF152" s="552"/>
      <c r="BG152" s="552"/>
      <c r="BH152" s="552"/>
      <c r="BI152" s="552"/>
      <c r="BJ152" s="552"/>
      <c r="BK152" s="552"/>
      <c r="BL152" s="552"/>
      <c r="BM152" s="552"/>
      <c r="BN152" s="784"/>
      <c r="BO152" s="784"/>
      <c r="BP152" s="784"/>
      <c r="BS152" s="703" t="s">
        <v>1860</v>
      </c>
    </row>
    <row r="153" spans="2:75" ht="14.65" hidden="1" customHeight="1">
      <c r="B153" s="353" t="b">
        <f>A27="двухставочный"</f>
        <v>0</v>
      </c>
      <c r="D153" s="44" cm="1">
        <f t="array" ref="D153">D152</f>
        <v>10</v>
      </c>
      <c r="E153" s="518">
        <v>15</v>
      </c>
      <c r="F153" s="3" cm="1">
        <f t="array" aca="1" ref="F153" ca="1">OFFSET(E153,-1,1)</f>
        <v>0</v>
      </c>
      <c r="H153" s="2"/>
      <c r="I153" s="291" t="s">
        <v>1873</v>
      </c>
      <c r="K153" s="291" t="s">
        <v>1873</v>
      </c>
      <c r="L153" s="44" t="s">
        <v>1861</v>
      </c>
      <c r="M153" s="44"/>
      <c r="T153" s="365" t="b" cm="1">
        <f t="array" aca="1" ref="T153" ca="1">T152</f>
        <v>0</v>
      </c>
      <c r="X153" s="1075"/>
      <c r="Z153" s="1065"/>
      <c r="AB153" s="26" t="str">
        <f>D153&amp;".2"</f>
        <v>10.2</v>
      </c>
      <c r="AC153" s="560" t="s">
        <v>1863</v>
      </c>
      <c r="AD153" s="26" t="s">
        <v>804</v>
      </c>
      <c r="AE153" s="787"/>
      <c r="AF153" s="787"/>
      <c r="AG153" s="787"/>
      <c r="AH153" s="190">
        <f t="shared" si="34"/>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52"/>
      <c r="BE153" s="552"/>
      <c r="BF153" s="552"/>
      <c r="BG153" s="552"/>
      <c r="BH153" s="552"/>
      <c r="BI153" s="552"/>
      <c r="BJ153" s="552"/>
      <c r="BK153" s="552"/>
      <c r="BL153" s="552"/>
      <c r="BM153" s="552"/>
      <c r="BN153" s="784"/>
      <c r="BO153" s="784"/>
      <c r="BP153" s="784"/>
      <c r="BS153" s="703" t="s">
        <v>1864</v>
      </c>
    </row>
    <row r="154" spans="2:75" s="95" customFormat="1" ht="20.45" hidden="1" customHeight="1">
      <c r="B154" s="344"/>
      <c r="D154" s="46">
        <f>D153+1</f>
        <v>11</v>
      </c>
      <c r="E154" s="522">
        <v>21</v>
      </c>
      <c r="F154" s="3" cm="1">
        <f t="array" aca="1" ref="F154" ca="1">OFFSET(E154,-1,1)</f>
        <v>0</v>
      </c>
      <c r="G154" s="91" t="s">
        <v>1633</v>
      </c>
      <c r="H154" s="91"/>
      <c r="I154" s="91" t="s">
        <v>1893</v>
      </c>
      <c r="K154" s="91" t="s">
        <v>1893</v>
      </c>
      <c r="L154" s="46" t="s">
        <v>1865</v>
      </c>
      <c r="M154" s="46"/>
      <c r="T154" s="365" t="b" cm="1">
        <f t="array" aca="1" ref="T154" ca="1">T153</f>
        <v>0</v>
      </c>
      <c r="X154" s="1075"/>
      <c r="Z154" s="1065"/>
      <c r="AB154" s="143" cm="1">
        <f t="array" ref="AB154">D154</f>
        <v>11</v>
      </c>
      <c r="AC154" s="144" t="s">
        <v>1867</v>
      </c>
      <c r="AD154" s="143" t="s">
        <v>534</v>
      </c>
      <c r="AE154" s="562">
        <f ca="1">SUMIFS(Баланс!AE$26:AE$300,Баланс!$F$26:$F$300,$F154,Баланс!$G$26:$G$300,"ПО")</f>
        <v>0</v>
      </c>
      <c r="AF154" s="562">
        <f ca="1">SUMIFS(Баланс!AF$26:AF$300,Баланс!$F$26:$F$300,$F154,Баланс!$G$26:$G$300,"ПО")</f>
        <v>0</v>
      </c>
      <c r="AG154" s="562">
        <f ca="1">SUMIFS(Баланс!AG$26:AG$300,Баланс!$F$26:$F$300,$F154,Баланс!$G$26:$G$300,"ПО")</f>
        <v>0</v>
      </c>
      <c r="AH154" s="562">
        <f t="shared" ca="1" si="34"/>
        <v>0</v>
      </c>
      <c r="AI154" s="562">
        <f ca="1">SUMIFS(Баланс!AH$26:AH$300,Баланс!$F$26:$F$300,$F154,Баланс!$G$26:$G$300,"ПО")</f>
        <v>0</v>
      </c>
      <c r="AJ154" s="562">
        <f ca="1">SUMIFS(Баланс!AI$26:AI$300,Баланс!$F$26:$F$300,$F154,Баланс!$G$26:$G$300,"ПО")</f>
        <v>0</v>
      </c>
      <c r="AK154" s="562">
        <f ca="1">SUMIFS(Баланс!AJ$26:AJ$300,Баланс!$F$26:$F$300,$F154,Баланс!$G$26:$G$300,"ПО")</f>
        <v>0</v>
      </c>
      <c r="AL154" s="562">
        <f ca="1">SUMIFS(Баланс!AK$26:AK$300,Баланс!$F$26:$F$300,$F154,Баланс!$G$26:$G$300,"ПО")</f>
        <v>0</v>
      </c>
      <c r="AM154" s="562">
        <f ca="1">SUMIFS(Баланс!AL$26:AL$300,Баланс!$F$26:$F$300,$F154,Баланс!$G$26:$G$300,"ПО")</f>
        <v>0</v>
      </c>
      <c r="AN154" s="562">
        <f ca="1">SUMIFS(Баланс!AM$26:AM$300,Баланс!$F$26:$F$300,$F154,Баланс!$G$26:$G$300,"ПО")</f>
        <v>0</v>
      </c>
      <c r="AO154" s="562">
        <f ca="1">SUMIFS(Баланс!AN$26:AN$300,Баланс!$F$26:$F$300,$F154,Баланс!$G$26:$G$300,"ПО")</f>
        <v>0</v>
      </c>
      <c r="AP154" s="562">
        <f ca="1">SUMIFS(Баланс!AO$26:AO$300,Баланс!$F$26:$F$300,$F154,Баланс!$G$26:$G$300,"ПО")</f>
        <v>0</v>
      </c>
      <c r="AQ154" s="562">
        <f ca="1">SUMIFS(Баланс!AP$26:AP$300,Баланс!$F$26:$F$300,$F154,Баланс!$G$26:$G$300,"ПО")</f>
        <v>0</v>
      </c>
      <c r="AR154" s="562">
        <f ca="1">SUMIFS(Баланс!AQ$26:AQ$300,Баланс!$F$26:$F$300,$F154,Баланс!$G$26:$G$300,"ПО")</f>
        <v>0</v>
      </c>
      <c r="AS154" s="562">
        <f ca="1">SUMIFS(Баланс!AR$26:AR$300,Баланс!$F$26:$F$300,$F154,Баланс!$G$26:$G$300,"ПО")</f>
        <v>0</v>
      </c>
      <c r="AT154" s="562">
        <f ca="1">SUMIFS(Баланс!AS$26:AS$300,Баланс!$F$26:$F$300,$F154,Баланс!$G$26:$G$300,"ПО")</f>
        <v>0</v>
      </c>
      <c r="AU154" s="562">
        <f ca="1">SUMIFS(Баланс!AT$26:AT$300,Баланс!$F$26:$F$300,$F154,Баланс!$G$26:$G$300,"ПО")</f>
        <v>0</v>
      </c>
      <c r="AV154" s="562">
        <f ca="1">SUMIFS(Баланс!AU$26:AU$300,Баланс!$F$26:$F$300,$F154,Баланс!$G$26:$G$300,"ПО")</f>
        <v>0</v>
      </c>
      <c r="AW154" s="562">
        <f ca="1">SUMIFS(Баланс!AV$26:AV$300,Баланс!$F$26:$F$300,$F154,Баланс!$G$26:$G$300,"ПО")</f>
        <v>0</v>
      </c>
      <c r="AX154" s="562">
        <f ca="1">SUMIFS(Баланс!AW$26:AW$300,Баланс!$F$26:$F$300,$F154,Баланс!$G$26:$G$300,"ПО")</f>
        <v>0</v>
      </c>
      <c r="AY154" s="562">
        <f ca="1">SUMIFS(Баланс!AX$26:AX$300,Баланс!$F$26:$F$300,$F154,Баланс!$G$26:$G$300,"ПО")</f>
        <v>0</v>
      </c>
      <c r="AZ154" s="562">
        <f ca="1">SUMIFS(Баланс!AY$26:AY$300,Баланс!$F$26:$F$300,$F154,Баланс!$G$26:$G$300,"ПО")</f>
        <v>0</v>
      </c>
      <c r="BA154" s="562">
        <f ca="1">SUMIFS(Баланс!AZ$26:AZ$300,Баланс!$F$26:$F$300,$F154,Баланс!$G$26:$G$300,"ПО")</f>
        <v>0</v>
      </c>
      <c r="BB154" s="562">
        <f ca="1">SUMIFS(Баланс!BA$26:BA$300,Баланс!$F$26:$F$300,$F154,Баланс!$G$26:$G$300,"ПО")</f>
        <v>0</v>
      </c>
      <c r="BC154" s="562">
        <f ca="1">SUMIFS(Баланс!BB$26:BB$300,Баланс!$F$26:$F$300,$F154,Баланс!$G$26:$G$300,"ПО")</f>
        <v>0</v>
      </c>
      <c r="BD154" s="148"/>
      <c r="BE154" s="148"/>
      <c r="BF154" s="148"/>
      <c r="BG154" s="148"/>
      <c r="BH154" s="148"/>
      <c r="BI154" s="148"/>
      <c r="BJ154" s="148"/>
      <c r="BK154" s="148"/>
      <c r="BL154" s="148"/>
      <c r="BM154" s="148"/>
      <c r="BN154" s="784"/>
      <c r="BO154" s="784"/>
      <c r="BP154" s="784"/>
      <c r="BS154" s="704" t="s">
        <v>1868</v>
      </c>
      <c r="BT154" s="711"/>
      <c r="BU154" s="711"/>
      <c r="BV154" s="522"/>
      <c r="BW154" s="522"/>
    </row>
    <row r="155" spans="2:75" ht="14.65" hidden="1" customHeight="1">
      <c r="D155" s="44" cm="1">
        <f t="array" ref="D155">D154</f>
        <v>11</v>
      </c>
      <c r="E155" s="518">
        <v>15</v>
      </c>
      <c r="F155" s="3" cm="1">
        <f t="array" aca="1" ref="F155" ca="1">OFFSET(E155,-1,1)</f>
        <v>0</v>
      </c>
      <c r="G155" s="91" t="s">
        <v>1660</v>
      </c>
      <c r="I155" s="91" t="s">
        <v>2194</v>
      </c>
      <c r="K155" s="91" t="s">
        <v>2194</v>
      </c>
      <c r="L155" s="44" t="s">
        <v>1869</v>
      </c>
      <c r="M155" s="44"/>
      <c r="T155" s="365" t="b" cm="1">
        <f t="array" aca="1" ref="T155" ca="1">T154</f>
        <v>0</v>
      </c>
      <c r="X155" s="1075"/>
      <c r="Z155" s="1065"/>
      <c r="AB155" s="26" t="str">
        <f>D155&amp;".1"</f>
        <v>11.1</v>
      </c>
      <c r="AC155" s="146" t="s">
        <v>1871</v>
      </c>
      <c r="AD155" s="26" t="s">
        <v>534</v>
      </c>
      <c r="AE155" s="785">
        <f ca="1">IF(AE$24="2026 год",AE154/12*9,AE154/2)</f>
        <v>0</v>
      </c>
      <c r="AF155" s="785">
        <f ca="1">IF(AF$24="2026 год",AF154/12*9,AF154/2)</f>
        <v>0</v>
      </c>
      <c r="AG155" s="785">
        <f ca="1">IF(AG$24="2026 год",AG154/12*9,AG154/2)</f>
        <v>0</v>
      </c>
      <c r="AH155" s="568">
        <f t="shared" ca="1" si="34"/>
        <v>0</v>
      </c>
      <c r="AI155" s="785">
        <f t="shared" ref="AI155:BC155" ca="1" si="35">IF(AI$24="2026 год",AI154/12*9,AI154/2)</f>
        <v>0</v>
      </c>
      <c r="AJ155" s="785">
        <f t="shared" ca="1" si="35"/>
        <v>0</v>
      </c>
      <c r="AK155" s="785">
        <f t="shared" ca="1" si="35"/>
        <v>0</v>
      </c>
      <c r="AL155" s="785">
        <f t="shared" ca="1" si="35"/>
        <v>0</v>
      </c>
      <c r="AM155" s="785">
        <f t="shared" ca="1" si="35"/>
        <v>0</v>
      </c>
      <c r="AN155" s="785">
        <f t="shared" ca="1" si="35"/>
        <v>0</v>
      </c>
      <c r="AO155" s="785">
        <f t="shared" ca="1" si="35"/>
        <v>0</v>
      </c>
      <c r="AP155" s="785">
        <f t="shared" ca="1" si="35"/>
        <v>0</v>
      </c>
      <c r="AQ155" s="785">
        <f t="shared" ca="1" si="35"/>
        <v>0</v>
      </c>
      <c r="AR155" s="785">
        <f t="shared" ca="1" si="35"/>
        <v>0</v>
      </c>
      <c r="AS155" s="785">
        <f t="shared" ca="1" si="35"/>
        <v>0</v>
      </c>
      <c r="AT155" s="785">
        <f t="shared" ca="1" si="35"/>
        <v>0</v>
      </c>
      <c r="AU155" s="785">
        <f t="shared" ca="1" si="35"/>
        <v>0</v>
      </c>
      <c r="AV155" s="785">
        <f t="shared" ca="1" si="35"/>
        <v>0</v>
      </c>
      <c r="AW155" s="785">
        <f t="shared" ca="1" si="35"/>
        <v>0</v>
      </c>
      <c r="AX155" s="785">
        <f t="shared" ca="1" si="35"/>
        <v>0</v>
      </c>
      <c r="AY155" s="785">
        <f t="shared" ca="1" si="35"/>
        <v>0</v>
      </c>
      <c r="AZ155" s="785">
        <f t="shared" ca="1" si="35"/>
        <v>0</v>
      </c>
      <c r="BA155" s="785">
        <f t="shared" ca="1" si="35"/>
        <v>0</v>
      </c>
      <c r="BB155" s="785">
        <f t="shared" ca="1" si="35"/>
        <v>0</v>
      </c>
      <c r="BC155" s="785">
        <f t="shared" ca="1" si="35"/>
        <v>0</v>
      </c>
      <c r="BD155" s="552"/>
      <c r="BE155" s="552"/>
      <c r="BF155" s="552"/>
      <c r="BG155" s="552"/>
      <c r="BH155" s="552"/>
      <c r="BI155" s="552"/>
      <c r="BJ155" s="552"/>
      <c r="BK155" s="552"/>
      <c r="BL155" s="552"/>
      <c r="BM155" s="552"/>
      <c r="BN155" s="784"/>
      <c r="BO155" s="784"/>
      <c r="BP155" s="784"/>
      <c r="BS155" s="703" t="s">
        <v>1872</v>
      </c>
    </row>
    <row r="156" spans="2:75" ht="14.65" hidden="1" customHeight="1">
      <c r="D156" s="44" cm="1">
        <f t="array" ref="D156">D155</f>
        <v>11</v>
      </c>
      <c r="E156" s="518">
        <v>15</v>
      </c>
      <c r="F156" s="3" cm="1">
        <f t="array" aca="1" ref="F156" ca="1">OFFSET(E156,-1,1)</f>
        <v>0</v>
      </c>
      <c r="G156" s="91" t="s">
        <v>1621</v>
      </c>
      <c r="I156" s="91" t="s">
        <v>2195</v>
      </c>
      <c r="K156" s="91" t="s">
        <v>2195</v>
      </c>
      <c r="L156" s="44" t="s">
        <v>1873</v>
      </c>
      <c r="M156" s="44"/>
      <c r="T156" s="365" t="b" cm="1">
        <f t="array" aca="1" ref="T156" ca="1">T155</f>
        <v>0</v>
      </c>
      <c r="X156" s="1075"/>
      <c r="Z156" s="1065"/>
      <c r="AB156" s="26" t="str">
        <f>D156&amp;".2"</f>
        <v>11.2</v>
      </c>
      <c r="AC156" s="146" t="s">
        <v>1875</v>
      </c>
      <c r="AD156" s="26" t="s">
        <v>1624</v>
      </c>
      <c r="AE156" s="787"/>
      <c r="AF156" s="787"/>
      <c r="AG156" s="787"/>
      <c r="AH156" s="190">
        <f t="shared" si="34"/>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52"/>
      <c r="BE156" s="552"/>
      <c r="BF156" s="552"/>
      <c r="BG156" s="552"/>
      <c r="BH156" s="552"/>
      <c r="BI156" s="552"/>
      <c r="BJ156" s="552"/>
      <c r="BK156" s="552"/>
      <c r="BL156" s="552"/>
      <c r="BM156" s="552"/>
      <c r="BN156" s="784"/>
      <c r="BO156" s="784"/>
      <c r="BP156" s="784"/>
      <c r="BS156" s="703" t="s">
        <v>1876</v>
      </c>
    </row>
    <row r="157" spans="2:75" ht="14.65" hidden="1" customHeight="1">
      <c r="D157" s="44" cm="1">
        <f t="array" ref="D157">D156</f>
        <v>11</v>
      </c>
      <c r="E157" s="518">
        <v>15</v>
      </c>
      <c r="F157" s="3" cm="1">
        <f t="array" aca="1" ref="F157" ca="1">OFFSET(E157,-1,1)</f>
        <v>0</v>
      </c>
      <c r="G157" s="91" t="s">
        <v>1673</v>
      </c>
      <c r="I157" s="91" t="s">
        <v>2196</v>
      </c>
      <c r="K157" s="91" t="s">
        <v>2196</v>
      </c>
      <c r="L157" s="44" t="s">
        <v>1877</v>
      </c>
      <c r="M157" s="44"/>
      <c r="T157" s="365" t="b" cm="1">
        <f t="array" aca="1" ref="T157" ca="1">T156</f>
        <v>0</v>
      </c>
      <c r="X157" s="1075"/>
      <c r="Z157" s="1065"/>
      <c r="AB157" s="26" t="str">
        <f>D157&amp;".3"</f>
        <v>11.3</v>
      </c>
      <c r="AC157" s="146" t="s">
        <v>2197</v>
      </c>
      <c r="AD157" s="26" t="s">
        <v>534</v>
      </c>
      <c r="AE157" s="568">
        <f ca="1">AE154-AE155</f>
        <v>0</v>
      </c>
      <c r="AF157" s="568">
        <f ca="1">AF154-AF155</f>
        <v>0</v>
      </c>
      <c r="AG157" s="568">
        <f ca="1">AG154-AG155</f>
        <v>0</v>
      </c>
      <c r="AH157" s="568">
        <f t="shared" ca="1" si="34"/>
        <v>0</v>
      </c>
      <c r="AI157" s="568">
        <f t="shared" ref="AI157:BC157" ca="1" si="36">AI154-AI155</f>
        <v>0</v>
      </c>
      <c r="AJ157" s="568">
        <f t="shared" ca="1" si="36"/>
        <v>0</v>
      </c>
      <c r="AK157" s="568">
        <f t="shared" ca="1" si="36"/>
        <v>0</v>
      </c>
      <c r="AL157" s="568">
        <f t="shared" ca="1" si="36"/>
        <v>0</v>
      </c>
      <c r="AM157" s="568">
        <f t="shared" ca="1" si="36"/>
        <v>0</v>
      </c>
      <c r="AN157" s="568">
        <f t="shared" ca="1" si="36"/>
        <v>0</v>
      </c>
      <c r="AO157" s="568">
        <f t="shared" ca="1" si="36"/>
        <v>0</v>
      </c>
      <c r="AP157" s="568">
        <f t="shared" ca="1" si="36"/>
        <v>0</v>
      </c>
      <c r="AQ157" s="568">
        <f t="shared" ca="1" si="36"/>
        <v>0</v>
      </c>
      <c r="AR157" s="568">
        <f t="shared" ca="1" si="36"/>
        <v>0</v>
      </c>
      <c r="AS157" s="568">
        <f t="shared" ca="1" si="36"/>
        <v>0</v>
      </c>
      <c r="AT157" s="568">
        <f t="shared" ca="1" si="36"/>
        <v>0</v>
      </c>
      <c r="AU157" s="568">
        <f t="shared" ca="1" si="36"/>
        <v>0</v>
      </c>
      <c r="AV157" s="568">
        <f t="shared" ca="1" si="36"/>
        <v>0</v>
      </c>
      <c r="AW157" s="568">
        <f t="shared" ca="1" si="36"/>
        <v>0</v>
      </c>
      <c r="AX157" s="568">
        <f t="shared" ca="1" si="36"/>
        <v>0</v>
      </c>
      <c r="AY157" s="568">
        <f t="shared" ca="1" si="36"/>
        <v>0</v>
      </c>
      <c r="AZ157" s="568">
        <f t="shared" ca="1" si="36"/>
        <v>0</v>
      </c>
      <c r="BA157" s="568">
        <f t="shared" ca="1" si="36"/>
        <v>0</v>
      </c>
      <c r="BB157" s="568">
        <f t="shared" ca="1" si="36"/>
        <v>0</v>
      </c>
      <c r="BC157" s="568">
        <f t="shared" ca="1" si="36"/>
        <v>0</v>
      </c>
      <c r="BD157" s="552"/>
      <c r="BE157" s="552"/>
      <c r="BF157" s="552"/>
      <c r="BG157" s="552"/>
      <c r="BH157" s="552"/>
      <c r="BI157" s="552"/>
      <c r="BJ157" s="552"/>
      <c r="BK157" s="552"/>
      <c r="BL157" s="552"/>
      <c r="BM157" s="552"/>
      <c r="BN157" s="784"/>
      <c r="BO157" s="784"/>
      <c r="BP157" s="784"/>
      <c r="BS157" s="703" t="s">
        <v>1880</v>
      </c>
    </row>
    <row r="158" spans="2:75" ht="14.65" hidden="1" customHeight="1">
      <c r="D158" s="44" cm="1">
        <f t="array" ref="D158">D157</f>
        <v>11</v>
      </c>
      <c r="E158" s="518">
        <v>15</v>
      </c>
      <c r="F158" s="3" cm="1">
        <f t="array" aca="1" ref="F158" ca="1">OFFSET(E158,-1,1)</f>
        <v>0</v>
      </c>
      <c r="G158" s="91" t="s">
        <v>1626</v>
      </c>
      <c r="I158" s="91" t="s">
        <v>2198</v>
      </c>
      <c r="K158" s="91" t="s">
        <v>2198</v>
      </c>
      <c r="L158" s="44" t="s">
        <v>1881</v>
      </c>
      <c r="M158" s="44"/>
      <c r="T158" s="365" t="b" cm="1">
        <f t="array" aca="1" ref="T158" ca="1">T157</f>
        <v>0</v>
      </c>
      <c r="X158" s="1075"/>
      <c r="Z158" s="1065"/>
      <c r="AB158" s="26" t="str">
        <f>D158&amp;".4"</f>
        <v>11.4</v>
      </c>
      <c r="AC158" s="146" t="s">
        <v>1883</v>
      </c>
      <c r="AD158" s="26" t="s">
        <v>1624</v>
      </c>
      <c r="AE158" s="787">
        <f ca="1">IF(AE157=0,0,(AE151-AE155*AE156)/AE157)</f>
        <v>0</v>
      </c>
      <c r="AF158" s="787">
        <f ca="1">IF(AF157=0,0,(AF151-AF155*AF156)/AF157)</f>
        <v>0</v>
      </c>
      <c r="AG158" s="787">
        <f ca="1">IF(AG157=0,0,(AG151-AG155*AG156)/AG157)</f>
        <v>0</v>
      </c>
      <c r="AH158" s="190">
        <f t="shared" ca="1" si="34"/>
        <v>0</v>
      </c>
      <c r="AI158" s="787">
        <f t="shared" ref="AI158:BC158" ca="1" si="37">IF(AI157=0,0,(AI151-AI155*AI156)/AI157)</f>
        <v>0</v>
      </c>
      <c r="AJ158" s="787">
        <f t="shared" ca="1" si="37"/>
        <v>0</v>
      </c>
      <c r="AK158" s="787">
        <f t="shared" ca="1" si="37"/>
        <v>0</v>
      </c>
      <c r="AL158" s="787">
        <f t="shared" ca="1" si="37"/>
        <v>0</v>
      </c>
      <c r="AM158" s="787">
        <f t="shared" ca="1" si="37"/>
        <v>0</v>
      </c>
      <c r="AN158" s="787">
        <f t="shared" ca="1" si="37"/>
        <v>0</v>
      </c>
      <c r="AO158" s="787">
        <f t="shared" ca="1" si="37"/>
        <v>0</v>
      </c>
      <c r="AP158" s="787">
        <f t="shared" ca="1" si="37"/>
        <v>0</v>
      </c>
      <c r="AQ158" s="787">
        <f t="shared" ca="1" si="37"/>
        <v>0</v>
      </c>
      <c r="AR158" s="787">
        <f t="shared" ca="1" si="37"/>
        <v>0</v>
      </c>
      <c r="AS158" s="787">
        <f t="shared" ca="1" si="37"/>
        <v>0</v>
      </c>
      <c r="AT158" s="787">
        <f t="shared" ca="1" si="37"/>
        <v>0</v>
      </c>
      <c r="AU158" s="787">
        <f t="shared" ca="1" si="37"/>
        <v>0</v>
      </c>
      <c r="AV158" s="787">
        <f t="shared" ca="1" si="37"/>
        <v>0</v>
      </c>
      <c r="AW158" s="787">
        <f t="shared" ca="1" si="37"/>
        <v>0</v>
      </c>
      <c r="AX158" s="787">
        <f t="shared" ca="1" si="37"/>
        <v>0</v>
      </c>
      <c r="AY158" s="787">
        <f t="shared" ca="1" si="37"/>
        <v>0</v>
      </c>
      <c r="AZ158" s="787">
        <f t="shared" ca="1" si="37"/>
        <v>0</v>
      </c>
      <c r="BA158" s="787">
        <f t="shared" ca="1" si="37"/>
        <v>0</v>
      </c>
      <c r="BB158" s="787">
        <f t="shared" ca="1" si="37"/>
        <v>0</v>
      </c>
      <c r="BC158" s="787">
        <f t="shared" ca="1" si="37"/>
        <v>0</v>
      </c>
      <c r="BD158" s="552"/>
      <c r="BE158" s="552"/>
      <c r="BF158" s="552"/>
      <c r="BG158" s="552"/>
      <c r="BH158" s="552"/>
      <c r="BI158" s="552"/>
      <c r="BJ158" s="552"/>
      <c r="BK158" s="552"/>
      <c r="BL158" s="552"/>
      <c r="BM158" s="552"/>
      <c r="BN158" s="784"/>
      <c r="BO158" s="784"/>
      <c r="BP158" s="784"/>
      <c r="BS158" s="703" t="s">
        <v>1884</v>
      </c>
    </row>
    <row r="159" spans="2:75" ht="14.65" hidden="1" customHeight="1">
      <c r="D159" s="44" cm="1">
        <f t="array" ref="D159">D158</f>
        <v>11</v>
      </c>
      <c r="E159" s="518">
        <v>15</v>
      </c>
      <c r="F159" s="3" cm="1">
        <f t="array" aca="1" ref="F159" ca="1">OFFSET(E159,-1,1)</f>
        <v>0</v>
      </c>
      <c r="I159" s="91" t="s">
        <v>2199</v>
      </c>
      <c r="K159" s="91" t="s">
        <v>2199</v>
      </c>
      <c r="L159" s="44" t="s">
        <v>1885</v>
      </c>
      <c r="M159" s="44"/>
      <c r="T159" s="365" t="b" cm="1">
        <f t="array" aca="1" ref="T159" ca="1">T158</f>
        <v>0</v>
      </c>
      <c r="X159" s="1075"/>
      <c r="Z159" s="1065"/>
      <c r="AB159" s="26" t="str">
        <f>D159&amp;".5"</f>
        <v>11.5</v>
      </c>
      <c r="AC159" s="146" t="s">
        <v>1887</v>
      </c>
      <c r="AD159" s="26" t="s">
        <v>456</v>
      </c>
      <c r="AE159" s="190">
        <f>IF(AE156=0,0,AE158/AE156*100)</f>
        <v>0</v>
      </c>
      <c r="AF159" s="190">
        <f>IF(AF156=0,0,AF158/AF156*100)</f>
        <v>0</v>
      </c>
      <c r="AG159" s="190">
        <f>IF(AG156=0,0,AG158/AG156*100)</f>
        <v>0</v>
      </c>
      <c r="AH159" s="552"/>
      <c r="AI159" s="190">
        <f t="shared" ref="AI159:BC159" si="38">IF(AI156=0,0,AI158/AI156*100)</f>
        <v>0</v>
      </c>
      <c r="AJ159" s="190">
        <f t="shared" si="38"/>
        <v>0</v>
      </c>
      <c r="AK159" s="190">
        <f t="shared" si="38"/>
        <v>0</v>
      </c>
      <c r="AL159" s="190">
        <f t="shared" si="38"/>
        <v>0</v>
      </c>
      <c r="AM159" s="190">
        <f t="shared" si="38"/>
        <v>0</v>
      </c>
      <c r="AN159" s="190">
        <f t="shared" si="38"/>
        <v>0</v>
      </c>
      <c r="AO159" s="190">
        <f t="shared" si="38"/>
        <v>0</v>
      </c>
      <c r="AP159" s="190">
        <f t="shared" si="38"/>
        <v>0</v>
      </c>
      <c r="AQ159" s="190">
        <f t="shared" si="38"/>
        <v>0</v>
      </c>
      <c r="AR159" s="190">
        <f t="shared" si="38"/>
        <v>0</v>
      </c>
      <c r="AS159" s="190">
        <f t="shared" si="38"/>
        <v>0</v>
      </c>
      <c r="AT159" s="190">
        <f t="shared" si="38"/>
        <v>0</v>
      </c>
      <c r="AU159" s="190">
        <f t="shared" ca="1" si="38"/>
        <v>0</v>
      </c>
      <c r="AV159" s="190">
        <f t="shared" ca="1" si="38"/>
        <v>0</v>
      </c>
      <c r="AW159" s="190">
        <f t="shared" ca="1" si="38"/>
        <v>0</v>
      </c>
      <c r="AX159" s="190">
        <f t="shared" ca="1" si="38"/>
        <v>0</v>
      </c>
      <c r="AY159" s="190">
        <f t="shared" ca="1" si="38"/>
        <v>0</v>
      </c>
      <c r="AZ159" s="190">
        <f t="shared" ca="1" si="38"/>
        <v>0</v>
      </c>
      <c r="BA159" s="190">
        <f t="shared" ca="1" si="38"/>
        <v>0</v>
      </c>
      <c r="BB159" s="190">
        <f t="shared" ca="1" si="38"/>
        <v>0</v>
      </c>
      <c r="BC159" s="190">
        <f t="shared" ca="1" si="38"/>
        <v>0</v>
      </c>
      <c r="BD159" s="552"/>
      <c r="BE159" s="552"/>
      <c r="BF159" s="552"/>
      <c r="BG159" s="552"/>
      <c r="BH159" s="552"/>
      <c r="BI159" s="552"/>
      <c r="BJ159" s="552"/>
      <c r="BK159" s="552"/>
      <c r="BL159" s="552"/>
      <c r="BM159" s="552"/>
      <c r="BN159" s="784"/>
      <c r="BO159" s="784"/>
      <c r="BP159" s="784"/>
      <c r="BS159" s="703" t="s">
        <v>1888</v>
      </c>
    </row>
    <row r="160" spans="2:75" ht="14.65" hidden="1" customHeight="1">
      <c r="D160" s="44" cm="1">
        <f t="array" ref="D160">D159</f>
        <v>11</v>
      </c>
      <c r="E160" s="518">
        <v>15</v>
      </c>
      <c r="F160" s="3" cm="1">
        <f t="array" aca="1" ref="F160" ca="1">OFFSET(E160,-1,1)</f>
        <v>0</v>
      </c>
      <c r="I160" s="91" t="s">
        <v>2200</v>
      </c>
      <c r="K160" s="91" t="s">
        <v>2200</v>
      </c>
      <c r="L160" s="44" t="s">
        <v>1889</v>
      </c>
      <c r="M160" s="44"/>
      <c r="T160" s="365" t="b" cm="1">
        <f t="array" aca="1" ref="T160" ca="1">T159</f>
        <v>0</v>
      </c>
      <c r="X160" s="1075"/>
      <c r="Z160" s="1065"/>
      <c r="AB160" s="26" t="str">
        <f>D160&amp;".6"</f>
        <v>11.6</v>
      </c>
      <c r="AC160" s="146" t="s">
        <v>1891</v>
      </c>
      <c r="AD160" s="26" t="s">
        <v>1624</v>
      </c>
      <c r="AE160" s="787">
        <f ca="1">IF(AE154=0,0,AE151/AE154)</f>
        <v>0</v>
      </c>
      <c r="AF160" s="787">
        <f ca="1">IF(AF154=0,0,AF151/AF154)</f>
        <v>0</v>
      </c>
      <c r="AG160" s="787">
        <f ca="1">IF(AG154=0,0,AG151/AG154)</f>
        <v>0</v>
      </c>
      <c r="AH160" s="190">
        <f ca="1">AG160-AF160</f>
        <v>0</v>
      </c>
      <c r="AI160" s="787">
        <f t="shared" ref="AI160:BC160" ca="1" si="39">IF(AI154=0,0,AI151/AI154)</f>
        <v>0</v>
      </c>
      <c r="AJ160" s="787">
        <f t="shared" ca="1" si="39"/>
        <v>0</v>
      </c>
      <c r="AK160" s="787">
        <f t="shared" ca="1" si="39"/>
        <v>0</v>
      </c>
      <c r="AL160" s="787">
        <f t="shared" ca="1" si="39"/>
        <v>0</v>
      </c>
      <c r="AM160" s="787">
        <f t="shared" ca="1" si="39"/>
        <v>0</v>
      </c>
      <c r="AN160" s="787">
        <f t="shared" ca="1" si="39"/>
        <v>0</v>
      </c>
      <c r="AO160" s="787">
        <f t="shared" ca="1" si="39"/>
        <v>0</v>
      </c>
      <c r="AP160" s="787">
        <f t="shared" ca="1" si="39"/>
        <v>0</v>
      </c>
      <c r="AQ160" s="787">
        <f t="shared" ca="1" si="39"/>
        <v>0</v>
      </c>
      <c r="AR160" s="787">
        <f t="shared" ca="1" si="39"/>
        <v>0</v>
      </c>
      <c r="AS160" s="787">
        <f t="shared" ca="1" si="39"/>
        <v>0</v>
      </c>
      <c r="AT160" s="787">
        <f t="shared" ca="1" si="39"/>
        <v>0</v>
      </c>
      <c r="AU160" s="787">
        <f t="shared" ca="1" si="39"/>
        <v>0</v>
      </c>
      <c r="AV160" s="787">
        <f t="shared" ca="1" si="39"/>
        <v>0</v>
      </c>
      <c r="AW160" s="787">
        <f t="shared" ca="1" si="39"/>
        <v>0</v>
      </c>
      <c r="AX160" s="787">
        <f t="shared" ca="1" si="39"/>
        <v>0</v>
      </c>
      <c r="AY160" s="787">
        <f t="shared" ca="1" si="39"/>
        <v>0</v>
      </c>
      <c r="AZ160" s="787">
        <f t="shared" ca="1" si="39"/>
        <v>0</v>
      </c>
      <c r="BA160" s="787">
        <f t="shared" ca="1" si="39"/>
        <v>0</v>
      </c>
      <c r="BB160" s="787">
        <f t="shared" ca="1" si="39"/>
        <v>0</v>
      </c>
      <c r="BC160" s="787">
        <f t="shared" ca="1" si="39"/>
        <v>0</v>
      </c>
      <c r="BD160" s="552"/>
      <c r="BE160" s="552"/>
      <c r="BF160" s="552"/>
      <c r="BG160" s="552"/>
      <c r="BH160" s="552"/>
      <c r="BI160" s="552"/>
      <c r="BJ160" s="552"/>
      <c r="BK160" s="552"/>
      <c r="BL160" s="552"/>
      <c r="BM160" s="552"/>
      <c r="BN160" s="784"/>
      <c r="BO160" s="784"/>
      <c r="BP160" s="784"/>
      <c r="BS160" s="703" t="s">
        <v>1892</v>
      </c>
    </row>
    <row r="161" spans="1:75" s="95" customFormat="1" ht="20.45" hidden="1" customHeight="1">
      <c r="B161" s="344"/>
      <c r="D161" s="46">
        <f>D160+1</f>
        <v>12</v>
      </c>
      <c r="E161" s="522">
        <v>21</v>
      </c>
      <c r="F161" s="3" cm="1">
        <f t="array" aca="1" ref="F161" ca="1">OFFSET(E161,-1,1)</f>
        <v>0</v>
      </c>
      <c r="H161" s="91"/>
      <c r="I161" s="91" t="s">
        <v>1897</v>
      </c>
      <c r="K161" s="91" t="s">
        <v>1897</v>
      </c>
      <c r="L161" s="46" t="s">
        <v>1893</v>
      </c>
      <c r="M161" s="46"/>
      <c r="T161" s="365" t="b" cm="1">
        <f t="array" aca="1" ref="T161" ca="1">T160</f>
        <v>0</v>
      </c>
      <c r="X161" s="1075"/>
      <c r="Z161" s="1065"/>
      <c r="AB161" s="143" cm="1">
        <f t="array" ref="AB161">D161</f>
        <v>12</v>
      </c>
      <c r="AC161" s="144" t="s">
        <v>1895</v>
      </c>
      <c r="AD161" s="143" t="s">
        <v>804</v>
      </c>
      <c r="AE161" s="783">
        <f ca="1">IF(AE154=0,0,AE151/AE154*AE162)</f>
        <v>0</v>
      </c>
      <c r="AF161" s="783">
        <f ca="1">IF(AF154=0,0,AF151/AF154*AF162)</f>
        <v>0</v>
      </c>
      <c r="AG161" s="783">
        <f ca="1">IF(AG154=0,0,AG151/AG154*AG162)</f>
        <v>0</v>
      </c>
      <c r="AH161" s="145">
        <f ca="1">AH163*AH164+AH165*AH166</f>
        <v>0</v>
      </c>
      <c r="AI161" s="783">
        <f t="shared" ref="AI161:BC161" ca="1" si="40">IF(AI154=0,0,AI151/AI154*AI162)</f>
        <v>0</v>
      </c>
      <c r="AJ161" s="783">
        <f t="shared" ca="1" si="40"/>
        <v>0</v>
      </c>
      <c r="AK161" s="783">
        <f t="shared" ca="1" si="40"/>
        <v>0</v>
      </c>
      <c r="AL161" s="783">
        <f t="shared" ca="1" si="40"/>
        <v>0</v>
      </c>
      <c r="AM161" s="783">
        <f t="shared" ca="1" si="40"/>
        <v>0</v>
      </c>
      <c r="AN161" s="783">
        <f t="shared" ca="1" si="40"/>
        <v>0</v>
      </c>
      <c r="AO161" s="783">
        <f t="shared" ca="1" si="40"/>
        <v>0</v>
      </c>
      <c r="AP161" s="783">
        <f t="shared" ca="1" si="40"/>
        <v>0</v>
      </c>
      <c r="AQ161" s="783">
        <f t="shared" ca="1" si="40"/>
        <v>0</v>
      </c>
      <c r="AR161" s="783">
        <f t="shared" ca="1" si="40"/>
        <v>0</v>
      </c>
      <c r="AS161" s="783">
        <f t="shared" ca="1" si="40"/>
        <v>0</v>
      </c>
      <c r="AT161" s="783">
        <f t="shared" ca="1" si="40"/>
        <v>0</v>
      </c>
      <c r="AU161" s="783">
        <f t="shared" ca="1" si="40"/>
        <v>0</v>
      </c>
      <c r="AV161" s="783">
        <f t="shared" ca="1" si="40"/>
        <v>0</v>
      </c>
      <c r="AW161" s="783">
        <f t="shared" ca="1" si="40"/>
        <v>0</v>
      </c>
      <c r="AX161" s="783">
        <f t="shared" ca="1" si="40"/>
        <v>0</v>
      </c>
      <c r="AY161" s="783">
        <f t="shared" ca="1" si="40"/>
        <v>0</v>
      </c>
      <c r="AZ161" s="783">
        <f t="shared" ca="1" si="40"/>
        <v>0</v>
      </c>
      <c r="BA161" s="783">
        <f t="shared" ca="1" si="40"/>
        <v>0</v>
      </c>
      <c r="BB161" s="783">
        <f t="shared" ca="1" si="40"/>
        <v>0</v>
      </c>
      <c r="BC161" s="783">
        <f t="shared" ca="1" si="40"/>
        <v>0</v>
      </c>
      <c r="BD161" s="145">
        <f ca="1">IF(AI161=0,0,(AT161-AI161)/AI161*100)</f>
        <v>0</v>
      </c>
      <c r="BE161" s="145">
        <f t="shared" ref="BE161:BM161" ca="1" si="41">IF(AT161=0,0,(AU161-AT161)/AT161*100)</f>
        <v>0</v>
      </c>
      <c r="BF161" s="145">
        <f t="shared" ca="1" si="41"/>
        <v>0</v>
      </c>
      <c r="BG161" s="145">
        <f t="shared" ca="1" si="41"/>
        <v>0</v>
      </c>
      <c r="BH161" s="145">
        <f t="shared" ca="1" si="41"/>
        <v>0</v>
      </c>
      <c r="BI161" s="145">
        <f t="shared" ca="1" si="41"/>
        <v>0</v>
      </c>
      <c r="BJ161" s="145">
        <f t="shared" ca="1" si="41"/>
        <v>0</v>
      </c>
      <c r="BK161" s="145">
        <f t="shared" ca="1" si="41"/>
        <v>0</v>
      </c>
      <c r="BL161" s="145">
        <f t="shared" ca="1" si="41"/>
        <v>0</v>
      </c>
      <c r="BM161" s="145">
        <f t="shared" ca="1" si="41"/>
        <v>0</v>
      </c>
      <c r="BN161" s="784"/>
      <c r="BO161" s="784"/>
      <c r="BP161" s="784"/>
      <c r="BS161" s="704" t="s">
        <v>1896</v>
      </c>
      <c r="BT161" s="711"/>
      <c r="BU161" s="711"/>
      <c r="BV161" s="522"/>
      <c r="BW161" s="522"/>
    </row>
    <row r="162" spans="1:75" s="95" customFormat="1" ht="20.45" hidden="1" customHeight="1">
      <c r="B162" s="344"/>
      <c r="D162" s="46">
        <f>D161+1</f>
        <v>13</v>
      </c>
      <c r="E162" s="522">
        <v>21</v>
      </c>
      <c r="F162" s="3" cm="1">
        <f t="array" aca="1" ref="F162" ca="1">OFFSET(E162,-1,1)</f>
        <v>0</v>
      </c>
      <c r="G162" s="91" t="s">
        <v>1646</v>
      </c>
      <c r="H162" s="91"/>
      <c r="I162" s="91" t="s">
        <v>2201</v>
      </c>
      <c r="K162" s="91" t="s">
        <v>2201</v>
      </c>
      <c r="L162" s="46" t="s">
        <v>1897</v>
      </c>
      <c r="M162" s="46"/>
      <c r="T162" s="365" t="b" cm="1">
        <f t="array" aca="1" ref="T162" ca="1">T161</f>
        <v>0</v>
      </c>
      <c r="X162" s="1075"/>
      <c r="Z162" s="1065"/>
      <c r="AB162" s="143" cm="1">
        <f t="array" ref="AB162">D162</f>
        <v>13</v>
      </c>
      <c r="AC162" s="144" t="s">
        <v>1899</v>
      </c>
      <c r="AD162" s="143" t="s">
        <v>534</v>
      </c>
      <c r="AE162" s="562">
        <f ca="1">SUMIFS(Баланс!AE$26:AE$300,Баланс!$F$26:$F$300,$F162,Баланс!$G$26:$G$300,"население")</f>
        <v>0</v>
      </c>
      <c r="AF162" s="562">
        <f ca="1">SUMIFS(Баланс!AF$26:AF$300,Баланс!$F$26:$F$300,$F162,Баланс!$G$26:$G$300,"население")</f>
        <v>0</v>
      </c>
      <c r="AG162" s="562">
        <f ca="1">SUMIFS(Баланс!AG$26:AG$300,Баланс!$F$26:$F$300,$F162,Баланс!$G$26:$G$300,"население")</f>
        <v>0</v>
      </c>
      <c r="AH162" s="562">
        <f ca="1">AG162-AF162</f>
        <v>0</v>
      </c>
      <c r="AI162" s="562">
        <f ca="1">SUMIFS(Баланс!AH$26:AH$300,Баланс!$F$26:$F$300,$F162,Баланс!$G$26:$G$300,"население")</f>
        <v>0</v>
      </c>
      <c r="AJ162" s="562">
        <f ca="1">SUMIFS(Баланс!AI$26:AI$300,Баланс!$F$26:$F$300,$F162,Баланс!$G$26:$G$300,"население")</f>
        <v>0</v>
      </c>
      <c r="AK162" s="562">
        <f ca="1">SUMIFS(Баланс!AJ$26:AJ$300,Баланс!$F$26:$F$300,$F162,Баланс!$G$26:$G$300,"население")</f>
        <v>0</v>
      </c>
      <c r="AL162" s="562">
        <f ca="1">SUMIFS(Баланс!AK$26:AK$300,Баланс!$F$26:$F$300,$F162,Баланс!$G$26:$G$300,"население")</f>
        <v>0</v>
      </c>
      <c r="AM162" s="562">
        <f ca="1">SUMIFS(Баланс!AL$26:AL$300,Баланс!$F$26:$F$300,$F162,Баланс!$G$26:$G$300,"население")</f>
        <v>0</v>
      </c>
      <c r="AN162" s="562">
        <f ca="1">SUMIFS(Баланс!AM$26:AM$300,Баланс!$F$26:$F$300,$F162,Баланс!$G$26:$G$300,"население")</f>
        <v>0</v>
      </c>
      <c r="AO162" s="562">
        <f ca="1">SUMIFS(Баланс!AN$26:AN$300,Баланс!$F$26:$F$300,$F162,Баланс!$G$26:$G$300,"население")</f>
        <v>0</v>
      </c>
      <c r="AP162" s="562">
        <f ca="1">SUMIFS(Баланс!AO$26:AO$300,Баланс!$F$26:$F$300,$F162,Баланс!$G$26:$G$300,"население")</f>
        <v>0</v>
      </c>
      <c r="AQ162" s="562">
        <f ca="1">SUMIFS(Баланс!AP$26:AP$300,Баланс!$F$26:$F$300,$F162,Баланс!$G$26:$G$300,"население")</f>
        <v>0</v>
      </c>
      <c r="AR162" s="562">
        <f ca="1">SUMIFS(Баланс!AQ$26:AQ$300,Баланс!$F$26:$F$300,$F162,Баланс!$G$26:$G$300,"население")</f>
        <v>0</v>
      </c>
      <c r="AS162" s="562">
        <f ca="1">SUMIFS(Баланс!AR$26:AR$300,Баланс!$F$26:$F$300,$F162,Баланс!$G$26:$G$300,"население")</f>
        <v>0</v>
      </c>
      <c r="AT162" s="562">
        <f ca="1">SUMIFS(Баланс!AS$26:AS$300,Баланс!$F$26:$F$300,$F162,Баланс!$G$26:$G$300,"население")</f>
        <v>0</v>
      </c>
      <c r="AU162" s="562">
        <f ca="1">SUMIFS(Баланс!AT$26:AT$300,Баланс!$F$26:$F$300,$F162,Баланс!$G$26:$G$300,"население")</f>
        <v>0</v>
      </c>
      <c r="AV162" s="562">
        <f ca="1">SUMIFS(Баланс!AU$26:AU$300,Баланс!$F$26:$F$300,$F162,Баланс!$G$26:$G$300,"население")</f>
        <v>0</v>
      </c>
      <c r="AW162" s="562">
        <f ca="1">SUMIFS(Баланс!AV$26:AV$300,Баланс!$F$26:$F$300,$F162,Баланс!$G$26:$G$300,"население")</f>
        <v>0</v>
      </c>
      <c r="AX162" s="562">
        <f ca="1">SUMIFS(Баланс!AW$26:AW$300,Баланс!$F$26:$F$300,$F162,Баланс!$G$26:$G$300,"население")</f>
        <v>0</v>
      </c>
      <c r="AY162" s="562">
        <f ca="1">SUMIFS(Баланс!AX$26:AX$300,Баланс!$F$26:$F$300,$F162,Баланс!$G$26:$G$300,"население")</f>
        <v>0</v>
      </c>
      <c r="AZ162" s="562">
        <f ca="1">SUMIFS(Баланс!AY$26:AY$300,Баланс!$F$26:$F$300,$F162,Баланс!$G$26:$G$300,"население")</f>
        <v>0</v>
      </c>
      <c r="BA162" s="562">
        <f ca="1">SUMIFS(Баланс!AZ$26:AZ$300,Баланс!$F$26:$F$300,$F162,Баланс!$G$26:$G$300,"население")</f>
        <v>0</v>
      </c>
      <c r="BB162" s="562">
        <f ca="1">SUMIFS(Баланс!BA$26:BA$300,Баланс!$F$26:$F$300,$F162,Баланс!$G$26:$G$300,"население")</f>
        <v>0</v>
      </c>
      <c r="BC162" s="562">
        <f ca="1">SUMIFS(Баланс!BB$26:BB$300,Баланс!$F$26:$F$300,$F162,Баланс!$G$26:$G$300,"население")</f>
        <v>0</v>
      </c>
      <c r="BD162" s="148"/>
      <c r="BE162" s="148"/>
      <c r="BF162" s="148"/>
      <c r="BG162" s="148"/>
      <c r="BH162" s="148"/>
      <c r="BI162" s="148"/>
      <c r="BJ162" s="148"/>
      <c r="BK162" s="148"/>
      <c r="BL162" s="148"/>
      <c r="BM162" s="148"/>
      <c r="BN162" s="784"/>
      <c r="BO162" s="784"/>
      <c r="BP162" s="784"/>
      <c r="BS162" s="704" t="s">
        <v>1900</v>
      </c>
      <c r="BT162" s="711"/>
      <c r="BU162" s="711"/>
      <c r="BV162" s="522"/>
      <c r="BW162" s="522"/>
    </row>
    <row r="163" spans="1:75" ht="14.65" hidden="1" customHeight="1">
      <c r="D163" s="44" cm="1">
        <f t="array" ref="D163">D162</f>
        <v>13</v>
      </c>
      <c r="E163" s="518">
        <v>15</v>
      </c>
      <c r="F163" s="3" cm="1">
        <f t="array" aca="1" ref="F163" ca="1">OFFSET(E163,-1,1)</f>
        <v>0</v>
      </c>
      <c r="G163" s="91" t="s">
        <v>1680</v>
      </c>
      <c r="I163" s="91" t="s">
        <v>2202</v>
      </c>
      <c r="K163" s="91" t="s">
        <v>2202</v>
      </c>
      <c r="L163" s="44" t="s">
        <v>1901</v>
      </c>
      <c r="M163" s="44"/>
      <c r="T163" s="365" t="b" cm="1">
        <f t="array" aca="1" ref="T163" ca="1">T162</f>
        <v>0</v>
      </c>
      <c r="X163" s="1075"/>
      <c r="Z163" s="1065"/>
      <c r="AB163" s="26" t="str">
        <f>D163&amp;".1"</f>
        <v>13.1</v>
      </c>
      <c r="AC163" s="146" t="s">
        <v>1903</v>
      </c>
      <c r="AD163" s="26" t="s">
        <v>534</v>
      </c>
      <c r="AE163" s="785">
        <f ca="1">IF(AE$24="2026 год",AE162/12*9,AE162/2)</f>
        <v>0</v>
      </c>
      <c r="AF163" s="785">
        <f ca="1">IF(AF$24="2026 год",AF162/12*9,AF162/2)</f>
        <v>0</v>
      </c>
      <c r="AG163" s="785">
        <f ca="1">IF(AG$24="2026 год",AG162/12*9,AG162/2)</f>
        <v>0</v>
      </c>
      <c r="AH163" s="568">
        <f ca="1">AG163-AF163</f>
        <v>0</v>
      </c>
      <c r="AI163" s="785">
        <f t="shared" ref="AI163:BC163" ca="1" si="42">IF(AI$24="2026 год",AI162/12*9,AI162/2)</f>
        <v>0</v>
      </c>
      <c r="AJ163" s="785">
        <f t="shared" ca="1" si="42"/>
        <v>0</v>
      </c>
      <c r="AK163" s="785">
        <f t="shared" ca="1" si="42"/>
        <v>0</v>
      </c>
      <c r="AL163" s="785">
        <f t="shared" ca="1" si="42"/>
        <v>0</v>
      </c>
      <c r="AM163" s="785">
        <f t="shared" ca="1" si="42"/>
        <v>0</v>
      </c>
      <c r="AN163" s="785">
        <f t="shared" ca="1" si="42"/>
        <v>0</v>
      </c>
      <c r="AO163" s="785">
        <f t="shared" ca="1" si="42"/>
        <v>0</v>
      </c>
      <c r="AP163" s="785">
        <f t="shared" ca="1" si="42"/>
        <v>0</v>
      </c>
      <c r="AQ163" s="785">
        <f t="shared" ca="1" si="42"/>
        <v>0</v>
      </c>
      <c r="AR163" s="785">
        <f t="shared" ca="1" si="42"/>
        <v>0</v>
      </c>
      <c r="AS163" s="785">
        <f t="shared" ca="1" si="42"/>
        <v>0</v>
      </c>
      <c r="AT163" s="785">
        <f t="shared" ca="1" si="42"/>
        <v>0</v>
      </c>
      <c r="AU163" s="785">
        <f t="shared" ca="1" si="42"/>
        <v>0</v>
      </c>
      <c r="AV163" s="785">
        <f t="shared" ca="1" si="42"/>
        <v>0</v>
      </c>
      <c r="AW163" s="785">
        <f t="shared" ca="1" si="42"/>
        <v>0</v>
      </c>
      <c r="AX163" s="785">
        <f t="shared" ca="1" si="42"/>
        <v>0</v>
      </c>
      <c r="AY163" s="785">
        <f t="shared" ca="1" si="42"/>
        <v>0</v>
      </c>
      <c r="AZ163" s="785">
        <f t="shared" ca="1" si="42"/>
        <v>0</v>
      </c>
      <c r="BA163" s="785">
        <f t="shared" ca="1" si="42"/>
        <v>0</v>
      </c>
      <c r="BB163" s="785">
        <f t="shared" ca="1" si="42"/>
        <v>0</v>
      </c>
      <c r="BC163" s="785">
        <f t="shared" ca="1" si="42"/>
        <v>0</v>
      </c>
      <c r="BD163" s="552"/>
      <c r="BE163" s="552"/>
      <c r="BF163" s="552"/>
      <c r="BG163" s="552"/>
      <c r="BH163" s="552"/>
      <c r="BI163" s="552"/>
      <c r="BJ163" s="552"/>
      <c r="BK163" s="552"/>
      <c r="BL163" s="552"/>
      <c r="BM163" s="552"/>
      <c r="BN163" s="784"/>
      <c r="BO163" s="784"/>
      <c r="BP163" s="784"/>
      <c r="BS163" s="703" t="s">
        <v>1904</v>
      </c>
    </row>
    <row r="164" spans="1:75" ht="14.65" hidden="1" customHeight="1">
      <c r="D164" s="44" cm="1">
        <f t="array" ref="D164">D163</f>
        <v>13</v>
      </c>
      <c r="E164" s="518">
        <v>15</v>
      </c>
      <c r="F164" s="3" cm="1">
        <f t="array" aca="1" ref="F164" ca="1">OFFSET(E164,-1,1)</f>
        <v>0</v>
      </c>
      <c r="G164" s="91" t="s">
        <v>1636</v>
      </c>
      <c r="I164" s="91" t="s">
        <v>2203</v>
      </c>
      <c r="K164" s="91" t="s">
        <v>2203</v>
      </c>
      <c r="L164" s="44" t="s">
        <v>1905</v>
      </c>
      <c r="M164" s="44"/>
      <c r="T164" s="365" t="b" cm="1">
        <f t="array" aca="1" ref="T164" ca="1">T163</f>
        <v>0</v>
      </c>
      <c r="X164" s="1075"/>
      <c r="Z164" s="1065"/>
      <c r="AB164" s="26" t="str">
        <f>D164&amp;".2"</f>
        <v>13.2</v>
      </c>
      <c r="AC164" s="146" t="s">
        <v>1907</v>
      </c>
      <c r="AD164" s="26" t="s">
        <v>1624</v>
      </c>
      <c r="AE164" s="787">
        <f ca="1">IF(AE162=0,0,AE156*(1+Сценарии!AE$26/100))</f>
        <v>0</v>
      </c>
      <c r="AF164" s="787">
        <f ca="1">IF(AF162=0,0,AF156*(1+Сценарии!AF$26/100))</f>
        <v>0</v>
      </c>
      <c r="AG164" s="787">
        <f ca="1">IF(AG162=0,0,AG156*(1+Сценарии!AG$26/100))</f>
        <v>0</v>
      </c>
      <c r="AH164" s="190">
        <f ca="1">AG164-AF164</f>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52"/>
      <c r="BE164" s="552"/>
      <c r="BF164" s="552"/>
      <c r="BG164" s="552"/>
      <c r="BH164" s="552"/>
      <c r="BI164" s="552"/>
      <c r="BJ164" s="552"/>
      <c r="BK164" s="552"/>
      <c r="BL164" s="552"/>
      <c r="BM164" s="552"/>
      <c r="BN164" s="784"/>
      <c r="BO164" s="784"/>
      <c r="BP164" s="784"/>
      <c r="BS164" s="703" t="s">
        <v>1908</v>
      </c>
    </row>
    <row r="165" spans="1:75" ht="14.65" hidden="1" customHeight="1">
      <c r="B165" s="34"/>
      <c r="C165" s="44"/>
      <c r="D165" s="44" cm="1">
        <f t="array" ref="D165">D164</f>
        <v>13</v>
      </c>
      <c r="E165" s="462">
        <v>15</v>
      </c>
      <c r="F165" s="3" cm="1">
        <f t="array" aca="1" ref="F165" ca="1">OFFSET(E165,-1,1)</f>
        <v>0</v>
      </c>
      <c r="G165" s="44" t="s">
        <v>1687</v>
      </c>
      <c r="H165" s="44"/>
      <c r="I165" s="44" t="s">
        <v>2204</v>
      </c>
      <c r="J165" s="44"/>
      <c r="K165" s="44" t="s">
        <v>2204</v>
      </c>
      <c r="L165" s="44" t="s">
        <v>1909</v>
      </c>
      <c r="M165" s="44"/>
      <c r="N165" s="44"/>
      <c r="O165" s="44"/>
      <c r="P165" s="44"/>
      <c r="Q165" s="44"/>
      <c r="R165" s="44"/>
      <c r="S165" s="44"/>
      <c r="T165" s="365" t="b" cm="1">
        <f t="array" aca="1" ref="T165" ca="1">T164</f>
        <v>0</v>
      </c>
      <c r="U165" s="44"/>
      <c r="V165" s="44"/>
      <c r="W165" s="44"/>
      <c r="X165" s="1075"/>
      <c r="Z165" s="1065"/>
      <c r="AB165" s="26" t="str">
        <f>D165&amp;".3"</f>
        <v>13.3</v>
      </c>
      <c r="AC165" s="146" t="s">
        <v>1879</v>
      </c>
      <c r="AD165" s="26" t="s">
        <v>534</v>
      </c>
      <c r="AE165" s="568">
        <f ca="1">AE162-AE163</f>
        <v>0</v>
      </c>
      <c r="AF165" s="568">
        <f ca="1">AF162-AF163</f>
        <v>0</v>
      </c>
      <c r="AG165" s="568">
        <f ca="1">AG162-AG163</f>
        <v>0</v>
      </c>
      <c r="AH165" s="568">
        <f ca="1">AG165-AF165</f>
        <v>0</v>
      </c>
      <c r="AI165" s="568">
        <f t="shared" ref="AI165:BC165" ca="1" si="43">AI162-AI163</f>
        <v>0</v>
      </c>
      <c r="AJ165" s="568">
        <f t="shared" ca="1" si="43"/>
        <v>0</v>
      </c>
      <c r="AK165" s="568">
        <f t="shared" ca="1" si="43"/>
        <v>0</v>
      </c>
      <c r="AL165" s="568">
        <f t="shared" ca="1" si="43"/>
        <v>0</v>
      </c>
      <c r="AM165" s="568">
        <f t="shared" ca="1" si="43"/>
        <v>0</v>
      </c>
      <c r="AN165" s="568">
        <f t="shared" ca="1" si="43"/>
        <v>0</v>
      </c>
      <c r="AO165" s="568">
        <f t="shared" ca="1" si="43"/>
        <v>0</v>
      </c>
      <c r="AP165" s="568">
        <f t="shared" ca="1" si="43"/>
        <v>0</v>
      </c>
      <c r="AQ165" s="568">
        <f t="shared" ca="1" si="43"/>
        <v>0</v>
      </c>
      <c r="AR165" s="568">
        <f t="shared" ca="1" si="43"/>
        <v>0</v>
      </c>
      <c r="AS165" s="568">
        <f t="shared" ca="1" si="43"/>
        <v>0</v>
      </c>
      <c r="AT165" s="568">
        <f t="shared" ca="1" si="43"/>
        <v>0</v>
      </c>
      <c r="AU165" s="568">
        <f t="shared" ca="1" si="43"/>
        <v>0</v>
      </c>
      <c r="AV165" s="568">
        <f t="shared" ca="1" si="43"/>
        <v>0</v>
      </c>
      <c r="AW165" s="568">
        <f t="shared" ca="1" si="43"/>
        <v>0</v>
      </c>
      <c r="AX165" s="568">
        <f t="shared" ca="1" si="43"/>
        <v>0</v>
      </c>
      <c r="AY165" s="568">
        <f t="shared" ca="1" si="43"/>
        <v>0</v>
      </c>
      <c r="AZ165" s="568">
        <f t="shared" ca="1" si="43"/>
        <v>0</v>
      </c>
      <c r="BA165" s="568">
        <f t="shared" ca="1" si="43"/>
        <v>0</v>
      </c>
      <c r="BB165" s="568">
        <f t="shared" ca="1" si="43"/>
        <v>0</v>
      </c>
      <c r="BC165" s="568">
        <f t="shared" ca="1" si="43"/>
        <v>0</v>
      </c>
      <c r="BD165" s="552"/>
      <c r="BE165" s="552"/>
      <c r="BF165" s="552"/>
      <c r="BG165" s="552"/>
      <c r="BH165" s="552"/>
      <c r="BI165" s="552"/>
      <c r="BJ165" s="552"/>
      <c r="BK165" s="552"/>
      <c r="BL165" s="552"/>
      <c r="BM165" s="552"/>
      <c r="BN165" s="784"/>
      <c r="BO165" s="784"/>
      <c r="BP165" s="784"/>
      <c r="BS165" s="703" t="s">
        <v>1911</v>
      </c>
    </row>
    <row r="166" spans="1:75" ht="14.65" hidden="1" customHeight="1">
      <c r="B166" s="34"/>
      <c r="C166" s="44"/>
      <c r="D166" s="44" cm="1">
        <f t="array" ref="D166">D165</f>
        <v>13</v>
      </c>
      <c r="E166" s="462">
        <v>15</v>
      </c>
      <c r="F166" s="3" cm="1">
        <f t="array" aca="1" ref="F166" ca="1">OFFSET(E166,-1,1)</f>
        <v>0</v>
      </c>
      <c r="G166" s="44" t="s">
        <v>1640</v>
      </c>
      <c r="H166" s="44"/>
      <c r="I166" s="44" t="s">
        <v>2205</v>
      </c>
      <c r="J166" s="44"/>
      <c r="K166" s="44" t="s">
        <v>2205</v>
      </c>
      <c r="L166" s="44" t="s">
        <v>1912</v>
      </c>
      <c r="M166" s="44"/>
      <c r="N166" s="44"/>
      <c r="O166" s="44"/>
      <c r="P166" s="44"/>
      <c r="Q166" s="44"/>
      <c r="R166" s="44"/>
      <c r="S166" s="44"/>
      <c r="T166" s="365" t="b" cm="1">
        <f t="array" aca="1" ref="T166" ca="1">T165</f>
        <v>0</v>
      </c>
      <c r="U166" s="44"/>
      <c r="V166" s="44"/>
      <c r="W166" s="44"/>
      <c r="X166" s="1075"/>
      <c r="Z166" s="1065"/>
      <c r="AB166" s="26" t="str">
        <f>D166&amp;".4"</f>
        <v>13.4</v>
      </c>
      <c r="AC166" s="146" t="s">
        <v>1883</v>
      </c>
      <c r="AD166" s="26" t="s">
        <v>1624</v>
      </c>
      <c r="AE166" s="787">
        <f ca="1">IF(AE162=0,0,AE158*(1+Сценарии!AE$26/100))</f>
        <v>0</v>
      </c>
      <c r="AF166" s="787">
        <f ca="1">IF(AF162=0,0,AF158*(1+Сценарии!AF$26/100))</f>
        <v>0</v>
      </c>
      <c r="AG166" s="787">
        <f ca="1">IF(AG162=0,0,AG158*(1+Сценарии!AG$26/100))</f>
        <v>0</v>
      </c>
      <c r="AH166" s="190">
        <f ca="1">AG166-AF166</f>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52"/>
      <c r="BE166" s="552"/>
      <c r="BF166" s="552"/>
      <c r="BG166" s="552"/>
      <c r="BH166" s="552"/>
      <c r="BI166" s="552"/>
      <c r="BJ166" s="552"/>
      <c r="BK166" s="552"/>
      <c r="BL166" s="552"/>
      <c r="BM166" s="552"/>
      <c r="BN166" s="784"/>
      <c r="BO166" s="784"/>
      <c r="BP166" s="784"/>
      <c r="BS166" s="703" t="s">
        <v>1915</v>
      </c>
    </row>
    <row r="167" spans="1:75" ht="14.65" hidden="1" customHeight="1">
      <c r="B167" s="34"/>
      <c r="C167" s="44"/>
      <c r="D167" s="44">
        <f>D166+1</f>
        <v>14</v>
      </c>
      <c r="E167" s="462">
        <v>15</v>
      </c>
      <c r="F167" s="3" cm="1">
        <f t="array" aca="1" ref="F167" ca="1">OFFSET(E167,-1,1)</f>
        <v>0</v>
      </c>
      <c r="G167" s="44"/>
      <c r="H167" s="44"/>
      <c r="I167" s="44"/>
      <c r="J167" s="44"/>
      <c r="K167" s="44"/>
      <c r="L167" s="44"/>
      <c r="M167" s="44"/>
      <c r="N167" s="44"/>
      <c r="O167" s="44"/>
      <c r="P167" s="44"/>
      <c r="Q167" s="44"/>
      <c r="R167" s="44"/>
      <c r="S167" s="44"/>
      <c r="T167" s="365" t="b" cm="1">
        <f t="array" aca="1" ref="T167" ca="1">T166</f>
        <v>0</v>
      </c>
      <c r="U167" s="44"/>
      <c r="V167" s="44"/>
      <c r="W167" s="44"/>
      <c r="X167" s="1075"/>
      <c r="Z167" s="1065"/>
      <c r="AB167" s="143" cm="1">
        <f t="array" ref="AB167">D167</f>
        <v>14</v>
      </c>
      <c r="AC167" s="144" t="s">
        <v>1917</v>
      </c>
      <c r="AD167" s="143" t="s">
        <v>804</v>
      </c>
      <c r="AE167" s="787"/>
      <c r="AF167" s="787"/>
      <c r="AG167" s="787"/>
      <c r="AH167" s="190"/>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52"/>
      <c r="BE167" s="552"/>
      <c r="BF167" s="552"/>
      <c r="BG167" s="552"/>
      <c r="BH167" s="552"/>
      <c r="BI167" s="552"/>
      <c r="BJ167" s="552"/>
      <c r="BK167" s="552"/>
      <c r="BL167" s="552"/>
      <c r="BM167" s="552"/>
      <c r="BN167" s="784"/>
      <c r="BO167" s="784"/>
      <c r="BP167" s="784"/>
      <c r="BS167" s="703" t="s">
        <v>1918</v>
      </c>
    </row>
    <row r="168" spans="1:75" ht="20.45" hidden="1" customHeight="1">
      <c r="B168" s="34"/>
      <c r="C168" s="44"/>
      <c r="D168" s="44" cm="1">
        <f t="array" ref="D168">D167</f>
        <v>14</v>
      </c>
      <c r="E168" s="462">
        <v>21</v>
      </c>
      <c r="F168" s="3" cm="1">
        <f t="array" aca="1" ref="F168" ca="1">OFFSET(E168,-1,1)</f>
        <v>0</v>
      </c>
      <c r="G168" s="44"/>
      <c r="H168" s="44"/>
      <c r="I168" s="44"/>
      <c r="J168" s="44"/>
      <c r="K168" s="44"/>
      <c r="L168" s="44"/>
      <c r="M168" s="44"/>
      <c r="N168" s="44"/>
      <c r="O168" s="44"/>
      <c r="P168" s="44"/>
      <c r="Q168" s="44"/>
      <c r="R168" s="44"/>
      <c r="S168" s="44"/>
      <c r="T168" s="365" t="b" cm="1">
        <f t="array" aca="1" ref="T168" ca="1">T167</f>
        <v>0</v>
      </c>
      <c r="U168" s="44"/>
      <c r="V168" s="44"/>
      <c r="W168" s="44"/>
      <c r="X168" s="1075"/>
      <c r="Z168" s="1065"/>
      <c r="AB168" s="26" t="str">
        <f>D168&amp;".1"</f>
        <v>14.1</v>
      </c>
      <c r="AC168" s="146" t="s">
        <v>1920</v>
      </c>
      <c r="AD168" s="26" t="s">
        <v>804</v>
      </c>
      <c r="AE168" s="787"/>
      <c r="AF168" s="787"/>
      <c r="AG168" s="787"/>
      <c r="AH168" s="190">
        <f>AG168-AF168</f>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52"/>
      <c r="BE168" s="552"/>
      <c r="BF168" s="552"/>
      <c r="BG168" s="552"/>
      <c r="BH168" s="552"/>
      <c r="BI168" s="552"/>
      <c r="BJ168" s="552"/>
      <c r="BK168" s="552"/>
      <c r="BL168" s="552"/>
      <c r="BM168" s="552"/>
      <c r="BN168" s="784"/>
      <c r="BO168" s="784"/>
      <c r="BP168" s="784"/>
      <c r="BS168" s="703" t="s">
        <v>1921</v>
      </c>
      <c r="BT168" s="712"/>
      <c r="BU168" s="712"/>
      <c r="BV168" s="713"/>
      <c r="BW168" s="713"/>
    </row>
    <row r="169" spans="1:75" ht="64.900000000000006" hidden="1" customHeight="1">
      <c r="B169" s="34"/>
      <c r="C169" s="44"/>
      <c r="D169" s="44" cm="1">
        <f t="array" ref="D169">D168</f>
        <v>14</v>
      </c>
      <c r="E169" s="462">
        <v>66.599999999999994</v>
      </c>
      <c r="F169" s="3" cm="1">
        <f t="array" aca="1" ref="F169" ca="1">OFFSET(E169,-1,1)</f>
        <v>0</v>
      </c>
      <c r="G169" s="44"/>
      <c r="H169" s="44"/>
      <c r="I169" s="44"/>
      <c r="J169" s="44"/>
      <c r="K169" s="44"/>
      <c r="L169" s="44"/>
      <c r="M169" s="44"/>
      <c r="N169" s="44"/>
      <c r="O169" s="44"/>
      <c r="P169" s="44"/>
      <c r="Q169" s="44"/>
      <c r="R169" s="44"/>
      <c r="S169" s="44"/>
      <c r="T169" s="365" t="b" cm="1">
        <f t="array" aca="1" ref="T169" ca="1">T168</f>
        <v>0</v>
      </c>
      <c r="U169" s="44"/>
      <c r="V169" s="44"/>
      <c r="W169" s="44"/>
      <c r="X169" s="1075"/>
      <c r="Z169" s="1065"/>
      <c r="AB169" s="26" t="str">
        <f>D169&amp;".2"</f>
        <v>14.2</v>
      </c>
      <c r="AC169" s="146" t="s">
        <v>1923</v>
      </c>
      <c r="AD169" s="26" t="s">
        <v>804</v>
      </c>
      <c r="AE169" s="787"/>
      <c r="AF169" s="787"/>
      <c r="AG169" s="787"/>
      <c r="AH169" s="190">
        <f>AG169-AF169</f>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52"/>
      <c r="BE169" s="552"/>
      <c r="BF169" s="552"/>
      <c r="BG169" s="552"/>
      <c r="BH169" s="552"/>
      <c r="BI169" s="552"/>
      <c r="BJ169" s="552"/>
      <c r="BK169" s="552"/>
      <c r="BL169" s="552"/>
      <c r="BM169" s="552"/>
      <c r="BN169" s="784"/>
      <c r="BO169" s="784"/>
      <c r="BP169" s="784"/>
      <c r="BS169" s="703" t="s">
        <v>1924</v>
      </c>
      <c r="BT169" s="712"/>
      <c r="BU169" s="712"/>
      <c r="BV169" s="713"/>
      <c r="BW169" s="713"/>
    </row>
    <row r="170" spans="1:75" ht="44.45" hidden="1" customHeight="1">
      <c r="A170" s="388"/>
      <c r="B170" s="548"/>
      <c r="C170" s="44"/>
      <c r="D170" s="44" cm="1">
        <f t="array" ref="D170">D169</f>
        <v>14</v>
      </c>
      <c r="E170" s="462">
        <v>45.6</v>
      </c>
      <c r="F170" s="3" cm="1">
        <f t="array" aca="1" ref="F170" ca="1">OFFSET(E170,-1,1)</f>
        <v>0</v>
      </c>
      <c r="G170" s="44"/>
      <c r="H170" s="44"/>
      <c r="I170" s="44"/>
      <c r="J170" s="44"/>
      <c r="K170" s="44"/>
      <c r="L170" s="44"/>
      <c r="M170" s="44"/>
      <c r="N170" s="44"/>
      <c r="O170" s="44"/>
      <c r="P170" s="44"/>
      <c r="Q170" s="44"/>
      <c r="R170" s="44"/>
      <c r="S170" s="44"/>
      <c r="T170" s="365" t="b" cm="1">
        <f t="array" aca="1" ref="T170" ca="1">T169</f>
        <v>0</v>
      </c>
      <c r="U170" s="44"/>
      <c r="V170" s="44"/>
      <c r="W170" s="44"/>
      <c r="X170" s="1075"/>
      <c r="Y170" s="388"/>
      <c r="Z170" s="1065"/>
      <c r="AA170" s="388"/>
      <c r="AB170" s="26" t="str">
        <f>D170&amp;".3"</f>
        <v>14.3</v>
      </c>
      <c r="AC170" s="146" t="s">
        <v>2206</v>
      </c>
      <c r="AD170" s="26" t="s">
        <v>804</v>
      </c>
      <c r="AE170" s="552"/>
      <c r="AF170" s="787"/>
      <c r="AG170" s="787"/>
      <c r="AH170" s="190">
        <f>AG170-AF170</f>
        <v>0</v>
      </c>
      <c r="AI170" s="552"/>
      <c r="AJ170" s="552"/>
      <c r="AK170" s="552"/>
      <c r="AL170" s="552"/>
      <c r="AM170" s="552"/>
      <c r="AN170" s="552"/>
      <c r="AO170" s="552"/>
      <c r="AP170" s="552"/>
      <c r="AQ170" s="552"/>
      <c r="AR170" s="552"/>
      <c r="AS170" s="552"/>
      <c r="AT170" s="552"/>
      <c r="AU170" s="552"/>
      <c r="AV170" s="552"/>
      <c r="AW170" s="552"/>
      <c r="AX170" s="552"/>
      <c r="AY170" s="552"/>
      <c r="AZ170" s="552"/>
      <c r="BA170" s="552"/>
      <c r="BB170" s="552"/>
      <c r="BC170" s="552"/>
      <c r="BD170" s="552"/>
      <c r="BE170" s="552"/>
      <c r="BF170" s="552"/>
      <c r="BG170" s="552"/>
      <c r="BH170" s="552"/>
      <c r="BI170" s="552"/>
      <c r="BJ170" s="552"/>
      <c r="BK170" s="552"/>
      <c r="BL170" s="552"/>
      <c r="BM170" s="552"/>
      <c r="BN170" s="784"/>
      <c r="BO170" s="784"/>
      <c r="BP170" s="784"/>
      <c r="BS170" s="712" t="s">
        <v>2207</v>
      </c>
      <c r="BT170" s="712"/>
      <c r="BU170" s="712"/>
      <c r="BV170" s="713"/>
      <c r="BW170" s="713"/>
    </row>
    <row r="171" spans="1:75" s="408" customFormat="1" ht="14.25" customHeight="1">
      <c r="A171" s="57"/>
      <c r="B171" s="62"/>
      <c r="C171" s="57"/>
      <c r="D171" s="57"/>
      <c r="E171" s="459">
        <v>15</v>
      </c>
      <c r="F171" s="36" t="str" cm="1">
        <f t="array" ref="F171">X171</f>
        <v>1</v>
      </c>
      <c r="G171" s="36" t="str" cm="1">
        <f t="array" ref="G171">INDEX('Общие сведения'!$AK$179:$AK$222,MATCH($X171,'Общие сведения'!$Z$179:$Z$222,0))</f>
        <v>одноставочный</v>
      </c>
      <c r="H171" s="57"/>
      <c r="I171" s="36"/>
      <c r="J171" s="57"/>
      <c r="K171" s="57"/>
      <c r="L171" s="41"/>
      <c r="M171" s="41"/>
      <c r="N171" s="57"/>
      <c r="O171" s="57"/>
      <c r="P171" s="57"/>
      <c r="Q171" s="57"/>
      <c r="R171" s="57"/>
      <c r="S171" s="57" t="str" cm="1">
        <f t="array" ref="S171">INDEX('Общие сведения'!$AE$179:$AE$222,MATCH($X171,'Общие сведения'!$Z$179:$Z$222,0))</f>
        <v>Водоснабжение</v>
      </c>
      <c r="T171" s="365" t="b">
        <f>X171&gt;0</f>
        <v>1</v>
      </c>
      <c r="U171" s="57"/>
      <c r="V171" s="57" t="str" cm="1">
        <f t="array" ref="V171">'Калькуляция (МИ)'!$AB$171</f>
        <v>Тариф 1 (Водоснабжение) - тариф на питьевую воду (Доп. признак не требуется)</v>
      </c>
      <c r="W171" s="57"/>
      <c r="X171" s="1075" t="s">
        <v>275</v>
      </c>
      <c r="Y171" s="57"/>
      <c r="Z171" s="1065"/>
      <c r="AA171" s="57"/>
      <c r="AB171" s="293" t="str" cm="1">
        <f t="array" ref="AB171">'Калькуляция (МИ)'!$AB$171</f>
        <v>Тариф 1 (Водоснабжение) - тариф на питьевую воду (Доп. признак не требуется)</v>
      </c>
      <c r="AC171" s="184"/>
      <c r="AD171" s="184"/>
      <c r="AE171" s="184"/>
      <c r="AF171" s="184"/>
      <c r="AG171" s="184"/>
      <c r="AH171" s="184"/>
      <c r="AI171" s="184"/>
      <c r="AJ171" s="184"/>
      <c r="AK171" s="184"/>
      <c r="AL171" s="184"/>
      <c r="AM171" s="184"/>
      <c r="AN171" s="184"/>
      <c r="AO171" s="184"/>
      <c r="AP171" s="184"/>
      <c r="AQ171" s="184"/>
      <c r="AR171" s="184"/>
      <c r="AS171" s="184"/>
      <c r="AT171" s="184"/>
      <c r="AU171" s="184"/>
      <c r="AV171" s="184"/>
      <c r="AW171" s="184"/>
      <c r="AX171" s="184"/>
      <c r="AY171" s="184"/>
      <c r="AZ171" s="184"/>
      <c r="BA171" s="184"/>
      <c r="BB171" s="184"/>
      <c r="BC171" s="184"/>
      <c r="BD171" s="184"/>
      <c r="BE171" s="184"/>
      <c r="BF171" s="184"/>
      <c r="BG171" s="184"/>
      <c r="BH171" s="184"/>
      <c r="BI171" s="184"/>
      <c r="BJ171" s="184"/>
      <c r="BK171" s="184"/>
      <c r="BL171" s="184"/>
      <c r="BM171" s="184"/>
      <c r="BN171" s="184"/>
      <c r="BO171" s="184"/>
      <c r="BP171" s="184"/>
      <c r="BQ171" s="57"/>
      <c r="BR171" s="57"/>
      <c r="BS171" s="665"/>
      <c r="BT171" s="665"/>
      <c r="BU171" s="665"/>
      <c r="BV171" s="459"/>
      <c r="BW171" s="459"/>
    </row>
    <row r="172" spans="1:75" s="949" customFormat="1" ht="118.15" customHeight="1">
      <c r="A172" s="94"/>
      <c r="B172" s="343"/>
      <c r="C172" s="94"/>
      <c r="D172" s="94"/>
      <c r="E172" s="520">
        <v>21</v>
      </c>
      <c r="F172" s="3" t="str" cm="1">
        <f t="array" aca="1" ref="F172" ca="1">OFFSET(E172,-1,1)</f>
        <v>1</v>
      </c>
      <c r="G172" s="94"/>
      <c r="H172" s="289"/>
      <c r="I172" s="289" t="s">
        <v>327</v>
      </c>
      <c r="J172" s="94"/>
      <c r="K172" s="289" t="s">
        <v>327</v>
      </c>
      <c r="L172" s="585"/>
      <c r="M172" s="585"/>
      <c r="N172" s="94"/>
      <c r="O172" s="94"/>
      <c r="P172" s="94"/>
      <c r="Q172" s="94"/>
      <c r="R172" s="94" t="s">
        <v>2218</v>
      </c>
      <c r="S172" s="94"/>
      <c r="T172" s="365" t="b" cm="1">
        <f t="array" ref="T172">T171</f>
        <v>1</v>
      </c>
      <c r="U172" s="94"/>
      <c r="V172" s="94"/>
      <c r="W172" s="94"/>
      <c r="X172" s="1075"/>
      <c r="Y172" s="94"/>
      <c r="Z172" s="1065"/>
      <c r="AA172" s="94"/>
      <c r="AB172" s="179" t="s">
        <v>275</v>
      </c>
      <c r="AC172" s="144" t="s">
        <v>1931</v>
      </c>
      <c r="AD172" s="166" t="s">
        <v>804</v>
      </c>
      <c r="AE172" s="157">
        <f ca="1">SUM(AE174,AE191,AE197,AE217,AE218,AE219)</f>
        <v>27976.111832615999</v>
      </c>
      <c r="AF172" s="145">
        <f ca="1">SUM(AF174,AF191,AF197,AF217,AF218,AF219)</f>
        <v>29320.721026359999</v>
      </c>
      <c r="AG172" s="145">
        <f ca="1">SUM(AG174,AG191,AG197,AG217,AG218,AG219)</f>
        <v>27976.111832615999</v>
      </c>
      <c r="AH172" s="145">
        <f t="shared" ref="AH172:AH203" ca="1" si="44">AG172-AF172</f>
        <v>-1344.6091937439996</v>
      </c>
      <c r="AI172" s="157">
        <v>31013.1761103221</v>
      </c>
      <c r="AJ172" s="157">
        <f>SUM(AJ174,AJ191,AJ197,AJ217,AJ218,AJ219)</f>
        <v>37817.550000000003</v>
      </c>
      <c r="AK172" s="783">
        <f t="shared" ref="AK172:AS172" ca="1" si="45">AJ172*AK173</f>
        <v>37817.550000000003</v>
      </c>
      <c r="AL172" s="783">
        <f t="shared" ca="1" si="45"/>
        <v>37817.550000000003</v>
      </c>
      <c r="AM172" s="783">
        <f t="shared" ca="1" si="45"/>
        <v>37817.550000000003</v>
      </c>
      <c r="AN172" s="783">
        <f t="shared" ca="1" si="45"/>
        <v>37817.550000000003</v>
      </c>
      <c r="AO172" s="783">
        <f t="shared" ca="1" si="45"/>
        <v>37817.550000000003</v>
      </c>
      <c r="AP172" s="783">
        <f t="shared" ca="1" si="45"/>
        <v>37817.550000000003</v>
      </c>
      <c r="AQ172" s="783">
        <f t="shared" ca="1" si="45"/>
        <v>37817.550000000003</v>
      </c>
      <c r="AR172" s="783">
        <f t="shared" ca="1" si="45"/>
        <v>37817.550000000003</v>
      </c>
      <c r="AS172" s="783">
        <f t="shared" ca="1" si="45"/>
        <v>37817.550000000003</v>
      </c>
      <c r="AT172" s="157">
        <f ca="1">AI172*AT173</f>
        <v>32268.899611029039</v>
      </c>
      <c r="AU172" s="783">
        <f t="shared" ref="AU172:BC172" ca="1" si="46">AT172*AU173</f>
        <v>32268.899611029039</v>
      </c>
      <c r="AV172" s="783">
        <f t="shared" ca="1" si="46"/>
        <v>32268.899611029039</v>
      </c>
      <c r="AW172" s="783">
        <f t="shared" ca="1" si="46"/>
        <v>32268.899611029039</v>
      </c>
      <c r="AX172" s="783">
        <f t="shared" ca="1" si="46"/>
        <v>32268.899611029039</v>
      </c>
      <c r="AY172" s="783">
        <f t="shared" ca="1" si="46"/>
        <v>32268.899611029039</v>
      </c>
      <c r="AZ172" s="783">
        <f t="shared" ca="1" si="46"/>
        <v>32268.899611029039</v>
      </c>
      <c r="BA172" s="783">
        <f t="shared" ca="1" si="46"/>
        <v>32268.899611029039</v>
      </c>
      <c r="BB172" s="783">
        <f t="shared" ca="1" si="46"/>
        <v>32268.899611029039</v>
      </c>
      <c r="BC172" s="783">
        <f t="shared" ca="1" si="46"/>
        <v>32268.899611029039</v>
      </c>
      <c r="BD172" s="145">
        <f ca="1">IF(AI172=0,0,(AT172-AI172)/AI172*100)</f>
        <v>4.0489999999999924</v>
      </c>
      <c r="BE172" s="145">
        <f t="shared" ref="BE172:BM172" ca="1" si="47">IF(AT172=0,0,(AU172-AT172)/AT172*100)</f>
        <v>0</v>
      </c>
      <c r="BF172" s="145">
        <f t="shared" ca="1" si="47"/>
        <v>0</v>
      </c>
      <c r="BG172" s="145">
        <f t="shared" ca="1" si="47"/>
        <v>0</v>
      </c>
      <c r="BH172" s="145">
        <f t="shared" ca="1" si="47"/>
        <v>0</v>
      </c>
      <c r="BI172" s="145">
        <f t="shared" ca="1" si="47"/>
        <v>0</v>
      </c>
      <c r="BJ172" s="145">
        <f t="shared" ca="1" si="47"/>
        <v>0</v>
      </c>
      <c r="BK172" s="145">
        <f t="shared" ca="1" si="47"/>
        <v>0</v>
      </c>
      <c r="BL172" s="145">
        <f t="shared" ca="1" si="47"/>
        <v>0</v>
      </c>
      <c r="BM172" s="145">
        <f t="shared" ca="1" si="47"/>
        <v>0</v>
      </c>
      <c r="BN172" s="953" t="s">
        <v>2220</v>
      </c>
      <c r="BO172" s="215" t="s">
        <v>2221</v>
      </c>
      <c r="BP172" s="215"/>
      <c r="BQ172" s="93"/>
      <c r="BR172" s="94"/>
      <c r="BS172" s="709" t="s">
        <v>526</v>
      </c>
      <c r="BT172" s="709"/>
      <c r="BU172" s="709"/>
      <c r="BV172" s="520"/>
      <c r="BW172" s="520"/>
    </row>
    <row r="173" spans="1:75" ht="14.65" customHeight="1">
      <c r="E173" s="518">
        <v>15</v>
      </c>
      <c r="F173" s="3" t="str" cm="1">
        <f t="array" aca="1" ref="F173" ca="1">OFFSET(E173,-1,1)</f>
        <v>1</v>
      </c>
      <c r="H173" s="290"/>
      <c r="I173" s="290" t="s">
        <v>461</v>
      </c>
      <c r="K173" s="290" t="s">
        <v>461</v>
      </c>
      <c r="L173" s="44"/>
      <c r="M173" s="44"/>
      <c r="R173" s="94" t="s">
        <v>2218</v>
      </c>
      <c r="T173" s="365" t="b" cm="1">
        <f t="array" ref="T173">T172</f>
        <v>1</v>
      </c>
      <c r="X173" s="1075"/>
      <c r="Z173" s="1065"/>
      <c r="AB173" s="152" t="s">
        <v>897</v>
      </c>
      <c r="AC173" s="146" t="s">
        <v>1932</v>
      </c>
      <c r="AD173" s="26"/>
      <c r="AE173" s="455"/>
      <c r="AF173" s="455"/>
      <c r="AG173" s="455"/>
      <c r="AH173" s="568">
        <f t="shared" si="44"/>
        <v>0</v>
      </c>
      <c r="AI173" s="455">
        <v>1.0580000000000001</v>
      </c>
      <c r="AJ173" s="455">
        <f ca="1">SUMIFS(INDEX(Сценарии!$AE$25:$BF$109,,MATCH(AJ$8,Сценарии!$AE$8:$BF$8,0)),Сценарии!$F$25:$F$109,$F173,Сценарии!$G$25:$G$109,"ИОР")</f>
        <v>1.08</v>
      </c>
      <c r="AK173" s="785">
        <f ca="1">SUMIFS(INDEX(Сценарии!$AE$25:$BF$109,,MATCH(AK$8,Сценарии!$AE$8:$BF$8,0)),Сценарии!$F$25:$F$109,$F173,Сценарии!$G$25:$G$109,"ИОР")</f>
        <v>1</v>
      </c>
      <c r="AL173" s="785">
        <f ca="1">SUMIFS(INDEX(Сценарии!$AE$25:$BF$109,,MATCH(AL$8,Сценарии!$AE$8:$BF$8,0)),Сценарии!$F$25:$F$109,$F173,Сценарии!$G$25:$G$109,"ИОР")</f>
        <v>1</v>
      </c>
      <c r="AM173" s="785">
        <f ca="1">SUMIFS(INDEX(Сценарии!$AE$25:$BF$109,,MATCH(AM$8,Сценарии!$AE$8:$BF$8,0)),Сценарии!$F$25:$F$109,$F173,Сценарии!$G$25:$G$109,"ИОР")</f>
        <v>1</v>
      </c>
      <c r="AN173" s="785">
        <f ca="1">SUMIFS(INDEX(Сценарии!$AE$25:$BF$109,,MATCH(AN$8,Сценарии!$AE$8:$BF$8,0)),Сценарии!$F$25:$F$109,$F173,Сценарии!$G$25:$G$109,"ИОР")</f>
        <v>1</v>
      </c>
      <c r="AO173" s="785">
        <f ca="1">SUMIFS(INDEX(Сценарии!$AE$25:$BF$109,,MATCH(AO$8,Сценарии!$AE$8:$BF$8,0)),Сценарии!$F$25:$F$109,$F173,Сценарии!$G$25:$G$109,"ИОР")</f>
        <v>1</v>
      </c>
      <c r="AP173" s="785">
        <f ca="1">SUMIFS(INDEX(Сценарии!$AE$25:$BF$109,,MATCH(AP$8,Сценарии!$AE$8:$BF$8,0)),Сценарии!$F$25:$F$109,$F173,Сценарии!$G$25:$G$109,"ИОР")</f>
        <v>1</v>
      </c>
      <c r="AQ173" s="785">
        <f ca="1">SUMIFS(INDEX(Сценарии!$AE$25:$BF$109,,MATCH(AQ$8,Сценарии!$AE$8:$BF$8,0)),Сценарии!$F$25:$F$109,$F173,Сценарии!$G$25:$G$109,"ИОР")</f>
        <v>1</v>
      </c>
      <c r="AR173" s="785">
        <f ca="1">SUMIFS(INDEX(Сценарии!$AE$25:$BF$109,,MATCH(AR$8,Сценарии!$AE$8:$BF$8,0)),Сценарии!$F$25:$F$109,$F173,Сценарии!$G$25:$G$109,"ИОР")</f>
        <v>1</v>
      </c>
      <c r="AS173" s="785">
        <f ca="1">SUMIFS(INDEX(Сценарии!$AE$25:$BF$109,,MATCH(AS$8,Сценарии!$AE$8:$BF$8,0)),Сценарии!$F$25:$F$109,$F173,Сценарии!$G$25:$G$109,"ИОР")</f>
        <v>1</v>
      </c>
      <c r="AT173" s="455">
        <f ca="1">SUMIFS(INDEX(Сценарии!$AE$25:$BF$109,,MATCH(AT$8,Сценарии!$AE$8:$BF$8,0)),Сценарии!$F$25:$F$109,$F173,Сценарии!$G$25:$G$109,"ИОР")</f>
        <v>1.0404899999999999</v>
      </c>
      <c r="AU173" s="785">
        <f ca="1">SUMIFS(INDEX(Сценарии!$AE$25:$BF$109,,MATCH(AU$8,Сценарии!$AE$8:$BF$8,0)),Сценарии!$F$25:$F$109,$F173,Сценарии!$G$25:$G$109,"ИОР")</f>
        <v>1</v>
      </c>
      <c r="AV173" s="785">
        <f ca="1">SUMIFS(INDEX(Сценарии!$AE$25:$BF$109,,MATCH(AV$8,Сценарии!$AE$8:$BF$8,0)),Сценарии!$F$25:$F$109,$F173,Сценарии!$G$25:$G$109,"ИОР")</f>
        <v>1</v>
      </c>
      <c r="AW173" s="785">
        <f ca="1">SUMIFS(INDEX(Сценарии!$AE$25:$BF$109,,MATCH(AW$8,Сценарии!$AE$8:$BF$8,0)),Сценарии!$F$25:$F$109,$F173,Сценарии!$G$25:$G$109,"ИОР")</f>
        <v>1</v>
      </c>
      <c r="AX173" s="785">
        <f ca="1">SUMIFS(INDEX(Сценарии!$AE$25:$BF$109,,MATCH(AX$8,Сценарии!$AE$8:$BF$8,0)),Сценарии!$F$25:$F$109,$F173,Сценарии!$G$25:$G$109,"ИОР")</f>
        <v>1</v>
      </c>
      <c r="AY173" s="785">
        <f ca="1">SUMIFS(INDEX(Сценарии!$AE$25:$BF$109,,MATCH(AY$8,Сценарии!$AE$8:$BF$8,0)),Сценарии!$F$25:$F$109,$F173,Сценарии!$G$25:$G$109,"ИОР")</f>
        <v>1</v>
      </c>
      <c r="AZ173" s="785">
        <f ca="1">SUMIFS(INDEX(Сценарии!$AE$25:$BF$109,,MATCH(AZ$8,Сценарии!$AE$8:$BF$8,0)),Сценарии!$F$25:$F$109,$F173,Сценарии!$G$25:$G$109,"ИОР")</f>
        <v>1</v>
      </c>
      <c r="BA173" s="785">
        <f ca="1">SUMIFS(INDEX(Сценарии!$AE$25:$BF$109,,MATCH(BA$8,Сценарии!$AE$8:$BF$8,0)),Сценарии!$F$25:$F$109,$F173,Сценарии!$G$25:$G$109,"ИОР")</f>
        <v>1</v>
      </c>
      <c r="BB173" s="785">
        <f ca="1">SUMIFS(INDEX(Сценарии!$AE$25:$BF$109,,MATCH(BB$8,Сценарии!$AE$8:$BF$8,0)),Сценарии!$F$25:$F$109,$F173,Сценарии!$G$25:$G$109,"ИОР")</f>
        <v>1</v>
      </c>
      <c r="BC173" s="785">
        <f ca="1">SUMIFS(INDEX(Сценарии!$AE$25:$BF$109,,MATCH(BC$8,Сценарии!$AE$8:$BF$8,0)),Сценарии!$F$25:$F$109,$F173,Сценарии!$G$25:$G$109,"ИОР")</f>
        <v>1</v>
      </c>
      <c r="BD173" s="552"/>
      <c r="BE173" s="552"/>
      <c r="BF173" s="552"/>
      <c r="BG173" s="552"/>
      <c r="BH173" s="552"/>
      <c r="BI173" s="552"/>
      <c r="BJ173" s="552"/>
      <c r="BK173" s="552"/>
      <c r="BL173" s="552"/>
      <c r="BM173" s="552"/>
      <c r="BN173" s="215"/>
      <c r="BO173" s="215"/>
      <c r="BP173" s="215"/>
      <c r="BS173" s="705" t="s">
        <v>1933</v>
      </c>
    </row>
    <row r="174" spans="1:75" s="343" customFormat="1" ht="20.25" customHeight="1">
      <c r="A174" s="93"/>
      <c r="C174" s="93"/>
      <c r="D174" s="93"/>
      <c r="E174" s="521">
        <v>21</v>
      </c>
      <c r="F174" s="3" t="str" cm="1">
        <f t="array" aca="1" ref="F174" ca="1">OFFSET(E174,-1,1)</f>
        <v>1</v>
      </c>
      <c r="G174" s="93"/>
      <c r="H174" s="289"/>
      <c r="I174" s="289" t="s">
        <v>465</v>
      </c>
      <c r="J174" s="93"/>
      <c r="K174" s="289" t="s">
        <v>465</v>
      </c>
      <c r="L174" s="588" t="s">
        <v>327</v>
      </c>
      <c r="M174" s="588"/>
      <c r="N174" s="93"/>
      <c r="O174" s="93"/>
      <c r="P174" s="93"/>
      <c r="Q174" s="91" t="s">
        <v>2218</v>
      </c>
      <c r="R174" s="94" t="s">
        <v>2218</v>
      </c>
      <c r="S174" s="93"/>
      <c r="T174" s="365" t="b" cm="1">
        <f t="array" ref="T174">T173</f>
        <v>1</v>
      </c>
      <c r="U174" s="93"/>
      <c r="V174" s="93"/>
      <c r="W174" s="93"/>
      <c r="X174" s="1075"/>
      <c r="Y174" s="93"/>
      <c r="Z174" s="1065"/>
      <c r="AA174" s="93"/>
      <c r="AB174" s="179" t="s">
        <v>900</v>
      </c>
      <c r="AC174" s="276" t="s">
        <v>1721</v>
      </c>
      <c r="AD174" s="166" t="s">
        <v>804</v>
      </c>
      <c r="AE174" s="145">
        <f ca="1">SUM(AE175,AE178,AE179,AE182,AE183)</f>
        <v>23385.481706335999</v>
      </c>
      <c r="AF174" s="145">
        <f ca="1">SUM(AF175,AF178,AF179,AF182,AF183)</f>
        <v>23645.933026359999</v>
      </c>
      <c r="AG174" s="145">
        <f ca="1">SUM(AG175,AG178,AG179,AG182,AG183)</f>
        <v>23385.481706335999</v>
      </c>
      <c r="AH174" s="145">
        <f t="shared" ca="1" si="44"/>
        <v>-260.45132002399987</v>
      </c>
      <c r="AI174" s="951">
        <f ca="1">SUM(AI175,AI178,AI179,AI182,AI183)</f>
        <v>0</v>
      </c>
      <c r="AJ174" s="455">
        <f>SUM(AJ175,AJ178,AJ179,AJ182,AJ183)</f>
        <v>31339.449999999997</v>
      </c>
      <c r="AK174" s="148"/>
      <c r="AL174" s="148"/>
      <c r="AM174" s="148"/>
      <c r="AN174" s="148"/>
      <c r="AO174" s="148"/>
      <c r="AP174" s="148"/>
      <c r="AQ174" s="148"/>
      <c r="AR174" s="148"/>
      <c r="AS174" s="148"/>
      <c r="AT174" s="148"/>
      <c r="AU174" s="148"/>
      <c r="AV174" s="148"/>
      <c r="AW174" s="148"/>
      <c r="AX174" s="148"/>
      <c r="AY174" s="148"/>
      <c r="AZ174" s="148"/>
      <c r="BA174" s="148"/>
      <c r="BB174" s="148"/>
      <c r="BC174" s="148"/>
      <c r="BD174" s="148"/>
      <c r="BE174" s="148"/>
      <c r="BF174" s="148"/>
      <c r="BG174" s="148"/>
      <c r="BH174" s="148"/>
      <c r="BI174" s="148"/>
      <c r="BJ174" s="148"/>
      <c r="BK174" s="148"/>
      <c r="BL174" s="148"/>
      <c r="BM174" s="148"/>
      <c r="BN174" s="566"/>
      <c r="BO174" s="566"/>
      <c r="BP174" s="566"/>
      <c r="BQ174" s="93"/>
      <c r="BR174" s="93"/>
      <c r="BS174" s="703" t="s">
        <v>516</v>
      </c>
      <c r="BT174" s="710"/>
      <c r="BU174" s="710"/>
      <c r="BV174" s="521"/>
      <c r="BW174" s="521"/>
    </row>
    <row r="175" spans="1:75" ht="14.25" customHeight="1">
      <c r="E175" s="518">
        <v>15</v>
      </c>
      <c r="F175" s="3" t="str" cm="1">
        <f t="array" aca="1" ref="F175" ca="1">OFFSET(E175,-1,1)</f>
        <v>1</v>
      </c>
      <c r="H175" s="290"/>
      <c r="I175" s="290" t="s">
        <v>1336</v>
      </c>
      <c r="K175" s="290" t="s">
        <v>1336</v>
      </c>
      <c r="L175" s="44" t="s">
        <v>461</v>
      </c>
      <c r="M175" s="44"/>
      <c r="Q175" s="91" t="s">
        <v>2218</v>
      </c>
      <c r="R175" s="94" t="s">
        <v>2218</v>
      </c>
      <c r="T175" s="365" t="b" cm="1">
        <f t="array" ref="T175">T174</f>
        <v>1</v>
      </c>
      <c r="X175" s="1075"/>
      <c r="Z175" s="1065"/>
      <c r="AB175" s="152" t="s">
        <v>1337</v>
      </c>
      <c r="AC175" s="153" t="s">
        <v>1934</v>
      </c>
      <c r="AD175" s="28" t="s">
        <v>804</v>
      </c>
      <c r="AE175" s="190">
        <f ca="1">SUM(AE176,AE177)</f>
        <v>0</v>
      </c>
      <c r="AF175" s="190">
        <f ca="1">SUM(AF176,AF177)</f>
        <v>0</v>
      </c>
      <c r="AG175" s="190">
        <f ca="1">SUM(AG176,AG177)</f>
        <v>0</v>
      </c>
      <c r="AH175" s="190">
        <f t="shared" ca="1" si="44"/>
        <v>0</v>
      </c>
      <c r="AI175" s="952">
        <f>SUM(AI176,AI177)</f>
        <v>0</v>
      </c>
      <c r="AJ175" s="455"/>
      <c r="AK175" s="552"/>
      <c r="AL175" s="552"/>
      <c r="AM175" s="552"/>
      <c r="AN175" s="552"/>
      <c r="AO175" s="552"/>
      <c r="AP175" s="552"/>
      <c r="AQ175" s="552"/>
      <c r="AR175" s="552"/>
      <c r="AS175" s="552"/>
      <c r="AT175" s="552"/>
      <c r="AU175" s="552"/>
      <c r="AV175" s="552"/>
      <c r="AW175" s="552"/>
      <c r="AX175" s="552"/>
      <c r="AY175" s="552"/>
      <c r="AZ175" s="552"/>
      <c r="BA175" s="552"/>
      <c r="BB175" s="552"/>
      <c r="BC175" s="552"/>
      <c r="BD175" s="552"/>
      <c r="BE175" s="552"/>
      <c r="BF175" s="552"/>
      <c r="BG175" s="552"/>
      <c r="BH175" s="552"/>
      <c r="BI175" s="552"/>
      <c r="BJ175" s="552"/>
      <c r="BK175" s="552"/>
      <c r="BL175" s="552"/>
      <c r="BM175" s="552"/>
      <c r="BN175" s="215"/>
      <c r="BO175" s="215"/>
      <c r="BP175" s="215"/>
      <c r="BQ175" s="47"/>
      <c r="BS175" s="704" t="s">
        <v>1723</v>
      </c>
    </row>
    <row r="176" spans="1:75" ht="14.25" customHeight="1">
      <c r="E176" s="518">
        <v>15</v>
      </c>
      <c r="F176" s="3" t="str" cm="1">
        <f t="array" aca="1" ref="F176" ca="1">OFFSET(E176,-1,1)</f>
        <v>1</v>
      </c>
      <c r="H176" s="290"/>
      <c r="I176" s="290" t="s">
        <v>1935</v>
      </c>
      <c r="K176" s="290" t="s">
        <v>1935</v>
      </c>
      <c r="L176" s="44" t="s">
        <v>1008</v>
      </c>
      <c r="M176" s="44"/>
      <c r="Q176" s="91" t="s">
        <v>2218</v>
      </c>
      <c r="R176" s="94" t="s">
        <v>2218</v>
      </c>
      <c r="T176" s="365" t="b" cm="1">
        <f t="array" ref="T176">T175</f>
        <v>1</v>
      </c>
      <c r="X176" s="1075"/>
      <c r="Z176" s="1065"/>
      <c r="AB176" s="152" t="s">
        <v>1936</v>
      </c>
      <c r="AC176" s="553" t="s">
        <v>1726</v>
      </c>
      <c r="AD176" s="28" t="s">
        <v>804</v>
      </c>
      <c r="AE176" s="190">
        <f ca="1">SUMIFS('Сырье и материалы'!AE$25:AE$96,'Сырье и материалы'!$F$25:$F$96,$F176,'Сырье и материалы'!$I$25:$I$96,"Горюче-смазочные материалы")</f>
        <v>0</v>
      </c>
      <c r="AF176" s="190">
        <f ca="1">SUMIFS('Сырье и материалы'!AF$25:AF$96,'Сырье и материалы'!$F$25:$F$96,$F176,'Сырье и материалы'!$I$25:$I$96,"Горюче-смазочные материалы")</f>
        <v>0</v>
      </c>
      <c r="AG176" s="190">
        <f ca="1">SUMIFS('Сырье и материалы'!AG$25:AG$96,'Сырье и материалы'!$F$25:$F$96,$F176,'Сырье и материалы'!$I$25:$I$96,"Горюче-смазочные материалы")</f>
        <v>0</v>
      </c>
      <c r="AH176" s="190">
        <f t="shared" ca="1" si="44"/>
        <v>0</v>
      </c>
      <c r="AI176" s="952"/>
      <c r="AJ176" s="455"/>
      <c r="AK176" s="552"/>
      <c r="AL176" s="552"/>
      <c r="AM176" s="552"/>
      <c r="AN176" s="552"/>
      <c r="AO176" s="552"/>
      <c r="AP176" s="552"/>
      <c r="AQ176" s="552"/>
      <c r="AR176" s="552"/>
      <c r="AS176" s="552"/>
      <c r="AT176" s="552"/>
      <c r="AU176" s="552"/>
      <c r="AV176" s="552"/>
      <c r="AW176" s="552"/>
      <c r="AX176" s="552"/>
      <c r="AY176" s="552"/>
      <c r="AZ176" s="552"/>
      <c r="BA176" s="552"/>
      <c r="BB176" s="552"/>
      <c r="BC176" s="552"/>
      <c r="BD176" s="552"/>
      <c r="BE176" s="552"/>
      <c r="BF176" s="552"/>
      <c r="BG176" s="552"/>
      <c r="BH176" s="552"/>
      <c r="BI176" s="552"/>
      <c r="BJ176" s="552"/>
      <c r="BK176" s="552"/>
      <c r="BL176" s="552"/>
      <c r="BM176" s="552"/>
      <c r="BN176" s="215"/>
      <c r="BO176" s="215"/>
      <c r="BP176" s="215"/>
      <c r="BS176" s="703" t="s">
        <v>1727</v>
      </c>
    </row>
    <row r="177" spans="1:75" ht="14.25" customHeight="1">
      <c r="E177" s="518">
        <v>15</v>
      </c>
      <c r="F177" s="3" t="str" cm="1">
        <f t="array" aca="1" ref="F177" ca="1">OFFSET(E177,-1,1)</f>
        <v>1</v>
      </c>
      <c r="H177" s="290"/>
      <c r="I177" s="290" t="s">
        <v>1937</v>
      </c>
      <c r="K177" s="290" t="s">
        <v>1937</v>
      </c>
      <c r="L177" s="44" t="s">
        <v>1311</v>
      </c>
      <c r="M177" s="44"/>
      <c r="Q177" s="91" t="s">
        <v>2218</v>
      </c>
      <c r="R177" s="94" t="s">
        <v>2218</v>
      </c>
      <c r="T177" s="365" t="b" cm="1">
        <f t="array" ref="T177">T176</f>
        <v>1</v>
      </c>
      <c r="X177" s="1075"/>
      <c r="Z177" s="1065"/>
      <c r="AB177" s="152" t="s">
        <v>1938</v>
      </c>
      <c r="AC177" s="553" t="s">
        <v>1728</v>
      </c>
      <c r="AD177" s="28" t="s">
        <v>804</v>
      </c>
      <c r="AE177" s="190">
        <f ca="1">SUMIFS('Сырье и материалы'!AE$25:AE$96,'Сырье и материалы'!$F$25:$F$96,$F177,'Сырье и материалы'!$I$25:$I$96,"Материалы")</f>
        <v>0</v>
      </c>
      <c r="AF177" s="190">
        <f ca="1">SUMIFS('Сырье и материалы'!AF$25:AF$96,'Сырье и материалы'!$F$25:$F$96,$F177,'Сырье и материалы'!$I$25:$I$96,"Материалы")</f>
        <v>0</v>
      </c>
      <c r="AG177" s="190">
        <f ca="1">SUMIFS('Сырье и материалы'!AG$25:AG$96,'Сырье и материалы'!$F$25:$F$96,$F177,'Сырье и материалы'!$I$25:$I$96,"Материалы")</f>
        <v>0</v>
      </c>
      <c r="AH177" s="190">
        <f t="shared" ca="1" si="44"/>
        <v>0</v>
      </c>
      <c r="AI177" s="952"/>
      <c r="AJ177" s="455"/>
      <c r="AK177" s="552"/>
      <c r="AL177" s="552"/>
      <c r="AM177" s="552"/>
      <c r="AN177" s="552"/>
      <c r="AO177" s="552"/>
      <c r="AP177" s="552"/>
      <c r="AQ177" s="552"/>
      <c r="AR177" s="552"/>
      <c r="AS177" s="552"/>
      <c r="AT177" s="552"/>
      <c r="AU177" s="552"/>
      <c r="AV177" s="552"/>
      <c r="AW177" s="552"/>
      <c r="AX177" s="552"/>
      <c r="AY177" s="552"/>
      <c r="AZ177" s="552"/>
      <c r="BA177" s="552"/>
      <c r="BB177" s="552"/>
      <c r="BC177" s="552"/>
      <c r="BD177" s="552"/>
      <c r="BE177" s="552"/>
      <c r="BF177" s="552"/>
      <c r="BG177" s="552"/>
      <c r="BH177" s="552"/>
      <c r="BI177" s="552"/>
      <c r="BJ177" s="552"/>
      <c r="BK177" s="552"/>
      <c r="BL177" s="552"/>
      <c r="BM177" s="552"/>
      <c r="BN177" s="215"/>
      <c r="BO177" s="215"/>
      <c r="BP177" s="215"/>
      <c r="BS177" s="703" t="s">
        <v>1729</v>
      </c>
    </row>
    <row r="178" spans="1:75" ht="21.75" customHeight="1">
      <c r="E178" s="518">
        <v>22.5</v>
      </c>
      <c r="F178" s="3" t="str" cm="1">
        <f t="array" aca="1" ref="F178" ca="1">OFFSET(E178,-1,1)</f>
        <v>1</v>
      </c>
      <c r="H178" s="290"/>
      <c r="I178" s="290" t="s">
        <v>1339</v>
      </c>
      <c r="K178" s="290" t="s">
        <v>1339</v>
      </c>
      <c r="L178" s="44" t="s">
        <v>468</v>
      </c>
      <c r="M178" s="44"/>
      <c r="Q178" s="91" t="s">
        <v>2218</v>
      </c>
      <c r="R178" s="94" t="s">
        <v>2218</v>
      </c>
      <c r="T178" s="365" t="b" cm="1">
        <f t="array" ref="T178">T177</f>
        <v>1</v>
      </c>
      <c r="X178" s="1075"/>
      <c r="Z178" s="1065"/>
      <c r="AB178" s="152" t="s">
        <v>1340</v>
      </c>
      <c r="AC178" s="153" t="s">
        <v>1939</v>
      </c>
      <c r="AD178" s="28" t="s">
        <v>804</v>
      </c>
      <c r="AE178" s="147"/>
      <c r="AF178" s="147"/>
      <c r="AG178" s="147"/>
      <c r="AH178" s="190">
        <f t="shared" si="44"/>
        <v>0</v>
      </c>
      <c r="AI178" s="952"/>
      <c r="AJ178" s="455"/>
      <c r="AK178" s="552"/>
      <c r="AL178" s="552"/>
      <c r="AM178" s="552"/>
      <c r="AN178" s="552"/>
      <c r="AO178" s="552"/>
      <c r="AP178" s="552"/>
      <c r="AQ178" s="552"/>
      <c r="AR178" s="552"/>
      <c r="AS178" s="552"/>
      <c r="AT178" s="552"/>
      <c r="AU178" s="552"/>
      <c r="AV178" s="552"/>
      <c r="AW178" s="552"/>
      <c r="AX178" s="552"/>
      <c r="AY178" s="552"/>
      <c r="AZ178" s="552"/>
      <c r="BA178" s="552"/>
      <c r="BB178" s="552"/>
      <c r="BC178" s="552"/>
      <c r="BD178" s="552"/>
      <c r="BE178" s="552"/>
      <c r="BF178" s="552"/>
      <c r="BG178" s="552"/>
      <c r="BH178" s="552"/>
      <c r="BI178" s="552"/>
      <c r="BJ178" s="552"/>
      <c r="BK178" s="552"/>
      <c r="BL178" s="552"/>
      <c r="BM178" s="552"/>
      <c r="BN178" s="215"/>
      <c r="BO178" s="215"/>
      <c r="BP178" s="215"/>
      <c r="BS178" s="704" t="s">
        <v>1754</v>
      </c>
    </row>
    <row r="179" spans="1:75" ht="21.75" customHeight="1">
      <c r="E179" s="518">
        <v>22.5</v>
      </c>
      <c r="F179" s="3" t="str" cm="1">
        <f t="array" aca="1" ref="F179" ca="1">OFFSET(E179,-1,1)</f>
        <v>1</v>
      </c>
      <c r="H179" s="290"/>
      <c r="I179" s="290" t="s">
        <v>1343</v>
      </c>
      <c r="K179" s="290" t="s">
        <v>1343</v>
      </c>
      <c r="L179" s="44" t="s">
        <v>472</v>
      </c>
      <c r="M179" s="44"/>
      <c r="Q179" s="91" t="s">
        <v>2218</v>
      </c>
      <c r="R179" s="94" t="s">
        <v>2218</v>
      </c>
      <c r="T179" s="365" t="b" cm="1">
        <f t="array" ref="T179">T178</f>
        <v>1</v>
      </c>
      <c r="X179" s="1075"/>
      <c r="Z179" s="1065"/>
      <c r="AB179" s="152" t="s">
        <v>1344</v>
      </c>
      <c r="AC179" s="153" t="s">
        <v>1940</v>
      </c>
      <c r="AD179" s="28" t="s">
        <v>804</v>
      </c>
      <c r="AE179" s="190">
        <f>AE180+AE181</f>
        <v>13288.1557536</v>
      </c>
      <c r="AF179" s="190">
        <f ca="1">AF180+AF181</f>
        <v>14010.445026359999</v>
      </c>
      <c r="AG179" s="190">
        <f>AG180+AG181</f>
        <v>13288.1557536</v>
      </c>
      <c r="AH179" s="190">
        <f t="shared" ca="1" si="44"/>
        <v>-722.28927275999922</v>
      </c>
      <c r="AI179" s="952">
        <f ca="1">AI180+AI181</f>
        <v>0</v>
      </c>
      <c r="AJ179" s="455">
        <f>AJ180+AJ181</f>
        <v>18348.379999999997</v>
      </c>
      <c r="AK179" s="552"/>
      <c r="AL179" s="552"/>
      <c r="AM179" s="552"/>
      <c r="AN179" s="552"/>
      <c r="AO179" s="552"/>
      <c r="AP179" s="552"/>
      <c r="AQ179" s="552"/>
      <c r="AR179" s="552"/>
      <c r="AS179" s="552"/>
      <c r="AT179" s="552"/>
      <c r="AU179" s="552"/>
      <c r="AV179" s="552"/>
      <c r="AW179" s="552"/>
      <c r="AX179" s="552"/>
      <c r="AY179" s="552"/>
      <c r="AZ179" s="552"/>
      <c r="BA179" s="552"/>
      <c r="BB179" s="552"/>
      <c r="BC179" s="552"/>
      <c r="BD179" s="552"/>
      <c r="BE179" s="552"/>
      <c r="BF179" s="552"/>
      <c r="BG179" s="552"/>
      <c r="BH179" s="552"/>
      <c r="BI179" s="552"/>
      <c r="BJ179" s="552"/>
      <c r="BK179" s="552"/>
      <c r="BL179" s="552"/>
      <c r="BM179" s="552"/>
      <c r="BN179" s="215"/>
      <c r="BO179" s="215"/>
      <c r="BP179" s="215"/>
      <c r="BS179" s="704" t="s">
        <v>1941</v>
      </c>
    </row>
    <row r="180" spans="1:75" ht="14.65" customHeight="1">
      <c r="E180" s="518">
        <v>15</v>
      </c>
      <c r="F180" s="3" t="str" cm="1">
        <f t="array" aca="1" ref="F180" ca="1">OFFSET(E180,-1,1)</f>
        <v>1</v>
      </c>
      <c r="G180" s="266" t="s">
        <v>1156</v>
      </c>
      <c r="H180" s="290"/>
      <c r="I180" s="290" t="s">
        <v>1487</v>
      </c>
      <c r="K180" s="290" t="s">
        <v>1487</v>
      </c>
      <c r="L180" s="44" t="s">
        <v>1363</v>
      </c>
      <c r="M180" s="44"/>
      <c r="Q180" s="91" t="s">
        <v>2218</v>
      </c>
      <c r="R180" s="94" t="s">
        <v>2218</v>
      </c>
      <c r="T180" s="365" t="b" cm="1">
        <f t="array" ref="T180">T179</f>
        <v>1</v>
      </c>
      <c r="X180" s="1075"/>
      <c r="Z180" s="1065"/>
      <c r="AB180" s="152" t="s">
        <v>1942</v>
      </c>
      <c r="AC180" s="553" t="s">
        <v>1757</v>
      </c>
      <c r="AD180" s="28" t="s">
        <v>804</v>
      </c>
      <c r="AE180" s="147">
        <v>10205.9568</v>
      </c>
      <c r="AF180" s="147">
        <v>11226.588</v>
      </c>
      <c r="AG180" s="147" cm="1">
        <f t="array" ref="AG180">AE180</f>
        <v>10205.9568</v>
      </c>
      <c r="AH180" s="190">
        <f t="shared" si="44"/>
        <v>-1020.6311999999998</v>
      </c>
      <c r="AI180" s="952"/>
      <c r="AJ180" s="455">
        <v>13906.65</v>
      </c>
      <c r="AK180" s="552"/>
      <c r="AL180" s="552"/>
      <c r="AM180" s="552"/>
      <c r="AN180" s="552"/>
      <c r="AO180" s="552"/>
      <c r="AP180" s="552"/>
      <c r="AQ180" s="552"/>
      <c r="AR180" s="552"/>
      <c r="AS180" s="552"/>
      <c r="AT180" s="552"/>
      <c r="AU180" s="552"/>
      <c r="AV180" s="552"/>
      <c r="AW180" s="552"/>
      <c r="AX180" s="552"/>
      <c r="AY180" s="552"/>
      <c r="AZ180" s="552"/>
      <c r="BA180" s="552"/>
      <c r="BB180" s="552"/>
      <c r="BC180" s="552"/>
      <c r="BD180" s="552"/>
      <c r="BE180" s="552"/>
      <c r="BF180" s="552"/>
      <c r="BG180" s="552"/>
      <c r="BH180" s="552"/>
      <c r="BI180" s="552"/>
      <c r="BJ180" s="552"/>
      <c r="BK180" s="552"/>
      <c r="BL180" s="552"/>
      <c r="BM180" s="552"/>
      <c r="BN180" s="953" t="s">
        <v>2222</v>
      </c>
      <c r="BO180" s="610" t="str">
        <f ca="1">IF(IFERROR(INDEX(ФОТ!$K$26:$L$102,MATCH($F180&amp;"1komm",ФОТ!$K$26:$K$102,0),2),"")=0,"",IFERROR(INDEX(ФОТ!$K$26:$L$102,MATCH($F180&amp;"1komm",ФОТ!$K$26:$K$102,0),2),""))</f>
        <v/>
      </c>
      <c r="BP180" s="215"/>
      <c r="BS180" s="703" t="s">
        <v>1758</v>
      </c>
    </row>
    <row r="181" spans="1:75" ht="23.25" customHeight="1">
      <c r="E181" s="518">
        <v>22.5</v>
      </c>
      <c r="F181" s="3" t="str" cm="1">
        <f t="array" aca="1" ref="F181" ca="1">OFFSET(E181,-1,1)</f>
        <v>1</v>
      </c>
      <c r="G181" s="266" t="s">
        <v>1168</v>
      </c>
      <c r="H181" s="290"/>
      <c r="I181" s="290" t="s">
        <v>1491</v>
      </c>
      <c r="K181" s="290" t="s">
        <v>1491</v>
      </c>
      <c r="L181" s="44" t="s">
        <v>1364</v>
      </c>
      <c r="M181" s="44"/>
      <c r="Q181" s="91" t="s">
        <v>2218</v>
      </c>
      <c r="R181" s="94" t="s">
        <v>2218</v>
      </c>
      <c r="T181" s="365" t="b" cm="1">
        <f t="array" ref="T181">T180</f>
        <v>1</v>
      </c>
      <c r="X181" s="1075"/>
      <c r="Z181" s="1065"/>
      <c r="AB181" s="152" t="s">
        <v>1943</v>
      </c>
      <c r="AC181" s="553" t="s">
        <v>1944</v>
      </c>
      <c r="AD181" s="28" t="s">
        <v>804</v>
      </c>
      <c r="AE181" s="147">
        <v>3082.1989536000001</v>
      </c>
      <c r="AF181" s="147">
        <f ca="1">AF180*SUMIFS(INDEX(Сценарии!$AE$25:$BF$109,,MATCH(AF$8,Сценарии!$AE$8:$BF$8,0)),Сценарии!$F$25:$F$109,$F181,Сценарии!$G$25:$G$109,"СВФОТ")/100</f>
        <v>2783.85702636</v>
      </c>
      <c r="AG181" s="147" cm="1">
        <f t="array" ref="AG181">AE181</f>
        <v>3082.1989536000001</v>
      </c>
      <c r="AH181" s="190">
        <f t="shared" ca="1" si="44"/>
        <v>298.34192724000013</v>
      </c>
      <c r="AI181" s="952">
        <f ca="1">AI180*SUMIFS(INDEX(Сценарии!$AE$25:$BF$109,,MATCH(AG$8,Сценарии!$AE$8:$BF$8,0)),Сценарии!$F$25:$F$109,$F181,Сценарии!$G$25:$G$109,"СВФОТ")/100</f>
        <v>0</v>
      </c>
      <c r="AJ181" s="455">
        <v>4441.7299999999996</v>
      </c>
      <c r="AK181" s="552"/>
      <c r="AL181" s="552"/>
      <c r="AM181" s="552"/>
      <c r="AN181" s="552"/>
      <c r="AO181" s="552"/>
      <c r="AP181" s="552"/>
      <c r="AQ181" s="552"/>
      <c r="AR181" s="552"/>
      <c r="AS181" s="552"/>
      <c r="AT181" s="552"/>
      <c r="AU181" s="552"/>
      <c r="AV181" s="552"/>
      <c r="AW181" s="552"/>
      <c r="AX181" s="552"/>
      <c r="AY181" s="552"/>
      <c r="AZ181" s="552"/>
      <c r="BA181" s="552"/>
      <c r="BB181" s="552"/>
      <c r="BC181" s="552"/>
      <c r="BD181" s="552"/>
      <c r="BE181" s="552"/>
      <c r="BF181" s="552"/>
      <c r="BG181" s="552"/>
      <c r="BH181" s="552"/>
      <c r="BI181" s="552"/>
      <c r="BJ181" s="552"/>
      <c r="BK181" s="552"/>
      <c r="BL181" s="552"/>
      <c r="BM181" s="552"/>
      <c r="BN181" s="953" t="s">
        <v>2223</v>
      </c>
      <c r="BO181" s="610" t="str">
        <f ca="1">IF(IFERROR(INDEX(ФОТ!$K$26:$L$102,MATCH($F181&amp;"2komm",ФОТ!$K$26:$K$102,0),2),"")=0,"",IFERROR(INDEX(ФОТ!$K$26:$L$102,MATCH($F181&amp;"2komm",ФОТ!$K$26:$K$102,0),2),""))</f>
        <v/>
      </c>
      <c r="BP181" s="215"/>
      <c r="BS181" s="703" t="s">
        <v>1760</v>
      </c>
    </row>
    <row r="182" spans="1:75" ht="14.25" customHeight="1">
      <c r="E182" s="518">
        <v>15</v>
      </c>
      <c r="F182" s="3" t="str" cm="1">
        <f t="array" aca="1" ref="F182" ca="1">OFFSET(E182,-1,1)</f>
        <v>1</v>
      </c>
      <c r="H182" s="290"/>
      <c r="I182" s="290" t="s">
        <v>1502</v>
      </c>
      <c r="K182" s="290" t="s">
        <v>1502</v>
      </c>
      <c r="L182" s="44" t="s">
        <v>1762</v>
      </c>
      <c r="M182" s="44"/>
      <c r="Q182" s="91" t="s">
        <v>2218</v>
      </c>
      <c r="R182" s="94" t="s">
        <v>2218</v>
      </c>
      <c r="T182" s="365" t="b" cm="1">
        <f t="array" ref="T182">T181</f>
        <v>1</v>
      </c>
      <c r="X182" s="1075"/>
      <c r="Z182" s="1065"/>
      <c r="AB182" s="152" t="s">
        <v>1736</v>
      </c>
      <c r="AC182" s="153" t="s">
        <v>1945</v>
      </c>
      <c r="AD182" s="28" t="s">
        <v>804</v>
      </c>
      <c r="AE182" s="147"/>
      <c r="AF182" s="147"/>
      <c r="AG182" s="147"/>
      <c r="AH182" s="190">
        <f t="shared" si="44"/>
        <v>0</v>
      </c>
      <c r="AI182" s="952"/>
      <c r="AJ182" s="455"/>
      <c r="AK182" s="552"/>
      <c r="AL182" s="552"/>
      <c r="AM182" s="552"/>
      <c r="AN182" s="552"/>
      <c r="AO182" s="552"/>
      <c r="AP182" s="552"/>
      <c r="AQ182" s="552"/>
      <c r="AR182" s="552"/>
      <c r="AS182" s="552"/>
      <c r="AT182" s="552"/>
      <c r="AU182" s="552"/>
      <c r="AV182" s="552"/>
      <c r="AW182" s="552"/>
      <c r="AX182" s="552"/>
      <c r="AY182" s="552"/>
      <c r="AZ182" s="552"/>
      <c r="BA182" s="552"/>
      <c r="BB182" s="552"/>
      <c r="BC182" s="552"/>
      <c r="BD182" s="552"/>
      <c r="BE182" s="552"/>
      <c r="BF182" s="552"/>
      <c r="BG182" s="552"/>
      <c r="BH182" s="552"/>
      <c r="BI182" s="552"/>
      <c r="BJ182" s="552"/>
      <c r="BK182" s="552"/>
      <c r="BL182" s="552"/>
      <c r="BM182" s="552"/>
      <c r="BN182" s="215"/>
      <c r="BO182" s="215"/>
      <c r="BP182" s="215"/>
      <c r="BS182" s="704" t="s">
        <v>1765</v>
      </c>
    </row>
    <row r="183" spans="1:75" ht="14.25" customHeight="1">
      <c r="E183" s="518">
        <v>15</v>
      </c>
      <c r="F183" s="3" t="str" cm="1">
        <f t="array" aca="1" ref="F183" ca="1">OFFSET(E183,-1,1)</f>
        <v>1</v>
      </c>
      <c r="H183" s="290"/>
      <c r="I183" s="290" t="s">
        <v>1506</v>
      </c>
      <c r="K183" s="290" t="s">
        <v>1506</v>
      </c>
      <c r="L183" s="44" t="s">
        <v>1766</v>
      </c>
      <c r="Q183" s="91" t="s">
        <v>2218</v>
      </c>
      <c r="R183" s="94" t="s">
        <v>2218</v>
      </c>
      <c r="T183" s="365" t="b" cm="1">
        <f t="array" ref="T183">T182</f>
        <v>1</v>
      </c>
      <c r="X183" s="1075"/>
      <c r="Z183" s="1065"/>
      <c r="AB183" s="152" t="s">
        <v>1738</v>
      </c>
      <c r="AC183" s="153" t="s">
        <v>1946</v>
      </c>
      <c r="AD183" s="26" t="s">
        <v>804</v>
      </c>
      <c r="AE183" s="190">
        <f>SUM(AE184:AE190)</f>
        <v>10097.325952735999</v>
      </c>
      <c r="AF183" s="190">
        <f>SUM(AF184:AF190)</f>
        <v>9635.4880000000012</v>
      </c>
      <c r="AG183" s="190">
        <f>SUM(AG184:AG190)</f>
        <v>10097.325952735999</v>
      </c>
      <c r="AH183" s="190">
        <f t="shared" si="44"/>
        <v>461.83795273599753</v>
      </c>
      <c r="AI183" s="952">
        <f>SUM(AI184:AI190)</f>
        <v>0</v>
      </c>
      <c r="AJ183" s="455">
        <f>SUM(AJ184:AJ190)</f>
        <v>12991.070000000002</v>
      </c>
      <c r="AK183" s="552"/>
      <c r="AL183" s="552"/>
      <c r="AM183" s="552"/>
      <c r="AN183" s="552"/>
      <c r="AO183" s="552"/>
      <c r="AP183" s="552"/>
      <c r="AQ183" s="552"/>
      <c r="AR183" s="552"/>
      <c r="AS183" s="552"/>
      <c r="AT183" s="552"/>
      <c r="AU183" s="552"/>
      <c r="AV183" s="552"/>
      <c r="AW183" s="552"/>
      <c r="AX183" s="552"/>
      <c r="AY183" s="552"/>
      <c r="AZ183" s="552"/>
      <c r="BA183" s="552"/>
      <c r="BB183" s="552"/>
      <c r="BC183" s="552"/>
      <c r="BD183" s="552"/>
      <c r="BE183" s="552"/>
      <c r="BF183" s="552"/>
      <c r="BG183" s="552"/>
      <c r="BH183" s="552"/>
      <c r="BI183" s="552"/>
      <c r="BJ183" s="552"/>
      <c r="BK183" s="552"/>
      <c r="BL183" s="552"/>
      <c r="BM183" s="552"/>
      <c r="BN183" s="215"/>
      <c r="BO183" s="215"/>
      <c r="BP183" s="215"/>
      <c r="BS183" s="704" t="s">
        <v>1947</v>
      </c>
    </row>
    <row r="184" spans="1:75" ht="14.25" customHeight="1">
      <c r="E184" s="518">
        <v>15</v>
      </c>
      <c r="F184" s="3" t="str" cm="1">
        <f t="array" aca="1" ref="F184" ca="1">OFFSET(E184,-1,1)</f>
        <v>1</v>
      </c>
      <c r="H184" s="290"/>
      <c r="I184" s="290" t="s">
        <v>1948</v>
      </c>
      <c r="K184" s="290" t="s">
        <v>1948</v>
      </c>
      <c r="L184" s="44" t="s">
        <v>1766</v>
      </c>
      <c r="M184" s="44" t="s">
        <v>1774</v>
      </c>
      <c r="Q184" s="91" t="s">
        <v>2218</v>
      </c>
      <c r="R184" s="94" t="s">
        <v>2218</v>
      </c>
      <c r="T184" s="365" t="b" cm="1">
        <f t="array" ref="T184">T183</f>
        <v>1</v>
      </c>
      <c r="X184" s="1075"/>
      <c r="Z184" s="1065"/>
      <c r="AB184" s="152" t="s">
        <v>1949</v>
      </c>
      <c r="AC184" s="553" t="s">
        <v>1950</v>
      </c>
      <c r="AD184" s="26" t="s">
        <v>804</v>
      </c>
      <c r="AE184" s="147"/>
      <c r="AF184" s="147"/>
      <c r="AG184" s="147"/>
      <c r="AH184" s="190">
        <f t="shared" si="44"/>
        <v>0</v>
      </c>
      <c r="AI184" s="952"/>
      <c r="AJ184" s="455"/>
      <c r="AK184" s="552"/>
      <c r="AL184" s="552"/>
      <c r="AM184" s="552"/>
      <c r="AN184" s="552"/>
      <c r="AO184" s="552"/>
      <c r="AP184" s="552"/>
      <c r="AQ184" s="552"/>
      <c r="AR184" s="552"/>
      <c r="AS184" s="552"/>
      <c r="AT184" s="552"/>
      <c r="AU184" s="552"/>
      <c r="AV184" s="552"/>
      <c r="AW184" s="552"/>
      <c r="AX184" s="552"/>
      <c r="AY184" s="552"/>
      <c r="AZ184" s="552"/>
      <c r="BA184" s="552"/>
      <c r="BB184" s="552"/>
      <c r="BC184" s="552"/>
      <c r="BD184" s="552"/>
      <c r="BE184" s="552"/>
      <c r="BF184" s="552"/>
      <c r="BG184" s="552"/>
      <c r="BH184" s="552"/>
      <c r="BI184" s="552"/>
      <c r="BJ184" s="552"/>
      <c r="BK184" s="552"/>
      <c r="BL184" s="552"/>
      <c r="BM184" s="552"/>
      <c r="BN184" s="215"/>
      <c r="BO184" s="215"/>
      <c r="BP184" s="215"/>
      <c r="BS184" s="703" t="s">
        <v>1777</v>
      </c>
    </row>
    <row r="185" spans="1:75" ht="21.75" customHeight="1">
      <c r="E185" s="518">
        <v>22.5</v>
      </c>
      <c r="F185" s="3" t="str" cm="1">
        <f t="array" aca="1" ref="F185" ca="1">OFFSET(E185,-1,1)</f>
        <v>1</v>
      </c>
      <c r="H185" s="290"/>
      <c r="I185" s="290" t="s">
        <v>1951</v>
      </c>
      <c r="K185" s="290" t="s">
        <v>1951</v>
      </c>
      <c r="L185" s="44" t="s">
        <v>1766</v>
      </c>
      <c r="M185" s="44" t="s">
        <v>1770</v>
      </c>
      <c r="Q185" s="91" t="s">
        <v>2218</v>
      </c>
      <c r="R185" s="94" t="s">
        <v>2218</v>
      </c>
      <c r="T185" s="365" t="b" cm="1">
        <f t="array" ref="T185">T184</f>
        <v>1</v>
      </c>
      <c r="X185" s="1075"/>
      <c r="Z185" s="1065"/>
      <c r="AB185" s="152" t="s">
        <v>1952</v>
      </c>
      <c r="AC185" s="553" t="s">
        <v>1953</v>
      </c>
      <c r="AD185" s="26" t="s">
        <v>804</v>
      </c>
      <c r="AE185" s="147"/>
      <c r="AF185" s="147"/>
      <c r="AG185" s="147"/>
      <c r="AH185" s="190">
        <f t="shared" si="44"/>
        <v>0</v>
      </c>
      <c r="AI185" s="952"/>
      <c r="AJ185" s="455"/>
      <c r="AK185" s="552"/>
      <c r="AL185" s="552"/>
      <c r="AM185" s="552"/>
      <c r="AN185" s="552"/>
      <c r="AO185" s="552"/>
      <c r="AP185" s="552"/>
      <c r="AQ185" s="552"/>
      <c r="AR185" s="552"/>
      <c r="AS185" s="552"/>
      <c r="AT185" s="552"/>
      <c r="AU185" s="552"/>
      <c r="AV185" s="552"/>
      <c r="AW185" s="552"/>
      <c r="AX185" s="552"/>
      <c r="AY185" s="552"/>
      <c r="AZ185" s="552"/>
      <c r="BA185" s="552"/>
      <c r="BB185" s="552"/>
      <c r="BC185" s="552"/>
      <c r="BD185" s="552"/>
      <c r="BE185" s="552"/>
      <c r="BF185" s="552"/>
      <c r="BG185" s="552"/>
      <c r="BH185" s="552"/>
      <c r="BI185" s="552"/>
      <c r="BJ185" s="552"/>
      <c r="BK185" s="552"/>
      <c r="BL185" s="552"/>
      <c r="BM185" s="552"/>
      <c r="BN185" s="215"/>
      <c r="BO185" s="215"/>
      <c r="BP185" s="215"/>
      <c r="BS185" s="705" t="s">
        <v>1954</v>
      </c>
    </row>
    <row r="186" spans="1:75" ht="21.75" customHeight="1">
      <c r="E186" s="518">
        <v>22.5</v>
      </c>
      <c r="F186" s="3" t="str" cm="1">
        <f t="array" aca="1" ref="F186" ca="1">OFFSET(E186,-1,1)</f>
        <v>1</v>
      </c>
      <c r="H186" s="290"/>
      <c r="I186" s="290" t="s">
        <v>1955</v>
      </c>
      <c r="K186" s="290" t="s">
        <v>1955</v>
      </c>
      <c r="Q186" s="91" t="s">
        <v>2218</v>
      </c>
      <c r="R186" s="94" t="s">
        <v>2218</v>
      </c>
      <c r="T186" s="365" t="b" cm="1">
        <f t="array" ref="T186">T185</f>
        <v>1</v>
      </c>
      <c r="X186" s="1075"/>
      <c r="Z186" s="1065"/>
      <c r="AB186" s="152" t="s">
        <v>1956</v>
      </c>
      <c r="AC186" s="554" t="s">
        <v>1957</v>
      </c>
      <c r="AD186" s="26" t="s">
        <v>804</v>
      </c>
      <c r="AE186" s="147"/>
      <c r="AF186" s="147"/>
      <c r="AG186" s="147"/>
      <c r="AH186" s="190">
        <f t="shared" si="44"/>
        <v>0</v>
      </c>
      <c r="AI186" s="952"/>
      <c r="AJ186" s="455"/>
      <c r="AK186" s="552"/>
      <c r="AL186" s="552"/>
      <c r="AM186" s="552"/>
      <c r="AN186" s="552"/>
      <c r="AO186" s="552"/>
      <c r="AP186" s="552"/>
      <c r="AQ186" s="552"/>
      <c r="AR186" s="552"/>
      <c r="AS186" s="552"/>
      <c r="AT186" s="552"/>
      <c r="AU186" s="552"/>
      <c r="AV186" s="552"/>
      <c r="AW186" s="552"/>
      <c r="AX186" s="552"/>
      <c r="AY186" s="552"/>
      <c r="AZ186" s="552"/>
      <c r="BA186" s="552"/>
      <c r="BB186" s="552"/>
      <c r="BC186" s="552"/>
      <c r="BD186" s="552"/>
      <c r="BE186" s="552"/>
      <c r="BF186" s="552"/>
      <c r="BG186" s="552"/>
      <c r="BH186" s="552"/>
      <c r="BI186" s="552"/>
      <c r="BJ186" s="552"/>
      <c r="BK186" s="552"/>
      <c r="BL186" s="552"/>
      <c r="BM186" s="552"/>
      <c r="BN186" s="215"/>
      <c r="BO186" s="215"/>
      <c r="BP186" s="215"/>
      <c r="BS186" s="705" t="s">
        <v>1958</v>
      </c>
    </row>
    <row r="187" spans="1:75" ht="21.95" customHeight="1">
      <c r="E187" s="518">
        <v>22.5</v>
      </c>
      <c r="F187" s="3" t="str" cm="1">
        <f t="array" aca="1" ref="F187" ca="1">OFFSET(E187,-1,1)</f>
        <v>1</v>
      </c>
      <c r="H187" s="290"/>
      <c r="I187" s="290" t="s">
        <v>1959</v>
      </c>
      <c r="K187" s="290" t="s">
        <v>1959</v>
      </c>
      <c r="L187" s="44"/>
      <c r="Q187" s="91" t="s">
        <v>2218</v>
      </c>
      <c r="R187" s="94" t="s">
        <v>2218</v>
      </c>
      <c r="T187" s="365" t="b" cm="1">
        <f t="array" ref="T187">T186</f>
        <v>1</v>
      </c>
      <c r="X187" s="1075"/>
      <c r="Z187" s="1065"/>
      <c r="AB187" s="152" t="s">
        <v>1960</v>
      </c>
      <c r="AC187" s="554" t="s">
        <v>1961</v>
      </c>
      <c r="AD187" s="26" t="s">
        <v>804</v>
      </c>
      <c r="AE187" s="147">
        <v>7521.05</v>
      </c>
      <c r="AF187" s="147">
        <v>7503.8280000000004</v>
      </c>
      <c r="AG187" s="147" cm="1">
        <f t="array" ref="AG187">AE187</f>
        <v>7521.05</v>
      </c>
      <c r="AH187" s="190">
        <f t="shared" si="44"/>
        <v>17.221999999999753</v>
      </c>
      <c r="AI187" s="952"/>
      <c r="AJ187" s="455">
        <v>8593.85</v>
      </c>
      <c r="AK187" s="552"/>
      <c r="AL187" s="552"/>
      <c r="AM187" s="552"/>
      <c r="AN187" s="552"/>
      <c r="AO187" s="552"/>
      <c r="AP187" s="552"/>
      <c r="AQ187" s="552"/>
      <c r="AR187" s="552"/>
      <c r="AS187" s="552"/>
      <c r="AT187" s="552"/>
      <c r="AU187" s="552"/>
      <c r="AV187" s="552"/>
      <c r="AW187" s="552"/>
      <c r="AX187" s="552"/>
      <c r="AY187" s="552"/>
      <c r="AZ187" s="552"/>
      <c r="BA187" s="552"/>
      <c r="BB187" s="552"/>
      <c r="BC187" s="552"/>
      <c r="BD187" s="552"/>
      <c r="BE187" s="552"/>
      <c r="BF187" s="552"/>
      <c r="BG187" s="552"/>
      <c r="BH187" s="552"/>
      <c r="BI187" s="552"/>
      <c r="BJ187" s="552"/>
      <c r="BK187" s="552"/>
      <c r="BL187" s="552"/>
      <c r="BM187" s="552"/>
      <c r="BN187" s="953" t="s">
        <v>2224</v>
      </c>
      <c r="BO187" s="215"/>
      <c r="BP187" s="215"/>
      <c r="BS187" s="705" t="s">
        <v>1962</v>
      </c>
    </row>
    <row r="188" spans="1:75" ht="44.25" customHeight="1">
      <c r="E188" s="518">
        <v>45</v>
      </c>
      <c r="F188" s="3" t="str" cm="1">
        <f t="array" aca="1" ref="F188" ca="1">OFFSET(E188,-1,1)</f>
        <v>1</v>
      </c>
      <c r="H188" s="290"/>
      <c r="I188" s="290" t="s">
        <v>1963</v>
      </c>
      <c r="K188" s="290" t="s">
        <v>1963</v>
      </c>
      <c r="L188" s="44" t="s">
        <v>1766</v>
      </c>
      <c r="M188" s="44" t="s">
        <v>1778</v>
      </c>
      <c r="Q188" s="91" t="s">
        <v>2218</v>
      </c>
      <c r="R188" s="94" t="s">
        <v>2218</v>
      </c>
      <c r="T188" s="365" t="b" cm="1">
        <f t="array" ref="T188">T187</f>
        <v>1</v>
      </c>
      <c r="X188" s="1075"/>
      <c r="Z188" s="1065"/>
      <c r="AB188" s="152" t="s">
        <v>1964</v>
      </c>
      <c r="AC188" s="553" t="s">
        <v>1965</v>
      </c>
      <c r="AD188" s="26" t="s">
        <v>804</v>
      </c>
      <c r="AE188" s="147">
        <v>323.59402291200001</v>
      </c>
      <c r="AF188" s="147">
        <v>116.28</v>
      </c>
      <c r="AG188" s="147" cm="1">
        <f t="array" ref="AG188">AE188</f>
        <v>323.59402291200001</v>
      </c>
      <c r="AH188" s="190">
        <f t="shared" si="44"/>
        <v>207.31402291200001</v>
      </c>
      <c r="AI188" s="952"/>
      <c r="AJ188" s="455">
        <v>456.53</v>
      </c>
      <c r="AK188" s="552"/>
      <c r="AL188" s="552"/>
      <c r="AM188" s="552"/>
      <c r="AN188" s="552"/>
      <c r="AO188" s="552"/>
      <c r="AP188" s="552"/>
      <c r="AQ188" s="552"/>
      <c r="AR188" s="552"/>
      <c r="AS188" s="552"/>
      <c r="AT188" s="552"/>
      <c r="AU188" s="552"/>
      <c r="AV188" s="552"/>
      <c r="AW188" s="552"/>
      <c r="AX188" s="552"/>
      <c r="AY188" s="552"/>
      <c r="AZ188" s="552"/>
      <c r="BA188" s="552"/>
      <c r="BB188" s="552"/>
      <c r="BC188" s="552"/>
      <c r="BD188" s="552"/>
      <c r="BE188" s="552"/>
      <c r="BF188" s="552"/>
      <c r="BG188" s="552"/>
      <c r="BH188" s="552"/>
      <c r="BI188" s="552"/>
      <c r="BJ188" s="552"/>
      <c r="BK188" s="552"/>
      <c r="BL188" s="552"/>
      <c r="BM188" s="552"/>
      <c r="BN188" s="953" t="s">
        <v>2224</v>
      </c>
      <c r="BO188" s="215"/>
      <c r="BP188" s="215"/>
      <c r="BS188" s="705" t="s">
        <v>1781</v>
      </c>
    </row>
    <row r="189" spans="1:75" ht="14.25" customHeight="1">
      <c r="E189" s="518">
        <v>15</v>
      </c>
      <c r="F189" s="3" t="str" cm="1">
        <f t="array" aca="1" ref="F189" ca="1">OFFSET(E189,-1,1)</f>
        <v>1</v>
      </c>
      <c r="H189" s="290"/>
      <c r="I189" s="290" t="s">
        <v>1966</v>
      </c>
      <c r="K189" s="290" t="s">
        <v>1966</v>
      </c>
      <c r="L189" s="44" t="s">
        <v>1766</v>
      </c>
      <c r="M189" s="44" t="s">
        <v>1782</v>
      </c>
      <c r="Q189" s="91" t="s">
        <v>2218</v>
      </c>
      <c r="R189" s="94" t="s">
        <v>2218</v>
      </c>
      <c r="T189" s="365" t="b" cm="1">
        <f t="array" ref="T189">T188</f>
        <v>1</v>
      </c>
      <c r="X189" s="1075"/>
      <c r="Z189" s="1065"/>
      <c r="AB189" s="152" t="s">
        <v>1967</v>
      </c>
      <c r="AC189" s="553" t="s">
        <v>1784</v>
      </c>
      <c r="AD189" s="26" t="s">
        <v>804</v>
      </c>
      <c r="AE189" s="147"/>
      <c r="AF189" s="147">
        <v>453.02</v>
      </c>
      <c r="AG189" s="147"/>
      <c r="AH189" s="190">
        <f t="shared" si="44"/>
        <v>-453.02</v>
      </c>
      <c r="AI189" s="952"/>
      <c r="AJ189" s="455">
        <v>175.5</v>
      </c>
      <c r="AK189" s="552"/>
      <c r="AL189" s="552"/>
      <c r="AM189" s="552"/>
      <c r="AN189" s="552"/>
      <c r="AO189" s="552"/>
      <c r="AP189" s="552"/>
      <c r="AQ189" s="552"/>
      <c r="AR189" s="552"/>
      <c r="AS189" s="552"/>
      <c r="AT189" s="552"/>
      <c r="AU189" s="552"/>
      <c r="AV189" s="552"/>
      <c r="AW189" s="552"/>
      <c r="AX189" s="552"/>
      <c r="AY189" s="552"/>
      <c r="AZ189" s="552"/>
      <c r="BA189" s="552"/>
      <c r="BB189" s="552"/>
      <c r="BC189" s="552"/>
      <c r="BD189" s="552"/>
      <c r="BE189" s="552"/>
      <c r="BF189" s="552"/>
      <c r="BG189" s="552"/>
      <c r="BH189" s="552"/>
      <c r="BI189" s="552"/>
      <c r="BJ189" s="552"/>
      <c r="BK189" s="552"/>
      <c r="BL189" s="552"/>
      <c r="BM189" s="552"/>
      <c r="BN189" s="215"/>
      <c r="BO189" s="215"/>
      <c r="BP189" s="215"/>
      <c r="BS189" s="705" t="s">
        <v>1785</v>
      </c>
    </row>
    <row r="190" spans="1:75" ht="14.65" customHeight="1">
      <c r="E190" s="518">
        <v>15</v>
      </c>
      <c r="F190" s="3" t="str" cm="1">
        <f t="array" aca="1" ref="F190" ca="1">OFFSET(E190,-1,1)</f>
        <v>1</v>
      </c>
      <c r="H190" s="290"/>
      <c r="I190" s="290" t="s">
        <v>1968</v>
      </c>
      <c r="K190" s="290" t="s">
        <v>1968</v>
      </c>
      <c r="L190" s="44"/>
      <c r="M190" s="44"/>
      <c r="Q190" s="91" t="s">
        <v>2218</v>
      </c>
      <c r="R190" s="94" t="s">
        <v>2218</v>
      </c>
      <c r="T190" s="365" t="b" cm="1">
        <f t="array" ref="T190">T189</f>
        <v>1</v>
      </c>
      <c r="X190" s="1075"/>
      <c r="Z190" s="1065"/>
      <c r="AB190" s="152" t="s">
        <v>1969</v>
      </c>
      <c r="AC190" s="553" t="s">
        <v>1970</v>
      </c>
      <c r="AD190" s="26" t="s">
        <v>804</v>
      </c>
      <c r="AE190" s="147">
        <v>2252.6819298239998</v>
      </c>
      <c r="AF190" s="147">
        <v>1562.36</v>
      </c>
      <c r="AG190" s="147" cm="1">
        <f t="array" ref="AG190">AE190</f>
        <v>2252.6819298239998</v>
      </c>
      <c r="AH190" s="190">
        <f t="shared" si="44"/>
        <v>690.32192982399988</v>
      </c>
      <c r="AI190" s="952"/>
      <c r="AJ190" s="455">
        <v>3765.19</v>
      </c>
      <c r="AK190" s="552"/>
      <c r="AL190" s="552"/>
      <c r="AM190" s="552"/>
      <c r="AN190" s="552"/>
      <c r="AO190" s="552"/>
      <c r="AP190" s="552"/>
      <c r="AQ190" s="552"/>
      <c r="AR190" s="552"/>
      <c r="AS190" s="552"/>
      <c r="AT190" s="552"/>
      <c r="AU190" s="552"/>
      <c r="AV190" s="552"/>
      <c r="AW190" s="552"/>
      <c r="AX190" s="552"/>
      <c r="AY190" s="552"/>
      <c r="AZ190" s="552"/>
      <c r="BA190" s="552"/>
      <c r="BB190" s="552"/>
      <c r="BC190" s="552"/>
      <c r="BD190" s="552"/>
      <c r="BE190" s="552"/>
      <c r="BF190" s="552"/>
      <c r="BG190" s="552"/>
      <c r="BH190" s="552"/>
      <c r="BI190" s="552"/>
      <c r="BJ190" s="552"/>
      <c r="BK190" s="552"/>
      <c r="BL190" s="552"/>
      <c r="BM190" s="552"/>
      <c r="BN190" s="953" t="s">
        <v>2225</v>
      </c>
      <c r="BO190" s="215"/>
      <c r="BP190" s="215"/>
      <c r="BS190" s="705" t="s">
        <v>1769</v>
      </c>
    </row>
    <row r="191" spans="1:75" s="950" customFormat="1" ht="20.25" customHeight="1">
      <c r="A191" s="95"/>
      <c r="B191" s="344"/>
      <c r="C191" s="95"/>
      <c r="D191" s="95"/>
      <c r="E191" s="522">
        <v>21</v>
      </c>
      <c r="F191" s="3" t="str" cm="1">
        <f t="array" aca="1" ref="F191" ca="1">OFFSET(E191,-1,1)</f>
        <v>1</v>
      </c>
      <c r="G191" s="95"/>
      <c r="H191" s="290"/>
      <c r="I191" s="290" t="s">
        <v>468</v>
      </c>
      <c r="J191" s="95"/>
      <c r="K191" s="290" t="s">
        <v>468</v>
      </c>
      <c r="L191" s="46"/>
      <c r="M191" s="46"/>
      <c r="N191" s="95"/>
      <c r="O191" s="95"/>
      <c r="P191" s="95"/>
      <c r="Q191" s="91" t="s">
        <v>2218</v>
      </c>
      <c r="R191" s="94" t="s">
        <v>2218</v>
      </c>
      <c r="S191" s="95"/>
      <c r="T191" s="365" t="b" cm="1">
        <f t="array" ref="T191">T190</f>
        <v>1</v>
      </c>
      <c r="U191" s="95"/>
      <c r="V191" s="95"/>
      <c r="W191" s="95"/>
      <c r="X191" s="1075"/>
      <c r="Y191" s="95"/>
      <c r="Z191" s="1065"/>
      <c r="AA191" s="95"/>
      <c r="AB191" s="150" t="s">
        <v>903</v>
      </c>
      <c r="AC191" s="276" t="s">
        <v>1788</v>
      </c>
      <c r="AD191" s="143" t="s">
        <v>804</v>
      </c>
      <c r="AE191" s="145">
        <f ca="1">AE192+AE193+AE194</f>
        <v>1746.1553865599999</v>
      </c>
      <c r="AF191" s="145">
        <f ca="1">AF192+AF193+AF194</f>
        <v>1666.42</v>
      </c>
      <c r="AG191" s="145">
        <f ca="1">AG192+AG193+AG194</f>
        <v>1746.1553865599999</v>
      </c>
      <c r="AH191" s="145">
        <f t="shared" ca="1" si="44"/>
        <v>79.735386559999824</v>
      </c>
      <c r="AI191" s="951">
        <f>AI192+AI193+AI194</f>
        <v>0</v>
      </c>
      <c r="AJ191" s="455">
        <f>AJ192+AJ193+AJ194</f>
        <v>1897.98</v>
      </c>
      <c r="AK191" s="148"/>
      <c r="AL191" s="148"/>
      <c r="AM191" s="148"/>
      <c r="AN191" s="148"/>
      <c r="AO191" s="148"/>
      <c r="AP191" s="148"/>
      <c r="AQ191" s="148"/>
      <c r="AR191" s="148"/>
      <c r="AS191" s="148"/>
      <c r="AT191" s="148"/>
      <c r="AU191" s="148"/>
      <c r="AV191" s="148"/>
      <c r="AW191" s="148"/>
      <c r="AX191" s="148"/>
      <c r="AY191" s="148"/>
      <c r="AZ191" s="148"/>
      <c r="BA191" s="148"/>
      <c r="BB191" s="148"/>
      <c r="BC191" s="148"/>
      <c r="BD191" s="148"/>
      <c r="BE191" s="148"/>
      <c r="BF191" s="148"/>
      <c r="BG191" s="148"/>
      <c r="BH191" s="148"/>
      <c r="BI191" s="148"/>
      <c r="BJ191" s="148"/>
      <c r="BK191" s="148"/>
      <c r="BL191" s="148"/>
      <c r="BM191" s="148"/>
      <c r="BN191" s="566"/>
      <c r="BO191" s="566"/>
      <c r="BP191" s="566"/>
      <c r="BQ191" s="95"/>
      <c r="BR191" s="95"/>
      <c r="BS191" s="704" t="s">
        <v>1789</v>
      </c>
      <c r="BT191" s="711"/>
      <c r="BU191" s="711"/>
      <c r="BV191" s="522"/>
      <c r="BW191" s="522"/>
    </row>
    <row r="192" spans="1:75" ht="23.25" customHeight="1">
      <c r="E192" s="518">
        <v>22.5</v>
      </c>
      <c r="F192" s="3" t="str" cm="1">
        <f t="array" aca="1" ref="F192" ca="1">OFFSET(E192,-1,1)</f>
        <v>1</v>
      </c>
      <c r="H192" s="290"/>
      <c r="I192" s="290" t="s">
        <v>1349</v>
      </c>
      <c r="K192" s="290" t="s">
        <v>1349</v>
      </c>
      <c r="L192" s="44"/>
      <c r="M192" s="44"/>
      <c r="Q192" s="91" t="s">
        <v>2218</v>
      </c>
      <c r="R192" s="94" t="s">
        <v>2218</v>
      </c>
      <c r="T192" s="365" t="b" cm="1">
        <f t="array" ref="T192">T191</f>
        <v>1</v>
      </c>
      <c r="X192" s="1075"/>
      <c r="Z192" s="1065"/>
      <c r="AB192" s="152" t="s">
        <v>1350</v>
      </c>
      <c r="AC192" s="153" t="s">
        <v>1971</v>
      </c>
      <c r="AD192" s="26" t="s">
        <v>804</v>
      </c>
      <c r="AE192" s="147">
        <v>359.88538655999997</v>
      </c>
      <c r="AF192" s="147">
        <v>346.52</v>
      </c>
      <c r="AG192" s="147" cm="1">
        <f t="array" ref="AG192">AE192</f>
        <v>359.88538655999997</v>
      </c>
      <c r="AH192" s="190">
        <f t="shared" si="44"/>
        <v>13.36538655999999</v>
      </c>
      <c r="AI192" s="952"/>
      <c r="AJ192" s="455">
        <v>425.6</v>
      </c>
      <c r="AK192" s="552"/>
      <c r="AL192" s="552"/>
      <c r="AM192" s="552"/>
      <c r="AN192" s="552"/>
      <c r="AO192" s="552"/>
      <c r="AP192" s="552"/>
      <c r="AQ192" s="552"/>
      <c r="AR192" s="552"/>
      <c r="AS192" s="552"/>
      <c r="AT192" s="552"/>
      <c r="AU192" s="552"/>
      <c r="AV192" s="552"/>
      <c r="AW192" s="552"/>
      <c r="AX192" s="552"/>
      <c r="AY192" s="552"/>
      <c r="AZ192" s="552"/>
      <c r="BA192" s="552"/>
      <c r="BB192" s="552"/>
      <c r="BC192" s="552"/>
      <c r="BD192" s="552"/>
      <c r="BE192" s="552"/>
      <c r="BF192" s="552"/>
      <c r="BG192" s="552"/>
      <c r="BH192" s="552"/>
      <c r="BI192" s="552"/>
      <c r="BJ192" s="552"/>
      <c r="BK192" s="552"/>
      <c r="BL192" s="552"/>
      <c r="BM192" s="552"/>
      <c r="BN192" s="953" t="s">
        <v>2226</v>
      </c>
      <c r="BO192" s="215"/>
      <c r="BP192" s="215"/>
      <c r="BS192" s="703" t="s">
        <v>1791</v>
      </c>
    </row>
    <row r="193" spans="1:75" ht="23.25" customHeight="1">
      <c r="E193" s="518">
        <v>22.5</v>
      </c>
      <c r="F193" s="3" t="str" cm="1">
        <f t="array" aca="1" ref="F193" ca="1">OFFSET(E193,-1,1)</f>
        <v>1</v>
      </c>
      <c r="H193" s="290"/>
      <c r="I193" s="290" t="s">
        <v>1353</v>
      </c>
      <c r="K193" s="290" t="s">
        <v>1353</v>
      </c>
      <c r="L193" s="44"/>
      <c r="M193" s="44"/>
      <c r="Q193" s="91" t="s">
        <v>2218</v>
      </c>
      <c r="R193" s="94" t="s">
        <v>2218</v>
      </c>
      <c r="T193" s="365" t="b" cm="1">
        <f t="array" ref="T193">T192</f>
        <v>1</v>
      </c>
      <c r="X193" s="1075"/>
      <c r="Z193" s="1065"/>
      <c r="AB193" s="152" t="s">
        <v>1354</v>
      </c>
      <c r="AC193" s="153" t="s">
        <v>1972</v>
      </c>
      <c r="AD193" s="26" t="s">
        <v>804</v>
      </c>
      <c r="AE193" s="147">
        <v>1386.27</v>
      </c>
      <c r="AF193" s="147">
        <v>1319.9</v>
      </c>
      <c r="AG193" s="147" cm="1">
        <f t="array" ref="AG193">AE193</f>
        <v>1386.27</v>
      </c>
      <c r="AH193" s="190">
        <f t="shared" si="44"/>
        <v>66.369999999999891</v>
      </c>
      <c r="AI193" s="952"/>
      <c r="AJ193" s="455">
        <v>1472.38</v>
      </c>
      <c r="AK193" s="552"/>
      <c r="AL193" s="552"/>
      <c r="AM193" s="552"/>
      <c r="AN193" s="552"/>
      <c r="AO193" s="552"/>
      <c r="AP193" s="552"/>
      <c r="AQ193" s="552"/>
      <c r="AR193" s="552"/>
      <c r="AS193" s="552"/>
      <c r="AT193" s="552"/>
      <c r="AU193" s="552"/>
      <c r="AV193" s="552"/>
      <c r="AW193" s="552"/>
      <c r="AX193" s="552"/>
      <c r="AY193" s="552"/>
      <c r="AZ193" s="552"/>
      <c r="BA193" s="552"/>
      <c r="BB193" s="552"/>
      <c r="BC193" s="552"/>
      <c r="BD193" s="552"/>
      <c r="BE193" s="552"/>
      <c r="BF193" s="552"/>
      <c r="BG193" s="552"/>
      <c r="BH193" s="552"/>
      <c r="BI193" s="552"/>
      <c r="BJ193" s="552"/>
      <c r="BK193" s="552"/>
      <c r="BL193" s="552"/>
      <c r="BM193" s="552"/>
      <c r="BN193" s="953" t="s">
        <v>2227</v>
      </c>
      <c r="BO193" s="215"/>
      <c r="BP193" s="215"/>
      <c r="BS193" s="705" t="s">
        <v>1973</v>
      </c>
    </row>
    <row r="194" spans="1:75" ht="23.25" customHeight="1">
      <c r="E194" s="518">
        <v>22.5</v>
      </c>
      <c r="F194" s="3" t="str" cm="1">
        <f t="array" aca="1" ref="F194" ca="1">OFFSET(E194,-1,1)</f>
        <v>1</v>
      </c>
      <c r="H194" s="290"/>
      <c r="I194" s="290" t="s">
        <v>1357</v>
      </c>
      <c r="K194" s="290" t="s">
        <v>1357</v>
      </c>
      <c r="L194" s="44" t="s">
        <v>482</v>
      </c>
      <c r="M194" s="44"/>
      <c r="Q194" s="91" t="s">
        <v>2218</v>
      </c>
      <c r="R194" s="94" t="s">
        <v>2218</v>
      </c>
      <c r="T194" s="365" t="b" cm="1">
        <f t="array" ref="T194">T193</f>
        <v>1</v>
      </c>
      <c r="X194" s="1075"/>
      <c r="Z194" s="1065"/>
      <c r="AB194" s="152" t="s">
        <v>1358</v>
      </c>
      <c r="AC194" s="153" t="s">
        <v>1974</v>
      </c>
      <c r="AD194" s="26" t="s">
        <v>804</v>
      </c>
      <c r="AE194" s="147">
        <f ca="1">AE195+AE196</f>
        <v>0</v>
      </c>
      <c r="AF194" s="147">
        <f ca="1">AF195+AF196</f>
        <v>0</v>
      </c>
      <c r="AG194" s="147">
        <f ca="1">AG195+AG196</f>
        <v>0</v>
      </c>
      <c r="AH194" s="190">
        <f t="shared" ca="1" si="44"/>
        <v>0</v>
      </c>
      <c r="AI194" s="952"/>
      <c r="AJ194" s="455"/>
      <c r="AK194" s="552"/>
      <c r="AL194" s="552"/>
      <c r="AM194" s="552"/>
      <c r="AN194" s="552"/>
      <c r="AO194" s="552"/>
      <c r="AP194" s="552"/>
      <c r="AQ194" s="552"/>
      <c r="AR194" s="552"/>
      <c r="AS194" s="552"/>
      <c r="AT194" s="552"/>
      <c r="AU194" s="552"/>
      <c r="AV194" s="552"/>
      <c r="AW194" s="552"/>
      <c r="AX194" s="552"/>
      <c r="AY194" s="552"/>
      <c r="AZ194" s="552"/>
      <c r="BA194" s="552"/>
      <c r="BB194" s="552"/>
      <c r="BC194" s="552"/>
      <c r="BD194" s="552"/>
      <c r="BE194" s="552"/>
      <c r="BF194" s="552"/>
      <c r="BG194" s="552"/>
      <c r="BH194" s="552"/>
      <c r="BI194" s="552"/>
      <c r="BJ194" s="552"/>
      <c r="BK194" s="552"/>
      <c r="BL194" s="552"/>
      <c r="BM194" s="552"/>
      <c r="BN194" s="215"/>
      <c r="BO194" s="215"/>
      <c r="BP194" s="215"/>
      <c r="BS194" s="703" t="s">
        <v>1793</v>
      </c>
    </row>
    <row r="195" spans="1:75" ht="14.65" customHeight="1">
      <c r="E195" s="518">
        <v>15</v>
      </c>
      <c r="F195" s="3" t="str" cm="1">
        <f t="array" aca="1" ref="F195" ca="1">OFFSET(E195,-1,1)</f>
        <v>1</v>
      </c>
      <c r="G195" s="2" t="s">
        <v>1171</v>
      </c>
      <c r="H195" s="290"/>
      <c r="I195" s="290" t="s">
        <v>1975</v>
      </c>
      <c r="K195" s="290" t="s">
        <v>1975</v>
      </c>
      <c r="L195" s="44" t="s">
        <v>1794</v>
      </c>
      <c r="M195" s="44"/>
      <c r="Q195" s="91" t="s">
        <v>2218</v>
      </c>
      <c r="R195" s="94" t="s">
        <v>2218</v>
      </c>
      <c r="T195" s="365" t="b" cm="1">
        <f t="array" ref="T195">T194</f>
        <v>1</v>
      </c>
      <c r="X195" s="1075"/>
      <c r="Z195" s="1065"/>
      <c r="AB195" s="152" t="s">
        <v>1976</v>
      </c>
      <c r="AC195" s="553" t="s">
        <v>1795</v>
      </c>
      <c r="AD195" s="26" t="s">
        <v>804</v>
      </c>
      <c r="AE195" s="147">
        <v>0</v>
      </c>
      <c r="AF195" s="147"/>
      <c r="AG195" s="147"/>
      <c r="AH195" s="190">
        <f t="shared" si="44"/>
        <v>0</v>
      </c>
      <c r="AI195" s="952"/>
      <c r="AJ195" s="455"/>
      <c r="AK195" s="552"/>
      <c r="AL195" s="552"/>
      <c r="AM195" s="552"/>
      <c r="AN195" s="552"/>
      <c r="AO195" s="552"/>
      <c r="AP195" s="552"/>
      <c r="AQ195" s="552"/>
      <c r="AR195" s="552"/>
      <c r="AS195" s="552"/>
      <c r="AT195" s="552"/>
      <c r="AU195" s="552"/>
      <c r="AV195" s="552"/>
      <c r="AW195" s="552"/>
      <c r="AX195" s="552"/>
      <c r="AY195" s="552"/>
      <c r="AZ195" s="552"/>
      <c r="BA195" s="552"/>
      <c r="BB195" s="552"/>
      <c r="BC195" s="552"/>
      <c r="BD195" s="552"/>
      <c r="BE195" s="552"/>
      <c r="BF195" s="552"/>
      <c r="BG195" s="552"/>
      <c r="BH195" s="552"/>
      <c r="BI195" s="552"/>
      <c r="BJ195" s="552"/>
      <c r="BK195" s="552"/>
      <c r="BL195" s="552"/>
      <c r="BM195" s="552"/>
      <c r="BN195" s="215"/>
      <c r="BO195" s="610" t="str">
        <f ca="1">IF(IFERROR(INDEX(ФОТ!$K$26:$L$102,MATCH($F195&amp;"3komm",ФОТ!$K$26:$K$102,0),2),"")=0,"",IFERROR(INDEX(ФОТ!$K$26:$L$102,MATCH($F195&amp;"3komm",ФОТ!$K$26:$K$102,0),2),""))</f>
        <v/>
      </c>
      <c r="BP195" s="215"/>
      <c r="BS195" s="703" t="s">
        <v>1796</v>
      </c>
    </row>
    <row r="196" spans="1:75" ht="21.75" customHeight="1">
      <c r="E196" s="518">
        <v>22.5</v>
      </c>
      <c r="F196" s="3" t="str" cm="1">
        <f t="array" aca="1" ref="F196" ca="1">OFFSET(E196,-1,1)</f>
        <v>1</v>
      </c>
      <c r="G196" s="2" t="s">
        <v>1176</v>
      </c>
      <c r="H196" s="290"/>
      <c r="I196" s="290" t="s">
        <v>1977</v>
      </c>
      <c r="K196" s="290" t="s">
        <v>1977</v>
      </c>
      <c r="L196" s="44" t="s">
        <v>1797</v>
      </c>
      <c r="M196" s="44"/>
      <c r="Q196" s="91" t="s">
        <v>2218</v>
      </c>
      <c r="R196" s="94" t="s">
        <v>2218</v>
      </c>
      <c r="T196" s="365" t="b" cm="1">
        <f t="array" ref="T196">T195</f>
        <v>1</v>
      </c>
      <c r="X196" s="1075"/>
      <c r="Z196" s="1065"/>
      <c r="AB196" s="152" t="s">
        <v>1978</v>
      </c>
      <c r="AC196" s="553" t="s">
        <v>1979</v>
      </c>
      <c r="AD196" s="26" t="s">
        <v>804</v>
      </c>
      <c r="AE196" s="147">
        <f ca="1">AE195*SUMIFS(INDEX(Сценарии!$AE$25:$BF$109,,MATCH(AE$8,Сценарии!$AE$8:$BF$8,0)),Сценарии!$F$25:$F$109,$F196,Сценарии!$G$25:$G$109,"СВФОТ")/100</f>
        <v>0</v>
      </c>
      <c r="AF196" s="147">
        <f ca="1">AF195*SUMIFS(INDEX(Сценарии!$AE$25:$BF$109,,MATCH(AF$8,Сценарии!$AE$8:$BF$8,0)),Сценарии!$F$25:$F$109,$F196,Сценарии!$G$25:$G$109,"СВФОТ")/100</f>
        <v>0</v>
      </c>
      <c r="AG196" s="147">
        <f ca="1">AG195*SUMIFS(INDEX(Сценарии!$AE$25:$BF$109,,MATCH(AG$8,Сценарии!$AE$8:$BF$8,0)),Сценарии!$F$25:$F$109,$F196,Сценарии!$G$25:$G$109,"СВФОТ")/100</f>
        <v>0</v>
      </c>
      <c r="AH196" s="190">
        <f t="shared" ca="1" si="44"/>
        <v>0</v>
      </c>
      <c r="AI196" s="952">
        <f ca="1">AI195*SUMIFS(INDEX(Сценарии!$AE$25:$BF$109,,MATCH(AG$8,Сценарии!$AE$8:$BF$8,0)),Сценарии!$F$25:$F$109,$F196,Сценарии!$G$25:$G$109,"СВФОТ")/100</f>
        <v>0</v>
      </c>
      <c r="AJ196" s="455"/>
      <c r="AK196" s="552"/>
      <c r="AL196" s="552"/>
      <c r="AM196" s="552"/>
      <c r="AN196" s="552"/>
      <c r="AO196" s="552"/>
      <c r="AP196" s="552"/>
      <c r="AQ196" s="552"/>
      <c r="AR196" s="552"/>
      <c r="AS196" s="552"/>
      <c r="AT196" s="552"/>
      <c r="AU196" s="552"/>
      <c r="AV196" s="552"/>
      <c r="AW196" s="552"/>
      <c r="AX196" s="552"/>
      <c r="AY196" s="552"/>
      <c r="AZ196" s="552"/>
      <c r="BA196" s="552"/>
      <c r="BB196" s="552"/>
      <c r="BC196" s="552"/>
      <c r="BD196" s="552"/>
      <c r="BE196" s="552"/>
      <c r="BF196" s="552"/>
      <c r="BG196" s="552"/>
      <c r="BH196" s="552"/>
      <c r="BI196" s="552"/>
      <c r="BJ196" s="552"/>
      <c r="BK196" s="552"/>
      <c r="BL196" s="552"/>
      <c r="BM196" s="552"/>
      <c r="BN196" s="215"/>
      <c r="BO196" s="610" t="str">
        <f ca="1">IF(IFERROR(INDEX(ФОТ!$K$26:$L$102,MATCH($F196&amp;"4komm",ФОТ!$K$26:$K$102,0),2),"")=0,"",IFERROR(INDEX(ФОТ!$K$26:$L$102,MATCH($F196&amp;"4komm",ФОТ!$K$26:$K$102,0),2),""))</f>
        <v/>
      </c>
      <c r="BP196" s="215"/>
      <c r="BS196" s="703" t="s">
        <v>1799</v>
      </c>
    </row>
    <row r="197" spans="1:75" s="950" customFormat="1" ht="20.25" customHeight="1">
      <c r="A197" s="95"/>
      <c r="B197" s="344"/>
      <c r="C197" s="95"/>
      <c r="D197" s="95"/>
      <c r="E197" s="522">
        <v>21</v>
      </c>
      <c r="F197" s="3" t="str" cm="1">
        <f t="array" aca="1" ref="F197" ca="1">OFFSET(E197,-1,1)</f>
        <v>1</v>
      </c>
      <c r="G197" s="95"/>
      <c r="H197" s="290"/>
      <c r="I197" s="290" t="s">
        <v>472</v>
      </c>
      <c r="J197" s="95"/>
      <c r="K197" s="290" t="s">
        <v>472</v>
      </c>
      <c r="L197" s="46" t="s">
        <v>329</v>
      </c>
      <c r="M197" s="46"/>
      <c r="N197" s="95"/>
      <c r="O197" s="95"/>
      <c r="P197" s="95"/>
      <c r="Q197" s="91" t="s">
        <v>2218</v>
      </c>
      <c r="R197" s="94" t="s">
        <v>2218</v>
      </c>
      <c r="S197" s="95"/>
      <c r="T197" s="365" t="b" cm="1">
        <f t="array" ref="T197">T196</f>
        <v>1</v>
      </c>
      <c r="U197" s="95"/>
      <c r="V197" s="95"/>
      <c r="W197" s="95"/>
      <c r="X197" s="1075"/>
      <c r="Y197" s="95"/>
      <c r="Z197" s="1065"/>
      <c r="AA197" s="95"/>
      <c r="AB197" s="150" t="s">
        <v>906</v>
      </c>
      <c r="AC197" s="276" t="s">
        <v>1980</v>
      </c>
      <c r="AD197" s="143" t="s">
        <v>804</v>
      </c>
      <c r="AE197" s="145">
        <f>AE198+AE206+AE209+AE210+AE211+AE212+AE213</f>
        <v>2844.4747397200003</v>
      </c>
      <c r="AF197" s="145">
        <f>AF198+AF206+AF209+AF210+AF211+AF212+AF213</f>
        <v>4008.3680000000004</v>
      </c>
      <c r="AG197" s="145">
        <f>AG198+AG206+AG209+AG210+AG211+AG212+AG213</f>
        <v>2844.4747397200003</v>
      </c>
      <c r="AH197" s="145">
        <f t="shared" si="44"/>
        <v>-1163.89326028</v>
      </c>
      <c r="AI197" s="951">
        <f ca="1">AI198+AI206+AI209+AI210+AI211+AI212+AI213</f>
        <v>0</v>
      </c>
      <c r="AJ197" s="455">
        <f>AJ198+AJ206+AJ209+AJ210+AJ211+AJ212+AJ213</f>
        <v>4580.12</v>
      </c>
      <c r="AK197" s="148"/>
      <c r="AL197" s="148"/>
      <c r="AM197" s="148"/>
      <c r="AN197" s="148"/>
      <c r="AO197" s="148"/>
      <c r="AP197" s="148"/>
      <c r="AQ197" s="148"/>
      <c r="AR197" s="148"/>
      <c r="AS197" s="148"/>
      <c r="AT197" s="148"/>
      <c r="AU197" s="148"/>
      <c r="AV197" s="148"/>
      <c r="AW197" s="148"/>
      <c r="AX197" s="148"/>
      <c r="AY197" s="148"/>
      <c r="AZ197" s="148"/>
      <c r="BA197" s="148"/>
      <c r="BB197" s="148"/>
      <c r="BC197" s="148"/>
      <c r="BD197" s="148"/>
      <c r="BE197" s="148"/>
      <c r="BF197" s="148"/>
      <c r="BG197" s="148"/>
      <c r="BH197" s="148"/>
      <c r="BI197" s="148"/>
      <c r="BJ197" s="148"/>
      <c r="BK197" s="148"/>
      <c r="BL197" s="148"/>
      <c r="BM197" s="148"/>
      <c r="BN197" s="566"/>
      <c r="BO197" s="566"/>
      <c r="BP197" s="566"/>
      <c r="BQ197" s="95"/>
      <c r="BR197" s="95"/>
      <c r="BS197" s="704" t="s">
        <v>1801</v>
      </c>
      <c r="BT197" s="711"/>
      <c r="BU197" s="711"/>
      <c r="BV197" s="522"/>
      <c r="BW197" s="522"/>
    </row>
    <row r="198" spans="1:75" ht="21.75" customHeight="1">
      <c r="E198" s="518">
        <v>22.5</v>
      </c>
      <c r="F198" s="3" t="str" cm="1">
        <f t="array" aca="1" ref="F198" ca="1">OFFSET(E198,-1,1)</f>
        <v>1</v>
      </c>
      <c r="G198" s="91" t="s">
        <v>1197</v>
      </c>
      <c r="H198" s="290"/>
      <c r="I198" s="290" t="s">
        <v>1363</v>
      </c>
      <c r="K198" s="290" t="s">
        <v>1363</v>
      </c>
      <c r="L198" s="44" t="s">
        <v>927</v>
      </c>
      <c r="M198" s="44"/>
      <c r="Q198" s="91" t="s">
        <v>2218</v>
      </c>
      <c r="R198" s="94" t="s">
        <v>2218</v>
      </c>
      <c r="T198" s="365" t="b" cm="1">
        <f t="array" ref="T198">T197</f>
        <v>1</v>
      </c>
      <c r="X198" s="1075"/>
      <c r="Z198" s="1065"/>
      <c r="AB198" s="152" t="s">
        <v>1021</v>
      </c>
      <c r="AC198" s="153" t="s">
        <v>1981</v>
      </c>
      <c r="AD198" s="26" t="s">
        <v>804</v>
      </c>
      <c r="AE198" s="190">
        <f>SUM(AE199:AE205)</f>
        <v>631.65685499999995</v>
      </c>
      <c r="AF198" s="190">
        <f>SUM(AF199:AF205)</f>
        <v>730.24</v>
      </c>
      <c r="AG198" s="190">
        <f>SUM(AG199:AG205)</f>
        <v>631.65685499999995</v>
      </c>
      <c r="AH198" s="190">
        <f t="shared" si="44"/>
        <v>-98.583145000000059</v>
      </c>
      <c r="AI198" s="952">
        <f>SUM(AI199:AI205)</f>
        <v>0</v>
      </c>
      <c r="AJ198" s="455">
        <f>SUM(AJ199:AJ205)</f>
        <v>834.39999999999986</v>
      </c>
      <c r="AK198" s="552"/>
      <c r="AL198" s="552"/>
      <c r="AM198" s="552"/>
      <c r="AN198" s="552"/>
      <c r="AO198" s="552"/>
      <c r="AP198" s="552"/>
      <c r="AQ198" s="552"/>
      <c r="AR198" s="552"/>
      <c r="AS198" s="552"/>
      <c r="AT198" s="552"/>
      <c r="AU198" s="552"/>
      <c r="AV198" s="552"/>
      <c r="AW198" s="552"/>
      <c r="AX198" s="552"/>
      <c r="AY198" s="552"/>
      <c r="AZ198" s="552"/>
      <c r="BA198" s="552"/>
      <c r="BB198" s="552"/>
      <c r="BC198" s="552"/>
      <c r="BD198" s="552"/>
      <c r="BE198" s="552"/>
      <c r="BF198" s="552"/>
      <c r="BG198" s="552"/>
      <c r="BH198" s="552"/>
      <c r="BI198" s="552"/>
      <c r="BJ198" s="552"/>
      <c r="BK198" s="552"/>
      <c r="BL198" s="552"/>
      <c r="BM198" s="552"/>
      <c r="BN198" s="215"/>
      <c r="BO198" s="610" t="str">
        <f ca="1">IF(IFERROR(INDEX(Административные!$K$26:$L$84,MATCH($F198&amp;"17komm",Административные!$K$26:$K$84,0),2),"")=0,"",IFERROR(INDEX(Административные!$K$26:$L$84,MATCH($F198&amp;"17komm",Административные!$K$26:$K$84,0),2),""))</f>
        <v/>
      </c>
      <c r="BP198" s="215"/>
      <c r="BS198" s="703" t="s">
        <v>1199</v>
      </c>
    </row>
    <row r="199" spans="1:75" ht="14.65" customHeight="1">
      <c r="E199" s="518">
        <v>15</v>
      </c>
      <c r="F199" s="3" t="str" cm="1">
        <f t="array" aca="1" ref="F199" ca="1">OFFSET(E199,-1,1)</f>
        <v>1</v>
      </c>
      <c r="G199" s="91" t="s">
        <v>1200</v>
      </c>
      <c r="H199" s="290"/>
      <c r="I199" s="290" t="s">
        <v>1982</v>
      </c>
      <c r="K199" s="290" t="s">
        <v>1982</v>
      </c>
      <c r="L199" s="44"/>
      <c r="M199" s="44"/>
      <c r="Q199" s="91" t="s">
        <v>2218</v>
      </c>
      <c r="R199" s="94" t="s">
        <v>2218</v>
      </c>
      <c r="T199" s="365" t="b" cm="1">
        <f t="array" ref="T199">T198</f>
        <v>1</v>
      </c>
      <c r="X199" s="1075"/>
      <c r="Z199" s="1065"/>
      <c r="AB199" s="152" t="s">
        <v>1983</v>
      </c>
      <c r="AC199" s="553" t="s">
        <v>1201</v>
      </c>
      <c r="AD199" s="26" t="s">
        <v>804</v>
      </c>
      <c r="AE199" s="147">
        <v>20.0169179761</v>
      </c>
      <c r="AF199" s="147">
        <v>24.46</v>
      </c>
      <c r="AG199" s="147" cm="1">
        <f t="array" ref="AG199">AE199</f>
        <v>20.0169179761</v>
      </c>
      <c r="AH199" s="190">
        <f t="shared" si="44"/>
        <v>-4.4430820239000006</v>
      </c>
      <c r="AI199" s="952"/>
      <c r="AJ199" s="455">
        <v>27.95</v>
      </c>
      <c r="AK199" s="552"/>
      <c r="AL199" s="552"/>
      <c r="AM199" s="552"/>
      <c r="AN199" s="552"/>
      <c r="AO199" s="552"/>
      <c r="AP199" s="552"/>
      <c r="AQ199" s="552"/>
      <c r="AR199" s="552"/>
      <c r="AS199" s="552"/>
      <c r="AT199" s="552"/>
      <c r="AU199" s="552"/>
      <c r="AV199" s="552"/>
      <c r="AW199" s="552"/>
      <c r="AX199" s="552"/>
      <c r="AY199" s="552"/>
      <c r="AZ199" s="552"/>
      <c r="BA199" s="552"/>
      <c r="BB199" s="552"/>
      <c r="BC199" s="552"/>
      <c r="BD199" s="552"/>
      <c r="BE199" s="552"/>
      <c r="BF199" s="552"/>
      <c r="BG199" s="552"/>
      <c r="BH199" s="552"/>
      <c r="BI199" s="552"/>
      <c r="BJ199" s="552"/>
      <c r="BK199" s="552"/>
      <c r="BL199" s="552"/>
      <c r="BM199" s="552"/>
      <c r="BN199" s="953" t="s">
        <v>2228</v>
      </c>
      <c r="BO199" s="610" t="str">
        <f ca="1">IF(IFERROR(INDEX(Административные!$K$26:$L$84,MATCH($F199&amp;"18komm",Административные!$K$26:$K$84,0),2),"")=0,"",IFERROR(INDEX(Административные!$K$26:$L$84,MATCH($F199&amp;"18komm",Административные!$K$26:$K$84,0),2),""))</f>
        <v/>
      </c>
      <c r="BP199" s="215"/>
      <c r="BS199" s="705" t="s">
        <v>1202</v>
      </c>
    </row>
    <row r="200" spans="1:75" ht="14.65" customHeight="1">
      <c r="E200" s="518">
        <v>15</v>
      </c>
      <c r="F200" s="3" t="str" cm="1">
        <f t="array" aca="1" ref="F200" ca="1">OFFSET(E200,-1,1)</f>
        <v>1</v>
      </c>
      <c r="G200" s="91" t="s">
        <v>1203</v>
      </c>
      <c r="H200" s="290"/>
      <c r="I200" s="290" t="s">
        <v>1984</v>
      </c>
      <c r="K200" s="290" t="s">
        <v>1984</v>
      </c>
      <c r="L200" s="44"/>
      <c r="M200" s="44"/>
      <c r="Q200" s="91" t="s">
        <v>2218</v>
      </c>
      <c r="R200" s="94" t="s">
        <v>2218</v>
      </c>
      <c r="T200" s="365" t="b" cm="1">
        <f t="array" ref="T200">T199</f>
        <v>1</v>
      </c>
      <c r="X200" s="1075"/>
      <c r="Z200" s="1065"/>
      <c r="AB200" s="152" t="s">
        <v>1985</v>
      </c>
      <c r="AC200" s="553" t="s">
        <v>1204</v>
      </c>
      <c r="AD200" s="26" t="s">
        <v>804</v>
      </c>
      <c r="AE200" s="147">
        <v>245.33860093440001</v>
      </c>
      <c r="AF200" s="147">
        <v>286.26</v>
      </c>
      <c r="AG200" s="147" cm="1">
        <f t="array" ref="AG200">AE200</f>
        <v>245.33860093440001</v>
      </c>
      <c r="AH200" s="190">
        <f t="shared" si="44"/>
        <v>-40.921399065599985</v>
      </c>
      <c r="AI200" s="952"/>
      <c r="AJ200" s="455">
        <v>327.08999999999997</v>
      </c>
      <c r="AK200" s="552"/>
      <c r="AL200" s="552"/>
      <c r="AM200" s="552"/>
      <c r="AN200" s="552"/>
      <c r="AO200" s="552"/>
      <c r="AP200" s="552"/>
      <c r="AQ200" s="552"/>
      <c r="AR200" s="552"/>
      <c r="AS200" s="552"/>
      <c r="AT200" s="552"/>
      <c r="AU200" s="552"/>
      <c r="AV200" s="552"/>
      <c r="AW200" s="552"/>
      <c r="AX200" s="552"/>
      <c r="AY200" s="552"/>
      <c r="AZ200" s="552"/>
      <c r="BA200" s="552"/>
      <c r="BB200" s="552"/>
      <c r="BC200" s="552"/>
      <c r="BD200" s="552"/>
      <c r="BE200" s="552"/>
      <c r="BF200" s="552"/>
      <c r="BG200" s="552"/>
      <c r="BH200" s="552"/>
      <c r="BI200" s="552"/>
      <c r="BJ200" s="552"/>
      <c r="BK200" s="552"/>
      <c r="BL200" s="552"/>
      <c r="BM200" s="552"/>
      <c r="BN200" s="953" t="s">
        <v>2229</v>
      </c>
      <c r="BO200" s="610" t="str">
        <f ca="1">IF(IFERROR(INDEX(Административные!$K$26:$L$84,MATCH($F200&amp;"11komm",Административные!$K$26:$K$84,0),2),"")=0,"",IFERROR(INDEX(Административные!$K$26:$L$84,MATCH($F200&amp;"11komm",Административные!$K$26:$K$84,0),2),""))</f>
        <v/>
      </c>
      <c r="BP200" s="215"/>
      <c r="BS200" s="705" t="s">
        <v>1205</v>
      </c>
    </row>
    <row r="201" spans="1:75" ht="14.65" customHeight="1">
      <c r="E201" s="518">
        <v>15</v>
      </c>
      <c r="F201" s="3" t="str" cm="1">
        <f t="array" aca="1" ref="F201" ca="1">OFFSET(E201,-1,1)</f>
        <v>1</v>
      </c>
      <c r="G201" s="91" t="s">
        <v>1206</v>
      </c>
      <c r="H201" s="290"/>
      <c r="I201" s="290" t="s">
        <v>1986</v>
      </c>
      <c r="K201" s="290" t="s">
        <v>1986</v>
      </c>
      <c r="L201" s="44"/>
      <c r="M201" s="44"/>
      <c r="Q201" s="91" t="s">
        <v>2218</v>
      </c>
      <c r="R201" s="94" t="s">
        <v>2218</v>
      </c>
      <c r="T201" s="365" t="b" cm="1">
        <f t="array" ref="T201">T200</f>
        <v>1</v>
      </c>
      <c r="X201" s="1075"/>
      <c r="Z201" s="1065"/>
      <c r="AB201" s="152" t="s">
        <v>1987</v>
      </c>
      <c r="AC201" s="553" t="s">
        <v>1207</v>
      </c>
      <c r="AD201" s="26" t="s">
        <v>804</v>
      </c>
      <c r="AE201" s="147">
        <v>0</v>
      </c>
      <c r="AF201" s="147"/>
      <c r="AG201" s="147"/>
      <c r="AH201" s="190">
        <f t="shared" si="44"/>
        <v>0</v>
      </c>
      <c r="AI201" s="952"/>
      <c r="AJ201" s="455"/>
      <c r="AK201" s="552"/>
      <c r="AL201" s="552"/>
      <c r="AM201" s="552"/>
      <c r="AN201" s="552"/>
      <c r="AO201" s="552"/>
      <c r="AP201" s="552"/>
      <c r="AQ201" s="552"/>
      <c r="AR201" s="552"/>
      <c r="AS201" s="552"/>
      <c r="AT201" s="552"/>
      <c r="AU201" s="552"/>
      <c r="AV201" s="552"/>
      <c r="AW201" s="552"/>
      <c r="AX201" s="552"/>
      <c r="AY201" s="552"/>
      <c r="AZ201" s="552"/>
      <c r="BA201" s="552"/>
      <c r="BB201" s="552"/>
      <c r="BC201" s="552"/>
      <c r="BD201" s="552"/>
      <c r="BE201" s="552"/>
      <c r="BF201" s="552"/>
      <c r="BG201" s="552"/>
      <c r="BH201" s="552"/>
      <c r="BI201" s="552"/>
      <c r="BJ201" s="552"/>
      <c r="BK201" s="552"/>
      <c r="BL201" s="552"/>
      <c r="BM201" s="552"/>
      <c r="BN201" s="215"/>
      <c r="BO201" s="610" t="str">
        <f ca="1">IF(IFERROR(INDEX(Административные!$K$26:$L$84,MATCH($F201&amp;"12komm",Административные!$K$26:$K$84,0),2),"")=0,"",IFERROR(INDEX(Административные!$K$26:$L$84,MATCH($F201&amp;"12komm",Административные!$K$26:$K$84,0),2),""))</f>
        <v/>
      </c>
      <c r="BP201" s="215"/>
      <c r="BS201" s="705" t="s">
        <v>1208</v>
      </c>
    </row>
    <row r="202" spans="1:75" ht="14.65" customHeight="1">
      <c r="E202" s="518">
        <v>15</v>
      </c>
      <c r="F202" s="3" t="str" cm="1">
        <f t="array" aca="1" ref="F202" ca="1">OFFSET(E202,-1,1)</f>
        <v>1</v>
      </c>
      <c r="G202" s="91" t="s">
        <v>1209</v>
      </c>
      <c r="H202" s="290"/>
      <c r="I202" s="290" t="s">
        <v>1988</v>
      </c>
      <c r="K202" s="290" t="s">
        <v>1988</v>
      </c>
      <c r="L202" s="44"/>
      <c r="M202" s="44"/>
      <c r="Q202" s="91" t="s">
        <v>2218</v>
      </c>
      <c r="R202" s="94" t="s">
        <v>2218</v>
      </c>
      <c r="T202" s="365" t="b" cm="1">
        <f t="array" ref="T202">T201</f>
        <v>1</v>
      </c>
      <c r="X202" s="1075"/>
      <c r="Z202" s="1065"/>
      <c r="AB202" s="152" t="s">
        <v>1989</v>
      </c>
      <c r="AC202" s="553" t="s">
        <v>1210</v>
      </c>
      <c r="AD202" s="26" t="s">
        <v>804</v>
      </c>
      <c r="AE202" s="147">
        <v>76.271067647999999</v>
      </c>
      <c r="AF202" s="147">
        <v>45.3</v>
      </c>
      <c r="AG202" s="147" cm="1">
        <f t="array" ref="AG202">AE202</f>
        <v>76.271067647999999</v>
      </c>
      <c r="AH202" s="190">
        <f t="shared" si="44"/>
        <v>30.971067648000002</v>
      </c>
      <c r="AI202" s="952"/>
      <c r="AJ202" s="455">
        <v>51.76</v>
      </c>
      <c r="AK202" s="552"/>
      <c r="AL202" s="552"/>
      <c r="AM202" s="552"/>
      <c r="AN202" s="552"/>
      <c r="AO202" s="552"/>
      <c r="AP202" s="552"/>
      <c r="AQ202" s="552"/>
      <c r="AR202" s="552"/>
      <c r="AS202" s="552"/>
      <c r="AT202" s="552"/>
      <c r="AU202" s="552"/>
      <c r="AV202" s="552"/>
      <c r="AW202" s="552"/>
      <c r="AX202" s="552"/>
      <c r="AY202" s="552"/>
      <c r="AZ202" s="552"/>
      <c r="BA202" s="552"/>
      <c r="BB202" s="552"/>
      <c r="BC202" s="552"/>
      <c r="BD202" s="552"/>
      <c r="BE202" s="552"/>
      <c r="BF202" s="552"/>
      <c r="BG202" s="552"/>
      <c r="BH202" s="552"/>
      <c r="BI202" s="552"/>
      <c r="BJ202" s="552"/>
      <c r="BK202" s="552"/>
      <c r="BL202" s="552"/>
      <c r="BM202" s="552"/>
      <c r="BN202" s="953" t="s">
        <v>2230</v>
      </c>
      <c r="BO202" s="610" t="str">
        <f ca="1">IF(IFERROR(INDEX(Административные!$K$26:$L$84,MATCH($F202&amp;"13komm",Административные!$K$26:$K$84,0),2),"")=0,"",IFERROR(INDEX(Административные!$K$26:$L$84,MATCH($F202&amp;"13komm",Административные!$K$26:$K$84,0),2),""))</f>
        <v/>
      </c>
      <c r="BP202" s="215"/>
      <c r="BS202" s="705" t="s">
        <v>1211</v>
      </c>
    </row>
    <row r="203" spans="1:75" ht="14.65" customHeight="1">
      <c r="E203" s="518">
        <v>15</v>
      </c>
      <c r="F203" s="3" t="str" cm="1">
        <f t="array" aca="1" ref="F203" ca="1">OFFSET(E203,-1,1)</f>
        <v>1</v>
      </c>
      <c r="G203" s="91" t="s">
        <v>1212</v>
      </c>
      <c r="H203" s="290"/>
      <c r="I203" s="290" t="s">
        <v>1990</v>
      </c>
      <c r="K203" s="290" t="s">
        <v>1990</v>
      </c>
      <c r="L203" s="44"/>
      <c r="M203" s="44"/>
      <c r="Q203" s="91" t="s">
        <v>2218</v>
      </c>
      <c r="R203" s="94" t="s">
        <v>2218</v>
      </c>
      <c r="T203" s="365" t="b" cm="1">
        <f t="array" ref="T203">T202</f>
        <v>1</v>
      </c>
      <c r="X203" s="1075"/>
      <c r="Z203" s="1065"/>
      <c r="AB203" s="152" t="s">
        <v>1991</v>
      </c>
      <c r="AC203" s="553" t="s">
        <v>1213</v>
      </c>
      <c r="AD203" s="26" t="s">
        <v>804</v>
      </c>
      <c r="AE203" s="147">
        <v>0</v>
      </c>
      <c r="AF203" s="147"/>
      <c r="AG203" s="147"/>
      <c r="AH203" s="190">
        <f t="shared" si="44"/>
        <v>0</v>
      </c>
      <c r="AI203" s="952"/>
      <c r="AJ203" s="455"/>
      <c r="AK203" s="552"/>
      <c r="AL203" s="552"/>
      <c r="AM203" s="552"/>
      <c r="AN203" s="552"/>
      <c r="AO203" s="552"/>
      <c r="AP203" s="552"/>
      <c r="AQ203" s="552"/>
      <c r="AR203" s="552"/>
      <c r="AS203" s="552"/>
      <c r="AT203" s="552"/>
      <c r="AU203" s="552"/>
      <c r="AV203" s="552"/>
      <c r="AW203" s="552"/>
      <c r="AX203" s="552"/>
      <c r="AY203" s="552"/>
      <c r="AZ203" s="552"/>
      <c r="BA203" s="552"/>
      <c r="BB203" s="552"/>
      <c r="BC203" s="552"/>
      <c r="BD203" s="552"/>
      <c r="BE203" s="552"/>
      <c r="BF203" s="552"/>
      <c r="BG203" s="552"/>
      <c r="BH203" s="552"/>
      <c r="BI203" s="552"/>
      <c r="BJ203" s="552"/>
      <c r="BK203" s="552"/>
      <c r="BL203" s="552"/>
      <c r="BM203" s="552"/>
      <c r="BN203" s="215"/>
      <c r="BO203" s="610" t="str">
        <f ca="1">IF(IFERROR(INDEX(Административные!$K$26:$L$84,MATCH($F203&amp;"14komm",Административные!$K$26:$K$84,0),2),"")=0,"",IFERROR(INDEX(Административные!$K$26:$L$84,MATCH($F203&amp;"14komm",Административные!$K$26:$K$84,0),2),""))</f>
        <v/>
      </c>
      <c r="BP203" s="215"/>
      <c r="BS203" s="705" t="s">
        <v>1992</v>
      </c>
    </row>
    <row r="204" spans="1:75" ht="14.65" customHeight="1">
      <c r="E204" s="518">
        <v>15</v>
      </c>
      <c r="F204" s="3" t="str" cm="1">
        <f t="array" aca="1" ref="F204" ca="1">OFFSET(E204,-1,1)</f>
        <v>1</v>
      </c>
      <c r="G204" s="91" t="s">
        <v>1215</v>
      </c>
      <c r="H204" s="290"/>
      <c r="I204" s="290" t="s">
        <v>1993</v>
      </c>
      <c r="K204" s="290" t="s">
        <v>1993</v>
      </c>
      <c r="L204" s="44"/>
      <c r="M204" s="44"/>
      <c r="Q204" s="91" t="s">
        <v>2218</v>
      </c>
      <c r="R204" s="94" t="s">
        <v>2218</v>
      </c>
      <c r="T204" s="365" t="b" cm="1">
        <f t="array" ref="T204">T203</f>
        <v>1</v>
      </c>
      <c r="X204" s="1075"/>
      <c r="Z204" s="1065"/>
      <c r="AB204" s="152" t="s">
        <v>1994</v>
      </c>
      <c r="AC204" s="553" t="s">
        <v>1218</v>
      </c>
      <c r="AD204" s="26" t="s">
        <v>804</v>
      </c>
      <c r="AE204" s="147">
        <v>0</v>
      </c>
      <c r="AF204" s="147"/>
      <c r="AG204" s="147"/>
      <c r="AH204" s="190">
        <f t="shared" ref="AH204:AH220" si="48">AG204-AF204</f>
        <v>0</v>
      </c>
      <c r="AI204" s="952"/>
      <c r="AJ204" s="455"/>
      <c r="AK204" s="552"/>
      <c r="AL204" s="552"/>
      <c r="AM204" s="552"/>
      <c r="AN204" s="552"/>
      <c r="AO204" s="552"/>
      <c r="AP204" s="552"/>
      <c r="AQ204" s="552"/>
      <c r="AR204" s="552"/>
      <c r="AS204" s="552"/>
      <c r="AT204" s="552"/>
      <c r="AU204" s="552"/>
      <c r="AV204" s="552"/>
      <c r="AW204" s="552"/>
      <c r="AX204" s="552"/>
      <c r="AY204" s="552"/>
      <c r="AZ204" s="552"/>
      <c r="BA204" s="552"/>
      <c r="BB204" s="552"/>
      <c r="BC204" s="552"/>
      <c r="BD204" s="552"/>
      <c r="BE204" s="552"/>
      <c r="BF204" s="552"/>
      <c r="BG204" s="552"/>
      <c r="BH204" s="552"/>
      <c r="BI204" s="552"/>
      <c r="BJ204" s="552"/>
      <c r="BK204" s="552"/>
      <c r="BL204" s="552"/>
      <c r="BM204" s="552"/>
      <c r="BN204" s="215"/>
      <c r="BO204" s="610" t="str">
        <f ca="1">IF(IFERROR(INDEX(Административные!$K$26:$L$84,MATCH($F204&amp;"15komm",Административные!$K$26:$K$84,0),2),"")=0,"",IFERROR(INDEX(Административные!$K$26:$L$84,MATCH($F204&amp;"15komm",Административные!$K$26:$K$84,0),2),""))</f>
        <v/>
      </c>
      <c r="BP204" s="215"/>
      <c r="BS204" s="705" t="s">
        <v>1219</v>
      </c>
    </row>
    <row r="205" spans="1:75" ht="14.65" customHeight="1">
      <c r="E205" s="518">
        <v>15</v>
      </c>
      <c r="F205" s="3" t="str" cm="1">
        <f t="array" aca="1" ref="F205" ca="1">OFFSET(E205,-1,1)</f>
        <v>1</v>
      </c>
      <c r="G205" s="91" t="s">
        <v>1220</v>
      </c>
      <c r="H205" s="290"/>
      <c r="I205" s="290" t="s">
        <v>1995</v>
      </c>
      <c r="K205" s="290" t="s">
        <v>1995</v>
      </c>
      <c r="L205" s="44"/>
      <c r="M205" s="44"/>
      <c r="Q205" s="91" t="s">
        <v>2218</v>
      </c>
      <c r="R205" s="94" t="s">
        <v>2218</v>
      </c>
      <c r="T205" s="365" t="b" cm="1">
        <f t="array" ref="T205">T204</f>
        <v>1</v>
      </c>
      <c r="X205" s="1075"/>
      <c r="Z205" s="1065"/>
      <c r="AB205" s="152" t="s">
        <v>1996</v>
      </c>
      <c r="AC205" s="553" t="s">
        <v>1223</v>
      </c>
      <c r="AD205" s="26" t="s">
        <v>804</v>
      </c>
      <c r="AE205" s="147">
        <v>290.03026844150003</v>
      </c>
      <c r="AF205" s="147">
        <f>730.24-AF202-AF200-AF199</f>
        <v>374.22000000000008</v>
      </c>
      <c r="AG205" s="147" cm="1">
        <f t="array" ref="AG205">AE205</f>
        <v>290.03026844150003</v>
      </c>
      <c r="AH205" s="190">
        <f t="shared" si="48"/>
        <v>-84.189731558500057</v>
      </c>
      <c r="AI205" s="952"/>
      <c r="AJ205" s="455">
        <f>834.4-AJ199-AJ200-AJ202</f>
        <v>427.59999999999997</v>
      </c>
      <c r="AK205" s="552"/>
      <c r="AL205" s="552"/>
      <c r="AM205" s="552"/>
      <c r="AN205" s="552"/>
      <c r="AO205" s="552"/>
      <c r="AP205" s="552"/>
      <c r="AQ205" s="552"/>
      <c r="AR205" s="552"/>
      <c r="AS205" s="552"/>
      <c r="AT205" s="552"/>
      <c r="AU205" s="552"/>
      <c r="AV205" s="552"/>
      <c r="AW205" s="552"/>
      <c r="AX205" s="552"/>
      <c r="AY205" s="552"/>
      <c r="AZ205" s="552"/>
      <c r="BA205" s="552"/>
      <c r="BB205" s="552"/>
      <c r="BC205" s="552"/>
      <c r="BD205" s="552"/>
      <c r="BE205" s="552"/>
      <c r="BF205" s="552"/>
      <c r="BG205" s="552"/>
      <c r="BH205" s="552"/>
      <c r="BI205" s="552"/>
      <c r="BJ205" s="552"/>
      <c r="BK205" s="552"/>
      <c r="BL205" s="552"/>
      <c r="BM205" s="552"/>
      <c r="BN205" s="953" t="s">
        <v>2231</v>
      </c>
      <c r="BO205" s="610" t="str">
        <f ca="1">IF(IFERROR(INDEX(Административные!$K$26:$L$84,MATCH($F205&amp;"16komm",Административные!$K$26:$K$84,0),2),"")=0,"",IFERROR(INDEX(Административные!$K$26:$L$84,MATCH($F205&amp;"16komm",Административные!$K$26:$K$84,0),2),""))</f>
        <v/>
      </c>
      <c r="BP205" s="215"/>
      <c r="BS205" s="705" t="s">
        <v>1997</v>
      </c>
    </row>
    <row r="206" spans="1:75" ht="21.75" customHeight="1">
      <c r="E206" s="518">
        <v>22.5</v>
      </c>
      <c r="F206" s="3" t="str" cm="1">
        <f t="array" aca="1" ref="F206" ca="1">OFFSET(E206,-1,1)</f>
        <v>1</v>
      </c>
      <c r="H206" s="290"/>
      <c r="I206" s="290" t="s">
        <v>1364</v>
      </c>
      <c r="K206" s="290" t="s">
        <v>1364</v>
      </c>
      <c r="L206" s="44" t="s">
        <v>929</v>
      </c>
      <c r="M206" s="44"/>
      <c r="Q206" s="91" t="s">
        <v>2218</v>
      </c>
      <c r="R206" s="94" t="s">
        <v>2218</v>
      </c>
      <c r="T206" s="365" t="b" cm="1">
        <f t="array" ref="T206">T205</f>
        <v>1</v>
      </c>
      <c r="X206" s="1075"/>
      <c r="Z206" s="1065"/>
      <c r="AB206" s="152" t="s">
        <v>1024</v>
      </c>
      <c r="AC206" s="153" t="s">
        <v>1998</v>
      </c>
      <c r="AD206" s="26" t="s">
        <v>804</v>
      </c>
      <c r="AE206" s="190">
        <f>AE207+AE208</f>
        <v>2203.6458847200001</v>
      </c>
      <c r="AF206" s="190">
        <f>AF207+AF208</f>
        <v>3278.1280000000002</v>
      </c>
      <c r="AG206" s="190">
        <f>AG207+AG208</f>
        <v>2203.6458847200001</v>
      </c>
      <c r="AH206" s="190">
        <f t="shared" si="48"/>
        <v>-1074.48211528</v>
      </c>
      <c r="AI206" s="952">
        <f ca="1">AI207+AI208</f>
        <v>0</v>
      </c>
      <c r="AJ206" s="455">
        <f>AJ207+AJ208</f>
        <v>3745.72</v>
      </c>
      <c r="AK206" s="552"/>
      <c r="AL206" s="552"/>
      <c r="AM206" s="552"/>
      <c r="AN206" s="552"/>
      <c r="AO206" s="552"/>
      <c r="AP206" s="552"/>
      <c r="AQ206" s="552"/>
      <c r="AR206" s="552"/>
      <c r="AS206" s="552"/>
      <c r="AT206" s="552"/>
      <c r="AU206" s="552"/>
      <c r="AV206" s="552"/>
      <c r="AW206" s="552"/>
      <c r="AX206" s="552"/>
      <c r="AY206" s="552"/>
      <c r="AZ206" s="552"/>
      <c r="BA206" s="552"/>
      <c r="BB206" s="552"/>
      <c r="BC206" s="552"/>
      <c r="BD206" s="552"/>
      <c r="BE206" s="552"/>
      <c r="BF206" s="552"/>
      <c r="BG206" s="552"/>
      <c r="BH206" s="552"/>
      <c r="BI206" s="552"/>
      <c r="BJ206" s="552"/>
      <c r="BK206" s="552"/>
      <c r="BL206" s="552"/>
      <c r="BM206" s="552"/>
      <c r="BN206" s="215"/>
      <c r="BO206" s="215"/>
      <c r="BP206" s="215"/>
      <c r="BS206" s="703" t="s">
        <v>1804</v>
      </c>
    </row>
    <row r="207" spans="1:75" ht="14.65" customHeight="1">
      <c r="E207" s="518">
        <v>15</v>
      </c>
      <c r="F207" s="3" t="str" cm="1">
        <f t="array" aca="1" ref="F207" ca="1">OFFSET(E207,-1,1)</f>
        <v>1</v>
      </c>
      <c r="G207" s="91" t="s">
        <v>1179</v>
      </c>
      <c r="H207" s="290"/>
      <c r="I207" s="290" t="s">
        <v>1999</v>
      </c>
      <c r="K207" s="290" t="s">
        <v>1999</v>
      </c>
      <c r="L207" s="44" t="s">
        <v>497</v>
      </c>
      <c r="M207" s="44"/>
      <c r="Q207" s="91" t="s">
        <v>2218</v>
      </c>
      <c r="R207" s="94" t="s">
        <v>2218</v>
      </c>
      <c r="T207" s="365" t="b" cm="1">
        <f t="array" ref="T207">T206</f>
        <v>1</v>
      </c>
      <c r="X207" s="1075"/>
      <c r="Z207" s="1065"/>
      <c r="AB207" s="152" t="s">
        <v>2000</v>
      </c>
      <c r="AC207" s="553" t="s">
        <v>1805</v>
      </c>
      <c r="AD207" s="555" t="s">
        <v>804</v>
      </c>
      <c r="AE207" s="147">
        <v>1692.50836</v>
      </c>
      <c r="AF207" s="147">
        <v>2669.63</v>
      </c>
      <c r="AG207" s="147" cm="1">
        <f t="array" ref="AG207">AE207</f>
        <v>1692.50836</v>
      </c>
      <c r="AH207" s="190">
        <f t="shared" si="48"/>
        <v>-977.12164000000007</v>
      </c>
      <c r="AI207" s="952"/>
      <c r="AJ207" s="455">
        <v>3049.68</v>
      </c>
      <c r="AK207" s="552"/>
      <c r="AL207" s="552"/>
      <c r="AM207" s="552"/>
      <c r="AN207" s="552"/>
      <c r="AO207" s="552"/>
      <c r="AP207" s="552"/>
      <c r="AQ207" s="552"/>
      <c r="AR207" s="552"/>
      <c r="AS207" s="552"/>
      <c r="AT207" s="552"/>
      <c r="AU207" s="552"/>
      <c r="AV207" s="552"/>
      <c r="AW207" s="552"/>
      <c r="AX207" s="552"/>
      <c r="AY207" s="552"/>
      <c r="AZ207" s="552"/>
      <c r="BA207" s="552"/>
      <c r="BB207" s="552"/>
      <c r="BC207" s="552"/>
      <c r="BD207" s="552"/>
      <c r="BE207" s="552"/>
      <c r="BF207" s="552"/>
      <c r="BG207" s="552"/>
      <c r="BH207" s="552"/>
      <c r="BI207" s="552"/>
      <c r="BJ207" s="552"/>
      <c r="BK207" s="552"/>
      <c r="BL207" s="552"/>
      <c r="BM207" s="552"/>
      <c r="BN207" s="953" t="s">
        <v>2222</v>
      </c>
      <c r="BO207" s="610" t="str">
        <f ca="1">IF(IFERROR(INDEX(ФОТ!$K$26:$L$102,MATCH($F207&amp;"5komm",ФОТ!$K$26:$K$102,0),2),"")=0,"",IFERROR(INDEX(ФОТ!$K$26:$L$102,MATCH($F207&amp;"5komm",ФОТ!$K$26:$K$102,0),2),""))</f>
        <v/>
      </c>
      <c r="BP207" s="215"/>
      <c r="BS207" s="703" t="s">
        <v>1196</v>
      </c>
    </row>
    <row r="208" spans="1:75" ht="23.25" customHeight="1">
      <c r="E208" s="518">
        <v>22.5</v>
      </c>
      <c r="F208" s="3" t="str" cm="1">
        <f t="array" aca="1" ref="F208" ca="1">OFFSET(E208,-1,1)</f>
        <v>1</v>
      </c>
      <c r="G208" s="91" t="s">
        <v>1184</v>
      </c>
      <c r="H208" s="290"/>
      <c r="I208" s="290" t="s">
        <v>2001</v>
      </c>
      <c r="K208" s="290" t="s">
        <v>2001</v>
      </c>
      <c r="L208" s="44" t="s">
        <v>502</v>
      </c>
      <c r="M208" s="44"/>
      <c r="Q208" s="91" t="s">
        <v>2218</v>
      </c>
      <c r="R208" s="94" t="s">
        <v>2218</v>
      </c>
      <c r="T208" s="365" t="b" cm="1">
        <f t="array" ref="T208">T207</f>
        <v>1</v>
      </c>
      <c r="X208" s="1075"/>
      <c r="Z208" s="1065"/>
      <c r="AB208" s="152" t="s">
        <v>2002</v>
      </c>
      <c r="AC208" s="553" t="s">
        <v>2003</v>
      </c>
      <c r="AD208" s="26" t="s">
        <v>804</v>
      </c>
      <c r="AE208" s="147">
        <v>511.13752471999999</v>
      </c>
      <c r="AF208" s="147">
        <v>608.49800000000005</v>
      </c>
      <c r="AG208" s="147" cm="1">
        <f t="array" ref="AG208">AE208</f>
        <v>511.13752471999999</v>
      </c>
      <c r="AH208" s="190">
        <f t="shared" si="48"/>
        <v>-97.36047528000006</v>
      </c>
      <c r="AI208" s="952">
        <f ca="1">AI207*SUMIFS(INDEX(Сценарии!$AE$25:$BF$109,,MATCH(AG$8,Сценарии!$AE$8:$BF$8,0)),Сценарии!$F$25:$F$109,$F208,Сценарии!$G$25:$G$109,"СВФОТ")/100</f>
        <v>0</v>
      </c>
      <c r="AJ208" s="455">
        <v>696.04</v>
      </c>
      <c r="AK208" s="552"/>
      <c r="AL208" s="552"/>
      <c r="AM208" s="552"/>
      <c r="AN208" s="552"/>
      <c r="AO208" s="552"/>
      <c r="AP208" s="552"/>
      <c r="AQ208" s="552"/>
      <c r="AR208" s="552"/>
      <c r="AS208" s="552"/>
      <c r="AT208" s="552"/>
      <c r="AU208" s="552"/>
      <c r="AV208" s="552"/>
      <c r="AW208" s="552"/>
      <c r="AX208" s="552"/>
      <c r="AY208" s="552"/>
      <c r="AZ208" s="552"/>
      <c r="BA208" s="552"/>
      <c r="BB208" s="552"/>
      <c r="BC208" s="552"/>
      <c r="BD208" s="552"/>
      <c r="BE208" s="552"/>
      <c r="BF208" s="552"/>
      <c r="BG208" s="552"/>
      <c r="BH208" s="552"/>
      <c r="BI208" s="552"/>
      <c r="BJ208" s="552"/>
      <c r="BK208" s="552"/>
      <c r="BL208" s="552"/>
      <c r="BM208" s="552"/>
      <c r="BN208" s="953" t="s">
        <v>2223</v>
      </c>
      <c r="BO208" s="610" t="str">
        <f ca="1">IF(IFERROR(INDEX(ФОТ!$K$26:$L$102,MATCH($F208&amp;"6komm",ФОТ!$K$26:$K$102,0),2),"")=0,"",IFERROR(INDEX(ФОТ!$K$26:$L$102,MATCH($F208&amp;"6komm",ФОТ!$K$26:$K$102,0),2),""))</f>
        <v/>
      </c>
      <c r="BP208" s="215"/>
      <c r="BS208" s="703" t="s">
        <v>1807</v>
      </c>
    </row>
    <row r="209" spans="1:75" ht="33.75" customHeight="1">
      <c r="E209" s="518">
        <v>33.75</v>
      </c>
      <c r="F209" s="3" t="str" cm="1">
        <f t="array" aca="1" ref="F209" ca="1">OFFSET(E209,-1,1)</f>
        <v>1</v>
      </c>
      <c r="G209" s="2" t="s">
        <v>1225</v>
      </c>
      <c r="H209" s="290"/>
      <c r="I209" s="290" t="s">
        <v>1367</v>
      </c>
      <c r="K209" s="290" t="s">
        <v>1367</v>
      </c>
      <c r="L209" s="44" t="s">
        <v>931</v>
      </c>
      <c r="M209" s="44"/>
      <c r="Q209" s="91" t="s">
        <v>2218</v>
      </c>
      <c r="R209" s="94" t="s">
        <v>2218</v>
      </c>
      <c r="T209" s="365" t="b" cm="1">
        <f t="array" ref="T209">T208</f>
        <v>1</v>
      </c>
      <c r="X209" s="1075"/>
      <c r="Z209" s="1065"/>
      <c r="AB209" s="152" t="s">
        <v>1368</v>
      </c>
      <c r="AC209" s="153" t="s">
        <v>2004</v>
      </c>
      <c r="AD209" s="26" t="s">
        <v>804</v>
      </c>
      <c r="AE209" s="147">
        <v>0</v>
      </c>
      <c r="AF209" s="147"/>
      <c r="AG209" s="147"/>
      <c r="AH209" s="190">
        <f t="shared" si="48"/>
        <v>0</v>
      </c>
      <c r="AI209" s="952"/>
      <c r="AJ209" s="455"/>
      <c r="AK209" s="552"/>
      <c r="AL209" s="552"/>
      <c r="AM209" s="552"/>
      <c r="AN209" s="552"/>
      <c r="AO209" s="552"/>
      <c r="AP209" s="552"/>
      <c r="AQ209" s="552"/>
      <c r="AR209" s="552"/>
      <c r="AS209" s="552"/>
      <c r="AT209" s="552"/>
      <c r="AU209" s="552"/>
      <c r="AV209" s="552"/>
      <c r="AW209" s="552"/>
      <c r="AX209" s="552"/>
      <c r="AY209" s="552"/>
      <c r="AZ209" s="552"/>
      <c r="BA209" s="552"/>
      <c r="BB209" s="552"/>
      <c r="BC209" s="552"/>
      <c r="BD209" s="552"/>
      <c r="BE209" s="552"/>
      <c r="BF209" s="552"/>
      <c r="BG209" s="552"/>
      <c r="BH209" s="552"/>
      <c r="BI209" s="552"/>
      <c r="BJ209" s="552"/>
      <c r="BK209" s="552"/>
      <c r="BL209" s="552"/>
      <c r="BM209" s="552"/>
      <c r="BN209" s="215"/>
      <c r="BO209" s="610" t="str">
        <f ca="1">IF(IFERROR(INDEX(Административные!$K$26:$L$84,MATCH($F209&amp;"2komm",Административные!$K$26:$K$84,0),2),"")=0,"",IFERROR(INDEX(Административные!$K$26:$L$84,MATCH($F209&amp;"2komm",Административные!$K$26:$K$84,0),2),""))</f>
        <v/>
      </c>
      <c r="BP209" s="215"/>
      <c r="BS209" s="703" t="s">
        <v>1227</v>
      </c>
    </row>
    <row r="210" spans="1:75" ht="14.65" customHeight="1">
      <c r="E210" s="518">
        <v>15</v>
      </c>
      <c r="F210" s="3" t="str" cm="1">
        <f t="array" aca="1" ref="F210" ca="1">OFFSET(E210,-1,1)</f>
        <v>1</v>
      </c>
      <c r="G210" s="2" t="s">
        <v>1228</v>
      </c>
      <c r="H210" s="290"/>
      <c r="I210" s="290" t="s">
        <v>1371</v>
      </c>
      <c r="K210" s="290" t="s">
        <v>1371</v>
      </c>
      <c r="L210" s="44" t="s">
        <v>933</v>
      </c>
      <c r="M210" s="44"/>
      <c r="Q210" s="91" t="s">
        <v>2218</v>
      </c>
      <c r="R210" s="94" t="s">
        <v>2218</v>
      </c>
      <c r="T210" s="365" t="b" cm="1">
        <f t="array" ref="T210">T209</f>
        <v>1</v>
      </c>
      <c r="X210" s="1075"/>
      <c r="Z210" s="1065"/>
      <c r="AB210" s="152" t="s">
        <v>1372</v>
      </c>
      <c r="AC210" s="153" t="s">
        <v>2005</v>
      </c>
      <c r="AD210" s="26" t="s">
        <v>804</v>
      </c>
      <c r="AE210" s="147">
        <v>0</v>
      </c>
      <c r="AF210" s="147"/>
      <c r="AG210" s="147"/>
      <c r="AH210" s="190">
        <f t="shared" si="48"/>
        <v>0</v>
      </c>
      <c r="AI210" s="952"/>
      <c r="AJ210" s="455"/>
      <c r="AK210" s="552"/>
      <c r="AL210" s="552"/>
      <c r="AM210" s="552"/>
      <c r="AN210" s="552"/>
      <c r="AO210" s="552"/>
      <c r="AP210" s="552"/>
      <c r="AQ210" s="552"/>
      <c r="AR210" s="552"/>
      <c r="AS210" s="552"/>
      <c r="AT210" s="552"/>
      <c r="AU210" s="552"/>
      <c r="AV210" s="552"/>
      <c r="AW210" s="552"/>
      <c r="AX210" s="552"/>
      <c r="AY210" s="552"/>
      <c r="AZ210" s="552"/>
      <c r="BA210" s="552"/>
      <c r="BB210" s="552"/>
      <c r="BC210" s="552"/>
      <c r="BD210" s="552"/>
      <c r="BE210" s="552"/>
      <c r="BF210" s="552"/>
      <c r="BG210" s="552"/>
      <c r="BH210" s="552"/>
      <c r="BI210" s="552"/>
      <c r="BJ210" s="552"/>
      <c r="BK210" s="552"/>
      <c r="BL210" s="552"/>
      <c r="BM210" s="552"/>
      <c r="BN210" s="215"/>
      <c r="BO210" s="610" t="str">
        <f ca="1">IF(IFERROR(INDEX(Административные!$K$26:$L$84,MATCH($F210&amp;"3komm",Административные!$K$26:$K$84,0),2),"")=0,"",IFERROR(INDEX(Административные!$K$26:$L$84,MATCH($F210&amp;"3komm",Административные!$K$26:$K$84,0),2),""))</f>
        <v/>
      </c>
      <c r="BP210" s="215"/>
      <c r="BS210" s="703" t="s">
        <v>1230</v>
      </c>
    </row>
    <row r="211" spans="1:75" ht="14.65" customHeight="1">
      <c r="E211" s="518">
        <v>15</v>
      </c>
      <c r="F211" s="3" t="str" cm="1">
        <f t="array" aca="1" ref="F211" ca="1">OFFSET(E211,-1,1)</f>
        <v>1</v>
      </c>
      <c r="G211" s="2" t="s">
        <v>1231</v>
      </c>
      <c r="H211" s="290"/>
      <c r="I211" s="290" t="s">
        <v>2006</v>
      </c>
      <c r="K211" s="290" t="s">
        <v>2006</v>
      </c>
      <c r="L211" s="44" t="s">
        <v>936</v>
      </c>
      <c r="M211" s="44"/>
      <c r="Q211" s="91" t="s">
        <v>2218</v>
      </c>
      <c r="R211" s="94" t="s">
        <v>2218</v>
      </c>
      <c r="T211" s="365" t="b" cm="1">
        <f t="array" ref="T211">T210</f>
        <v>1</v>
      </c>
      <c r="X211" s="1075"/>
      <c r="Z211" s="1065"/>
      <c r="AB211" s="152" t="s">
        <v>2007</v>
      </c>
      <c r="AC211" s="153" t="s">
        <v>2008</v>
      </c>
      <c r="AD211" s="26" t="s">
        <v>804</v>
      </c>
      <c r="AE211" s="147">
        <v>9.1720000000000006</v>
      </c>
      <c r="AF211" s="147"/>
      <c r="AG211" s="147" cm="1">
        <f t="array" ref="AG211">AE211</f>
        <v>9.1720000000000006</v>
      </c>
      <c r="AH211" s="190">
        <f t="shared" si="48"/>
        <v>9.1720000000000006</v>
      </c>
      <c r="AI211" s="952"/>
      <c r="AJ211" s="455"/>
      <c r="AK211" s="552"/>
      <c r="AL211" s="552"/>
      <c r="AM211" s="552"/>
      <c r="AN211" s="552"/>
      <c r="AO211" s="552"/>
      <c r="AP211" s="552"/>
      <c r="AQ211" s="552"/>
      <c r="AR211" s="552"/>
      <c r="AS211" s="552"/>
      <c r="AT211" s="552"/>
      <c r="AU211" s="552"/>
      <c r="AV211" s="552"/>
      <c r="AW211" s="552"/>
      <c r="AX211" s="552"/>
      <c r="AY211" s="552"/>
      <c r="AZ211" s="552"/>
      <c r="BA211" s="552"/>
      <c r="BB211" s="552"/>
      <c r="BC211" s="552"/>
      <c r="BD211" s="552"/>
      <c r="BE211" s="552"/>
      <c r="BF211" s="552"/>
      <c r="BG211" s="552"/>
      <c r="BH211" s="552"/>
      <c r="BI211" s="552"/>
      <c r="BJ211" s="552"/>
      <c r="BK211" s="552"/>
      <c r="BL211" s="552"/>
      <c r="BM211" s="552"/>
      <c r="BN211" s="215"/>
      <c r="BO211" s="610" t="str">
        <f ca="1">IF(IFERROR(INDEX(Административные!$K$26:$L$84,MATCH($F211&amp;"4komm",Административные!$K$26:$K$84,0),2),"")=0,"",IFERROR(INDEX(Административные!$K$26:$L$84,MATCH($F211&amp;"4komm",Административные!$K$26:$K$84,0),2),""))</f>
        <v/>
      </c>
      <c r="BP211" s="215"/>
      <c r="BS211" s="703" t="s">
        <v>1233</v>
      </c>
    </row>
    <row r="212" spans="1:75" ht="14.65" customHeight="1">
      <c r="E212" s="518">
        <v>15</v>
      </c>
      <c r="F212" s="3" t="str" cm="1">
        <f t="array" aca="1" ref="F212" ca="1">OFFSET(E212,-1,1)</f>
        <v>1</v>
      </c>
      <c r="G212" s="2" t="s">
        <v>1234</v>
      </c>
      <c r="H212" s="290"/>
      <c r="I212" s="290" t="s">
        <v>2009</v>
      </c>
      <c r="K212" s="290" t="s">
        <v>2009</v>
      </c>
      <c r="L212" s="44" t="s">
        <v>1216</v>
      </c>
      <c r="M212" s="44"/>
      <c r="Q212" s="91" t="s">
        <v>2218</v>
      </c>
      <c r="R212" s="94" t="s">
        <v>2218</v>
      </c>
      <c r="T212" s="365" t="b" cm="1">
        <f t="array" ref="T212">T211</f>
        <v>1</v>
      </c>
      <c r="X212" s="1075"/>
      <c r="Z212" s="1065"/>
      <c r="AB212" s="152" t="s">
        <v>2010</v>
      </c>
      <c r="AC212" s="153" t="s">
        <v>2011</v>
      </c>
      <c r="AD212" s="26" t="s">
        <v>804</v>
      </c>
      <c r="AE212" s="147">
        <v>0</v>
      </c>
      <c r="AF212" s="147"/>
      <c r="AG212" s="147"/>
      <c r="AH212" s="190">
        <f t="shared" si="48"/>
        <v>0</v>
      </c>
      <c r="AI212" s="952"/>
      <c r="AJ212" s="455"/>
      <c r="AK212" s="552"/>
      <c r="AL212" s="552"/>
      <c r="AM212" s="552"/>
      <c r="AN212" s="552"/>
      <c r="AO212" s="552"/>
      <c r="AP212" s="552"/>
      <c r="AQ212" s="552"/>
      <c r="AR212" s="552"/>
      <c r="AS212" s="552"/>
      <c r="AT212" s="552"/>
      <c r="AU212" s="552"/>
      <c r="AV212" s="552"/>
      <c r="AW212" s="552"/>
      <c r="AX212" s="552"/>
      <c r="AY212" s="552"/>
      <c r="AZ212" s="552"/>
      <c r="BA212" s="552"/>
      <c r="BB212" s="552"/>
      <c r="BC212" s="552"/>
      <c r="BD212" s="552"/>
      <c r="BE212" s="552"/>
      <c r="BF212" s="552"/>
      <c r="BG212" s="552"/>
      <c r="BH212" s="552"/>
      <c r="BI212" s="552"/>
      <c r="BJ212" s="552"/>
      <c r="BK212" s="552"/>
      <c r="BL212" s="552"/>
      <c r="BM212" s="552"/>
      <c r="BN212" s="215"/>
      <c r="BO212" s="610" t="str">
        <f ca="1">IF(IFERROR(INDEX(Административные!$K$26:$L$84,MATCH($F212&amp;"5komm",Административные!$K$26:$K$84,0),2),"")=0,"",IFERROR(INDEX(Административные!$K$26:$L$84,MATCH($F212&amp;"5komm",Административные!$K$26:$K$84,0),2),""))</f>
        <v/>
      </c>
      <c r="BP212" s="215"/>
      <c r="BS212" s="703" t="s">
        <v>1809</v>
      </c>
    </row>
    <row r="213" spans="1:75" ht="0" hidden="1" customHeight="1">
      <c r="E213" s="518">
        <v>15</v>
      </c>
      <c r="F213" s="3" t="str" cm="1">
        <f t="array" aca="1" ref="F213" ca="1">OFFSET(E213,-1,1)</f>
        <v>1</v>
      </c>
      <c r="G213" s="2" t="s">
        <v>1237</v>
      </c>
      <c r="H213" s="290"/>
      <c r="I213" s="290" t="s">
        <v>2012</v>
      </c>
      <c r="K213" s="290" t="s">
        <v>2012</v>
      </c>
      <c r="L213" s="44" t="s">
        <v>1221</v>
      </c>
      <c r="M213" s="44"/>
      <c r="Q213" s="91" t="s">
        <v>2218</v>
      </c>
      <c r="R213" s="94" t="s">
        <v>2218</v>
      </c>
      <c r="T213" s="365" t="b" cm="1">
        <f t="array" ref="T213">T212</f>
        <v>1</v>
      </c>
      <c r="X213" s="1075"/>
      <c r="Z213" s="1065"/>
      <c r="AB213" s="152" t="s">
        <v>2013</v>
      </c>
      <c r="AC213" s="153" t="s">
        <v>2014</v>
      </c>
      <c r="AD213" s="26" t="s">
        <v>804</v>
      </c>
      <c r="AE213" s="190">
        <f>SUM(AE214:AE216)</f>
        <v>0</v>
      </c>
      <c r="AF213" s="190">
        <f>SUM(AF214:AF216)</f>
        <v>0</v>
      </c>
      <c r="AG213" s="190">
        <f>SUM(AG214:AG216)</f>
        <v>0</v>
      </c>
      <c r="AH213" s="190">
        <f t="shared" si="48"/>
        <v>0</v>
      </c>
      <c r="AI213" s="952">
        <f>SUM(AI214:AI216)</f>
        <v>0</v>
      </c>
      <c r="AJ213" s="455"/>
      <c r="AK213" s="552"/>
      <c r="AL213" s="552"/>
      <c r="AM213" s="552"/>
      <c r="AN213" s="552"/>
      <c r="AO213" s="552"/>
      <c r="AP213" s="552"/>
      <c r="AQ213" s="552"/>
      <c r="AR213" s="552"/>
      <c r="AS213" s="552"/>
      <c r="AT213" s="552"/>
      <c r="AU213" s="552"/>
      <c r="AV213" s="552"/>
      <c r="AW213" s="552"/>
      <c r="AX213" s="552"/>
      <c r="AY213" s="552"/>
      <c r="AZ213" s="552"/>
      <c r="BA213" s="552"/>
      <c r="BB213" s="552"/>
      <c r="BC213" s="552"/>
      <c r="BD213" s="552"/>
      <c r="BE213" s="552"/>
      <c r="BF213" s="552"/>
      <c r="BG213" s="552"/>
      <c r="BH213" s="552"/>
      <c r="BI213" s="552"/>
      <c r="BJ213" s="552"/>
      <c r="BK213" s="552"/>
      <c r="BL213" s="552"/>
      <c r="BM213" s="552"/>
      <c r="BN213" s="215"/>
      <c r="BO213" s="610" t="str">
        <f ca="1">IF(IFERROR(INDEX(Административные!$K$26:$L$84,MATCH($F213&amp;"6komm",Административные!$K$26:$K$84,0),2),"")=0,"",IFERROR(INDEX(Административные!$K$26:$L$84,MATCH($F213&amp;"6komm",Административные!$K$26:$K$84,0),2),""))</f>
        <v/>
      </c>
      <c r="BP213" s="215"/>
      <c r="BS213" s="703" t="s">
        <v>1811</v>
      </c>
    </row>
    <row r="214" spans="1:75" ht="0" hidden="1" customHeight="1">
      <c r="E214" s="518">
        <v>15</v>
      </c>
      <c r="F214" s="3" t="str" cm="1">
        <f t="array" aca="1" ref="F214" ca="1">OFFSET(E214,-1,1)</f>
        <v>1</v>
      </c>
      <c r="G214" s="2" t="s">
        <v>1239</v>
      </c>
      <c r="H214" s="290"/>
      <c r="I214" s="290" t="s">
        <v>2015</v>
      </c>
      <c r="K214" s="290" t="s">
        <v>2015</v>
      </c>
      <c r="L214" s="44" t="s">
        <v>1812</v>
      </c>
      <c r="M214" s="44"/>
      <c r="Q214" s="91" t="s">
        <v>2218</v>
      </c>
      <c r="R214" s="94" t="s">
        <v>2218</v>
      </c>
      <c r="T214" s="365" t="b" cm="1">
        <f t="array" ref="T214">T213</f>
        <v>1</v>
      </c>
      <c r="X214" s="1075"/>
      <c r="Z214" s="1065"/>
      <c r="AB214" s="152" t="s">
        <v>2016</v>
      </c>
      <c r="AC214" s="553" t="s">
        <v>1814</v>
      </c>
      <c r="AD214" s="26" t="s">
        <v>804</v>
      </c>
      <c r="AE214" s="147">
        <v>0</v>
      </c>
      <c r="AF214" s="147"/>
      <c r="AG214" s="147"/>
      <c r="AH214" s="190">
        <f t="shared" si="48"/>
        <v>0</v>
      </c>
      <c r="AI214" s="952"/>
      <c r="AJ214" s="455"/>
      <c r="AK214" s="552"/>
      <c r="AL214" s="552"/>
      <c r="AM214" s="552"/>
      <c r="AN214" s="552"/>
      <c r="AO214" s="552"/>
      <c r="AP214" s="552"/>
      <c r="AQ214" s="552"/>
      <c r="AR214" s="552"/>
      <c r="AS214" s="552"/>
      <c r="AT214" s="552"/>
      <c r="AU214" s="552"/>
      <c r="AV214" s="552"/>
      <c r="AW214" s="552"/>
      <c r="AX214" s="552"/>
      <c r="AY214" s="552"/>
      <c r="AZ214" s="552"/>
      <c r="BA214" s="552"/>
      <c r="BB214" s="552"/>
      <c r="BC214" s="552"/>
      <c r="BD214" s="552"/>
      <c r="BE214" s="552"/>
      <c r="BF214" s="552"/>
      <c r="BG214" s="552"/>
      <c r="BH214" s="552"/>
      <c r="BI214" s="552"/>
      <c r="BJ214" s="552"/>
      <c r="BK214" s="552"/>
      <c r="BL214" s="552"/>
      <c r="BM214" s="552"/>
      <c r="BN214" s="215"/>
      <c r="BO214" s="610" t="str">
        <f ca="1">IF(IFERROR(INDEX(Административные!$K$26:$L$84,MATCH($F214&amp;"7komm",Административные!$K$26:$K$84,0),2),"")=0,"",IFERROR(INDEX(Административные!$K$26:$L$84,MATCH($F214&amp;"7komm",Административные!$K$26:$K$84,0),2),""))</f>
        <v/>
      </c>
      <c r="BP214" s="215"/>
      <c r="BS214" s="703" t="s">
        <v>1815</v>
      </c>
    </row>
    <row r="215" spans="1:75" ht="0" hidden="1" customHeight="1">
      <c r="E215" s="518">
        <v>15</v>
      </c>
      <c r="F215" s="3" t="str" cm="1">
        <f t="array" aca="1" ref="F215" ca="1">OFFSET(E215,-1,1)</f>
        <v>1</v>
      </c>
      <c r="G215" s="2" t="s">
        <v>1242</v>
      </c>
      <c r="H215" s="290"/>
      <c r="I215" s="290" t="s">
        <v>2017</v>
      </c>
      <c r="K215" s="290" t="s">
        <v>2017</v>
      </c>
      <c r="L215" s="44" t="s">
        <v>1816</v>
      </c>
      <c r="M215" s="44"/>
      <c r="Q215" s="91" t="s">
        <v>2218</v>
      </c>
      <c r="R215" s="94" t="s">
        <v>2218</v>
      </c>
      <c r="T215" s="365" t="b" cm="1">
        <f t="array" ref="T215">T214</f>
        <v>1</v>
      </c>
      <c r="X215" s="1075"/>
      <c r="Z215" s="1065"/>
      <c r="AB215" s="152" t="s">
        <v>2018</v>
      </c>
      <c r="AC215" s="553" t="s">
        <v>1243</v>
      </c>
      <c r="AD215" s="26" t="s">
        <v>804</v>
      </c>
      <c r="AE215" s="147">
        <v>0</v>
      </c>
      <c r="AF215" s="147"/>
      <c r="AG215" s="147"/>
      <c r="AH215" s="190">
        <f t="shared" si="48"/>
        <v>0</v>
      </c>
      <c r="AI215" s="952"/>
      <c r="AJ215" s="455"/>
      <c r="AK215" s="552"/>
      <c r="AL215" s="552"/>
      <c r="AM215" s="552"/>
      <c r="AN215" s="552"/>
      <c r="AO215" s="552"/>
      <c r="AP215" s="552"/>
      <c r="AQ215" s="552"/>
      <c r="AR215" s="552"/>
      <c r="AS215" s="552"/>
      <c r="AT215" s="552"/>
      <c r="AU215" s="552"/>
      <c r="AV215" s="552"/>
      <c r="AW215" s="552"/>
      <c r="AX215" s="552"/>
      <c r="AY215" s="552"/>
      <c r="AZ215" s="552"/>
      <c r="BA215" s="552"/>
      <c r="BB215" s="552"/>
      <c r="BC215" s="552"/>
      <c r="BD215" s="552"/>
      <c r="BE215" s="552"/>
      <c r="BF215" s="552"/>
      <c r="BG215" s="552"/>
      <c r="BH215" s="552"/>
      <c r="BI215" s="552"/>
      <c r="BJ215" s="552"/>
      <c r="BK215" s="552"/>
      <c r="BL215" s="552"/>
      <c r="BM215" s="552"/>
      <c r="BN215" s="215"/>
      <c r="BO215" s="610" t="str">
        <f ca="1">IF(IFERROR(INDEX(Административные!$K$26:$L$84,MATCH($F215&amp;"8komm",Административные!$K$26:$K$84,0),2),"")=0,"",IFERROR(INDEX(Административные!$K$26:$L$84,MATCH($F215&amp;"8komm",Административные!$K$26:$K$84,0),2),""))</f>
        <v/>
      </c>
      <c r="BP215" s="215"/>
      <c r="BS215" s="703" t="s">
        <v>1818</v>
      </c>
    </row>
    <row r="216" spans="1:75" ht="0" hidden="1" customHeight="1">
      <c r="E216" s="518">
        <v>15</v>
      </c>
      <c r="F216" s="3" t="str" cm="1">
        <f t="array" aca="1" ref="F216" ca="1">OFFSET(E216,-1,1)</f>
        <v>1</v>
      </c>
      <c r="G216" s="91" t="s">
        <v>1245</v>
      </c>
      <c r="H216" s="290"/>
      <c r="I216" s="290" t="s">
        <v>2019</v>
      </c>
      <c r="K216" s="290" t="s">
        <v>2019</v>
      </c>
      <c r="L216" s="44" t="s">
        <v>1819</v>
      </c>
      <c r="M216" s="44"/>
      <c r="Q216" s="91" t="s">
        <v>2218</v>
      </c>
      <c r="R216" s="94" t="s">
        <v>2218</v>
      </c>
      <c r="T216" s="365" t="b" cm="1">
        <f t="array" ref="T216">T215</f>
        <v>1</v>
      </c>
      <c r="X216" s="1075"/>
      <c r="Z216" s="1065"/>
      <c r="AB216" s="152" t="s">
        <v>2020</v>
      </c>
      <c r="AC216" s="553" t="s">
        <v>1246</v>
      </c>
      <c r="AD216" s="26" t="s">
        <v>804</v>
      </c>
      <c r="AE216" s="147">
        <v>0</v>
      </c>
      <c r="AF216" s="147"/>
      <c r="AG216" s="147"/>
      <c r="AH216" s="190">
        <f t="shared" si="48"/>
        <v>0</v>
      </c>
      <c r="AI216" s="952"/>
      <c r="AJ216" s="455"/>
      <c r="AK216" s="552"/>
      <c r="AL216" s="552"/>
      <c r="AM216" s="552"/>
      <c r="AN216" s="552"/>
      <c r="AO216" s="552"/>
      <c r="AP216" s="552"/>
      <c r="AQ216" s="552"/>
      <c r="AR216" s="552"/>
      <c r="AS216" s="552"/>
      <c r="AT216" s="552"/>
      <c r="AU216" s="552"/>
      <c r="AV216" s="552"/>
      <c r="AW216" s="552"/>
      <c r="AX216" s="552"/>
      <c r="AY216" s="552"/>
      <c r="AZ216" s="552"/>
      <c r="BA216" s="552"/>
      <c r="BB216" s="552"/>
      <c r="BC216" s="552"/>
      <c r="BD216" s="552"/>
      <c r="BE216" s="552"/>
      <c r="BF216" s="552"/>
      <c r="BG216" s="552"/>
      <c r="BH216" s="552"/>
      <c r="BI216" s="552"/>
      <c r="BJ216" s="552"/>
      <c r="BK216" s="552"/>
      <c r="BL216" s="552"/>
      <c r="BM216" s="552"/>
      <c r="BN216" s="215"/>
      <c r="BO216" s="610" t="str">
        <f ca="1">IF(IFERROR(INDEX(Административные!$K$26:$L$84,MATCH($F216&amp;"9komm",Административные!$K$26:$K$84,0),2),"")=0,"",IFERROR(INDEX(Административные!$K$26:$L$84,MATCH($F216&amp;"9komm",Административные!$K$26:$K$84,0),2),""))</f>
        <v/>
      </c>
      <c r="BP216" s="215"/>
      <c r="BS216" s="703" t="s">
        <v>1821</v>
      </c>
    </row>
    <row r="217" spans="1:75" ht="0" hidden="1" customHeight="1">
      <c r="B217" s="341" t="b">
        <f>STATUS_GO="да"</f>
        <v>0</v>
      </c>
      <c r="E217" s="518">
        <v>22.5</v>
      </c>
      <c r="F217" s="3" t="str" cm="1">
        <f t="array" aca="1" ref="F217" ca="1">OFFSET(E217,-1,1)</f>
        <v>1</v>
      </c>
      <c r="H217" s="290"/>
      <c r="I217" s="290" t="s">
        <v>909</v>
      </c>
      <c r="K217" s="290" t="s">
        <v>909</v>
      </c>
      <c r="L217" s="44" t="s">
        <v>331</v>
      </c>
      <c r="M217" s="44"/>
      <c r="Q217" s="91" t="s">
        <v>2218</v>
      </c>
      <c r="R217" s="94" t="s">
        <v>2218</v>
      </c>
      <c r="T217" s="365" t="b" cm="1">
        <f t="array" ref="T217">T216</f>
        <v>1</v>
      </c>
      <c r="X217" s="1075"/>
      <c r="Z217" s="1065"/>
      <c r="AB217" s="152" t="s">
        <v>910</v>
      </c>
      <c r="AC217" s="146" t="s">
        <v>2021</v>
      </c>
      <c r="AD217" s="26" t="s">
        <v>804</v>
      </c>
      <c r="AE217" s="787">
        <v>0</v>
      </c>
      <c r="AF217" s="787"/>
      <c r="AG217" s="787"/>
      <c r="AH217" s="190">
        <f t="shared" si="48"/>
        <v>0</v>
      </c>
      <c r="AI217" s="952"/>
      <c r="AJ217" s="785"/>
      <c r="AK217" s="552"/>
      <c r="AL217" s="552"/>
      <c r="AM217" s="552"/>
      <c r="AN217" s="552"/>
      <c r="AO217" s="552"/>
      <c r="AP217" s="552"/>
      <c r="AQ217" s="552"/>
      <c r="AR217" s="552"/>
      <c r="AS217" s="552"/>
      <c r="AT217" s="552"/>
      <c r="AU217" s="552"/>
      <c r="AV217" s="552"/>
      <c r="AW217" s="552"/>
      <c r="AX217" s="552"/>
      <c r="AY217" s="552"/>
      <c r="AZ217" s="552"/>
      <c r="BA217" s="552"/>
      <c r="BB217" s="552"/>
      <c r="BC217" s="552"/>
      <c r="BD217" s="552"/>
      <c r="BE217" s="552"/>
      <c r="BF217" s="552"/>
      <c r="BG217" s="552"/>
      <c r="BH217" s="552"/>
      <c r="BI217" s="552"/>
      <c r="BJ217" s="552"/>
      <c r="BK217" s="552"/>
      <c r="BL217" s="552"/>
      <c r="BM217" s="552"/>
      <c r="BN217" s="784"/>
      <c r="BO217" s="784"/>
      <c r="BP217" s="784"/>
      <c r="BS217" s="704" t="s">
        <v>1823</v>
      </c>
    </row>
    <row r="218" spans="1:75" ht="0" hidden="1" customHeight="1">
      <c r="E218" s="518">
        <v>15</v>
      </c>
      <c r="F218" s="3" t="str" cm="1">
        <f t="array" aca="1" ref="F218" ca="1">OFFSET(E218,-1,1)</f>
        <v>1</v>
      </c>
      <c r="H218" s="290"/>
      <c r="I218" s="290" t="s">
        <v>1762</v>
      </c>
      <c r="K218" s="290" t="s">
        <v>1762</v>
      </c>
      <c r="L218" s="44"/>
      <c r="M218" s="44"/>
      <c r="Q218" s="91" t="s">
        <v>2218</v>
      </c>
      <c r="R218" s="94" t="s">
        <v>2218</v>
      </c>
      <c r="T218" s="365" t="b" cm="1">
        <f t="array" ref="T218">T217</f>
        <v>1</v>
      </c>
      <c r="X218" s="1075"/>
      <c r="Z218" s="1065"/>
      <c r="AB218" s="152" t="s">
        <v>1763</v>
      </c>
      <c r="AC218" s="146" t="s">
        <v>2022</v>
      </c>
      <c r="AD218" s="26" t="s">
        <v>804</v>
      </c>
      <c r="AE218" s="147"/>
      <c r="AF218" s="147"/>
      <c r="AG218" s="147"/>
      <c r="AH218" s="190">
        <f t="shared" si="48"/>
        <v>0</v>
      </c>
      <c r="AI218" s="952"/>
      <c r="AJ218" s="455"/>
      <c r="AK218" s="552"/>
      <c r="AL218" s="552"/>
      <c r="AM218" s="552"/>
      <c r="AN218" s="552"/>
      <c r="AO218" s="552"/>
      <c r="AP218" s="552"/>
      <c r="AQ218" s="552"/>
      <c r="AR218" s="552"/>
      <c r="AS218" s="552"/>
      <c r="AT218" s="552"/>
      <c r="AU218" s="552"/>
      <c r="AV218" s="552"/>
      <c r="AW218" s="552"/>
      <c r="AX218" s="552"/>
      <c r="AY218" s="552"/>
      <c r="AZ218" s="552"/>
      <c r="BA218" s="552"/>
      <c r="BB218" s="552"/>
      <c r="BC218" s="552"/>
      <c r="BD218" s="552"/>
      <c r="BE218" s="552"/>
      <c r="BF218" s="552"/>
      <c r="BG218" s="552"/>
      <c r="BH218" s="552"/>
      <c r="BI218" s="552"/>
      <c r="BJ218" s="552"/>
      <c r="BK218" s="552"/>
      <c r="BL218" s="552"/>
      <c r="BM218" s="552"/>
      <c r="BN218" s="215"/>
      <c r="BO218" s="215"/>
      <c r="BP218" s="215"/>
      <c r="BS218" s="705" t="s">
        <v>2023</v>
      </c>
    </row>
    <row r="219" spans="1:75" s="950" customFormat="1" ht="0" hidden="1" customHeight="1">
      <c r="A219" s="95"/>
      <c r="B219" s="344"/>
      <c r="C219" s="95"/>
      <c r="D219" s="95"/>
      <c r="E219" s="522">
        <v>21</v>
      </c>
      <c r="F219" s="3" t="str" cm="1">
        <f t="array" aca="1" ref="F219" ca="1">OFFSET(E219,-1,1)</f>
        <v>1</v>
      </c>
      <c r="G219" s="95"/>
      <c r="H219" s="290"/>
      <c r="I219" s="290" t="s">
        <v>1766</v>
      </c>
      <c r="J219" s="95"/>
      <c r="K219" s="290" t="s">
        <v>1766</v>
      </c>
      <c r="L219" s="46"/>
      <c r="M219" s="46"/>
      <c r="N219" s="95"/>
      <c r="O219" s="95"/>
      <c r="P219" s="95"/>
      <c r="Q219" s="91" t="s">
        <v>2218</v>
      </c>
      <c r="R219" s="94" t="s">
        <v>2218</v>
      </c>
      <c r="S219" s="95"/>
      <c r="T219" s="365" t="b" cm="1">
        <f t="array" ref="T219">T218</f>
        <v>1</v>
      </c>
      <c r="U219" s="95"/>
      <c r="V219" s="95"/>
      <c r="W219" s="95"/>
      <c r="X219" s="1075"/>
      <c r="Y219" s="95"/>
      <c r="Z219" s="1065"/>
      <c r="AA219" s="95"/>
      <c r="AB219" s="150" t="s">
        <v>1767</v>
      </c>
      <c r="AC219" s="276" t="s">
        <v>2024</v>
      </c>
      <c r="AD219" s="143" t="s">
        <v>804</v>
      </c>
      <c r="AE219" s="145">
        <f>SUM(AE220:AE221)</f>
        <v>0</v>
      </c>
      <c r="AF219" s="145">
        <f>SUM(AF220:AF221)</f>
        <v>0</v>
      </c>
      <c r="AG219" s="145">
        <f>SUM(AG220:AG221)</f>
        <v>0</v>
      </c>
      <c r="AH219" s="145">
        <f t="shared" si="48"/>
        <v>0</v>
      </c>
      <c r="AI219" s="951">
        <f>SUM(AI220:AI221)</f>
        <v>0</v>
      </c>
      <c r="AJ219" s="455"/>
      <c r="AK219" s="148"/>
      <c r="AL219" s="148"/>
      <c r="AM219" s="148"/>
      <c r="AN219" s="148"/>
      <c r="AO219" s="148"/>
      <c r="AP219" s="148"/>
      <c r="AQ219" s="148"/>
      <c r="AR219" s="148"/>
      <c r="AS219" s="148"/>
      <c r="AT219" s="552"/>
      <c r="AU219" s="552"/>
      <c r="AV219" s="148"/>
      <c r="AW219" s="148"/>
      <c r="AX219" s="148"/>
      <c r="AY219" s="148"/>
      <c r="AZ219" s="148"/>
      <c r="BA219" s="148"/>
      <c r="BB219" s="148"/>
      <c r="BC219" s="148"/>
      <c r="BD219" s="148"/>
      <c r="BE219" s="148"/>
      <c r="BF219" s="148"/>
      <c r="BG219" s="148"/>
      <c r="BH219" s="148"/>
      <c r="BI219" s="148"/>
      <c r="BJ219" s="148"/>
      <c r="BK219" s="148"/>
      <c r="BL219" s="148"/>
      <c r="BM219" s="148"/>
      <c r="BN219" s="566"/>
      <c r="BO219" s="566"/>
      <c r="BP219" s="566"/>
      <c r="BQ219" s="95"/>
      <c r="BR219" s="95"/>
      <c r="BS219" s="711" t="s">
        <v>2025</v>
      </c>
      <c r="BT219" s="711"/>
      <c r="BU219" s="711"/>
      <c r="BV219" s="522"/>
      <c r="BW219" s="522"/>
    </row>
    <row r="220" spans="1:75" ht="0" hidden="1" customHeight="1">
      <c r="E220" s="518">
        <v>15</v>
      </c>
      <c r="F220" s="3" t="str" cm="1">
        <f t="array" aca="1" ref="F220" ca="1">OFFSET(E220,-1,1)</f>
        <v>1</v>
      </c>
      <c r="I220" s="290" t="s">
        <v>1766</v>
      </c>
      <c r="J220" s="91" cm="1">
        <f t="array" ref="J220">AC220</f>
        <v>0</v>
      </c>
      <c r="K220" s="290" t="s">
        <v>1766</v>
      </c>
      <c r="L220" s="44"/>
      <c r="M220" s="44"/>
      <c r="Q220" s="91" t="s">
        <v>2218</v>
      </c>
      <c r="R220" s="94" t="s">
        <v>2218</v>
      </c>
      <c r="T220" s="365" t="b">
        <f ca="1">AND(F220&gt;0,Y220&gt;0)</f>
        <v>0</v>
      </c>
      <c r="W220" s="91" t="s">
        <v>173</v>
      </c>
      <c r="X220" s="1075"/>
      <c r="Y220" s="91">
        <v>0</v>
      </c>
      <c r="Z220" s="1065"/>
      <c r="AA220" s="332" t="s">
        <v>174</v>
      </c>
      <c r="AB220" s="26" t="str">
        <f>"1.7."&amp;Y220</f>
        <v>1.7.0</v>
      </c>
      <c r="AC220" s="789"/>
      <c r="AD220" s="26" t="s">
        <v>804</v>
      </c>
      <c r="AE220" s="787"/>
      <c r="AF220" s="787"/>
      <c r="AG220" s="787"/>
      <c r="AH220" s="190">
        <f t="shared" si="48"/>
        <v>0</v>
      </c>
      <c r="AI220" s="952"/>
      <c r="AJ220" s="787"/>
      <c r="AK220" s="552"/>
      <c r="AL220" s="552"/>
      <c r="AM220" s="552"/>
      <c r="AN220" s="552"/>
      <c r="AO220" s="552"/>
      <c r="AP220" s="552"/>
      <c r="AQ220" s="552"/>
      <c r="AR220" s="552"/>
      <c r="AS220" s="552"/>
      <c r="AT220" s="552"/>
      <c r="AU220" s="552"/>
      <c r="AV220" s="552"/>
      <c r="AW220" s="552"/>
      <c r="AX220" s="552"/>
      <c r="AY220" s="552"/>
      <c r="AZ220" s="552"/>
      <c r="BA220" s="552"/>
      <c r="BB220" s="552"/>
      <c r="BC220" s="552"/>
      <c r="BD220" s="148"/>
      <c r="BE220" s="552"/>
      <c r="BF220" s="552"/>
      <c r="BG220" s="552"/>
      <c r="BH220" s="552"/>
      <c r="BI220" s="552"/>
      <c r="BJ220" s="552"/>
      <c r="BK220" s="552"/>
      <c r="BL220" s="552"/>
      <c r="BM220" s="552"/>
      <c r="BN220" s="784"/>
      <c r="BO220" s="784"/>
      <c r="BP220" s="784"/>
      <c r="BS220" s="705" t="s">
        <v>2025</v>
      </c>
      <c r="BT220" s="705" t="s">
        <v>2026</v>
      </c>
      <c r="BU220" s="705" cm="1">
        <f t="array" ref="BU220">AC220</f>
        <v>0</v>
      </c>
      <c r="BW220" s="518" t="b">
        <v>1</v>
      </c>
    </row>
    <row r="221" spans="1:75" ht="0" hidden="1" customHeight="1">
      <c r="E221" s="518">
        <v>15</v>
      </c>
      <c r="F221" s="3" t="str" cm="1">
        <f t="array" aca="1" ref="F221" ca="1">OFFSET(E221,-1,1)</f>
        <v>1</v>
      </c>
      <c r="G221" s="279"/>
      <c r="J221" s="91" t="s">
        <v>2027</v>
      </c>
      <c r="L221" s="44"/>
      <c r="M221" s="44"/>
      <c r="T221" s="365" t="b">
        <f ca="1">F221&gt;0</f>
        <v>1</v>
      </c>
      <c r="W221" s="517" t="s">
        <v>2219</v>
      </c>
      <c r="X221" s="1075"/>
      <c r="Z221" s="1065"/>
      <c r="AB221" s="556"/>
      <c r="AC221" s="191" t="s">
        <v>177</v>
      </c>
      <c r="AD221" s="557"/>
      <c r="AE221" s="557"/>
      <c r="AF221" s="557"/>
      <c r="AG221" s="557"/>
      <c r="AH221" s="557"/>
      <c r="AI221" s="557"/>
      <c r="AJ221" s="557"/>
      <c r="AK221" s="557"/>
      <c r="AL221" s="557"/>
      <c r="AM221" s="557"/>
      <c r="AN221" s="557"/>
      <c r="AO221" s="557"/>
      <c r="AP221" s="557"/>
      <c r="AQ221" s="557"/>
      <c r="AR221" s="557"/>
      <c r="AS221" s="557"/>
      <c r="AT221" s="557"/>
      <c r="AU221" s="557"/>
      <c r="AV221" s="557"/>
      <c r="AW221" s="557"/>
      <c r="AX221" s="557"/>
      <c r="AY221" s="557"/>
      <c r="AZ221" s="557"/>
      <c r="BA221" s="557"/>
      <c r="BB221" s="557"/>
      <c r="BC221" s="557"/>
      <c r="BD221" s="557"/>
      <c r="BE221" s="557"/>
      <c r="BF221" s="557"/>
      <c r="BG221" s="557"/>
      <c r="BH221" s="557"/>
      <c r="BI221" s="557"/>
      <c r="BJ221" s="557"/>
      <c r="BK221" s="557"/>
      <c r="BL221" s="557"/>
      <c r="BM221" s="557"/>
      <c r="BN221" s="557"/>
      <c r="BO221" s="557"/>
      <c r="BP221" s="558"/>
      <c r="BV221" s="518" t="s">
        <v>2026</v>
      </c>
    </row>
    <row r="222" spans="1:75" s="950" customFormat="1" ht="54.75" customHeight="1">
      <c r="A222" s="95"/>
      <c r="B222" s="344"/>
      <c r="C222" s="95"/>
      <c r="D222" s="95"/>
      <c r="E222" s="522">
        <v>21</v>
      </c>
      <c r="F222" s="3" t="str" cm="1">
        <f t="array" aca="1" ref="F222" ca="1">OFFSET(E222,-1,1)</f>
        <v>1</v>
      </c>
      <c r="G222" s="95"/>
      <c r="H222" s="91"/>
      <c r="I222" s="91" t="s">
        <v>328</v>
      </c>
      <c r="J222" s="95"/>
      <c r="K222" s="91" t="s">
        <v>328</v>
      </c>
      <c r="L222" s="46"/>
      <c r="M222" s="46"/>
      <c r="N222" s="95"/>
      <c r="O222" s="95"/>
      <c r="P222" s="95"/>
      <c r="Q222" s="95"/>
      <c r="R222" s="95"/>
      <c r="S222" s="95"/>
      <c r="T222" s="365" t="b" cm="1">
        <f t="array" aca="1" ref="T222" ca="1">T221</f>
        <v>1</v>
      </c>
      <c r="U222" s="95"/>
      <c r="V222" s="95"/>
      <c r="W222" s="95"/>
      <c r="X222" s="1075"/>
      <c r="Y222" s="95"/>
      <c r="Z222" s="1065"/>
      <c r="AA222" s="95"/>
      <c r="AB222" s="179" t="s">
        <v>285</v>
      </c>
      <c r="AC222" s="144" t="s">
        <v>2028</v>
      </c>
      <c r="AD222" s="166" t="s">
        <v>804</v>
      </c>
      <c r="AE222" s="145">
        <f ca="1">AE223+AE235+AE236++AE247+AE248+AE249+AE251+AE252+AE253+AE254+AE257</f>
        <v>4205.7411569584201</v>
      </c>
      <c r="AF222" s="145">
        <f ca="1">AF223+AF235+AF236++AF247+AF248+AF249+AF251+AF252+AF253+AF254+AF257</f>
        <v>5343.5107599999992</v>
      </c>
      <c r="AG222" s="145">
        <f ca="1">AG223+AG235+AG236++AG247+AG248+AG249+AG251+AG252+AG253+AG254+AG257</f>
        <v>4892.8107599999994</v>
      </c>
      <c r="AH222" s="145">
        <f t="shared" ref="AH222:AH267" ca="1" si="49">AG222-AF222</f>
        <v>-450.69999999999982</v>
      </c>
      <c r="AI222" s="145">
        <f t="shared" ref="AI222:BC222" ca="1" si="50">AI223+AI235+AI236++AI247+AI248+AI249+AI251+AI252+AI253+AI254+AI257</f>
        <v>5586.6774900140008</v>
      </c>
      <c r="AJ222" s="145">
        <f t="shared" ca="1" si="50"/>
        <v>6684.5758000000005</v>
      </c>
      <c r="AK222" s="145">
        <f t="shared" ca="1" si="50"/>
        <v>0</v>
      </c>
      <c r="AL222" s="145">
        <f t="shared" ca="1" si="50"/>
        <v>0</v>
      </c>
      <c r="AM222" s="145">
        <f t="shared" ca="1" si="50"/>
        <v>0</v>
      </c>
      <c r="AN222" s="145">
        <f t="shared" ca="1" si="50"/>
        <v>0</v>
      </c>
      <c r="AO222" s="145">
        <f t="shared" ca="1" si="50"/>
        <v>0</v>
      </c>
      <c r="AP222" s="145">
        <f t="shared" ca="1" si="50"/>
        <v>0</v>
      </c>
      <c r="AQ222" s="145">
        <f t="shared" ca="1" si="50"/>
        <v>0</v>
      </c>
      <c r="AR222" s="145">
        <f t="shared" ca="1" si="50"/>
        <v>0</v>
      </c>
      <c r="AS222" s="145">
        <f t="shared" ca="1" si="50"/>
        <v>0</v>
      </c>
      <c r="AT222" s="145">
        <f t="shared" ca="1" si="50"/>
        <v>5564.2899999999991</v>
      </c>
      <c r="AU222" s="145">
        <f t="shared" ca="1" si="50"/>
        <v>0</v>
      </c>
      <c r="AV222" s="145">
        <f t="shared" ca="1" si="50"/>
        <v>0</v>
      </c>
      <c r="AW222" s="145">
        <f t="shared" ca="1" si="50"/>
        <v>0</v>
      </c>
      <c r="AX222" s="145">
        <f t="shared" ca="1" si="50"/>
        <v>0</v>
      </c>
      <c r="AY222" s="145">
        <f t="shared" ca="1" si="50"/>
        <v>0</v>
      </c>
      <c r="AZ222" s="145">
        <f t="shared" ca="1" si="50"/>
        <v>0</v>
      </c>
      <c r="BA222" s="145">
        <f t="shared" ca="1" si="50"/>
        <v>0</v>
      </c>
      <c r="BB222" s="145">
        <f t="shared" ca="1" si="50"/>
        <v>0</v>
      </c>
      <c r="BC222" s="145">
        <f t="shared" ca="1" si="50"/>
        <v>0</v>
      </c>
      <c r="BD222" s="145">
        <f t="shared" ref="BD222:BD267" ca="1" si="51">IF(AI222=0,0,(AT222-AI222)/AI222*100)</f>
        <v>-0.40072995181874432</v>
      </c>
      <c r="BE222" s="145">
        <f t="shared" ref="BE222:BE267" ca="1" si="52">IF(AT222=0,0,(AU222-AT222)/AT222*100)</f>
        <v>-100</v>
      </c>
      <c r="BF222" s="145">
        <f t="shared" ref="BF222:BF267" ca="1" si="53">IF(AU222=0,0,(AV222-AU222)/AU222*100)</f>
        <v>0</v>
      </c>
      <c r="BG222" s="145">
        <f t="shared" ref="BG222:BG267" ca="1" si="54">IF(AV222=0,0,(AW222-AV222)/AV222*100)</f>
        <v>0</v>
      </c>
      <c r="BH222" s="145">
        <f t="shared" ref="BH222:BH267" ca="1" si="55">IF(AW222=0,0,(AX222-AW222)/AW222*100)</f>
        <v>0</v>
      </c>
      <c r="BI222" s="145">
        <f t="shared" ref="BI222:BI267" ca="1" si="56">IF(AX222=0,0,(AY222-AX222)/AX222*100)</f>
        <v>0</v>
      </c>
      <c r="BJ222" s="145">
        <f t="shared" ref="BJ222:BJ267" ca="1" si="57">IF(AY222=0,0,(AZ222-AY222)/AY222*100)</f>
        <v>0</v>
      </c>
      <c r="BK222" s="145">
        <f t="shared" ref="BK222:BK267" ca="1" si="58">IF(AZ222=0,0,(BA222-AZ222)/AZ222*100)</f>
        <v>0</v>
      </c>
      <c r="BL222" s="145">
        <f t="shared" ref="BL222:BL267" ca="1" si="59">IF(BA222=0,0,(BB222-BA222)/BA222*100)</f>
        <v>0</v>
      </c>
      <c r="BM222" s="145">
        <f t="shared" ref="BM222:BM267" ca="1" si="60">IF(BB222=0,0,(BC222-BB222)/BB222*100)</f>
        <v>0</v>
      </c>
      <c r="BN222" s="953" t="s">
        <v>2232</v>
      </c>
      <c r="BO222" s="215" t="s">
        <v>2233</v>
      </c>
      <c r="BP222" s="215"/>
      <c r="BQ222" s="93"/>
      <c r="BR222" s="95"/>
      <c r="BS222" s="711" t="s">
        <v>2029</v>
      </c>
      <c r="BT222" s="711"/>
      <c r="BU222" s="711"/>
      <c r="BV222" s="522"/>
      <c r="BW222" s="522"/>
    </row>
    <row r="223" spans="1:75" s="950" customFormat="1" ht="21.75" customHeight="1">
      <c r="A223" s="95"/>
      <c r="B223" s="344"/>
      <c r="C223" s="95"/>
      <c r="D223" s="95"/>
      <c r="E223" s="522">
        <v>22.5</v>
      </c>
      <c r="F223" s="3" t="str" cm="1">
        <f t="array" aca="1" ref="F223" ca="1">OFFSET(E223,-1,1)</f>
        <v>1</v>
      </c>
      <c r="G223" s="95"/>
      <c r="H223" s="91"/>
      <c r="I223" s="91" t="s">
        <v>479</v>
      </c>
      <c r="J223" s="95"/>
      <c r="K223" s="91" t="s">
        <v>479</v>
      </c>
      <c r="L223" s="46" t="s">
        <v>465</v>
      </c>
      <c r="M223" s="46"/>
      <c r="N223" s="95"/>
      <c r="O223" s="95"/>
      <c r="P223" s="95"/>
      <c r="Q223" s="95"/>
      <c r="R223" s="95"/>
      <c r="S223" s="95"/>
      <c r="T223" s="365" t="b" cm="1">
        <f t="array" aca="1" ref="T223" ca="1">T222</f>
        <v>1</v>
      </c>
      <c r="U223" s="95"/>
      <c r="V223" s="95"/>
      <c r="W223" s="95"/>
      <c r="X223" s="1075"/>
      <c r="Y223" s="95"/>
      <c r="Z223" s="1065"/>
      <c r="AA223" s="95"/>
      <c r="AB223" s="150" t="s">
        <v>537</v>
      </c>
      <c r="AC223" s="276" t="s">
        <v>2030</v>
      </c>
      <c r="AD223" s="143" t="s">
        <v>804</v>
      </c>
      <c r="AE223" s="145">
        <f ca="1">SUM(AE224:AE234)</f>
        <v>3110.8092914131203</v>
      </c>
      <c r="AF223" s="145">
        <f ca="1">SUM(AF224:AF234)</f>
        <v>3750.7807599999996</v>
      </c>
      <c r="AG223" s="145">
        <f ca="1">SUM(AG224:AG234)</f>
        <v>3750.7807599999996</v>
      </c>
      <c r="AH223" s="145">
        <f t="shared" ca="1" si="49"/>
        <v>0</v>
      </c>
      <c r="AI223" s="145">
        <f t="shared" ref="AI223:BC223" ca="1" si="61">SUM(AI224:AI234)</f>
        <v>3612.8588191999997</v>
      </c>
      <c r="AJ223" s="145">
        <f t="shared" ca="1" si="61"/>
        <v>4564.2457999999997</v>
      </c>
      <c r="AK223" s="145">
        <f t="shared" ca="1" si="61"/>
        <v>0</v>
      </c>
      <c r="AL223" s="145">
        <f t="shared" ca="1" si="61"/>
        <v>0</v>
      </c>
      <c r="AM223" s="145">
        <f t="shared" ca="1" si="61"/>
        <v>0</v>
      </c>
      <c r="AN223" s="145">
        <f t="shared" ca="1" si="61"/>
        <v>0</v>
      </c>
      <c r="AO223" s="145">
        <f t="shared" ca="1" si="61"/>
        <v>0</v>
      </c>
      <c r="AP223" s="145">
        <f t="shared" ca="1" si="61"/>
        <v>0</v>
      </c>
      <c r="AQ223" s="145">
        <f t="shared" ca="1" si="61"/>
        <v>0</v>
      </c>
      <c r="AR223" s="145">
        <f t="shared" ca="1" si="61"/>
        <v>0</v>
      </c>
      <c r="AS223" s="145">
        <f t="shared" ca="1" si="61"/>
        <v>0</v>
      </c>
      <c r="AT223" s="145">
        <f t="shared" ca="1" si="61"/>
        <v>4306.12</v>
      </c>
      <c r="AU223" s="145">
        <f t="shared" ca="1" si="61"/>
        <v>0</v>
      </c>
      <c r="AV223" s="145">
        <f t="shared" ca="1" si="61"/>
        <v>0</v>
      </c>
      <c r="AW223" s="145">
        <f t="shared" ca="1" si="61"/>
        <v>0</v>
      </c>
      <c r="AX223" s="145">
        <f t="shared" ca="1" si="61"/>
        <v>0</v>
      </c>
      <c r="AY223" s="145">
        <f t="shared" ca="1" si="61"/>
        <v>0</v>
      </c>
      <c r="AZ223" s="145">
        <f t="shared" ca="1" si="61"/>
        <v>0</v>
      </c>
      <c r="BA223" s="145">
        <f t="shared" ca="1" si="61"/>
        <v>0</v>
      </c>
      <c r="BB223" s="145">
        <f t="shared" ca="1" si="61"/>
        <v>0</v>
      </c>
      <c r="BC223" s="145">
        <f t="shared" ca="1" si="61"/>
        <v>0</v>
      </c>
      <c r="BD223" s="145">
        <f t="shared" ca="1" si="51"/>
        <v>19.188714962117174</v>
      </c>
      <c r="BE223" s="145">
        <f t="shared" ca="1" si="52"/>
        <v>-100</v>
      </c>
      <c r="BF223" s="145">
        <f t="shared" ca="1" si="53"/>
        <v>0</v>
      </c>
      <c r="BG223" s="145">
        <f t="shared" ca="1" si="54"/>
        <v>0</v>
      </c>
      <c r="BH223" s="145">
        <f t="shared" ca="1" si="55"/>
        <v>0</v>
      </c>
      <c r="BI223" s="145">
        <f t="shared" ca="1" si="56"/>
        <v>0</v>
      </c>
      <c r="BJ223" s="145">
        <f t="shared" ca="1" si="57"/>
        <v>0</v>
      </c>
      <c r="BK223" s="145">
        <f t="shared" ca="1" si="58"/>
        <v>0</v>
      </c>
      <c r="BL223" s="145">
        <f t="shared" ca="1" si="59"/>
        <v>0</v>
      </c>
      <c r="BM223" s="145">
        <f t="shared" ca="1" si="60"/>
        <v>0</v>
      </c>
      <c r="BN223" s="566"/>
      <c r="BO223" s="566" t="s">
        <v>2234</v>
      </c>
      <c r="BP223" s="566"/>
      <c r="BQ223" s="95"/>
      <c r="BR223" s="95"/>
      <c r="BS223" s="711" t="s">
        <v>2031</v>
      </c>
      <c r="BT223" s="711"/>
      <c r="BU223" s="711"/>
      <c r="BV223" s="522"/>
      <c r="BW223" s="522"/>
    </row>
    <row r="224" spans="1:75" ht="14.25" customHeight="1">
      <c r="E224" s="518">
        <v>15</v>
      </c>
      <c r="F224" s="3" t="str" cm="1">
        <f t="array" aca="1" ref="F224" ca="1">OFFSET(E224,-1,1)</f>
        <v>1</v>
      </c>
      <c r="G224" s="91" t="s">
        <v>1106</v>
      </c>
      <c r="I224" s="91" t="s">
        <v>1562</v>
      </c>
      <c r="K224" s="91" t="s">
        <v>1562</v>
      </c>
      <c r="L224" s="44" t="s">
        <v>1339</v>
      </c>
      <c r="M224" s="44"/>
      <c r="T224" s="365" t="b" cm="1">
        <f t="array" aca="1" ref="T224" ca="1">T223</f>
        <v>1</v>
      </c>
      <c r="X224" s="1075"/>
      <c r="Z224" s="1065"/>
      <c r="AB224" s="152" t="s">
        <v>487</v>
      </c>
      <c r="AC224" s="153" t="s">
        <v>2032</v>
      </c>
      <c r="AD224" s="26" t="s">
        <v>804</v>
      </c>
      <c r="AE224" s="190">
        <f ca="1">SUMIFS(Покупка!AE$25:AE$254,Покупка!$F$25:$F$254,$F224,Покупка!$AC$25:$AC$254,$G224)</f>
        <v>294.14821341312</v>
      </c>
      <c r="AF224" s="190">
        <f ca="1">SUMIFS(Покупка!AF$25:AF$254,Покупка!$F$25:$F$254,$F224,Покупка!$AC$25:$AC$254,$G224)</f>
        <v>563.56075999999996</v>
      </c>
      <c r="AG224" s="190">
        <f ca="1">SUMIFS(Покупка!AG$25:AG$254,Покупка!$F$25:$F$254,$F224,Покупка!$AC$25:$AC$254,$G224)</f>
        <v>563.56075999999996</v>
      </c>
      <c r="AH224" s="190">
        <f t="shared" ca="1" si="49"/>
        <v>0</v>
      </c>
      <c r="AI224" s="190">
        <f ca="1">SUMIFS(Покупка!AH$25:AH$254,Покупка!$F$25:$F$254,$F224,Покупка!$AC$25:$AC$254,$G224)</f>
        <v>259.85000000000002</v>
      </c>
      <c r="AJ224" s="190">
        <f ca="1">SUMIFS(Покупка!AI$25:AI$254,Покупка!$F$25:$F$254,$F224,Покупка!$AC$25:$AC$254,$G224)</f>
        <v>897.78579999999999</v>
      </c>
      <c r="AK224" s="190">
        <f ca="1">SUMIFS(Покупка!AJ$25:AJ$254,Покупка!$F$25:$F$254,$F224,Покупка!$AC$25:$AC$254,$G224)</f>
        <v>0</v>
      </c>
      <c r="AL224" s="190">
        <f ca="1">SUMIFS(Покупка!AK$25:AK$254,Покупка!$F$25:$F$254,$F224,Покупка!$AC$25:$AC$254,$G224)</f>
        <v>0</v>
      </c>
      <c r="AM224" s="190">
        <f ca="1">SUMIFS(Покупка!AL$25:AL$254,Покупка!$F$25:$F$254,$F224,Покупка!$AC$25:$AC$254,$G224)</f>
        <v>0</v>
      </c>
      <c r="AN224" s="190">
        <f ca="1">SUMIFS(Покупка!AM$25:AM$254,Покупка!$F$25:$F$254,$F224,Покупка!$AC$25:$AC$254,$G224)</f>
        <v>0</v>
      </c>
      <c r="AO224" s="190">
        <f ca="1">SUMIFS(Покупка!AN$25:AN$254,Покупка!$F$25:$F$254,$F224,Покупка!$AC$25:$AC$254,$G224)</f>
        <v>0</v>
      </c>
      <c r="AP224" s="190">
        <f ca="1">SUMIFS(Покупка!AO$25:AO$254,Покупка!$F$25:$F$254,$F224,Покупка!$AC$25:$AC$254,$G224)</f>
        <v>0</v>
      </c>
      <c r="AQ224" s="190">
        <f ca="1">SUMIFS(Покупка!AP$25:AP$254,Покупка!$F$25:$F$254,$F224,Покупка!$AC$25:$AC$254,$G224)</f>
        <v>0</v>
      </c>
      <c r="AR224" s="190">
        <f ca="1">SUMIFS(Покупка!AQ$25:AQ$254,Покупка!$F$25:$F$254,$F224,Покупка!$AC$25:$AC$254,$G224)</f>
        <v>0</v>
      </c>
      <c r="AS224" s="190">
        <f ca="1">SUMIFS(Покупка!AR$25:AR$254,Покупка!$F$25:$F$254,$F224,Покупка!$AC$25:$AC$254,$G224)</f>
        <v>0</v>
      </c>
      <c r="AT224" s="190">
        <f ca="1">SUMIFS(Покупка!AS$25:AS$254,Покупка!$F$25:$F$254,$F224,Покупка!$AC$25:$AC$254,$G224)</f>
        <v>753.56</v>
      </c>
      <c r="AU224" s="190">
        <f ca="1">SUMIFS(Покупка!AT$25:AT$254,Покупка!$F$25:$F$254,$F224,Покупка!$AC$25:$AC$254,$G224)</f>
        <v>0</v>
      </c>
      <c r="AV224" s="190">
        <f ca="1">SUMIFS(Покупка!AU$25:AU$254,Покупка!$F$25:$F$254,$F224,Покупка!$AC$25:$AC$254,$G224)</f>
        <v>0</v>
      </c>
      <c r="AW224" s="190">
        <f ca="1">SUMIFS(Покупка!AV$25:AV$254,Покупка!$F$25:$F$254,$F224,Покупка!$AC$25:$AC$254,$G224)</f>
        <v>0</v>
      </c>
      <c r="AX224" s="190">
        <f ca="1">SUMIFS(Покупка!AW$25:AW$254,Покупка!$F$25:$F$254,$F224,Покупка!$AC$25:$AC$254,$G224)</f>
        <v>0</v>
      </c>
      <c r="AY224" s="190">
        <f ca="1">SUMIFS(Покупка!AX$25:AX$254,Покупка!$F$25:$F$254,$F224,Покупка!$AC$25:$AC$254,$G224)</f>
        <v>0</v>
      </c>
      <c r="AZ224" s="190">
        <f ca="1">SUMIFS(Покупка!AY$25:AY$254,Покупка!$F$25:$F$254,$F224,Покупка!$AC$25:$AC$254,$G224)</f>
        <v>0</v>
      </c>
      <c r="BA224" s="190">
        <f ca="1">SUMIFS(Покупка!AZ$25:AZ$254,Покупка!$F$25:$F$254,$F224,Покупка!$AC$25:$AC$254,$G224)</f>
        <v>0</v>
      </c>
      <c r="BB224" s="190">
        <f ca="1">SUMIFS(Покупка!BA$25:BA$254,Покупка!$F$25:$F$254,$F224,Покупка!$AC$25:$AC$254,$G224)</f>
        <v>0</v>
      </c>
      <c r="BC224" s="190">
        <f ca="1">SUMIFS(Покупка!BB$25:BB$254,Покупка!$F$25:$F$254,$F224,Покупка!$AC$25:$AC$254,$G224)</f>
        <v>0</v>
      </c>
      <c r="BD224" s="190">
        <f t="shared" ca="1" si="51"/>
        <v>189.99807581296898</v>
      </c>
      <c r="BE224" s="190">
        <f t="shared" ca="1" si="52"/>
        <v>-100</v>
      </c>
      <c r="BF224" s="190">
        <f t="shared" ca="1" si="53"/>
        <v>0</v>
      </c>
      <c r="BG224" s="190">
        <f t="shared" ca="1" si="54"/>
        <v>0</v>
      </c>
      <c r="BH224" s="190">
        <f t="shared" ca="1" si="55"/>
        <v>0</v>
      </c>
      <c r="BI224" s="190">
        <f t="shared" ca="1" si="56"/>
        <v>0</v>
      </c>
      <c r="BJ224" s="190">
        <f t="shared" ca="1" si="57"/>
        <v>0</v>
      </c>
      <c r="BK224" s="190">
        <f t="shared" ca="1" si="58"/>
        <v>0</v>
      </c>
      <c r="BL224" s="190">
        <f t="shared" ca="1" si="59"/>
        <v>0</v>
      </c>
      <c r="BM224" s="190">
        <f t="shared" ca="1" si="60"/>
        <v>0</v>
      </c>
      <c r="BN224" s="953" t="s">
        <v>2235</v>
      </c>
      <c r="BO224" s="610" t="s">
        <v>2236</v>
      </c>
      <c r="BP224" s="215"/>
      <c r="BS224" s="705" t="s">
        <v>1107</v>
      </c>
    </row>
    <row r="225" spans="1:75" ht="0" hidden="1" customHeight="1">
      <c r="B225" s="34"/>
      <c r="C225" s="44"/>
      <c r="D225" s="44"/>
      <c r="E225" s="462">
        <v>15</v>
      </c>
      <c r="F225" s="3" t="str" cm="1">
        <f t="array" aca="1" ref="F225" ca="1">OFFSET(E225,-1,1)</f>
        <v>1</v>
      </c>
      <c r="G225" s="44" t="s">
        <v>1128</v>
      </c>
      <c r="H225" s="44"/>
      <c r="I225" s="44" t="s">
        <v>1566</v>
      </c>
      <c r="J225" s="44"/>
      <c r="K225" s="44" t="s">
        <v>1566</v>
      </c>
      <c r="L225" s="44" t="s">
        <v>1343</v>
      </c>
      <c r="M225" s="44"/>
      <c r="N225" s="44"/>
      <c r="O225" s="44"/>
      <c r="P225" s="44"/>
      <c r="Q225" s="44"/>
      <c r="R225" s="44"/>
      <c r="S225" s="44"/>
      <c r="T225" s="365" t="b" cm="1">
        <f t="array" aca="1" ref="T225" ca="1">T224</f>
        <v>1</v>
      </c>
      <c r="U225" s="44"/>
      <c r="V225" s="44"/>
      <c r="X225" s="1075"/>
      <c r="Z225" s="1065"/>
      <c r="AB225" s="152" t="s">
        <v>2033</v>
      </c>
      <c r="AC225" s="153" t="s">
        <v>2034</v>
      </c>
      <c r="AD225" s="26" t="s">
        <v>804</v>
      </c>
      <c r="AE225" s="190">
        <f ca="1">SUMIFS(Покупка!AE$25:AE$254,Покупка!$F$25:$F$254,$F225,Покупка!$AC$25:$AC$254,$G225)</f>
        <v>0</v>
      </c>
      <c r="AF225" s="190">
        <f ca="1">SUMIFS(Покупка!AF$25:AF$254,Покупка!$F$25:$F$254,$F225,Покупка!$AC$25:$AC$254,$G225)</f>
        <v>0</v>
      </c>
      <c r="AG225" s="190">
        <f ca="1">SUMIFS(Покупка!AG$25:AG$254,Покупка!$F$25:$F$254,$F225,Покупка!$AC$25:$AC$254,$G225)</f>
        <v>0</v>
      </c>
      <c r="AH225" s="190">
        <f t="shared" ca="1" si="49"/>
        <v>0</v>
      </c>
      <c r="AI225" s="190">
        <f ca="1">SUMIFS(Покупка!AH$25:AH$254,Покупка!$F$25:$F$254,$F225,Покупка!$AC$25:$AC$254,$G225)</f>
        <v>0</v>
      </c>
      <c r="AJ225" s="190">
        <f ca="1">SUMIFS(Покупка!AI$25:AI$254,Покупка!$F$25:$F$254,$F225,Покупка!$AC$25:$AC$254,$G225)</f>
        <v>0</v>
      </c>
      <c r="AK225" s="190">
        <f ca="1">SUMIFS(Покупка!AJ$25:AJ$254,Покупка!$F$25:$F$254,$F225,Покупка!$AC$25:$AC$254,$G225)</f>
        <v>0</v>
      </c>
      <c r="AL225" s="190">
        <f ca="1">SUMIFS(Покупка!AK$25:AK$254,Покупка!$F$25:$F$254,$F225,Покупка!$AC$25:$AC$254,$G225)</f>
        <v>0</v>
      </c>
      <c r="AM225" s="190">
        <f ca="1">SUMIFS(Покупка!AL$25:AL$254,Покупка!$F$25:$F$254,$F225,Покупка!$AC$25:$AC$254,$G225)</f>
        <v>0</v>
      </c>
      <c r="AN225" s="190">
        <f ca="1">SUMIFS(Покупка!AM$25:AM$254,Покупка!$F$25:$F$254,$F225,Покупка!$AC$25:$AC$254,$G225)</f>
        <v>0</v>
      </c>
      <c r="AO225" s="190">
        <f ca="1">SUMIFS(Покупка!AN$25:AN$254,Покупка!$F$25:$F$254,$F225,Покупка!$AC$25:$AC$254,$G225)</f>
        <v>0</v>
      </c>
      <c r="AP225" s="190">
        <f ca="1">SUMIFS(Покупка!AO$25:AO$254,Покупка!$F$25:$F$254,$F225,Покупка!$AC$25:$AC$254,$G225)</f>
        <v>0</v>
      </c>
      <c r="AQ225" s="190">
        <f ca="1">SUMIFS(Покупка!AP$25:AP$254,Покупка!$F$25:$F$254,$F225,Покупка!$AC$25:$AC$254,$G225)</f>
        <v>0</v>
      </c>
      <c r="AR225" s="190">
        <f ca="1">SUMIFS(Покупка!AQ$25:AQ$254,Покупка!$F$25:$F$254,$F225,Покупка!$AC$25:$AC$254,$G225)</f>
        <v>0</v>
      </c>
      <c r="AS225" s="190">
        <f ca="1">SUMIFS(Покупка!AR$25:AR$254,Покупка!$F$25:$F$254,$F225,Покупка!$AC$25:$AC$254,$G225)</f>
        <v>0</v>
      </c>
      <c r="AT225" s="190">
        <f ca="1">SUMIFS(Покупка!AS$25:AS$254,Покупка!$F$25:$F$254,$F225,Покупка!$AC$25:$AC$254,$G225)</f>
        <v>0</v>
      </c>
      <c r="AU225" s="190">
        <f ca="1">SUMIFS(Покупка!AT$25:AT$254,Покупка!$F$25:$F$254,$F225,Покупка!$AC$25:$AC$254,$G225)</f>
        <v>0</v>
      </c>
      <c r="AV225" s="190">
        <f ca="1">SUMIFS(Покупка!AU$25:AU$254,Покупка!$F$25:$F$254,$F225,Покупка!$AC$25:$AC$254,$G225)</f>
        <v>0</v>
      </c>
      <c r="AW225" s="190">
        <f ca="1">SUMIFS(Покупка!AV$25:AV$254,Покупка!$F$25:$F$254,$F225,Покупка!$AC$25:$AC$254,$G225)</f>
        <v>0</v>
      </c>
      <c r="AX225" s="190">
        <f ca="1">SUMIFS(Покупка!AW$25:AW$254,Покупка!$F$25:$F$254,$F225,Покупка!$AC$25:$AC$254,$G225)</f>
        <v>0</v>
      </c>
      <c r="AY225" s="190">
        <f ca="1">SUMIFS(Покупка!AX$25:AX$254,Покупка!$F$25:$F$254,$F225,Покупка!$AC$25:$AC$254,$G225)</f>
        <v>0</v>
      </c>
      <c r="AZ225" s="190">
        <f ca="1">SUMIFS(Покупка!AY$25:AY$254,Покупка!$F$25:$F$254,$F225,Покупка!$AC$25:$AC$254,$G225)</f>
        <v>0</v>
      </c>
      <c r="BA225" s="190">
        <f ca="1">SUMIFS(Покупка!AZ$25:AZ$254,Покупка!$F$25:$F$254,$F225,Покупка!$AC$25:$AC$254,$G225)</f>
        <v>0</v>
      </c>
      <c r="BB225" s="190">
        <f ca="1">SUMIFS(Покупка!BA$25:BA$254,Покупка!$F$25:$F$254,$F225,Покупка!$AC$25:$AC$254,$G225)</f>
        <v>0</v>
      </c>
      <c r="BC225" s="190">
        <f ca="1">SUMIFS(Покупка!BB$25:BB$254,Покупка!$F$25:$F$254,$F225,Покупка!$AC$25:$AC$254,$G225)</f>
        <v>0</v>
      </c>
      <c r="BD225" s="190">
        <f t="shared" ca="1" si="51"/>
        <v>0</v>
      </c>
      <c r="BE225" s="190">
        <f t="shared" ca="1" si="52"/>
        <v>0</v>
      </c>
      <c r="BF225" s="190">
        <f t="shared" ca="1" si="53"/>
        <v>0</v>
      </c>
      <c r="BG225" s="190">
        <f t="shared" ca="1" si="54"/>
        <v>0</v>
      </c>
      <c r="BH225" s="190">
        <f t="shared" ca="1" si="55"/>
        <v>0</v>
      </c>
      <c r="BI225" s="190">
        <f t="shared" ca="1" si="56"/>
        <v>0</v>
      </c>
      <c r="BJ225" s="190">
        <f t="shared" ca="1" si="57"/>
        <v>0</v>
      </c>
      <c r="BK225" s="190">
        <f t="shared" ca="1" si="58"/>
        <v>0</v>
      </c>
      <c r="BL225" s="190">
        <f t="shared" ca="1" si="59"/>
        <v>0</v>
      </c>
      <c r="BM225" s="190">
        <f t="shared" ca="1" si="60"/>
        <v>0</v>
      </c>
      <c r="BN225" s="215"/>
      <c r="BO225" s="610" t="str">
        <f ca="1">IF(IFERROR(INDEX(Покупка!$K$26:$L$254,MATCH($F225&amp;"7komm",Покупка!$K$26:$K$254,0),2),"")=0,"",IFERROR(INDEX(Покупка!$K$26:$L$254,MATCH($F225&amp;"7komm",Покупка!$K$26:$K$254,0),2),""))</f>
        <v/>
      </c>
      <c r="BP225" s="215"/>
      <c r="BS225" s="705" t="s">
        <v>1129</v>
      </c>
    </row>
    <row r="226" spans="1:75" ht="0" hidden="1" customHeight="1">
      <c r="B226" s="34"/>
      <c r="C226" s="44"/>
      <c r="D226" s="44"/>
      <c r="E226" s="462">
        <v>15</v>
      </c>
      <c r="F226" s="3" t="str" cm="1">
        <f t="array" aca="1" ref="F226" ca="1">OFFSET(E226,-1,1)</f>
        <v>1</v>
      </c>
      <c r="G226" s="44" t="s">
        <v>1080</v>
      </c>
      <c r="H226" s="44"/>
      <c r="I226" s="44" t="s">
        <v>1661</v>
      </c>
      <c r="J226" s="44"/>
      <c r="K226" s="44" t="s">
        <v>1661</v>
      </c>
      <c r="L226" s="44" t="s">
        <v>1511</v>
      </c>
      <c r="M226" s="44"/>
      <c r="N226" s="44"/>
      <c r="O226" s="44"/>
      <c r="P226" s="44"/>
      <c r="Q226" s="44"/>
      <c r="R226" s="44"/>
      <c r="S226" s="44"/>
      <c r="T226" s="365" t="b" cm="1">
        <f t="array" aca="1" ref="T226" ca="1">T225</f>
        <v>1</v>
      </c>
      <c r="U226" s="44"/>
      <c r="V226" s="44"/>
      <c r="X226" s="1075"/>
      <c r="Z226" s="1065"/>
      <c r="AB226" s="152" t="s">
        <v>2035</v>
      </c>
      <c r="AC226" s="153" t="s">
        <v>2036</v>
      </c>
      <c r="AD226" s="26" t="s">
        <v>804</v>
      </c>
      <c r="AE226" s="190">
        <f ca="1">SUMIFS(Покупка!AE$25:AE$254,Покупка!$F$25:$F$254,$F226,Покупка!$AC$25:$AC$254,$G226)</f>
        <v>0</v>
      </c>
      <c r="AF226" s="190">
        <f ca="1">SUMIFS(Покупка!AF$25:AF$254,Покупка!$F$25:$F$254,$F226,Покупка!$AC$25:$AC$254,$G226)</f>
        <v>0</v>
      </c>
      <c r="AG226" s="190">
        <f ca="1">SUMIFS(Покупка!AG$25:AG$254,Покупка!$F$25:$F$254,$F226,Покупка!$AC$25:$AC$254,$G226)</f>
        <v>0</v>
      </c>
      <c r="AH226" s="190">
        <f t="shared" ca="1" si="49"/>
        <v>0</v>
      </c>
      <c r="AI226" s="190">
        <f ca="1">SUMIFS(Покупка!AH$25:AH$254,Покупка!$F$25:$F$254,$F226,Покупка!$AC$25:$AC$254,$G226)</f>
        <v>0</v>
      </c>
      <c r="AJ226" s="190">
        <f ca="1">SUMIFS(Покупка!AI$25:AI$254,Покупка!$F$25:$F$254,$F226,Покупка!$AC$25:$AC$254,$G226)</f>
        <v>0</v>
      </c>
      <c r="AK226" s="190">
        <f ca="1">SUMIFS(Покупка!AJ$25:AJ$254,Покупка!$F$25:$F$254,$F226,Покупка!$AC$25:$AC$254,$G226)</f>
        <v>0</v>
      </c>
      <c r="AL226" s="190">
        <f ca="1">SUMIFS(Покупка!AK$25:AK$254,Покупка!$F$25:$F$254,$F226,Покупка!$AC$25:$AC$254,$G226)</f>
        <v>0</v>
      </c>
      <c r="AM226" s="190">
        <f ca="1">SUMIFS(Покупка!AL$25:AL$254,Покупка!$F$25:$F$254,$F226,Покупка!$AC$25:$AC$254,$G226)</f>
        <v>0</v>
      </c>
      <c r="AN226" s="190">
        <f ca="1">SUMIFS(Покупка!AM$25:AM$254,Покупка!$F$25:$F$254,$F226,Покупка!$AC$25:$AC$254,$G226)</f>
        <v>0</v>
      </c>
      <c r="AO226" s="190">
        <f ca="1">SUMIFS(Покупка!AN$25:AN$254,Покупка!$F$25:$F$254,$F226,Покупка!$AC$25:$AC$254,$G226)</f>
        <v>0</v>
      </c>
      <c r="AP226" s="190">
        <f ca="1">SUMIFS(Покупка!AO$25:AO$254,Покупка!$F$25:$F$254,$F226,Покупка!$AC$25:$AC$254,$G226)</f>
        <v>0</v>
      </c>
      <c r="AQ226" s="190">
        <f ca="1">SUMIFS(Покупка!AP$25:AP$254,Покупка!$F$25:$F$254,$F226,Покупка!$AC$25:$AC$254,$G226)</f>
        <v>0</v>
      </c>
      <c r="AR226" s="190">
        <f ca="1">SUMIFS(Покупка!AQ$25:AQ$254,Покупка!$F$25:$F$254,$F226,Покупка!$AC$25:$AC$254,$G226)</f>
        <v>0</v>
      </c>
      <c r="AS226" s="190">
        <f ca="1">SUMIFS(Покупка!AR$25:AR$254,Покупка!$F$25:$F$254,$F226,Покупка!$AC$25:$AC$254,$G226)</f>
        <v>0</v>
      </c>
      <c r="AT226" s="190">
        <f ca="1">SUMIFS(Покупка!AS$25:AS$254,Покупка!$F$25:$F$254,$F226,Покупка!$AC$25:$AC$254,$G226)</f>
        <v>0</v>
      </c>
      <c r="AU226" s="190">
        <f ca="1">SUMIFS(Покупка!AT$25:AT$254,Покупка!$F$25:$F$254,$F226,Покупка!$AC$25:$AC$254,$G226)</f>
        <v>0</v>
      </c>
      <c r="AV226" s="190">
        <f ca="1">SUMIFS(Покупка!AU$25:AU$254,Покупка!$F$25:$F$254,$F226,Покупка!$AC$25:$AC$254,$G226)</f>
        <v>0</v>
      </c>
      <c r="AW226" s="190">
        <f ca="1">SUMIFS(Покупка!AV$25:AV$254,Покупка!$F$25:$F$254,$F226,Покупка!$AC$25:$AC$254,$G226)</f>
        <v>0</v>
      </c>
      <c r="AX226" s="190">
        <f ca="1">SUMIFS(Покупка!AW$25:AW$254,Покупка!$F$25:$F$254,$F226,Покупка!$AC$25:$AC$254,$G226)</f>
        <v>0</v>
      </c>
      <c r="AY226" s="190">
        <f ca="1">SUMIFS(Покупка!AX$25:AX$254,Покупка!$F$25:$F$254,$F226,Покупка!$AC$25:$AC$254,$G226)</f>
        <v>0</v>
      </c>
      <c r="AZ226" s="190">
        <f ca="1">SUMIFS(Покупка!AY$25:AY$254,Покупка!$F$25:$F$254,$F226,Покупка!$AC$25:$AC$254,$G226)</f>
        <v>0</v>
      </c>
      <c r="BA226" s="190">
        <f ca="1">SUMIFS(Покупка!AZ$25:AZ$254,Покупка!$F$25:$F$254,$F226,Покупка!$AC$25:$AC$254,$G226)</f>
        <v>0</v>
      </c>
      <c r="BB226" s="190">
        <f ca="1">SUMIFS(Покупка!BA$25:BA$254,Покупка!$F$25:$F$254,$F226,Покупка!$AC$25:$AC$254,$G226)</f>
        <v>0</v>
      </c>
      <c r="BC226" s="190">
        <f ca="1">SUMIFS(Покупка!BB$25:BB$254,Покупка!$F$25:$F$254,$F226,Покупка!$AC$25:$AC$254,$G226)</f>
        <v>0</v>
      </c>
      <c r="BD226" s="190">
        <f t="shared" ca="1" si="51"/>
        <v>0</v>
      </c>
      <c r="BE226" s="190">
        <f t="shared" ca="1" si="52"/>
        <v>0</v>
      </c>
      <c r="BF226" s="190">
        <f t="shared" ca="1" si="53"/>
        <v>0</v>
      </c>
      <c r="BG226" s="190">
        <f t="shared" ca="1" si="54"/>
        <v>0</v>
      </c>
      <c r="BH226" s="190">
        <f t="shared" ca="1" si="55"/>
        <v>0</v>
      </c>
      <c r="BI226" s="190">
        <f t="shared" ca="1" si="56"/>
        <v>0</v>
      </c>
      <c r="BJ226" s="190">
        <f t="shared" ca="1" si="57"/>
        <v>0</v>
      </c>
      <c r="BK226" s="190">
        <f t="shared" ca="1" si="58"/>
        <v>0</v>
      </c>
      <c r="BL226" s="190">
        <f t="shared" ca="1" si="59"/>
        <v>0</v>
      </c>
      <c r="BM226" s="190">
        <f t="shared" ca="1" si="60"/>
        <v>0</v>
      </c>
      <c r="BN226" s="215"/>
      <c r="BO226" s="610" t="str">
        <f ca="1">IF(IFERROR(INDEX(Покупка!$K$26:$L$254,MATCH($F226&amp;"2komm",Покупка!$K$26:$K$254,0),2),"")=0,"",IFERROR(INDEX(Покупка!$K$26:$L$254,MATCH($F226&amp;"2komm",Покупка!$K$26:$K$254,0),2),""))</f>
        <v/>
      </c>
      <c r="BP226" s="215"/>
      <c r="BS226" s="705" t="s">
        <v>2037</v>
      </c>
    </row>
    <row r="227" spans="1:75" ht="14.25" customHeight="1">
      <c r="B227" s="34"/>
      <c r="C227" s="44"/>
      <c r="D227" s="44"/>
      <c r="E227" s="462">
        <v>15</v>
      </c>
      <c r="F227" s="3" t="str" cm="1">
        <f t="array" aca="1" ref="F227" ca="1">OFFSET(E227,-1,1)</f>
        <v>1</v>
      </c>
      <c r="G227" s="44" t="s">
        <v>1067</v>
      </c>
      <c r="H227" s="44"/>
      <c r="I227" s="44" t="s">
        <v>1663</v>
      </c>
      <c r="J227" s="44"/>
      <c r="K227" s="44" t="s">
        <v>1663</v>
      </c>
      <c r="L227" s="44" t="s">
        <v>1506</v>
      </c>
      <c r="M227" s="44"/>
      <c r="N227" s="44"/>
      <c r="O227" s="44"/>
      <c r="P227" s="44"/>
      <c r="Q227" s="44"/>
      <c r="R227" s="44"/>
      <c r="S227" s="44"/>
      <c r="T227" s="365" t="b" cm="1">
        <f t="array" aca="1" ref="T227" ca="1">T226</f>
        <v>1</v>
      </c>
      <c r="U227" s="44"/>
      <c r="V227" s="44"/>
      <c r="X227" s="1075"/>
      <c r="Z227" s="1065"/>
      <c r="AB227" s="152" t="s">
        <v>2038</v>
      </c>
      <c r="AC227" s="153" t="s">
        <v>2039</v>
      </c>
      <c r="AD227" s="26" t="s">
        <v>804</v>
      </c>
      <c r="AE227" s="190">
        <f ca="1">SUMIFS(Покупка!AE$25:AE$254,Покупка!$F$25:$F$254,$F227,Покупка!$AC$25:$AC$254,$G227)</f>
        <v>2816.6610780000001</v>
      </c>
      <c r="AF227" s="190">
        <f ca="1">SUMIFS(Покупка!AF$25:AF$254,Покупка!$F$25:$F$254,$F227,Покупка!$AC$25:$AC$254,$G227)</f>
        <v>3187.22</v>
      </c>
      <c r="AG227" s="190">
        <f ca="1">SUMIFS(Покупка!AG$25:AG$254,Покупка!$F$25:$F$254,$F227,Покупка!$AC$25:$AC$254,$G227)</f>
        <v>3187.22</v>
      </c>
      <c r="AH227" s="190">
        <f t="shared" ca="1" si="49"/>
        <v>0</v>
      </c>
      <c r="AI227" s="190">
        <f ca="1">SUMIFS(Покупка!AH$25:AH$254,Покупка!$F$25:$F$254,$F227,Покупка!$AC$25:$AC$254,$G227)</f>
        <v>3353.0088191999998</v>
      </c>
      <c r="AJ227" s="190">
        <f ca="1">SUMIFS(Покупка!AI$25:AI$254,Покупка!$F$25:$F$254,$F227,Покупка!$AC$25:$AC$254,$G227)</f>
        <v>3666.46</v>
      </c>
      <c r="AK227" s="190">
        <f ca="1">SUMIFS(Покупка!AJ$25:AJ$254,Покупка!$F$25:$F$254,$F227,Покупка!$AC$25:$AC$254,$G227)</f>
        <v>0</v>
      </c>
      <c r="AL227" s="190">
        <f ca="1">SUMIFS(Покупка!AK$25:AK$254,Покупка!$F$25:$F$254,$F227,Покупка!$AC$25:$AC$254,$G227)</f>
        <v>0</v>
      </c>
      <c r="AM227" s="190">
        <f ca="1">SUMIFS(Покупка!AL$25:AL$254,Покупка!$F$25:$F$254,$F227,Покупка!$AC$25:$AC$254,$G227)</f>
        <v>0</v>
      </c>
      <c r="AN227" s="190">
        <f ca="1">SUMIFS(Покупка!AM$25:AM$254,Покупка!$F$25:$F$254,$F227,Покупка!$AC$25:$AC$254,$G227)</f>
        <v>0</v>
      </c>
      <c r="AO227" s="190">
        <f ca="1">SUMIFS(Покупка!AN$25:AN$254,Покупка!$F$25:$F$254,$F227,Покупка!$AC$25:$AC$254,$G227)</f>
        <v>0</v>
      </c>
      <c r="AP227" s="190">
        <f ca="1">SUMIFS(Покупка!AO$25:AO$254,Покупка!$F$25:$F$254,$F227,Покупка!$AC$25:$AC$254,$G227)</f>
        <v>0</v>
      </c>
      <c r="AQ227" s="190">
        <f ca="1">SUMIFS(Покупка!AP$25:AP$254,Покупка!$F$25:$F$254,$F227,Покупка!$AC$25:$AC$254,$G227)</f>
        <v>0</v>
      </c>
      <c r="AR227" s="190">
        <f ca="1">SUMIFS(Покупка!AQ$25:AQ$254,Покупка!$F$25:$F$254,$F227,Покупка!$AC$25:$AC$254,$G227)</f>
        <v>0</v>
      </c>
      <c r="AS227" s="190">
        <f ca="1">SUMIFS(Покупка!AR$25:AR$254,Покупка!$F$25:$F$254,$F227,Покупка!$AC$25:$AC$254,$G227)</f>
        <v>0</v>
      </c>
      <c r="AT227" s="190">
        <f ca="1">SUMIFS(Покупка!AS$25:AS$254,Покупка!$F$25:$F$254,$F227,Покупка!$AC$25:$AC$254,$G227)</f>
        <v>3552.56</v>
      </c>
      <c r="AU227" s="190">
        <f ca="1">SUMIFS(Покупка!AT$25:AT$254,Покупка!$F$25:$F$254,$F227,Покупка!$AC$25:$AC$254,$G227)</f>
        <v>0</v>
      </c>
      <c r="AV227" s="190">
        <f ca="1">SUMIFS(Покупка!AU$25:AU$254,Покупка!$F$25:$F$254,$F227,Покупка!$AC$25:$AC$254,$G227)</f>
        <v>0</v>
      </c>
      <c r="AW227" s="190">
        <f ca="1">SUMIFS(Покупка!AV$25:AV$254,Покупка!$F$25:$F$254,$F227,Покупка!$AC$25:$AC$254,$G227)</f>
        <v>0</v>
      </c>
      <c r="AX227" s="190">
        <f ca="1">SUMIFS(Покупка!AW$25:AW$254,Покупка!$F$25:$F$254,$F227,Покупка!$AC$25:$AC$254,$G227)</f>
        <v>0</v>
      </c>
      <c r="AY227" s="190">
        <f ca="1">SUMIFS(Покупка!AX$25:AX$254,Покупка!$F$25:$F$254,$F227,Покупка!$AC$25:$AC$254,$G227)</f>
        <v>0</v>
      </c>
      <c r="AZ227" s="190">
        <f ca="1">SUMIFS(Покупка!AY$25:AY$254,Покупка!$F$25:$F$254,$F227,Покупка!$AC$25:$AC$254,$G227)</f>
        <v>0</v>
      </c>
      <c r="BA227" s="190">
        <f ca="1">SUMIFS(Покупка!AZ$25:AZ$254,Покупка!$F$25:$F$254,$F227,Покупка!$AC$25:$AC$254,$G227)</f>
        <v>0</v>
      </c>
      <c r="BB227" s="190">
        <f ca="1">SUMIFS(Покупка!BA$25:BA$254,Покупка!$F$25:$F$254,$F227,Покупка!$AC$25:$AC$254,$G227)</f>
        <v>0</v>
      </c>
      <c r="BC227" s="190">
        <f ca="1">SUMIFS(Покупка!BB$25:BB$254,Покупка!$F$25:$F$254,$F227,Покупка!$AC$25:$AC$254,$G227)</f>
        <v>0</v>
      </c>
      <c r="BD227" s="190">
        <f t="shared" ca="1" si="51"/>
        <v>5.9514063803629176</v>
      </c>
      <c r="BE227" s="190">
        <f t="shared" ca="1" si="52"/>
        <v>-100</v>
      </c>
      <c r="BF227" s="190">
        <f t="shared" ca="1" si="53"/>
        <v>0</v>
      </c>
      <c r="BG227" s="190">
        <f t="shared" ca="1" si="54"/>
        <v>0</v>
      </c>
      <c r="BH227" s="190">
        <f t="shared" ca="1" si="55"/>
        <v>0</v>
      </c>
      <c r="BI227" s="190">
        <f t="shared" ca="1" si="56"/>
        <v>0</v>
      </c>
      <c r="BJ227" s="190">
        <f t="shared" ca="1" si="57"/>
        <v>0</v>
      </c>
      <c r="BK227" s="190">
        <f t="shared" ca="1" si="58"/>
        <v>0</v>
      </c>
      <c r="BL227" s="190">
        <f t="shared" ca="1" si="59"/>
        <v>0</v>
      </c>
      <c r="BM227" s="190">
        <f t="shared" ca="1" si="60"/>
        <v>0</v>
      </c>
      <c r="BN227" s="953" t="s">
        <v>2237</v>
      </c>
      <c r="BO227" s="610" t="s">
        <v>2236</v>
      </c>
      <c r="BP227" s="215"/>
      <c r="BS227" s="705" t="s">
        <v>2040</v>
      </c>
    </row>
    <row r="228" spans="1:75" ht="0" hidden="1" customHeight="1">
      <c r="B228" s="34"/>
      <c r="C228" s="44"/>
      <c r="D228" s="44"/>
      <c r="E228" s="462">
        <v>15</v>
      </c>
      <c r="F228" s="3" t="str" cm="1">
        <f t="array" aca="1" ref="F228" ca="1">OFFSET(E228,-1,1)</f>
        <v>1</v>
      </c>
      <c r="G228" s="44" t="s">
        <v>1134</v>
      </c>
      <c r="H228" s="44"/>
      <c r="I228" s="44" t="s">
        <v>1666</v>
      </c>
      <c r="J228" s="44"/>
      <c r="K228" s="44" t="s">
        <v>1666</v>
      </c>
      <c r="L228" s="44"/>
      <c r="M228" s="44"/>
      <c r="N228" s="44"/>
      <c r="O228" s="44"/>
      <c r="P228" s="44"/>
      <c r="Q228" s="44"/>
      <c r="R228" s="44"/>
      <c r="S228" s="44"/>
      <c r="T228" s="365" t="b" cm="1">
        <f t="array" aca="1" ref="T228" ca="1">T227</f>
        <v>1</v>
      </c>
      <c r="U228" s="44"/>
      <c r="V228" s="44"/>
      <c r="X228" s="1075"/>
      <c r="Z228" s="1065"/>
      <c r="AB228" s="152" t="s">
        <v>2041</v>
      </c>
      <c r="AC228" s="153" t="s">
        <v>2042</v>
      </c>
      <c r="AD228" s="26" t="s">
        <v>804</v>
      </c>
      <c r="AE228" s="190">
        <f ca="1">SUMIFS(Покупка!AE$25:AE$254,Покупка!$F$25:$F$254,$F228,Покупка!$AC$25:$AC$254,$G228)</f>
        <v>0</v>
      </c>
      <c r="AF228" s="190">
        <f ca="1">SUMIFS(Покупка!AF$25:AF$254,Покупка!$F$25:$F$254,$F228,Покупка!$AC$25:$AC$254,$G228)</f>
        <v>0</v>
      </c>
      <c r="AG228" s="190">
        <f ca="1">SUMIFS(Покупка!AG$25:AG$254,Покупка!$F$25:$F$254,$F228,Покупка!$AC$25:$AC$254,$G228)</f>
        <v>0</v>
      </c>
      <c r="AH228" s="190">
        <f t="shared" ca="1" si="49"/>
        <v>0</v>
      </c>
      <c r="AI228" s="190">
        <f ca="1">SUMIFS(Покупка!AH$25:AH$254,Покупка!$F$25:$F$254,$F228,Покупка!$AC$25:$AC$254,$G228)</f>
        <v>0</v>
      </c>
      <c r="AJ228" s="190">
        <f ca="1">SUMIFS(Покупка!AI$25:AI$254,Покупка!$F$25:$F$254,$F228,Покупка!$AC$25:$AC$254,$G228)</f>
        <v>0</v>
      </c>
      <c r="AK228" s="190">
        <f ca="1">SUMIFS(Покупка!AJ$25:AJ$254,Покупка!$F$25:$F$254,$F228,Покупка!$AC$25:$AC$254,$G228)</f>
        <v>0</v>
      </c>
      <c r="AL228" s="190">
        <f ca="1">SUMIFS(Покупка!AK$25:AK$254,Покупка!$F$25:$F$254,$F228,Покупка!$AC$25:$AC$254,$G228)</f>
        <v>0</v>
      </c>
      <c r="AM228" s="190">
        <f ca="1">SUMIFS(Покупка!AL$25:AL$254,Покупка!$F$25:$F$254,$F228,Покупка!$AC$25:$AC$254,$G228)</f>
        <v>0</v>
      </c>
      <c r="AN228" s="190">
        <f ca="1">SUMIFS(Покупка!AM$25:AM$254,Покупка!$F$25:$F$254,$F228,Покупка!$AC$25:$AC$254,$G228)</f>
        <v>0</v>
      </c>
      <c r="AO228" s="190">
        <f ca="1">SUMIFS(Покупка!AN$25:AN$254,Покупка!$F$25:$F$254,$F228,Покупка!$AC$25:$AC$254,$G228)</f>
        <v>0</v>
      </c>
      <c r="AP228" s="190">
        <f ca="1">SUMIFS(Покупка!AO$25:AO$254,Покупка!$F$25:$F$254,$F228,Покупка!$AC$25:$AC$254,$G228)</f>
        <v>0</v>
      </c>
      <c r="AQ228" s="190">
        <f ca="1">SUMIFS(Покупка!AP$25:AP$254,Покупка!$F$25:$F$254,$F228,Покупка!$AC$25:$AC$254,$G228)</f>
        <v>0</v>
      </c>
      <c r="AR228" s="190">
        <f ca="1">SUMIFS(Покупка!AQ$25:AQ$254,Покупка!$F$25:$F$254,$F228,Покупка!$AC$25:$AC$254,$G228)</f>
        <v>0</v>
      </c>
      <c r="AS228" s="190">
        <f ca="1">SUMIFS(Покупка!AR$25:AR$254,Покупка!$F$25:$F$254,$F228,Покупка!$AC$25:$AC$254,$G228)</f>
        <v>0</v>
      </c>
      <c r="AT228" s="190">
        <f ca="1">SUMIFS(Покупка!AS$25:AS$254,Покупка!$F$25:$F$254,$F228,Покупка!$AC$25:$AC$254,$G228)</f>
        <v>0</v>
      </c>
      <c r="AU228" s="190">
        <f ca="1">SUMIFS(Покупка!AT$25:AT$254,Покупка!$F$25:$F$254,$F228,Покупка!$AC$25:$AC$254,$G228)</f>
        <v>0</v>
      </c>
      <c r="AV228" s="190">
        <f ca="1">SUMIFS(Покупка!AU$25:AU$254,Покупка!$F$25:$F$254,$F228,Покупка!$AC$25:$AC$254,$G228)</f>
        <v>0</v>
      </c>
      <c r="AW228" s="190">
        <f ca="1">SUMIFS(Покупка!AV$25:AV$254,Покупка!$F$25:$F$254,$F228,Покупка!$AC$25:$AC$254,$G228)</f>
        <v>0</v>
      </c>
      <c r="AX228" s="190">
        <f ca="1">SUMIFS(Покупка!AW$25:AW$254,Покупка!$F$25:$F$254,$F228,Покупка!$AC$25:$AC$254,$G228)</f>
        <v>0</v>
      </c>
      <c r="AY228" s="190">
        <f ca="1">SUMIFS(Покупка!AX$25:AX$254,Покупка!$F$25:$F$254,$F228,Покупка!$AC$25:$AC$254,$G228)</f>
        <v>0</v>
      </c>
      <c r="AZ228" s="190">
        <f ca="1">SUMIFS(Покупка!AY$25:AY$254,Покупка!$F$25:$F$254,$F228,Покупка!$AC$25:$AC$254,$G228)</f>
        <v>0</v>
      </c>
      <c r="BA228" s="190">
        <f ca="1">SUMIFS(Покупка!AZ$25:AZ$254,Покупка!$F$25:$F$254,$F228,Покупка!$AC$25:$AC$254,$G228)</f>
        <v>0</v>
      </c>
      <c r="BB228" s="190">
        <f ca="1">SUMIFS(Покупка!BA$25:BA$254,Покупка!$F$25:$F$254,$F228,Покупка!$AC$25:$AC$254,$G228)</f>
        <v>0</v>
      </c>
      <c r="BC228" s="190">
        <f ca="1">SUMIFS(Покупка!BB$25:BB$254,Покупка!$F$25:$F$254,$F228,Покупка!$AC$25:$AC$254,$G228)</f>
        <v>0</v>
      </c>
      <c r="BD228" s="190">
        <f t="shared" ca="1" si="51"/>
        <v>0</v>
      </c>
      <c r="BE228" s="190">
        <f t="shared" ca="1" si="52"/>
        <v>0</v>
      </c>
      <c r="BF228" s="190">
        <f t="shared" ca="1" si="53"/>
        <v>0</v>
      </c>
      <c r="BG228" s="190">
        <f t="shared" ca="1" si="54"/>
        <v>0</v>
      </c>
      <c r="BH228" s="190">
        <f t="shared" ca="1" si="55"/>
        <v>0</v>
      </c>
      <c r="BI228" s="190">
        <f t="shared" ca="1" si="56"/>
        <v>0</v>
      </c>
      <c r="BJ228" s="190">
        <f t="shared" ca="1" si="57"/>
        <v>0</v>
      </c>
      <c r="BK228" s="190">
        <f t="shared" ca="1" si="58"/>
        <v>0</v>
      </c>
      <c r="BL228" s="190">
        <f t="shared" ca="1" si="59"/>
        <v>0</v>
      </c>
      <c r="BM228" s="190">
        <f t="shared" ca="1" si="60"/>
        <v>0</v>
      </c>
      <c r="BN228" s="215"/>
      <c r="BO228" s="610" t="str">
        <f ca="1">IF(IFERROR(INDEX(Покупка!$K$26:$L$254,MATCH($F228&amp;"8komm",Покупка!$K$26:$K$254,0),2),"")=0,"",IFERROR(INDEX(Покупка!$K$26:$L$254,MATCH($F228&amp;"8komm",Покупка!$K$26:$K$254,0),2),""))</f>
        <v/>
      </c>
      <c r="BP228" s="215"/>
      <c r="BS228" s="705" t="s">
        <v>1135</v>
      </c>
    </row>
    <row r="229" spans="1:75" ht="0" hidden="1" customHeight="1">
      <c r="B229" s="34"/>
      <c r="C229" s="44"/>
      <c r="D229" s="44"/>
      <c r="E229" s="462">
        <v>15</v>
      </c>
      <c r="F229" s="3" t="str" cm="1">
        <f t="array" aca="1" ref="F229" ca="1">OFFSET(E229,-1,1)</f>
        <v>1</v>
      </c>
      <c r="G229" s="44"/>
      <c r="H229" s="44"/>
      <c r="I229" s="44" t="s">
        <v>2043</v>
      </c>
      <c r="J229" s="44"/>
      <c r="K229" s="44" t="s">
        <v>2043</v>
      </c>
      <c r="L229" s="44"/>
      <c r="M229" s="44"/>
      <c r="N229" s="44"/>
      <c r="O229" s="44"/>
      <c r="P229" s="44"/>
      <c r="Q229" s="44"/>
      <c r="R229" s="44"/>
      <c r="S229" s="44"/>
      <c r="T229" s="365" t="b" cm="1">
        <f t="array" aca="1" ref="T229" ca="1">T228</f>
        <v>1</v>
      </c>
      <c r="U229" s="44"/>
      <c r="V229" s="44"/>
      <c r="X229" s="1075"/>
      <c r="Z229" s="1065"/>
      <c r="AB229" s="152" t="s">
        <v>2044</v>
      </c>
      <c r="AC229" s="153" t="s">
        <v>2045</v>
      </c>
      <c r="AD229" s="26" t="s">
        <v>804</v>
      </c>
      <c r="AE229" s="147"/>
      <c r="AF229" s="147"/>
      <c r="AG229" s="147"/>
      <c r="AH229" s="190">
        <f t="shared" si="49"/>
        <v>0</v>
      </c>
      <c r="AI229" s="147"/>
      <c r="AJ229" s="147"/>
      <c r="AK229" s="787"/>
      <c r="AL229" s="787"/>
      <c r="AM229" s="787"/>
      <c r="AN229" s="787"/>
      <c r="AO229" s="787"/>
      <c r="AP229" s="787"/>
      <c r="AQ229" s="787"/>
      <c r="AR229" s="787"/>
      <c r="AS229" s="787"/>
      <c r="AT229" s="147"/>
      <c r="AU229" s="787"/>
      <c r="AV229" s="787"/>
      <c r="AW229" s="787"/>
      <c r="AX229" s="787"/>
      <c r="AY229" s="787"/>
      <c r="AZ229" s="787"/>
      <c r="BA229" s="787"/>
      <c r="BB229" s="787"/>
      <c r="BC229" s="787"/>
      <c r="BD229" s="190">
        <f t="shared" si="51"/>
        <v>0</v>
      </c>
      <c r="BE229" s="190">
        <f t="shared" si="52"/>
        <v>0</v>
      </c>
      <c r="BF229" s="190">
        <f t="shared" si="53"/>
        <v>0</v>
      </c>
      <c r="BG229" s="190">
        <f t="shared" si="54"/>
        <v>0</v>
      </c>
      <c r="BH229" s="190">
        <f t="shared" si="55"/>
        <v>0</v>
      </c>
      <c r="BI229" s="190">
        <f t="shared" si="56"/>
        <v>0</v>
      </c>
      <c r="BJ229" s="190">
        <f t="shared" si="57"/>
        <v>0</v>
      </c>
      <c r="BK229" s="190">
        <f t="shared" si="58"/>
        <v>0</v>
      </c>
      <c r="BL229" s="190">
        <f t="shared" si="59"/>
        <v>0</v>
      </c>
      <c r="BM229" s="190">
        <f t="shared" si="60"/>
        <v>0</v>
      </c>
      <c r="BN229" s="215"/>
      <c r="BO229" s="215"/>
      <c r="BP229" s="215"/>
      <c r="BS229" s="705" t="s">
        <v>2046</v>
      </c>
    </row>
    <row r="230" spans="1:75" ht="0" hidden="1" customHeight="1">
      <c r="B230" s="34"/>
      <c r="C230" s="44"/>
      <c r="D230" s="44"/>
      <c r="E230" s="462">
        <v>15</v>
      </c>
      <c r="F230" s="3" t="str" cm="1">
        <f t="array" aca="1" ref="F230" ca="1">OFFSET(E230,-1,1)</f>
        <v>1</v>
      </c>
      <c r="G230" s="44"/>
      <c r="H230" s="44"/>
      <c r="I230" s="44" t="s">
        <v>2047</v>
      </c>
      <c r="J230" s="44"/>
      <c r="K230" s="44" t="s">
        <v>2047</v>
      </c>
      <c r="L230" s="44"/>
      <c r="M230" s="44"/>
      <c r="N230" s="44"/>
      <c r="O230" s="44"/>
      <c r="P230" s="44"/>
      <c r="Q230" s="44"/>
      <c r="R230" s="44"/>
      <c r="S230" s="44"/>
      <c r="T230" s="365" t="b" cm="1">
        <f t="array" aca="1" ref="T230" ca="1">T229</f>
        <v>1</v>
      </c>
      <c r="U230" s="44"/>
      <c r="V230" s="44"/>
      <c r="X230" s="1075"/>
      <c r="Z230" s="1065"/>
      <c r="AB230" s="152" t="s">
        <v>2048</v>
      </c>
      <c r="AC230" s="153" t="s">
        <v>2049</v>
      </c>
      <c r="AD230" s="26" t="s">
        <v>804</v>
      </c>
      <c r="AE230" s="147"/>
      <c r="AF230" s="147"/>
      <c r="AG230" s="147"/>
      <c r="AH230" s="190">
        <f t="shared" si="49"/>
        <v>0</v>
      </c>
      <c r="AI230" s="147"/>
      <c r="AJ230" s="147"/>
      <c r="AK230" s="787"/>
      <c r="AL230" s="787"/>
      <c r="AM230" s="787"/>
      <c r="AN230" s="787"/>
      <c r="AO230" s="787"/>
      <c r="AP230" s="787"/>
      <c r="AQ230" s="787"/>
      <c r="AR230" s="787"/>
      <c r="AS230" s="787"/>
      <c r="AT230" s="147"/>
      <c r="AU230" s="787"/>
      <c r="AV230" s="787"/>
      <c r="AW230" s="787"/>
      <c r="AX230" s="787"/>
      <c r="AY230" s="787"/>
      <c r="AZ230" s="787"/>
      <c r="BA230" s="787"/>
      <c r="BB230" s="787"/>
      <c r="BC230" s="787"/>
      <c r="BD230" s="190">
        <f t="shared" si="51"/>
        <v>0</v>
      </c>
      <c r="BE230" s="190">
        <f t="shared" si="52"/>
        <v>0</v>
      </c>
      <c r="BF230" s="190">
        <f t="shared" si="53"/>
        <v>0</v>
      </c>
      <c r="BG230" s="190">
        <f t="shared" si="54"/>
        <v>0</v>
      </c>
      <c r="BH230" s="190">
        <f t="shared" si="55"/>
        <v>0</v>
      </c>
      <c r="BI230" s="190">
        <f t="shared" si="56"/>
        <v>0</v>
      </c>
      <c r="BJ230" s="190">
        <f t="shared" si="57"/>
        <v>0</v>
      </c>
      <c r="BK230" s="190">
        <f t="shared" si="58"/>
        <v>0</v>
      </c>
      <c r="BL230" s="190">
        <f t="shared" si="59"/>
        <v>0</v>
      </c>
      <c r="BM230" s="190">
        <f t="shared" si="60"/>
        <v>0</v>
      </c>
      <c r="BN230" s="215"/>
      <c r="BO230" s="215"/>
      <c r="BP230" s="215"/>
      <c r="BS230" s="705" t="s">
        <v>2050</v>
      </c>
    </row>
    <row r="231" spans="1:75" ht="0" hidden="1" customHeight="1">
      <c r="B231" s="34"/>
      <c r="C231" s="44"/>
      <c r="D231" s="44"/>
      <c r="E231" s="462">
        <v>15</v>
      </c>
      <c r="F231" s="3" t="str" cm="1">
        <f t="array" aca="1" ref="F231" ca="1">OFFSET(E231,-1,1)</f>
        <v>1</v>
      </c>
      <c r="G231" s="44" t="s">
        <v>1086</v>
      </c>
      <c r="H231" s="44"/>
      <c r="I231" s="44" t="s">
        <v>2051</v>
      </c>
      <c r="J231" s="44"/>
      <c r="K231" s="44" t="s">
        <v>2051</v>
      </c>
      <c r="L231" s="44" t="s">
        <v>1520</v>
      </c>
      <c r="M231" s="44"/>
      <c r="N231" s="44"/>
      <c r="O231" s="44"/>
      <c r="P231" s="44"/>
      <c r="Q231" s="44"/>
      <c r="R231" s="44"/>
      <c r="S231" s="44"/>
      <c r="T231" s="365" t="b" cm="1">
        <f t="array" aca="1" ref="T231" ca="1">T230</f>
        <v>1</v>
      </c>
      <c r="U231" s="44"/>
      <c r="V231" s="44"/>
      <c r="X231" s="1075"/>
      <c r="Z231" s="1065"/>
      <c r="AB231" s="152" t="s">
        <v>2052</v>
      </c>
      <c r="AC231" s="153" t="s">
        <v>2053</v>
      </c>
      <c r="AD231" s="26" t="s">
        <v>804</v>
      </c>
      <c r="AE231" s="190">
        <f ca="1">SUMIFS(Покупка!AE$25:AE$254,Покупка!$F$25:$F$254,$F231,Покупка!$AC$25:$AC$254,$G231)</f>
        <v>0</v>
      </c>
      <c r="AF231" s="190">
        <f ca="1">SUMIFS(Покупка!AF$25:AF$254,Покупка!$F$25:$F$254,$F231,Покупка!$AC$25:$AC$254,$G231)</f>
        <v>0</v>
      </c>
      <c r="AG231" s="190">
        <f ca="1">SUMIFS(Покупка!AG$25:AG$254,Покупка!$F$25:$F$254,$F231,Покупка!$AC$25:$AC$254,$G231)</f>
        <v>0</v>
      </c>
      <c r="AH231" s="190">
        <f t="shared" ca="1" si="49"/>
        <v>0</v>
      </c>
      <c r="AI231" s="190">
        <f ca="1">SUMIFS(Покупка!AH$25:AH$254,Покупка!$F$25:$F$254,$F231,Покупка!$AC$25:$AC$254,$G231)</f>
        <v>0</v>
      </c>
      <c r="AJ231" s="190">
        <f ca="1">SUMIFS(Покупка!AI$25:AI$254,Покупка!$F$25:$F$254,$F231,Покупка!$AC$25:$AC$254,$G231)</f>
        <v>0</v>
      </c>
      <c r="AK231" s="190">
        <f ca="1">SUMIFS(Покупка!AJ$25:AJ$254,Покупка!$F$25:$F$254,$F231,Покупка!$AC$25:$AC$254,$G231)</f>
        <v>0</v>
      </c>
      <c r="AL231" s="190">
        <f ca="1">SUMIFS(Покупка!AK$25:AK$254,Покупка!$F$25:$F$254,$F231,Покупка!$AC$25:$AC$254,$G231)</f>
        <v>0</v>
      </c>
      <c r="AM231" s="190">
        <f ca="1">SUMIFS(Покупка!AL$25:AL$254,Покупка!$F$25:$F$254,$F231,Покупка!$AC$25:$AC$254,$G231)</f>
        <v>0</v>
      </c>
      <c r="AN231" s="190">
        <f ca="1">SUMIFS(Покупка!AM$25:AM$254,Покупка!$F$25:$F$254,$F231,Покупка!$AC$25:$AC$254,$G231)</f>
        <v>0</v>
      </c>
      <c r="AO231" s="190">
        <f ca="1">SUMIFS(Покупка!AN$25:AN$254,Покупка!$F$25:$F$254,$F231,Покупка!$AC$25:$AC$254,$G231)</f>
        <v>0</v>
      </c>
      <c r="AP231" s="190">
        <f ca="1">SUMIFS(Покупка!AO$25:AO$254,Покупка!$F$25:$F$254,$F231,Покупка!$AC$25:$AC$254,$G231)</f>
        <v>0</v>
      </c>
      <c r="AQ231" s="190">
        <f ca="1">SUMIFS(Покупка!AP$25:AP$254,Покупка!$F$25:$F$254,$F231,Покупка!$AC$25:$AC$254,$G231)</f>
        <v>0</v>
      </c>
      <c r="AR231" s="190">
        <f ca="1">SUMIFS(Покупка!AQ$25:AQ$254,Покупка!$F$25:$F$254,$F231,Покупка!$AC$25:$AC$254,$G231)</f>
        <v>0</v>
      </c>
      <c r="AS231" s="190">
        <f ca="1">SUMIFS(Покупка!AR$25:AR$254,Покупка!$F$25:$F$254,$F231,Покупка!$AC$25:$AC$254,$G231)</f>
        <v>0</v>
      </c>
      <c r="AT231" s="190">
        <f ca="1">SUMIFS(Покупка!AS$25:AS$254,Покупка!$F$25:$F$254,$F231,Покупка!$AC$25:$AC$254,$G231)</f>
        <v>0</v>
      </c>
      <c r="AU231" s="190">
        <f ca="1">SUMIFS(Покупка!AT$25:AT$254,Покупка!$F$25:$F$254,$F231,Покупка!$AC$25:$AC$254,$G231)</f>
        <v>0</v>
      </c>
      <c r="AV231" s="190">
        <f ca="1">SUMIFS(Покупка!AU$25:AU$254,Покупка!$F$25:$F$254,$F231,Покупка!$AC$25:$AC$254,$G231)</f>
        <v>0</v>
      </c>
      <c r="AW231" s="190">
        <f ca="1">SUMIFS(Покупка!AV$25:AV$254,Покупка!$F$25:$F$254,$F231,Покупка!$AC$25:$AC$254,$G231)</f>
        <v>0</v>
      </c>
      <c r="AX231" s="190">
        <f ca="1">SUMIFS(Покупка!AW$25:AW$254,Покупка!$F$25:$F$254,$F231,Покупка!$AC$25:$AC$254,$G231)</f>
        <v>0</v>
      </c>
      <c r="AY231" s="190">
        <f ca="1">SUMIFS(Покупка!AX$25:AX$254,Покупка!$F$25:$F$254,$F231,Покупка!$AC$25:$AC$254,$G231)</f>
        <v>0</v>
      </c>
      <c r="AZ231" s="190">
        <f ca="1">SUMIFS(Покупка!AY$25:AY$254,Покупка!$F$25:$F$254,$F231,Покупка!$AC$25:$AC$254,$G231)</f>
        <v>0</v>
      </c>
      <c r="BA231" s="190">
        <f ca="1">SUMIFS(Покупка!AZ$25:AZ$254,Покупка!$F$25:$F$254,$F231,Покупка!$AC$25:$AC$254,$G231)</f>
        <v>0</v>
      </c>
      <c r="BB231" s="190">
        <f ca="1">SUMIFS(Покупка!BA$25:BA$254,Покупка!$F$25:$F$254,$F231,Покупка!$AC$25:$AC$254,$G231)</f>
        <v>0</v>
      </c>
      <c r="BC231" s="190">
        <f ca="1">SUMIFS(Покупка!BB$25:BB$254,Покупка!$F$25:$F$254,$F231,Покупка!$AC$25:$AC$254,$G231)</f>
        <v>0</v>
      </c>
      <c r="BD231" s="190">
        <f t="shared" ca="1" si="51"/>
        <v>0</v>
      </c>
      <c r="BE231" s="190">
        <f t="shared" ca="1" si="52"/>
        <v>0</v>
      </c>
      <c r="BF231" s="190">
        <f t="shared" ca="1" si="53"/>
        <v>0</v>
      </c>
      <c r="BG231" s="190">
        <f t="shared" ca="1" si="54"/>
        <v>0</v>
      </c>
      <c r="BH231" s="190">
        <f t="shared" ca="1" si="55"/>
        <v>0</v>
      </c>
      <c r="BI231" s="190">
        <f t="shared" ca="1" si="56"/>
        <v>0</v>
      </c>
      <c r="BJ231" s="190">
        <f t="shared" ca="1" si="57"/>
        <v>0</v>
      </c>
      <c r="BK231" s="190">
        <f t="shared" ca="1" si="58"/>
        <v>0</v>
      </c>
      <c r="BL231" s="190">
        <f t="shared" ca="1" si="59"/>
        <v>0</v>
      </c>
      <c r="BM231" s="190">
        <f t="shared" ca="1" si="60"/>
        <v>0</v>
      </c>
      <c r="BN231" s="215"/>
      <c r="BO231" s="610" t="str">
        <f ca="1">IF(IFERROR(INDEX(Покупка!$K$26:$L$254,MATCH($F231&amp;"3komm",Покупка!$K$26:$K$254,0),2),"")=0,"",IFERROR(INDEX(Покупка!$K$26:$L$254,MATCH($F231&amp;"3komm",Покупка!$K$26:$K$254,0),2),""))</f>
        <v/>
      </c>
      <c r="BP231" s="215"/>
      <c r="BS231" s="705" t="s">
        <v>1746</v>
      </c>
    </row>
    <row r="232" spans="1:75" ht="0" hidden="1" customHeight="1">
      <c r="B232" s="34"/>
      <c r="C232" s="44"/>
      <c r="D232" s="44"/>
      <c r="E232" s="462">
        <v>15</v>
      </c>
      <c r="F232" s="3" t="str" cm="1">
        <f t="array" aca="1" ref="F232" ca="1">OFFSET(E232,-1,1)</f>
        <v>1</v>
      </c>
      <c r="G232" s="44" t="s">
        <v>1092</v>
      </c>
      <c r="H232" s="44"/>
      <c r="I232" s="44" t="s">
        <v>2054</v>
      </c>
      <c r="J232" s="44"/>
      <c r="K232" s="44" t="s">
        <v>2054</v>
      </c>
      <c r="L232" s="44" t="s">
        <v>1525</v>
      </c>
      <c r="M232" s="44"/>
      <c r="N232" s="44"/>
      <c r="O232" s="44"/>
      <c r="P232" s="44"/>
      <c r="Q232" s="44"/>
      <c r="R232" s="44"/>
      <c r="S232" s="44"/>
      <c r="T232" s="365" t="b" cm="1">
        <f t="array" aca="1" ref="T232" ca="1">T231</f>
        <v>1</v>
      </c>
      <c r="U232" s="44"/>
      <c r="V232" s="44"/>
      <c r="X232" s="1075"/>
      <c r="Z232" s="1065"/>
      <c r="AB232" s="152" t="s">
        <v>2055</v>
      </c>
      <c r="AC232" s="153" t="s">
        <v>2056</v>
      </c>
      <c r="AD232" s="26" t="s">
        <v>804</v>
      </c>
      <c r="AE232" s="190">
        <f ca="1">SUMIFS(Покупка!AE$25:AE$254,Покупка!$F$25:$F$254,$F232,Покупка!$AC$25:$AC$254,$G232)</f>
        <v>0</v>
      </c>
      <c r="AF232" s="190">
        <f ca="1">SUMIFS(Покупка!AF$25:AF$254,Покупка!$F$25:$F$254,$F232,Покупка!$AC$25:$AC$254,$G232)</f>
        <v>0</v>
      </c>
      <c r="AG232" s="190">
        <f ca="1">SUMIFS(Покупка!AG$25:AG$254,Покупка!$F$25:$F$254,$F232,Покупка!$AC$25:$AC$254,$G232)</f>
        <v>0</v>
      </c>
      <c r="AH232" s="190">
        <f t="shared" ca="1" si="49"/>
        <v>0</v>
      </c>
      <c r="AI232" s="190">
        <f ca="1">SUMIFS(Покупка!AH$25:AH$254,Покупка!$F$25:$F$254,$F232,Покупка!$AC$25:$AC$254,$G232)</f>
        <v>0</v>
      </c>
      <c r="AJ232" s="190">
        <f ca="1">SUMIFS(Покупка!AI$25:AI$254,Покупка!$F$25:$F$254,$F232,Покупка!$AC$25:$AC$254,$G232)</f>
        <v>0</v>
      </c>
      <c r="AK232" s="190">
        <f ca="1">SUMIFS(Покупка!AJ$25:AJ$254,Покупка!$F$25:$F$254,$F232,Покупка!$AC$25:$AC$254,$G232)</f>
        <v>0</v>
      </c>
      <c r="AL232" s="190">
        <f ca="1">SUMIFS(Покупка!AK$25:AK$254,Покупка!$F$25:$F$254,$F232,Покупка!$AC$25:$AC$254,$G232)</f>
        <v>0</v>
      </c>
      <c r="AM232" s="190">
        <f ca="1">SUMIFS(Покупка!AL$25:AL$254,Покупка!$F$25:$F$254,$F232,Покупка!$AC$25:$AC$254,$G232)</f>
        <v>0</v>
      </c>
      <c r="AN232" s="190">
        <f ca="1">SUMIFS(Покупка!AM$25:AM$254,Покупка!$F$25:$F$254,$F232,Покупка!$AC$25:$AC$254,$G232)</f>
        <v>0</v>
      </c>
      <c r="AO232" s="190">
        <f ca="1">SUMIFS(Покупка!AN$25:AN$254,Покупка!$F$25:$F$254,$F232,Покупка!$AC$25:$AC$254,$G232)</f>
        <v>0</v>
      </c>
      <c r="AP232" s="190">
        <f ca="1">SUMIFS(Покупка!AO$25:AO$254,Покупка!$F$25:$F$254,$F232,Покупка!$AC$25:$AC$254,$G232)</f>
        <v>0</v>
      </c>
      <c r="AQ232" s="190">
        <f ca="1">SUMIFS(Покупка!AP$25:AP$254,Покупка!$F$25:$F$254,$F232,Покупка!$AC$25:$AC$254,$G232)</f>
        <v>0</v>
      </c>
      <c r="AR232" s="190">
        <f ca="1">SUMIFS(Покупка!AQ$25:AQ$254,Покупка!$F$25:$F$254,$F232,Покупка!$AC$25:$AC$254,$G232)</f>
        <v>0</v>
      </c>
      <c r="AS232" s="190">
        <f ca="1">SUMIFS(Покупка!AR$25:AR$254,Покупка!$F$25:$F$254,$F232,Покупка!$AC$25:$AC$254,$G232)</f>
        <v>0</v>
      </c>
      <c r="AT232" s="190">
        <f ca="1">SUMIFS(Покупка!AS$25:AS$254,Покупка!$F$25:$F$254,$F232,Покупка!$AC$25:$AC$254,$G232)</f>
        <v>0</v>
      </c>
      <c r="AU232" s="190">
        <f ca="1">SUMIFS(Покупка!AT$25:AT$254,Покупка!$F$25:$F$254,$F232,Покупка!$AC$25:$AC$254,$G232)</f>
        <v>0</v>
      </c>
      <c r="AV232" s="190">
        <f ca="1">SUMIFS(Покупка!AU$25:AU$254,Покупка!$F$25:$F$254,$F232,Покупка!$AC$25:$AC$254,$G232)</f>
        <v>0</v>
      </c>
      <c r="AW232" s="190">
        <f ca="1">SUMIFS(Покупка!AV$25:AV$254,Покупка!$F$25:$F$254,$F232,Покупка!$AC$25:$AC$254,$G232)</f>
        <v>0</v>
      </c>
      <c r="AX232" s="190">
        <f ca="1">SUMIFS(Покупка!AW$25:AW$254,Покупка!$F$25:$F$254,$F232,Покупка!$AC$25:$AC$254,$G232)</f>
        <v>0</v>
      </c>
      <c r="AY232" s="190">
        <f ca="1">SUMIFS(Покупка!AX$25:AX$254,Покупка!$F$25:$F$254,$F232,Покупка!$AC$25:$AC$254,$G232)</f>
        <v>0</v>
      </c>
      <c r="AZ232" s="190">
        <f ca="1">SUMIFS(Покупка!AY$25:AY$254,Покупка!$F$25:$F$254,$F232,Покупка!$AC$25:$AC$254,$G232)</f>
        <v>0</v>
      </c>
      <c r="BA232" s="190">
        <f ca="1">SUMIFS(Покупка!AZ$25:AZ$254,Покупка!$F$25:$F$254,$F232,Покупка!$AC$25:$AC$254,$G232)</f>
        <v>0</v>
      </c>
      <c r="BB232" s="190">
        <f ca="1">SUMIFS(Покупка!BA$25:BA$254,Покупка!$F$25:$F$254,$F232,Покупка!$AC$25:$AC$254,$G232)</f>
        <v>0</v>
      </c>
      <c r="BC232" s="190">
        <f ca="1">SUMIFS(Покупка!BB$25:BB$254,Покупка!$F$25:$F$254,$F232,Покупка!$AC$25:$AC$254,$G232)</f>
        <v>0</v>
      </c>
      <c r="BD232" s="190">
        <f t="shared" ca="1" si="51"/>
        <v>0</v>
      </c>
      <c r="BE232" s="190">
        <f t="shared" ca="1" si="52"/>
        <v>0</v>
      </c>
      <c r="BF232" s="190">
        <f t="shared" ca="1" si="53"/>
        <v>0</v>
      </c>
      <c r="BG232" s="190">
        <f t="shared" ca="1" si="54"/>
        <v>0</v>
      </c>
      <c r="BH232" s="190">
        <f t="shared" ca="1" si="55"/>
        <v>0</v>
      </c>
      <c r="BI232" s="190">
        <f t="shared" ca="1" si="56"/>
        <v>0</v>
      </c>
      <c r="BJ232" s="190">
        <f t="shared" ca="1" si="57"/>
        <v>0</v>
      </c>
      <c r="BK232" s="190">
        <f t="shared" ca="1" si="58"/>
        <v>0</v>
      </c>
      <c r="BL232" s="190">
        <f t="shared" ca="1" si="59"/>
        <v>0</v>
      </c>
      <c r="BM232" s="190">
        <f t="shared" ca="1" si="60"/>
        <v>0</v>
      </c>
      <c r="BN232" s="215"/>
      <c r="BO232" s="610" t="str">
        <f ca="1">IF(IFERROR(INDEX(Покупка!$K$26:$L$254,MATCH($F232&amp;"4komm",Покупка!$K$26:$K$254,0),2),"")=0,"",IFERROR(INDEX(Покупка!$K$26:$L$254,MATCH($F231&amp;"3komm",Покупка!$K$26:$K$254,0),2),""))</f>
        <v/>
      </c>
      <c r="BP232" s="215"/>
      <c r="BS232" s="705" t="s">
        <v>1749</v>
      </c>
    </row>
    <row r="233" spans="1:75" ht="0" hidden="1" customHeight="1">
      <c r="B233" s="34"/>
      <c r="C233" s="44"/>
      <c r="D233" s="44"/>
      <c r="E233" s="462">
        <v>15</v>
      </c>
      <c r="F233" s="3" t="str" cm="1">
        <f t="array" aca="1" ref="F233" ca="1">OFFSET(E233,-1,1)</f>
        <v>1</v>
      </c>
      <c r="G233" s="44" t="s">
        <v>1099</v>
      </c>
      <c r="H233" s="44"/>
      <c r="I233" s="44" t="s">
        <v>2057</v>
      </c>
      <c r="J233" s="44"/>
      <c r="K233" s="44" t="s">
        <v>2057</v>
      </c>
      <c r="L233" s="44" t="s">
        <v>1535</v>
      </c>
      <c r="M233" s="44"/>
      <c r="N233" s="44"/>
      <c r="O233" s="44"/>
      <c r="P233" s="44"/>
      <c r="Q233" s="44"/>
      <c r="R233" s="44"/>
      <c r="S233" s="44"/>
      <c r="T233" s="365" t="b" cm="1">
        <f t="array" aca="1" ref="T233" ca="1">T232</f>
        <v>1</v>
      </c>
      <c r="U233" s="44"/>
      <c r="V233" s="44"/>
      <c r="X233" s="1075"/>
      <c r="Z233" s="1065"/>
      <c r="AB233" s="152" t="s">
        <v>2058</v>
      </c>
      <c r="AC233" s="153" t="s">
        <v>2059</v>
      </c>
      <c r="AD233" s="26" t="s">
        <v>804</v>
      </c>
      <c r="AE233" s="190">
        <f ca="1">SUMIFS(Покупка!AE$25:AE$254,Покупка!$F$25:$F$254,$F233,Покупка!$AC$25:$AC$254,$G233)</f>
        <v>0</v>
      </c>
      <c r="AF233" s="190">
        <f ca="1">SUMIFS(Покупка!AF$25:AF$254,Покупка!$F$25:$F$254,$F233,Покупка!$AC$25:$AC$254,$G233)</f>
        <v>0</v>
      </c>
      <c r="AG233" s="190">
        <f ca="1">SUMIFS(Покупка!AG$25:AG$254,Покупка!$F$25:$F$254,$F233,Покупка!$AC$25:$AC$254,$G233)</f>
        <v>0</v>
      </c>
      <c r="AH233" s="190">
        <f t="shared" ca="1" si="49"/>
        <v>0</v>
      </c>
      <c r="AI233" s="190">
        <f ca="1">SUMIFS(Покупка!AH$25:AH$254,Покупка!$F$25:$F$254,$F233,Покупка!$AC$25:$AC$254,$G233)</f>
        <v>0</v>
      </c>
      <c r="AJ233" s="190">
        <f ca="1">SUMIFS(Покупка!AI$25:AI$254,Покупка!$F$25:$F$254,$F233,Покупка!$AC$25:$AC$254,$G233)</f>
        <v>0</v>
      </c>
      <c r="AK233" s="190">
        <f ca="1">SUMIFS(Покупка!AJ$25:AJ$254,Покупка!$F$25:$F$254,$F233,Покупка!$AC$25:$AC$254,$G233)</f>
        <v>0</v>
      </c>
      <c r="AL233" s="190">
        <f ca="1">SUMIFS(Покупка!AK$25:AK$254,Покупка!$F$25:$F$254,$F233,Покупка!$AC$25:$AC$254,$G233)</f>
        <v>0</v>
      </c>
      <c r="AM233" s="190">
        <f ca="1">SUMIFS(Покупка!AL$25:AL$254,Покупка!$F$25:$F$254,$F233,Покупка!$AC$25:$AC$254,$G233)</f>
        <v>0</v>
      </c>
      <c r="AN233" s="190">
        <f ca="1">SUMIFS(Покупка!AM$25:AM$254,Покупка!$F$25:$F$254,$F233,Покупка!$AC$25:$AC$254,$G233)</f>
        <v>0</v>
      </c>
      <c r="AO233" s="190">
        <f ca="1">SUMIFS(Покупка!AN$25:AN$254,Покупка!$F$25:$F$254,$F233,Покупка!$AC$25:$AC$254,$G233)</f>
        <v>0</v>
      </c>
      <c r="AP233" s="190">
        <f ca="1">SUMIFS(Покупка!AO$25:AO$254,Покупка!$F$25:$F$254,$F233,Покупка!$AC$25:$AC$254,$G233)</f>
        <v>0</v>
      </c>
      <c r="AQ233" s="190">
        <f ca="1">SUMIFS(Покупка!AP$25:AP$254,Покупка!$F$25:$F$254,$F233,Покупка!$AC$25:$AC$254,$G233)</f>
        <v>0</v>
      </c>
      <c r="AR233" s="190">
        <f ca="1">SUMIFS(Покупка!AQ$25:AQ$254,Покупка!$F$25:$F$254,$F233,Покупка!$AC$25:$AC$254,$G233)</f>
        <v>0</v>
      </c>
      <c r="AS233" s="190">
        <f ca="1">SUMIFS(Покупка!AR$25:AR$254,Покупка!$F$25:$F$254,$F233,Покупка!$AC$25:$AC$254,$G233)</f>
        <v>0</v>
      </c>
      <c r="AT233" s="190">
        <f ca="1">SUMIFS(Покупка!AS$25:AS$254,Покупка!$F$25:$F$254,$F233,Покупка!$AC$25:$AC$254,$G233)</f>
        <v>0</v>
      </c>
      <c r="AU233" s="190">
        <f ca="1">SUMIFS(Покупка!AT$25:AT$254,Покупка!$F$25:$F$254,$F233,Покупка!$AC$25:$AC$254,$G233)</f>
        <v>0</v>
      </c>
      <c r="AV233" s="190">
        <f ca="1">SUMIFS(Покупка!AU$25:AU$254,Покупка!$F$25:$F$254,$F233,Покупка!$AC$25:$AC$254,$G233)</f>
        <v>0</v>
      </c>
      <c r="AW233" s="190">
        <f ca="1">SUMIFS(Покупка!AV$25:AV$254,Покупка!$F$25:$F$254,$F233,Покупка!$AC$25:$AC$254,$G233)</f>
        <v>0</v>
      </c>
      <c r="AX233" s="190">
        <f ca="1">SUMIFS(Покупка!AW$25:AW$254,Покупка!$F$25:$F$254,$F233,Покупка!$AC$25:$AC$254,$G233)</f>
        <v>0</v>
      </c>
      <c r="AY233" s="190">
        <f ca="1">SUMIFS(Покупка!AX$25:AX$254,Покупка!$F$25:$F$254,$F233,Покупка!$AC$25:$AC$254,$G233)</f>
        <v>0</v>
      </c>
      <c r="AZ233" s="190">
        <f ca="1">SUMIFS(Покупка!AY$25:AY$254,Покупка!$F$25:$F$254,$F233,Покупка!$AC$25:$AC$254,$G233)</f>
        <v>0</v>
      </c>
      <c r="BA233" s="190">
        <f ca="1">SUMIFS(Покупка!AZ$25:AZ$254,Покупка!$F$25:$F$254,$F233,Покупка!$AC$25:$AC$254,$G233)</f>
        <v>0</v>
      </c>
      <c r="BB233" s="190">
        <f ca="1">SUMIFS(Покупка!BA$25:BA$254,Покупка!$F$25:$F$254,$F233,Покупка!$AC$25:$AC$254,$G233)</f>
        <v>0</v>
      </c>
      <c r="BC233" s="190">
        <f ca="1">SUMIFS(Покупка!BB$25:BB$254,Покупка!$F$25:$F$254,$F233,Покупка!$AC$25:$AC$254,$G233)</f>
        <v>0</v>
      </c>
      <c r="BD233" s="190">
        <f t="shared" ca="1" si="51"/>
        <v>0</v>
      </c>
      <c r="BE233" s="190">
        <f t="shared" ca="1" si="52"/>
        <v>0</v>
      </c>
      <c r="BF233" s="190">
        <f t="shared" ca="1" si="53"/>
        <v>0</v>
      </c>
      <c r="BG233" s="190">
        <f t="shared" ca="1" si="54"/>
        <v>0</v>
      </c>
      <c r="BH233" s="190">
        <f t="shared" ca="1" si="55"/>
        <v>0</v>
      </c>
      <c r="BI233" s="190">
        <f t="shared" ca="1" si="56"/>
        <v>0</v>
      </c>
      <c r="BJ233" s="190">
        <f t="shared" ca="1" si="57"/>
        <v>0</v>
      </c>
      <c r="BK233" s="190">
        <f t="shared" ca="1" si="58"/>
        <v>0</v>
      </c>
      <c r="BL233" s="190">
        <f t="shared" ca="1" si="59"/>
        <v>0</v>
      </c>
      <c r="BM233" s="190">
        <f t="shared" ca="1" si="60"/>
        <v>0</v>
      </c>
      <c r="BN233" s="215"/>
      <c r="BO233" s="610" t="str">
        <f ca="1">IF(IFERROR(INDEX(Покупка!$K$26:$L$254,MATCH($F233&amp;"5komm",Покупка!$K$26:$K$254,0),2),"")=0,"",IFERROR(INDEX(Покупка!$K$26:$L$254,MATCH($F233&amp;"5komm",Покупка!$K$26:$K$254,0),2),""))</f>
        <v/>
      </c>
      <c r="BP233" s="215"/>
      <c r="BS233" s="705" t="s">
        <v>1752</v>
      </c>
    </row>
    <row r="234" spans="1:75" s="388" customFormat="1" ht="0" hidden="1" customHeight="1">
      <c r="B234" s="34"/>
      <c r="C234" s="44"/>
      <c r="D234" s="44"/>
      <c r="E234" s="462">
        <v>15</v>
      </c>
      <c r="F234" s="3" t="str" cm="1">
        <f t="array" aca="1" ref="F234" ca="1">OFFSET(E234,-1,1)</f>
        <v>1</v>
      </c>
      <c r="G234" s="44" t="s">
        <v>1140</v>
      </c>
      <c r="H234" s="44"/>
      <c r="I234" s="44"/>
      <c r="J234" s="44"/>
      <c r="K234" s="44"/>
      <c r="L234" s="44" t="s">
        <v>1502</v>
      </c>
      <c r="M234" s="44"/>
      <c r="N234" s="44"/>
      <c r="O234" s="44"/>
      <c r="P234" s="44"/>
      <c r="Q234" s="44"/>
      <c r="R234" s="44"/>
      <c r="S234" s="44"/>
      <c r="T234" s="365" t="b" cm="1">
        <f t="array" aca="1" ref="T234" ca="1">T233</f>
        <v>1</v>
      </c>
      <c r="U234" s="44"/>
      <c r="V234" s="44"/>
      <c r="X234" s="1075"/>
      <c r="Z234" s="1065"/>
      <c r="AB234" s="152" t="s">
        <v>2060</v>
      </c>
      <c r="AC234" s="153" t="s">
        <v>2061</v>
      </c>
      <c r="AD234" s="26" t="s">
        <v>804</v>
      </c>
      <c r="AE234" s="190">
        <f ca="1">SUMIFS(Покупка!AE$25:AE$254,Покупка!$F$25:$F$254,$F234,Покупка!$AC$25:$AC$254,$G234)</f>
        <v>0</v>
      </c>
      <c r="AF234" s="190">
        <f ca="1">SUMIFS(Покупка!AF$25:AF$254,Покупка!$F$25:$F$254,$F234,Покупка!$AC$25:$AC$254,$G234)</f>
        <v>0</v>
      </c>
      <c r="AG234" s="190">
        <f ca="1">SUMIFS(Покупка!AG$25:AG$254,Покупка!$F$25:$F$254,$F234,Покупка!$AC$25:$AC$254,$G234)</f>
        <v>0</v>
      </c>
      <c r="AH234" s="190">
        <f t="shared" ca="1" si="49"/>
        <v>0</v>
      </c>
      <c r="AI234" s="190">
        <f ca="1">SUMIFS(Покупка!AH$25:AH$254,Покупка!$F$25:$F$254,$F234,Покупка!$AC$25:$AC$254,$G234)</f>
        <v>0</v>
      </c>
      <c r="AJ234" s="190">
        <f ca="1">SUMIFS(Покупка!AI$25:AI$254,Покупка!$F$25:$F$254,$F234,Покупка!$AC$25:$AC$254,$G234)</f>
        <v>0</v>
      </c>
      <c r="AK234" s="190">
        <f ca="1">SUMIFS(Покупка!AJ$25:AJ$254,Покупка!$F$25:$F$254,$F234,Покупка!$AC$25:$AC$254,$G234)</f>
        <v>0</v>
      </c>
      <c r="AL234" s="190">
        <f ca="1">SUMIFS(Покупка!AK$25:AK$254,Покупка!$F$25:$F$254,$F234,Покупка!$AC$25:$AC$254,$G234)</f>
        <v>0</v>
      </c>
      <c r="AM234" s="190">
        <f ca="1">SUMIFS(Покупка!AL$25:AL$254,Покупка!$F$25:$F$254,$F234,Покупка!$AC$25:$AC$254,$G234)</f>
        <v>0</v>
      </c>
      <c r="AN234" s="190">
        <f ca="1">SUMIFS(Покупка!AM$25:AM$254,Покупка!$F$25:$F$254,$F234,Покупка!$AC$25:$AC$254,$G234)</f>
        <v>0</v>
      </c>
      <c r="AO234" s="190">
        <f ca="1">SUMIFS(Покупка!AN$25:AN$254,Покупка!$F$25:$F$254,$F234,Покупка!$AC$25:$AC$254,$G234)</f>
        <v>0</v>
      </c>
      <c r="AP234" s="190">
        <f ca="1">SUMIFS(Покупка!AO$25:AO$254,Покупка!$F$25:$F$254,$F234,Покупка!$AC$25:$AC$254,$G234)</f>
        <v>0</v>
      </c>
      <c r="AQ234" s="190">
        <f ca="1">SUMIFS(Покупка!AP$25:AP$254,Покупка!$F$25:$F$254,$F234,Покупка!$AC$25:$AC$254,$G234)</f>
        <v>0</v>
      </c>
      <c r="AR234" s="190">
        <f ca="1">SUMIFS(Покупка!AQ$25:AQ$254,Покупка!$F$25:$F$254,$F234,Покупка!$AC$25:$AC$254,$G234)</f>
        <v>0</v>
      </c>
      <c r="AS234" s="190">
        <f ca="1">SUMIFS(Покупка!AR$25:AR$254,Покупка!$F$25:$F$254,$F234,Покупка!$AC$25:$AC$254,$G234)</f>
        <v>0</v>
      </c>
      <c r="AT234" s="190">
        <f ca="1">SUMIFS(Покупка!AS$25:AS$254,Покупка!$F$25:$F$254,$F234,Покупка!$AC$25:$AC$254,$G234)</f>
        <v>0</v>
      </c>
      <c r="AU234" s="190">
        <f ca="1">SUMIFS(Покупка!AT$25:AT$254,Покупка!$F$25:$F$254,$F234,Покупка!$AC$25:$AC$254,$G234)</f>
        <v>0</v>
      </c>
      <c r="AV234" s="190">
        <f ca="1">SUMIFS(Покупка!AU$25:AU$254,Покупка!$F$25:$F$254,$F234,Покупка!$AC$25:$AC$254,$G234)</f>
        <v>0</v>
      </c>
      <c r="AW234" s="190">
        <f ca="1">SUMIFS(Покупка!AV$25:AV$254,Покупка!$F$25:$F$254,$F234,Покупка!$AC$25:$AC$254,$G234)</f>
        <v>0</v>
      </c>
      <c r="AX234" s="190">
        <f ca="1">SUMIFS(Покупка!AW$25:AW$254,Покупка!$F$25:$F$254,$F234,Покупка!$AC$25:$AC$254,$G234)</f>
        <v>0</v>
      </c>
      <c r="AY234" s="190">
        <f ca="1">SUMIFS(Покупка!AX$25:AX$254,Покупка!$F$25:$F$254,$F234,Покупка!$AC$25:$AC$254,$G234)</f>
        <v>0</v>
      </c>
      <c r="AZ234" s="190">
        <f ca="1">SUMIFS(Покупка!AY$25:AY$254,Покупка!$F$25:$F$254,$F234,Покупка!$AC$25:$AC$254,$G234)</f>
        <v>0</v>
      </c>
      <c r="BA234" s="190">
        <f ca="1">SUMIFS(Покупка!AZ$25:AZ$254,Покупка!$F$25:$F$254,$F234,Покупка!$AC$25:$AC$254,$G234)</f>
        <v>0</v>
      </c>
      <c r="BB234" s="190">
        <f ca="1">SUMIFS(Покупка!BA$25:BA$254,Покупка!$F$25:$F$254,$F234,Покупка!$AC$25:$AC$254,$G234)</f>
        <v>0</v>
      </c>
      <c r="BC234" s="190">
        <f ca="1">SUMIFS(Покупка!BB$25:BB$254,Покупка!$F$25:$F$254,$F234,Покупка!$AC$25:$AC$254,$G234)</f>
        <v>0</v>
      </c>
      <c r="BD234" s="190">
        <f t="shared" ca="1" si="51"/>
        <v>0</v>
      </c>
      <c r="BE234" s="190">
        <f t="shared" ca="1" si="52"/>
        <v>0</v>
      </c>
      <c r="BF234" s="190">
        <f t="shared" ca="1" si="53"/>
        <v>0</v>
      </c>
      <c r="BG234" s="190">
        <f t="shared" ca="1" si="54"/>
        <v>0</v>
      </c>
      <c r="BH234" s="190">
        <f t="shared" ca="1" si="55"/>
        <v>0</v>
      </c>
      <c r="BI234" s="190">
        <f t="shared" ca="1" si="56"/>
        <v>0</v>
      </c>
      <c r="BJ234" s="190">
        <f t="shared" ca="1" si="57"/>
        <v>0</v>
      </c>
      <c r="BK234" s="190">
        <f t="shared" ca="1" si="58"/>
        <v>0</v>
      </c>
      <c r="BL234" s="190">
        <f t="shared" ca="1" si="59"/>
        <v>0</v>
      </c>
      <c r="BM234" s="190">
        <f t="shared" ca="1" si="60"/>
        <v>0</v>
      </c>
      <c r="BN234" s="215"/>
      <c r="BO234" s="610" t="str">
        <f ca="1">IF(IFERROR(INDEX(Покупка!$K$26:$L$254,MATCH($F234&amp;"9komm",Покупка!$K$26:$K$254,0),2),"")=0,"",IFERROR(INDEX(Покупка!$K$26:$L$254,MATCH($F234&amp;"9komm",Покупка!$K$26:$K$254,0),2),""))</f>
        <v/>
      </c>
      <c r="BP234" s="215"/>
      <c r="BS234" s="705" t="s">
        <v>1141</v>
      </c>
      <c r="BT234" s="705"/>
      <c r="BU234" s="705"/>
      <c r="BV234" s="518"/>
      <c r="BW234" s="518"/>
    </row>
    <row r="235" spans="1:75" ht="14.25" customHeight="1">
      <c r="B235" s="34"/>
      <c r="C235" s="44"/>
      <c r="D235" s="44"/>
      <c r="E235" s="462">
        <v>15</v>
      </c>
      <c r="F235" s="3" t="str" cm="1">
        <f t="array" aca="1" ref="F235" ca="1">OFFSET(E235,-1,1)</f>
        <v>1</v>
      </c>
      <c r="G235" s="44"/>
      <c r="H235" s="44"/>
      <c r="I235" s="44" t="s">
        <v>482</v>
      </c>
      <c r="J235" s="44"/>
      <c r="K235" s="44" t="s">
        <v>482</v>
      </c>
      <c r="L235" s="44"/>
      <c r="M235" s="44"/>
      <c r="N235" s="44"/>
      <c r="O235" s="44"/>
      <c r="P235" s="44"/>
      <c r="Q235" s="44"/>
      <c r="R235" s="44"/>
      <c r="S235" s="44"/>
      <c r="T235" s="365" t="b" cm="1">
        <f t="array" aca="1" ref="T235" ca="1">T234</f>
        <v>1</v>
      </c>
      <c r="U235" s="44"/>
      <c r="V235" s="44"/>
      <c r="X235" s="1075"/>
      <c r="Z235" s="1065"/>
      <c r="AB235" s="152" t="s">
        <v>541</v>
      </c>
      <c r="AC235" s="146" t="s">
        <v>2062</v>
      </c>
      <c r="AD235" s="118" t="s">
        <v>804</v>
      </c>
      <c r="AE235" s="190">
        <f ca="1">SUMIFS('Сырье и материалы'!AE$25:AE$96,'Сырье и материалы'!$F$25:$F$96,$F235,'Сырье и материалы'!$I$25:$I$96,"Реагенты")</f>
        <v>164.85367654550001</v>
      </c>
      <c r="AF235" s="190">
        <f ca="1">SUMIFS('Сырье и материалы'!AF$25:AF$96,'Сырье и материалы'!$F$25:$F$96,$F235,'Сырье и материалы'!$I$25:$I$96,"Реагенты")</f>
        <v>174.23</v>
      </c>
      <c r="AG235" s="190">
        <f ca="1">SUMIFS('Сырье и материалы'!AG$25:AG$96,'Сырье и материалы'!$F$25:$F$96,$F235,'Сырье и материалы'!$I$25:$I$96,"Реагенты")</f>
        <v>174.23</v>
      </c>
      <c r="AH235" s="190">
        <f t="shared" ca="1" si="49"/>
        <v>0</v>
      </c>
      <c r="AI235" s="190">
        <f ca="1">SUMIFS('Сырье и материалы'!AH$25:AH$96,'Сырье и материалы'!$F$25:$F$96,$F235,'Сырье и материалы'!$I$25:$I$96,"Реагенты")</f>
        <v>184.2570761982</v>
      </c>
      <c r="AJ235" s="190">
        <f ca="1">SUMIFS('Сырье и материалы'!AI$25:AI$96,'Сырье и материалы'!$F$25:$F$96,$F235,'Сырье и материалы'!$I$25:$I$96,"Реагенты")</f>
        <v>201.27</v>
      </c>
      <c r="AK235" s="190">
        <f ca="1">SUMIFS('Сырье и материалы'!AJ$25:AJ$96,'Сырье и материалы'!$F$25:$F$96,$F235,'Сырье и материалы'!$I$25:$I$96,"Реагенты")</f>
        <v>0</v>
      </c>
      <c r="AL235" s="190">
        <f ca="1">SUMIFS('Сырье и материалы'!AK$25:AK$96,'Сырье и материалы'!$F$25:$F$96,$F235,'Сырье и материалы'!$I$25:$I$96,"Реагенты")</f>
        <v>0</v>
      </c>
      <c r="AM235" s="190">
        <f ca="1">SUMIFS('Сырье и материалы'!AL$25:AL$96,'Сырье и материалы'!$F$25:$F$96,$F235,'Сырье и материалы'!$I$25:$I$96,"Реагенты")</f>
        <v>0</v>
      </c>
      <c r="AN235" s="190">
        <f ca="1">SUMIFS('Сырье и материалы'!AM$25:AM$96,'Сырье и материалы'!$F$25:$F$96,$F235,'Сырье и материалы'!$I$25:$I$96,"Реагенты")</f>
        <v>0</v>
      </c>
      <c r="AO235" s="190">
        <f ca="1">SUMIFS('Сырье и материалы'!AN$25:AN$96,'Сырье и материалы'!$F$25:$F$96,$F235,'Сырье и материалы'!$I$25:$I$96,"Реагенты")</f>
        <v>0</v>
      </c>
      <c r="AP235" s="190">
        <f ca="1">SUMIFS('Сырье и материалы'!AO$25:AO$96,'Сырье и материалы'!$F$25:$F$96,$F235,'Сырье и материалы'!$I$25:$I$96,"Реагенты")</f>
        <v>0</v>
      </c>
      <c r="AQ235" s="190">
        <f ca="1">SUMIFS('Сырье и материалы'!AP$25:AP$96,'Сырье и материалы'!$F$25:$F$96,$F235,'Сырье и материалы'!$I$25:$I$96,"Реагенты")</f>
        <v>0</v>
      </c>
      <c r="AR235" s="190">
        <f ca="1">SUMIFS('Сырье и материалы'!AQ$25:AQ$96,'Сырье и материалы'!$F$25:$F$96,$F235,'Сырье и материалы'!$I$25:$I$96,"Реагенты")</f>
        <v>0</v>
      </c>
      <c r="AS235" s="190">
        <f ca="1">SUMIFS('Сырье и материалы'!AR$25:AR$96,'Сырье и материалы'!$F$25:$F$96,$F235,'Сырье и материалы'!$I$25:$I$96,"Реагенты")</f>
        <v>0</v>
      </c>
      <c r="AT235" s="190">
        <f ca="1">SUMIFS('Сырье и материалы'!AS$25:AS$96,'Сырье и материалы'!$F$25:$F$96,$F235,'Сырье и материалы'!$I$25:$I$96,"Реагенты")</f>
        <v>180.65</v>
      </c>
      <c r="AU235" s="190">
        <f ca="1">SUMIFS('Сырье и материалы'!AT$25:AT$96,'Сырье и материалы'!$F$25:$F$96,$F235,'Сырье и материалы'!$I$25:$I$96,"Реагенты")</f>
        <v>0</v>
      </c>
      <c r="AV235" s="190">
        <f ca="1">SUMIFS('Сырье и материалы'!AU$25:AU$96,'Сырье и материалы'!$F$25:$F$96,$F235,'Сырье и материалы'!$I$25:$I$96,"Реагенты")</f>
        <v>0</v>
      </c>
      <c r="AW235" s="190">
        <f ca="1">SUMIFS('Сырье и материалы'!AV$25:AV$96,'Сырье и материалы'!$F$25:$F$96,$F235,'Сырье и материалы'!$I$25:$I$96,"Реагенты")</f>
        <v>0</v>
      </c>
      <c r="AX235" s="190">
        <f ca="1">SUMIFS('Сырье и материалы'!AW$25:AW$96,'Сырье и материалы'!$F$25:$F$96,$F235,'Сырье и материалы'!$I$25:$I$96,"Реагенты")</f>
        <v>0</v>
      </c>
      <c r="AY235" s="190">
        <f ca="1">SUMIFS('Сырье и материалы'!AX$25:AX$96,'Сырье и материалы'!$F$25:$F$96,$F235,'Сырье и материалы'!$I$25:$I$96,"Реагенты")</f>
        <v>0</v>
      </c>
      <c r="AZ235" s="190">
        <f ca="1">SUMIFS('Сырье и материалы'!AY$25:AY$96,'Сырье и материалы'!$F$25:$F$96,$F235,'Сырье и материалы'!$I$25:$I$96,"Реагенты")</f>
        <v>0</v>
      </c>
      <c r="BA235" s="190">
        <f ca="1">SUMIFS('Сырье и материалы'!AZ$25:AZ$96,'Сырье и материалы'!$F$25:$F$96,$F235,'Сырье и материалы'!$I$25:$I$96,"Реагенты")</f>
        <v>0</v>
      </c>
      <c r="BB235" s="190">
        <f ca="1">SUMIFS('Сырье и материалы'!BA$25:BA$96,'Сырье и материалы'!$F$25:$F$96,$F235,'Сырье и материалы'!$I$25:$I$96,"Реагенты")</f>
        <v>0</v>
      </c>
      <c r="BC235" s="190">
        <f ca="1">SUMIFS('Сырье и материалы'!BB$25:BB$96,'Сырье и материалы'!$F$25:$F$96,$F235,'Сырье и материалы'!$I$25:$I$96,"Реагенты")</f>
        <v>0</v>
      </c>
      <c r="BD235" s="190">
        <f t="shared" ca="1" si="51"/>
        <v>-1.9576323865684069</v>
      </c>
      <c r="BE235" s="190">
        <f t="shared" ca="1" si="52"/>
        <v>-100</v>
      </c>
      <c r="BF235" s="190">
        <f t="shared" ca="1" si="53"/>
        <v>0</v>
      </c>
      <c r="BG235" s="190">
        <f t="shared" ca="1" si="54"/>
        <v>0</v>
      </c>
      <c r="BH235" s="190">
        <f t="shared" ca="1" si="55"/>
        <v>0</v>
      </c>
      <c r="BI235" s="190">
        <f t="shared" ca="1" si="56"/>
        <v>0</v>
      </c>
      <c r="BJ235" s="190">
        <f t="shared" ca="1" si="57"/>
        <v>0</v>
      </c>
      <c r="BK235" s="190">
        <f t="shared" ca="1" si="58"/>
        <v>0</v>
      </c>
      <c r="BL235" s="190">
        <f t="shared" ca="1" si="59"/>
        <v>0</v>
      </c>
      <c r="BM235" s="190">
        <f t="shared" ca="1" si="60"/>
        <v>0</v>
      </c>
      <c r="BN235" s="953" t="s">
        <v>2238</v>
      </c>
      <c r="BO235" s="610" t="s">
        <v>2239</v>
      </c>
      <c r="BP235" s="215"/>
      <c r="BS235" s="705" t="s">
        <v>1725</v>
      </c>
    </row>
    <row r="236" spans="1:75" s="950" customFormat="1" ht="107.25" customHeight="1">
      <c r="A236" s="95"/>
      <c r="B236" s="48"/>
      <c r="C236" s="46"/>
      <c r="D236" s="46"/>
      <c r="E236" s="569">
        <v>21</v>
      </c>
      <c r="F236" s="3" t="str" cm="1">
        <f t="array" aca="1" ref="F236" ca="1">OFFSET(E236,-1,1)</f>
        <v>1</v>
      </c>
      <c r="G236" s="46"/>
      <c r="H236" s="44"/>
      <c r="I236" s="44" t="s">
        <v>917</v>
      </c>
      <c r="J236" s="46"/>
      <c r="K236" s="44" t="s">
        <v>917</v>
      </c>
      <c r="L236" s="46" t="s">
        <v>514</v>
      </c>
      <c r="M236" s="46"/>
      <c r="N236" s="46"/>
      <c r="O236" s="46"/>
      <c r="P236" s="46"/>
      <c r="Q236" s="46"/>
      <c r="R236" s="46"/>
      <c r="S236" s="46"/>
      <c r="T236" s="365" t="b" cm="1">
        <f t="array" aca="1" ref="T236" ca="1">T235</f>
        <v>1</v>
      </c>
      <c r="U236" s="46"/>
      <c r="V236" s="46"/>
      <c r="W236" s="95"/>
      <c r="X236" s="1075"/>
      <c r="Y236" s="95"/>
      <c r="Z236" s="1065"/>
      <c r="AA236" s="95"/>
      <c r="AB236" s="150" t="s">
        <v>545</v>
      </c>
      <c r="AC236" s="276" t="s">
        <v>2063</v>
      </c>
      <c r="AD236" s="143" t="s">
        <v>804</v>
      </c>
      <c r="AE236" s="145">
        <f ca="1">SUM(AE237:AE246)</f>
        <v>802.33002467979998</v>
      </c>
      <c r="AF236" s="145">
        <f ca="1">SUM(AF237:AF246)</f>
        <v>862.56</v>
      </c>
      <c r="AG236" s="145">
        <f ca="1">SUM(AG237:AG246)</f>
        <v>840.05</v>
      </c>
      <c r="AH236" s="145">
        <f t="shared" ca="1" si="49"/>
        <v>-22.509999999999991</v>
      </c>
      <c r="AI236" s="145">
        <f t="shared" ref="AI236:BC236" ca="1" si="62">SUM(AI237:AI246)</f>
        <v>908.82600000000002</v>
      </c>
      <c r="AJ236" s="145">
        <f t="shared" ca="1" si="62"/>
        <v>1363.12</v>
      </c>
      <c r="AK236" s="145">
        <f t="shared" ca="1" si="62"/>
        <v>0</v>
      </c>
      <c r="AL236" s="145">
        <f t="shared" ca="1" si="62"/>
        <v>0</v>
      </c>
      <c r="AM236" s="145">
        <f t="shared" ca="1" si="62"/>
        <v>0</v>
      </c>
      <c r="AN236" s="145">
        <f t="shared" ca="1" si="62"/>
        <v>0</v>
      </c>
      <c r="AO236" s="145">
        <f t="shared" ca="1" si="62"/>
        <v>0</v>
      </c>
      <c r="AP236" s="145">
        <f t="shared" ca="1" si="62"/>
        <v>0</v>
      </c>
      <c r="AQ236" s="145">
        <f t="shared" ca="1" si="62"/>
        <v>0</v>
      </c>
      <c r="AR236" s="145">
        <f t="shared" ca="1" si="62"/>
        <v>0</v>
      </c>
      <c r="AS236" s="145">
        <f t="shared" ca="1" si="62"/>
        <v>0</v>
      </c>
      <c r="AT236" s="145">
        <f t="shared" ca="1" si="62"/>
        <v>949.77</v>
      </c>
      <c r="AU236" s="145">
        <f t="shared" ca="1" si="62"/>
        <v>0</v>
      </c>
      <c r="AV236" s="145">
        <f t="shared" ca="1" si="62"/>
        <v>0</v>
      </c>
      <c r="AW236" s="145">
        <f t="shared" ca="1" si="62"/>
        <v>0</v>
      </c>
      <c r="AX236" s="145">
        <f t="shared" ca="1" si="62"/>
        <v>0</v>
      </c>
      <c r="AY236" s="145">
        <f t="shared" ca="1" si="62"/>
        <v>0</v>
      </c>
      <c r="AZ236" s="145">
        <f t="shared" ca="1" si="62"/>
        <v>0</v>
      </c>
      <c r="BA236" s="145">
        <f t="shared" ca="1" si="62"/>
        <v>0</v>
      </c>
      <c r="BB236" s="145">
        <f t="shared" ca="1" si="62"/>
        <v>0</v>
      </c>
      <c r="BC236" s="145">
        <f t="shared" ca="1" si="62"/>
        <v>0</v>
      </c>
      <c r="BD236" s="145">
        <f t="shared" ca="1" si="51"/>
        <v>4.5051528015263607</v>
      </c>
      <c r="BE236" s="145">
        <f t="shared" ca="1" si="52"/>
        <v>-100</v>
      </c>
      <c r="BF236" s="145">
        <f t="shared" ca="1" si="53"/>
        <v>0</v>
      </c>
      <c r="BG236" s="145">
        <f t="shared" ca="1" si="54"/>
        <v>0</v>
      </c>
      <c r="BH236" s="145">
        <f t="shared" ca="1" si="55"/>
        <v>0</v>
      </c>
      <c r="BI236" s="145">
        <f t="shared" ca="1" si="56"/>
        <v>0</v>
      </c>
      <c r="BJ236" s="145">
        <f t="shared" ca="1" si="57"/>
        <v>0</v>
      </c>
      <c r="BK236" s="145">
        <f t="shared" ca="1" si="58"/>
        <v>0</v>
      </c>
      <c r="BL236" s="145">
        <f t="shared" ca="1" si="59"/>
        <v>0</v>
      </c>
      <c r="BM236" s="145">
        <f t="shared" ca="1" si="60"/>
        <v>0</v>
      </c>
      <c r="BN236" s="566"/>
      <c r="BO236" s="610" t="s">
        <v>2240</v>
      </c>
      <c r="BP236" s="566"/>
      <c r="BQ236" s="95"/>
      <c r="BR236" s="95"/>
      <c r="BS236" s="711" t="s">
        <v>1270</v>
      </c>
      <c r="BT236" s="711"/>
      <c r="BU236" s="711"/>
      <c r="BV236" s="522"/>
      <c r="BW236" s="522"/>
    </row>
    <row r="237" spans="1:75" ht="0" hidden="1" customHeight="1">
      <c r="B237" s="34"/>
      <c r="C237" s="44"/>
      <c r="D237" s="44"/>
      <c r="E237" s="462">
        <v>15</v>
      </c>
      <c r="F237" s="3" t="str" cm="1">
        <f t="array" aca="1" ref="F237" ca="1">OFFSET(E237,-1,1)</f>
        <v>1</v>
      </c>
      <c r="G237" s="620">
        <v>7</v>
      </c>
      <c r="H237" s="44"/>
      <c r="I237" s="44" t="s">
        <v>2064</v>
      </c>
      <c r="J237" s="44"/>
      <c r="K237" s="44" t="s">
        <v>2064</v>
      </c>
      <c r="L237" s="44"/>
      <c r="M237" s="44"/>
      <c r="N237" s="44"/>
      <c r="O237" s="44"/>
      <c r="P237" s="44"/>
      <c r="Q237" s="44"/>
      <c r="R237" s="44"/>
      <c r="S237" s="44"/>
      <c r="T237" s="365" t="b" cm="1">
        <f t="array" aca="1" ref="T237" ca="1">T236</f>
        <v>1</v>
      </c>
      <c r="U237" s="44"/>
      <c r="V237" s="44"/>
      <c r="X237" s="1075"/>
      <c r="Z237" s="1065"/>
      <c r="AB237" s="152" t="s">
        <v>498</v>
      </c>
      <c r="AC237" s="153" t="s">
        <v>1284</v>
      </c>
      <c r="AD237" s="26" t="s">
        <v>804</v>
      </c>
      <c r="AE237" s="190">
        <f ca="1">SUMIFS(Налоги!AE$25:AE$69,Налоги!$F$25:$F$69,$F237,Налоги!$AB$25:$AB$69,$G237)</f>
        <v>0</v>
      </c>
      <c r="AF237" s="190">
        <f ca="1">SUMIFS(Налоги!AF$25:AF$69,Налоги!$F$25:$F$69,$F237,Налоги!$AB$25:$AB$69,$G237)</f>
        <v>0</v>
      </c>
      <c r="AG237" s="190">
        <f ca="1">SUMIFS(Налоги!AG$25:AG$69,Налоги!$F$25:$F$69,$F237,Налоги!$AB$25:$AB$69,$G237)</f>
        <v>0</v>
      </c>
      <c r="AH237" s="190">
        <f t="shared" ca="1" si="49"/>
        <v>0</v>
      </c>
      <c r="AI237" s="190">
        <f ca="1">SUMIFS(Налоги!AH$25:AH$69,Налоги!$F$25:$F$69,$F237,Налоги!$AB$25:$AB$69,$G237)</f>
        <v>0</v>
      </c>
      <c r="AJ237" s="190">
        <f ca="1">SUMIFS(Налоги!AI$25:AI$69,Налоги!$F$25:$F$69,$F237,Налоги!$AB$25:$AB$69,$G237)</f>
        <v>0</v>
      </c>
      <c r="AK237" s="190">
        <f ca="1">SUMIFS(Налоги!AJ$25:AJ$69,Налоги!$F$25:$F$69,$F237,Налоги!$AB$25:$AB$69,$G237)</f>
        <v>0</v>
      </c>
      <c r="AL237" s="190">
        <f ca="1">SUMIFS(Налоги!AK$25:AK$69,Налоги!$F$25:$F$69,$F237,Налоги!$AB$25:$AB$69,$G237)</f>
        <v>0</v>
      </c>
      <c r="AM237" s="190">
        <f ca="1">SUMIFS(Налоги!AL$25:AL$69,Налоги!$F$25:$F$69,$F237,Налоги!$AB$25:$AB$69,$G237)</f>
        <v>0</v>
      </c>
      <c r="AN237" s="190">
        <f ca="1">SUMIFS(Налоги!AM$25:AM$69,Налоги!$F$25:$F$69,$F237,Налоги!$AB$25:$AB$69,$G237)</f>
        <v>0</v>
      </c>
      <c r="AO237" s="190">
        <f ca="1">SUMIFS(Налоги!AN$25:AN$69,Налоги!$F$25:$F$69,$F237,Налоги!$AB$25:$AB$69,$G237)</f>
        <v>0</v>
      </c>
      <c r="AP237" s="190">
        <f ca="1">SUMIFS(Налоги!AO$25:AO$69,Налоги!$F$25:$F$69,$F237,Налоги!$AB$25:$AB$69,$G237)</f>
        <v>0</v>
      </c>
      <c r="AQ237" s="190">
        <f ca="1">SUMIFS(Налоги!AP$25:AP$69,Налоги!$F$25:$F$69,$F237,Налоги!$AB$25:$AB$69,$G237)</f>
        <v>0</v>
      </c>
      <c r="AR237" s="190">
        <f ca="1">SUMIFS(Налоги!AQ$25:AQ$69,Налоги!$F$25:$F$69,$F237,Налоги!$AB$25:$AB$69,$G237)</f>
        <v>0</v>
      </c>
      <c r="AS237" s="190">
        <f ca="1">SUMIFS(Налоги!AR$25:AR$69,Налоги!$F$25:$F$69,$F237,Налоги!$AB$25:$AB$69,$G237)</f>
        <v>0</v>
      </c>
      <c r="AT237" s="190">
        <f ca="1">SUMIFS(Налоги!AS$25:AS$69,Налоги!$F$25:$F$69,$F237,Налоги!$AB$25:$AB$69,$G237)</f>
        <v>0</v>
      </c>
      <c r="AU237" s="190">
        <f ca="1">SUMIFS(Налоги!AT$25:AT$69,Налоги!$F$25:$F$69,$F237,Налоги!$AB$25:$AB$69,$G237)</f>
        <v>0</v>
      </c>
      <c r="AV237" s="190">
        <f ca="1">SUMIFS(Налоги!AU$25:AU$69,Налоги!$F$25:$F$69,$F237,Налоги!$AB$25:$AB$69,$G237)</f>
        <v>0</v>
      </c>
      <c r="AW237" s="190">
        <f ca="1">SUMIFS(Налоги!AV$25:AV$69,Налоги!$F$25:$F$69,$F237,Налоги!$AB$25:$AB$69,$G237)</f>
        <v>0</v>
      </c>
      <c r="AX237" s="190">
        <f ca="1">SUMIFS(Налоги!AW$25:AW$69,Налоги!$F$25:$F$69,$F237,Налоги!$AB$25:$AB$69,$G237)</f>
        <v>0</v>
      </c>
      <c r="AY237" s="190">
        <f ca="1">SUMIFS(Налоги!AX$25:AX$69,Налоги!$F$25:$F$69,$F237,Налоги!$AB$25:$AB$69,$G237)</f>
        <v>0</v>
      </c>
      <c r="AZ237" s="190">
        <f ca="1">SUMIFS(Налоги!AY$25:AY$69,Налоги!$F$25:$F$69,$F237,Налоги!$AB$25:$AB$69,$G237)</f>
        <v>0</v>
      </c>
      <c r="BA237" s="190">
        <f ca="1">SUMIFS(Налоги!AZ$25:AZ$69,Налоги!$F$25:$F$69,$F237,Налоги!$AB$25:$AB$69,$G237)</f>
        <v>0</v>
      </c>
      <c r="BB237" s="190">
        <f ca="1">SUMIFS(Налоги!BA$25:BA$69,Налоги!$F$25:$F$69,$F237,Налоги!$AB$25:$AB$69,$G237)</f>
        <v>0</v>
      </c>
      <c r="BC237" s="190">
        <f ca="1">SUMIFS(Налоги!BB$25:BB$69,Налоги!$F$25:$F$69,$F237,Налоги!$AB$25:$AB$69,$G237)</f>
        <v>0</v>
      </c>
      <c r="BD237" s="190">
        <f t="shared" ca="1" si="51"/>
        <v>0</v>
      </c>
      <c r="BE237" s="190">
        <f t="shared" ca="1" si="52"/>
        <v>0</v>
      </c>
      <c r="BF237" s="190">
        <f t="shared" ca="1" si="53"/>
        <v>0</v>
      </c>
      <c r="BG237" s="190">
        <f t="shared" ca="1" si="54"/>
        <v>0</v>
      </c>
      <c r="BH237" s="190">
        <f t="shared" ca="1" si="55"/>
        <v>0</v>
      </c>
      <c r="BI237" s="190">
        <f t="shared" ca="1" si="56"/>
        <v>0</v>
      </c>
      <c r="BJ237" s="190">
        <f t="shared" ca="1" si="57"/>
        <v>0</v>
      </c>
      <c r="BK237" s="190">
        <f t="shared" ca="1" si="58"/>
        <v>0</v>
      </c>
      <c r="BL237" s="190">
        <f t="shared" ca="1" si="59"/>
        <v>0</v>
      </c>
      <c r="BM237" s="190">
        <f t="shared" ca="1" si="60"/>
        <v>0</v>
      </c>
      <c r="BN237" s="215"/>
      <c r="BO237" s="610" t="str">
        <f ca="1">IF(IFERROR(INDEX(Налоги!$K$26:$L$69,MATCH($F237&amp;"7komm",Налоги!$K$26:$K$69,0),2),"")=0,"",IFERROR(INDEX(Налоги!$K$26:$L$69,MATCH($F237&amp;"7komm",Налоги!$K$26:$K$69,0),2),""))</f>
        <v/>
      </c>
      <c r="BP237" s="215"/>
      <c r="BS237" s="705" t="s">
        <v>2065</v>
      </c>
    </row>
    <row r="238" spans="1:75" ht="0" hidden="1" customHeight="1">
      <c r="B238" s="34"/>
      <c r="C238" s="44"/>
      <c r="D238" s="44"/>
      <c r="E238" s="462">
        <v>15</v>
      </c>
      <c r="F238" s="3" t="str" cm="1">
        <f t="array" aca="1" ref="F238" ca="1">OFFSET(E238,-1,1)</f>
        <v>1</v>
      </c>
      <c r="G238" s="620">
        <v>6</v>
      </c>
      <c r="H238" s="44"/>
      <c r="I238" s="44" t="s">
        <v>2066</v>
      </c>
      <c r="J238" s="44"/>
      <c r="K238" s="44" t="s">
        <v>2066</v>
      </c>
      <c r="L238" s="44"/>
      <c r="M238" s="44"/>
      <c r="N238" s="44"/>
      <c r="O238" s="44"/>
      <c r="P238" s="44"/>
      <c r="Q238" s="44"/>
      <c r="R238" s="44"/>
      <c r="S238" s="44"/>
      <c r="T238" s="365" t="b" cm="1">
        <f t="array" aca="1" ref="T238" ca="1">T237</f>
        <v>1</v>
      </c>
      <c r="U238" s="44"/>
      <c r="V238" s="44"/>
      <c r="X238" s="1075"/>
      <c r="Z238" s="1065"/>
      <c r="AB238" s="152" t="s">
        <v>1492</v>
      </c>
      <c r="AC238" s="153" t="s">
        <v>2067</v>
      </c>
      <c r="AD238" s="26" t="s">
        <v>804</v>
      </c>
      <c r="AE238" s="190">
        <f ca="1">SUMIFS(Налоги!AE$25:AE$69,Налоги!$F$25:$F$69,$F238,Налоги!$AB$25:$AB$69,$G238)</f>
        <v>0</v>
      </c>
      <c r="AF238" s="190">
        <f ca="1">SUMIFS(Налоги!AF$25:AF$69,Налоги!$F$25:$F$69,$F238,Налоги!$AB$25:$AB$69,$G238)</f>
        <v>0</v>
      </c>
      <c r="AG238" s="190">
        <f ca="1">SUMIFS(Налоги!AG$25:AG$69,Налоги!$F$25:$F$69,$F238,Налоги!$AB$25:$AB$69,$G238)</f>
        <v>0</v>
      </c>
      <c r="AH238" s="190">
        <f t="shared" ca="1" si="49"/>
        <v>0</v>
      </c>
      <c r="AI238" s="190">
        <f ca="1">SUMIFS(Налоги!AH$25:AH$69,Налоги!$F$25:$F$69,$F238,Налоги!$AB$25:$AB$69,$G238)</f>
        <v>0</v>
      </c>
      <c r="AJ238" s="190">
        <f ca="1">SUMIFS(Налоги!AI$25:AI$69,Налоги!$F$25:$F$69,$F238,Налоги!$AB$25:$AB$69,$G238)</f>
        <v>0</v>
      </c>
      <c r="AK238" s="190">
        <f ca="1">SUMIFS(Налоги!AJ$25:AJ$69,Налоги!$F$25:$F$69,$F238,Налоги!$AB$25:$AB$69,$G238)</f>
        <v>0</v>
      </c>
      <c r="AL238" s="190">
        <f ca="1">SUMIFS(Налоги!AK$25:AK$69,Налоги!$F$25:$F$69,$F238,Налоги!$AB$25:$AB$69,$G238)</f>
        <v>0</v>
      </c>
      <c r="AM238" s="190">
        <f ca="1">SUMIFS(Налоги!AL$25:AL$69,Налоги!$F$25:$F$69,$F238,Налоги!$AB$25:$AB$69,$G238)</f>
        <v>0</v>
      </c>
      <c r="AN238" s="190">
        <f ca="1">SUMIFS(Налоги!AM$25:AM$69,Налоги!$F$25:$F$69,$F238,Налоги!$AB$25:$AB$69,$G238)</f>
        <v>0</v>
      </c>
      <c r="AO238" s="190">
        <f ca="1">SUMIFS(Налоги!AN$25:AN$69,Налоги!$F$25:$F$69,$F238,Налоги!$AB$25:$AB$69,$G238)</f>
        <v>0</v>
      </c>
      <c r="AP238" s="190">
        <f ca="1">SUMIFS(Налоги!AO$25:AO$69,Налоги!$F$25:$F$69,$F238,Налоги!$AB$25:$AB$69,$G238)</f>
        <v>0</v>
      </c>
      <c r="AQ238" s="190">
        <f ca="1">SUMIFS(Налоги!AP$25:AP$69,Налоги!$F$25:$F$69,$F238,Налоги!$AB$25:$AB$69,$G238)</f>
        <v>0</v>
      </c>
      <c r="AR238" s="190">
        <f ca="1">SUMIFS(Налоги!AQ$25:AQ$69,Налоги!$F$25:$F$69,$F238,Налоги!$AB$25:$AB$69,$G238)</f>
        <v>0</v>
      </c>
      <c r="AS238" s="190">
        <f ca="1">SUMIFS(Налоги!AR$25:AR$69,Налоги!$F$25:$F$69,$F238,Налоги!$AB$25:$AB$69,$G238)</f>
        <v>0</v>
      </c>
      <c r="AT238" s="190">
        <f ca="1">SUMIFS(Налоги!AS$25:AS$69,Налоги!$F$25:$F$69,$F238,Налоги!$AB$25:$AB$69,$G238)</f>
        <v>0</v>
      </c>
      <c r="AU238" s="190">
        <f ca="1">SUMIFS(Налоги!AT$25:AT$69,Налоги!$F$25:$F$69,$F238,Налоги!$AB$25:$AB$69,$G238)</f>
        <v>0</v>
      </c>
      <c r="AV238" s="190">
        <f ca="1">SUMIFS(Налоги!AU$25:AU$69,Налоги!$F$25:$F$69,$F238,Налоги!$AB$25:$AB$69,$G238)</f>
        <v>0</v>
      </c>
      <c r="AW238" s="190">
        <f ca="1">SUMIFS(Налоги!AV$25:AV$69,Налоги!$F$25:$F$69,$F238,Налоги!$AB$25:$AB$69,$G238)</f>
        <v>0</v>
      </c>
      <c r="AX238" s="190">
        <f ca="1">SUMIFS(Налоги!AW$25:AW$69,Налоги!$F$25:$F$69,$F238,Налоги!$AB$25:$AB$69,$G238)</f>
        <v>0</v>
      </c>
      <c r="AY238" s="190">
        <f ca="1">SUMIFS(Налоги!AX$25:AX$69,Налоги!$F$25:$F$69,$F238,Налоги!$AB$25:$AB$69,$G238)</f>
        <v>0</v>
      </c>
      <c r="AZ238" s="190">
        <f ca="1">SUMIFS(Налоги!AY$25:AY$69,Налоги!$F$25:$F$69,$F238,Налоги!$AB$25:$AB$69,$G238)</f>
        <v>0</v>
      </c>
      <c r="BA238" s="190">
        <f ca="1">SUMIFS(Налоги!AZ$25:AZ$69,Налоги!$F$25:$F$69,$F238,Налоги!$AB$25:$AB$69,$G238)</f>
        <v>0</v>
      </c>
      <c r="BB238" s="190">
        <f ca="1">SUMIFS(Налоги!BA$25:BA$69,Налоги!$F$25:$F$69,$F238,Налоги!$AB$25:$AB$69,$G238)</f>
        <v>0</v>
      </c>
      <c r="BC238" s="190">
        <f ca="1">SUMIFS(Налоги!BB$25:BB$69,Налоги!$F$25:$F$69,$F238,Налоги!$AB$25:$AB$69,$G238)</f>
        <v>0</v>
      </c>
      <c r="BD238" s="190">
        <f t="shared" ca="1" si="51"/>
        <v>0</v>
      </c>
      <c r="BE238" s="190">
        <f t="shared" ca="1" si="52"/>
        <v>0</v>
      </c>
      <c r="BF238" s="190">
        <f t="shared" ca="1" si="53"/>
        <v>0</v>
      </c>
      <c r="BG238" s="190">
        <f t="shared" ca="1" si="54"/>
        <v>0</v>
      </c>
      <c r="BH238" s="190">
        <f t="shared" ca="1" si="55"/>
        <v>0</v>
      </c>
      <c r="BI238" s="190">
        <f t="shared" ca="1" si="56"/>
        <v>0</v>
      </c>
      <c r="BJ238" s="190">
        <f t="shared" ca="1" si="57"/>
        <v>0</v>
      </c>
      <c r="BK238" s="190">
        <f t="shared" ca="1" si="58"/>
        <v>0</v>
      </c>
      <c r="BL238" s="190">
        <f t="shared" ca="1" si="59"/>
        <v>0</v>
      </c>
      <c r="BM238" s="190">
        <f t="shared" ca="1" si="60"/>
        <v>0</v>
      </c>
      <c r="BN238" s="215"/>
      <c r="BO238" s="610" t="str">
        <f ca="1">IF(IFERROR(INDEX(Налоги!$K$26:$L$69,MATCH($F238&amp;"6komm",Налоги!$K$26:$K$69,0),2),"")=0,"",IFERROR(INDEX(Налоги!$K$26:$L$69,MATCH($F238&amp;"6komm",Налоги!$K$26:$K$69,0),2),""))</f>
        <v/>
      </c>
      <c r="BP238" s="215"/>
      <c r="BS238" s="705" t="s">
        <v>2068</v>
      </c>
    </row>
    <row r="239" spans="1:75" ht="0" hidden="1" customHeight="1">
      <c r="B239" s="34"/>
      <c r="C239" s="44"/>
      <c r="D239" s="44"/>
      <c r="E239" s="462">
        <v>15</v>
      </c>
      <c r="F239" s="3" t="str" cm="1">
        <f t="array" aca="1" ref="F239" ca="1">OFFSET(E239,-1,1)</f>
        <v>1</v>
      </c>
      <c r="G239" s="620">
        <v>2</v>
      </c>
      <c r="H239" s="44"/>
      <c r="I239" s="44" t="s">
        <v>2069</v>
      </c>
      <c r="J239" s="44"/>
      <c r="K239" s="44" t="s">
        <v>2069</v>
      </c>
      <c r="L239" s="44"/>
      <c r="M239" s="44"/>
      <c r="N239" s="44"/>
      <c r="O239" s="44"/>
      <c r="P239" s="44"/>
      <c r="Q239" s="44"/>
      <c r="R239" s="44"/>
      <c r="S239" s="44"/>
      <c r="T239" s="365" t="b" cm="1">
        <f t="array" aca="1" ref="T239" ca="1">T238</f>
        <v>1</v>
      </c>
      <c r="U239" s="44"/>
      <c r="V239" s="44"/>
      <c r="X239" s="1075"/>
      <c r="Z239" s="1065"/>
      <c r="AB239" s="152" t="s">
        <v>1497</v>
      </c>
      <c r="AC239" s="153" t="s">
        <v>2070</v>
      </c>
      <c r="AD239" s="26" t="s">
        <v>804</v>
      </c>
      <c r="AE239" s="190">
        <f ca="1">SUMIFS(Налоги!AE$25:AE$69,Налоги!$F$25:$F$69,$F239,Налоги!$AB$25:$AB$69,$G239)</f>
        <v>0</v>
      </c>
      <c r="AF239" s="190">
        <f ca="1">SUMIFS(Налоги!AF$25:AF$69,Налоги!$F$25:$F$69,$F239,Налоги!$AB$25:$AB$69,$G239)</f>
        <v>0</v>
      </c>
      <c r="AG239" s="190">
        <f ca="1">SUMIFS(Налоги!AG$25:AG$69,Налоги!$F$25:$F$69,$F239,Налоги!$AB$25:$AB$69,$G239)</f>
        <v>0</v>
      </c>
      <c r="AH239" s="190">
        <f t="shared" ca="1" si="49"/>
        <v>0</v>
      </c>
      <c r="AI239" s="190">
        <f ca="1">SUMIFS(Налоги!AH$25:AH$69,Налоги!$F$25:$F$69,$F239,Налоги!$AB$25:$AB$69,$G239)</f>
        <v>0</v>
      </c>
      <c r="AJ239" s="190">
        <f ca="1">SUMIFS(Налоги!AI$25:AI$69,Налоги!$F$25:$F$69,$F239,Налоги!$AB$25:$AB$69,$G239)</f>
        <v>0</v>
      </c>
      <c r="AK239" s="190">
        <f ca="1">SUMIFS(Налоги!AJ$25:AJ$69,Налоги!$F$25:$F$69,$F239,Налоги!$AB$25:$AB$69,$G239)</f>
        <v>0</v>
      </c>
      <c r="AL239" s="190">
        <f ca="1">SUMIFS(Налоги!AK$25:AK$69,Налоги!$F$25:$F$69,$F239,Налоги!$AB$25:$AB$69,$G239)</f>
        <v>0</v>
      </c>
      <c r="AM239" s="190">
        <f ca="1">SUMIFS(Налоги!AL$25:AL$69,Налоги!$F$25:$F$69,$F239,Налоги!$AB$25:$AB$69,$G239)</f>
        <v>0</v>
      </c>
      <c r="AN239" s="190">
        <f ca="1">SUMIFS(Налоги!AM$25:AM$69,Налоги!$F$25:$F$69,$F239,Налоги!$AB$25:$AB$69,$G239)</f>
        <v>0</v>
      </c>
      <c r="AO239" s="190">
        <f ca="1">SUMIFS(Налоги!AN$25:AN$69,Налоги!$F$25:$F$69,$F239,Налоги!$AB$25:$AB$69,$G239)</f>
        <v>0</v>
      </c>
      <c r="AP239" s="190">
        <f ca="1">SUMIFS(Налоги!AO$25:AO$69,Налоги!$F$25:$F$69,$F239,Налоги!$AB$25:$AB$69,$G239)</f>
        <v>0</v>
      </c>
      <c r="AQ239" s="190">
        <f ca="1">SUMIFS(Налоги!AP$25:AP$69,Налоги!$F$25:$F$69,$F239,Налоги!$AB$25:$AB$69,$G239)</f>
        <v>0</v>
      </c>
      <c r="AR239" s="190">
        <f ca="1">SUMIFS(Налоги!AQ$25:AQ$69,Налоги!$F$25:$F$69,$F239,Налоги!$AB$25:$AB$69,$G239)</f>
        <v>0</v>
      </c>
      <c r="AS239" s="190">
        <f ca="1">SUMIFS(Налоги!AR$25:AR$69,Налоги!$F$25:$F$69,$F239,Налоги!$AB$25:$AB$69,$G239)</f>
        <v>0</v>
      </c>
      <c r="AT239" s="190">
        <f ca="1">SUMIFS(Налоги!AS$25:AS$69,Налоги!$F$25:$F$69,$F239,Налоги!$AB$25:$AB$69,$G239)</f>
        <v>0</v>
      </c>
      <c r="AU239" s="190">
        <f ca="1">SUMIFS(Налоги!AT$25:AT$69,Налоги!$F$25:$F$69,$F239,Налоги!$AB$25:$AB$69,$G239)</f>
        <v>0</v>
      </c>
      <c r="AV239" s="190">
        <f ca="1">SUMIFS(Налоги!AU$25:AU$69,Налоги!$F$25:$F$69,$F239,Налоги!$AB$25:$AB$69,$G239)</f>
        <v>0</v>
      </c>
      <c r="AW239" s="190">
        <f ca="1">SUMIFS(Налоги!AV$25:AV$69,Налоги!$F$25:$F$69,$F239,Налоги!$AB$25:$AB$69,$G239)</f>
        <v>0</v>
      </c>
      <c r="AX239" s="190">
        <f ca="1">SUMIFS(Налоги!AW$25:AW$69,Налоги!$F$25:$F$69,$F239,Налоги!$AB$25:$AB$69,$G239)</f>
        <v>0</v>
      </c>
      <c r="AY239" s="190">
        <f ca="1">SUMIFS(Налоги!AX$25:AX$69,Налоги!$F$25:$F$69,$F239,Налоги!$AB$25:$AB$69,$G239)</f>
        <v>0</v>
      </c>
      <c r="AZ239" s="190">
        <f ca="1">SUMIFS(Налоги!AY$25:AY$69,Налоги!$F$25:$F$69,$F239,Налоги!$AB$25:$AB$69,$G239)</f>
        <v>0</v>
      </c>
      <c r="BA239" s="190">
        <f ca="1">SUMIFS(Налоги!AZ$25:AZ$69,Налоги!$F$25:$F$69,$F239,Налоги!$AB$25:$AB$69,$G239)</f>
        <v>0</v>
      </c>
      <c r="BB239" s="190">
        <f ca="1">SUMIFS(Налоги!BA$25:BA$69,Налоги!$F$25:$F$69,$F239,Налоги!$AB$25:$AB$69,$G239)</f>
        <v>0</v>
      </c>
      <c r="BC239" s="190">
        <f ca="1">SUMIFS(Налоги!BB$25:BB$69,Налоги!$F$25:$F$69,$F239,Налоги!$AB$25:$AB$69,$G239)</f>
        <v>0</v>
      </c>
      <c r="BD239" s="190">
        <f t="shared" ca="1" si="51"/>
        <v>0</v>
      </c>
      <c r="BE239" s="190">
        <f t="shared" ca="1" si="52"/>
        <v>0</v>
      </c>
      <c r="BF239" s="190">
        <f t="shared" ca="1" si="53"/>
        <v>0</v>
      </c>
      <c r="BG239" s="190">
        <f t="shared" ca="1" si="54"/>
        <v>0</v>
      </c>
      <c r="BH239" s="190">
        <f t="shared" ca="1" si="55"/>
        <v>0</v>
      </c>
      <c r="BI239" s="190">
        <f t="shared" ca="1" si="56"/>
        <v>0</v>
      </c>
      <c r="BJ239" s="190">
        <f t="shared" ca="1" si="57"/>
        <v>0</v>
      </c>
      <c r="BK239" s="190">
        <f t="shared" ca="1" si="58"/>
        <v>0</v>
      </c>
      <c r="BL239" s="190">
        <f t="shared" ca="1" si="59"/>
        <v>0</v>
      </c>
      <c r="BM239" s="190">
        <f t="shared" ca="1" si="60"/>
        <v>0</v>
      </c>
      <c r="BN239" s="215"/>
      <c r="BO239" s="610" t="str">
        <f ca="1">IF(IFERROR(INDEX(Налоги!$K$26:$L$69,MATCH($F239&amp;"2komm",Налоги!$K$26:$K$69,0),2),"")=0,"",IFERROR(INDEX(Налоги!$K$26:$L$69,MATCH($F239&amp;"2komm",Налоги!$K$26:$K$69,0),2),""))</f>
        <v/>
      </c>
      <c r="BP239" s="215"/>
      <c r="BS239" s="705" t="s">
        <v>2071</v>
      </c>
    </row>
    <row r="240" spans="1:75" ht="54.75" customHeight="1">
      <c r="B240" s="34"/>
      <c r="C240" s="44"/>
      <c r="D240" s="44"/>
      <c r="E240" s="462">
        <v>15</v>
      </c>
      <c r="F240" s="3" t="str" cm="1">
        <f t="array" aca="1" ref="F240" ca="1">OFFSET(E240,-1,1)</f>
        <v>1</v>
      </c>
      <c r="G240" s="620">
        <v>4</v>
      </c>
      <c r="H240" s="44"/>
      <c r="I240" s="44" t="s">
        <v>2072</v>
      </c>
      <c r="J240" s="44"/>
      <c r="K240" s="44" t="s">
        <v>2072</v>
      </c>
      <c r="L240" s="44"/>
      <c r="M240" s="44"/>
      <c r="N240" s="44"/>
      <c r="O240" s="44"/>
      <c r="P240" s="44"/>
      <c r="Q240" s="44"/>
      <c r="R240" s="44"/>
      <c r="S240" s="44"/>
      <c r="T240" s="365" t="b" cm="1">
        <f t="array" aca="1" ref="T240" ca="1">T239</f>
        <v>1</v>
      </c>
      <c r="U240" s="44"/>
      <c r="V240" s="44"/>
      <c r="X240" s="1075"/>
      <c r="Z240" s="1065"/>
      <c r="AB240" s="152" t="s">
        <v>2073</v>
      </c>
      <c r="AC240" s="153" t="s">
        <v>2074</v>
      </c>
      <c r="AD240" s="26" t="s">
        <v>804</v>
      </c>
      <c r="AE240" s="190">
        <f ca="1">SUMIFS(Налоги!AE$25:AE$69,Налоги!$F$25:$F$69,$F240,Налоги!$AB$25:$AB$69,$G240)</f>
        <v>426.29325799999998</v>
      </c>
      <c r="AF240" s="190">
        <f ca="1">SUMIFS(Налоги!AF$25:AF$69,Налоги!$F$25:$F$69,$F240,Налоги!$AB$25:$AB$69,$G240)</f>
        <v>451.78</v>
      </c>
      <c r="AG240" s="190">
        <f ca="1">SUMIFS(Налоги!AG$25:AG$69,Налоги!$F$25:$F$69,$F240,Налоги!$AB$25:$AB$69,$G240)</f>
        <v>451.78</v>
      </c>
      <c r="AH240" s="190">
        <f t="shared" ca="1" si="49"/>
        <v>0</v>
      </c>
      <c r="AI240" s="190">
        <f ca="1">SUMIFS(Налоги!AH$25:AH$69,Налоги!$F$25:$F$69,$F240,Налоги!$AB$25:$AB$69,$G240)</f>
        <v>499.24599999999998</v>
      </c>
      <c r="AJ240" s="190">
        <f ca="1">SUMIFS(Налоги!AI$25:AI$69,Налоги!$F$25:$F$69,$F240,Налоги!$AB$25:$AB$69,$G240)</f>
        <v>558.63</v>
      </c>
      <c r="AK240" s="190">
        <f ca="1">SUMIFS(Налоги!AJ$25:AJ$69,Налоги!$F$25:$F$69,$F240,Налоги!$AB$25:$AB$69,$G240)</f>
        <v>0</v>
      </c>
      <c r="AL240" s="190">
        <f ca="1">SUMIFS(Налоги!AK$25:AK$69,Налоги!$F$25:$F$69,$F240,Налоги!$AB$25:$AB$69,$G240)</f>
        <v>0</v>
      </c>
      <c r="AM240" s="190">
        <f ca="1">SUMIFS(Налоги!AL$25:AL$69,Налоги!$F$25:$F$69,$F240,Налоги!$AB$25:$AB$69,$G240)</f>
        <v>0</v>
      </c>
      <c r="AN240" s="190">
        <f ca="1">SUMIFS(Налоги!AM$25:AM$69,Налоги!$F$25:$F$69,$F240,Налоги!$AB$25:$AB$69,$G240)</f>
        <v>0</v>
      </c>
      <c r="AO240" s="190">
        <f ca="1">SUMIFS(Налоги!AN$25:AN$69,Налоги!$F$25:$F$69,$F240,Налоги!$AB$25:$AB$69,$G240)</f>
        <v>0</v>
      </c>
      <c r="AP240" s="190">
        <f ca="1">SUMIFS(Налоги!AO$25:AO$69,Налоги!$F$25:$F$69,$F240,Налоги!$AB$25:$AB$69,$G240)</f>
        <v>0</v>
      </c>
      <c r="AQ240" s="190">
        <f ca="1">SUMIFS(Налоги!AP$25:AP$69,Налоги!$F$25:$F$69,$F240,Налоги!$AB$25:$AB$69,$G240)</f>
        <v>0</v>
      </c>
      <c r="AR240" s="190">
        <f ca="1">SUMIFS(Налоги!AQ$25:AQ$69,Налоги!$F$25:$F$69,$F240,Налоги!$AB$25:$AB$69,$G240)</f>
        <v>0</v>
      </c>
      <c r="AS240" s="190">
        <f ca="1">SUMIFS(Налоги!AR$25:AR$69,Налоги!$F$25:$F$69,$F240,Налоги!$AB$25:$AB$69,$G240)</f>
        <v>0</v>
      </c>
      <c r="AT240" s="190">
        <f ca="1">SUMIFS(Налоги!AS$25:AS$69,Налоги!$F$25:$F$69,$F240,Налоги!$AB$25:$AB$69,$G240)</f>
        <v>501.56</v>
      </c>
      <c r="AU240" s="190">
        <f ca="1">SUMIFS(Налоги!AT$25:AT$69,Налоги!$F$25:$F$69,$F240,Налоги!$AB$25:$AB$69,$G240)</f>
        <v>0</v>
      </c>
      <c r="AV240" s="190">
        <f ca="1">SUMIFS(Налоги!AU$25:AU$69,Налоги!$F$25:$F$69,$F240,Налоги!$AB$25:$AB$69,$G240)</f>
        <v>0</v>
      </c>
      <c r="AW240" s="190">
        <f ca="1">SUMIFS(Налоги!AV$25:AV$69,Налоги!$F$25:$F$69,$F240,Налоги!$AB$25:$AB$69,$G240)</f>
        <v>0</v>
      </c>
      <c r="AX240" s="190">
        <f ca="1">SUMIFS(Налоги!AW$25:AW$69,Налоги!$F$25:$F$69,$F240,Налоги!$AB$25:$AB$69,$G240)</f>
        <v>0</v>
      </c>
      <c r="AY240" s="190">
        <f ca="1">SUMIFS(Налоги!AX$25:AX$69,Налоги!$F$25:$F$69,$F240,Налоги!$AB$25:$AB$69,$G240)</f>
        <v>0</v>
      </c>
      <c r="AZ240" s="190">
        <f ca="1">SUMIFS(Налоги!AY$25:AY$69,Налоги!$F$25:$F$69,$F240,Налоги!$AB$25:$AB$69,$G240)</f>
        <v>0</v>
      </c>
      <c r="BA240" s="190">
        <f ca="1">SUMIFS(Налоги!AZ$25:AZ$69,Налоги!$F$25:$F$69,$F240,Налоги!$AB$25:$AB$69,$G240)</f>
        <v>0</v>
      </c>
      <c r="BB240" s="190">
        <f ca="1">SUMIFS(Налоги!BA$25:BA$69,Налоги!$F$25:$F$69,$F240,Налоги!$AB$25:$AB$69,$G240)</f>
        <v>0</v>
      </c>
      <c r="BC240" s="190">
        <f ca="1">SUMIFS(Налоги!BB$25:BB$69,Налоги!$F$25:$F$69,$F240,Налоги!$AB$25:$AB$69,$G240)</f>
        <v>0</v>
      </c>
      <c r="BD240" s="190">
        <f t="shared" ca="1" si="51"/>
        <v>0.46349895642629513</v>
      </c>
      <c r="BE240" s="190">
        <f t="shared" ca="1" si="52"/>
        <v>-100</v>
      </c>
      <c r="BF240" s="190">
        <f t="shared" ca="1" si="53"/>
        <v>0</v>
      </c>
      <c r="BG240" s="190">
        <f t="shared" ca="1" si="54"/>
        <v>0</v>
      </c>
      <c r="BH240" s="190">
        <f t="shared" ca="1" si="55"/>
        <v>0</v>
      </c>
      <c r="BI240" s="190">
        <f t="shared" ca="1" si="56"/>
        <v>0</v>
      </c>
      <c r="BJ240" s="190">
        <f t="shared" ca="1" si="57"/>
        <v>0</v>
      </c>
      <c r="BK240" s="190">
        <f t="shared" ca="1" si="58"/>
        <v>0</v>
      </c>
      <c r="BL240" s="190">
        <f t="shared" ca="1" si="59"/>
        <v>0</v>
      </c>
      <c r="BM240" s="190">
        <f t="shared" ca="1" si="60"/>
        <v>0</v>
      </c>
      <c r="BN240" s="953" t="s">
        <v>2241</v>
      </c>
      <c r="BO240" s="610" t="s">
        <v>1295</v>
      </c>
      <c r="BP240" s="215"/>
      <c r="BS240" s="705" t="s">
        <v>2075</v>
      </c>
    </row>
    <row r="241" spans="2:75" ht="0" hidden="1" customHeight="1">
      <c r="B241" s="34"/>
      <c r="C241" s="44"/>
      <c r="D241" s="44"/>
      <c r="E241" s="462">
        <v>15</v>
      </c>
      <c r="F241" s="3" t="str" cm="1">
        <f t="array" aca="1" ref="F241" ca="1">OFFSET(E241,-1,1)</f>
        <v>1</v>
      </c>
      <c r="G241" s="620">
        <v>5</v>
      </c>
      <c r="H241" s="44"/>
      <c r="I241" s="44" t="s">
        <v>2076</v>
      </c>
      <c r="J241" s="44"/>
      <c r="K241" s="44" t="s">
        <v>2076</v>
      </c>
      <c r="L241" s="44"/>
      <c r="M241" s="44"/>
      <c r="N241" s="44"/>
      <c r="O241" s="44"/>
      <c r="P241" s="44"/>
      <c r="Q241" s="44"/>
      <c r="R241" s="44"/>
      <c r="S241" s="44"/>
      <c r="T241" s="365" t="b" cm="1">
        <f t="array" aca="1" ref="T241" ca="1">T240</f>
        <v>1</v>
      </c>
      <c r="U241" s="44"/>
      <c r="V241" s="44"/>
      <c r="X241" s="1075"/>
      <c r="Z241" s="1065"/>
      <c r="AB241" s="152" t="s">
        <v>2077</v>
      </c>
      <c r="AC241" s="153" t="s">
        <v>2078</v>
      </c>
      <c r="AD241" s="26" t="s">
        <v>804</v>
      </c>
      <c r="AE241" s="190">
        <f ca="1">SUMIFS(Налоги!AE$25:AE$69,Налоги!$F$25:$F$69,$F241,Налоги!$AB$25:$AB$69,$G241)</f>
        <v>0</v>
      </c>
      <c r="AF241" s="190">
        <f ca="1">SUMIFS(Налоги!AF$25:AF$69,Налоги!$F$25:$F$69,$F241,Налоги!$AB$25:$AB$69,$G241)</f>
        <v>0</v>
      </c>
      <c r="AG241" s="190">
        <f ca="1">SUMIFS(Налоги!AG$25:AG$69,Налоги!$F$25:$F$69,$F241,Налоги!$AB$25:$AB$69,$G241)</f>
        <v>0</v>
      </c>
      <c r="AH241" s="190">
        <f t="shared" ca="1" si="49"/>
        <v>0</v>
      </c>
      <c r="AI241" s="190">
        <f ca="1">SUMIFS(Налоги!AH$25:AH$69,Налоги!$F$25:$F$69,$F241,Налоги!$AB$25:$AB$69,$G241)</f>
        <v>0</v>
      </c>
      <c r="AJ241" s="190">
        <f ca="1">SUMIFS(Налоги!AI$25:AI$69,Налоги!$F$25:$F$69,$F241,Налоги!$AB$25:$AB$69,$G241)</f>
        <v>0</v>
      </c>
      <c r="AK241" s="190">
        <f ca="1">SUMIFS(Налоги!AJ$25:AJ$69,Налоги!$F$25:$F$69,$F241,Налоги!$AB$25:$AB$69,$G241)</f>
        <v>0</v>
      </c>
      <c r="AL241" s="190">
        <f ca="1">SUMIFS(Налоги!AK$25:AK$69,Налоги!$F$25:$F$69,$F241,Налоги!$AB$25:$AB$69,$G241)</f>
        <v>0</v>
      </c>
      <c r="AM241" s="190">
        <f ca="1">SUMIFS(Налоги!AL$25:AL$69,Налоги!$F$25:$F$69,$F241,Налоги!$AB$25:$AB$69,$G241)</f>
        <v>0</v>
      </c>
      <c r="AN241" s="190">
        <f ca="1">SUMIFS(Налоги!AM$25:AM$69,Налоги!$F$25:$F$69,$F241,Налоги!$AB$25:$AB$69,$G241)</f>
        <v>0</v>
      </c>
      <c r="AO241" s="190">
        <f ca="1">SUMIFS(Налоги!AN$25:AN$69,Налоги!$F$25:$F$69,$F241,Налоги!$AB$25:$AB$69,$G241)</f>
        <v>0</v>
      </c>
      <c r="AP241" s="190">
        <f ca="1">SUMIFS(Налоги!AO$25:AO$69,Налоги!$F$25:$F$69,$F241,Налоги!$AB$25:$AB$69,$G241)</f>
        <v>0</v>
      </c>
      <c r="AQ241" s="190">
        <f ca="1">SUMIFS(Налоги!AP$25:AP$69,Налоги!$F$25:$F$69,$F241,Налоги!$AB$25:$AB$69,$G241)</f>
        <v>0</v>
      </c>
      <c r="AR241" s="190">
        <f ca="1">SUMIFS(Налоги!AQ$25:AQ$69,Налоги!$F$25:$F$69,$F241,Налоги!$AB$25:$AB$69,$G241)</f>
        <v>0</v>
      </c>
      <c r="AS241" s="190">
        <f ca="1">SUMIFS(Налоги!AR$25:AR$69,Налоги!$F$25:$F$69,$F241,Налоги!$AB$25:$AB$69,$G241)</f>
        <v>0</v>
      </c>
      <c r="AT241" s="190">
        <f ca="1">SUMIFS(Налоги!AS$25:AS$69,Налоги!$F$25:$F$69,$F241,Налоги!$AB$25:$AB$69,$G241)</f>
        <v>0</v>
      </c>
      <c r="AU241" s="190">
        <f ca="1">SUMIFS(Налоги!AT$25:AT$69,Налоги!$F$25:$F$69,$F241,Налоги!$AB$25:$AB$69,$G241)</f>
        <v>0</v>
      </c>
      <c r="AV241" s="190">
        <f ca="1">SUMIFS(Налоги!AU$25:AU$69,Налоги!$F$25:$F$69,$F241,Налоги!$AB$25:$AB$69,$G241)</f>
        <v>0</v>
      </c>
      <c r="AW241" s="190">
        <f ca="1">SUMIFS(Налоги!AV$25:AV$69,Налоги!$F$25:$F$69,$F241,Налоги!$AB$25:$AB$69,$G241)</f>
        <v>0</v>
      </c>
      <c r="AX241" s="190">
        <f ca="1">SUMIFS(Налоги!AW$25:AW$69,Налоги!$F$25:$F$69,$F241,Налоги!$AB$25:$AB$69,$G241)</f>
        <v>0</v>
      </c>
      <c r="AY241" s="190">
        <f ca="1">SUMIFS(Налоги!AX$25:AX$69,Налоги!$F$25:$F$69,$F241,Налоги!$AB$25:$AB$69,$G241)</f>
        <v>0</v>
      </c>
      <c r="AZ241" s="190">
        <f ca="1">SUMIFS(Налоги!AY$25:AY$69,Налоги!$F$25:$F$69,$F241,Налоги!$AB$25:$AB$69,$G241)</f>
        <v>0</v>
      </c>
      <c r="BA241" s="190">
        <f ca="1">SUMIFS(Налоги!AZ$25:AZ$69,Налоги!$F$25:$F$69,$F241,Налоги!$AB$25:$AB$69,$G241)</f>
        <v>0</v>
      </c>
      <c r="BB241" s="190">
        <f ca="1">SUMIFS(Налоги!BA$25:BA$69,Налоги!$F$25:$F$69,$F241,Налоги!$AB$25:$AB$69,$G241)</f>
        <v>0</v>
      </c>
      <c r="BC241" s="190">
        <f ca="1">SUMIFS(Налоги!BB$25:BB$69,Налоги!$F$25:$F$69,$F241,Налоги!$AB$25:$AB$69,$G241)</f>
        <v>0</v>
      </c>
      <c r="BD241" s="190">
        <f t="shared" ca="1" si="51"/>
        <v>0</v>
      </c>
      <c r="BE241" s="190">
        <f t="shared" ca="1" si="52"/>
        <v>0</v>
      </c>
      <c r="BF241" s="190">
        <f t="shared" ca="1" si="53"/>
        <v>0</v>
      </c>
      <c r="BG241" s="190">
        <f t="shared" ca="1" si="54"/>
        <v>0</v>
      </c>
      <c r="BH241" s="190">
        <f t="shared" ca="1" si="55"/>
        <v>0</v>
      </c>
      <c r="BI241" s="190">
        <f t="shared" ca="1" si="56"/>
        <v>0</v>
      </c>
      <c r="BJ241" s="190">
        <f t="shared" ca="1" si="57"/>
        <v>0</v>
      </c>
      <c r="BK241" s="190">
        <f t="shared" ca="1" si="58"/>
        <v>0</v>
      </c>
      <c r="BL241" s="190">
        <f t="shared" ca="1" si="59"/>
        <v>0</v>
      </c>
      <c r="BM241" s="190">
        <f t="shared" ca="1" si="60"/>
        <v>0</v>
      </c>
      <c r="BN241" s="215"/>
      <c r="BO241" s="610" t="str">
        <f ca="1">IF(IFERROR(INDEX(Налоги!$K$26:$L$69,MATCH($F241&amp;"5komm",Налоги!$K$26:$K$69,0),2),"")=0,"",IFERROR(INDEX(Налоги!$K$26:$L$69,MATCH($F241&amp;"5komm",Налоги!$K$26:$K$69,0),2),""))</f>
        <v/>
      </c>
      <c r="BP241" s="215"/>
      <c r="BS241" s="705" t="s">
        <v>2079</v>
      </c>
    </row>
    <row r="242" spans="2:75" ht="0" hidden="1" customHeight="1">
      <c r="B242" s="34"/>
      <c r="C242" s="44"/>
      <c r="D242" s="44"/>
      <c r="E242" s="462">
        <v>15</v>
      </c>
      <c r="F242" s="3" t="str" cm="1">
        <f t="array" aca="1" ref="F242" ca="1">OFFSET(E242,-1,1)</f>
        <v>1</v>
      </c>
      <c r="G242" s="620">
        <v>1</v>
      </c>
      <c r="H242" s="44"/>
      <c r="I242" s="44" t="s">
        <v>2080</v>
      </c>
      <c r="J242" s="44"/>
      <c r="K242" s="44" t="s">
        <v>2080</v>
      </c>
      <c r="L242" s="44"/>
      <c r="M242" s="44"/>
      <c r="N242" s="44"/>
      <c r="O242" s="44"/>
      <c r="P242" s="44"/>
      <c r="Q242" s="44"/>
      <c r="R242" s="44"/>
      <c r="S242" s="44"/>
      <c r="T242" s="365" t="b" cm="1">
        <f t="array" aca="1" ref="T242" ca="1">T241</f>
        <v>1</v>
      </c>
      <c r="U242" s="44"/>
      <c r="V242" s="44"/>
      <c r="X242" s="1075"/>
      <c r="Z242" s="1065"/>
      <c r="AB242" s="152" t="s">
        <v>2081</v>
      </c>
      <c r="AC242" s="153" t="s">
        <v>2082</v>
      </c>
      <c r="AD242" s="26" t="s">
        <v>804</v>
      </c>
      <c r="AE242" s="190">
        <f ca="1">SUMIFS(Налоги!AE$25:AE$69,Налоги!$F$25:$F$69,$F242,Налоги!$AB$25:$AB$69,$G242)</f>
        <v>0</v>
      </c>
      <c r="AF242" s="190">
        <f ca="1">SUMIFS(Налоги!AF$25:AF$69,Налоги!$F$25:$F$69,$F242,Налоги!$AB$25:$AB$69,$G242)</f>
        <v>0</v>
      </c>
      <c r="AG242" s="190">
        <f ca="1">SUMIFS(Налоги!AG$25:AG$69,Налоги!$F$25:$F$69,$F242,Налоги!$AB$25:$AB$69,$G242)</f>
        <v>0</v>
      </c>
      <c r="AH242" s="190">
        <f t="shared" ca="1" si="49"/>
        <v>0</v>
      </c>
      <c r="AI242" s="190">
        <f ca="1">SUMIFS(Налоги!AH$25:AH$69,Налоги!$F$25:$F$69,$F242,Налоги!$AB$25:$AB$69,$G242)</f>
        <v>0</v>
      </c>
      <c r="AJ242" s="190">
        <f ca="1">SUMIFS(Налоги!AI$25:AI$69,Налоги!$F$25:$F$69,$F242,Налоги!$AB$25:$AB$69,$G242)</f>
        <v>0</v>
      </c>
      <c r="AK242" s="190">
        <f ca="1">SUMIFS(Налоги!AJ$25:AJ$69,Налоги!$F$25:$F$69,$F242,Налоги!$AB$25:$AB$69,$G242)</f>
        <v>0</v>
      </c>
      <c r="AL242" s="190">
        <f ca="1">SUMIFS(Налоги!AK$25:AK$69,Налоги!$F$25:$F$69,$F242,Налоги!$AB$25:$AB$69,$G242)</f>
        <v>0</v>
      </c>
      <c r="AM242" s="190">
        <f ca="1">SUMIFS(Налоги!AL$25:AL$69,Налоги!$F$25:$F$69,$F242,Налоги!$AB$25:$AB$69,$G242)</f>
        <v>0</v>
      </c>
      <c r="AN242" s="190">
        <f ca="1">SUMIFS(Налоги!AM$25:AM$69,Налоги!$F$25:$F$69,$F242,Налоги!$AB$25:$AB$69,$G242)</f>
        <v>0</v>
      </c>
      <c r="AO242" s="190">
        <f ca="1">SUMIFS(Налоги!AN$25:AN$69,Налоги!$F$25:$F$69,$F242,Налоги!$AB$25:$AB$69,$G242)</f>
        <v>0</v>
      </c>
      <c r="AP242" s="190">
        <f ca="1">SUMIFS(Налоги!AO$25:AO$69,Налоги!$F$25:$F$69,$F242,Налоги!$AB$25:$AB$69,$G242)</f>
        <v>0</v>
      </c>
      <c r="AQ242" s="190">
        <f ca="1">SUMIFS(Налоги!AP$25:AP$69,Налоги!$F$25:$F$69,$F242,Налоги!$AB$25:$AB$69,$G242)</f>
        <v>0</v>
      </c>
      <c r="AR242" s="190">
        <f ca="1">SUMIFS(Налоги!AQ$25:AQ$69,Налоги!$F$25:$F$69,$F242,Налоги!$AB$25:$AB$69,$G242)</f>
        <v>0</v>
      </c>
      <c r="AS242" s="190">
        <f ca="1">SUMIFS(Налоги!AR$25:AR$69,Налоги!$F$25:$F$69,$F242,Налоги!$AB$25:$AB$69,$G242)</f>
        <v>0</v>
      </c>
      <c r="AT242" s="190">
        <f ca="1">SUMIFS(Налоги!AS$25:AS$69,Налоги!$F$25:$F$69,$F242,Налоги!$AB$25:$AB$69,$G242)</f>
        <v>0</v>
      </c>
      <c r="AU242" s="190">
        <f ca="1">SUMIFS(Налоги!AT$25:AT$69,Налоги!$F$25:$F$69,$F242,Налоги!$AB$25:$AB$69,$G242)</f>
        <v>0</v>
      </c>
      <c r="AV242" s="190">
        <f ca="1">SUMIFS(Налоги!AU$25:AU$69,Налоги!$F$25:$F$69,$F242,Налоги!$AB$25:$AB$69,$G242)</f>
        <v>0</v>
      </c>
      <c r="AW242" s="190">
        <f ca="1">SUMIFS(Налоги!AV$25:AV$69,Налоги!$F$25:$F$69,$F242,Налоги!$AB$25:$AB$69,$G242)</f>
        <v>0</v>
      </c>
      <c r="AX242" s="190">
        <f ca="1">SUMIFS(Налоги!AW$25:AW$69,Налоги!$F$25:$F$69,$F242,Налоги!$AB$25:$AB$69,$G242)</f>
        <v>0</v>
      </c>
      <c r="AY242" s="190">
        <f ca="1">SUMIFS(Налоги!AX$25:AX$69,Налоги!$F$25:$F$69,$F242,Налоги!$AB$25:$AB$69,$G242)</f>
        <v>0</v>
      </c>
      <c r="AZ242" s="190">
        <f ca="1">SUMIFS(Налоги!AY$25:AY$69,Налоги!$F$25:$F$69,$F242,Налоги!$AB$25:$AB$69,$G242)</f>
        <v>0</v>
      </c>
      <c r="BA242" s="190">
        <f ca="1">SUMIFS(Налоги!AZ$25:AZ$69,Налоги!$F$25:$F$69,$F242,Налоги!$AB$25:$AB$69,$G242)</f>
        <v>0</v>
      </c>
      <c r="BB242" s="190">
        <f ca="1">SUMIFS(Налоги!BA$25:BA$69,Налоги!$F$25:$F$69,$F242,Налоги!$AB$25:$AB$69,$G242)</f>
        <v>0</v>
      </c>
      <c r="BC242" s="190">
        <f ca="1">SUMIFS(Налоги!BB$25:BB$69,Налоги!$F$25:$F$69,$F242,Налоги!$AB$25:$AB$69,$G242)</f>
        <v>0</v>
      </c>
      <c r="BD242" s="190">
        <f t="shared" ca="1" si="51"/>
        <v>0</v>
      </c>
      <c r="BE242" s="190">
        <f t="shared" ca="1" si="52"/>
        <v>0</v>
      </c>
      <c r="BF242" s="190">
        <f t="shared" ca="1" si="53"/>
        <v>0</v>
      </c>
      <c r="BG242" s="190">
        <f t="shared" ca="1" si="54"/>
        <v>0</v>
      </c>
      <c r="BH242" s="190">
        <f t="shared" ca="1" si="55"/>
        <v>0</v>
      </c>
      <c r="BI242" s="190">
        <f t="shared" ca="1" si="56"/>
        <v>0</v>
      </c>
      <c r="BJ242" s="190">
        <f t="shared" ca="1" si="57"/>
        <v>0</v>
      </c>
      <c r="BK242" s="190">
        <f t="shared" ca="1" si="58"/>
        <v>0</v>
      </c>
      <c r="BL242" s="190">
        <f t="shared" ca="1" si="59"/>
        <v>0</v>
      </c>
      <c r="BM242" s="190">
        <f t="shared" ca="1" si="60"/>
        <v>0</v>
      </c>
      <c r="BN242" s="215"/>
      <c r="BO242" s="610" t="str">
        <f ca="1">IF(IFERROR(INDEX(Налоги!$K$26:$L$69,MATCH($F242&amp;"1komm",Налоги!$K$26:$K$69,0),2),"")=0,"",IFERROR(INDEX(Налоги!$K$26:$L$69,MATCH($F242&amp;"1komm",Налоги!$K$26:$K$69,0),2),""))</f>
        <v/>
      </c>
      <c r="BP242" s="215"/>
      <c r="BS242" s="705" t="s">
        <v>2083</v>
      </c>
    </row>
    <row r="243" spans="2:75" ht="23.25" customHeight="1">
      <c r="B243" s="34"/>
      <c r="C243" s="44"/>
      <c r="D243" s="44"/>
      <c r="E243" s="462">
        <v>15</v>
      </c>
      <c r="F243" s="3" t="str" cm="1">
        <f t="array" aca="1" ref="F243" ca="1">OFFSET(E243,-1,1)</f>
        <v>1</v>
      </c>
      <c r="G243" s="620">
        <v>3</v>
      </c>
      <c r="H243" s="44"/>
      <c r="I243" s="44" t="s">
        <v>2084</v>
      </c>
      <c r="J243" s="44"/>
      <c r="K243" s="44" t="s">
        <v>2084</v>
      </c>
      <c r="L243" s="44"/>
      <c r="M243" s="44"/>
      <c r="N243" s="44"/>
      <c r="O243" s="44"/>
      <c r="P243" s="44"/>
      <c r="Q243" s="44"/>
      <c r="R243" s="44"/>
      <c r="S243" s="44"/>
      <c r="T243" s="365" t="b" cm="1">
        <f t="array" aca="1" ref="T243" ca="1">T242</f>
        <v>1</v>
      </c>
      <c r="U243" s="44"/>
      <c r="V243" s="44"/>
      <c r="X243" s="1075"/>
      <c r="Z243" s="1065"/>
      <c r="AB243" s="152" t="s">
        <v>2085</v>
      </c>
      <c r="AC243" s="153" t="s">
        <v>2086</v>
      </c>
      <c r="AD243" s="26" t="s">
        <v>804</v>
      </c>
      <c r="AE243" s="147">
        <f ca="1">SUMIFS(Налоги!AE$25:AE$69,Налоги!$F$25:$F$69,$F243,Налоги!$AB$25:$AB$69,$G243)</f>
        <v>0</v>
      </c>
      <c r="AF243" s="147">
        <f ca="1">SUMIFS(Налоги!AF$25:AF$69,Налоги!$F$25:$F$69,$F243,Налоги!$AB$25:$AB$69,$G243)</f>
        <v>0</v>
      </c>
      <c r="AG243" s="147">
        <f ca="1">SUMIFS(Налоги!AG$25:AG$69,Налоги!$F$25:$F$69,$F243,Налоги!$AB$25:$AB$69,$G243)</f>
        <v>0</v>
      </c>
      <c r="AH243" s="190">
        <f t="shared" ca="1" si="49"/>
        <v>0</v>
      </c>
      <c r="AI243" s="147">
        <f ca="1">SUMIFS(Налоги!AH$25:AH$69,Налоги!$F$25:$F$69,$F243,Налоги!$AB$25:$AB$69,$G243)</f>
        <v>0</v>
      </c>
      <c r="AJ243" s="147">
        <f ca="1">SUMIFS(Налоги!AI$25:AI$69,Налоги!$F$25:$F$69,$F243,Налоги!$AB$25:$AB$69,$G243)</f>
        <v>0</v>
      </c>
      <c r="AK243" s="787">
        <f ca="1">SUMIFS(Налоги!AJ$25:AJ$69,Налоги!$F$25:$F$69,$F243,Налоги!$AB$25:$AB$69,$G243)</f>
        <v>0</v>
      </c>
      <c r="AL243" s="787">
        <f ca="1">SUMIFS(Налоги!AK$25:AK$69,Налоги!$F$25:$F$69,$F243,Налоги!$AB$25:$AB$69,$G243)</f>
        <v>0</v>
      </c>
      <c r="AM243" s="787">
        <f ca="1">SUMIFS(Налоги!AL$25:AL$69,Налоги!$F$25:$F$69,$F243,Налоги!$AB$25:$AB$69,$G243)</f>
        <v>0</v>
      </c>
      <c r="AN243" s="787">
        <f ca="1">SUMIFS(Налоги!AM$25:AM$69,Налоги!$F$25:$F$69,$F243,Налоги!$AB$25:$AB$69,$G243)</f>
        <v>0</v>
      </c>
      <c r="AO243" s="787">
        <f ca="1">SUMIFS(Налоги!AN$25:AN$69,Налоги!$F$25:$F$69,$F243,Налоги!$AB$25:$AB$69,$G243)</f>
        <v>0</v>
      </c>
      <c r="AP243" s="787">
        <f ca="1">SUMIFS(Налоги!AO$25:AO$69,Налоги!$F$25:$F$69,$F243,Налоги!$AB$25:$AB$69,$G243)</f>
        <v>0</v>
      </c>
      <c r="AQ243" s="787">
        <f ca="1">SUMIFS(Налоги!AP$25:AP$69,Налоги!$F$25:$F$69,$F243,Налоги!$AB$25:$AB$69,$G243)</f>
        <v>0</v>
      </c>
      <c r="AR243" s="787">
        <f ca="1">SUMIFS(Налоги!AQ$25:AQ$69,Налоги!$F$25:$F$69,$F243,Налоги!$AB$25:$AB$69,$G243)</f>
        <v>0</v>
      </c>
      <c r="AS243" s="787">
        <f ca="1">SUMIFS(Налоги!AR$25:AR$69,Налоги!$F$25:$F$69,$F243,Налоги!$AB$25:$AB$69,$G243)</f>
        <v>0</v>
      </c>
      <c r="AT243" s="147">
        <f ca="1">SUMIFS(Налоги!AS$25:AS$69,Налоги!$F$25:$F$69,$F243,Налоги!$AB$25:$AB$69,$G243)</f>
        <v>0</v>
      </c>
      <c r="AU243" s="787">
        <f ca="1">SUMIFS(Налоги!AT$25:AT$69,Налоги!$F$25:$F$69,$F243,Налоги!$AB$25:$AB$69,$G243)</f>
        <v>0</v>
      </c>
      <c r="AV243" s="787">
        <f ca="1">SUMIFS(Налоги!AU$25:AU$69,Налоги!$F$25:$F$69,$F243,Налоги!$AB$25:$AB$69,$G243)</f>
        <v>0</v>
      </c>
      <c r="AW243" s="787">
        <f ca="1">SUMIFS(Налоги!AV$25:AV$69,Налоги!$F$25:$F$69,$F243,Налоги!$AB$25:$AB$69,$G243)</f>
        <v>0</v>
      </c>
      <c r="AX243" s="787">
        <f ca="1">SUMIFS(Налоги!AW$25:AW$69,Налоги!$F$25:$F$69,$F243,Налоги!$AB$25:$AB$69,$G243)</f>
        <v>0</v>
      </c>
      <c r="AY243" s="787">
        <f ca="1">SUMIFS(Налоги!AX$25:AX$69,Налоги!$F$25:$F$69,$F243,Налоги!$AB$25:$AB$69,$G243)</f>
        <v>0</v>
      </c>
      <c r="AZ243" s="787">
        <f ca="1">SUMIFS(Налоги!AY$25:AY$69,Налоги!$F$25:$F$69,$F243,Налоги!$AB$25:$AB$69,$G243)</f>
        <v>0</v>
      </c>
      <c r="BA243" s="787">
        <f ca="1">SUMIFS(Налоги!AZ$25:AZ$69,Налоги!$F$25:$F$69,$F243,Налоги!$AB$25:$AB$69,$G243)</f>
        <v>0</v>
      </c>
      <c r="BB243" s="787">
        <f ca="1">SUMIFS(Налоги!BA$25:BA$69,Налоги!$F$25:$F$69,$F243,Налоги!$AB$25:$AB$69,$G243)</f>
        <v>0</v>
      </c>
      <c r="BC243" s="787">
        <f ca="1">SUMIFS(Налоги!BB$25:BB$69,Налоги!$F$25:$F$69,$F243,Налоги!$AB$25:$AB$69,$G243)</f>
        <v>0</v>
      </c>
      <c r="BD243" s="190">
        <f t="shared" ca="1" si="51"/>
        <v>0</v>
      </c>
      <c r="BE243" s="190">
        <f t="shared" ca="1" si="52"/>
        <v>0</v>
      </c>
      <c r="BF243" s="190">
        <f t="shared" ca="1" si="53"/>
        <v>0</v>
      </c>
      <c r="BG243" s="190">
        <f t="shared" ca="1" si="54"/>
        <v>0</v>
      </c>
      <c r="BH243" s="190">
        <f t="shared" ca="1" si="55"/>
        <v>0</v>
      </c>
      <c r="BI243" s="190">
        <f t="shared" ca="1" si="56"/>
        <v>0</v>
      </c>
      <c r="BJ243" s="190">
        <f t="shared" ca="1" si="57"/>
        <v>0</v>
      </c>
      <c r="BK243" s="190">
        <f t="shared" ca="1" si="58"/>
        <v>0</v>
      </c>
      <c r="BL243" s="190">
        <f t="shared" ca="1" si="59"/>
        <v>0</v>
      </c>
      <c r="BM243" s="190">
        <f t="shared" ca="1" si="60"/>
        <v>0</v>
      </c>
      <c r="BN243" s="215"/>
      <c r="BO243" s="610" t="str">
        <f ca="1">IF(IFERROR(INDEX(Налоги!$K$26:$L$69,MATCH($F243&amp;"5komm",Налоги!$K$26:$K$69,0),2),"")=0,"",IFERROR(INDEX(Налоги!$K$26:$L$69,MATCH($F243&amp;"5komm",Налоги!$K$26:$K$69,0),2),""))</f>
        <v/>
      </c>
      <c r="BP243" s="215"/>
      <c r="BS243" s="705" t="s">
        <v>2087</v>
      </c>
    </row>
    <row r="244" spans="2:75" ht="54.75" customHeight="1">
      <c r="B244" s="34"/>
      <c r="C244" s="44"/>
      <c r="D244" s="44"/>
      <c r="E244" s="462">
        <v>15</v>
      </c>
      <c r="F244" s="3" t="str" cm="1">
        <f t="array" aca="1" ref="F244" ca="1">OFFSET(E244,-1,1)</f>
        <v>1</v>
      </c>
      <c r="G244" s="620">
        <v>8</v>
      </c>
      <c r="H244" s="44"/>
      <c r="I244" s="44" t="s">
        <v>2088</v>
      </c>
      <c r="J244" s="44"/>
      <c r="K244" s="44" t="s">
        <v>2088</v>
      </c>
      <c r="L244" s="44"/>
      <c r="M244" s="44"/>
      <c r="N244" s="44"/>
      <c r="O244" s="44"/>
      <c r="P244" s="44"/>
      <c r="Q244" s="44"/>
      <c r="R244" s="44"/>
      <c r="S244" s="44"/>
      <c r="T244" s="365" t="b" cm="1">
        <f t="array" aca="1" ref="T244" ca="1">T243</f>
        <v>1</v>
      </c>
      <c r="U244" s="44"/>
      <c r="V244" s="44"/>
      <c r="X244" s="1075"/>
      <c r="Z244" s="1065"/>
      <c r="AB244" s="152" t="s">
        <v>2089</v>
      </c>
      <c r="AC244" s="153" t="s">
        <v>2090</v>
      </c>
      <c r="AD244" s="26" t="s">
        <v>804</v>
      </c>
      <c r="AE244" s="190">
        <f ca="1">SUMIFS(Налоги!AE$25:AE$69,Налоги!$F$25:$F$69,$F244,Налоги!$AB$25:$AB$69,$G244)</f>
        <v>376.0367666798</v>
      </c>
      <c r="AF244" s="190">
        <f ca="1">SUMIFS(Налоги!AF$25:AF$69,Налоги!$F$25:$F$69,$F244,Налоги!$AB$25:$AB$69,$G244)</f>
        <v>410.78</v>
      </c>
      <c r="AG244" s="190">
        <f ca="1">SUMIFS(Налоги!AG$25:AG$69,Налоги!$F$25:$F$69,$F244,Налоги!$AB$25:$AB$69,$G244)</f>
        <v>388.27</v>
      </c>
      <c r="AH244" s="190">
        <f t="shared" ca="1" si="49"/>
        <v>-22.509999999999991</v>
      </c>
      <c r="AI244" s="190">
        <f ca="1">SUMIFS(Налоги!AH$25:AH$69,Налоги!$F$25:$F$69,$F244,Налоги!$AB$25:$AB$69,$G244)</f>
        <v>409.58</v>
      </c>
      <c r="AJ244" s="190">
        <f ca="1">SUMIFS(Налоги!AI$25:AI$69,Налоги!$F$25:$F$69,$F244,Налоги!$AB$25:$AB$69,$G244)</f>
        <v>804.49</v>
      </c>
      <c r="AK244" s="190">
        <f ca="1">SUMIFS(Налоги!AJ$25:AJ$69,Налоги!$F$25:$F$69,$F244,Налоги!$AB$25:$AB$69,$G244)</f>
        <v>0</v>
      </c>
      <c r="AL244" s="190">
        <f ca="1">SUMIFS(Налоги!AK$25:AK$69,Налоги!$F$25:$F$69,$F244,Налоги!$AB$25:$AB$69,$G244)</f>
        <v>0</v>
      </c>
      <c r="AM244" s="190">
        <f ca="1">SUMIFS(Налоги!AL$25:AL$69,Налоги!$F$25:$F$69,$F244,Налоги!$AB$25:$AB$69,$G244)</f>
        <v>0</v>
      </c>
      <c r="AN244" s="190">
        <f ca="1">SUMIFS(Налоги!AM$25:AM$69,Налоги!$F$25:$F$69,$F244,Налоги!$AB$25:$AB$69,$G244)</f>
        <v>0</v>
      </c>
      <c r="AO244" s="190">
        <f ca="1">SUMIFS(Налоги!AN$25:AN$69,Налоги!$F$25:$F$69,$F244,Налоги!$AB$25:$AB$69,$G244)</f>
        <v>0</v>
      </c>
      <c r="AP244" s="190">
        <f ca="1">SUMIFS(Налоги!AO$25:AO$69,Налоги!$F$25:$F$69,$F244,Налоги!$AB$25:$AB$69,$G244)</f>
        <v>0</v>
      </c>
      <c r="AQ244" s="190">
        <f ca="1">SUMIFS(Налоги!AP$25:AP$69,Налоги!$F$25:$F$69,$F244,Налоги!$AB$25:$AB$69,$G244)</f>
        <v>0</v>
      </c>
      <c r="AR244" s="190">
        <f ca="1">SUMIFS(Налоги!AQ$25:AQ$69,Налоги!$F$25:$F$69,$F244,Налоги!$AB$25:$AB$69,$G244)</f>
        <v>0</v>
      </c>
      <c r="AS244" s="190">
        <f ca="1">SUMIFS(Налоги!AR$25:AR$69,Налоги!$F$25:$F$69,$F244,Налоги!$AB$25:$AB$69,$G244)</f>
        <v>0</v>
      </c>
      <c r="AT244" s="190">
        <f ca="1">SUMIFS(Налоги!AS$25:AS$69,Налоги!$F$25:$F$69,$F244,Налоги!$AB$25:$AB$69,$G244)</f>
        <v>448.21</v>
      </c>
      <c r="AU244" s="190">
        <f ca="1">SUMIFS(Налоги!AT$25:AT$69,Налоги!$F$25:$F$69,$F244,Налоги!$AB$25:$AB$69,$G244)</f>
        <v>0</v>
      </c>
      <c r="AV244" s="190">
        <f ca="1">SUMIFS(Налоги!AU$25:AU$69,Налоги!$F$25:$F$69,$F244,Налоги!$AB$25:$AB$69,$G244)</f>
        <v>0</v>
      </c>
      <c r="AW244" s="190">
        <f ca="1">SUMIFS(Налоги!AV$25:AV$69,Налоги!$F$25:$F$69,$F244,Налоги!$AB$25:$AB$69,$G244)</f>
        <v>0</v>
      </c>
      <c r="AX244" s="190">
        <f ca="1">SUMIFS(Налоги!AW$25:AW$69,Налоги!$F$25:$F$69,$F244,Налоги!$AB$25:$AB$69,$G244)</f>
        <v>0</v>
      </c>
      <c r="AY244" s="190">
        <f ca="1">SUMIFS(Налоги!AX$25:AX$69,Налоги!$F$25:$F$69,$F244,Налоги!$AB$25:$AB$69,$G244)</f>
        <v>0</v>
      </c>
      <c r="AZ244" s="190">
        <f ca="1">SUMIFS(Налоги!AY$25:AY$69,Налоги!$F$25:$F$69,$F244,Налоги!$AB$25:$AB$69,$G244)</f>
        <v>0</v>
      </c>
      <c r="BA244" s="190">
        <f ca="1">SUMIFS(Налоги!AZ$25:AZ$69,Налоги!$F$25:$F$69,$F244,Налоги!$AB$25:$AB$69,$G244)</f>
        <v>0</v>
      </c>
      <c r="BB244" s="190">
        <f ca="1">SUMIFS(Налоги!BA$25:BA$69,Налоги!$F$25:$F$69,$F244,Налоги!$AB$25:$AB$69,$G244)</f>
        <v>0</v>
      </c>
      <c r="BC244" s="190">
        <f ca="1">SUMIFS(Налоги!BB$25:BB$69,Налоги!$F$25:$F$69,$F244,Налоги!$AB$25:$AB$69,$G244)</f>
        <v>0</v>
      </c>
      <c r="BD244" s="190">
        <f t="shared" ca="1" si="51"/>
        <v>9.4316128717222512</v>
      </c>
      <c r="BE244" s="190">
        <f t="shared" ca="1" si="52"/>
        <v>-100</v>
      </c>
      <c r="BF244" s="190">
        <f t="shared" ca="1" si="53"/>
        <v>0</v>
      </c>
      <c r="BG244" s="190">
        <f t="shared" ca="1" si="54"/>
        <v>0</v>
      </c>
      <c r="BH244" s="190">
        <f t="shared" ca="1" si="55"/>
        <v>0</v>
      </c>
      <c r="BI244" s="190">
        <f t="shared" ca="1" si="56"/>
        <v>0</v>
      </c>
      <c r="BJ244" s="190">
        <f t="shared" ca="1" si="57"/>
        <v>0</v>
      </c>
      <c r="BK244" s="190">
        <f t="shared" ca="1" si="58"/>
        <v>0</v>
      </c>
      <c r="BL244" s="190">
        <f t="shared" ca="1" si="59"/>
        <v>0</v>
      </c>
      <c r="BM244" s="190">
        <f t="shared" ca="1" si="60"/>
        <v>0</v>
      </c>
      <c r="BN244" s="953" t="s">
        <v>2242</v>
      </c>
      <c r="BO244" s="610" t="s">
        <v>1296</v>
      </c>
      <c r="BP244" s="215"/>
      <c r="BS244" s="705" t="s">
        <v>1288</v>
      </c>
    </row>
    <row r="245" spans="2:75" s="388" customFormat="1" ht="0" hidden="1" customHeight="1">
      <c r="B245" s="34"/>
      <c r="C245" s="44"/>
      <c r="D245" s="44"/>
      <c r="E245" s="462">
        <v>15</v>
      </c>
      <c r="F245" s="3" t="str" cm="1">
        <f t="array" aca="1" ref="F245" ca="1">OFFSET(E245,-1,1)</f>
        <v>1</v>
      </c>
      <c r="G245" s="620">
        <v>9</v>
      </c>
      <c r="H245" s="44"/>
      <c r="I245" s="44"/>
      <c r="J245" s="44"/>
      <c r="K245" s="44"/>
      <c r="L245" s="44"/>
      <c r="M245" s="44"/>
      <c r="N245" s="44"/>
      <c r="O245" s="44"/>
      <c r="P245" s="44"/>
      <c r="Q245" s="44"/>
      <c r="R245" s="44"/>
      <c r="S245" s="44"/>
      <c r="T245" s="365" t="b" cm="1">
        <f t="array" aca="1" ref="T245" ca="1">T244</f>
        <v>1</v>
      </c>
      <c r="U245" s="44"/>
      <c r="V245" s="44"/>
      <c r="X245" s="1075"/>
      <c r="Z245" s="1065"/>
      <c r="AB245" s="152" t="s">
        <v>2091</v>
      </c>
      <c r="AC245" s="559" t="s">
        <v>2092</v>
      </c>
      <c r="AD245" s="26" t="s">
        <v>804</v>
      </c>
      <c r="AE245" s="190">
        <f ca="1">SUMIFS(Налоги!AE$25:AE$69,Налоги!$F$25:$F$69,$F245,Налоги!$AB$25:$AB$69,$G245)</f>
        <v>0</v>
      </c>
      <c r="AF245" s="190">
        <f ca="1">SUMIFS(Налоги!AF$25:AF$69,Налоги!$F$25:$F$69,$F245,Налоги!$AB$25:$AB$69,$G245)</f>
        <v>0</v>
      </c>
      <c r="AG245" s="190">
        <f ca="1">SUMIFS(Налоги!AG$25:AG$69,Налоги!$F$25:$F$69,$F245,Налоги!$AB$25:$AB$69,$G245)</f>
        <v>0</v>
      </c>
      <c r="AH245" s="190">
        <f t="shared" ca="1" si="49"/>
        <v>0</v>
      </c>
      <c r="AI245" s="190">
        <f ca="1">SUMIFS(Налоги!AH$25:AH$69,Налоги!$F$25:$F$69,$F245,Налоги!$AB$25:$AB$69,$G245)</f>
        <v>0</v>
      </c>
      <c r="AJ245" s="190">
        <f ca="1">SUMIFS(Налоги!AI$25:AI$69,Налоги!$F$25:$F$69,$F245,Налоги!$AB$25:$AB$69,$G245)</f>
        <v>0</v>
      </c>
      <c r="AK245" s="190">
        <f ca="1">SUMIFS(Налоги!AJ$25:AJ$69,Налоги!$F$25:$F$69,$F245,Налоги!$AB$25:$AB$69,$G245)</f>
        <v>0</v>
      </c>
      <c r="AL245" s="190">
        <f ca="1">SUMIFS(Налоги!AK$25:AK$69,Налоги!$F$25:$F$69,$F245,Налоги!$AB$25:$AB$69,$G245)</f>
        <v>0</v>
      </c>
      <c r="AM245" s="190">
        <f ca="1">SUMIFS(Налоги!AL$25:AL$69,Налоги!$F$25:$F$69,$F245,Налоги!$AB$25:$AB$69,$G245)</f>
        <v>0</v>
      </c>
      <c r="AN245" s="190">
        <f ca="1">SUMIFS(Налоги!AM$25:AM$69,Налоги!$F$25:$F$69,$F245,Налоги!$AB$25:$AB$69,$G245)</f>
        <v>0</v>
      </c>
      <c r="AO245" s="190">
        <f ca="1">SUMIFS(Налоги!AN$25:AN$69,Налоги!$F$25:$F$69,$F245,Налоги!$AB$25:$AB$69,$G245)</f>
        <v>0</v>
      </c>
      <c r="AP245" s="190">
        <f ca="1">SUMIFS(Налоги!AO$25:AO$69,Налоги!$F$25:$F$69,$F245,Налоги!$AB$25:$AB$69,$G245)</f>
        <v>0</v>
      </c>
      <c r="AQ245" s="190">
        <f ca="1">SUMIFS(Налоги!AP$25:AP$69,Налоги!$F$25:$F$69,$F245,Налоги!$AB$25:$AB$69,$G245)</f>
        <v>0</v>
      </c>
      <c r="AR245" s="190">
        <f ca="1">SUMIFS(Налоги!AQ$25:AQ$69,Налоги!$F$25:$F$69,$F245,Налоги!$AB$25:$AB$69,$G245)</f>
        <v>0</v>
      </c>
      <c r="AS245" s="190">
        <f ca="1">SUMIFS(Налоги!AR$25:AR$69,Налоги!$F$25:$F$69,$F245,Налоги!$AB$25:$AB$69,$G245)</f>
        <v>0</v>
      </c>
      <c r="AT245" s="190">
        <f ca="1">SUMIFS(Налоги!AS$25:AS$69,Налоги!$F$25:$F$69,$F245,Налоги!$AB$25:$AB$69,$G245)</f>
        <v>0</v>
      </c>
      <c r="AU245" s="190">
        <f ca="1">SUMIFS(Налоги!AT$25:AT$69,Налоги!$F$25:$F$69,$F245,Налоги!$AB$25:$AB$69,$G245)</f>
        <v>0</v>
      </c>
      <c r="AV245" s="190">
        <f ca="1">SUMIFS(Налоги!AU$25:AU$69,Налоги!$F$25:$F$69,$F245,Налоги!$AB$25:$AB$69,$G245)</f>
        <v>0</v>
      </c>
      <c r="AW245" s="190">
        <f ca="1">SUMIFS(Налоги!AV$25:AV$69,Налоги!$F$25:$F$69,$F245,Налоги!$AB$25:$AB$69,$G245)</f>
        <v>0</v>
      </c>
      <c r="AX245" s="190">
        <f ca="1">SUMIFS(Налоги!AW$25:AW$69,Налоги!$F$25:$F$69,$F245,Налоги!$AB$25:$AB$69,$G245)</f>
        <v>0</v>
      </c>
      <c r="AY245" s="190">
        <f ca="1">SUMIFS(Налоги!AX$25:AX$69,Налоги!$F$25:$F$69,$F245,Налоги!$AB$25:$AB$69,$G245)</f>
        <v>0</v>
      </c>
      <c r="AZ245" s="190">
        <f ca="1">SUMIFS(Налоги!AY$25:AY$69,Налоги!$F$25:$F$69,$F245,Налоги!$AB$25:$AB$69,$G245)</f>
        <v>0</v>
      </c>
      <c r="BA245" s="190">
        <f ca="1">SUMIFS(Налоги!AZ$25:AZ$69,Налоги!$F$25:$F$69,$F245,Налоги!$AB$25:$AB$69,$G245)</f>
        <v>0</v>
      </c>
      <c r="BB245" s="190">
        <f ca="1">SUMIFS(Налоги!BA$25:BA$69,Налоги!$F$25:$F$69,$F245,Налоги!$AB$25:$AB$69,$G245)</f>
        <v>0</v>
      </c>
      <c r="BC245" s="190">
        <f ca="1">SUMIFS(Налоги!BB$25:BB$69,Налоги!$F$25:$F$69,$F245,Налоги!$AB$25:$AB$69,$G245)</f>
        <v>0</v>
      </c>
      <c r="BD245" s="190">
        <f t="shared" ca="1" si="51"/>
        <v>0</v>
      </c>
      <c r="BE245" s="190">
        <f t="shared" ca="1" si="52"/>
        <v>0</v>
      </c>
      <c r="BF245" s="190">
        <f t="shared" ca="1" si="53"/>
        <v>0</v>
      </c>
      <c r="BG245" s="190">
        <f t="shared" ca="1" si="54"/>
        <v>0</v>
      </c>
      <c r="BH245" s="190">
        <f t="shared" ca="1" si="55"/>
        <v>0</v>
      </c>
      <c r="BI245" s="190">
        <f t="shared" ca="1" si="56"/>
        <v>0</v>
      </c>
      <c r="BJ245" s="190">
        <f t="shared" ca="1" si="57"/>
        <v>0</v>
      </c>
      <c r="BK245" s="190">
        <f t="shared" ca="1" si="58"/>
        <v>0</v>
      </c>
      <c r="BL245" s="190">
        <f t="shared" ca="1" si="59"/>
        <v>0</v>
      </c>
      <c r="BM245" s="190">
        <f t="shared" ca="1" si="60"/>
        <v>0</v>
      </c>
      <c r="BN245" s="215"/>
      <c r="BO245" s="610" t="str">
        <f ca="1">IF(IFERROR(INDEX(Налоги!$K$26:$L$69,MATCH($F245&amp;"9komm",Налоги!$K$26:$K$69,0),2),"")=0,"",IFERROR(INDEX(Налоги!$K$26:$L$69,MATCH($F245&amp;"9komm",Налоги!$K$26:$K$69,0),2),""))</f>
        <v/>
      </c>
      <c r="BP245" s="215"/>
      <c r="BS245" s="712" t="s">
        <v>2093</v>
      </c>
      <c r="BT245" s="712"/>
      <c r="BU245" s="712"/>
      <c r="BV245" s="713"/>
      <c r="BW245" s="713"/>
    </row>
    <row r="246" spans="2:75" ht="0" hidden="1" customHeight="1">
      <c r="B246" s="34"/>
      <c r="C246" s="44"/>
      <c r="D246" s="44"/>
      <c r="E246" s="462">
        <v>15</v>
      </c>
      <c r="F246" s="3" t="str" cm="1">
        <f t="array" aca="1" ref="F246" ca="1">OFFSET(E246,-1,1)</f>
        <v>1</v>
      </c>
      <c r="G246" s="620">
        <v>10</v>
      </c>
      <c r="H246" s="44"/>
      <c r="I246" s="44" t="s">
        <v>2094</v>
      </c>
      <c r="J246" s="44"/>
      <c r="K246" s="44" t="s">
        <v>2094</v>
      </c>
      <c r="L246" s="44"/>
      <c r="M246" s="44"/>
      <c r="N246" s="44"/>
      <c r="O246" s="44"/>
      <c r="P246" s="44"/>
      <c r="Q246" s="44"/>
      <c r="R246" s="44"/>
      <c r="S246" s="44"/>
      <c r="T246" s="365" t="b" cm="1">
        <f t="array" aca="1" ref="T246" ca="1">T245</f>
        <v>1</v>
      </c>
      <c r="U246" s="44"/>
      <c r="V246" s="44"/>
      <c r="X246" s="1075"/>
      <c r="Z246" s="1065"/>
      <c r="AB246" s="152" t="s">
        <v>2095</v>
      </c>
      <c r="AC246" s="559" t="s">
        <v>2096</v>
      </c>
      <c r="AD246" s="26" t="s">
        <v>804</v>
      </c>
      <c r="AE246" s="190">
        <f ca="1">SUMIFS(Налоги!AE$25:AE$69,Налоги!$F$25:$F$69,$F246,Налоги!$AB$25:$AB$69,$G246)</f>
        <v>0</v>
      </c>
      <c r="AF246" s="190">
        <f ca="1">SUMIFS(Налоги!AF$25:AF$69,Налоги!$F$25:$F$69,$F246,Налоги!$AB$25:$AB$69,$G246)</f>
        <v>0</v>
      </c>
      <c r="AG246" s="190">
        <f ca="1">SUMIFS(Налоги!AG$25:AG$69,Налоги!$F$25:$F$69,$F246,Налоги!$AB$25:$AB$69,$G246)</f>
        <v>0</v>
      </c>
      <c r="AH246" s="190">
        <f t="shared" ca="1" si="49"/>
        <v>0</v>
      </c>
      <c r="AI246" s="190">
        <f ca="1">SUMIFS(Налоги!AH$25:AH$69,Налоги!$F$25:$F$69,$F246,Налоги!$AB$25:$AB$69,$G246)</f>
        <v>0</v>
      </c>
      <c r="AJ246" s="190">
        <f ca="1">SUMIFS(Налоги!AI$25:AI$69,Налоги!$F$25:$F$69,$F246,Налоги!$AB$25:$AB$69,$G246)</f>
        <v>0</v>
      </c>
      <c r="AK246" s="190">
        <f ca="1">SUMIFS(Налоги!AJ$25:AJ$69,Налоги!$F$25:$F$69,$F246,Налоги!$AB$25:$AB$69,$G246)</f>
        <v>0</v>
      </c>
      <c r="AL246" s="190">
        <f ca="1">SUMIFS(Налоги!AK$25:AK$69,Налоги!$F$25:$F$69,$F246,Налоги!$AB$25:$AB$69,$G246)</f>
        <v>0</v>
      </c>
      <c r="AM246" s="190">
        <f ca="1">SUMIFS(Налоги!AL$25:AL$69,Налоги!$F$25:$F$69,$F246,Налоги!$AB$25:$AB$69,$G246)</f>
        <v>0</v>
      </c>
      <c r="AN246" s="190">
        <f ca="1">SUMIFS(Налоги!AM$25:AM$69,Налоги!$F$25:$F$69,$F246,Налоги!$AB$25:$AB$69,$G246)</f>
        <v>0</v>
      </c>
      <c r="AO246" s="190">
        <f ca="1">SUMIFS(Налоги!AN$25:AN$69,Налоги!$F$25:$F$69,$F246,Налоги!$AB$25:$AB$69,$G246)</f>
        <v>0</v>
      </c>
      <c r="AP246" s="190">
        <f ca="1">SUMIFS(Налоги!AO$25:AO$69,Налоги!$F$25:$F$69,$F246,Налоги!$AB$25:$AB$69,$G246)</f>
        <v>0</v>
      </c>
      <c r="AQ246" s="190">
        <f ca="1">SUMIFS(Налоги!AP$25:AP$69,Налоги!$F$25:$F$69,$F246,Налоги!$AB$25:$AB$69,$G246)</f>
        <v>0</v>
      </c>
      <c r="AR246" s="190">
        <f ca="1">SUMIFS(Налоги!AQ$25:AQ$69,Налоги!$F$25:$F$69,$F246,Налоги!$AB$25:$AB$69,$G246)</f>
        <v>0</v>
      </c>
      <c r="AS246" s="190">
        <f ca="1">SUMIFS(Налоги!AR$25:AR$69,Налоги!$F$25:$F$69,$F246,Налоги!$AB$25:$AB$69,$G246)</f>
        <v>0</v>
      </c>
      <c r="AT246" s="190">
        <f ca="1">SUMIFS(Налоги!AS$25:AS$69,Налоги!$F$25:$F$69,$F246,Налоги!$AB$25:$AB$69,$G246)</f>
        <v>0</v>
      </c>
      <c r="AU246" s="190">
        <f ca="1">SUMIFS(Налоги!AT$25:AT$69,Налоги!$F$25:$F$69,$F246,Налоги!$AB$25:$AB$69,$G246)</f>
        <v>0</v>
      </c>
      <c r="AV246" s="190">
        <f ca="1">SUMIFS(Налоги!AU$25:AU$69,Налоги!$F$25:$F$69,$F246,Налоги!$AB$25:$AB$69,$G246)</f>
        <v>0</v>
      </c>
      <c r="AW246" s="190">
        <f ca="1">SUMIFS(Налоги!AV$25:AV$69,Налоги!$F$25:$F$69,$F246,Налоги!$AB$25:$AB$69,$G246)</f>
        <v>0</v>
      </c>
      <c r="AX246" s="190">
        <f ca="1">SUMIFS(Налоги!AW$25:AW$69,Налоги!$F$25:$F$69,$F246,Налоги!$AB$25:$AB$69,$G246)</f>
        <v>0</v>
      </c>
      <c r="AY246" s="190">
        <f ca="1">SUMIFS(Налоги!AX$25:AX$69,Налоги!$F$25:$F$69,$F246,Налоги!$AB$25:$AB$69,$G246)</f>
        <v>0</v>
      </c>
      <c r="AZ246" s="190">
        <f ca="1">SUMIFS(Налоги!AY$25:AY$69,Налоги!$F$25:$F$69,$F246,Налоги!$AB$25:$AB$69,$G246)</f>
        <v>0</v>
      </c>
      <c r="BA246" s="190">
        <f ca="1">SUMIFS(Налоги!AZ$25:AZ$69,Налоги!$F$25:$F$69,$F246,Налоги!$AB$25:$AB$69,$G246)</f>
        <v>0</v>
      </c>
      <c r="BB246" s="190">
        <f ca="1">SUMIFS(Налоги!BA$25:BA$69,Налоги!$F$25:$F$69,$F246,Налоги!$AB$25:$AB$69,$G246)</f>
        <v>0</v>
      </c>
      <c r="BC246" s="190">
        <f ca="1">SUMIFS(Налоги!BB$25:BB$69,Налоги!$F$25:$F$69,$F246,Налоги!$AB$25:$AB$69,$G246)</f>
        <v>0</v>
      </c>
      <c r="BD246" s="190">
        <f t="shared" ca="1" si="51"/>
        <v>0</v>
      </c>
      <c r="BE246" s="190">
        <f t="shared" ca="1" si="52"/>
        <v>0</v>
      </c>
      <c r="BF246" s="190">
        <f t="shared" ca="1" si="53"/>
        <v>0</v>
      </c>
      <c r="BG246" s="190">
        <f t="shared" ca="1" si="54"/>
        <v>0</v>
      </c>
      <c r="BH246" s="190">
        <f t="shared" ca="1" si="55"/>
        <v>0</v>
      </c>
      <c r="BI246" s="190">
        <f t="shared" ca="1" si="56"/>
        <v>0</v>
      </c>
      <c r="BJ246" s="190">
        <f t="shared" ca="1" si="57"/>
        <v>0</v>
      </c>
      <c r="BK246" s="190">
        <f t="shared" ca="1" si="58"/>
        <v>0</v>
      </c>
      <c r="BL246" s="190">
        <f t="shared" ca="1" si="59"/>
        <v>0</v>
      </c>
      <c r="BM246" s="190">
        <f t="shared" ca="1" si="60"/>
        <v>0</v>
      </c>
      <c r="BN246" s="215"/>
      <c r="BO246" s="610" t="str">
        <f ca="1">IF(IFERROR(INDEX(Налоги!$K$26:$L$69,MATCH($F246&amp;"10komm",Налоги!$K$26:$K$69,0),2),"")=0,"",IFERROR(INDEX(Налоги!$K$26:$L$69,MATCH($F246&amp;"10komm",Налоги!$K$26:$K$69,0),2),""))</f>
        <v/>
      </c>
      <c r="BP246" s="215"/>
      <c r="BS246" s="705" t="s">
        <v>2097</v>
      </c>
    </row>
    <row r="247" spans="2:75" ht="0" hidden="1" customHeight="1">
      <c r="E247" s="518">
        <v>67.5</v>
      </c>
      <c r="F247" s="3" t="str" cm="1">
        <f t="array" aca="1" ref="F247" ca="1">OFFSET(E247,-1,1)</f>
        <v>1</v>
      </c>
      <c r="G247" s="91" t="s">
        <v>1445</v>
      </c>
      <c r="I247" s="91" t="s">
        <v>919</v>
      </c>
      <c r="K247" s="91" t="s">
        <v>919</v>
      </c>
      <c r="L247" s="44"/>
      <c r="M247" s="44"/>
      <c r="T247" s="365" t="b" cm="1">
        <f t="array" aca="1" ref="T247" ca="1">T246</f>
        <v>1</v>
      </c>
      <c r="X247" s="1075"/>
      <c r="Z247" s="1065"/>
      <c r="AB247" s="152" t="s">
        <v>920</v>
      </c>
      <c r="AC247" s="560" t="s">
        <v>1448</v>
      </c>
      <c r="AD247" s="26" t="s">
        <v>804</v>
      </c>
      <c r="AE247" s="160"/>
      <c r="AF247" s="160"/>
      <c r="AG247" s="160"/>
      <c r="AH247" s="190">
        <f t="shared" si="49"/>
        <v>0</v>
      </c>
      <c r="AI247" s="160"/>
      <c r="AJ247" s="160"/>
      <c r="AK247" s="790"/>
      <c r="AL247" s="790"/>
      <c r="AM247" s="790"/>
      <c r="AN247" s="790"/>
      <c r="AO247" s="790"/>
      <c r="AP247" s="790"/>
      <c r="AQ247" s="790"/>
      <c r="AR247" s="790"/>
      <c r="AS247" s="790"/>
      <c r="AT247" s="160"/>
      <c r="AU247" s="790"/>
      <c r="AV247" s="790"/>
      <c r="AW247" s="790"/>
      <c r="AX247" s="790"/>
      <c r="AY247" s="790"/>
      <c r="AZ247" s="790"/>
      <c r="BA247" s="790"/>
      <c r="BB247" s="790"/>
      <c r="BC247" s="790"/>
      <c r="BD247" s="190">
        <f t="shared" si="51"/>
        <v>0</v>
      </c>
      <c r="BE247" s="190">
        <f t="shared" si="52"/>
        <v>0</v>
      </c>
      <c r="BF247" s="190">
        <f t="shared" si="53"/>
        <v>0</v>
      </c>
      <c r="BG247" s="190">
        <f t="shared" si="54"/>
        <v>0</v>
      </c>
      <c r="BH247" s="190">
        <f t="shared" si="55"/>
        <v>0</v>
      </c>
      <c r="BI247" s="190">
        <f t="shared" si="56"/>
        <v>0</v>
      </c>
      <c r="BJ247" s="190">
        <f t="shared" si="57"/>
        <v>0</v>
      </c>
      <c r="BK247" s="190">
        <f t="shared" si="58"/>
        <v>0</v>
      </c>
      <c r="BL247" s="190">
        <f t="shared" si="59"/>
        <v>0</v>
      </c>
      <c r="BM247" s="190">
        <f t="shared" si="60"/>
        <v>0</v>
      </c>
      <c r="BN247" s="215"/>
      <c r="BO247" s="215"/>
      <c r="BP247" s="215"/>
      <c r="BS247" s="705" t="s">
        <v>2098</v>
      </c>
    </row>
    <row r="248" spans="2:75" ht="54.75" customHeight="1">
      <c r="E248" s="518">
        <v>15</v>
      </c>
      <c r="F248" s="3" t="str" cm="1">
        <f t="array" aca="1" ref="F248" ca="1">OFFSET(E248,-1,1)</f>
        <v>1</v>
      </c>
      <c r="G248" s="91" t="s">
        <v>999</v>
      </c>
      <c r="I248" s="91" t="s">
        <v>922</v>
      </c>
      <c r="K248" s="91" t="s">
        <v>922</v>
      </c>
      <c r="L248" s="44" t="s">
        <v>511</v>
      </c>
      <c r="M248" s="44"/>
      <c r="T248" s="365" t="b" cm="1">
        <f t="array" aca="1" ref="T248" ca="1">T247</f>
        <v>1</v>
      </c>
      <c r="X248" s="1075"/>
      <c r="Z248" s="1065"/>
      <c r="AB248" s="152" t="s">
        <v>923</v>
      </c>
      <c r="AC248" s="146" t="s">
        <v>999</v>
      </c>
      <c r="AD248" s="26" t="s">
        <v>804</v>
      </c>
      <c r="AE248" s="190">
        <f ca="1">SUMIFS(Аренда!AE$25:AE$57,Аренда!$F$25:$F$57,$F248,Аренда!$G$25:$G$57,"Арендная и концессионная плата, лизинговые платежи")</f>
        <v>127.74816432</v>
      </c>
      <c r="AF248" s="190">
        <f ca="1">SUMIFS(Аренда!AF$25:AF$57,Аренда!$F$25:$F$57,$F248,Аренда!$G$25:$G$57,"Арендная и концессионная плата, лизинговые платежи")</f>
        <v>555.94000000000005</v>
      </c>
      <c r="AG248" s="190">
        <f ca="1">SUMIFS(Аренда!AG$25:AG$57,Аренда!$F$25:$F$57,$F248,Аренда!$G$25:$G$57,"Арендная и концессионная плата, лизинговые платежи")</f>
        <v>127.75</v>
      </c>
      <c r="AH248" s="190">
        <f t="shared" ca="1" si="49"/>
        <v>-428.19000000000005</v>
      </c>
      <c r="AI248" s="190">
        <f ca="1">SUMIFS(Аренда!AH$25:AH$57,Аренда!$F$25:$F$57,$F248,Аренда!$G$25:$G$57,"Арендная и концессионная плата, лизинговые платежи")</f>
        <v>330.38816431999999</v>
      </c>
      <c r="AJ248" s="190">
        <f ca="1">SUMIFS(Аренда!AI$25:AI$57,Аренда!$F$25:$F$57,$F248,Аренда!$G$25:$G$57,"Арендная и концессионная плата, лизинговые платежи")</f>
        <v>555.94000000000005</v>
      </c>
      <c r="AK248" s="190">
        <f ca="1">SUMIFS(Аренда!AJ$25:AJ$57,Аренда!$F$25:$F$57,$F248,Аренда!$G$25:$G$57,"Арендная и концессионная плата, лизинговые платежи")</f>
        <v>0</v>
      </c>
      <c r="AL248" s="190">
        <f ca="1">SUMIFS(Аренда!AK$25:AK$57,Аренда!$F$25:$F$57,$F248,Аренда!$G$25:$G$57,"Арендная и концессионная плата, лизинговые платежи")</f>
        <v>0</v>
      </c>
      <c r="AM248" s="190">
        <f ca="1">SUMIFS(Аренда!AL$25:AL$57,Аренда!$F$25:$F$57,$F248,Аренда!$G$25:$G$57,"Арендная и концессионная плата, лизинговые платежи")</f>
        <v>0</v>
      </c>
      <c r="AN248" s="190">
        <f ca="1">SUMIFS(Аренда!AM$25:AM$57,Аренда!$F$25:$F$57,$F248,Аренда!$G$25:$G$57,"Арендная и концессионная плата, лизинговые платежи")</f>
        <v>0</v>
      </c>
      <c r="AO248" s="190">
        <f ca="1">SUMIFS(Аренда!AN$25:AN$57,Аренда!$F$25:$F$57,$F248,Аренда!$G$25:$G$57,"Арендная и концессионная плата, лизинговые платежи")</f>
        <v>0</v>
      </c>
      <c r="AP248" s="190">
        <f ca="1">SUMIFS(Аренда!AO$25:AO$57,Аренда!$F$25:$F$57,$F248,Аренда!$G$25:$G$57,"Арендная и концессионная плата, лизинговые платежи")</f>
        <v>0</v>
      </c>
      <c r="AQ248" s="190">
        <f ca="1">SUMIFS(Аренда!AP$25:AP$57,Аренда!$F$25:$F$57,$F248,Аренда!$G$25:$G$57,"Арендная и концессионная плата, лизинговые платежи")</f>
        <v>0</v>
      </c>
      <c r="AR248" s="190">
        <f ca="1">SUMIFS(Аренда!AQ$25:AQ$57,Аренда!$F$25:$F$57,$F248,Аренда!$G$25:$G$57,"Арендная и концессионная плата, лизинговые платежи")</f>
        <v>0</v>
      </c>
      <c r="AS248" s="190">
        <f ca="1">SUMIFS(Аренда!AR$25:AR$57,Аренда!$F$25:$F$57,$F248,Аренда!$G$25:$G$57,"Арендная и концессионная плата, лизинговые платежи")</f>
        <v>0</v>
      </c>
      <c r="AT248" s="190">
        <f ca="1">SUMIFS(Аренда!AS$25:AS$57,Аренда!$F$25:$F$57,$F248,Аренда!$G$25:$G$57,"Арендная и концессионная плата, лизинговые платежи")</f>
        <v>127.75</v>
      </c>
      <c r="AU248" s="190">
        <f ca="1">SUMIFS(Аренда!AT$25:AT$57,Аренда!$F$25:$F$57,$F248,Аренда!$G$25:$G$57,"Арендная и концессионная плата, лизинговые платежи")</f>
        <v>0</v>
      </c>
      <c r="AV248" s="190">
        <f ca="1">SUMIFS(Аренда!AU$25:AU$57,Аренда!$F$25:$F$57,$F248,Аренда!$G$25:$G$57,"Арендная и концессионная плата, лизинговые платежи")</f>
        <v>0</v>
      </c>
      <c r="AW248" s="190">
        <f ca="1">SUMIFS(Аренда!AV$25:AV$57,Аренда!$F$25:$F$57,$F248,Аренда!$G$25:$G$57,"Арендная и концессионная плата, лизинговые платежи")</f>
        <v>0</v>
      </c>
      <c r="AX248" s="190">
        <f ca="1">SUMIFS(Аренда!AW$25:AW$57,Аренда!$F$25:$F$57,$F248,Аренда!$G$25:$G$57,"Арендная и концессионная плата, лизинговые платежи")</f>
        <v>0</v>
      </c>
      <c r="AY248" s="190">
        <f ca="1">SUMIFS(Аренда!AX$25:AX$57,Аренда!$F$25:$F$57,$F248,Аренда!$G$25:$G$57,"Арендная и концессионная плата, лизинговые платежи")</f>
        <v>0</v>
      </c>
      <c r="AZ248" s="190">
        <f ca="1">SUMIFS(Аренда!AY$25:AY$57,Аренда!$F$25:$F$57,$F248,Аренда!$G$25:$G$57,"Арендная и концессионная плата, лизинговые платежи")</f>
        <v>0</v>
      </c>
      <c r="BA248" s="190">
        <f ca="1">SUMIFS(Аренда!AZ$25:AZ$57,Аренда!$F$25:$F$57,$F248,Аренда!$G$25:$G$57,"Арендная и концессионная плата, лизинговые платежи")</f>
        <v>0</v>
      </c>
      <c r="BB248" s="190">
        <f ca="1">SUMIFS(Аренда!BA$25:BA$57,Аренда!$F$25:$F$57,$F248,Аренда!$G$25:$G$57,"Арендная и концессионная плата, лизинговые платежи")</f>
        <v>0</v>
      </c>
      <c r="BC248" s="190">
        <f ca="1">SUMIFS(Аренда!BB$25:BB$57,Аренда!$F$25:$F$57,$F248,Аренда!$G$25:$G$57,"Арендная и концессионная плата, лизинговые платежи")</f>
        <v>0</v>
      </c>
      <c r="BD248" s="190">
        <f t="shared" ca="1" si="51"/>
        <v>-61.333360635683441</v>
      </c>
      <c r="BE248" s="190">
        <f t="shared" ca="1" si="52"/>
        <v>-100</v>
      </c>
      <c r="BF248" s="190">
        <f t="shared" ca="1" si="53"/>
        <v>0</v>
      </c>
      <c r="BG248" s="190">
        <f t="shared" ca="1" si="54"/>
        <v>0</v>
      </c>
      <c r="BH248" s="190">
        <f t="shared" ca="1" si="55"/>
        <v>0</v>
      </c>
      <c r="BI248" s="190">
        <f t="shared" ca="1" si="56"/>
        <v>0</v>
      </c>
      <c r="BJ248" s="190">
        <f t="shared" ca="1" si="57"/>
        <v>0</v>
      </c>
      <c r="BK248" s="190">
        <f t="shared" ca="1" si="58"/>
        <v>0</v>
      </c>
      <c r="BL248" s="190">
        <f t="shared" ca="1" si="59"/>
        <v>0</v>
      </c>
      <c r="BM248" s="190">
        <f t="shared" ca="1" si="60"/>
        <v>0</v>
      </c>
      <c r="BN248" s="953" t="s">
        <v>2243</v>
      </c>
      <c r="BO248" s="610" t="s">
        <v>2244</v>
      </c>
      <c r="BP248" s="215" t="s">
        <v>1027</v>
      </c>
      <c r="BS248" s="705" t="s">
        <v>2099</v>
      </c>
    </row>
    <row r="249" spans="2:75" ht="0" hidden="1" customHeight="1">
      <c r="B249" s="341" t="b">
        <f>STATUS_GO="да"</f>
        <v>0</v>
      </c>
      <c r="E249" s="518">
        <v>15</v>
      </c>
      <c r="F249" s="3" t="str" cm="1">
        <f t="array" aca="1" ref="F249" ca="1">OFFSET(E249,-1,1)</f>
        <v>1</v>
      </c>
      <c r="I249" s="91" t="s">
        <v>2100</v>
      </c>
      <c r="K249" s="91" t="s">
        <v>2100</v>
      </c>
      <c r="L249" s="44"/>
      <c r="M249" s="44"/>
      <c r="T249" s="365" t="b" cm="1">
        <f t="array" aca="1" ref="T249" ca="1">T248</f>
        <v>1</v>
      </c>
      <c r="X249" s="1075"/>
      <c r="Z249" s="1065"/>
      <c r="AB249" s="152" t="s">
        <v>1512</v>
      </c>
      <c r="AC249" s="146" t="s">
        <v>2101</v>
      </c>
      <c r="AD249" s="26" t="s">
        <v>804</v>
      </c>
      <c r="AE249" s="787"/>
      <c r="AF249" s="787"/>
      <c r="AG249" s="787"/>
      <c r="AH249" s="190">
        <f t="shared" si="49"/>
        <v>0</v>
      </c>
      <c r="AI249" s="787"/>
      <c r="AJ249" s="787"/>
      <c r="AK249" s="787"/>
      <c r="AL249" s="787"/>
      <c r="AM249" s="787"/>
      <c r="AN249" s="787"/>
      <c r="AO249" s="787"/>
      <c r="AP249" s="787"/>
      <c r="AQ249" s="787"/>
      <c r="AR249" s="787"/>
      <c r="AS249" s="787"/>
      <c r="AT249" s="787"/>
      <c r="AU249" s="787"/>
      <c r="AV249" s="787"/>
      <c r="AW249" s="787"/>
      <c r="AX249" s="787"/>
      <c r="AY249" s="787"/>
      <c r="AZ249" s="787"/>
      <c r="BA249" s="787"/>
      <c r="BB249" s="787"/>
      <c r="BC249" s="787"/>
      <c r="BD249" s="190">
        <f t="shared" si="51"/>
        <v>0</v>
      </c>
      <c r="BE249" s="190">
        <f t="shared" si="52"/>
        <v>0</v>
      </c>
      <c r="BF249" s="190">
        <f t="shared" si="53"/>
        <v>0</v>
      </c>
      <c r="BG249" s="190">
        <f t="shared" si="54"/>
        <v>0</v>
      </c>
      <c r="BH249" s="190">
        <f t="shared" si="55"/>
        <v>0</v>
      </c>
      <c r="BI249" s="190">
        <f t="shared" si="56"/>
        <v>0</v>
      </c>
      <c r="BJ249" s="190">
        <f t="shared" si="57"/>
        <v>0</v>
      </c>
      <c r="BK249" s="190">
        <f t="shared" si="58"/>
        <v>0</v>
      </c>
      <c r="BL249" s="190">
        <f t="shared" si="59"/>
        <v>0</v>
      </c>
      <c r="BM249" s="190">
        <f t="shared" si="60"/>
        <v>0</v>
      </c>
      <c r="BN249" s="784"/>
      <c r="BO249" s="784"/>
      <c r="BP249" s="784"/>
      <c r="BS249" s="705" t="s">
        <v>2102</v>
      </c>
    </row>
    <row r="250" spans="2:75" ht="0" hidden="1" customHeight="1">
      <c r="B250" s="341" t="b">
        <f>STATUS_GO="да"</f>
        <v>0</v>
      </c>
      <c r="E250" s="518">
        <v>15</v>
      </c>
      <c r="F250" s="3" t="str" cm="1">
        <f t="array" aca="1" ref="F250" ca="1">OFFSET(E250,-1,1)</f>
        <v>1</v>
      </c>
      <c r="G250" s="91" t="s">
        <v>1454</v>
      </c>
      <c r="I250" s="91" t="s">
        <v>2103</v>
      </c>
      <c r="K250" s="91" t="s">
        <v>2103</v>
      </c>
      <c r="L250" s="44"/>
      <c r="M250" s="44"/>
      <c r="T250" s="365" t="b" cm="1">
        <f t="array" aca="1" ref="T250" ca="1">T249</f>
        <v>1</v>
      </c>
      <c r="X250" s="1075"/>
      <c r="Z250" s="1065"/>
      <c r="AB250" s="152" t="s">
        <v>2104</v>
      </c>
      <c r="AC250" s="153" t="s">
        <v>1454</v>
      </c>
      <c r="AD250" s="26" t="s">
        <v>804</v>
      </c>
      <c r="AE250" s="787"/>
      <c r="AF250" s="787"/>
      <c r="AG250" s="787"/>
      <c r="AH250" s="190">
        <f t="shared" si="49"/>
        <v>0</v>
      </c>
      <c r="AI250" s="787"/>
      <c r="AJ250" s="787"/>
      <c r="AK250" s="787"/>
      <c r="AL250" s="787"/>
      <c r="AM250" s="787"/>
      <c r="AN250" s="787"/>
      <c r="AO250" s="787"/>
      <c r="AP250" s="787"/>
      <c r="AQ250" s="787"/>
      <c r="AR250" s="787"/>
      <c r="AS250" s="787"/>
      <c r="AT250" s="787"/>
      <c r="AU250" s="787"/>
      <c r="AV250" s="787"/>
      <c r="AW250" s="787"/>
      <c r="AX250" s="787"/>
      <c r="AY250" s="787"/>
      <c r="AZ250" s="787"/>
      <c r="BA250" s="787"/>
      <c r="BB250" s="787"/>
      <c r="BC250" s="787"/>
      <c r="BD250" s="190">
        <f t="shared" si="51"/>
        <v>0</v>
      </c>
      <c r="BE250" s="190">
        <f t="shared" si="52"/>
        <v>0</v>
      </c>
      <c r="BF250" s="190">
        <f t="shared" si="53"/>
        <v>0</v>
      </c>
      <c r="BG250" s="190">
        <f t="shared" si="54"/>
        <v>0</v>
      </c>
      <c r="BH250" s="190">
        <f t="shared" si="55"/>
        <v>0</v>
      </c>
      <c r="BI250" s="190">
        <f t="shared" si="56"/>
        <v>0</v>
      </c>
      <c r="BJ250" s="190">
        <f t="shared" si="57"/>
        <v>0</v>
      </c>
      <c r="BK250" s="190">
        <f t="shared" si="58"/>
        <v>0</v>
      </c>
      <c r="BL250" s="190">
        <f t="shared" si="59"/>
        <v>0</v>
      </c>
      <c r="BM250" s="190">
        <f t="shared" si="60"/>
        <v>0</v>
      </c>
      <c r="BN250" s="784"/>
      <c r="BO250" s="788" t="str">
        <f ca="1">IF(IFERROR(INDEX('Сбытовые расходы ГО'!$K$26:$M$63,MATCH($F250&amp;"komm",'Сбытовые расходы ГО'!$K$26:$K$63,0),2),"")=0,"",IFERROR(INDEX('Сбытовые расходы ГО'!$K$26:$M$63,MATCH($F250&amp;"komm",'Сбытовые расходы ГО'!$K$26:$K$63,0),2),""))</f>
        <v/>
      </c>
      <c r="BP250" s="784"/>
      <c r="BS250" s="705" t="s">
        <v>2105</v>
      </c>
    </row>
    <row r="251" spans="2:75" ht="0" hidden="1" customHeight="1">
      <c r="E251" s="518">
        <v>15</v>
      </c>
      <c r="F251" s="3" t="str" cm="1">
        <f t="array" aca="1" ref="F251" ca="1">OFFSET(E251,-1,1)</f>
        <v>1</v>
      </c>
      <c r="G251" s="91" t="s">
        <v>1459</v>
      </c>
      <c r="I251" s="91" t="s">
        <v>2106</v>
      </c>
      <c r="K251" s="91" t="s">
        <v>2106</v>
      </c>
      <c r="L251" s="44"/>
      <c r="M251" s="44"/>
      <c r="T251" s="365" t="b" cm="1">
        <f t="array" aca="1" ref="T251" ca="1">T250</f>
        <v>1</v>
      </c>
      <c r="X251" s="1075"/>
      <c r="Z251" s="1065"/>
      <c r="AB251" s="152" t="s">
        <v>1517</v>
      </c>
      <c r="AC251" s="146" t="s">
        <v>1459</v>
      </c>
      <c r="AD251" s="26" t="s">
        <v>804</v>
      </c>
      <c r="AE251" s="147"/>
      <c r="AF251" s="147"/>
      <c r="AG251" s="147"/>
      <c r="AH251" s="190">
        <f t="shared" si="49"/>
        <v>0</v>
      </c>
      <c r="AI251" s="147"/>
      <c r="AJ251" s="147">
        <f ca="1">SUMIFS(Экономия_корр!AE$25:AE$51,Экономия_корр!$F$25:$F$51,$F251,Экономия_корр!$AC$25:$AC$51,"Экономия расходов с учетом ИПЦ")</f>
        <v>0</v>
      </c>
      <c r="AK251" s="787">
        <f ca="1">SUMIFS(Экономия_корр!AF$25:AF$51,Экономия_корр!$F$25:$F$51,$F251,Экономия_корр!$AC$25:$AC$51,"Экономия расходов с учетом ИПЦ")</f>
        <v>0</v>
      </c>
      <c r="AL251" s="787">
        <f ca="1">SUMIFS(Экономия_корр!AG$25:AG$51,Экономия_корр!$F$25:$F$51,$F251,Экономия_корр!$AC$25:$AC$51,"Экономия расходов с учетом ИПЦ")</f>
        <v>0</v>
      </c>
      <c r="AM251" s="787">
        <f ca="1">SUMIFS(Экономия_корр!AH$25:AH$51,Экономия_корр!$F$25:$F$51,$F251,Экономия_корр!$AC$25:$AC$51,"Экономия расходов с учетом ИПЦ")</f>
        <v>0</v>
      </c>
      <c r="AN251" s="787">
        <f ca="1">SUMIFS(Экономия_корр!AI$25:AI$51,Экономия_корр!$F$25:$F$51,$F251,Экономия_корр!$AC$25:$AC$51,"Экономия расходов с учетом ИПЦ")</f>
        <v>0</v>
      </c>
      <c r="AO251" s="787">
        <f ca="1">SUMIFS(Экономия_корр!AJ$25:AJ$51,Экономия_корр!$F$25:$F$51,$F251,Экономия_корр!$AC$25:$AC$51,"Экономия расходов с учетом ИПЦ")</f>
        <v>0</v>
      </c>
      <c r="AP251" s="787">
        <f ca="1">SUMIFS(Экономия_корр!AK$25:AK$51,Экономия_корр!$F$25:$F$51,$F251,Экономия_корр!$AC$25:$AC$51,"Экономия расходов с учетом ИПЦ")</f>
        <v>0</v>
      </c>
      <c r="AQ251" s="787">
        <f ca="1">SUMIFS(Экономия_корр!AL$25:AL$51,Экономия_корр!$F$25:$F$51,$F251,Экономия_корр!$AC$25:$AC$51,"Экономия расходов с учетом ИПЦ")</f>
        <v>0</v>
      </c>
      <c r="AR251" s="787">
        <f ca="1">SUMIFS(Экономия_корр!AM$25:AM$51,Экономия_корр!$F$25:$F$51,$F251,Экономия_корр!$AC$25:$AC$51,"Экономия расходов с учетом ИПЦ")</f>
        <v>0</v>
      </c>
      <c r="AS251" s="787">
        <f ca="1">SUMIFS(Экономия_корр!AN$25:AN$51,Экономия_корр!$F$25:$F$51,$F251,Экономия_корр!$AC$25:$AC$51,"Экономия расходов с учетом ИПЦ")</f>
        <v>0</v>
      </c>
      <c r="AT251" s="147">
        <f ca="1">SUMIFS(Экономия_корр!AO$25:AO$51,Экономия_корр!$F$25:$F$51,$F251,Экономия_корр!$AC$25:$AC$51,"Экономия расходов с учетом ИПЦ")</f>
        <v>0</v>
      </c>
      <c r="AU251" s="787">
        <f ca="1">SUMIFS(Экономия_корр!AP$25:AP$51,Экономия_корр!$F$25:$F$51,$F251,Экономия_корр!$AC$25:$AC$51,"Экономия расходов с учетом ИПЦ")</f>
        <v>0</v>
      </c>
      <c r="AV251" s="787">
        <f ca="1">SUMIFS(Экономия_корр!AQ$25:AQ$51,Экономия_корр!$F$25:$F$51,$F251,Экономия_корр!$AC$25:$AC$51,"Экономия расходов с учетом ИПЦ")</f>
        <v>0</v>
      </c>
      <c r="AW251" s="787">
        <f ca="1">SUMIFS(Экономия_корр!AR$25:AR$51,Экономия_корр!$F$25:$F$51,$F251,Экономия_корр!$AC$25:$AC$51,"Экономия расходов с учетом ИПЦ")</f>
        <v>0</v>
      </c>
      <c r="AX251" s="787">
        <f ca="1">SUMIFS(Экономия_корр!AS$25:AS$51,Экономия_корр!$F$25:$F$51,$F251,Экономия_корр!$AC$25:$AC$51,"Экономия расходов с учетом ИПЦ")</f>
        <v>0</v>
      </c>
      <c r="AY251" s="787">
        <f ca="1">SUMIFS(Экономия_корр!AT$25:AT$51,Экономия_корр!$F$25:$F$51,$F251,Экономия_корр!$AC$25:$AC$51,"Экономия расходов с учетом ИПЦ")</f>
        <v>0</v>
      </c>
      <c r="AZ251" s="787">
        <f ca="1">SUMIFS(Экономия_корр!AU$25:AU$51,Экономия_корр!$F$25:$F$51,$F251,Экономия_корр!$AC$25:$AC$51,"Экономия расходов с учетом ИПЦ")</f>
        <v>0</v>
      </c>
      <c r="BA251" s="787">
        <f ca="1">SUMIFS(Экономия_корр!AV$25:AV$51,Экономия_корр!$F$25:$F$51,$F251,Экономия_корр!$AC$25:$AC$51,"Экономия расходов с учетом ИПЦ")</f>
        <v>0</v>
      </c>
      <c r="BB251" s="787">
        <f ca="1">SUMIFS(Экономия_корр!AW$25:AW$51,Экономия_корр!$F$25:$F$51,$F251,Экономия_корр!$AC$25:$AC$51,"Экономия расходов с учетом ИПЦ")</f>
        <v>0</v>
      </c>
      <c r="BC251" s="787">
        <f ca="1">SUMIFS(Экономия_корр!AX$25:AX$51,Экономия_корр!$F$25:$F$51,$F251,Экономия_корр!$AC$25:$AC$51,"Экономия расходов с учетом ИПЦ")</f>
        <v>0</v>
      </c>
      <c r="BD251" s="190">
        <f t="shared" si="51"/>
        <v>0</v>
      </c>
      <c r="BE251" s="190">
        <f t="shared" ca="1" si="52"/>
        <v>0</v>
      </c>
      <c r="BF251" s="190">
        <f t="shared" ca="1" si="53"/>
        <v>0</v>
      </c>
      <c r="BG251" s="190">
        <f t="shared" ca="1" si="54"/>
        <v>0</v>
      </c>
      <c r="BH251" s="190">
        <f t="shared" ca="1" si="55"/>
        <v>0</v>
      </c>
      <c r="BI251" s="190">
        <f t="shared" ca="1" si="56"/>
        <v>0</v>
      </c>
      <c r="BJ251" s="190">
        <f t="shared" ca="1" si="57"/>
        <v>0</v>
      </c>
      <c r="BK251" s="190">
        <f t="shared" ca="1" si="58"/>
        <v>0</v>
      </c>
      <c r="BL251" s="190">
        <f t="shared" ca="1" si="59"/>
        <v>0</v>
      </c>
      <c r="BM251" s="190">
        <f t="shared" ca="1" si="60"/>
        <v>0</v>
      </c>
      <c r="BN251" s="215"/>
      <c r="BO251" s="215"/>
      <c r="BP251" s="215"/>
      <c r="BS251" s="705" t="s">
        <v>2107</v>
      </c>
    </row>
    <row r="252" spans="2:75" ht="0" hidden="1" customHeight="1">
      <c r="E252" s="518">
        <v>15</v>
      </c>
      <c r="F252" s="3" t="str" cm="1">
        <f t="array" aca="1" ref="F252" ca="1">OFFSET(E252,-1,1)</f>
        <v>1</v>
      </c>
      <c r="G252" s="91" t="s">
        <v>1464</v>
      </c>
      <c r="I252" s="91" t="s">
        <v>2108</v>
      </c>
      <c r="K252" s="91" t="s">
        <v>2108</v>
      </c>
      <c r="L252" s="44"/>
      <c r="M252" s="44"/>
      <c r="T252" s="365" t="b" cm="1">
        <f t="array" aca="1" ref="T252" ca="1">T251</f>
        <v>1</v>
      </c>
      <c r="X252" s="1075"/>
      <c r="Z252" s="1065"/>
      <c r="AB252" s="152" t="s">
        <v>2109</v>
      </c>
      <c r="AC252" s="146" t="s">
        <v>1464</v>
      </c>
      <c r="AD252" s="26" t="s">
        <v>804</v>
      </c>
      <c r="AE252" s="147"/>
      <c r="AF252" s="147"/>
      <c r="AG252" s="147"/>
      <c r="AH252" s="190">
        <f t="shared" si="49"/>
        <v>0</v>
      </c>
      <c r="AI252" s="147"/>
      <c r="AJ252" s="147"/>
      <c r="AK252" s="787"/>
      <c r="AL252" s="787"/>
      <c r="AM252" s="787"/>
      <c r="AN252" s="787"/>
      <c r="AO252" s="787"/>
      <c r="AP252" s="787"/>
      <c r="AQ252" s="787"/>
      <c r="AR252" s="787"/>
      <c r="AS252" s="787"/>
      <c r="AT252" s="147"/>
      <c r="AU252" s="787"/>
      <c r="AV252" s="787"/>
      <c r="AW252" s="787"/>
      <c r="AX252" s="787"/>
      <c r="AY252" s="787"/>
      <c r="AZ252" s="787"/>
      <c r="BA252" s="787"/>
      <c r="BB252" s="787"/>
      <c r="BC252" s="787"/>
      <c r="BD252" s="190">
        <f t="shared" si="51"/>
        <v>0</v>
      </c>
      <c r="BE252" s="190">
        <f t="shared" si="52"/>
        <v>0</v>
      </c>
      <c r="BF252" s="190">
        <f t="shared" si="53"/>
        <v>0</v>
      </c>
      <c r="BG252" s="190">
        <f t="shared" si="54"/>
        <v>0</v>
      </c>
      <c r="BH252" s="190">
        <f t="shared" si="55"/>
        <v>0</v>
      </c>
      <c r="BI252" s="190">
        <f t="shared" si="56"/>
        <v>0</v>
      </c>
      <c r="BJ252" s="190">
        <f t="shared" si="57"/>
        <v>0</v>
      </c>
      <c r="BK252" s="190">
        <f t="shared" si="58"/>
        <v>0</v>
      </c>
      <c r="BL252" s="190">
        <f t="shared" si="59"/>
        <v>0</v>
      </c>
      <c r="BM252" s="190">
        <f t="shared" si="60"/>
        <v>0</v>
      </c>
      <c r="BN252" s="215"/>
      <c r="BO252" s="215"/>
      <c r="BP252" s="215"/>
      <c r="BS252" s="705" t="s">
        <v>1838</v>
      </c>
    </row>
    <row r="253" spans="2:75" ht="14.65" customHeight="1">
      <c r="E253" s="518">
        <v>15</v>
      </c>
      <c r="F253" s="3" t="str" cm="1">
        <f t="array" aca="1" ref="F253" ca="1">OFFSET(E253,-1,1)</f>
        <v>1</v>
      </c>
      <c r="G253" s="91" t="s">
        <v>1469</v>
      </c>
      <c r="I253" s="91" t="s">
        <v>2110</v>
      </c>
      <c r="K253" s="91" t="s">
        <v>2110</v>
      </c>
      <c r="L253" s="44"/>
      <c r="M253" s="44"/>
      <c r="T253" s="365" t="b" cm="1">
        <f t="array" aca="1" ref="T253" ca="1">T252</f>
        <v>1</v>
      </c>
      <c r="X253" s="1075"/>
      <c r="Z253" s="1065"/>
      <c r="AB253" s="152" t="s">
        <v>1536</v>
      </c>
      <c r="AC253" s="146" t="s">
        <v>1469</v>
      </c>
      <c r="AD253" s="26" t="s">
        <v>804</v>
      </c>
      <c r="AE253" s="147"/>
      <c r="AF253" s="147"/>
      <c r="AG253" s="147"/>
      <c r="AH253" s="190">
        <f t="shared" si="49"/>
        <v>0</v>
      </c>
      <c r="AI253" s="147">
        <v>550.3474302958</v>
      </c>
      <c r="AJ253" s="147"/>
      <c r="AK253" s="787"/>
      <c r="AL253" s="787"/>
      <c r="AM253" s="787"/>
      <c r="AN253" s="787"/>
      <c r="AO253" s="787"/>
      <c r="AP253" s="787"/>
      <c r="AQ253" s="787"/>
      <c r="AR253" s="787"/>
      <c r="AS253" s="787"/>
      <c r="AT253" s="147"/>
      <c r="AU253" s="787"/>
      <c r="AV253" s="787"/>
      <c r="AW253" s="787"/>
      <c r="AX253" s="787"/>
      <c r="AY253" s="787"/>
      <c r="AZ253" s="787"/>
      <c r="BA253" s="787"/>
      <c r="BB253" s="787"/>
      <c r="BC253" s="787"/>
      <c r="BD253" s="190">
        <f t="shared" si="51"/>
        <v>-100</v>
      </c>
      <c r="BE253" s="190">
        <f t="shared" si="52"/>
        <v>0</v>
      </c>
      <c r="BF253" s="190">
        <f t="shared" si="53"/>
        <v>0</v>
      </c>
      <c r="BG253" s="190">
        <f t="shared" si="54"/>
        <v>0</v>
      </c>
      <c r="BH253" s="190">
        <f t="shared" si="55"/>
        <v>0</v>
      </c>
      <c r="BI253" s="190">
        <f t="shared" si="56"/>
        <v>0</v>
      </c>
      <c r="BJ253" s="190">
        <f t="shared" si="57"/>
        <v>0</v>
      </c>
      <c r="BK253" s="190">
        <f t="shared" si="58"/>
        <v>0</v>
      </c>
      <c r="BL253" s="190">
        <f t="shared" si="59"/>
        <v>0</v>
      </c>
      <c r="BM253" s="190">
        <f t="shared" si="60"/>
        <v>0</v>
      </c>
      <c r="BN253" s="215"/>
      <c r="BO253" s="215"/>
      <c r="BP253" s="215"/>
      <c r="BS253" s="705" t="s">
        <v>2111</v>
      </c>
    </row>
    <row r="254" spans="2:75" ht="0" hidden="1" customHeight="1">
      <c r="E254" s="518">
        <v>15</v>
      </c>
      <c r="F254" s="3" t="str" cm="1">
        <f t="array" aca="1" ref="F254" ca="1">OFFSET(E254,-1,1)</f>
        <v>1</v>
      </c>
      <c r="G254" s="91" t="s">
        <v>1474</v>
      </c>
      <c r="I254" s="91" t="s">
        <v>2112</v>
      </c>
      <c r="K254" s="91" t="s">
        <v>2112</v>
      </c>
      <c r="L254" s="44"/>
      <c r="M254" s="44"/>
      <c r="T254" s="365" t="b" cm="1">
        <f t="array" aca="1" ref="T254" ca="1">T253</f>
        <v>1</v>
      </c>
      <c r="X254" s="1075"/>
      <c r="Z254" s="1065"/>
      <c r="AB254" s="152" t="s">
        <v>1540</v>
      </c>
      <c r="AC254" s="146" t="s">
        <v>1474</v>
      </c>
      <c r="AD254" s="26" t="s">
        <v>804</v>
      </c>
      <c r="AE254" s="190">
        <f>SUM(AE255,AE256)</f>
        <v>0</v>
      </c>
      <c r="AF254" s="190">
        <f>SUM(AF255,AF256)</f>
        <v>0</v>
      </c>
      <c r="AG254" s="190">
        <f>SUM(AG255,AG256)</f>
        <v>0</v>
      </c>
      <c r="AH254" s="190">
        <f t="shared" si="49"/>
        <v>0</v>
      </c>
      <c r="AI254" s="190">
        <f t="shared" ref="AI254:BC254" si="63">SUM(AI255,AI256)</f>
        <v>0</v>
      </c>
      <c r="AJ254" s="190">
        <f t="shared" si="63"/>
        <v>0</v>
      </c>
      <c r="AK254" s="190">
        <f t="shared" si="63"/>
        <v>0</v>
      </c>
      <c r="AL254" s="190">
        <f t="shared" si="63"/>
        <v>0</v>
      </c>
      <c r="AM254" s="190">
        <f t="shared" si="63"/>
        <v>0</v>
      </c>
      <c r="AN254" s="190">
        <f t="shared" si="63"/>
        <v>0</v>
      </c>
      <c r="AO254" s="190">
        <f t="shared" si="63"/>
        <v>0</v>
      </c>
      <c r="AP254" s="190">
        <f t="shared" si="63"/>
        <v>0</v>
      </c>
      <c r="AQ254" s="190">
        <f t="shared" si="63"/>
        <v>0</v>
      </c>
      <c r="AR254" s="190">
        <f t="shared" si="63"/>
        <v>0</v>
      </c>
      <c r="AS254" s="190">
        <f t="shared" si="63"/>
        <v>0</v>
      </c>
      <c r="AT254" s="190">
        <f t="shared" si="63"/>
        <v>0</v>
      </c>
      <c r="AU254" s="190">
        <f t="shared" si="63"/>
        <v>0</v>
      </c>
      <c r="AV254" s="190">
        <f t="shared" si="63"/>
        <v>0</v>
      </c>
      <c r="AW254" s="190">
        <f t="shared" si="63"/>
        <v>0</v>
      </c>
      <c r="AX254" s="190">
        <f t="shared" si="63"/>
        <v>0</v>
      </c>
      <c r="AY254" s="190">
        <f t="shared" si="63"/>
        <v>0</v>
      </c>
      <c r="AZ254" s="190">
        <f t="shared" si="63"/>
        <v>0</v>
      </c>
      <c r="BA254" s="190">
        <f t="shared" si="63"/>
        <v>0</v>
      </c>
      <c r="BB254" s="190">
        <f t="shared" si="63"/>
        <v>0</v>
      </c>
      <c r="BC254" s="190">
        <f t="shared" si="63"/>
        <v>0</v>
      </c>
      <c r="BD254" s="190">
        <f t="shared" si="51"/>
        <v>0</v>
      </c>
      <c r="BE254" s="190">
        <f t="shared" si="52"/>
        <v>0</v>
      </c>
      <c r="BF254" s="190">
        <f t="shared" si="53"/>
        <v>0</v>
      </c>
      <c r="BG254" s="190">
        <f t="shared" si="54"/>
        <v>0</v>
      </c>
      <c r="BH254" s="190">
        <f t="shared" si="55"/>
        <v>0</v>
      </c>
      <c r="BI254" s="190">
        <f t="shared" si="56"/>
        <v>0</v>
      </c>
      <c r="BJ254" s="190">
        <f t="shared" si="57"/>
        <v>0</v>
      </c>
      <c r="BK254" s="190">
        <f t="shared" si="58"/>
        <v>0</v>
      </c>
      <c r="BL254" s="190">
        <f t="shared" si="59"/>
        <v>0</v>
      </c>
      <c r="BM254" s="190">
        <f t="shared" si="60"/>
        <v>0</v>
      </c>
      <c r="BN254" s="215"/>
      <c r="BO254" s="215"/>
      <c r="BP254" s="215"/>
      <c r="BS254" s="705" t="s">
        <v>2113</v>
      </c>
    </row>
    <row r="255" spans="2:75" ht="0" hidden="1" customHeight="1">
      <c r="E255" s="518">
        <v>15</v>
      </c>
      <c r="F255" s="3" t="str" cm="1">
        <f t="array" aca="1" ref="F255" ca="1">OFFSET(E255,-1,1)</f>
        <v>1</v>
      </c>
      <c r="I255" s="91" t="s">
        <v>2114</v>
      </c>
      <c r="K255" s="91" t="s">
        <v>2114</v>
      </c>
      <c r="L255" s="44"/>
      <c r="M255" s="44"/>
      <c r="T255" s="365" t="b" cm="1">
        <f t="array" aca="1" ref="T255" ca="1">T254</f>
        <v>1</v>
      </c>
      <c r="X255" s="1075"/>
      <c r="Z255" s="1065"/>
      <c r="AB255" s="152" t="s">
        <v>2115</v>
      </c>
      <c r="AC255" s="153" t="s">
        <v>2116</v>
      </c>
      <c r="AD255" s="26" t="s">
        <v>804</v>
      </c>
      <c r="AE255" s="147"/>
      <c r="AF255" s="147"/>
      <c r="AG255" s="147"/>
      <c r="AH255" s="190">
        <f t="shared" si="49"/>
        <v>0</v>
      </c>
      <c r="AI255" s="147"/>
      <c r="AJ255" s="147"/>
      <c r="AK255" s="787"/>
      <c r="AL255" s="787"/>
      <c r="AM255" s="787"/>
      <c r="AN255" s="787"/>
      <c r="AO255" s="787"/>
      <c r="AP255" s="787"/>
      <c r="AQ255" s="787"/>
      <c r="AR255" s="787"/>
      <c r="AS255" s="787"/>
      <c r="AT255" s="147"/>
      <c r="AU255" s="787"/>
      <c r="AV255" s="787"/>
      <c r="AW255" s="787"/>
      <c r="AX255" s="787"/>
      <c r="AY255" s="787"/>
      <c r="AZ255" s="787"/>
      <c r="BA255" s="787"/>
      <c r="BB255" s="787"/>
      <c r="BC255" s="787"/>
      <c r="BD255" s="190">
        <f t="shared" si="51"/>
        <v>0</v>
      </c>
      <c r="BE255" s="190">
        <f t="shared" si="52"/>
        <v>0</v>
      </c>
      <c r="BF255" s="190">
        <f t="shared" si="53"/>
        <v>0</v>
      </c>
      <c r="BG255" s="190">
        <f t="shared" si="54"/>
        <v>0</v>
      </c>
      <c r="BH255" s="190">
        <f t="shared" si="55"/>
        <v>0</v>
      </c>
      <c r="BI255" s="190">
        <f t="shared" si="56"/>
        <v>0</v>
      </c>
      <c r="BJ255" s="190">
        <f t="shared" si="57"/>
        <v>0</v>
      </c>
      <c r="BK255" s="190">
        <f t="shared" si="58"/>
        <v>0</v>
      </c>
      <c r="BL255" s="190">
        <f t="shared" si="59"/>
        <v>0</v>
      </c>
      <c r="BM255" s="190">
        <f t="shared" si="60"/>
        <v>0</v>
      </c>
      <c r="BN255" s="215"/>
      <c r="BO255" s="215"/>
      <c r="BP255" s="215"/>
      <c r="BS255" s="705" t="s">
        <v>1262</v>
      </c>
    </row>
    <row r="256" spans="2:75" ht="0" hidden="1" customHeight="1">
      <c r="E256" s="518">
        <v>15</v>
      </c>
      <c r="F256" s="3" t="str" cm="1">
        <f t="array" aca="1" ref="F256" ca="1">OFFSET(E256,-1,1)</f>
        <v>1</v>
      </c>
      <c r="I256" s="91" t="s">
        <v>2117</v>
      </c>
      <c r="K256" s="91" t="s">
        <v>2117</v>
      </c>
      <c r="L256" s="44" t="s">
        <v>909</v>
      </c>
      <c r="M256" s="44"/>
      <c r="T256" s="365" t="b" cm="1">
        <f t="array" aca="1" ref="T256" ca="1">T255</f>
        <v>1</v>
      </c>
      <c r="X256" s="1075"/>
      <c r="Z256" s="1065"/>
      <c r="AB256" s="152" t="s">
        <v>2118</v>
      </c>
      <c r="AC256" s="153" t="s">
        <v>2119</v>
      </c>
      <c r="AD256" s="26" t="s">
        <v>804</v>
      </c>
      <c r="AE256" s="147"/>
      <c r="AF256" s="147"/>
      <c r="AG256" s="147"/>
      <c r="AH256" s="190">
        <f t="shared" si="49"/>
        <v>0</v>
      </c>
      <c r="AI256" s="147"/>
      <c r="AJ256" s="147"/>
      <c r="AK256" s="787"/>
      <c r="AL256" s="787"/>
      <c r="AM256" s="787"/>
      <c r="AN256" s="787"/>
      <c r="AO256" s="787"/>
      <c r="AP256" s="787"/>
      <c r="AQ256" s="787"/>
      <c r="AR256" s="787"/>
      <c r="AS256" s="787"/>
      <c r="AT256" s="147"/>
      <c r="AU256" s="787"/>
      <c r="AV256" s="787"/>
      <c r="AW256" s="787"/>
      <c r="AX256" s="787"/>
      <c r="AY256" s="787"/>
      <c r="AZ256" s="787"/>
      <c r="BA256" s="787"/>
      <c r="BB256" s="787"/>
      <c r="BC256" s="787"/>
      <c r="BD256" s="190">
        <f t="shared" si="51"/>
        <v>0</v>
      </c>
      <c r="BE256" s="190">
        <f t="shared" si="52"/>
        <v>0</v>
      </c>
      <c r="BF256" s="190">
        <f t="shared" si="53"/>
        <v>0</v>
      </c>
      <c r="BG256" s="190">
        <f t="shared" si="54"/>
        <v>0</v>
      </c>
      <c r="BH256" s="190">
        <f t="shared" si="55"/>
        <v>0</v>
      </c>
      <c r="BI256" s="190">
        <f t="shared" si="56"/>
        <v>0</v>
      </c>
      <c r="BJ256" s="190">
        <f t="shared" si="57"/>
        <v>0</v>
      </c>
      <c r="BK256" s="190">
        <f t="shared" si="58"/>
        <v>0</v>
      </c>
      <c r="BL256" s="190">
        <f t="shared" si="59"/>
        <v>0</v>
      </c>
      <c r="BM256" s="190">
        <f t="shared" si="60"/>
        <v>0</v>
      </c>
      <c r="BN256" s="215"/>
      <c r="BO256" s="215"/>
      <c r="BP256" s="215"/>
      <c r="BS256" s="705" t="s">
        <v>2120</v>
      </c>
    </row>
    <row r="257" spans="1:75" ht="0" hidden="1" customHeight="1">
      <c r="E257" s="518">
        <v>22.5</v>
      </c>
      <c r="F257" s="3" t="str" cm="1">
        <f t="array" aca="1" ref="F257" ca="1">OFFSET(E257,-1,1)</f>
        <v>1</v>
      </c>
      <c r="G257" s="91" t="s">
        <v>1479</v>
      </c>
      <c r="I257" s="91" t="s">
        <v>2121</v>
      </c>
      <c r="K257" s="91" t="s">
        <v>2121</v>
      </c>
      <c r="L257" s="44"/>
      <c r="M257" s="44"/>
      <c r="T257" s="365" t="b" cm="1">
        <f t="array" aca="1" ref="T257" ca="1">T256</f>
        <v>1</v>
      </c>
      <c r="X257" s="1075"/>
      <c r="Z257" s="1065"/>
      <c r="AB257" s="152" t="s">
        <v>1543</v>
      </c>
      <c r="AC257" s="146" t="s">
        <v>2122</v>
      </c>
      <c r="AD257" s="26" t="s">
        <v>804</v>
      </c>
      <c r="AE257" s="147"/>
      <c r="AF257" s="147"/>
      <c r="AG257" s="147"/>
      <c r="AH257" s="190">
        <f t="shared" si="49"/>
        <v>0</v>
      </c>
      <c r="AI257" s="147"/>
      <c r="AJ257" s="147"/>
      <c r="AK257" s="787"/>
      <c r="AL257" s="787"/>
      <c r="AM257" s="787"/>
      <c r="AN257" s="787"/>
      <c r="AO257" s="787"/>
      <c r="AP257" s="787"/>
      <c r="AQ257" s="787"/>
      <c r="AR257" s="787"/>
      <c r="AS257" s="787"/>
      <c r="AT257" s="147"/>
      <c r="AU257" s="787"/>
      <c r="AV257" s="787"/>
      <c r="AW257" s="787"/>
      <c r="AX257" s="787"/>
      <c r="AY257" s="787"/>
      <c r="AZ257" s="787"/>
      <c r="BA257" s="787"/>
      <c r="BB257" s="787"/>
      <c r="BC257" s="787"/>
      <c r="BD257" s="190">
        <f t="shared" si="51"/>
        <v>0</v>
      </c>
      <c r="BE257" s="190">
        <f t="shared" si="52"/>
        <v>0</v>
      </c>
      <c r="BF257" s="190">
        <f t="shared" si="53"/>
        <v>0</v>
      </c>
      <c r="BG257" s="190">
        <f t="shared" si="54"/>
        <v>0</v>
      </c>
      <c r="BH257" s="190">
        <f t="shared" si="55"/>
        <v>0</v>
      </c>
      <c r="BI257" s="190">
        <f t="shared" si="56"/>
        <v>0</v>
      </c>
      <c r="BJ257" s="190">
        <f t="shared" si="57"/>
        <v>0</v>
      </c>
      <c r="BK257" s="190">
        <f t="shared" si="58"/>
        <v>0</v>
      </c>
      <c r="BL257" s="190">
        <f t="shared" si="59"/>
        <v>0</v>
      </c>
      <c r="BM257" s="190">
        <f t="shared" si="60"/>
        <v>0</v>
      </c>
      <c r="BN257" s="215"/>
      <c r="BO257" s="215"/>
      <c r="BP257" s="215"/>
      <c r="BS257" s="705" t="s">
        <v>2123</v>
      </c>
    </row>
    <row r="258" spans="1:75" s="950" customFormat="1" ht="96.75" customHeight="1">
      <c r="A258" s="95"/>
      <c r="B258" s="344"/>
      <c r="C258" s="95"/>
      <c r="D258" s="95"/>
      <c r="E258" s="522">
        <v>21</v>
      </c>
      <c r="F258" s="3" t="str" cm="1">
        <f t="array" aca="1" ref="F258" ca="1">OFFSET(E258,-1,1)</f>
        <v>1</v>
      </c>
      <c r="G258" s="91" t="s">
        <v>2124</v>
      </c>
      <c r="H258" s="91"/>
      <c r="I258" s="91" t="s">
        <v>329</v>
      </c>
      <c r="J258" s="95"/>
      <c r="K258" s="91" t="s">
        <v>329</v>
      </c>
      <c r="L258" s="46" t="s">
        <v>1336</v>
      </c>
      <c r="M258" s="46"/>
      <c r="N258" s="95"/>
      <c r="O258" s="95"/>
      <c r="P258" s="95"/>
      <c r="Q258" s="95"/>
      <c r="R258" s="95"/>
      <c r="S258" s="95"/>
      <c r="T258" s="365" t="b" cm="1">
        <f t="array" aca="1" ref="T258" ca="1">T257</f>
        <v>1</v>
      </c>
      <c r="U258" s="95"/>
      <c r="V258" s="95"/>
      <c r="W258" s="95"/>
      <c r="X258" s="1075"/>
      <c r="Y258" s="95"/>
      <c r="Z258" s="1065"/>
      <c r="AA258" s="95"/>
      <c r="AB258" s="150" t="s">
        <v>325</v>
      </c>
      <c r="AC258" s="144" t="s">
        <v>2125</v>
      </c>
      <c r="AD258" s="143" t="s">
        <v>804</v>
      </c>
      <c r="AE258" s="145">
        <f ca="1">SUMIFS(ЭЭ!AE$25:AE$109,ЭЭ!$F$25:$F$109,$F258,ЭЭ!$AC$25:$AC$109,"Всего по тарифу")</f>
        <v>7312.7743869921005</v>
      </c>
      <c r="AF258" s="145">
        <f ca="1">SUMIFS(ЭЭ!AF$25:AF$109,ЭЭ!$F$25:$F$109,$F258,ЭЭ!$AC$25:$AC$109,"Всего по тарифу")</f>
        <v>8020.5199999999995</v>
      </c>
      <c r="AG258" s="145">
        <f ca="1">SUMIFS(ЭЭ!AG$25:AG$109,ЭЭ!$F$25:$F$109,$F258,ЭЭ!$AC$25:$AC$109,"Всего по тарифу")</f>
        <v>7740.74</v>
      </c>
      <c r="AH258" s="145">
        <f t="shared" ca="1" si="49"/>
        <v>-279.77999999999975</v>
      </c>
      <c r="AI258" s="145">
        <f ca="1">SUMIFS(ЭЭ!AH$25:AH$109,ЭЭ!$F$25:$F$109,$F258,ЭЭ!$AC$25:$AC$109,"Всего по тарифу")</f>
        <v>7643.4825164316999</v>
      </c>
      <c r="AJ258" s="145">
        <f ca="1">SUMIFS(ЭЭ!AI$25:AI$109,ЭЭ!$F$25:$F$109,$F258,ЭЭ!$AC$25:$AC$109,"Всего по тарифу")</f>
        <v>9416.4500000000007</v>
      </c>
      <c r="AK258" s="145">
        <f ca="1">SUMIFS(ЭЭ!AJ$25:AJ$109,ЭЭ!$F$25:$F$109,$F258,ЭЭ!$AC$25:$AC$109,"Всего по тарифу")</f>
        <v>0</v>
      </c>
      <c r="AL258" s="145">
        <f ca="1">SUMIFS(ЭЭ!AK$25:AK$109,ЭЭ!$F$25:$F$109,$F258,ЭЭ!$AC$25:$AC$109,"Всего по тарифу")</f>
        <v>0</v>
      </c>
      <c r="AM258" s="145">
        <f ca="1">SUMIFS(ЭЭ!AL$25:AL$109,ЭЭ!$F$25:$F$109,$F258,ЭЭ!$AC$25:$AC$109,"Всего по тарифу")</f>
        <v>0</v>
      </c>
      <c r="AN258" s="145">
        <f ca="1">SUMIFS(ЭЭ!AM$25:AM$109,ЭЭ!$F$25:$F$109,$F258,ЭЭ!$AC$25:$AC$109,"Всего по тарифу")</f>
        <v>0</v>
      </c>
      <c r="AO258" s="145">
        <f ca="1">SUMIFS(ЭЭ!AN$25:AN$109,ЭЭ!$F$25:$F$109,$F258,ЭЭ!$AC$25:$AC$109,"Всего по тарифу")</f>
        <v>0</v>
      </c>
      <c r="AP258" s="145">
        <f ca="1">SUMIFS(ЭЭ!AO$25:AO$109,ЭЭ!$F$25:$F$109,$F258,ЭЭ!$AC$25:$AC$109,"Всего по тарифу")</f>
        <v>0</v>
      </c>
      <c r="AQ258" s="145">
        <f ca="1">SUMIFS(ЭЭ!AP$25:AP$109,ЭЭ!$F$25:$F$109,$F258,ЭЭ!$AC$25:$AC$109,"Всего по тарифу")</f>
        <v>0</v>
      </c>
      <c r="AR258" s="145">
        <f ca="1">SUMIFS(ЭЭ!AQ$25:AQ$109,ЭЭ!$F$25:$F$109,$F258,ЭЭ!$AC$25:$AC$109,"Всего по тарифу")</f>
        <v>0</v>
      </c>
      <c r="AS258" s="145">
        <f ca="1">SUMIFS(ЭЭ!AR$25:AR$109,ЭЭ!$F$25:$F$109,$F258,ЭЭ!$AC$25:$AC$109,"Всего по тарифу")</f>
        <v>0</v>
      </c>
      <c r="AT258" s="145">
        <f ca="1">SUMIFS(ЭЭ!AS$25:AS$109,ЭЭ!$F$25:$F$109,$F258,ЭЭ!$AC$25:$AC$109,"Всего по тарифу")</f>
        <v>9292.8333000000002</v>
      </c>
      <c r="AU258" s="145">
        <f ca="1">SUMIFS(ЭЭ!AT$25:AT$109,ЭЭ!$F$25:$F$109,$F258,ЭЭ!$AC$25:$AC$109,"Всего по тарифу")</f>
        <v>0</v>
      </c>
      <c r="AV258" s="145">
        <f ca="1">SUMIFS(ЭЭ!AU$25:AU$109,ЭЭ!$F$25:$F$109,$F258,ЭЭ!$AC$25:$AC$109,"Всего по тарифу")</f>
        <v>0</v>
      </c>
      <c r="AW258" s="145">
        <f ca="1">SUMIFS(ЭЭ!AV$25:AV$109,ЭЭ!$F$25:$F$109,$F258,ЭЭ!$AC$25:$AC$109,"Всего по тарифу")</f>
        <v>0</v>
      </c>
      <c r="AX258" s="145">
        <f ca="1">SUMIFS(ЭЭ!AW$25:AW$109,ЭЭ!$F$25:$F$109,$F258,ЭЭ!$AC$25:$AC$109,"Всего по тарифу")</f>
        <v>0</v>
      </c>
      <c r="AY258" s="145">
        <f ca="1">SUMIFS(ЭЭ!AX$25:AX$109,ЭЭ!$F$25:$F$109,$F258,ЭЭ!$AC$25:$AC$109,"Всего по тарифу")</f>
        <v>0</v>
      </c>
      <c r="AZ258" s="145">
        <f ca="1">SUMIFS(ЭЭ!AY$25:AY$109,ЭЭ!$F$25:$F$109,$F258,ЭЭ!$AC$25:$AC$109,"Всего по тарифу")</f>
        <v>0</v>
      </c>
      <c r="BA258" s="145">
        <f ca="1">SUMIFS(ЭЭ!AZ$25:AZ$109,ЭЭ!$F$25:$F$109,$F258,ЭЭ!$AC$25:$AC$109,"Всего по тарифу")</f>
        <v>0</v>
      </c>
      <c r="BB258" s="145">
        <f ca="1">SUMIFS(ЭЭ!BA$25:BA$109,ЭЭ!$F$25:$F$109,$F258,ЭЭ!$AC$25:$AC$109,"Всего по тарифу")</f>
        <v>0</v>
      </c>
      <c r="BC258" s="145">
        <f ca="1">SUMIFS(ЭЭ!BB$25:BB$109,ЭЭ!$F$25:$F$109,$F258,ЭЭ!$AC$25:$AC$109,"Всего по тарифу")</f>
        <v>0</v>
      </c>
      <c r="BD258" s="145">
        <f t="shared" ca="1" si="51"/>
        <v>21.578524972387676</v>
      </c>
      <c r="BE258" s="145">
        <f t="shared" ca="1" si="52"/>
        <v>-100</v>
      </c>
      <c r="BF258" s="145">
        <f t="shared" ca="1" si="53"/>
        <v>0</v>
      </c>
      <c r="BG258" s="145">
        <f t="shared" ca="1" si="54"/>
        <v>0</v>
      </c>
      <c r="BH258" s="145">
        <f t="shared" ca="1" si="55"/>
        <v>0</v>
      </c>
      <c r="BI258" s="145">
        <f t="shared" ca="1" si="56"/>
        <v>0</v>
      </c>
      <c r="BJ258" s="145">
        <f t="shared" ca="1" si="57"/>
        <v>0</v>
      </c>
      <c r="BK258" s="145">
        <f t="shared" ca="1" si="58"/>
        <v>0</v>
      </c>
      <c r="BL258" s="145">
        <f t="shared" ca="1" si="59"/>
        <v>0</v>
      </c>
      <c r="BM258" s="145">
        <f t="shared" ca="1" si="60"/>
        <v>0</v>
      </c>
      <c r="BN258" s="953" t="s">
        <v>2245</v>
      </c>
      <c r="BO258" s="610" t="s">
        <v>886</v>
      </c>
      <c r="BP258" s="215"/>
      <c r="BQ258" s="95"/>
      <c r="BR258" s="95"/>
      <c r="BS258" s="711" t="s">
        <v>1733</v>
      </c>
      <c r="BT258" s="711"/>
      <c r="BU258" s="711"/>
      <c r="BV258" s="522"/>
      <c r="BW258" s="522"/>
    </row>
    <row r="259" spans="1:75" s="950" customFormat="1" ht="96.75" customHeight="1">
      <c r="A259" s="95"/>
      <c r="B259" s="95" t="b">
        <f>method_reg="Метод индексации"</f>
        <v>1</v>
      </c>
      <c r="C259" s="95"/>
      <c r="D259" s="95"/>
      <c r="E259" s="522">
        <v>22.5</v>
      </c>
      <c r="F259" s="3" t="str" cm="1">
        <f t="array" aca="1" ref="F259" ca="1">OFFSET(E259,-1,1)</f>
        <v>1</v>
      </c>
      <c r="G259" s="91" t="s">
        <v>1501</v>
      </c>
      <c r="H259" s="91"/>
      <c r="I259" s="91" t="s">
        <v>331</v>
      </c>
      <c r="J259" s="95"/>
      <c r="K259" s="91" t="s">
        <v>331</v>
      </c>
      <c r="L259" s="46" t="s">
        <v>330</v>
      </c>
      <c r="M259" s="46"/>
      <c r="N259" s="95"/>
      <c r="O259" s="95"/>
      <c r="P259" s="95"/>
      <c r="Q259" s="95"/>
      <c r="R259" s="95"/>
      <c r="S259" s="95"/>
      <c r="T259" s="365" t="b" cm="1">
        <f t="array" aca="1" ref="T259" ca="1">T258</f>
        <v>1</v>
      </c>
      <c r="U259" s="95"/>
      <c r="V259" s="95"/>
      <c r="W259" s="95"/>
      <c r="X259" s="1075"/>
      <c r="Y259" s="95"/>
      <c r="Z259" s="1065"/>
      <c r="AA259" s="95"/>
      <c r="AB259" s="150" t="s">
        <v>433</v>
      </c>
      <c r="AC259" s="144" t="s">
        <v>2126</v>
      </c>
      <c r="AD259" s="143" t="s">
        <v>804</v>
      </c>
      <c r="AE259" s="145">
        <f ca="1">SUMIFS(Амортизация!AE$25:AE$174,Амортизация!$F$25:$F$174,$F259,Амортизация!$AC$25:$AC$174,"Сумма амортизационных отчислений")</f>
        <v>424.93</v>
      </c>
      <c r="AF259" s="145">
        <f ca="1">SUMIFS(Амортизация!AF$25:AF$174,Амортизация!$F$25:$F$174,$F259,Амортизация!$AC$25:$AC$174,"Сумма амортизационных отчислений")</f>
        <v>533.19000000000005</v>
      </c>
      <c r="AG259" s="145">
        <f ca="1">SUMIFS(Амортизация!AG$25:AG$174,Амортизация!$F$25:$F$174,$F259,Амортизация!$AC$25:$AC$174,"Сумма амортизационных отчислений")</f>
        <v>533.19000000000005</v>
      </c>
      <c r="AH259" s="145">
        <f t="shared" ca="1" si="49"/>
        <v>0</v>
      </c>
      <c r="AI259" s="145">
        <f ca="1">SUMIFS(Амортизация!AH$25:AH$174,Амортизация!$F$25:$F$174,$F259,Амортизация!$AC$25:$AC$174,"Сумма амортизационных отчислений")</f>
        <v>400.83</v>
      </c>
      <c r="AJ259" s="145">
        <f ca="1">SUMIFS(Амортизация!AI$25:AI$174,Амортизация!$F$25:$F$174,$F259,Амортизация!$AC$25:$AC$174,"Сумма амортизационных отчислений")</f>
        <v>229.66</v>
      </c>
      <c r="AK259" s="145">
        <f ca="1">SUMIFS(Амортизация!AJ$25:AJ$174,Амортизация!$F$25:$F$174,$F259,Амортизация!$AC$25:$AC$174,"Сумма амортизационных отчислений")</f>
        <v>0</v>
      </c>
      <c r="AL259" s="145">
        <f ca="1">SUMIFS(Амортизация!AK$25:AK$174,Амортизация!$F$25:$F$174,$F259,Амортизация!$AC$25:$AC$174,"Сумма амортизационных отчислений")</f>
        <v>0</v>
      </c>
      <c r="AM259" s="145">
        <f ca="1">SUMIFS(Амортизация!AL$25:AL$174,Амортизация!$F$25:$F$174,$F259,Амортизация!$AC$25:$AC$174,"Сумма амортизационных отчислений")</f>
        <v>0</v>
      </c>
      <c r="AN259" s="145">
        <f ca="1">SUMIFS(Амортизация!AM$25:AM$174,Амортизация!$F$25:$F$174,$F259,Амортизация!$AC$25:$AC$174,"Сумма амортизационных отчислений")</f>
        <v>0</v>
      </c>
      <c r="AO259" s="145">
        <f ca="1">SUMIFS(Амортизация!AN$25:AN$174,Амортизация!$F$25:$F$174,$F259,Амортизация!$AC$25:$AC$174,"Сумма амортизационных отчислений")</f>
        <v>0</v>
      </c>
      <c r="AP259" s="145">
        <f ca="1">SUMIFS(Амортизация!AO$25:AO$174,Амортизация!$F$25:$F$174,$F259,Амортизация!$AC$25:$AC$174,"Сумма амортизационных отчислений")</f>
        <v>0</v>
      </c>
      <c r="AQ259" s="145">
        <f ca="1">SUMIFS(Амортизация!AP$25:AP$174,Амортизация!$F$25:$F$174,$F259,Амортизация!$AC$25:$AC$174,"Сумма амортизационных отчислений")</f>
        <v>0</v>
      </c>
      <c r="AR259" s="145">
        <f ca="1">SUMIFS(Амортизация!AQ$25:AQ$174,Амортизация!$F$25:$F$174,$F259,Амортизация!$AC$25:$AC$174,"Сумма амортизационных отчислений")</f>
        <v>0</v>
      </c>
      <c r="AS259" s="145">
        <f ca="1">SUMIFS(Амортизация!AR$25:AR$174,Амортизация!$F$25:$F$174,$F259,Амортизация!$AC$25:$AC$174,"Сумма амортизационных отчислений")</f>
        <v>0</v>
      </c>
      <c r="AT259" s="145">
        <f ca="1">SUMIFS(Амортизация!AS$25:AS$174,Амортизация!$F$25:$F$174,$F259,Амортизация!$AC$25:$AC$174,"Сумма амортизационных отчислений")</f>
        <v>229.66</v>
      </c>
      <c r="AU259" s="145">
        <f ca="1">SUMIFS(Амортизация!AT$25:AT$174,Амортизация!$F$25:$F$174,$F259,Амортизация!$AC$25:$AC$174,"Сумма амортизационных отчислений")</f>
        <v>0</v>
      </c>
      <c r="AV259" s="145">
        <f ca="1">SUMIFS(Амортизация!AU$25:AU$174,Амортизация!$F$25:$F$174,$F259,Амортизация!$AC$25:$AC$174,"Сумма амортизационных отчислений")</f>
        <v>0</v>
      </c>
      <c r="AW259" s="145">
        <f ca="1">SUMIFS(Амортизация!AV$25:AV$174,Амортизация!$F$25:$F$174,$F259,Амортизация!$AC$25:$AC$174,"Сумма амортизационных отчислений")</f>
        <v>0</v>
      </c>
      <c r="AX259" s="145">
        <f ca="1">SUMIFS(Амортизация!AW$25:AW$174,Амортизация!$F$25:$F$174,$F259,Амортизация!$AC$25:$AC$174,"Сумма амортизационных отчислений")</f>
        <v>0</v>
      </c>
      <c r="AY259" s="145">
        <f ca="1">SUMIFS(Амортизация!AX$25:AX$174,Амортизация!$F$25:$F$174,$F259,Амортизация!$AC$25:$AC$174,"Сумма амортизационных отчислений")</f>
        <v>0</v>
      </c>
      <c r="AZ259" s="145">
        <f ca="1">SUMIFS(Амортизация!AY$25:AY$174,Амортизация!$F$25:$F$174,$F259,Амортизация!$AC$25:$AC$174,"Сумма амортизационных отчислений")</f>
        <v>0</v>
      </c>
      <c r="BA259" s="145">
        <f ca="1">SUMIFS(Амортизация!AZ$25:AZ$174,Амортизация!$F$25:$F$174,$F259,Амортизация!$AC$25:$AC$174,"Сумма амортизационных отчислений")</f>
        <v>0</v>
      </c>
      <c r="BB259" s="145">
        <f ca="1">SUMIFS(Амортизация!BA$25:BA$174,Амортизация!$F$25:$F$174,$F259,Амортизация!$AC$25:$AC$174,"Сумма амортизационных отчислений")</f>
        <v>0</v>
      </c>
      <c r="BC259" s="145">
        <f ca="1">SUMIFS(Амортизация!BB$25:BB$174,Амортизация!$F$25:$F$174,$F259,Амортизация!$AC$25:$AC$174,"Сумма амортизационных отчислений")</f>
        <v>0</v>
      </c>
      <c r="BD259" s="145">
        <f t="shared" ca="1" si="51"/>
        <v>-42.703889429433922</v>
      </c>
      <c r="BE259" s="145">
        <f t="shared" ca="1" si="52"/>
        <v>-100</v>
      </c>
      <c r="BF259" s="145">
        <f t="shared" ca="1" si="53"/>
        <v>0</v>
      </c>
      <c r="BG259" s="145">
        <f t="shared" ca="1" si="54"/>
        <v>0</v>
      </c>
      <c r="BH259" s="145">
        <f t="shared" ca="1" si="55"/>
        <v>0</v>
      </c>
      <c r="BI259" s="145">
        <f t="shared" ca="1" si="56"/>
        <v>0</v>
      </c>
      <c r="BJ259" s="145">
        <f t="shared" ca="1" si="57"/>
        <v>0</v>
      </c>
      <c r="BK259" s="145">
        <f t="shared" ca="1" si="58"/>
        <v>0</v>
      </c>
      <c r="BL259" s="145">
        <f t="shared" ca="1" si="59"/>
        <v>0</v>
      </c>
      <c r="BM259" s="145">
        <f t="shared" ca="1" si="60"/>
        <v>0</v>
      </c>
      <c r="BN259" s="953" t="s">
        <v>2246</v>
      </c>
      <c r="BO259" s="610" t="s">
        <v>2247</v>
      </c>
      <c r="BP259" s="215"/>
      <c r="BQ259" s="95"/>
      <c r="BR259" s="95"/>
      <c r="BS259" s="711" t="s">
        <v>1241</v>
      </c>
      <c r="BT259" s="711"/>
      <c r="BU259" s="711"/>
      <c r="BV259" s="522"/>
      <c r="BW259" s="522"/>
    </row>
    <row r="260" spans="1:75" ht="14.25" customHeight="1">
      <c r="B260" s="341" t="b" cm="1">
        <f t="array" ref="B260">B259</f>
        <v>1</v>
      </c>
      <c r="E260" s="518">
        <v>15</v>
      </c>
      <c r="F260" s="3" t="str" cm="1">
        <f t="array" aca="1" ref="F260" ca="1">OFFSET(E260,-1,1)</f>
        <v>1</v>
      </c>
      <c r="I260" s="91" t="s">
        <v>536</v>
      </c>
      <c r="K260" s="91" t="s">
        <v>536</v>
      </c>
      <c r="L260" s="44" t="s">
        <v>550</v>
      </c>
      <c r="M260" s="44"/>
      <c r="T260" s="365" t="b" cm="1">
        <f t="array" aca="1" ref="T260" ca="1">T259</f>
        <v>1</v>
      </c>
      <c r="X260" s="1075"/>
      <c r="Z260" s="1065"/>
      <c r="AB260" s="152" t="s">
        <v>673</v>
      </c>
      <c r="AC260" s="146" t="s">
        <v>1825</v>
      </c>
      <c r="AD260" s="26" t="s">
        <v>804</v>
      </c>
      <c r="AE260" s="147">
        <f ca="1">SUMIFS('ИП + источники'!AF$27:AF$145,'ИП + источники'!$F$27:$F$145,$F260,'ИП + источники'!$AC$27:$AC$145,"Амортизационные отчисления")+SUMIFS('ИП + источники'!AF$27:AF$145,'ИП + источники'!$F$27:$F$145,$F260,'ИП + источники'!$AC$27:$AC$145,"погашение займов и кредитов из амортизации")</f>
        <v>0</v>
      </c>
      <c r="AF260" s="147">
        <f ca="1">SUMIFS('ИП + источники'!AG$27:AG$145,'ИП + источники'!$F$27:$F$145,$F260,'ИП + источники'!$AC$27:$AC$145,"Амортизационные отчисления")+SUMIFS('ИП + источники'!AG$27:AG$145,'ИП + источники'!$F$27:$F$145,$F260,'ИП + источники'!$AC$27:$AC$145,"погашение займов и кредитов из амортизации")</f>
        <v>0</v>
      </c>
      <c r="AG260" s="147">
        <f ca="1">SUMIFS('ИП + источники'!AH$27:AH$145,'ИП + источники'!$F$27:$F$145,$F260,'ИП + источники'!$AC$27:$AC$145,"Амортизационные отчисления")+SUMIFS('ИП + источники'!AH$27:AH$145,'ИП + источники'!$F$27:$F$145,$F260,'ИП + источники'!$AC$27:$AC$145,"погашение займов и кредитов из амортизации")</f>
        <v>0</v>
      </c>
      <c r="AH260" s="190">
        <f t="shared" ca="1" si="49"/>
        <v>0</v>
      </c>
      <c r="AI260" s="147">
        <f ca="1">SUMIFS('ИП + источники'!AJ$27:AJ$145,'ИП + источники'!$F$27:$F$145,$F260,'ИП + источники'!$AC$27:$AC$145,"Амортизационные отчисления")+SUMIFS('ИП + источники'!AJ$27:AJ$145,'ИП + источники'!$F$27:$F$145,$F260,'ИП + источники'!$AC$27:$AC$145,"погашение займов и кредитов из амортизации")</f>
        <v>0</v>
      </c>
      <c r="AJ260" s="147">
        <f ca="1">SUMIFS('ИП + источники'!AK$27:AK$145,'ИП + источники'!$F$27:$F$145,$F260,'ИП + источники'!$AC$27:$AC$145,"Амортизационные отчисления")+SUMIFS('ИП + источники'!AK$27:AK$145,'ИП + источники'!$F$27:$F$145,$F260,'ИП + источники'!$AC$27:$AC$145,"погашение займов и кредитов из амортизации")</f>
        <v>0</v>
      </c>
      <c r="AK260" s="787">
        <f ca="1">SUMIFS('ИП + источники'!AL$27:AL$145,'ИП + источники'!$F$27:$F$145,$F260,'ИП + источники'!$AC$27:$AC$145,"Амортизационные отчисления")+SUMIFS('ИП + источники'!AL$27:AL$145,'ИП + источники'!$F$27:$F$145,$F260,'ИП + источники'!$AC$27:$AC$145,"погашение займов и кредитов из амортизации")</f>
        <v>0</v>
      </c>
      <c r="AL260" s="787">
        <f ca="1">SUMIFS('ИП + источники'!AM$27:AM$145,'ИП + источники'!$F$27:$F$145,$F260,'ИП + источники'!$AC$27:$AC$145,"Амортизационные отчисления")+SUMIFS('ИП + источники'!AM$27:AM$145,'ИП + источники'!$F$27:$F$145,$F260,'ИП + источники'!$AC$27:$AC$145,"погашение займов и кредитов из амортизации")</f>
        <v>0</v>
      </c>
      <c r="AM260" s="787">
        <f ca="1">SUMIFS('ИП + источники'!AN$27:AN$145,'ИП + источники'!$F$27:$F$145,$F260,'ИП + источники'!$AC$27:$AC$145,"Амортизационные отчисления")+SUMIFS('ИП + источники'!AN$27:AN$145,'ИП + источники'!$F$27:$F$145,$F260,'ИП + источники'!$AC$27:$AC$145,"погашение займов и кредитов из амортизации")</f>
        <v>0</v>
      </c>
      <c r="AN260" s="787">
        <f ca="1">SUMIFS('ИП + источники'!AO$27:AO$145,'ИП + источники'!$F$27:$F$145,$F260,'ИП + источники'!$AC$27:$AC$145,"Амортизационные отчисления")+SUMIFS('ИП + источники'!AO$27:AO$145,'ИП + источники'!$F$27:$F$145,$F260,'ИП + источники'!$AC$27:$AC$145,"погашение займов и кредитов из амортизации")</f>
        <v>0</v>
      </c>
      <c r="AO260" s="787">
        <f ca="1">SUMIFS('ИП + источники'!AP$27:AP$145,'ИП + источники'!$F$27:$F$145,$F260,'ИП + источники'!$AC$27:$AC$145,"Амортизационные отчисления")+SUMIFS('ИП + источники'!AP$27:AP$145,'ИП + источники'!$F$27:$F$145,$F260,'ИП + источники'!$AC$27:$AC$145,"погашение займов и кредитов из амортизации")</f>
        <v>0</v>
      </c>
      <c r="AP260" s="787">
        <f ca="1">SUMIFS('ИП + источники'!AQ$27:AQ$145,'ИП + источники'!$F$27:$F$145,$F260,'ИП + источники'!$AC$27:$AC$145,"Амортизационные отчисления")+SUMIFS('ИП + источники'!AQ$27:AQ$145,'ИП + источники'!$F$27:$F$145,$F260,'ИП + источники'!$AC$27:$AC$145,"погашение займов и кредитов из амортизации")</f>
        <v>0</v>
      </c>
      <c r="AQ260" s="787">
        <f ca="1">SUMIFS('ИП + источники'!AR$27:AR$145,'ИП + источники'!$F$27:$F$145,$F260,'ИП + источники'!$AC$27:$AC$145,"Амортизационные отчисления")+SUMIFS('ИП + источники'!AR$27:AR$145,'ИП + источники'!$F$27:$F$145,$F260,'ИП + источники'!$AC$27:$AC$145,"погашение займов и кредитов из амортизации")</f>
        <v>0</v>
      </c>
      <c r="AR260" s="787">
        <f ca="1">SUMIFS('ИП + источники'!AS$27:AS$145,'ИП + источники'!$F$27:$F$145,$F260,'ИП + источники'!$AC$27:$AC$145,"Амортизационные отчисления")+SUMIFS('ИП + источники'!AS$27:AS$145,'ИП + источники'!$F$27:$F$145,$F260,'ИП + источники'!$AC$27:$AC$145,"погашение займов и кредитов из амортизации")</f>
        <v>0</v>
      </c>
      <c r="AS260" s="787">
        <f ca="1">SUMIFS('ИП + источники'!AT$27:AT$145,'ИП + источники'!$F$27:$F$145,$F260,'ИП + источники'!$AC$27:$AC$145,"Амортизационные отчисления")+SUMIFS('ИП + источники'!AT$27:AT$145,'ИП + источники'!$F$27:$F$145,$F260,'ИП + источники'!$AC$27:$AC$145,"погашение займов и кредитов из амортизации")</f>
        <v>0</v>
      </c>
      <c r="AT260" s="147">
        <f ca="1">SUMIFS('ИП + источники'!AU$27:AU$145,'ИП + источники'!$F$27:$F$145,$F260,'ИП + источники'!$AC$27:$AC$145,"Амортизационные отчисления")+SUMIFS('ИП + источники'!AU$27:AU$145,'ИП + источники'!$F$27:$F$145,$F260,'ИП + источники'!$AC$27:$AC$145,"погашение займов и кредитов из амортизации")</f>
        <v>0</v>
      </c>
      <c r="AU260" s="787">
        <f ca="1">SUMIFS('ИП + источники'!AV$27:AV$145,'ИП + источники'!$F$27:$F$145,$F260,'ИП + источники'!$AC$27:$AC$145,"Амортизационные отчисления")+SUMIFS('ИП + источники'!AV$27:AV$145,'ИП + источники'!$F$27:$F$145,$F260,'ИП + источники'!$AC$27:$AC$145,"погашение займов и кредитов из амортизации")</f>
        <v>0</v>
      </c>
      <c r="AV260" s="787">
        <f ca="1">SUMIFS('ИП + источники'!AW$27:AW$145,'ИП + источники'!$F$27:$F$145,$F260,'ИП + источники'!$AC$27:$AC$145,"Амортизационные отчисления")+SUMIFS('ИП + источники'!AW$27:AW$145,'ИП + источники'!$F$27:$F$145,$F260,'ИП + источники'!$AC$27:$AC$145,"погашение займов и кредитов из амортизации")</f>
        <v>0</v>
      </c>
      <c r="AW260" s="787">
        <f ca="1">SUMIFS('ИП + источники'!AX$27:AX$145,'ИП + источники'!$F$27:$F$145,$F260,'ИП + источники'!$AC$27:$AC$145,"Амортизационные отчисления")+SUMIFS('ИП + источники'!AX$27:AX$145,'ИП + источники'!$F$27:$F$145,$F260,'ИП + источники'!$AC$27:$AC$145,"погашение займов и кредитов из амортизации")</f>
        <v>0</v>
      </c>
      <c r="AX260" s="787">
        <f ca="1">SUMIFS('ИП + источники'!AY$27:AY$145,'ИП + источники'!$F$27:$F$145,$F260,'ИП + источники'!$AC$27:$AC$145,"Амортизационные отчисления")+SUMIFS('ИП + источники'!AY$27:AY$145,'ИП + источники'!$F$27:$F$145,$F260,'ИП + источники'!$AC$27:$AC$145,"погашение займов и кредитов из амортизации")</f>
        <v>0</v>
      </c>
      <c r="AY260" s="787">
        <f ca="1">SUMIFS('ИП + источники'!AZ$27:AZ$145,'ИП + источники'!$F$27:$F$145,$F260,'ИП + источники'!$AC$27:$AC$145,"Амортизационные отчисления")+SUMIFS('ИП + источники'!AZ$27:AZ$145,'ИП + источники'!$F$27:$F$145,$F260,'ИП + источники'!$AC$27:$AC$145,"погашение займов и кредитов из амортизации")</f>
        <v>0</v>
      </c>
      <c r="AZ260" s="787">
        <f ca="1">SUMIFS('ИП + источники'!BA$27:BA$145,'ИП + источники'!$F$27:$F$145,$F260,'ИП + источники'!$AC$27:$AC$145,"Амортизационные отчисления")+SUMIFS('ИП + источники'!BA$27:BA$145,'ИП + источники'!$F$27:$F$145,$F260,'ИП + источники'!$AC$27:$AC$145,"погашение займов и кредитов из амортизации")</f>
        <v>0</v>
      </c>
      <c r="BA260" s="787">
        <f ca="1">SUMIFS('ИП + источники'!BB$27:BB$145,'ИП + источники'!$F$27:$F$145,$F260,'ИП + источники'!$AC$27:$AC$145,"Амортизационные отчисления")+SUMIFS('ИП + источники'!BB$27:BB$145,'ИП + источники'!$F$27:$F$145,$F260,'ИП + источники'!$AC$27:$AC$145,"погашение займов и кредитов из амортизации")</f>
        <v>0</v>
      </c>
      <c r="BB260" s="787">
        <f ca="1">SUMIFS('ИП + источники'!BC$27:BC$145,'ИП + источники'!$F$27:$F$145,$F260,'ИП + источники'!$AC$27:$AC$145,"Амортизационные отчисления")+SUMIFS('ИП + источники'!BC$27:BC$145,'ИП + источники'!$F$27:$F$145,$F260,'ИП + источники'!$AC$27:$AC$145,"погашение займов и кредитов из амортизации")</f>
        <v>0</v>
      </c>
      <c r="BC260" s="787">
        <f ca="1">SUMIFS('ИП + источники'!BD$27:BD$145,'ИП + источники'!$F$27:$F$145,$F260,'ИП + источники'!$AC$27:$AC$145,"Амортизационные отчисления")+SUMIFS('ИП + источники'!BD$27:BD$145,'ИП + источники'!$F$27:$F$145,$F260,'ИП + источники'!$AC$27:$AC$145,"погашение займов и кредитов из амортизации")</f>
        <v>0</v>
      </c>
      <c r="BD260" s="190">
        <f t="shared" ca="1" si="51"/>
        <v>0</v>
      </c>
      <c r="BE260" s="190">
        <f t="shared" ca="1" si="52"/>
        <v>0</v>
      </c>
      <c r="BF260" s="190">
        <f t="shared" ca="1" si="53"/>
        <v>0</v>
      </c>
      <c r="BG260" s="190">
        <f t="shared" ca="1" si="54"/>
        <v>0</v>
      </c>
      <c r="BH260" s="190">
        <f t="shared" ca="1" si="55"/>
        <v>0</v>
      </c>
      <c r="BI260" s="190">
        <f t="shared" ca="1" si="56"/>
        <v>0</v>
      </c>
      <c r="BJ260" s="190">
        <f t="shared" ca="1" si="57"/>
        <v>0</v>
      </c>
      <c r="BK260" s="190">
        <f t="shared" ca="1" si="58"/>
        <v>0</v>
      </c>
      <c r="BL260" s="190">
        <f t="shared" ca="1" si="59"/>
        <v>0</v>
      </c>
      <c r="BM260" s="190">
        <f t="shared" ca="1" si="60"/>
        <v>0</v>
      </c>
      <c r="BN260" s="215"/>
      <c r="BO260" s="215"/>
      <c r="BP260" s="215"/>
      <c r="BS260" s="705" t="s">
        <v>1826</v>
      </c>
    </row>
    <row r="261" spans="1:75" s="950" customFormat="1" ht="20.25" customHeight="1">
      <c r="A261" s="95"/>
      <c r="B261" s="341" t="b" cm="1">
        <f t="array" ref="B261">B260</f>
        <v>1</v>
      </c>
      <c r="C261" s="95"/>
      <c r="D261" s="95"/>
      <c r="E261" s="522">
        <v>21</v>
      </c>
      <c r="F261" s="3" t="str" cm="1">
        <f t="array" aca="1" ref="F261" ca="1">OFFSET(E261,-1,1)</f>
        <v>1</v>
      </c>
      <c r="G261" s="91" t="s">
        <v>1505</v>
      </c>
      <c r="H261" s="91"/>
      <c r="I261" s="91" t="s">
        <v>330</v>
      </c>
      <c r="J261" s="95"/>
      <c r="K261" s="91" t="s">
        <v>330</v>
      </c>
      <c r="L261" s="46" t="s">
        <v>562</v>
      </c>
      <c r="M261" s="46"/>
      <c r="N261" s="95"/>
      <c r="O261" s="95"/>
      <c r="P261" s="95"/>
      <c r="Q261" s="95"/>
      <c r="R261" s="95"/>
      <c r="S261" s="95"/>
      <c r="T261" s="365" t="b" cm="1">
        <f t="array" aca="1" ref="T261" ca="1">T260</f>
        <v>1</v>
      </c>
      <c r="U261" s="95"/>
      <c r="V261" s="95"/>
      <c r="W261" s="95"/>
      <c r="X261" s="1075"/>
      <c r="Y261" s="95"/>
      <c r="Z261" s="1065"/>
      <c r="AA261" s="95"/>
      <c r="AB261" s="150" t="s">
        <v>444</v>
      </c>
      <c r="AC261" s="144" t="s">
        <v>1505</v>
      </c>
      <c r="AD261" s="166" t="s">
        <v>804</v>
      </c>
      <c r="AE261" s="145">
        <f ca="1">AE262+AE263+AE264+AE265</f>
        <v>0</v>
      </c>
      <c r="AF261" s="145">
        <f ca="1">AF262+AF263+AF264+AF265</f>
        <v>1423.047</v>
      </c>
      <c r="AG261" s="145">
        <f ca="1">AG262+AG263+AG264+AG265</f>
        <v>0</v>
      </c>
      <c r="AH261" s="145">
        <f t="shared" ca="1" si="49"/>
        <v>-1423.047</v>
      </c>
      <c r="AI261" s="145">
        <f t="shared" ref="AI261:BC261" ca="1" si="64">AI262+AI263+AI264+AI265</f>
        <v>0</v>
      </c>
      <c r="AJ261" s="145">
        <f t="shared" ca="1" si="64"/>
        <v>1626.03</v>
      </c>
      <c r="AK261" s="145">
        <f t="shared" ca="1" si="64"/>
        <v>0</v>
      </c>
      <c r="AL261" s="145">
        <f t="shared" ca="1" si="64"/>
        <v>0</v>
      </c>
      <c r="AM261" s="145">
        <f t="shared" ca="1" si="64"/>
        <v>0</v>
      </c>
      <c r="AN261" s="145">
        <f t="shared" ca="1" si="64"/>
        <v>0</v>
      </c>
      <c r="AO261" s="145">
        <f t="shared" ca="1" si="64"/>
        <v>0</v>
      </c>
      <c r="AP261" s="145">
        <f t="shared" ca="1" si="64"/>
        <v>0</v>
      </c>
      <c r="AQ261" s="145">
        <f t="shared" ca="1" si="64"/>
        <v>0</v>
      </c>
      <c r="AR261" s="145">
        <f t="shared" ca="1" si="64"/>
        <v>0</v>
      </c>
      <c r="AS261" s="145">
        <f t="shared" ca="1" si="64"/>
        <v>0</v>
      </c>
      <c r="AT261" s="145">
        <f t="shared" ca="1" si="64"/>
        <v>0</v>
      </c>
      <c r="AU261" s="145">
        <f t="shared" ca="1" si="64"/>
        <v>0</v>
      </c>
      <c r="AV261" s="145">
        <f t="shared" ca="1" si="64"/>
        <v>0</v>
      </c>
      <c r="AW261" s="145">
        <f t="shared" ca="1" si="64"/>
        <v>0</v>
      </c>
      <c r="AX261" s="145">
        <f t="shared" ca="1" si="64"/>
        <v>0</v>
      </c>
      <c r="AY261" s="145">
        <f t="shared" ca="1" si="64"/>
        <v>0</v>
      </c>
      <c r="AZ261" s="145">
        <f t="shared" ca="1" si="64"/>
        <v>0</v>
      </c>
      <c r="BA261" s="145">
        <f t="shared" ca="1" si="64"/>
        <v>0</v>
      </c>
      <c r="BB261" s="145">
        <f t="shared" ca="1" si="64"/>
        <v>0</v>
      </c>
      <c r="BC261" s="145">
        <f t="shared" ca="1" si="64"/>
        <v>0</v>
      </c>
      <c r="BD261" s="145">
        <f t="shared" ca="1" si="51"/>
        <v>0</v>
      </c>
      <c r="BE261" s="145">
        <f t="shared" ca="1" si="52"/>
        <v>0</v>
      </c>
      <c r="BF261" s="145">
        <f t="shared" ca="1" si="53"/>
        <v>0</v>
      </c>
      <c r="BG261" s="145">
        <f t="shared" ca="1" si="54"/>
        <v>0</v>
      </c>
      <c r="BH261" s="145">
        <f t="shared" ca="1" si="55"/>
        <v>0</v>
      </c>
      <c r="BI261" s="145">
        <f t="shared" ca="1" si="56"/>
        <v>0</v>
      </c>
      <c r="BJ261" s="145">
        <f t="shared" ca="1" si="57"/>
        <v>0</v>
      </c>
      <c r="BK261" s="145">
        <f t="shared" ca="1" si="58"/>
        <v>0</v>
      </c>
      <c r="BL261" s="145">
        <f t="shared" ca="1" si="59"/>
        <v>0</v>
      </c>
      <c r="BM261" s="145">
        <f t="shared" ca="1" si="60"/>
        <v>0</v>
      </c>
      <c r="BN261" s="215"/>
      <c r="BO261" s="215"/>
      <c r="BP261" s="215"/>
      <c r="BQ261" s="95"/>
      <c r="BR261" s="95"/>
      <c r="BS261" s="704" t="s">
        <v>1509</v>
      </c>
      <c r="BT261" s="711"/>
      <c r="BU261" s="711"/>
      <c r="BV261" s="522"/>
      <c r="BW261" s="522"/>
    </row>
    <row r="262" spans="1:75" ht="14.25" customHeight="1">
      <c r="B262" s="341" t="b" cm="1">
        <f t="array" ref="B262">B261</f>
        <v>1</v>
      </c>
      <c r="E262" s="518">
        <v>15</v>
      </c>
      <c r="F262" s="3" t="str" cm="1">
        <f t="array" aca="1" ref="F262" ca="1">OFFSET(E262,-1,1)</f>
        <v>1</v>
      </c>
      <c r="I262" s="91" t="s">
        <v>550</v>
      </c>
      <c r="K262" s="91" t="s">
        <v>550</v>
      </c>
      <c r="L262" s="44"/>
      <c r="M262" s="44"/>
      <c r="T262" s="365" t="b" cm="1">
        <f t="array" aca="1" ref="T262" ca="1">T261</f>
        <v>1</v>
      </c>
      <c r="X262" s="1075"/>
      <c r="Z262" s="1065"/>
      <c r="AB262" s="152" t="s">
        <v>680</v>
      </c>
      <c r="AC262" s="146" t="s">
        <v>2127</v>
      </c>
      <c r="AD262" s="26" t="s">
        <v>804</v>
      </c>
      <c r="AE262" s="147">
        <f ca="1">SUMIFS('ИП + источники'!AF$27:AF$145,'ИП + источники'!$F$27:$F$145,$F262,'ИП + источники'!$AC$27:$AC$145,"погашение займов и кредитов из нормативной прибыли")</f>
        <v>0</v>
      </c>
      <c r="AF262" s="147">
        <f ca="1">SUMIFS('ИП + источники'!AG$27:AG$145,'ИП + источники'!$F$27:$F$145,$F262,'ИП + источники'!$AC$27:$AC$145,"погашение займов и кредитов из нормативной прибыли")</f>
        <v>0</v>
      </c>
      <c r="AG262" s="147">
        <f ca="1">SUMIFS('ИП + источники'!AH$27:AH$145,'ИП + источники'!$F$27:$F$145,$F262,'ИП + источники'!$AC$27:$AC$145,"погашение займов и кредитов из нормативной прибыли")</f>
        <v>0</v>
      </c>
      <c r="AH262" s="190">
        <f t="shared" ca="1" si="49"/>
        <v>0</v>
      </c>
      <c r="AI262" s="147">
        <f ca="1">SUMIFS('ИП + источники'!AJ$27:AJ$145,'ИП + источники'!$F$27:$F$145,$F262,'ИП + источники'!$AC$27:$AC$145,"погашение займов и кредитов из нормативной прибыли")</f>
        <v>0</v>
      </c>
      <c r="AJ262" s="147">
        <f ca="1">SUMIFS('ИП + источники'!AK$27:AK$145,'ИП + источники'!$F$27:$F$145,$F262,'ИП + источники'!$AC$27:$AC$145,"погашение займов и кредитов из нормативной прибыли")</f>
        <v>0</v>
      </c>
      <c r="AK262" s="787">
        <f ca="1">SUMIFS('ИП + источники'!AL$27:AL$145,'ИП + источники'!$F$27:$F$145,$F262,'ИП + источники'!$AC$27:$AC$145,"погашение займов и кредитов из нормативной прибыли")</f>
        <v>0</v>
      </c>
      <c r="AL262" s="787">
        <f ca="1">SUMIFS('ИП + источники'!AM$27:AM$145,'ИП + источники'!$F$27:$F$145,$F262,'ИП + источники'!$AC$27:$AC$145,"погашение займов и кредитов из нормативной прибыли")</f>
        <v>0</v>
      </c>
      <c r="AM262" s="787">
        <f ca="1">SUMIFS('ИП + источники'!AN$27:AN$145,'ИП + источники'!$F$27:$F$145,$F262,'ИП + источники'!$AC$27:$AC$145,"погашение займов и кредитов из нормативной прибыли")</f>
        <v>0</v>
      </c>
      <c r="AN262" s="787">
        <f ca="1">SUMIFS('ИП + источники'!AO$27:AO$145,'ИП + источники'!$F$27:$F$145,$F262,'ИП + источники'!$AC$27:$AC$145,"погашение займов и кредитов из нормативной прибыли")</f>
        <v>0</v>
      </c>
      <c r="AO262" s="787">
        <f ca="1">SUMIFS('ИП + источники'!AP$27:AP$145,'ИП + источники'!$F$27:$F$145,$F262,'ИП + источники'!$AC$27:$AC$145,"погашение займов и кредитов из нормативной прибыли")</f>
        <v>0</v>
      </c>
      <c r="AP262" s="787">
        <f ca="1">SUMIFS('ИП + источники'!AQ$27:AQ$145,'ИП + источники'!$F$27:$F$145,$F262,'ИП + источники'!$AC$27:$AC$145,"погашение займов и кредитов из нормативной прибыли")</f>
        <v>0</v>
      </c>
      <c r="AQ262" s="787">
        <f ca="1">SUMIFS('ИП + источники'!AR$27:AR$145,'ИП + источники'!$F$27:$F$145,$F262,'ИП + источники'!$AC$27:$AC$145,"погашение займов и кредитов из нормативной прибыли")</f>
        <v>0</v>
      </c>
      <c r="AR262" s="787">
        <f ca="1">SUMIFS('ИП + источники'!AS$27:AS$145,'ИП + источники'!$F$27:$F$145,$F262,'ИП + источники'!$AC$27:$AC$145,"погашение займов и кредитов из нормативной прибыли")</f>
        <v>0</v>
      </c>
      <c r="AS262" s="787">
        <f ca="1">SUMIFS('ИП + источники'!AT$27:AT$145,'ИП + источники'!$F$27:$F$145,$F262,'ИП + источники'!$AC$27:$AC$145,"погашение займов и кредитов из нормативной прибыли")</f>
        <v>0</v>
      </c>
      <c r="AT262" s="147">
        <f ca="1">SUMIFS('ИП + источники'!AU$27:AU$145,'ИП + источники'!$F$27:$F$145,$F262,'ИП + источники'!$AC$27:$AC$145,"погашение займов и кредитов из нормативной прибыли")</f>
        <v>0</v>
      </c>
      <c r="AU262" s="787">
        <f ca="1">SUMIFS('ИП + источники'!AV$27:AV$145,'ИП + источники'!$F$27:$F$145,$F262,'ИП + источники'!$AC$27:$AC$145,"погашение займов и кредитов из нормативной прибыли")</f>
        <v>0</v>
      </c>
      <c r="AV262" s="787">
        <f ca="1">SUMIFS('ИП + источники'!AW$27:AW$145,'ИП + источники'!$F$27:$F$145,$F262,'ИП + источники'!$AC$27:$AC$145,"погашение займов и кредитов из нормативной прибыли")</f>
        <v>0</v>
      </c>
      <c r="AW262" s="787">
        <f ca="1">SUMIFS('ИП + источники'!AX$27:AX$145,'ИП + источники'!$F$27:$F$145,$F262,'ИП + источники'!$AC$27:$AC$145,"погашение займов и кредитов из нормативной прибыли")</f>
        <v>0</v>
      </c>
      <c r="AX262" s="787">
        <f ca="1">SUMIFS('ИП + источники'!AY$27:AY$145,'ИП + источники'!$F$27:$F$145,$F262,'ИП + источники'!$AC$27:$AC$145,"погашение займов и кредитов из нормативной прибыли")</f>
        <v>0</v>
      </c>
      <c r="AY262" s="787">
        <f ca="1">SUMIFS('ИП + источники'!AZ$27:AZ$145,'ИП + источники'!$F$27:$F$145,$F262,'ИП + источники'!$AC$27:$AC$145,"погашение займов и кредитов из нормативной прибыли")</f>
        <v>0</v>
      </c>
      <c r="AZ262" s="787">
        <f ca="1">SUMIFS('ИП + источники'!BA$27:BA$145,'ИП + источники'!$F$27:$F$145,$F262,'ИП + источники'!$AC$27:$AC$145,"погашение займов и кредитов из нормативной прибыли")</f>
        <v>0</v>
      </c>
      <c r="BA262" s="787">
        <f ca="1">SUMIFS('ИП + источники'!BB$27:BB$145,'ИП + источники'!$F$27:$F$145,$F262,'ИП + источники'!$AC$27:$AC$145,"погашение займов и кредитов из нормативной прибыли")</f>
        <v>0</v>
      </c>
      <c r="BB262" s="787">
        <f ca="1">SUMIFS('ИП + источники'!BC$27:BC$145,'ИП + источники'!$F$27:$F$145,$F262,'ИП + источники'!$AC$27:$AC$145,"погашение займов и кредитов из нормативной прибыли")</f>
        <v>0</v>
      </c>
      <c r="BC262" s="787">
        <f ca="1">SUMIFS('ИП + источники'!BD$27:BD$145,'ИП + источники'!$F$27:$F$145,$F262,'ИП + источники'!$AC$27:$AC$145,"погашение займов и кредитов из нормативной прибыли")</f>
        <v>0</v>
      </c>
      <c r="BD262" s="190">
        <f t="shared" ca="1" si="51"/>
        <v>0</v>
      </c>
      <c r="BE262" s="190">
        <f t="shared" ca="1" si="52"/>
        <v>0</v>
      </c>
      <c r="BF262" s="190">
        <f t="shared" ca="1" si="53"/>
        <v>0</v>
      </c>
      <c r="BG262" s="190">
        <f t="shared" ca="1" si="54"/>
        <v>0</v>
      </c>
      <c r="BH262" s="190">
        <f t="shared" ca="1" si="55"/>
        <v>0</v>
      </c>
      <c r="BI262" s="190">
        <f t="shared" ca="1" si="56"/>
        <v>0</v>
      </c>
      <c r="BJ262" s="190">
        <f t="shared" ca="1" si="57"/>
        <v>0</v>
      </c>
      <c r="BK262" s="190">
        <f t="shared" ca="1" si="58"/>
        <v>0</v>
      </c>
      <c r="BL262" s="190">
        <f t="shared" ca="1" si="59"/>
        <v>0</v>
      </c>
      <c r="BM262" s="190">
        <f t="shared" ca="1" si="60"/>
        <v>0</v>
      </c>
      <c r="BN262" s="215"/>
      <c r="BO262" s="610" t="str">
        <f ca="1">IF(IFERROR(INDEX('ИП + источники'!$K$57:$L$145,MATCH($F262&amp;"2komm",'ИП + источники'!$K$57:$K$145,0),2),"")=0,"",IFERROR(INDEX('ИП + источники'!$K$57:$L$145,MATCH($F262&amp;"2komm",'ИП + источники'!$K$57:$K$145,0),2),""))</f>
        <v/>
      </c>
      <c r="BP262" s="215"/>
      <c r="BS262" s="705" t="s">
        <v>2128</v>
      </c>
    </row>
    <row r="263" spans="1:75" ht="14.25" customHeight="1">
      <c r="B263" s="341" t="b" cm="1">
        <f t="array" ref="B263">B262</f>
        <v>1</v>
      </c>
      <c r="E263" s="518">
        <v>15</v>
      </c>
      <c r="F263" s="3" t="str" cm="1">
        <f t="array" aca="1" ref="F263" ca="1">OFFSET(E263,-1,1)</f>
        <v>1</v>
      </c>
      <c r="I263" s="91" t="s">
        <v>554</v>
      </c>
      <c r="K263" s="91" t="s">
        <v>554</v>
      </c>
      <c r="L263" s="44"/>
      <c r="M263" s="44"/>
      <c r="T263" s="365" t="b" cm="1">
        <f t="array" aca="1" ref="T263" ca="1">T262</f>
        <v>1</v>
      </c>
      <c r="X263" s="1075"/>
      <c r="Z263" s="1065"/>
      <c r="AB263" s="152" t="s">
        <v>683</v>
      </c>
      <c r="AC263" s="146" t="s">
        <v>2129</v>
      </c>
      <c r="AD263" s="26" t="s">
        <v>804</v>
      </c>
      <c r="AE263" s="147">
        <f ca="1">SUMIFS('ИП + источники'!AF$27:AF$145,'ИП + источники'!$F$27:$F$145,$F263,'ИП + источники'!$AC$27:$AC$145,"уплата процентов по кредитам из нормативной прибыли")</f>
        <v>0</v>
      </c>
      <c r="AF263" s="147">
        <f ca="1">SUMIFS('ИП + источники'!AG$27:AG$145,'ИП + источники'!$F$27:$F$145,$F263,'ИП + источники'!$AC$27:$AC$145,"уплата процентов по кредитам из нормативной прибыли")</f>
        <v>0</v>
      </c>
      <c r="AG263" s="147">
        <f ca="1">SUMIFS('ИП + источники'!AH$27:AH$145,'ИП + источники'!$F$27:$F$145,$F263,'ИП + источники'!$AC$27:$AC$145,"уплата процентов по кредитам из нормативной прибыли")</f>
        <v>0</v>
      </c>
      <c r="AH263" s="190">
        <f t="shared" ca="1" si="49"/>
        <v>0</v>
      </c>
      <c r="AI263" s="147">
        <f ca="1">SUMIFS('ИП + источники'!AJ$27:AJ$145,'ИП + источники'!$F$27:$F$145,$F263,'ИП + источники'!$AC$27:$AC$145,"уплата процентов по кредитам из нормативной прибыли")</f>
        <v>0</v>
      </c>
      <c r="AJ263" s="147">
        <f ca="1">SUMIFS('ИП + источники'!AK$27:AK$145,'ИП + источники'!$F$27:$F$145,$F263,'ИП + источники'!$AC$27:$AC$145,"уплата процентов по кредитам из нормативной прибыли")</f>
        <v>0</v>
      </c>
      <c r="AK263" s="787">
        <f ca="1">SUMIFS('ИП + источники'!AL$27:AL$145,'ИП + источники'!$F$27:$F$145,$F263,'ИП + источники'!$AC$27:$AC$145,"уплата процентов по кредитам из нормативной прибыли")</f>
        <v>0</v>
      </c>
      <c r="AL263" s="787">
        <f ca="1">SUMIFS('ИП + источники'!AM$27:AM$145,'ИП + источники'!$F$27:$F$145,$F263,'ИП + источники'!$AC$27:$AC$145,"уплата процентов по кредитам из нормативной прибыли")</f>
        <v>0</v>
      </c>
      <c r="AM263" s="787">
        <f ca="1">SUMIFS('ИП + источники'!AN$27:AN$145,'ИП + источники'!$F$27:$F$145,$F263,'ИП + источники'!$AC$27:$AC$145,"уплата процентов по кредитам из нормативной прибыли")</f>
        <v>0</v>
      </c>
      <c r="AN263" s="787">
        <f ca="1">SUMIFS('ИП + источники'!AO$27:AO$145,'ИП + источники'!$F$27:$F$145,$F263,'ИП + источники'!$AC$27:$AC$145,"уплата процентов по кредитам из нормативной прибыли")</f>
        <v>0</v>
      </c>
      <c r="AO263" s="787">
        <f ca="1">SUMIFS('ИП + источники'!AP$27:AP$145,'ИП + источники'!$F$27:$F$145,$F263,'ИП + источники'!$AC$27:$AC$145,"уплата процентов по кредитам из нормативной прибыли")</f>
        <v>0</v>
      </c>
      <c r="AP263" s="787">
        <f ca="1">SUMIFS('ИП + источники'!AQ$27:AQ$145,'ИП + источники'!$F$27:$F$145,$F263,'ИП + источники'!$AC$27:$AC$145,"уплата процентов по кредитам из нормативной прибыли")</f>
        <v>0</v>
      </c>
      <c r="AQ263" s="787">
        <f ca="1">SUMIFS('ИП + источники'!AR$27:AR$145,'ИП + источники'!$F$27:$F$145,$F263,'ИП + источники'!$AC$27:$AC$145,"уплата процентов по кредитам из нормативной прибыли")</f>
        <v>0</v>
      </c>
      <c r="AR263" s="787">
        <f ca="1">SUMIFS('ИП + источники'!AS$27:AS$145,'ИП + источники'!$F$27:$F$145,$F263,'ИП + источники'!$AC$27:$AC$145,"уплата процентов по кредитам из нормативной прибыли")</f>
        <v>0</v>
      </c>
      <c r="AS263" s="787">
        <f ca="1">SUMIFS('ИП + источники'!AT$27:AT$145,'ИП + источники'!$F$27:$F$145,$F263,'ИП + источники'!$AC$27:$AC$145,"уплата процентов по кредитам из нормативной прибыли")</f>
        <v>0</v>
      </c>
      <c r="AT263" s="147">
        <f ca="1">SUMIFS('ИП + источники'!AU$27:AU$145,'ИП + источники'!$F$27:$F$145,$F263,'ИП + источники'!$AC$27:$AC$145,"уплата процентов по кредитам из нормативной прибыли")</f>
        <v>0</v>
      </c>
      <c r="AU263" s="787">
        <f ca="1">SUMIFS('ИП + источники'!AV$27:AV$145,'ИП + источники'!$F$27:$F$145,$F263,'ИП + источники'!$AC$27:$AC$145,"уплата процентов по кредитам из нормативной прибыли")</f>
        <v>0</v>
      </c>
      <c r="AV263" s="787">
        <f ca="1">SUMIFS('ИП + источники'!AW$27:AW$145,'ИП + источники'!$F$27:$F$145,$F263,'ИП + источники'!$AC$27:$AC$145,"уплата процентов по кредитам из нормативной прибыли")</f>
        <v>0</v>
      </c>
      <c r="AW263" s="787">
        <f ca="1">SUMIFS('ИП + источники'!AX$27:AX$145,'ИП + источники'!$F$27:$F$145,$F263,'ИП + источники'!$AC$27:$AC$145,"уплата процентов по кредитам из нормативной прибыли")</f>
        <v>0</v>
      </c>
      <c r="AX263" s="787">
        <f ca="1">SUMIFS('ИП + источники'!AY$27:AY$145,'ИП + источники'!$F$27:$F$145,$F263,'ИП + источники'!$AC$27:$AC$145,"уплата процентов по кредитам из нормативной прибыли")</f>
        <v>0</v>
      </c>
      <c r="AY263" s="787">
        <f ca="1">SUMIFS('ИП + источники'!AZ$27:AZ$145,'ИП + источники'!$F$27:$F$145,$F263,'ИП + источники'!$AC$27:$AC$145,"уплата процентов по кредитам из нормативной прибыли")</f>
        <v>0</v>
      </c>
      <c r="AZ263" s="787">
        <f ca="1">SUMIFS('ИП + источники'!BA$27:BA$145,'ИП + источники'!$F$27:$F$145,$F263,'ИП + источники'!$AC$27:$AC$145,"уплата процентов по кредитам из нормативной прибыли")</f>
        <v>0</v>
      </c>
      <c r="BA263" s="787">
        <f ca="1">SUMIFS('ИП + источники'!BB$27:BB$145,'ИП + источники'!$F$27:$F$145,$F263,'ИП + источники'!$AC$27:$AC$145,"уплата процентов по кредитам из нормативной прибыли")</f>
        <v>0</v>
      </c>
      <c r="BB263" s="787">
        <f ca="1">SUMIFS('ИП + источники'!BC$27:BC$145,'ИП + источники'!$F$27:$F$145,$F263,'ИП + источники'!$AC$27:$AC$145,"уплата процентов по кредитам из нормативной прибыли")</f>
        <v>0</v>
      </c>
      <c r="BC263" s="787">
        <f ca="1">SUMIFS('ИП + источники'!BD$27:BD$145,'ИП + источники'!$F$27:$F$145,$F263,'ИП + источники'!$AC$27:$AC$145,"уплата процентов по кредитам из нормативной прибыли")</f>
        <v>0</v>
      </c>
      <c r="BD263" s="190">
        <f t="shared" ca="1" si="51"/>
        <v>0</v>
      </c>
      <c r="BE263" s="190">
        <f t="shared" ca="1" si="52"/>
        <v>0</v>
      </c>
      <c r="BF263" s="190">
        <f t="shared" ca="1" si="53"/>
        <v>0</v>
      </c>
      <c r="BG263" s="190">
        <f t="shared" ca="1" si="54"/>
        <v>0</v>
      </c>
      <c r="BH263" s="190">
        <f t="shared" ca="1" si="55"/>
        <v>0</v>
      </c>
      <c r="BI263" s="190">
        <f t="shared" ca="1" si="56"/>
        <v>0</v>
      </c>
      <c r="BJ263" s="190">
        <f t="shared" ca="1" si="57"/>
        <v>0</v>
      </c>
      <c r="BK263" s="190">
        <f t="shared" ca="1" si="58"/>
        <v>0</v>
      </c>
      <c r="BL263" s="190">
        <f t="shared" ca="1" si="59"/>
        <v>0</v>
      </c>
      <c r="BM263" s="190">
        <f t="shared" ca="1" si="60"/>
        <v>0</v>
      </c>
      <c r="BN263" s="215"/>
      <c r="BO263" s="610" t="str">
        <f ca="1">IF(IFERROR(INDEX('ИП + источники'!$K$57:$L$145,MATCH($F263&amp;"3komm",'ИП + источники'!$K$57:$K$145,0),2),"")=0,"",IFERROR(INDEX('ИП + источники'!$K$57:$L$145,MATCH($F263&amp;"3komm",'ИП + источники'!$K$57:$K$145,0),2),""))</f>
        <v/>
      </c>
      <c r="BP263" s="215"/>
      <c r="BS263" s="705" t="s">
        <v>2130</v>
      </c>
    </row>
    <row r="264" spans="1:75" ht="14.25" customHeight="1">
      <c r="B264" s="341" t="b" cm="1">
        <f t="array" ref="B264">B263</f>
        <v>1</v>
      </c>
      <c r="E264" s="518">
        <v>15</v>
      </c>
      <c r="F264" s="3" t="str" cm="1">
        <f t="array" aca="1" ref="F264" ca="1">OFFSET(E264,-1,1)</f>
        <v>1</v>
      </c>
      <c r="I264" s="91" t="s">
        <v>770</v>
      </c>
      <c r="K264" s="91" t="s">
        <v>770</v>
      </c>
      <c r="L264" s="44" t="s">
        <v>569</v>
      </c>
      <c r="M264" s="44"/>
      <c r="T264" s="365" t="b" cm="1">
        <f t="array" aca="1" ref="T264" ca="1">T263</f>
        <v>1</v>
      </c>
      <c r="X264" s="1075"/>
      <c r="Z264" s="1065"/>
      <c r="AB264" s="152" t="s">
        <v>952</v>
      </c>
      <c r="AC264" s="146" t="s">
        <v>2131</v>
      </c>
      <c r="AD264" s="26" t="s">
        <v>804</v>
      </c>
      <c r="AE264" s="147">
        <f ca="1">SUMIFS('ИП + источники'!AF$27:AF$145,'ИП + источники'!$F$27:$F$145,$F264,'ИП + источники'!$AC$27:$AC$145,"Прибыль на капвложения")</f>
        <v>0</v>
      </c>
      <c r="AF264" s="147">
        <f ca="1">SUMIFS('ИП + источники'!AG$27:AG$145,'ИП + источники'!$F$27:$F$145,$F264,'ИП + источники'!$AC$27:$AC$145,"Прибыль на капвложения")</f>
        <v>0</v>
      </c>
      <c r="AG264" s="147">
        <f ca="1">SUMIFS('ИП + источники'!AH$27:AH$145,'ИП + источники'!$F$27:$F$145,$F264,'ИП + источники'!$AC$27:$AC$145,"Прибыль на капвложения")</f>
        <v>0</v>
      </c>
      <c r="AH264" s="190">
        <f t="shared" ca="1" si="49"/>
        <v>0</v>
      </c>
      <c r="AI264" s="147">
        <f ca="1">SUMIFS('ИП + источники'!AJ$27:AJ$145,'ИП + источники'!$F$27:$F$145,$F264,'ИП + источники'!$AC$27:$AC$145,"Прибыль на капвложения")</f>
        <v>0</v>
      </c>
      <c r="AJ264" s="147">
        <f ca="1">SUMIFS('ИП + источники'!AK$27:AK$145,'ИП + источники'!$F$27:$F$145,$F264,'ИП + источники'!$AC$27:$AC$145,"Прибыль на капвложения")</f>
        <v>0</v>
      </c>
      <c r="AK264" s="787">
        <f ca="1">SUMIFS('ИП + источники'!AL$27:AL$145,'ИП + источники'!$F$27:$F$145,$F264,'ИП + источники'!$AC$27:$AC$145,"Прибыль на капвложения")</f>
        <v>0</v>
      </c>
      <c r="AL264" s="787">
        <f ca="1">SUMIFS('ИП + источники'!AM$27:AM$145,'ИП + источники'!$F$27:$F$145,$F264,'ИП + источники'!$AC$27:$AC$145,"Прибыль на капвложения")</f>
        <v>0</v>
      </c>
      <c r="AM264" s="787">
        <f ca="1">SUMIFS('ИП + источники'!AN$27:AN$145,'ИП + источники'!$F$27:$F$145,$F264,'ИП + источники'!$AC$27:$AC$145,"Прибыль на капвложения")</f>
        <v>0</v>
      </c>
      <c r="AN264" s="787">
        <f ca="1">SUMIFS('ИП + источники'!AO$27:AO$145,'ИП + источники'!$F$27:$F$145,$F264,'ИП + источники'!$AC$27:$AC$145,"Прибыль на капвложения")</f>
        <v>0</v>
      </c>
      <c r="AO264" s="787">
        <f ca="1">SUMIFS('ИП + источники'!AP$27:AP$145,'ИП + источники'!$F$27:$F$145,$F264,'ИП + источники'!$AC$27:$AC$145,"Прибыль на капвложения")</f>
        <v>0</v>
      </c>
      <c r="AP264" s="787">
        <f ca="1">SUMIFS('ИП + источники'!AQ$27:AQ$145,'ИП + источники'!$F$27:$F$145,$F264,'ИП + источники'!$AC$27:$AC$145,"Прибыль на капвложения")</f>
        <v>0</v>
      </c>
      <c r="AQ264" s="787">
        <f ca="1">SUMIFS('ИП + источники'!AR$27:AR$145,'ИП + источники'!$F$27:$F$145,$F264,'ИП + источники'!$AC$27:$AC$145,"Прибыль на капвложения")</f>
        <v>0</v>
      </c>
      <c r="AR264" s="787">
        <f ca="1">SUMIFS('ИП + источники'!AS$27:AS$145,'ИП + источники'!$F$27:$F$145,$F264,'ИП + источники'!$AC$27:$AC$145,"Прибыль на капвложения")</f>
        <v>0</v>
      </c>
      <c r="AS264" s="787">
        <f ca="1">SUMIFS('ИП + источники'!AT$27:AT$145,'ИП + источники'!$F$27:$F$145,$F264,'ИП + источники'!$AC$27:$AC$145,"Прибыль на капвложения")</f>
        <v>0</v>
      </c>
      <c r="AT264" s="147">
        <f ca="1">SUMIFS('ИП + источники'!AU$27:AU$145,'ИП + источники'!$F$27:$F$145,$F264,'ИП + источники'!$AC$27:$AC$145,"Прибыль на капвложения")</f>
        <v>0</v>
      </c>
      <c r="AU264" s="787">
        <f ca="1">SUMIFS('ИП + источники'!AV$27:AV$145,'ИП + источники'!$F$27:$F$145,$F264,'ИП + источники'!$AC$27:$AC$145,"Прибыль на капвложения")</f>
        <v>0</v>
      </c>
      <c r="AV264" s="787">
        <f ca="1">SUMIFS('ИП + источники'!AW$27:AW$145,'ИП + источники'!$F$27:$F$145,$F264,'ИП + источники'!$AC$27:$AC$145,"Прибыль на капвложения")</f>
        <v>0</v>
      </c>
      <c r="AW264" s="787">
        <f ca="1">SUMIFS('ИП + источники'!AX$27:AX$145,'ИП + источники'!$F$27:$F$145,$F264,'ИП + источники'!$AC$27:$AC$145,"Прибыль на капвложения")</f>
        <v>0</v>
      </c>
      <c r="AX264" s="787">
        <f ca="1">SUMIFS('ИП + источники'!AY$27:AY$145,'ИП + источники'!$F$27:$F$145,$F264,'ИП + источники'!$AC$27:$AC$145,"Прибыль на капвложения")</f>
        <v>0</v>
      </c>
      <c r="AY264" s="787">
        <f ca="1">SUMIFS('ИП + источники'!AZ$27:AZ$145,'ИП + источники'!$F$27:$F$145,$F264,'ИП + источники'!$AC$27:$AC$145,"Прибыль на капвложения")</f>
        <v>0</v>
      </c>
      <c r="AZ264" s="787">
        <f ca="1">SUMIFS('ИП + источники'!BA$27:BA$145,'ИП + источники'!$F$27:$F$145,$F264,'ИП + источники'!$AC$27:$AC$145,"Прибыль на капвложения")</f>
        <v>0</v>
      </c>
      <c r="BA264" s="787">
        <f ca="1">SUMIFS('ИП + источники'!BB$27:BB$145,'ИП + источники'!$F$27:$F$145,$F264,'ИП + источники'!$AC$27:$AC$145,"Прибыль на капвложения")</f>
        <v>0</v>
      </c>
      <c r="BB264" s="787">
        <f ca="1">SUMIFS('ИП + источники'!BC$27:BC$145,'ИП + источники'!$F$27:$F$145,$F264,'ИП + источники'!$AC$27:$AC$145,"Прибыль на капвложения")</f>
        <v>0</v>
      </c>
      <c r="BC264" s="787">
        <f ca="1">SUMIFS('ИП + источники'!BD$27:BD$145,'ИП + источники'!$F$27:$F$145,$F264,'ИП + источники'!$AC$27:$AC$145,"Прибыль на капвложения")</f>
        <v>0</v>
      </c>
      <c r="BD264" s="190">
        <f t="shared" ca="1" si="51"/>
        <v>0</v>
      </c>
      <c r="BE264" s="190">
        <f t="shared" ca="1" si="52"/>
        <v>0</v>
      </c>
      <c r="BF264" s="190">
        <f t="shared" ca="1" si="53"/>
        <v>0</v>
      </c>
      <c r="BG264" s="190">
        <f t="shared" ca="1" si="54"/>
        <v>0</v>
      </c>
      <c r="BH264" s="190">
        <f t="shared" ca="1" si="55"/>
        <v>0</v>
      </c>
      <c r="BI264" s="190">
        <f t="shared" ca="1" si="56"/>
        <v>0</v>
      </c>
      <c r="BJ264" s="190">
        <f t="shared" ca="1" si="57"/>
        <v>0</v>
      </c>
      <c r="BK264" s="190">
        <f t="shared" ca="1" si="58"/>
        <v>0</v>
      </c>
      <c r="BL264" s="190">
        <f t="shared" ca="1" si="59"/>
        <v>0</v>
      </c>
      <c r="BM264" s="190">
        <f t="shared" ca="1" si="60"/>
        <v>0</v>
      </c>
      <c r="BN264" s="215"/>
      <c r="BO264" s="610" t="str">
        <f ca="1">IF(IFERROR(INDEX('ИП + источники'!$K$57:$L$145,MATCH($F264&amp;"1komm",'ИП + источники'!$K$57:$K$145,0),2),"")=0,"",IFERROR(INDEX('ИП + источники'!$K$57:$L$145,MATCH($F264&amp;"1komm",'ИП + источники'!$K$57:$K$145,0),2),""))</f>
        <v/>
      </c>
      <c r="BP264" s="215"/>
      <c r="BS264" s="705" t="s">
        <v>1833</v>
      </c>
    </row>
    <row r="265" spans="1:75" ht="36.4" customHeight="1">
      <c r="B265" s="341" t="b" cm="1">
        <f t="array" ref="B265">B264</f>
        <v>1</v>
      </c>
      <c r="E265" s="518">
        <v>22.5</v>
      </c>
      <c r="F265" s="3" t="str" cm="1">
        <f t="array" aca="1" ref="F265" ca="1">OFFSET(E265,-1,1)</f>
        <v>1</v>
      </c>
      <c r="G265" s="91" t="s">
        <v>2132</v>
      </c>
      <c r="I265" s="91" t="s">
        <v>954</v>
      </c>
      <c r="K265" s="91" t="s">
        <v>954</v>
      </c>
      <c r="L265" s="44" t="s">
        <v>573</v>
      </c>
      <c r="M265" s="44"/>
      <c r="T265" s="365" t="b" cm="1">
        <f t="array" aca="1" ref="T265" ca="1">T264</f>
        <v>1</v>
      </c>
      <c r="X265" s="1075"/>
      <c r="Z265" s="1065"/>
      <c r="AB265" s="152" t="s">
        <v>955</v>
      </c>
      <c r="AC265" s="146" t="s">
        <v>2133</v>
      </c>
      <c r="AD265" s="26" t="s">
        <v>804</v>
      </c>
      <c r="AE265" s="147"/>
      <c r="AF265" s="147">
        <v>1423.047</v>
      </c>
      <c r="AG265" s="147"/>
      <c r="AH265" s="190">
        <f t="shared" si="49"/>
        <v>-1423.047</v>
      </c>
      <c r="AI265" s="147">
        <v>0</v>
      </c>
      <c r="AJ265" s="147">
        <v>1626.03</v>
      </c>
      <c r="AK265" s="787"/>
      <c r="AL265" s="787"/>
      <c r="AM265" s="787"/>
      <c r="AN265" s="787"/>
      <c r="AO265" s="787"/>
      <c r="AP265" s="787"/>
      <c r="AQ265" s="787"/>
      <c r="AR265" s="787"/>
      <c r="AS265" s="787"/>
      <c r="AT265" s="147">
        <v>0</v>
      </c>
      <c r="AU265" s="787"/>
      <c r="AV265" s="787"/>
      <c r="AW265" s="787"/>
      <c r="AX265" s="787"/>
      <c r="AY265" s="787"/>
      <c r="AZ265" s="787"/>
      <c r="BA265" s="787"/>
      <c r="BB265" s="787"/>
      <c r="BC265" s="787"/>
      <c r="BD265" s="190">
        <f t="shared" si="51"/>
        <v>0</v>
      </c>
      <c r="BE265" s="190">
        <f t="shared" si="52"/>
        <v>0</v>
      </c>
      <c r="BF265" s="190">
        <f t="shared" si="53"/>
        <v>0</v>
      </c>
      <c r="BG265" s="190">
        <f t="shared" si="54"/>
        <v>0</v>
      </c>
      <c r="BH265" s="190">
        <f t="shared" si="55"/>
        <v>0</v>
      </c>
      <c r="BI265" s="190">
        <f t="shared" si="56"/>
        <v>0</v>
      </c>
      <c r="BJ265" s="190">
        <f t="shared" si="57"/>
        <v>0</v>
      </c>
      <c r="BK265" s="190">
        <f t="shared" si="58"/>
        <v>0</v>
      </c>
      <c r="BL265" s="190">
        <f t="shared" si="59"/>
        <v>0</v>
      </c>
      <c r="BM265" s="190">
        <f t="shared" si="60"/>
        <v>0</v>
      </c>
      <c r="BN265" s="215"/>
      <c r="BO265" s="215"/>
      <c r="BP265" s="215" t="s">
        <v>1601</v>
      </c>
      <c r="BS265" s="705" t="s">
        <v>2134</v>
      </c>
    </row>
    <row r="266" spans="1:75" ht="54.75" hidden="1" customHeight="1">
      <c r="B266" s="341" t="b">
        <f>AND(method_reg="Метод индексации",STATUS_GO="да")</f>
        <v>0</v>
      </c>
      <c r="E266" s="518">
        <v>15</v>
      </c>
      <c r="F266" s="3" t="str" cm="1">
        <f t="array" aca="1" ref="F266" ca="1">OFFSET(E266,-1,1)</f>
        <v>1</v>
      </c>
      <c r="G266" s="91" t="s">
        <v>1836</v>
      </c>
      <c r="I266" s="91" t="s">
        <v>511</v>
      </c>
      <c r="K266" s="91" t="s">
        <v>511</v>
      </c>
      <c r="L266" s="44" t="s">
        <v>577</v>
      </c>
      <c r="M266" s="44"/>
      <c r="T266" s="365" t="b" cm="1">
        <f t="array" aca="1" ref="T266" ca="1">T265</f>
        <v>1</v>
      </c>
      <c r="X266" s="1075"/>
      <c r="Z266" s="1065"/>
      <c r="AB266" s="152" t="s">
        <v>447</v>
      </c>
      <c r="AC266" s="358" t="s">
        <v>1836</v>
      </c>
      <c r="AD266" s="26" t="s">
        <v>804</v>
      </c>
      <c r="AE266" s="787">
        <v>1964.2655380444</v>
      </c>
      <c r="AF266" s="787">
        <v>2160.8960000000002</v>
      </c>
      <c r="AG266" s="787" cm="1">
        <f t="array" ref="AG266">AE266</f>
        <v>1964.2655380444</v>
      </c>
      <c r="AH266" s="190">
        <f t="shared" si="49"/>
        <v>-196.63046195560014</v>
      </c>
      <c r="AI266" s="787">
        <v>2146.1499833063999</v>
      </c>
      <c r="AJ266" s="787">
        <v>3240.88</v>
      </c>
      <c r="AK266" s="787"/>
      <c r="AL266" s="787"/>
      <c r="AM266" s="787"/>
      <c r="AN266" s="787"/>
      <c r="AO266" s="787"/>
      <c r="AP266" s="787"/>
      <c r="AQ266" s="787"/>
      <c r="AR266" s="787"/>
      <c r="AS266" s="787"/>
      <c r="AT266" s="787">
        <v>2117.0048227181501</v>
      </c>
      <c r="AU266" s="787"/>
      <c r="AV266" s="787"/>
      <c r="AW266" s="787"/>
      <c r="AX266" s="787"/>
      <c r="AY266" s="787"/>
      <c r="AZ266" s="787"/>
      <c r="BA266" s="787"/>
      <c r="BB266" s="787"/>
      <c r="BC266" s="787"/>
      <c r="BD266" s="190">
        <f t="shared" si="51"/>
        <v>-1.3580206795868126</v>
      </c>
      <c r="BE266" s="190">
        <f t="shared" si="52"/>
        <v>-100</v>
      </c>
      <c r="BF266" s="190">
        <f t="shared" si="53"/>
        <v>0</v>
      </c>
      <c r="BG266" s="190">
        <f t="shared" si="54"/>
        <v>0</v>
      </c>
      <c r="BH266" s="190">
        <f t="shared" si="55"/>
        <v>0</v>
      </c>
      <c r="BI266" s="190">
        <f t="shared" si="56"/>
        <v>0</v>
      </c>
      <c r="BJ266" s="190">
        <f t="shared" si="57"/>
        <v>0</v>
      </c>
      <c r="BK266" s="190">
        <f t="shared" si="58"/>
        <v>0</v>
      </c>
      <c r="BL266" s="190">
        <f t="shared" si="59"/>
        <v>0</v>
      </c>
      <c r="BM266" s="190">
        <f t="shared" si="60"/>
        <v>0</v>
      </c>
      <c r="BN266" s="784"/>
      <c r="BO266" s="784" t="s">
        <v>2248</v>
      </c>
      <c r="BP266" s="784"/>
      <c r="BS266" s="705" t="s">
        <v>1837</v>
      </c>
    </row>
    <row r="267" spans="1:75" ht="14.25" hidden="1" customHeight="1">
      <c r="B267" s="653" t="b">
        <f>method_reg="Метод обеспечения доходности инвестированного капитала"</f>
        <v>0</v>
      </c>
      <c r="E267" s="518">
        <v>15</v>
      </c>
      <c r="F267" s="3" t="str" cm="1">
        <f t="array" aca="1" ref="F267" ca="1">OFFSET(E267,-1,1)</f>
        <v>1</v>
      </c>
      <c r="K267" s="44" t="s">
        <v>331</v>
      </c>
      <c r="L267" s="44"/>
      <c r="M267" s="44"/>
      <c r="T267" s="365" t="b" cm="1">
        <f t="array" aca="1" ref="T267" ca="1">T266</f>
        <v>1</v>
      </c>
      <c r="X267" s="1075"/>
      <c r="Z267" s="1065"/>
      <c r="AB267" s="150" t="s">
        <v>433</v>
      </c>
      <c r="AC267" s="151" t="s">
        <v>2135</v>
      </c>
      <c r="AD267" s="143" t="s">
        <v>804</v>
      </c>
      <c r="AE267" s="783"/>
      <c r="AF267" s="783"/>
      <c r="AG267" s="783"/>
      <c r="AH267" s="145">
        <f t="shared" si="49"/>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145">
        <f t="shared" si="51"/>
        <v>0</v>
      </c>
      <c r="BE267" s="145">
        <f t="shared" si="52"/>
        <v>0</v>
      </c>
      <c r="BF267" s="145">
        <f t="shared" si="53"/>
        <v>0</v>
      </c>
      <c r="BG267" s="145">
        <f t="shared" si="54"/>
        <v>0</v>
      </c>
      <c r="BH267" s="145">
        <f t="shared" si="55"/>
        <v>0</v>
      </c>
      <c r="BI267" s="145">
        <f t="shared" si="56"/>
        <v>0</v>
      </c>
      <c r="BJ267" s="145">
        <f t="shared" si="57"/>
        <v>0</v>
      </c>
      <c r="BK267" s="145">
        <f t="shared" si="58"/>
        <v>0</v>
      </c>
      <c r="BL267" s="145">
        <f t="shared" si="59"/>
        <v>0</v>
      </c>
      <c r="BM267" s="145">
        <f t="shared" si="60"/>
        <v>0</v>
      </c>
      <c r="BN267" s="786"/>
      <c r="BO267" s="786"/>
      <c r="BP267" s="786"/>
      <c r="BS267" s="705" t="s">
        <v>2136</v>
      </c>
    </row>
    <row r="268" spans="1:75" ht="14.25" hidden="1" customHeight="1">
      <c r="B268" s="653" t="b" cm="1">
        <f t="array" ref="B268">B267</f>
        <v>0</v>
      </c>
      <c r="E268" s="518">
        <v>15</v>
      </c>
      <c r="F268" s="3" t="str" cm="1">
        <f t="array" aca="1" ref="F268" ca="1">OFFSET(E268,-1,1)</f>
        <v>1</v>
      </c>
      <c r="K268" s="44" t="s">
        <v>536</v>
      </c>
      <c r="L268" s="44"/>
      <c r="M268" s="44"/>
      <c r="T268" s="365" t="b" cm="1">
        <f t="array" aca="1" ref="T268" ca="1">T267</f>
        <v>1</v>
      </c>
      <c r="X268" s="1075"/>
      <c r="Z268" s="1065"/>
      <c r="AB268" s="152" t="s">
        <v>673</v>
      </c>
      <c r="AC268" s="146" t="s">
        <v>2137</v>
      </c>
      <c r="AD268" s="26" t="s">
        <v>804</v>
      </c>
      <c r="AE268" s="787"/>
      <c r="AF268" s="787"/>
      <c r="AG268" s="787"/>
      <c r="AH268" s="55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52"/>
      <c r="BE268" s="552"/>
      <c r="BF268" s="552"/>
      <c r="BG268" s="552"/>
      <c r="BH268" s="552"/>
      <c r="BI268" s="552"/>
      <c r="BJ268" s="552"/>
      <c r="BK268" s="552"/>
      <c r="BL268" s="552"/>
      <c r="BM268" s="552"/>
      <c r="BN268" s="784"/>
      <c r="BO268" s="784"/>
      <c r="BP268" s="784"/>
      <c r="BS268" s="705" t="s">
        <v>2138</v>
      </c>
    </row>
    <row r="269" spans="1:75" ht="14.25" hidden="1" customHeight="1">
      <c r="B269" s="653" t="b" cm="1">
        <f t="array" ref="B269">B268</f>
        <v>0</v>
      </c>
      <c r="E269" s="518">
        <v>15</v>
      </c>
      <c r="F269" s="3" t="str" cm="1">
        <f t="array" aca="1" ref="F269" ca="1">OFFSET(E269,-1,1)</f>
        <v>1</v>
      </c>
      <c r="K269" s="44" t="s">
        <v>540</v>
      </c>
      <c r="L269" s="44"/>
      <c r="M269" s="44"/>
      <c r="T269" s="365" t="b" cm="1">
        <f t="array" aca="1" ref="T269" ca="1">T268</f>
        <v>1</v>
      </c>
      <c r="X269" s="1075"/>
      <c r="Z269" s="1065"/>
      <c r="AB269" s="152" t="s">
        <v>676</v>
      </c>
      <c r="AC269" s="146" t="s">
        <v>2139</v>
      </c>
      <c r="AD269" s="26" t="s">
        <v>2140</v>
      </c>
      <c r="AE269" s="787"/>
      <c r="AF269" s="787"/>
      <c r="AG269" s="787"/>
      <c r="AH269" s="55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52"/>
      <c r="BE269" s="552"/>
      <c r="BF269" s="552"/>
      <c r="BG269" s="552"/>
      <c r="BH269" s="552"/>
      <c r="BI269" s="552"/>
      <c r="BJ269" s="552"/>
      <c r="BK269" s="552"/>
      <c r="BL269" s="552"/>
      <c r="BM269" s="552"/>
      <c r="BN269" s="784"/>
      <c r="BO269" s="784"/>
      <c r="BP269" s="784"/>
      <c r="BS269" s="705" t="s">
        <v>2141</v>
      </c>
    </row>
    <row r="270" spans="1:75" ht="14.25" hidden="1" customHeight="1">
      <c r="B270" s="653" t="b" cm="1">
        <f t="array" ref="B270">B269</f>
        <v>0</v>
      </c>
      <c r="E270" s="518">
        <v>15</v>
      </c>
      <c r="F270" s="3" t="str" cm="1">
        <f t="array" aca="1" ref="F270" ca="1">OFFSET(E270,-1,1)</f>
        <v>1</v>
      </c>
      <c r="K270" s="44" t="s">
        <v>330</v>
      </c>
      <c r="L270" s="44"/>
      <c r="M270" s="44"/>
      <c r="T270" s="365" t="b" cm="1">
        <f t="array" aca="1" ref="T270" ca="1">T269</f>
        <v>1</v>
      </c>
      <c r="X270" s="1075"/>
      <c r="Z270" s="1065"/>
      <c r="AB270" s="150" t="s">
        <v>444</v>
      </c>
      <c r="AC270" s="151" t="s">
        <v>2142</v>
      </c>
      <c r="AD270" s="143" t="s">
        <v>804</v>
      </c>
      <c r="AE270" s="783"/>
      <c r="AF270" s="783"/>
      <c r="AG270" s="783"/>
      <c r="AH270" s="145">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145">
        <f>IF(AI270=0,0,(AT270-AI270)/AI270*100)</f>
        <v>0</v>
      </c>
      <c r="BE270" s="145">
        <f t="shared" ref="BE270:BM270" si="65">IF(AT270=0,0,(AU270-AT270)/AT270*100)</f>
        <v>0</v>
      </c>
      <c r="BF270" s="145">
        <f t="shared" si="65"/>
        <v>0</v>
      </c>
      <c r="BG270" s="145">
        <f t="shared" si="65"/>
        <v>0</v>
      </c>
      <c r="BH270" s="145">
        <f t="shared" si="65"/>
        <v>0</v>
      </c>
      <c r="BI270" s="145">
        <f t="shared" si="65"/>
        <v>0</v>
      </c>
      <c r="BJ270" s="145">
        <f t="shared" si="65"/>
        <v>0</v>
      </c>
      <c r="BK270" s="145">
        <f t="shared" si="65"/>
        <v>0</v>
      </c>
      <c r="BL270" s="145">
        <f t="shared" si="65"/>
        <v>0</v>
      </c>
      <c r="BM270" s="145">
        <f t="shared" si="65"/>
        <v>0</v>
      </c>
      <c r="BN270" s="786"/>
      <c r="BO270" s="786"/>
      <c r="BP270" s="786"/>
      <c r="BS270" s="705" t="s">
        <v>2143</v>
      </c>
    </row>
    <row r="271" spans="1:75" ht="14.25" hidden="1" customHeight="1">
      <c r="B271" s="653" t="b" cm="1">
        <f t="array" ref="B271">B270</f>
        <v>0</v>
      </c>
      <c r="E271" s="518">
        <v>15</v>
      </c>
      <c r="F271" s="3" t="str" cm="1">
        <f t="array" aca="1" ref="F271" ca="1">OFFSET(E271,-1,1)</f>
        <v>1</v>
      </c>
      <c r="K271" s="44" t="s">
        <v>550</v>
      </c>
      <c r="L271" s="44"/>
      <c r="M271" s="44"/>
      <c r="T271" s="365" t="b" cm="1">
        <f t="array" aca="1" ref="T271" ca="1">T270</f>
        <v>1</v>
      </c>
      <c r="X271" s="1075"/>
      <c r="Z271" s="1065"/>
      <c r="AB271" s="152" t="s">
        <v>680</v>
      </c>
      <c r="AC271" s="146" t="s">
        <v>2144</v>
      </c>
      <c r="AD271" s="26" t="s">
        <v>804</v>
      </c>
      <c r="AE271" s="787"/>
      <c r="AF271" s="787"/>
      <c r="AG271" s="787"/>
      <c r="AH271" s="55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52"/>
      <c r="BE271" s="552"/>
      <c r="BF271" s="552"/>
      <c r="BG271" s="552"/>
      <c r="BH271" s="552"/>
      <c r="BI271" s="552"/>
      <c r="BJ271" s="552"/>
      <c r="BK271" s="552"/>
      <c r="BL271" s="552"/>
      <c r="BM271" s="552"/>
      <c r="BN271" s="784"/>
      <c r="BO271" s="784"/>
      <c r="BP271" s="784"/>
      <c r="BS271" s="705" t="s">
        <v>2145</v>
      </c>
    </row>
    <row r="272" spans="1:75" ht="14.25" hidden="1" customHeight="1">
      <c r="B272" s="653" t="b" cm="1">
        <f t="array" ref="B272">B271</f>
        <v>0</v>
      </c>
      <c r="E272" s="518">
        <v>15</v>
      </c>
      <c r="F272" s="3" t="str" cm="1">
        <f t="array" aca="1" ref="F272" ca="1">OFFSET(E272,-1,1)</f>
        <v>1</v>
      </c>
      <c r="K272" s="44" t="s">
        <v>554</v>
      </c>
      <c r="L272" s="44"/>
      <c r="M272" s="44"/>
      <c r="T272" s="365" t="b" cm="1">
        <f t="array" aca="1" ref="T272" ca="1">T271</f>
        <v>1</v>
      </c>
      <c r="X272" s="1075"/>
      <c r="Z272" s="1065"/>
      <c r="AB272" s="152" t="s">
        <v>683</v>
      </c>
      <c r="AC272" s="146" t="s">
        <v>2146</v>
      </c>
      <c r="AD272" s="26" t="s">
        <v>456</v>
      </c>
      <c r="AE272" s="787"/>
      <c r="AF272" s="787"/>
      <c r="AG272" s="787"/>
      <c r="AH272" s="55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52"/>
      <c r="BE272" s="552"/>
      <c r="BF272" s="552"/>
      <c r="BG272" s="552"/>
      <c r="BH272" s="552"/>
      <c r="BI272" s="552"/>
      <c r="BJ272" s="552"/>
      <c r="BK272" s="552"/>
      <c r="BL272" s="552"/>
      <c r="BM272" s="552"/>
      <c r="BN272" s="784"/>
      <c r="BO272" s="784"/>
      <c r="BP272" s="784"/>
      <c r="BS272" s="705" t="s">
        <v>2147</v>
      </c>
    </row>
    <row r="273" spans="1:75" ht="14.25" hidden="1" customHeight="1">
      <c r="B273" s="653" t="b" cm="1">
        <f t="array" ref="B273">B272</f>
        <v>0</v>
      </c>
      <c r="E273" s="518">
        <v>15</v>
      </c>
      <c r="F273" s="3" t="str" cm="1">
        <f t="array" aca="1" ref="F273" ca="1">OFFSET(E273,-1,1)</f>
        <v>1</v>
      </c>
      <c r="K273" s="44" t="s">
        <v>770</v>
      </c>
      <c r="L273" s="44"/>
      <c r="M273" s="44"/>
      <c r="T273" s="365" t="b" cm="1">
        <f t="array" aca="1" ref="T273" ca="1">T272</f>
        <v>1</v>
      </c>
      <c r="X273" s="1075"/>
      <c r="Z273" s="1065"/>
      <c r="AB273" s="152" t="s">
        <v>952</v>
      </c>
      <c r="AC273" s="146" t="s">
        <v>2148</v>
      </c>
      <c r="AD273" s="26" t="s">
        <v>804</v>
      </c>
      <c r="AE273" s="787"/>
      <c r="AF273" s="787"/>
      <c r="AG273" s="787"/>
      <c r="AH273" s="55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52"/>
      <c r="BE273" s="552"/>
      <c r="BF273" s="552"/>
      <c r="BG273" s="552"/>
      <c r="BH273" s="552"/>
      <c r="BI273" s="552"/>
      <c r="BJ273" s="552"/>
      <c r="BK273" s="552"/>
      <c r="BL273" s="552"/>
      <c r="BM273" s="552"/>
      <c r="BN273" s="784"/>
      <c r="BO273" s="784"/>
      <c r="BP273" s="784"/>
      <c r="BS273" s="705" t="s">
        <v>2149</v>
      </c>
    </row>
    <row r="274" spans="1:75" ht="14.25" hidden="1" customHeight="1">
      <c r="B274" s="653" t="b" cm="1">
        <f t="array" ref="B274">B273</f>
        <v>0</v>
      </c>
      <c r="E274" s="518">
        <v>15</v>
      </c>
      <c r="F274" s="3" t="str" cm="1">
        <f t="array" aca="1" ref="F274" ca="1">OFFSET(E274,-1,1)</f>
        <v>1</v>
      </c>
      <c r="K274" s="44" t="s">
        <v>954</v>
      </c>
      <c r="L274" s="44"/>
      <c r="M274" s="44"/>
      <c r="T274" s="365" t="b" cm="1">
        <f t="array" aca="1" ref="T274" ca="1">T273</f>
        <v>1</v>
      </c>
      <c r="X274" s="1075"/>
      <c r="Z274" s="1065"/>
      <c r="AB274" s="152" t="s">
        <v>955</v>
      </c>
      <c r="AC274" s="146" t="s">
        <v>2150</v>
      </c>
      <c r="AD274" s="26" t="s">
        <v>804</v>
      </c>
      <c r="AE274" s="787"/>
      <c r="AF274" s="787"/>
      <c r="AG274" s="787"/>
      <c r="AH274" s="55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52"/>
      <c r="BE274" s="552"/>
      <c r="BF274" s="552"/>
      <c r="BG274" s="552"/>
      <c r="BH274" s="552"/>
      <c r="BI274" s="552"/>
      <c r="BJ274" s="552"/>
      <c r="BK274" s="552"/>
      <c r="BL274" s="552"/>
      <c r="BM274" s="552"/>
      <c r="BN274" s="784"/>
      <c r="BO274" s="784"/>
      <c r="BP274" s="784"/>
      <c r="BS274" s="705" t="s">
        <v>2151</v>
      </c>
    </row>
    <row r="275" spans="1:75" ht="14.25" hidden="1" customHeight="1">
      <c r="B275" s="653" t="b" cm="1">
        <f t="array" ref="B275">B274</f>
        <v>0</v>
      </c>
      <c r="E275" s="518">
        <v>15</v>
      </c>
      <c r="F275" s="3" t="str" cm="1">
        <f t="array" aca="1" ref="F275" ca="1">OFFSET(E275,-1,1)</f>
        <v>1</v>
      </c>
      <c r="K275" s="44" t="s">
        <v>2152</v>
      </c>
      <c r="L275" s="44"/>
      <c r="M275" s="44"/>
      <c r="T275" s="365" t="b" cm="1">
        <f t="array" aca="1" ref="T275" ca="1">T274</f>
        <v>1</v>
      </c>
      <c r="X275" s="1075"/>
      <c r="Z275" s="1065"/>
      <c r="AB275" s="152" t="s">
        <v>2153</v>
      </c>
      <c r="AC275" s="153" t="s">
        <v>2154</v>
      </c>
      <c r="AD275" s="26" t="s">
        <v>456</v>
      </c>
      <c r="AE275" s="787"/>
      <c r="AF275" s="787"/>
      <c r="AG275" s="787"/>
      <c r="AH275" s="55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52"/>
      <c r="BE275" s="552"/>
      <c r="BF275" s="552"/>
      <c r="BG275" s="552"/>
      <c r="BH275" s="552"/>
      <c r="BI275" s="552"/>
      <c r="BJ275" s="552"/>
      <c r="BK275" s="552"/>
      <c r="BL275" s="552"/>
      <c r="BM275" s="552"/>
      <c r="BN275" s="784"/>
      <c r="BO275" s="784"/>
      <c r="BP275" s="784"/>
      <c r="BS275" s="705" t="s">
        <v>2155</v>
      </c>
    </row>
    <row r="276" spans="1:75" ht="14.25" hidden="1" customHeight="1">
      <c r="B276" s="653" t="b" cm="1">
        <f t="array" ref="B276">B275</f>
        <v>0</v>
      </c>
      <c r="E276" s="518">
        <v>15</v>
      </c>
      <c r="F276" s="3" t="str" cm="1">
        <f t="array" aca="1" ref="F276" ca="1">OFFSET(E276,-1,1)</f>
        <v>1</v>
      </c>
      <c r="K276" s="44" t="s">
        <v>957</v>
      </c>
      <c r="L276" s="44"/>
      <c r="M276" s="44"/>
      <c r="T276" s="365" t="b" cm="1">
        <f t="array" aca="1" ref="T276" ca="1">T275</f>
        <v>1</v>
      </c>
      <c r="X276" s="1075"/>
      <c r="Z276" s="1065"/>
      <c r="AB276" s="152" t="s">
        <v>958</v>
      </c>
      <c r="AC276" s="146" t="s">
        <v>2156</v>
      </c>
      <c r="AD276" s="26" t="s">
        <v>456</v>
      </c>
      <c r="AE276" s="787"/>
      <c r="AF276" s="787"/>
      <c r="AG276" s="787"/>
      <c r="AH276" s="55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52"/>
      <c r="BE276" s="552"/>
      <c r="BF276" s="552"/>
      <c r="BG276" s="552"/>
      <c r="BH276" s="552"/>
      <c r="BI276" s="552"/>
      <c r="BJ276" s="552"/>
      <c r="BK276" s="552"/>
      <c r="BL276" s="552"/>
      <c r="BM276" s="552"/>
      <c r="BN276" s="784"/>
      <c r="BO276" s="784"/>
      <c r="BP276" s="784"/>
      <c r="BS276" s="705" t="s">
        <v>2157</v>
      </c>
    </row>
    <row r="277" spans="1:75" ht="14.25" hidden="1" customHeight="1">
      <c r="B277" s="653" t="b" cm="1">
        <f t="array" ref="B277">B276</f>
        <v>0</v>
      </c>
      <c r="E277" s="518">
        <v>15</v>
      </c>
      <c r="F277" s="3" t="str" cm="1">
        <f t="array" aca="1" ref="F277" ca="1">OFFSET(E277,-1,1)</f>
        <v>1</v>
      </c>
      <c r="K277" s="44" t="s">
        <v>2158</v>
      </c>
      <c r="L277" s="44"/>
      <c r="M277" s="44"/>
      <c r="T277" s="365" t="b" cm="1">
        <f t="array" aca="1" ref="T277" ca="1">T276</f>
        <v>1</v>
      </c>
      <c r="X277" s="1075"/>
      <c r="Z277" s="1065"/>
      <c r="AB277" s="152" t="s">
        <v>2159</v>
      </c>
      <c r="AC277" s="153" t="s">
        <v>2160</v>
      </c>
      <c r="AD277" s="26" t="s">
        <v>456</v>
      </c>
      <c r="AE277" s="787"/>
      <c r="AF277" s="787"/>
      <c r="AG277" s="787"/>
      <c r="AH277" s="55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52"/>
      <c r="BE277" s="552"/>
      <c r="BF277" s="552"/>
      <c r="BG277" s="552"/>
      <c r="BH277" s="552"/>
      <c r="BI277" s="552"/>
      <c r="BJ277" s="552"/>
      <c r="BK277" s="552"/>
      <c r="BL277" s="552"/>
      <c r="BM277" s="552"/>
      <c r="BN277" s="784"/>
      <c r="BO277" s="784"/>
      <c r="BP277" s="784"/>
      <c r="BS277" s="705" t="s">
        <v>2161</v>
      </c>
    </row>
    <row r="278" spans="1:75" ht="14.25" hidden="1" customHeight="1">
      <c r="B278" s="653" t="b" cm="1">
        <f t="array" ref="B278">B277</f>
        <v>0</v>
      </c>
      <c r="E278" s="518">
        <v>15</v>
      </c>
      <c r="F278" s="3" t="str" cm="1">
        <f t="array" aca="1" ref="F278" ca="1">OFFSET(E278,-1,1)</f>
        <v>1</v>
      </c>
      <c r="K278" s="44" t="s">
        <v>2162</v>
      </c>
      <c r="L278" s="44"/>
      <c r="M278" s="44"/>
      <c r="T278" s="365" t="b" cm="1">
        <f t="array" aca="1" ref="T278" ca="1">T277</f>
        <v>1</v>
      </c>
      <c r="X278" s="1075"/>
      <c r="Z278" s="1065"/>
      <c r="AB278" s="152" t="s">
        <v>2163</v>
      </c>
      <c r="AC278" s="153" t="s">
        <v>2164</v>
      </c>
      <c r="AD278" s="26" t="s">
        <v>456</v>
      </c>
      <c r="AE278" s="787"/>
      <c r="AF278" s="787"/>
      <c r="AG278" s="787"/>
      <c r="AH278" s="55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52"/>
      <c r="BE278" s="552"/>
      <c r="BF278" s="552"/>
      <c r="BG278" s="552"/>
      <c r="BH278" s="552"/>
      <c r="BI278" s="552"/>
      <c r="BJ278" s="552"/>
      <c r="BK278" s="552"/>
      <c r="BL278" s="552"/>
      <c r="BM278" s="552"/>
      <c r="BN278" s="784"/>
      <c r="BO278" s="784"/>
      <c r="BP278" s="784"/>
      <c r="BS278" s="705" t="s">
        <v>2165</v>
      </c>
    </row>
    <row r="279" spans="1:75" s="950" customFormat="1" ht="20.45" customHeight="1">
      <c r="A279" s="95"/>
      <c r="B279" s="344"/>
      <c r="C279" s="95"/>
      <c r="D279" s="46" t="str">
        <f>IF(B278,"6","7")</f>
        <v>7</v>
      </c>
      <c r="E279" s="522">
        <v>21</v>
      </c>
      <c r="F279" s="3" t="str" cm="1">
        <f t="array" aca="1" ref="F279" ca="1">OFFSET(E279,-1,1)</f>
        <v>1</v>
      </c>
      <c r="G279" s="91" t="s">
        <v>2166</v>
      </c>
      <c r="H279" s="91"/>
      <c r="I279" s="292" t="s">
        <v>2167</v>
      </c>
      <c r="J279" s="95"/>
      <c r="K279" s="292" t="s">
        <v>2167</v>
      </c>
      <c r="L279" s="46"/>
      <c r="M279" s="46"/>
      <c r="N279" s="95"/>
      <c r="O279" s="95"/>
      <c r="P279" s="95"/>
      <c r="Q279" s="95"/>
      <c r="R279" s="95"/>
      <c r="S279" s="95"/>
      <c r="T279" s="365" t="b" cm="1">
        <f t="array" aca="1" ref="T279" ca="1">T278</f>
        <v>1</v>
      </c>
      <c r="U279" s="95"/>
      <c r="V279" s="95"/>
      <c r="W279" s="95"/>
      <c r="X279" s="1075"/>
      <c r="Y279" s="95"/>
      <c r="Z279" s="1065"/>
      <c r="AA279" s="95"/>
      <c r="AB279" s="143" t="str" cm="1">
        <f t="array" ref="AB279">D279</f>
        <v>7</v>
      </c>
      <c r="AC279" s="151" t="s">
        <v>1590</v>
      </c>
      <c r="AD279" s="143" t="s">
        <v>804</v>
      </c>
      <c r="AE279" s="157">
        <f>AE281+AE282+AE283+AE286+AE287+AE290+AE291</f>
        <v>-634.2433967833</v>
      </c>
      <c r="AF279" s="157">
        <f>AF281+AF282+AF283+AF286+AF287+AF290+AF291</f>
        <v>0</v>
      </c>
      <c r="AG279" s="157">
        <f>AG281+AG282+AG283+AG286+AG287+AG290+AG291</f>
        <v>-634.2433967833</v>
      </c>
      <c r="AH279" s="145">
        <f>AG279-AF279</f>
        <v>-634.2433967833</v>
      </c>
      <c r="AI279" s="157">
        <f>AI281+AI282+AI283+AI286+AI287+AI290+AI291</f>
        <v>1473.6363770465</v>
      </c>
      <c r="AJ279" s="157">
        <f ca="1">AJ281+AJ282+AJ283+AJ286+AJ287+AJ290+AJ291</f>
        <v>10669.36300000001</v>
      </c>
      <c r="AK279" s="783"/>
      <c r="AL279" s="783"/>
      <c r="AM279" s="783"/>
      <c r="AN279" s="783"/>
      <c r="AO279" s="783"/>
      <c r="AP279" s="783"/>
      <c r="AQ279" s="783"/>
      <c r="AR279" s="783"/>
      <c r="AS279" s="783"/>
      <c r="AT279" s="157">
        <f ca="1">AT281+AT282+AT283+AT286+AT287+AT290+AT291</f>
        <v>2626.1867599999937</v>
      </c>
      <c r="AU279" s="783"/>
      <c r="AV279" s="783"/>
      <c r="AW279" s="783"/>
      <c r="AX279" s="783"/>
      <c r="AY279" s="783"/>
      <c r="AZ279" s="783"/>
      <c r="BA279" s="783"/>
      <c r="BB279" s="783"/>
      <c r="BC279" s="783"/>
      <c r="BD279" s="145">
        <f ca="1">IF(AI279=0,0,(AT279-AI279)/AI279*100)</f>
        <v>78.211314602823862</v>
      </c>
      <c r="BE279" s="145">
        <f t="shared" ref="BE279:BM279" ca="1" si="66">IF(AT279=0,0,(AU279-AT279)/AT279*100)</f>
        <v>-100</v>
      </c>
      <c r="BF279" s="145">
        <f t="shared" si="66"/>
        <v>0</v>
      </c>
      <c r="BG279" s="145">
        <f t="shared" si="66"/>
        <v>0</v>
      </c>
      <c r="BH279" s="145">
        <f t="shared" si="66"/>
        <v>0</v>
      </c>
      <c r="BI279" s="145">
        <f t="shared" si="66"/>
        <v>0</v>
      </c>
      <c r="BJ279" s="145">
        <f t="shared" si="66"/>
        <v>0</v>
      </c>
      <c r="BK279" s="145">
        <f t="shared" si="66"/>
        <v>0</v>
      </c>
      <c r="BL279" s="145">
        <f t="shared" si="66"/>
        <v>0</v>
      </c>
      <c r="BM279" s="145">
        <f t="shared" si="66"/>
        <v>0</v>
      </c>
      <c r="BN279" s="566"/>
      <c r="BO279" s="610" t="str">
        <f ca="1">IF(IFERROR(INDEX('Корректировка НВВ'!$K$26:$L$180,MATCH($F279&amp;"11komm",'Корректировка НВВ'!$K$26:$K$180,0),2),"")=0,"",IFERROR(INDEX('Корректировка НВВ'!$K$26:$L$180,MATCH($F279&amp;"11komm",'Корректировка НВВ'!$K$26:$K$180,0),2),""))</f>
        <v/>
      </c>
      <c r="BP279" s="566"/>
      <c r="BQ279" s="95"/>
      <c r="BR279" s="95"/>
      <c r="BS279" s="711" t="s">
        <v>2168</v>
      </c>
      <c r="BT279" s="711"/>
      <c r="BU279" s="711"/>
      <c r="BV279" s="522"/>
      <c r="BW279" s="522"/>
    </row>
    <row r="280" spans="1:75" ht="14.25" customHeight="1">
      <c r="D280" s="44" t="str" cm="1">
        <f t="array" ref="D280">D279</f>
        <v>7</v>
      </c>
      <c r="E280" s="518">
        <v>15</v>
      </c>
      <c r="F280" s="3" t="str" cm="1">
        <f t="array" aca="1" ref="F280" ca="1">OFFSET(E280,-1,1)</f>
        <v>1</v>
      </c>
      <c r="L280" s="44"/>
      <c r="M280" s="44"/>
      <c r="T280" s="365" t="b" cm="1">
        <f t="array" aca="1" ref="T280" ca="1">T279</f>
        <v>1</v>
      </c>
      <c r="X280" s="1075"/>
      <c r="Z280" s="1065"/>
      <c r="AB280" s="26"/>
      <c r="AC280" s="358" t="s">
        <v>2169</v>
      </c>
      <c r="AD280" s="26"/>
      <c r="AE280" s="552"/>
      <c r="AF280" s="552"/>
      <c r="AG280" s="552"/>
      <c r="AH280" s="552"/>
      <c r="AI280" s="552"/>
      <c r="AJ280" s="552"/>
      <c r="AK280" s="552"/>
      <c r="AL280" s="552"/>
      <c r="AM280" s="552"/>
      <c r="AN280" s="552"/>
      <c r="AO280" s="552"/>
      <c r="AP280" s="552"/>
      <c r="AQ280" s="552"/>
      <c r="AR280" s="552"/>
      <c r="AS280" s="552"/>
      <c r="AT280" s="552"/>
      <c r="AU280" s="552"/>
      <c r="AV280" s="552"/>
      <c r="AW280" s="552"/>
      <c r="AX280" s="552"/>
      <c r="AY280" s="552"/>
      <c r="AZ280" s="552"/>
      <c r="BA280" s="552"/>
      <c r="BB280" s="552"/>
      <c r="BC280" s="552"/>
      <c r="BD280" s="552"/>
      <c r="BE280" s="552"/>
      <c r="BF280" s="552"/>
      <c r="BG280" s="552"/>
      <c r="BH280" s="552"/>
      <c r="BI280" s="552"/>
      <c r="BJ280" s="552"/>
      <c r="BK280" s="552"/>
      <c r="BL280" s="552"/>
      <c r="BM280" s="552"/>
      <c r="BN280" s="398"/>
      <c r="BO280" s="398"/>
      <c r="BP280" s="398"/>
    </row>
    <row r="281" spans="1:75" ht="0" hidden="1" customHeight="1">
      <c r="D281" s="44" t="str" cm="1">
        <f t="array" ref="D281">D280</f>
        <v>7</v>
      </c>
      <c r="E281" s="518">
        <v>22.5</v>
      </c>
      <c r="F281" s="3" t="str" cm="1">
        <f t="array" aca="1" ref="F281" ca="1">OFFSET(E281,-1,1)</f>
        <v>1</v>
      </c>
      <c r="G281" s="91" t="s">
        <v>368</v>
      </c>
      <c r="I281" s="91" t="s">
        <v>514</v>
      </c>
      <c r="K281" s="91" t="s">
        <v>514</v>
      </c>
      <c r="L281" s="44"/>
      <c r="M281" s="44"/>
      <c r="T281" s="365" t="b" cm="1">
        <f t="array" aca="1" ref="T281" ca="1">T280</f>
        <v>1</v>
      </c>
      <c r="X281" s="1075"/>
      <c r="Z281" s="1065"/>
      <c r="AB281" s="26" t="str">
        <f>D281&amp;".1"</f>
        <v>7.1</v>
      </c>
      <c r="AC281" s="146" t="s">
        <v>2170</v>
      </c>
      <c r="AD281" s="26" t="s">
        <v>804</v>
      </c>
      <c r="AE281" s="147">
        <v>0</v>
      </c>
      <c r="AF281" s="147"/>
      <c r="AG281" s="147"/>
      <c r="AH281" s="190">
        <f t="shared" ref="AH281:AH294" si="67">AG281-AF281</f>
        <v>0</v>
      </c>
      <c r="AI281" s="147">
        <v>0</v>
      </c>
      <c r="AJ281" s="147">
        <f ca="1">SUMIFS('Корректировка НВВ'!$AF$25:$AF$180,'Корректировка НВВ'!$F$25:$F$180,$F281,'Корректировка НВВ'!$I$25:$I$180,$G281)</f>
        <v>0</v>
      </c>
      <c r="AK281" s="787"/>
      <c r="AL281" s="787"/>
      <c r="AM281" s="787"/>
      <c r="AN281" s="787"/>
      <c r="AO281" s="787"/>
      <c r="AP281" s="787"/>
      <c r="AQ281" s="787"/>
      <c r="AR281" s="787"/>
      <c r="AS281" s="787"/>
      <c r="AT281" s="147">
        <f ca="1">SUMIFS('Корректировка НВВ'!$AG$25:$AG$180,'Корректировка НВВ'!$F$25:$F$180,$F281,'Корректировка НВВ'!$I$25:$I$180,$G281)</f>
        <v>0</v>
      </c>
      <c r="AU281" s="787"/>
      <c r="AV281" s="787"/>
      <c r="AW281" s="787"/>
      <c r="AX281" s="787"/>
      <c r="AY281" s="787"/>
      <c r="AZ281" s="787"/>
      <c r="BA281" s="787"/>
      <c r="BB281" s="787"/>
      <c r="BC281" s="787"/>
      <c r="BD281" s="552"/>
      <c r="BE281" s="552"/>
      <c r="BF281" s="552"/>
      <c r="BG281" s="552"/>
      <c r="BH281" s="552"/>
      <c r="BI281" s="552"/>
      <c r="BJ281" s="552"/>
      <c r="BK281" s="552"/>
      <c r="BL281" s="552"/>
      <c r="BM281" s="552"/>
      <c r="BN281" s="215"/>
      <c r="BO281" s="610" t="str">
        <f ca="1">IF(IFERROR(INDEX('Корректировка НВВ'!$K$26:$L$180,MATCH($F281&amp;"1komm",'Корректировка НВВ'!$K$26:$K$180,0),2),"")=0,"",IFERROR(INDEX('Корректировка НВВ'!$K$26:$L$180,MATCH($F281&amp;"1komm",'Корректировка НВВ'!$K$26:$K$180,0),2),""))</f>
        <v/>
      </c>
      <c r="BP281" s="215"/>
      <c r="BS281" s="705" t="s">
        <v>2171</v>
      </c>
    </row>
    <row r="282" spans="1:75" ht="0" hidden="1" customHeight="1">
      <c r="D282" s="44" t="str" cm="1">
        <f t="array" ref="D282">D281</f>
        <v>7</v>
      </c>
      <c r="E282" s="518">
        <v>101.25</v>
      </c>
      <c r="F282" s="3" t="str" cm="1">
        <f t="array" aca="1" ref="F282" ca="1">OFFSET(E282,-1,1)</f>
        <v>1</v>
      </c>
      <c r="G282" s="91" t="s">
        <v>2172</v>
      </c>
      <c r="I282" s="91" t="s">
        <v>562</v>
      </c>
      <c r="K282" s="91" t="s">
        <v>562</v>
      </c>
      <c r="L282" s="44"/>
      <c r="M282" s="44"/>
      <c r="T282" s="365" t="b" cm="1">
        <f t="array" aca="1" ref="T282" ca="1">T281</f>
        <v>1</v>
      </c>
      <c r="X282" s="1075"/>
      <c r="Z282" s="1065"/>
      <c r="AB282" s="26" t="str">
        <f>D282&amp;".2"</f>
        <v>7.2</v>
      </c>
      <c r="AC282" s="146" t="s">
        <v>2173</v>
      </c>
      <c r="AD282" s="26" t="s">
        <v>804</v>
      </c>
      <c r="AE282" s="147">
        <v>0</v>
      </c>
      <c r="AF282" s="147"/>
      <c r="AG282" s="147"/>
      <c r="AH282" s="190">
        <f t="shared" si="67"/>
        <v>0</v>
      </c>
      <c r="AI282" s="147">
        <v>0</v>
      </c>
      <c r="AJ282" s="147">
        <f ca="1">SUMIFS('Корректировка НВВ'!$AF$25:$AF$180,'Корректировка НВВ'!$F$25:$F$180,$F282,'Корректировка НВВ'!$I$25:$I$180,$G282)</f>
        <v>0</v>
      </c>
      <c r="AK282" s="787"/>
      <c r="AL282" s="787"/>
      <c r="AM282" s="787"/>
      <c r="AN282" s="787"/>
      <c r="AO282" s="787"/>
      <c r="AP282" s="787"/>
      <c r="AQ282" s="787"/>
      <c r="AR282" s="787"/>
      <c r="AS282" s="787"/>
      <c r="AT282" s="147">
        <f ca="1">SUMIFS('Корректировка НВВ'!$AG$25:$AG$180,'Корректировка НВВ'!$F$25:$F$180,$F282,'Корректировка НВВ'!$I$25:$I$180,$G282)</f>
        <v>0</v>
      </c>
      <c r="AU282" s="787"/>
      <c r="AV282" s="787"/>
      <c r="AW282" s="787"/>
      <c r="AX282" s="787"/>
      <c r="AY282" s="787"/>
      <c r="AZ282" s="787"/>
      <c r="BA282" s="787"/>
      <c r="BB282" s="787"/>
      <c r="BC282" s="787"/>
      <c r="BD282" s="552"/>
      <c r="BE282" s="552"/>
      <c r="BF282" s="552"/>
      <c r="BG282" s="552"/>
      <c r="BH282" s="552"/>
      <c r="BI282" s="552"/>
      <c r="BJ282" s="552"/>
      <c r="BK282" s="552"/>
      <c r="BL282" s="552"/>
      <c r="BM282" s="552"/>
      <c r="BN282" s="215"/>
      <c r="BO282" s="610" t="str">
        <f ca="1">IF(IFERROR(INDEX('Корректировка НВВ'!$K$26:$L$180,MATCH($F282&amp;"2komm",'Корректировка НВВ'!$K$26:$K$180,0),2),"")=0,"",IFERROR(INDEX('Корректировка НВВ'!$K$26:$L$180,MATCH($F282&amp;"2komm",'Корректировка НВВ'!$K$26:$K$180,0),2),""))</f>
        <v/>
      </c>
      <c r="BP282" s="215"/>
      <c r="BS282" s="705" t="s">
        <v>2174</v>
      </c>
    </row>
    <row r="283" spans="1:75" ht="107.25" customHeight="1">
      <c r="D283" s="44" t="str" cm="1">
        <f t="array" ref="D283">D282</f>
        <v>7</v>
      </c>
      <c r="E283" s="518">
        <v>45</v>
      </c>
      <c r="F283" s="3" t="str" cm="1">
        <f t="array" aca="1" ref="F283" ca="1">OFFSET(E283,-1,1)</f>
        <v>1</v>
      </c>
      <c r="I283" s="91" t="s">
        <v>577</v>
      </c>
      <c r="K283" s="91" t="s">
        <v>577</v>
      </c>
      <c r="L283" s="44"/>
      <c r="M283" s="44"/>
      <c r="T283" s="365" t="b" cm="1">
        <f t="array" aca="1" ref="T283" ca="1">T282</f>
        <v>1</v>
      </c>
      <c r="X283" s="1075"/>
      <c r="Z283" s="1065"/>
      <c r="AB283" s="26" t="str">
        <f>D283&amp;".3"</f>
        <v>7.3</v>
      </c>
      <c r="AC283" s="146" t="s">
        <v>2175</v>
      </c>
      <c r="AD283" s="26" t="s">
        <v>804</v>
      </c>
      <c r="AE283" s="147">
        <v>0</v>
      </c>
      <c r="AF283" s="147"/>
      <c r="AG283" s="147"/>
      <c r="AH283" s="190">
        <f t="shared" si="67"/>
        <v>0</v>
      </c>
      <c r="AI283" s="147">
        <v>1484.3657732649001</v>
      </c>
      <c r="AJ283" s="147" cm="1">
        <f t="array" ref="AJ283">'Корректировка НВВ'!AF128</f>
        <v>9198.2030000000104</v>
      </c>
      <c r="AK283" s="787"/>
      <c r="AL283" s="787"/>
      <c r="AM283" s="787"/>
      <c r="AN283" s="787"/>
      <c r="AO283" s="787"/>
      <c r="AP283" s="787"/>
      <c r="AQ283" s="787"/>
      <c r="AR283" s="787"/>
      <c r="AS283" s="787"/>
      <c r="AT283" s="147" cm="1">
        <f t="array" aca="1" ref="AT283" ca="1">'Корректировка НВВ'!AG128</f>
        <v>1791.1627599999938</v>
      </c>
      <c r="AU283" s="787"/>
      <c r="AV283" s="787"/>
      <c r="AW283" s="787"/>
      <c r="AX283" s="787"/>
      <c r="AY283" s="787"/>
      <c r="AZ283" s="787"/>
      <c r="BA283" s="787"/>
      <c r="BB283" s="787"/>
      <c r="BC283" s="787"/>
      <c r="BD283" s="552"/>
      <c r="BE283" s="552"/>
      <c r="BF283" s="552"/>
      <c r="BG283" s="552"/>
      <c r="BH283" s="552"/>
      <c r="BI283" s="552"/>
      <c r="BJ283" s="552"/>
      <c r="BK283" s="552"/>
      <c r="BL283" s="552"/>
      <c r="BM283" s="552"/>
      <c r="BN283" s="215"/>
      <c r="BO283" s="610" t="s">
        <v>1592</v>
      </c>
      <c r="BP283" s="215"/>
      <c r="BS283" s="705" t="s">
        <v>2176</v>
      </c>
    </row>
    <row r="284" spans="1:75" ht="87.75" hidden="1" customHeight="1">
      <c r="B284" s="353" t="b">
        <f>S171="Водоотведение"</f>
        <v>0</v>
      </c>
      <c r="D284" s="44" t="str" cm="1">
        <f t="array" ref="D284">D283</f>
        <v>7</v>
      </c>
      <c r="E284" s="518">
        <v>90</v>
      </c>
      <c r="F284" s="3" t="str" cm="1">
        <f t="array" aca="1" ref="F284" ca="1">OFFSET(E284,-1,1)</f>
        <v>1</v>
      </c>
      <c r="G284" s="91" t="s">
        <v>2177</v>
      </c>
      <c r="H284" s="2"/>
      <c r="I284" s="91" t="s">
        <v>746</v>
      </c>
      <c r="K284" s="91" t="s">
        <v>746</v>
      </c>
      <c r="L284" s="44" t="s">
        <v>743</v>
      </c>
      <c r="M284" s="44"/>
      <c r="T284" s="365" t="b" cm="1">
        <f t="array" aca="1" ref="T284" ca="1">T283</f>
        <v>1</v>
      </c>
      <c r="X284" s="1075"/>
      <c r="Z284" s="1065"/>
      <c r="AB284" s="26" t="str">
        <f>D284&amp;".4"</f>
        <v>7.4</v>
      </c>
      <c r="AC284" s="146" t="s">
        <v>1839</v>
      </c>
      <c r="AD284" s="28" t="s">
        <v>804</v>
      </c>
      <c r="AE284" s="787"/>
      <c r="AF284" s="787"/>
      <c r="AG284" s="787"/>
      <c r="AH284" s="190">
        <f t="shared" si="67"/>
        <v>0</v>
      </c>
      <c r="AI284" s="787"/>
      <c r="AJ284" s="787">
        <f ca="1">SUMIFS('Корректировка НВВ'!$AF$25:$AF$180,'Корректировка НВВ'!$F$25:$F$180,$F284,'Корректировка НВВ'!$I$25:$I$180,$G284)</f>
        <v>0</v>
      </c>
      <c r="AK284" s="787"/>
      <c r="AL284" s="787"/>
      <c r="AM284" s="787"/>
      <c r="AN284" s="787"/>
      <c r="AO284" s="787"/>
      <c r="AP284" s="787"/>
      <c r="AQ284" s="787"/>
      <c r="AR284" s="787"/>
      <c r="AS284" s="787"/>
      <c r="AT284" s="787">
        <f ca="1">SUMIFS('Корректировка НВВ'!$AG$25:$AG$180,'Корректировка НВВ'!$F$25:$F$180,$F284,'Корректировка НВВ'!$I$25:$I$180,$G284)</f>
        <v>0</v>
      </c>
      <c r="AU284" s="787"/>
      <c r="AV284" s="787"/>
      <c r="AW284" s="787"/>
      <c r="AX284" s="787"/>
      <c r="AY284" s="787"/>
      <c r="AZ284" s="787"/>
      <c r="BA284" s="787"/>
      <c r="BB284" s="787"/>
      <c r="BC284" s="787"/>
      <c r="BD284" s="552"/>
      <c r="BE284" s="552"/>
      <c r="BF284" s="552"/>
      <c r="BG284" s="552"/>
      <c r="BH284" s="552"/>
      <c r="BI284" s="552"/>
      <c r="BJ284" s="552"/>
      <c r="BK284" s="552"/>
      <c r="BL284" s="552"/>
      <c r="BM284" s="552"/>
      <c r="BN284" s="784"/>
      <c r="BO284" s="788" t="str">
        <f ca="1">IF(IFERROR(INDEX('Корректировка НВВ'!$K$26:$L$180,MATCH($F284&amp;"3komm",'Корректировка НВВ'!$K$26:$K$180,0),2),"")=0,"",IFERROR(INDEX('Корректировка НВВ'!$K$26:$L$180,MATCH($F284&amp;"3komm",'Корректировка НВВ'!$K$26:$K$180,0),2),""))</f>
        <v/>
      </c>
      <c r="BP284" s="784"/>
      <c r="BS284" s="705" t="s">
        <v>1366</v>
      </c>
    </row>
    <row r="285" spans="1:75" ht="54.75" hidden="1" customHeight="1">
      <c r="B285" s="353" t="b" cm="1">
        <f t="array" ref="B285">B284</f>
        <v>0</v>
      </c>
      <c r="D285" s="44" t="str" cm="1">
        <f t="array" ref="D285">D284</f>
        <v>7</v>
      </c>
      <c r="E285" s="518">
        <v>56.25</v>
      </c>
      <c r="F285" s="3" t="str" cm="1">
        <f t="array" aca="1" ref="F285" ca="1">OFFSET(E285,-1,1)</f>
        <v>1</v>
      </c>
      <c r="G285" s="91" t="s">
        <v>2178</v>
      </c>
      <c r="H285" s="2"/>
      <c r="I285" s="91" t="s">
        <v>782</v>
      </c>
      <c r="K285" s="91" t="s">
        <v>782</v>
      </c>
      <c r="L285" s="44" t="s">
        <v>746</v>
      </c>
      <c r="M285" s="44"/>
      <c r="T285" s="365" t="b" cm="1">
        <f t="array" aca="1" ref="T285" ca="1">T284</f>
        <v>1</v>
      </c>
      <c r="X285" s="1075"/>
      <c r="Z285" s="1065"/>
      <c r="AB285" s="26" t="str">
        <f>D285&amp;".5"</f>
        <v>7.5</v>
      </c>
      <c r="AC285" s="146" t="s">
        <v>1841</v>
      </c>
      <c r="AD285" s="28" t="s">
        <v>804</v>
      </c>
      <c r="AE285" s="787"/>
      <c r="AF285" s="787"/>
      <c r="AG285" s="787"/>
      <c r="AH285" s="190">
        <f t="shared" si="67"/>
        <v>0</v>
      </c>
      <c r="AI285" s="787"/>
      <c r="AJ285" s="787">
        <f ca="1">SUMIFS('Корректировка НВВ'!$AF$25:$AF$180,'Корректировка НВВ'!$F$25:$F$180,$F285,'Корректировка НВВ'!$I$25:$I$180,$G285)</f>
        <v>0</v>
      </c>
      <c r="AK285" s="787"/>
      <c r="AL285" s="787"/>
      <c r="AM285" s="787"/>
      <c r="AN285" s="787"/>
      <c r="AO285" s="787"/>
      <c r="AP285" s="787"/>
      <c r="AQ285" s="787"/>
      <c r="AR285" s="787"/>
      <c r="AS285" s="787"/>
      <c r="AT285" s="787">
        <f ca="1">SUMIFS('Корректировка НВВ'!$AG$25:$AG$180,'Корректировка НВВ'!$F$25:$F$180,$F285,'Корректировка НВВ'!$I$25:$I$180,$G285)</f>
        <v>0</v>
      </c>
      <c r="AU285" s="787"/>
      <c r="AV285" s="787"/>
      <c r="AW285" s="787"/>
      <c r="AX285" s="787"/>
      <c r="AY285" s="787"/>
      <c r="AZ285" s="787"/>
      <c r="BA285" s="787"/>
      <c r="BB285" s="787"/>
      <c r="BC285" s="787"/>
      <c r="BD285" s="552"/>
      <c r="BE285" s="552"/>
      <c r="BF285" s="552"/>
      <c r="BG285" s="552"/>
      <c r="BH285" s="552"/>
      <c r="BI285" s="552"/>
      <c r="BJ285" s="552"/>
      <c r="BK285" s="552"/>
      <c r="BL285" s="552"/>
      <c r="BM285" s="552"/>
      <c r="BN285" s="784"/>
      <c r="BO285" s="788" t="str">
        <f ca="1">IF(IFERROR(INDEX('Корректировка НВВ'!$K$26:$L$180,MATCH($F285&amp;"4komm",'Корректировка НВВ'!$K$26:$K$180,0),2),"")=0,"",IFERROR(INDEX('Корректировка НВВ'!$K$26:$L$180,MATCH($F285&amp;"4komm",'Корректировка НВВ'!$K$26:$K$180,0),2),""))</f>
        <v/>
      </c>
      <c r="BP285" s="784"/>
      <c r="BS285" s="705" t="s">
        <v>1370</v>
      </c>
    </row>
    <row r="286" spans="1:75" ht="54.75" customHeight="1">
      <c r="D286" s="44" t="str" cm="1">
        <f t="array" ref="D286">D285</f>
        <v>7</v>
      </c>
      <c r="E286" s="518">
        <v>15</v>
      </c>
      <c r="F286" s="3" t="str" cm="1">
        <f t="array" aca="1" ref="F286" ca="1">OFFSET(E286,-1,1)</f>
        <v>1</v>
      </c>
      <c r="G286" s="91" t="s">
        <v>2179</v>
      </c>
      <c r="I286" s="91" t="s">
        <v>783</v>
      </c>
      <c r="K286" s="91" t="s">
        <v>783</v>
      </c>
      <c r="L286" s="44" t="s">
        <v>782</v>
      </c>
      <c r="M286" s="44"/>
      <c r="T286" s="365" t="b" cm="1">
        <f t="array" aca="1" ref="T286" ca="1">T285</f>
        <v>1</v>
      </c>
      <c r="X286" s="1075"/>
      <c r="Z286" s="1065"/>
      <c r="AB286" s="26" t="str">
        <f>IF(B285,D286&amp;".6",D286&amp;".4")</f>
        <v>7.4</v>
      </c>
      <c r="AC286" s="146" t="s">
        <v>1583</v>
      </c>
      <c r="AD286" s="26" t="s">
        <v>804</v>
      </c>
      <c r="AE286" s="147">
        <v>0</v>
      </c>
      <c r="AF286" s="147"/>
      <c r="AG286" s="147"/>
      <c r="AH286" s="190">
        <f t="shared" si="67"/>
        <v>0</v>
      </c>
      <c r="AI286" s="147">
        <v>0</v>
      </c>
      <c r="AJ286" s="147">
        <f>569.77+901.39</f>
        <v>1471.1599999999999</v>
      </c>
      <c r="AK286" s="787"/>
      <c r="AL286" s="787"/>
      <c r="AM286" s="787"/>
      <c r="AN286" s="787"/>
      <c r="AO286" s="787"/>
      <c r="AP286" s="787"/>
      <c r="AQ286" s="787"/>
      <c r="AR286" s="787"/>
      <c r="AS286" s="787"/>
      <c r="AT286" s="147">
        <v>901.39</v>
      </c>
      <c r="AU286" s="787"/>
      <c r="AV286" s="787"/>
      <c r="AW286" s="787"/>
      <c r="AX286" s="787"/>
      <c r="AY286" s="787"/>
      <c r="AZ286" s="787"/>
      <c r="BA286" s="787"/>
      <c r="BB286" s="787"/>
      <c r="BC286" s="787"/>
      <c r="BD286" s="552"/>
      <c r="BE286" s="552"/>
      <c r="BF286" s="552"/>
      <c r="BG286" s="552"/>
      <c r="BH286" s="552"/>
      <c r="BI286" s="552"/>
      <c r="BJ286" s="552"/>
      <c r="BK286" s="552"/>
      <c r="BL286" s="552"/>
      <c r="BM286" s="552"/>
      <c r="BN286" s="215"/>
      <c r="BO286" s="610" t="s">
        <v>2249</v>
      </c>
      <c r="BP286" s="215"/>
      <c r="BS286" s="705" t="s">
        <v>2180</v>
      </c>
    </row>
    <row r="287" spans="1:75" ht="14.65" customHeight="1">
      <c r="D287" s="44" t="str" cm="1">
        <f t="array" ref="D287">D286</f>
        <v>7</v>
      </c>
      <c r="E287" s="518">
        <v>15</v>
      </c>
      <c r="F287" s="3" t="str" cm="1">
        <f t="array" aca="1" ref="F287" ca="1">OFFSET(E287,-1,1)</f>
        <v>1</v>
      </c>
      <c r="G287" s="91" t="s">
        <v>2181</v>
      </c>
      <c r="I287" s="91" t="s">
        <v>1850</v>
      </c>
      <c r="K287" s="91" t="s">
        <v>1850</v>
      </c>
      <c r="L287" s="44" t="s">
        <v>783</v>
      </c>
      <c r="M287" s="44"/>
      <c r="T287" s="365" t="b" cm="1">
        <f t="array" aca="1" ref="T287" ca="1">T286</f>
        <v>1</v>
      </c>
      <c r="X287" s="1075"/>
      <c r="Z287" s="1065"/>
      <c r="AB287" s="26" t="str">
        <f>IF(B285,D286&amp;".7",D286&amp;".5")</f>
        <v>7.5</v>
      </c>
      <c r="AC287" s="146" t="s">
        <v>1545</v>
      </c>
      <c r="AD287" s="26" t="s">
        <v>804</v>
      </c>
      <c r="AE287" s="147">
        <v>-634.2433967833</v>
      </c>
      <c r="AF287" s="147">
        <f>AF288+AF289</f>
        <v>0</v>
      </c>
      <c r="AG287" s="147">
        <f>AG288+AG289</f>
        <v>-634.2433967833</v>
      </c>
      <c r="AH287" s="190">
        <f t="shared" si="67"/>
        <v>-634.2433967833</v>
      </c>
      <c r="AI287" s="147">
        <v>-10.7293962184</v>
      </c>
      <c r="AJ287" s="147" cm="1">
        <f t="array" ref="AJ287">AJ288</f>
        <v>0</v>
      </c>
      <c r="AK287" s="787">
        <f t="shared" ref="AK287:AS287" si="68">AK288+AK289</f>
        <v>0</v>
      </c>
      <c r="AL287" s="787">
        <f t="shared" si="68"/>
        <v>0</v>
      </c>
      <c r="AM287" s="787">
        <f t="shared" si="68"/>
        <v>0</v>
      </c>
      <c r="AN287" s="787">
        <f t="shared" si="68"/>
        <v>0</v>
      </c>
      <c r="AO287" s="787">
        <f t="shared" si="68"/>
        <v>0</v>
      </c>
      <c r="AP287" s="787">
        <f t="shared" si="68"/>
        <v>0</v>
      </c>
      <c r="AQ287" s="787">
        <f t="shared" si="68"/>
        <v>0</v>
      </c>
      <c r="AR287" s="787">
        <f t="shared" si="68"/>
        <v>0</v>
      </c>
      <c r="AS287" s="787">
        <f t="shared" si="68"/>
        <v>0</v>
      </c>
      <c r="AT287" s="147" cm="1">
        <f t="array" ref="AT287">AT288</f>
        <v>-66.366</v>
      </c>
      <c r="AU287" s="787">
        <f t="shared" ref="AU287:BC287" si="69">AU288+AU289</f>
        <v>0</v>
      </c>
      <c r="AV287" s="787">
        <f t="shared" si="69"/>
        <v>0</v>
      </c>
      <c r="AW287" s="787">
        <f t="shared" si="69"/>
        <v>0</v>
      </c>
      <c r="AX287" s="787">
        <f t="shared" si="69"/>
        <v>0</v>
      </c>
      <c r="AY287" s="787">
        <f t="shared" si="69"/>
        <v>0</v>
      </c>
      <c r="AZ287" s="787">
        <f t="shared" si="69"/>
        <v>0</v>
      </c>
      <c r="BA287" s="787">
        <f t="shared" si="69"/>
        <v>0</v>
      </c>
      <c r="BB287" s="787">
        <f t="shared" si="69"/>
        <v>0</v>
      </c>
      <c r="BC287" s="787">
        <f t="shared" si="69"/>
        <v>0</v>
      </c>
      <c r="BD287" s="190">
        <f>IF(AI287=0,0,(AT287-AI287)/AI287*100)</f>
        <v>518.54365939238937</v>
      </c>
      <c r="BE287" s="190">
        <f t="shared" ref="BE287:BM287" si="70">IF(AT287=0,0,(AU287-AT287)/AT287*100)</f>
        <v>-100</v>
      </c>
      <c r="BF287" s="190">
        <f t="shared" si="70"/>
        <v>0</v>
      </c>
      <c r="BG287" s="190">
        <f t="shared" si="70"/>
        <v>0</v>
      </c>
      <c r="BH287" s="190">
        <f t="shared" si="70"/>
        <v>0</v>
      </c>
      <c r="BI287" s="190">
        <f t="shared" si="70"/>
        <v>0</v>
      </c>
      <c r="BJ287" s="190">
        <f t="shared" si="70"/>
        <v>0</v>
      </c>
      <c r="BK287" s="190">
        <f t="shared" si="70"/>
        <v>0</v>
      </c>
      <c r="BL287" s="190">
        <f t="shared" si="70"/>
        <v>0</v>
      </c>
      <c r="BM287" s="190">
        <f t="shared" si="70"/>
        <v>0</v>
      </c>
      <c r="BN287" s="215"/>
      <c r="BO287" s="610" t="str">
        <f ca="1">IF(IFERROR(INDEX('Корректировка НВВ'!$K$26:$L$180,MATCH($F287&amp;"6komm",'Корректировка НВВ'!$K$26:$K$180,0),2),"")=0,"",IFERROR(INDEX('Корректировка НВВ'!$K$26:$L$180,MATCH($F287&amp;"6komm",'Корректировка НВВ'!$K$26:$K$180,0),2),""))</f>
        <v/>
      </c>
      <c r="BP287" s="215"/>
      <c r="BS287" s="705" t="s">
        <v>1547</v>
      </c>
    </row>
    <row r="288" spans="1:75" ht="128.25" customHeight="1">
      <c r="D288" s="44" t="str" cm="1">
        <f t="array" ref="D288">D287</f>
        <v>7</v>
      </c>
      <c r="E288" s="518">
        <v>22.5</v>
      </c>
      <c r="F288" s="3" t="str" cm="1">
        <f t="array" aca="1" ref="F288" ca="1">OFFSET(E288,-1,1)</f>
        <v>1</v>
      </c>
      <c r="G288" s="91" t="s">
        <v>2182</v>
      </c>
      <c r="I288" s="91" t="s">
        <v>2183</v>
      </c>
      <c r="K288" s="91" t="s">
        <v>2183</v>
      </c>
      <c r="L288" s="44" t="s">
        <v>1845</v>
      </c>
      <c r="M288" s="44"/>
      <c r="T288" s="365" t="b" cm="1">
        <f t="array" aca="1" ref="T288" ca="1">T287</f>
        <v>1</v>
      </c>
      <c r="X288" s="1075"/>
      <c r="Z288" s="1065"/>
      <c r="AB288" s="26" t="str">
        <f>AB287&amp;".1"</f>
        <v>7.5.1</v>
      </c>
      <c r="AC288" s="559" t="s">
        <v>1548</v>
      </c>
      <c r="AD288" s="26" t="s">
        <v>804</v>
      </c>
      <c r="AE288" s="147">
        <v>-634.2433967833</v>
      </c>
      <c r="AF288" s="147"/>
      <c r="AG288" s="147" cm="1">
        <f t="array" ref="AG288">AE288</f>
        <v>-634.2433967833</v>
      </c>
      <c r="AH288" s="190">
        <f t="shared" si="67"/>
        <v>-634.2433967833</v>
      </c>
      <c r="AI288" s="147">
        <v>-10.7293962184</v>
      </c>
      <c r="AJ288" s="147">
        <v>0</v>
      </c>
      <c r="AK288" s="787"/>
      <c r="AL288" s="787"/>
      <c r="AM288" s="787"/>
      <c r="AN288" s="787"/>
      <c r="AO288" s="787"/>
      <c r="AP288" s="787"/>
      <c r="AQ288" s="787"/>
      <c r="AR288" s="787"/>
      <c r="AS288" s="787"/>
      <c r="AT288" s="147">
        <v>-66.366</v>
      </c>
      <c r="AU288" s="787"/>
      <c r="AV288" s="787"/>
      <c r="AW288" s="787"/>
      <c r="AX288" s="787"/>
      <c r="AY288" s="787"/>
      <c r="AZ288" s="787"/>
      <c r="BA288" s="787"/>
      <c r="BB288" s="787"/>
      <c r="BC288" s="787"/>
      <c r="BD288" s="552"/>
      <c r="BE288" s="552"/>
      <c r="BF288" s="552"/>
      <c r="BG288" s="552"/>
      <c r="BH288" s="552"/>
      <c r="BI288" s="552"/>
      <c r="BJ288" s="552"/>
      <c r="BK288" s="552"/>
      <c r="BL288" s="552"/>
      <c r="BM288" s="552"/>
      <c r="BN288" s="215"/>
      <c r="BO288" s="610" t="s">
        <v>2250</v>
      </c>
      <c r="BP288" s="215"/>
      <c r="BS288" s="705" t="s">
        <v>1549</v>
      </c>
    </row>
    <row r="289" spans="1:75" ht="21.95" customHeight="1">
      <c r="D289" s="44" t="str" cm="1">
        <f t="array" ref="D289">D288</f>
        <v>7</v>
      </c>
      <c r="E289" s="518">
        <v>22.5</v>
      </c>
      <c r="F289" s="3" t="str" cm="1">
        <f t="array" aca="1" ref="F289" ca="1">OFFSET(E289,-1,1)</f>
        <v>1</v>
      </c>
      <c r="G289" s="91" t="s">
        <v>2184</v>
      </c>
      <c r="I289" s="91" t="s">
        <v>2185</v>
      </c>
      <c r="K289" s="91" t="s">
        <v>2185</v>
      </c>
      <c r="L289" s="44" t="s">
        <v>1847</v>
      </c>
      <c r="M289" s="44"/>
      <c r="T289" s="365" t="b" cm="1">
        <f t="array" aca="1" ref="T289" ca="1">T288</f>
        <v>1</v>
      </c>
      <c r="X289" s="1075"/>
      <c r="Z289" s="1065"/>
      <c r="AB289" s="26" t="str">
        <f>AB287&amp;".2"</f>
        <v>7.5.2</v>
      </c>
      <c r="AC289" s="559" t="s">
        <v>1550</v>
      </c>
      <c r="AD289" s="26" t="s">
        <v>804</v>
      </c>
      <c r="AE289" s="147">
        <v>0</v>
      </c>
      <c r="AF289" s="147"/>
      <c r="AG289" s="147"/>
      <c r="AH289" s="190">
        <f t="shared" si="67"/>
        <v>0</v>
      </c>
      <c r="AI289" s="147">
        <v>0</v>
      </c>
      <c r="AJ289" s="147">
        <f ca="1">SUMIFS('Корректировка НВВ'!$AF$25:$AF$180,'Корректировка НВВ'!$F$25:$F$180,$F289,'Корректировка НВВ'!$I$25:$I$180,$G289)</f>
        <v>0</v>
      </c>
      <c r="AK289" s="787"/>
      <c r="AL289" s="787"/>
      <c r="AM289" s="787"/>
      <c r="AN289" s="787"/>
      <c r="AO289" s="787"/>
      <c r="AP289" s="787"/>
      <c r="AQ289" s="787"/>
      <c r="AR289" s="787"/>
      <c r="AS289" s="787"/>
      <c r="AT289" s="147">
        <f ca="1">SUMIFS('Корректировка НВВ'!$AG$25:$AG$180,'Корректировка НВВ'!$F$25:$F$180,$F289,'Корректировка НВВ'!$I$25:$I$180,$G289)</f>
        <v>0</v>
      </c>
      <c r="AU289" s="787"/>
      <c r="AV289" s="787"/>
      <c r="AW289" s="787"/>
      <c r="AX289" s="787"/>
      <c r="AY289" s="787"/>
      <c r="AZ289" s="787"/>
      <c r="BA289" s="787"/>
      <c r="BB289" s="787"/>
      <c r="BC289" s="787"/>
      <c r="BD289" s="552"/>
      <c r="BE289" s="552"/>
      <c r="BF289" s="552"/>
      <c r="BG289" s="552"/>
      <c r="BH289" s="552"/>
      <c r="BI289" s="552"/>
      <c r="BJ289" s="552"/>
      <c r="BK289" s="552"/>
      <c r="BL289" s="552"/>
      <c r="BM289" s="552"/>
      <c r="BN289" s="215"/>
      <c r="BO289" s="610" t="str">
        <f ca="1">IF(IFERROR(INDEX('Корректировка НВВ'!$K$26:$L$180,MATCH($F289&amp;"8komm",'Корректировка НВВ'!$K$26:$K$180,0),2),"")=0,"",IFERROR(INDEX('Корректировка НВВ'!$K$26:$L$180,MATCH($F289&amp;"8komm",'Корректировка НВВ'!$K$26:$K$180,0),2),""))</f>
        <v/>
      </c>
      <c r="BP289" s="215"/>
      <c r="BS289" s="705" t="s">
        <v>1551</v>
      </c>
    </row>
    <row r="290" spans="1:75" ht="14.65" customHeight="1">
      <c r="D290" s="44" t="str" cm="1">
        <f t="array" ref="D290">D289</f>
        <v>7</v>
      </c>
      <c r="E290" s="518">
        <v>15</v>
      </c>
      <c r="F290" s="3" t="str" cm="1">
        <f t="array" aca="1" ref="F290" ca="1">OFFSET(E290,-1,1)</f>
        <v>1</v>
      </c>
      <c r="G290" s="91" t="s">
        <v>314</v>
      </c>
      <c r="I290" s="91" t="s">
        <v>1851</v>
      </c>
      <c r="K290" s="91" t="s">
        <v>1851</v>
      </c>
      <c r="L290" s="44" t="s">
        <v>1850</v>
      </c>
      <c r="M290" s="44"/>
      <c r="T290" s="365" t="b" cm="1">
        <f t="array" aca="1" ref="T290" ca="1">T289</f>
        <v>1</v>
      </c>
      <c r="X290" s="1075"/>
      <c r="Z290" s="1065"/>
      <c r="AB290" s="26" t="str">
        <f>IF(B285,D286&amp;".8",D286&amp;".6")</f>
        <v>7.6</v>
      </c>
      <c r="AC290" s="560" t="s">
        <v>1552</v>
      </c>
      <c r="AD290" s="26" t="s">
        <v>804</v>
      </c>
      <c r="AE290" s="147">
        <v>0</v>
      </c>
      <c r="AF290" s="147"/>
      <c r="AG290" s="147"/>
      <c r="AH290" s="190">
        <f t="shared" si="67"/>
        <v>0</v>
      </c>
      <c r="AI290" s="147">
        <v>0</v>
      </c>
      <c r="AJ290" s="147">
        <f ca="1">SUMIFS('Корректировка НВВ'!$AF$25:$AF$180,'Корректировка НВВ'!$F$25:$F$180,$F290,'Корректировка НВВ'!$I$25:$I$180,$G290)</f>
        <v>0</v>
      </c>
      <c r="AK290" s="787"/>
      <c r="AL290" s="787"/>
      <c r="AM290" s="787"/>
      <c r="AN290" s="787"/>
      <c r="AO290" s="787"/>
      <c r="AP290" s="787"/>
      <c r="AQ290" s="787"/>
      <c r="AR290" s="787"/>
      <c r="AS290" s="787"/>
      <c r="AT290" s="147">
        <f ca="1">SUMIFS('Корректировка НВВ'!$AG$25:$AG$180,'Корректировка НВВ'!$F$25:$F$180,$F290,'Корректировка НВВ'!$I$25:$I$180,$G290)</f>
        <v>0</v>
      </c>
      <c r="AU290" s="787"/>
      <c r="AV290" s="787"/>
      <c r="AW290" s="787"/>
      <c r="AX290" s="787"/>
      <c r="AY290" s="787"/>
      <c r="AZ290" s="787"/>
      <c r="BA290" s="787"/>
      <c r="BB290" s="787"/>
      <c r="BC290" s="787"/>
      <c r="BD290" s="552"/>
      <c r="BE290" s="552"/>
      <c r="BF290" s="552"/>
      <c r="BG290" s="552"/>
      <c r="BH290" s="552"/>
      <c r="BI290" s="552"/>
      <c r="BJ290" s="552"/>
      <c r="BK290" s="552"/>
      <c r="BL290" s="552"/>
      <c r="BM290" s="552"/>
      <c r="BN290" s="215"/>
      <c r="BO290" s="610" t="str">
        <f ca="1">IF(IFERROR(INDEX('Корректировка НВВ'!$K$26:$L$180,MATCH($F290&amp;"9komm",'Корректировка НВВ'!$K$26:$K$180,0),2),"")=0,"",IFERROR(INDEX('Корректировка НВВ'!$K$26:$L$180,MATCH($F290&amp;"9komm",'Корректировка НВВ'!$K$26:$K$180,0),2),""))</f>
        <v/>
      </c>
      <c r="BP290" s="215"/>
      <c r="BS290" s="705" t="s">
        <v>2186</v>
      </c>
    </row>
    <row r="291" spans="1:75" ht="14.65" customHeight="1">
      <c r="D291" s="44" t="str" cm="1">
        <f t="array" ref="D291">D290</f>
        <v>7</v>
      </c>
      <c r="E291" s="518">
        <v>15</v>
      </c>
      <c r="F291" s="3" t="str" cm="1">
        <f t="array" aca="1" ref="F291" ca="1">OFFSET(E291,-1,1)</f>
        <v>1</v>
      </c>
      <c r="G291" s="91" t="s">
        <v>2187</v>
      </c>
      <c r="I291" s="91" t="s">
        <v>1853</v>
      </c>
      <c r="K291" s="91" t="s">
        <v>1853</v>
      </c>
      <c r="L291" s="44" t="s">
        <v>1851</v>
      </c>
      <c r="M291" s="44"/>
      <c r="T291" s="365" t="b" cm="1">
        <f t="array" aca="1" ref="T291" ca="1">T290</f>
        <v>1</v>
      </c>
      <c r="X291" s="1075"/>
      <c r="Z291" s="1065"/>
      <c r="AB291" s="26" t="str">
        <f>IF(B285,D286&amp;".9",D286&amp;".7")</f>
        <v>7.7</v>
      </c>
      <c r="AC291" s="560" t="s">
        <v>1554</v>
      </c>
      <c r="AD291" s="26" t="s">
        <v>804</v>
      </c>
      <c r="AE291" s="147">
        <v>0</v>
      </c>
      <c r="AF291" s="147"/>
      <c r="AG291" s="147"/>
      <c r="AH291" s="190">
        <f t="shared" si="67"/>
        <v>0</v>
      </c>
      <c r="AI291" s="147">
        <v>0</v>
      </c>
      <c r="AJ291" s="147">
        <f ca="1">SUMIFS('Корректировка НВВ'!$AF$25:$AF$180,'Корректировка НВВ'!$F$25:$F$180,$F291,'Корректировка НВВ'!$I$25:$I$180,$G291)</f>
        <v>0</v>
      </c>
      <c r="AK291" s="787"/>
      <c r="AL291" s="787"/>
      <c r="AM291" s="787"/>
      <c r="AN291" s="787"/>
      <c r="AO291" s="787"/>
      <c r="AP291" s="787"/>
      <c r="AQ291" s="787"/>
      <c r="AR291" s="787"/>
      <c r="AS291" s="787"/>
      <c r="AT291" s="147">
        <f ca="1">SUMIFS('Корректировка НВВ'!$AG$25:$AG$180,'Корректировка НВВ'!$F$25:$F$180,$F291,'Корректировка НВВ'!$I$25:$I$180,$G291)</f>
        <v>0</v>
      </c>
      <c r="AU291" s="787"/>
      <c r="AV291" s="787"/>
      <c r="AW291" s="787"/>
      <c r="AX291" s="787"/>
      <c r="AY291" s="787"/>
      <c r="AZ291" s="787"/>
      <c r="BA291" s="787"/>
      <c r="BB291" s="787"/>
      <c r="BC291" s="787"/>
      <c r="BD291" s="552"/>
      <c r="BE291" s="552"/>
      <c r="BF291" s="552"/>
      <c r="BG291" s="552"/>
      <c r="BH291" s="552"/>
      <c r="BI291" s="552"/>
      <c r="BJ291" s="552"/>
      <c r="BK291" s="552"/>
      <c r="BL291" s="552"/>
      <c r="BM291" s="552"/>
      <c r="BN291" s="215"/>
      <c r="BO291" s="610" t="str">
        <f ca="1">IF(IFERROR(INDEX('Корректировка НВВ'!$K$26:$L$180,MATCH($F291&amp;"10komm",'Корректировка НВВ'!$K$26:$K$180,0),2),"")=0,"",IFERROR(INDEX('Корректировка НВВ'!$K$26:$L$180,MATCH($F291&amp;"10komm",'Корректировка НВВ'!$K$26:$K$180,0),2),""))</f>
        <v/>
      </c>
      <c r="BP291" s="215"/>
      <c r="BS291" s="705" t="s">
        <v>1555</v>
      </c>
    </row>
    <row r="292" spans="1:75" s="950" customFormat="1" ht="90.6" customHeight="1">
      <c r="A292" s="95"/>
      <c r="B292" s="344"/>
      <c r="C292" s="95"/>
      <c r="D292" s="46">
        <f>D291+1</f>
        <v>8</v>
      </c>
      <c r="E292" s="522">
        <v>21</v>
      </c>
      <c r="F292" s="3" t="str" cm="1">
        <f t="array" aca="1" ref="F292" ca="1">OFFSET(E292,-1,1)</f>
        <v>1</v>
      </c>
      <c r="G292" s="95"/>
      <c r="H292" s="95"/>
      <c r="I292" s="95" t="s">
        <v>585</v>
      </c>
      <c r="J292" s="95"/>
      <c r="K292" s="95" t="s">
        <v>585</v>
      </c>
      <c r="L292" s="46"/>
      <c r="M292" s="46"/>
      <c r="N292" s="95"/>
      <c r="O292" s="95"/>
      <c r="P292" s="95"/>
      <c r="Q292" s="95"/>
      <c r="R292" s="95"/>
      <c r="S292" s="95"/>
      <c r="T292" s="365" t="b" cm="1">
        <f t="array" aca="1" ref="T292" ca="1">T291</f>
        <v>1</v>
      </c>
      <c r="U292" s="95"/>
      <c r="V292" s="95"/>
      <c r="W292" s="95"/>
      <c r="X292" s="1075"/>
      <c r="Y292" s="95"/>
      <c r="Z292" s="1065"/>
      <c r="AA292" s="95"/>
      <c r="AB292" s="143" cm="1">
        <f t="array" ref="AB292">D292</f>
        <v>8</v>
      </c>
      <c r="AC292" s="144" t="s">
        <v>2188</v>
      </c>
      <c r="AD292" s="143" t="s">
        <v>804</v>
      </c>
      <c r="AE292" s="157">
        <v>-3645.8989999999999</v>
      </c>
      <c r="AF292" s="157"/>
      <c r="AG292" s="157" cm="1">
        <f t="array" ref="AG292">AE292</f>
        <v>-3645.8989999999999</v>
      </c>
      <c r="AH292" s="145">
        <f t="shared" si="67"/>
        <v>-3645.8989999999999</v>
      </c>
      <c r="AI292" s="157">
        <v>-7118.6058999999996</v>
      </c>
      <c r="AJ292" s="157">
        <v>10764.5</v>
      </c>
      <c r="AK292" s="783"/>
      <c r="AL292" s="783"/>
      <c r="AM292" s="783"/>
      <c r="AN292" s="783"/>
      <c r="AO292" s="783"/>
      <c r="AP292" s="783"/>
      <c r="AQ292" s="783"/>
      <c r="AR292" s="783"/>
      <c r="AS292" s="783"/>
      <c r="AT292" s="157">
        <v>-7276.9459999999999</v>
      </c>
      <c r="AU292" s="783"/>
      <c r="AV292" s="783"/>
      <c r="AW292" s="783"/>
      <c r="AX292" s="783"/>
      <c r="AY292" s="783"/>
      <c r="AZ292" s="783"/>
      <c r="BA292" s="783"/>
      <c r="BB292" s="783"/>
      <c r="BC292" s="783"/>
      <c r="BD292" s="148"/>
      <c r="BE292" s="148"/>
      <c r="BF292" s="148"/>
      <c r="BG292" s="148"/>
      <c r="BH292" s="148"/>
      <c r="BI292" s="148"/>
      <c r="BJ292" s="148"/>
      <c r="BK292" s="148"/>
      <c r="BL292" s="148"/>
      <c r="BM292" s="148"/>
      <c r="BN292" s="566"/>
      <c r="BO292" s="566" t="s">
        <v>2251</v>
      </c>
      <c r="BP292" s="566" t="s">
        <v>2252</v>
      </c>
      <c r="BQ292" s="95"/>
      <c r="BR292" s="95"/>
      <c r="BS292" s="711" t="s">
        <v>2189</v>
      </c>
      <c r="BT292" s="711"/>
      <c r="BU292" s="711"/>
      <c r="BV292" s="522"/>
      <c r="BW292" s="522"/>
    </row>
    <row r="293" spans="1:75" ht="14.25" customHeight="1">
      <c r="D293" s="46" cm="1">
        <f t="array" ref="D293">D292</f>
        <v>8</v>
      </c>
      <c r="E293" s="518">
        <v>15</v>
      </c>
      <c r="F293" s="3" t="str" cm="1">
        <f t="array" aca="1" ref="F293" ca="1">OFFSET(E293,-1,1)</f>
        <v>1</v>
      </c>
      <c r="I293" s="91" t="s">
        <v>589</v>
      </c>
      <c r="K293" s="91" t="s">
        <v>589</v>
      </c>
      <c r="L293" s="44"/>
      <c r="M293" s="44"/>
      <c r="T293" s="365" t="b" cm="1">
        <f t="array" aca="1" ref="T293" ca="1">T292</f>
        <v>1</v>
      </c>
      <c r="X293" s="1075"/>
      <c r="Z293" s="1065"/>
      <c r="AB293" s="26" t="str">
        <f>D293&amp;".1"</f>
        <v>8.1</v>
      </c>
      <c r="AC293" s="146" t="s">
        <v>2190</v>
      </c>
      <c r="AD293" s="26" t="s">
        <v>456</v>
      </c>
      <c r="AE293" s="190">
        <f ca="1">IF(AE294=0,0,AE292/(AE294+AE279)*100)</f>
        <v>-8.8386331269735283</v>
      </c>
      <c r="AF293" s="190">
        <f ca="1">IF(AF294=0,0,AF292/(AF294+AF279)*100)</f>
        <v>0</v>
      </c>
      <c r="AG293" s="190">
        <f ca="1">IF(AG294=0,0,AG292/(AG294+AG279)*100)</f>
        <v>-8.5840645890916534</v>
      </c>
      <c r="AH293" s="190">
        <f t="shared" ca="1" si="67"/>
        <v>-8.5840645890916534</v>
      </c>
      <c r="AI293" s="190">
        <f t="shared" ref="AI293:BC293" ca="1" si="71">IF(AI294=0,0,AI292/(AI294+AI279)*100)</f>
        <v>-14.749322288460606</v>
      </c>
      <c r="AJ293" s="190">
        <f t="shared" ca="1" si="71"/>
        <v>15.447479196409287</v>
      </c>
      <c r="AK293" s="190">
        <f t="shared" ca="1" si="71"/>
        <v>0</v>
      </c>
      <c r="AL293" s="190">
        <f t="shared" ca="1" si="71"/>
        <v>0</v>
      </c>
      <c r="AM293" s="190">
        <f t="shared" ca="1" si="71"/>
        <v>0</v>
      </c>
      <c r="AN293" s="190">
        <f t="shared" ca="1" si="71"/>
        <v>0</v>
      </c>
      <c r="AO293" s="190">
        <f t="shared" ca="1" si="71"/>
        <v>0</v>
      </c>
      <c r="AP293" s="190">
        <f t="shared" ca="1" si="71"/>
        <v>0</v>
      </c>
      <c r="AQ293" s="190">
        <f t="shared" ca="1" si="71"/>
        <v>0</v>
      </c>
      <c r="AR293" s="190">
        <f t="shared" ca="1" si="71"/>
        <v>0</v>
      </c>
      <c r="AS293" s="190">
        <f t="shared" ca="1" si="71"/>
        <v>0</v>
      </c>
      <c r="AT293" s="190">
        <f t="shared" ca="1" si="71"/>
        <v>-13.96756853331518</v>
      </c>
      <c r="AU293" s="190">
        <f t="shared" ca="1" si="71"/>
        <v>0</v>
      </c>
      <c r="AV293" s="190">
        <f t="shared" ca="1" si="71"/>
        <v>0</v>
      </c>
      <c r="AW293" s="190">
        <f t="shared" ca="1" si="71"/>
        <v>0</v>
      </c>
      <c r="AX293" s="190">
        <f t="shared" ca="1" si="71"/>
        <v>0</v>
      </c>
      <c r="AY293" s="190">
        <f t="shared" ca="1" si="71"/>
        <v>0</v>
      </c>
      <c r="AZ293" s="190">
        <f t="shared" ca="1" si="71"/>
        <v>0</v>
      </c>
      <c r="BA293" s="190">
        <f t="shared" ca="1" si="71"/>
        <v>0</v>
      </c>
      <c r="BB293" s="190">
        <f t="shared" ca="1" si="71"/>
        <v>0</v>
      </c>
      <c r="BC293" s="190">
        <f t="shared" ca="1" si="71"/>
        <v>0</v>
      </c>
      <c r="BD293" s="552"/>
      <c r="BE293" s="552"/>
      <c r="BF293" s="552"/>
      <c r="BG293" s="552"/>
      <c r="BH293" s="552"/>
      <c r="BI293" s="552"/>
      <c r="BJ293" s="552"/>
      <c r="BK293" s="552"/>
      <c r="BL293" s="552"/>
      <c r="BM293" s="552"/>
      <c r="BN293" s="215"/>
      <c r="BO293" s="215"/>
      <c r="BP293" s="215"/>
      <c r="BS293" s="705" t="s">
        <v>2191</v>
      </c>
    </row>
    <row r="294" spans="1:75" s="950" customFormat="1" ht="12.75" customHeight="1">
      <c r="A294" s="95"/>
      <c r="B294" s="344"/>
      <c r="C294" s="95"/>
      <c r="D294" s="46">
        <f>D293+1</f>
        <v>9</v>
      </c>
      <c r="E294" s="522">
        <v>21</v>
      </c>
      <c r="F294" s="3" t="str" cm="1">
        <f t="array" aca="1" ref="F294" ca="1">OFFSET(E294,-1,1)</f>
        <v>1</v>
      </c>
      <c r="G294" s="95"/>
      <c r="H294" s="91"/>
      <c r="I294" s="91" t="s">
        <v>743</v>
      </c>
      <c r="J294" s="95"/>
      <c r="K294" s="91" t="s">
        <v>743</v>
      </c>
      <c r="L294" s="46" t="s">
        <v>1853</v>
      </c>
      <c r="M294" s="46"/>
      <c r="N294" s="95"/>
      <c r="O294" s="95"/>
      <c r="P294" s="95"/>
      <c r="Q294" s="95"/>
      <c r="R294" s="95"/>
      <c r="S294" s="95"/>
      <c r="T294" s="365" t="b" cm="1">
        <f t="array" aca="1" ref="T294" ca="1">T293</f>
        <v>1</v>
      </c>
      <c r="U294" s="95"/>
      <c r="V294" s="95"/>
      <c r="W294" s="95"/>
      <c r="X294" s="1075"/>
      <c r="Y294" s="95"/>
      <c r="Z294" s="1065"/>
      <c r="AA294" s="95"/>
      <c r="AB294" s="143" cm="1">
        <f t="array" ref="AB294">D294</f>
        <v>9</v>
      </c>
      <c r="AC294" s="144" t="s">
        <v>1855</v>
      </c>
      <c r="AD294" s="166" t="s">
        <v>804</v>
      </c>
      <c r="AE294" s="145">
        <f ca="1">AE172+AE222+AE258+AE259+AE261+AE266+AE267+AE270</f>
        <v>41883.822914610922</v>
      </c>
      <c r="AF294" s="145">
        <f ca="1">AF172+AF222+AF258+AF259+AF261+AF266+AF267+AF270</f>
        <v>46801.884786359995</v>
      </c>
      <c r="AG294" s="145">
        <f ca="1">AG172+AG222+AG258+AG259+AG261+AG266+AG267+AG270</f>
        <v>43107.118130660398</v>
      </c>
      <c r="AH294" s="145">
        <f t="shared" ca="1" si="67"/>
        <v>-3694.7666556995973</v>
      </c>
      <c r="AI294" s="145">
        <f t="shared" ref="AI294:BC294" ca="1" si="72">AI172+AI222+AI258+AI259+AI261+AI266+AI267+AI270</f>
        <v>46790.316100074204</v>
      </c>
      <c r="AJ294" s="145">
        <f t="shared" ca="1" si="72"/>
        <v>59015.145800000006</v>
      </c>
      <c r="AK294" s="145">
        <f t="shared" ca="1" si="72"/>
        <v>37817.550000000003</v>
      </c>
      <c r="AL294" s="145">
        <f t="shared" ca="1" si="72"/>
        <v>37817.550000000003</v>
      </c>
      <c r="AM294" s="145">
        <f t="shared" ca="1" si="72"/>
        <v>37817.550000000003</v>
      </c>
      <c r="AN294" s="145">
        <f t="shared" ca="1" si="72"/>
        <v>37817.550000000003</v>
      </c>
      <c r="AO294" s="145">
        <f t="shared" ca="1" si="72"/>
        <v>37817.550000000003</v>
      </c>
      <c r="AP294" s="145">
        <f t="shared" ca="1" si="72"/>
        <v>37817.550000000003</v>
      </c>
      <c r="AQ294" s="145">
        <f t="shared" ca="1" si="72"/>
        <v>37817.550000000003</v>
      </c>
      <c r="AR294" s="145">
        <f t="shared" ca="1" si="72"/>
        <v>37817.550000000003</v>
      </c>
      <c r="AS294" s="145">
        <f t="shared" ca="1" si="72"/>
        <v>37817.550000000003</v>
      </c>
      <c r="AT294" s="145">
        <f t="shared" ca="1" si="72"/>
        <v>49472.687733747189</v>
      </c>
      <c r="AU294" s="145">
        <f t="shared" ca="1" si="72"/>
        <v>32268.899611029039</v>
      </c>
      <c r="AV294" s="145">
        <f t="shared" ca="1" si="72"/>
        <v>32268.899611029039</v>
      </c>
      <c r="AW294" s="145">
        <f t="shared" ca="1" si="72"/>
        <v>32268.899611029039</v>
      </c>
      <c r="AX294" s="145">
        <f t="shared" ca="1" si="72"/>
        <v>32268.899611029039</v>
      </c>
      <c r="AY294" s="145">
        <f t="shared" ca="1" si="72"/>
        <v>32268.899611029039</v>
      </c>
      <c r="AZ294" s="145">
        <f t="shared" ca="1" si="72"/>
        <v>32268.899611029039</v>
      </c>
      <c r="BA294" s="145">
        <f t="shared" ca="1" si="72"/>
        <v>32268.899611029039</v>
      </c>
      <c r="BB294" s="145">
        <f t="shared" ca="1" si="72"/>
        <v>32268.899611029039</v>
      </c>
      <c r="BC294" s="145">
        <f t="shared" ca="1" si="72"/>
        <v>32268.899611029039</v>
      </c>
      <c r="BD294" s="145">
        <f ca="1">IF(AI294=0,0,(AT294-AI294)/AI294*100)</f>
        <v>5.7327495457307478</v>
      </c>
      <c r="BE294" s="145">
        <f t="shared" ref="BE294:BM295" ca="1" si="73">IF(AT294=0,0,(AU294-AT294)/AT294*100)</f>
        <v>-34.77431469926546</v>
      </c>
      <c r="BF294" s="145">
        <f t="shared" ca="1" si="73"/>
        <v>0</v>
      </c>
      <c r="BG294" s="145">
        <f t="shared" ca="1" si="73"/>
        <v>0</v>
      </c>
      <c r="BH294" s="145">
        <f t="shared" ca="1" si="73"/>
        <v>0</v>
      </c>
      <c r="BI294" s="145">
        <f t="shared" ca="1" si="73"/>
        <v>0</v>
      </c>
      <c r="BJ294" s="145">
        <f t="shared" ca="1" si="73"/>
        <v>0</v>
      </c>
      <c r="BK294" s="145">
        <f t="shared" ca="1" si="73"/>
        <v>0</v>
      </c>
      <c r="BL294" s="145">
        <f t="shared" ca="1" si="73"/>
        <v>0</v>
      </c>
      <c r="BM294" s="145">
        <f t="shared" ca="1" si="73"/>
        <v>0</v>
      </c>
      <c r="BN294" s="215"/>
      <c r="BO294" s="215"/>
      <c r="BP294" s="215"/>
      <c r="BQ294" s="95"/>
      <c r="BR294" s="95"/>
      <c r="BS294" s="711" t="s">
        <v>1856</v>
      </c>
      <c r="BT294" s="711"/>
      <c r="BU294" s="711"/>
      <c r="BV294" s="522"/>
      <c r="BW294" s="522"/>
    </row>
    <row r="295" spans="1:75" s="950" customFormat="1" ht="20.25" customHeight="1">
      <c r="A295" s="95"/>
      <c r="B295" s="344"/>
      <c r="C295" s="95"/>
      <c r="D295" s="46">
        <f>D294+1</f>
        <v>10</v>
      </c>
      <c r="E295" s="522">
        <v>21</v>
      </c>
      <c r="F295" s="3" t="str" cm="1">
        <f t="array" aca="1" ref="F295" ca="1">OFFSET(E295,-1,1)</f>
        <v>1</v>
      </c>
      <c r="G295" s="95"/>
      <c r="H295" s="91"/>
      <c r="I295" s="91" t="s">
        <v>1865</v>
      </c>
      <c r="J295" s="95"/>
      <c r="K295" s="91" t="s">
        <v>1865</v>
      </c>
      <c r="L295" s="46"/>
      <c r="M295" s="46"/>
      <c r="N295" s="95"/>
      <c r="O295" s="95"/>
      <c r="P295" s="95"/>
      <c r="Q295" s="95"/>
      <c r="R295" s="95"/>
      <c r="S295" s="95"/>
      <c r="T295" s="365" t="b" cm="1">
        <f t="array" aca="1" ref="T295" ca="1">T294</f>
        <v>1</v>
      </c>
      <c r="U295" s="95"/>
      <c r="V295" s="95"/>
      <c r="W295" s="95"/>
      <c r="X295" s="1075"/>
      <c r="Y295" s="95"/>
      <c r="Z295" s="1065"/>
      <c r="AA295" s="95"/>
      <c r="AB295" s="143" cm="1">
        <f t="array" ref="AB295">D295</f>
        <v>10</v>
      </c>
      <c r="AC295" s="144" t="s">
        <v>2192</v>
      </c>
      <c r="AD295" s="143" t="s">
        <v>804</v>
      </c>
      <c r="AE295" s="145">
        <f t="shared" ref="AE295:BC295" ca="1" si="74">AE294+AE279+AE292</f>
        <v>37603.680517827626</v>
      </c>
      <c r="AF295" s="145">
        <f t="shared" ca="1" si="74"/>
        <v>46801.884786359995</v>
      </c>
      <c r="AG295" s="145">
        <f t="shared" ca="1" si="74"/>
        <v>38826.975733877101</v>
      </c>
      <c r="AH295" s="145">
        <f t="shared" ca="1" si="74"/>
        <v>-7974.9090524828971</v>
      </c>
      <c r="AI295" s="145">
        <f t="shared" ca="1" si="74"/>
        <v>41145.346577120705</v>
      </c>
      <c r="AJ295" s="145">
        <f t="shared" ca="1" si="74"/>
        <v>80449.008800000011</v>
      </c>
      <c r="AK295" s="145">
        <f t="shared" ca="1" si="74"/>
        <v>37817.550000000003</v>
      </c>
      <c r="AL295" s="145">
        <f t="shared" ca="1" si="74"/>
        <v>37817.550000000003</v>
      </c>
      <c r="AM295" s="145">
        <f t="shared" ca="1" si="74"/>
        <v>37817.550000000003</v>
      </c>
      <c r="AN295" s="145">
        <f t="shared" ca="1" si="74"/>
        <v>37817.550000000003</v>
      </c>
      <c r="AO295" s="145">
        <f t="shared" ca="1" si="74"/>
        <v>37817.550000000003</v>
      </c>
      <c r="AP295" s="145">
        <f t="shared" ca="1" si="74"/>
        <v>37817.550000000003</v>
      </c>
      <c r="AQ295" s="145">
        <f t="shared" ca="1" si="74"/>
        <v>37817.550000000003</v>
      </c>
      <c r="AR295" s="145">
        <f t="shared" ca="1" si="74"/>
        <v>37817.550000000003</v>
      </c>
      <c r="AS295" s="145">
        <f t="shared" ca="1" si="74"/>
        <v>37817.550000000003</v>
      </c>
      <c r="AT295" s="145">
        <f t="shared" ca="1" si="74"/>
        <v>44821.928493747182</v>
      </c>
      <c r="AU295" s="145">
        <f t="shared" ca="1" si="74"/>
        <v>32268.899611029039</v>
      </c>
      <c r="AV295" s="145">
        <f t="shared" ca="1" si="74"/>
        <v>32268.899611029039</v>
      </c>
      <c r="AW295" s="145">
        <f t="shared" ca="1" si="74"/>
        <v>32268.899611029039</v>
      </c>
      <c r="AX295" s="145">
        <f t="shared" ca="1" si="74"/>
        <v>32268.899611029039</v>
      </c>
      <c r="AY295" s="145">
        <f t="shared" ca="1" si="74"/>
        <v>32268.899611029039</v>
      </c>
      <c r="AZ295" s="145">
        <f t="shared" ca="1" si="74"/>
        <v>32268.899611029039</v>
      </c>
      <c r="BA295" s="145">
        <f t="shared" ca="1" si="74"/>
        <v>32268.899611029039</v>
      </c>
      <c r="BB295" s="145">
        <f t="shared" ca="1" si="74"/>
        <v>32268.899611029039</v>
      </c>
      <c r="BC295" s="145">
        <f t="shared" ca="1" si="74"/>
        <v>32268.899611029039</v>
      </c>
      <c r="BD295" s="145">
        <f ca="1">IF(AI295=0,0,(AT295-AI295)/AI295*100)</f>
        <v>8.9355959360684505</v>
      </c>
      <c r="BE295" s="145">
        <f t="shared" ca="1" si="73"/>
        <v>-28.006445292663688</v>
      </c>
      <c r="BF295" s="145">
        <f t="shared" ca="1" si="73"/>
        <v>0</v>
      </c>
      <c r="BG295" s="145">
        <f t="shared" ca="1" si="73"/>
        <v>0</v>
      </c>
      <c r="BH295" s="145">
        <f t="shared" ca="1" si="73"/>
        <v>0</v>
      </c>
      <c r="BI295" s="145">
        <f t="shared" ca="1" si="73"/>
        <v>0</v>
      </c>
      <c r="BJ295" s="145">
        <f t="shared" ca="1" si="73"/>
        <v>0</v>
      </c>
      <c r="BK295" s="145">
        <f t="shared" ca="1" si="73"/>
        <v>0</v>
      </c>
      <c r="BL295" s="145">
        <f t="shared" ca="1" si="73"/>
        <v>0</v>
      </c>
      <c r="BM295" s="145">
        <f t="shared" ca="1" si="73"/>
        <v>0</v>
      </c>
      <c r="BN295" s="215"/>
      <c r="BO295" s="215"/>
      <c r="BP295" s="215"/>
      <c r="BQ295" s="95"/>
      <c r="BR295" s="95"/>
      <c r="BS295" s="711" t="s">
        <v>2193</v>
      </c>
      <c r="BT295" s="711"/>
      <c r="BU295" s="711"/>
      <c r="BV295" s="522"/>
      <c r="BW295" s="522"/>
    </row>
    <row r="296" spans="1:75" ht="14.25" hidden="1" customHeight="1">
      <c r="B296" s="353" t="b">
        <f>A171="двухставочный"</f>
        <v>0</v>
      </c>
      <c r="D296" s="44" cm="1">
        <f t="array" ref="D296">D295</f>
        <v>10</v>
      </c>
      <c r="E296" s="518">
        <v>15</v>
      </c>
      <c r="F296" s="3" t="str" cm="1">
        <f t="array" aca="1" ref="F296" ca="1">OFFSET(E296,-1,1)</f>
        <v>1</v>
      </c>
      <c r="H296" s="2"/>
      <c r="I296" s="291" t="s">
        <v>1869</v>
      </c>
      <c r="K296" s="291" t="s">
        <v>1869</v>
      </c>
      <c r="L296" s="44" t="s">
        <v>1857</v>
      </c>
      <c r="M296" s="44"/>
      <c r="T296" s="365" t="b" cm="1">
        <f t="array" aca="1" ref="T296" ca="1">T295</f>
        <v>1</v>
      </c>
      <c r="X296" s="1075"/>
      <c r="Z296" s="1065"/>
      <c r="AB296" s="26" t="str">
        <f>D296&amp;".1"</f>
        <v>10.1</v>
      </c>
      <c r="AC296" s="560" t="s">
        <v>1859</v>
      </c>
      <c r="AD296" s="26" t="s">
        <v>804</v>
      </c>
      <c r="AE296" s="787"/>
      <c r="AF296" s="787"/>
      <c r="AG296" s="787"/>
      <c r="AH296" s="190">
        <f t="shared" ref="AH296:AH302" si="75">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52"/>
      <c r="BE296" s="552"/>
      <c r="BF296" s="552"/>
      <c r="BG296" s="552"/>
      <c r="BH296" s="552"/>
      <c r="BI296" s="552"/>
      <c r="BJ296" s="552"/>
      <c r="BK296" s="552"/>
      <c r="BL296" s="552"/>
      <c r="BM296" s="552"/>
      <c r="BN296" s="784"/>
      <c r="BO296" s="784"/>
      <c r="BP296" s="784"/>
      <c r="BS296" s="703" t="s">
        <v>1860</v>
      </c>
    </row>
    <row r="297" spans="1:75" ht="14.25" hidden="1" customHeight="1">
      <c r="B297" s="353" t="b">
        <f>A171="двухставочный"</f>
        <v>0</v>
      </c>
      <c r="D297" s="44" cm="1">
        <f t="array" ref="D297">D296</f>
        <v>10</v>
      </c>
      <c r="E297" s="518">
        <v>15</v>
      </c>
      <c r="F297" s="3" t="str" cm="1">
        <f t="array" aca="1" ref="F297" ca="1">OFFSET(E297,-1,1)</f>
        <v>1</v>
      </c>
      <c r="H297" s="2"/>
      <c r="I297" s="291" t="s">
        <v>1873</v>
      </c>
      <c r="K297" s="291" t="s">
        <v>1873</v>
      </c>
      <c r="L297" s="44" t="s">
        <v>1861</v>
      </c>
      <c r="M297" s="44"/>
      <c r="T297" s="365" t="b" cm="1">
        <f t="array" aca="1" ref="T297" ca="1">T296</f>
        <v>1</v>
      </c>
      <c r="X297" s="1075"/>
      <c r="Z297" s="1065"/>
      <c r="AB297" s="26" t="str">
        <f>D297&amp;".2"</f>
        <v>10.2</v>
      </c>
      <c r="AC297" s="560" t="s">
        <v>1863</v>
      </c>
      <c r="AD297" s="26" t="s">
        <v>804</v>
      </c>
      <c r="AE297" s="787"/>
      <c r="AF297" s="787"/>
      <c r="AG297" s="787"/>
      <c r="AH297" s="190">
        <f t="shared" si="75"/>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52"/>
      <c r="BE297" s="552"/>
      <c r="BF297" s="552"/>
      <c r="BG297" s="552"/>
      <c r="BH297" s="552"/>
      <c r="BI297" s="552"/>
      <c r="BJ297" s="552"/>
      <c r="BK297" s="552"/>
      <c r="BL297" s="552"/>
      <c r="BM297" s="552"/>
      <c r="BN297" s="784"/>
      <c r="BO297" s="784"/>
      <c r="BP297" s="784"/>
      <c r="BS297" s="703" t="s">
        <v>1864</v>
      </c>
    </row>
    <row r="298" spans="1:75" s="950" customFormat="1" ht="20.25" customHeight="1">
      <c r="A298" s="95"/>
      <c r="B298" s="344"/>
      <c r="C298" s="95"/>
      <c r="D298" s="46">
        <f>D297+1</f>
        <v>11</v>
      </c>
      <c r="E298" s="522">
        <v>21</v>
      </c>
      <c r="F298" s="3" t="str" cm="1">
        <f t="array" aca="1" ref="F298" ca="1">OFFSET(E298,-1,1)</f>
        <v>1</v>
      </c>
      <c r="G298" s="91" t="s">
        <v>1633</v>
      </c>
      <c r="H298" s="91"/>
      <c r="I298" s="91" t="s">
        <v>1893</v>
      </c>
      <c r="J298" s="95"/>
      <c r="K298" s="91" t="s">
        <v>1893</v>
      </c>
      <c r="L298" s="46" t="s">
        <v>1865</v>
      </c>
      <c r="M298" s="46"/>
      <c r="N298" s="95"/>
      <c r="O298" s="95"/>
      <c r="P298" s="95"/>
      <c r="Q298" s="95"/>
      <c r="R298" s="95"/>
      <c r="S298" s="95"/>
      <c r="T298" s="365" t="b" cm="1">
        <f t="array" aca="1" ref="T298" ca="1">T297</f>
        <v>1</v>
      </c>
      <c r="U298" s="95"/>
      <c r="V298" s="95"/>
      <c r="W298" s="95"/>
      <c r="X298" s="1075"/>
      <c r="Y298" s="95"/>
      <c r="Z298" s="1065"/>
      <c r="AA298" s="95"/>
      <c r="AB298" s="143" cm="1">
        <f t="array" ref="AB298">D298</f>
        <v>11</v>
      </c>
      <c r="AC298" s="144" t="s">
        <v>1867</v>
      </c>
      <c r="AD298" s="143" t="s">
        <v>534</v>
      </c>
      <c r="AE298" s="562">
        <f ca="1">SUMIFS(Баланс!AE$26:AE$300,Баланс!$F$26:$F$300,$F298,Баланс!$G$26:$G$300,"ПО")</f>
        <v>976.59204435740003</v>
      </c>
      <c r="AF298" s="562">
        <f ca="1">SUMIFS(Баланс!AF$26:AF$300,Баланс!$F$26:$F$300,$F298,Баланс!$G$26:$G$300,"ПО")</f>
        <v>961.84399999999994</v>
      </c>
      <c r="AG298" s="562">
        <f ca="1">SUMIFS(Баланс!AG$26:AG$300,Баланс!$F$26:$F$300,$F298,Баланс!$G$26:$G$300,"ПО")</f>
        <v>961.84399999999994</v>
      </c>
      <c r="AH298" s="562">
        <f t="shared" ca="1" si="75"/>
        <v>0</v>
      </c>
      <c r="AI298" s="562">
        <f ca="1">SUMIFS(Баланс!AH$26:AH$300,Баланс!$F$26:$F$300,$F298,Баланс!$G$26:$G$300,"ПО")</f>
        <v>973.04300000000001</v>
      </c>
      <c r="AJ298" s="562">
        <f ca="1">SUMIFS(Баланс!AI$26:AI$300,Баланс!$F$26:$F$300,$F298,Баланс!$G$26:$G$300,"ПО")</f>
        <v>960.18599999999992</v>
      </c>
      <c r="AK298" s="562">
        <f ca="1">SUMIFS(Баланс!AJ$26:AJ$300,Баланс!$F$26:$F$300,$F298,Баланс!$G$26:$G$300,"ПО")</f>
        <v>0</v>
      </c>
      <c r="AL298" s="562">
        <f ca="1">SUMIFS(Баланс!AK$26:AK$300,Баланс!$F$26:$F$300,$F298,Баланс!$G$26:$G$300,"ПО")</f>
        <v>0</v>
      </c>
      <c r="AM298" s="562">
        <f ca="1">SUMIFS(Баланс!AL$26:AL$300,Баланс!$F$26:$F$300,$F298,Баланс!$G$26:$G$300,"ПО")</f>
        <v>0</v>
      </c>
      <c r="AN298" s="562">
        <f ca="1">SUMIFS(Баланс!AM$26:AM$300,Баланс!$F$26:$F$300,$F298,Баланс!$G$26:$G$300,"ПО")</f>
        <v>0</v>
      </c>
      <c r="AO298" s="562">
        <f ca="1">SUMIFS(Баланс!AN$26:AN$300,Баланс!$F$26:$F$300,$F298,Баланс!$G$26:$G$300,"ПО")</f>
        <v>0</v>
      </c>
      <c r="AP298" s="562">
        <f ca="1">SUMIFS(Баланс!AO$26:AO$300,Баланс!$F$26:$F$300,$F298,Баланс!$G$26:$G$300,"ПО")</f>
        <v>0</v>
      </c>
      <c r="AQ298" s="562">
        <f ca="1">SUMIFS(Баланс!AP$26:AP$300,Баланс!$F$26:$F$300,$F298,Баланс!$G$26:$G$300,"ПО")</f>
        <v>0</v>
      </c>
      <c r="AR298" s="562">
        <f ca="1">SUMIFS(Баланс!AQ$26:AQ$300,Баланс!$F$26:$F$300,$F298,Баланс!$G$26:$G$300,"ПО")</f>
        <v>0</v>
      </c>
      <c r="AS298" s="562">
        <f ca="1">SUMIFS(Баланс!AR$26:AR$300,Баланс!$F$26:$F$300,$F298,Баланс!$G$26:$G$300,"ПО")</f>
        <v>0</v>
      </c>
      <c r="AT298" s="562">
        <f ca="1">SUMIFS(Баланс!AS$26:AS$300,Баланс!$F$26:$F$300,$F298,Баланс!$G$26:$G$300,"ПО")</f>
        <v>961.84399999999994</v>
      </c>
      <c r="AU298" s="562">
        <f ca="1">SUMIFS(Баланс!AT$26:AT$300,Баланс!$F$26:$F$300,$F298,Баланс!$G$26:$G$300,"ПО")</f>
        <v>0</v>
      </c>
      <c r="AV298" s="562">
        <f ca="1">SUMIFS(Баланс!AU$26:AU$300,Баланс!$F$26:$F$300,$F298,Баланс!$G$26:$G$300,"ПО")</f>
        <v>0</v>
      </c>
      <c r="AW298" s="562">
        <f ca="1">SUMIFS(Баланс!AV$26:AV$300,Баланс!$F$26:$F$300,$F298,Баланс!$G$26:$G$300,"ПО")</f>
        <v>0</v>
      </c>
      <c r="AX298" s="562">
        <f ca="1">SUMIFS(Баланс!AW$26:AW$300,Баланс!$F$26:$F$300,$F298,Баланс!$G$26:$G$300,"ПО")</f>
        <v>0</v>
      </c>
      <c r="AY298" s="562">
        <f ca="1">SUMIFS(Баланс!AX$26:AX$300,Баланс!$F$26:$F$300,$F298,Баланс!$G$26:$G$300,"ПО")</f>
        <v>0</v>
      </c>
      <c r="AZ298" s="562">
        <f ca="1">SUMIFS(Баланс!AY$26:AY$300,Баланс!$F$26:$F$300,$F298,Баланс!$G$26:$G$300,"ПО")</f>
        <v>0</v>
      </c>
      <c r="BA298" s="562">
        <f ca="1">SUMIFS(Баланс!AZ$26:AZ$300,Баланс!$F$26:$F$300,$F298,Баланс!$G$26:$G$300,"ПО")</f>
        <v>0</v>
      </c>
      <c r="BB298" s="562">
        <f ca="1">SUMIFS(Баланс!BA$26:BA$300,Баланс!$F$26:$F$300,$F298,Баланс!$G$26:$G$300,"ПО")</f>
        <v>0</v>
      </c>
      <c r="BC298" s="562">
        <f ca="1">SUMIFS(Баланс!BB$26:BB$300,Баланс!$F$26:$F$300,$F298,Баланс!$G$26:$G$300,"ПО")</f>
        <v>0</v>
      </c>
      <c r="BD298" s="148"/>
      <c r="BE298" s="148"/>
      <c r="BF298" s="148"/>
      <c r="BG298" s="148"/>
      <c r="BH298" s="148"/>
      <c r="BI298" s="148"/>
      <c r="BJ298" s="148"/>
      <c r="BK298" s="148"/>
      <c r="BL298" s="148"/>
      <c r="BM298" s="148"/>
      <c r="BN298" s="215"/>
      <c r="BO298" s="215"/>
      <c r="BP298" s="215"/>
      <c r="BQ298" s="95"/>
      <c r="BR298" s="95"/>
      <c r="BS298" s="704" t="s">
        <v>1868</v>
      </c>
      <c r="BT298" s="711"/>
      <c r="BU298" s="711"/>
      <c r="BV298" s="522"/>
      <c r="BW298" s="522"/>
    </row>
    <row r="299" spans="1:75" ht="23.25" customHeight="1">
      <c r="D299" s="44" cm="1">
        <f t="array" ref="D299">D298</f>
        <v>11</v>
      </c>
      <c r="E299" s="518">
        <v>15</v>
      </c>
      <c r="F299" s="3" t="str" cm="1">
        <f t="array" aca="1" ref="F299" ca="1">OFFSET(E299,-1,1)</f>
        <v>1</v>
      </c>
      <c r="G299" s="91" t="s">
        <v>1660</v>
      </c>
      <c r="I299" s="91" t="s">
        <v>2194</v>
      </c>
      <c r="K299" s="91" t="s">
        <v>2194</v>
      </c>
      <c r="L299" s="44" t="s">
        <v>1869</v>
      </c>
      <c r="M299" s="44"/>
      <c r="T299" s="365" t="b" cm="1">
        <f t="array" aca="1" ref="T299" ca="1">T298</f>
        <v>1</v>
      </c>
      <c r="X299" s="1075"/>
      <c r="Z299" s="1065"/>
      <c r="AB299" s="26" t="str">
        <f>D299&amp;".1"</f>
        <v>11.1</v>
      </c>
      <c r="AC299" s="146" t="s">
        <v>1871</v>
      </c>
      <c r="AD299" s="26" t="s">
        <v>534</v>
      </c>
      <c r="AE299" s="455">
        <v>488.29602217870001</v>
      </c>
      <c r="AF299" s="455">
        <f ca="1">IF(AF$24="2026 год",AF298/12*9,AF298/2)</f>
        <v>480.92199999999997</v>
      </c>
      <c r="AG299" s="455">
        <f ca="1">IF(AG$24="2026 год",AG298/12*9,AG298/2)</f>
        <v>480.92199999999997</v>
      </c>
      <c r="AH299" s="568">
        <f t="shared" ca="1" si="75"/>
        <v>0</v>
      </c>
      <c r="AI299" s="455">
        <v>486.5215</v>
      </c>
      <c r="AJ299" s="455">
        <f t="shared" ref="AJ299:BC299" ca="1" si="76">IF(AJ$24="2026 год",AJ298/12*9,AJ298/2)</f>
        <v>720.13949999999988</v>
      </c>
      <c r="AK299" s="785">
        <f t="shared" ca="1" si="76"/>
        <v>0</v>
      </c>
      <c r="AL299" s="785">
        <f t="shared" ca="1" si="76"/>
        <v>0</v>
      </c>
      <c r="AM299" s="785">
        <f t="shared" ca="1" si="76"/>
        <v>0</v>
      </c>
      <c r="AN299" s="785">
        <f t="shared" ca="1" si="76"/>
        <v>0</v>
      </c>
      <c r="AO299" s="785">
        <f t="shared" ca="1" si="76"/>
        <v>0</v>
      </c>
      <c r="AP299" s="785">
        <f t="shared" ca="1" si="76"/>
        <v>0</v>
      </c>
      <c r="AQ299" s="785">
        <f t="shared" ca="1" si="76"/>
        <v>0</v>
      </c>
      <c r="AR299" s="785">
        <f t="shared" ca="1" si="76"/>
        <v>0</v>
      </c>
      <c r="AS299" s="785">
        <f t="shared" ca="1" si="76"/>
        <v>0</v>
      </c>
      <c r="AT299" s="455">
        <f t="shared" ca="1" si="76"/>
        <v>721.38300000000004</v>
      </c>
      <c r="AU299" s="785">
        <f t="shared" ca="1" si="76"/>
        <v>0</v>
      </c>
      <c r="AV299" s="785">
        <f t="shared" ca="1" si="76"/>
        <v>0</v>
      </c>
      <c r="AW299" s="785">
        <f t="shared" ca="1" si="76"/>
        <v>0</v>
      </c>
      <c r="AX299" s="785">
        <f t="shared" ca="1" si="76"/>
        <v>0</v>
      </c>
      <c r="AY299" s="785">
        <f t="shared" ca="1" si="76"/>
        <v>0</v>
      </c>
      <c r="AZ299" s="785">
        <f t="shared" ca="1" si="76"/>
        <v>0</v>
      </c>
      <c r="BA299" s="785">
        <f t="shared" ca="1" si="76"/>
        <v>0</v>
      </c>
      <c r="BB299" s="785">
        <f t="shared" ca="1" si="76"/>
        <v>0</v>
      </c>
      <c r="BC299" s="785">
        <f t="shared" ca="1" si="76"/>
        <v>0</v>
      </c>
      <c r="BD299" s="552"/>
      <c r="BE299" s="552"/>
      <c r="BF299" s="552"/>
      <c r="BG299" s="552"/>
      <c r="BH299" s="552"/>
      <c r="BI299" s="552"/>
      <c r="BJ299" s="552"/>
      <c r="BK299" s="552"/>
      <c r="BL299" s="552"/>
      <c r="BM299" s="552"/>
      <c r="BN299" s="215"/>
      <c r="BO299" s="215"/>
      <c r="BP299" s="215"/>
      <c r="BS299" s="703" t="s">
        <v>1872</v>
      </c>
    </row>
    <row r="300" spans="1:75" ht="54.75" customHeight="1">
      <c r="D300" s="44" cm="1">
        <f t="array" ref="D300">D299</f>
        <v>11</v>
      </c>
      <c r="E300" s="518">
        <v>15</v>
      </c>
      <c r="F300" s="3" t="str" cm="1">
        <f t="array" aca="1" ref="F300" ca="1">OFFSET(E300,-1,1)</f>
        <v>1</v>
      </c>
      <c r="G300" s="91" t="s">
        <v>1621</v>
      </c>
      <c r="I300" s="91" t="s">
        <v>2195</v>
      </c>
      <c r="K300" s="91" t="s">
        <v>2195</v>
      </c>
      <c r="L300" s="44" t="s">
        <v>1873</v>
      </c>
      <c r="M300" s="44"/>
      <c r="T300" s="365" t="b" cm="1">
        <f t="array" aca="1" ref="T300" ca="1">T299</f>
        <v>1</v>
      </c>
      <c r="X300" s="1075"/>
      <c r="Z300" s="1065"/>
      <c r="AB300" s="26" t="str">
        <f>D300&amp;".2"</f>
        <v>11.2</v>
      </c>
      <c r="AC300" s="146" t="s">
        <v>1875</v>
      </c>
      <c r="AD300" s="26" t="s">
        <v>1624</v>
      </c>
      <c r="AE300" s="147">
        <v>37.4</v>
      </c>
      <c r="AF300" s="147">
        <v>48.658497663196897</v>
      </c>
      <c r="AG300" s="147">
        <v>40.367226882817903</v>
      </c>
      <c r="AH300" s="190">
        <f t="shared" si="75"/>
        <v>-8.2912707803789942</v>
      </c>
      <c r="AI300" s="147">
        <v>39.610007884200002</v>
      </c>
      <c r="AJ300" s="147">
        <v>83.784821899090403</v>
      </c>
      <c r="AK300" s="787"/>
      <c r="AL300" s="787"/>
      <c r="AM300" s="787"/>
      <c r="AN300" s="787"/>
      <c r="AO300" s="787"/>
      <c r="AP300" s="787"/>
      <c r="AQ300" s="787"/>
      <c r="AR300" s="787"/>
      <c r="AS300" s="787"/>
      <c r="AT300" s="147" cm="1">
        <f t="array" ref="AT300">AI302</f>
        <v>44.960451133699998</v>
      </c>
      <c r="AU300" s="787" cm="1">
        <f t="array" aca="1" ref="AU300" ca="1">AT302</f>
        <v>51.518638671407331</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52"/>
      <c r="BE300" s="552"/>
      <c r="BF300" s="552"/>
      <c r="BG300" s="552"/>
      <c r="BH300" s="552"/>
      <c r="BI300" s="552"/>
      <c r="BJ300" s="552"/>
      <c r="BK300" s="552"/>
      <c r="BL300" s="552"/>
      <c r="BM300" s="552"/>
      <c r="BN300" s="215"/>
      <c r="BO300" s="215" t="s">
        <v>2215</v>
      </c>
      <c r="BP300" s="215"/>
      <c r="BS300" s="703" t="s">
        <v>1876</v>
      </c>
    </row>
    <row r="301" spans="1:75" ht="23.25" customHeight="1">
      <c r="D301" s="44" cm="1">
        <f t="array" ref="D301">D300</f>
        <v>11</v>
      </c>
      <c r="E301" s="518">
        <v>15</v>
      </c>
      <c r="F301" s="3" t="str" cm="1">
        <f t="array" aca="1" ref="F301" ca="1">OFFSET(E301,-1,1)</f>
        <v>1</v>
      </c>
      <c r="G301" s="91" t="s">
        <v>1673</v>
      </c>
      <c r="I301" s="91" t="s">
        <v>2196</v>
      </c>
      <c r="K301" s="91" t="s">
        <v>2196</v>
      </c>
      <c r="L301" s="44" t="s">
        <v>1877</v>
      </c>
      <c r="M301" s="44"/>
      <c r="T301" s="365" t="b" cm="1">
        <f t="array" aca="1" ref="T301" ca="1">T300</f>
        <v>1</v>
      </c>
      <c r="X301" s="1075"/>
      <c r="Z301" s="1065"/>
      <c r="AB301" s="26" t="str">
        <f>D301&amp;".3"</f>
        <v>11.3</v>
      </c>
      <c r="AC301" s="146" t="s">
        <v>2197</v>
      </c>
      <c r="AD301" s="26" t="s">
        <v>534</v>
      </c>
      <c r="AE301" s="568">
        <f ca="1">AE298-AE299</f>
        <v>488.29602217870001</v>
      </c>
      <c r="AF301" s="568">
        <f ca="1">AF298-AF299</f>
        <v>480.92199999999997</v>
      </c>
      <c r="AG301" s="568">
        <f ca="1">AG298-AG299</f>
        <v>480.92199999999997</v>
      </c>
      <c r="AH301" s="568">
        <f t="shared" ca="1" si="75"/>
        <v>0</v>
      </c>
      <c r="AI301" s="568">
        <f t="shared" ref="AI301:BC301" ca="1" si="77">AI298-AI299</f>
        <v>486.5215</v>
      </c>
      <c r="AJ301" s="568">
        <f t="shared" ca="1" si="77"/>
        <v>240.04650000000004</v>
      </c>
      <c r="AK301" s="568">
        <f t="shared" ca="1" si="77"/>
        <v>0</v>
      </c>
      <c r="AL301" s="568">
        <f t="shared" ca="1" si="77"/>
        <v>0</v>
      </c>
      <c r="AM301" s="568">
        <f t="shared" ca="1" si="77"/>
        <v>0</v>
      </c>
      <c r="AN301" s="568">
        <f t="shared" ca="1" si="77"/>
        <v>0</v>
      </c>
      <c r="AO301" s="568">
        <f t="shared" ca="1" si="77"/>
        <v>0</v>
      </c>
      <c r="AP301" s="568">
        <f t="shared" ca="1" si="77"/>
        <v>0</v>
      </c>
      <c r="AQ301" s="568">
        <f t="shared" ca="1" si="77"/>
        <v>0</v>
      </c>
      <c r="AR301" s="568">
        <f t="shared" ca="1" si="77"/>
        <v>0</v>
      </c>
      <c r="AS301" s="568">
        <f t="shared" ca="1" si="77"/>
        <v>0</v>
      </c>
      <c r="AT301" s="568">
        <f t="shared" ca="1" si="77"/>
        <v>240.4609999999999</v>
      </c>
      <c r="AU301" s="568">
        <f t="shared" ca="1" si="77"/>
        <v>0</v>
      </c>
      <c r="AV301" s="568">
        <f t="shared" ca="1" si="77"/>
        <v>0</v>
      </c>
      <c r="AW301" s="568">
        <f t="shared" ca="1" si="77"/>
        <v>0</v>
      </c>
      <c r="AX301" s="568">
        <f t="shared" ca="1" si="77"/>
        <v>0</v>
      </c>
      <c r="AY301" s="568">
        <f t="shared" ca="1" si="77"/>
        <v>0</v>
      </c>
      <c r="AZ301" s="568">
        <f t="shared" ca="1" si="77"/>
        <v>0</v>
      </c>
      <c r="BA301" s="568">
        <f t="shared" ca="1" si="77"/>
        <v>0</v>
      </c>
      <c r="BB301" s="568">
        <f t="shared" ca="1" si="77"/>
        <v>0</v>
      </c>
      <c r="BC301" s="568">
        <f t="shared" ca="1" si="77"/>
        <v>0</v>
      </c>
      <c r="BD301" s="552"/>
      <c r="BE301" s="552"/>
      <c r="BF301" s="552"/>
      <c r="BG301" s="552"/>
      <c r="BH301" s="552"/>
      <c r="BI301" s="552"/>
      <c r="BJ301" s="552"/>
      <c r="BK301" s="552"/>
      <c r="BL301" s="552"/>
      <c r="BM301" s="552"/>
      <c r="BN301" s="215"/>
      <c r="BO301" s="215"/>
      <c r="BP301" s="215"/>
      <c r="BS301" s="703" t="s">
        <v>1880</v>
      </c>
    </row>
    <row r="302" spans="1:75" ht="14.65" customHeight="1">
      <c r="D302" s="44" cm="1">
        <f t="array" ref="D302">D301</f>
        <v>11</v>
      </c>
      <c r="E302" s="518">
        <v>15</v>
      </c>
      <c r="F302" s="3" t="str" cm="1">
        <f t="array" aca="1" ref="F302" ca="1">OFFSET(E302,-1,1)</f>
        <v>1</v>
      </c>
      <c r="G302" s="91" t="s">
        <v>1626</v>
      </c>
      <c r="I302" s="91" t="s">
        <v>2198</v>
      </c>
      <c r="K302" s="91" t="s">
        <v>2198</v>
      </c>
      <c r="L302" s="44" t="s">
        <v>1881</v>
      </c>
      <c r="M302" s="44"/>
      <c r="T302" s="365" t="b" cm="1">
        <f t="array" aca="1" ref="T302" ca="1">T301</f>
        <v>1</v>
      </c>
      <c r="X302" s="1075"/>
      <c r="Z302" s="1065"/>
      <c r="AB302" s="26" t="str">
        <f>D302&amp;".4"</f>
        <v>11.4</v>
      </c>
      <c r="AC302" s="146" t="s">
        <v>1883</v>
      </c>
      <c r="AD302" s="26" t="s">
        <v>1624</v>
      </c>
      <c r="AE302" s="147">
        <v>39.610007884200002</v>
      </c>
      <c r="AF302" s="147">
        <f ca="1">IF(AF301=0,0,(AF295-AF299*AF300)/AF301)</f>
        <v>48.658499243494823</v>
      </c>
      <c r="AG302" s="147">
        <f ca="1">IF(AG301=0,0,(AG295-AG299*AG300)/AG301)</f>
        <v>40.367228463115751</v>
      </c>
      <c r="AH302" s="190">
        <f t="shared" ca="1" si="75"/>
        <v>-8.2912707803790724</v>
      </c>
      <c r="AI302" s="147">
        <v>44.960451133699998</v>
      </c>
      <c r="AJ302" s="147">
        <f t="shared" ref="AJ302:BC302" ca="1" si="78">IF(AJ301=0,0,(AJ295-AJ299*AJ300)/AJ301)</f>
        <v>83.784804402480361</v>
      </c>
      <c r="AK302" s="787">
        <f t="shared" ca="1" si="78"/>
        <v>0</v>
      </c>
      <c r="AL302" s="787">
        <f t="shared" ca="1" si="78"/>
        <v>0</v>
      </c>
      <c r="AM302" s="787">
        <f t="shared" ca="1" si="78"/>
        <v>0</v>
      </c>
      <c r="AN302" s="787">
        <f t="shared" ca="1" si="78"/>
        <v>0</v>
      </c>
      <c r="AO302" s="787">
        <f t="shared" ca="1" si="78"/>
        <v>0</v>
      </c>
      <c r="AP302" s="787">
        <f t="shared" ca="1" si="78"/>
        <v>0</v>
      </c>
      <c r="AQ302" s="787">
        <f t="shared" ca="1" si="78"/>
        <v>0</v>
      </c>
      <c r="AR302" s="787">
        <f t="shared" ca="1" si="78"/>
        <v>0</v>
      </c>
      <c r="AS302" s="787">
        <f t="shared" ca="1" si="78"/>
        <v>0</v>
      </c>
      <c r="AT302" s="147">
        <f t="shared" ca="1" si="78"/>
        <v>51.518638671407331</v>
      </c>
      <c r="AU302" s="787">
        <f t="shared" ca="1" si="78"/>
        <v>0</v>
      </c>
      <c r="AV302" s="787">
        <f t="shared" ca="1" si="78"/>
        <v>0</v>
      </c>
      <c r="AW302" s="787">
        <f t="shared" ca="1" si="78"/>
        <v>0</v>
      </c>
      <c r="AX302" s="787">
        <f t="shared" ca="1" si="78"/>
        <v>0</v>
      </c>
      <c r="AY302" s="787">
        <f t="shared" ca="1" si="78"/>
        <v>0</v>
      </c>
      <c r="AZ302" s="787">
        <f t="shared" ca="1" si="78"/>
        <v>0</v>
      </c>
      <c r="BA302" s="787">
        <f t="shared" ca="1" si="78"/>
        <v>0</v>
      </c>
      <c r="BB302" s="787">
        <f t="shared" ca="1" si="78"/>
        <v>0</v>
      </c>
      <c r="BC302" s="787">
        <f t="shared" ca="1" si="78"/>
        <v>0</v>
      </c>
      <c r="BD302" s="552"/>
      <c r="BE302" s="552"/>
      <c r="BF302" s="552"/>
      <c r="BG302" s="552"/>
      <c r="BH302" s="552"/>
      <c r="BI302" s="552"/>
      <c r="BJ302" s="552"/>
      <c r="BK302" s="552"/>
      <c r="BL302" s="552"/>
      <c r="BM302" s="552"/>
      <c r="BN302" s="215"/>
      <c r="BO302" s="215"/>
      <c r="BP302" s="215"/>
      <c r="BS302" s="703" t="s">
        <v>1884</v>
      </c>
    </row>
    <row r="303" spans="1:75" ht="14.25" customHeight="1">
      <c r="D303" s="44" cm="1">
        <f t="array" ref="D303">D302</f>
        <v>11</v>
      </c>
      <c r="E303" s="518">
        <v>15</v>
      </c>
      <c r="F303" s="3" t="str" cm="1">
        <f t="array" aca="1" ref="F303" ca="1">OFFSET(E303,-1,1)</f>
        <v>1</v>
      </c>
      <c r="I303" s="91" t="s">
        <v>2199</v>
      </c>
      <c r="K303" s="91" t="s">
        <v>2199</v>
      </c>
      <c r="L303" s="44" t="s">
        <v>1885</v>
      </c>
      <c r="M303" s="44"/>
      <c r="T303" s="365" t="b" cm="1">
        <f t="array" aca="1" ref="T303" ca="1">T302</f>
        <v>1</v>
      </c>
      <c r="X303" s="1075"/>
      <c r="Z303" s="1065"/>
      <c r="AB303" s="26" t="str">
        <f>D303&amp;".5"</f>
        <v>11.5</v>
      </c>
      <c r="AC303" s="146" t="s">
        <v>1887</v>
      </c>
      <c r="AD303" s="26" t="s">
        <v>456</v>
      </c>
      <c r="AE303" s="190">
        <f>IF(AE300=0,0,AE302/AE300*100)</f>
        <v>105.90911198983959</v>
      </c>
      <c r="AF303" s="190">
        <f ca="1">IF(AF300=0,0,AF302/AF300*100)</f>
        <v>100.00000324773268</v>
      </c>
      <c r="AG303" s="190">
        <f ca="1">IF(AG300=0,0,AG302/AG300*100)</f>
        <v>100.00000391480408</v>
      </c>
      <c r="AH303" s="552"/>
      <c r="AI303" s="190">
        <f t="shared" ref="AI303:BC303" si="79">IF(AI300=0,0,AI302/AI300*100)</f>
        <v>113.50780657540396</v>
      </c>
      <c r="AJ303" s="190">
        <f t="shared" ca="1" si="79"/>
        <v>99.999979117208042</v>
      </c>
      <c r="AK303" s="190">
        <f t="shared" si="79"/>
        <v>0</v>
      </c>
      <c r="AL303" s="190">
        <f t="shared" si="79"/>
        <v>0</v>
      </c>
      <c r="AM303" s="190">
        <f t="shared" si="79"/>
        <v>0</v>
      </c>
      <c r="AN303" s="190">
        <f t="shared" si="79"/>
        <v>0</v>
      </c>
      <c r="AO303" s="190">
        <f t="shared" si="79"/>
        <v>0</v>
      </c>
      <c r="AP303" s="190">
        <f t="shared" si="79"/>
        <v>0</v>
      </c>
      <c r="AQ303" s="190">
        <f t="shared" si="79"/>
        <v>0</v>
      </c>
      <c r="AR303" s="190">
        <f t="shared" si="79"/>
        <v>0</v>
      </c>
      <c r="AS303" s="190">
        <f t="shared" si="79"/>
        <v>0</v>
      </c>
      <c r="AT303" s="190">
        <f t="shared" ca="1" si="79"/>
        <v>114.5865696903376</v>
      </c>
      <c r="AU303" s="190">
        <f t="shared" ca="1" si="79"/>
        <v>0</v>
      </c>
      <c r="AV303" s="190">
        <f t="shared" ca="1" si="79"/>
        <v>0</v>
      </c>
      <c r="AW303" s="190">
        <f t="shared" ca="1" si="79"/>
        <v>0</v>
      </c>
      <c r="AX303" s="190">
        <f t="shared" ca="1" si="79"/>
        <v>0</v>
      </c>
      <c r="AY303" s="190">
        <f t="shared" ca="1" si="79"/>
        <v>0</v>
      </c>
      <c r="AZ303" s="190">
        <f t="shared" ca="1" si="79"/>
        <v>0</v>
      </c>
      <c r="BA303" s="190">
        <f t="shared" ca="1" si="79"/>
        <v>0</v>
      </c>
      <c r="BB303" s="190">
        <f t="shared" ca="1" si="79"/>
        <v>0</v>
      </c>
      <c r="BC303" s="190">
        <f t="shared" ca="1" si="79"/>
        <v>0</v>
      </c>
      <c r="BD303" s="552"/>
      <c r="BE303" s="552"/>
      <c r="BF303" s="552"/>
      <c r="BG303" s="552"/>
      <c r="BH303" s="552"/>
      <c r="BI303" s="552"/>
      <c r="BJ303" s="552"/>
      <c r="BK303" s="552"/>
      <c r="BL303" s="552"/>
      <c r="BM303" s="552"/>
      <c r="BN303" s="215"/>
      <c r="BO303" s="215"/>
      <c r="BP303" s="215"/>
      <c r="BS303" s="703" t="s">
        <v>1888</v>
      </c>
    </row>
    <row r="304" spans="1:75" ht="14.65" customHeight="1">
      <c r="D304" s="44" cm="1">
        <f t="array" ref="D304">D303</f>
        <v>11</v>
      </c>
      <c r="E304" s="518">
        <v>15</v>
      </c>
      <c r="F304" s="3" t="str" cm="1">
        <f t="array" aca="1" ref="F304" ca="1">OFFSET(E304,-1,1)</f>
        <v>1</v>
      </c>
      <c r="I304" s="91" t="s">
        <v>2200</v>
      </c>
      <c r="K304" s="91" t="s">
        <v>2200</v>
      </c>
      <c r="L304" s="44" t="s">
        <v>1889</v>
      </c>
      <c r="M304" s="44"/>
      <c r="T304" s="365" t="b" cm="1">
        <f t="array" aca="1" ref="T304" ca="1">T303</f>
        <v>1</v>
      </c>
      <c r="X304" s="1075"/>
      <c r="Z304" s="1065"/>
      <c r="AB304" s="26" t="str">
        <f>D304&amp;".6"</f>
        <v>11.6</v>
      </c>
      <c r="AC304" s="146" t="s">
        <v>1891</v>
      </c>
      <c r="AD304" s="26" t="s">
        <v>1624</v>
      </c>
      <c r="AE304" s="147">
        <v>38.505003942099997</v>
      </c>
      <c r="AF304" s="147">
        <f ca="1">IF(AF298=0,0,AF295/AF298)</f>
        <v>48.658498453345864</v>
      </c>
      <c r="AG304" s="147">
        <f ca="1">IF(AG298=0,0,AG295/AG298)</f>
        <v>40.367227672966827</v>
      </c>
      <c r="AH304" s="190">
        <f ca="1">AG304-AF304</f>
        <v>-8.2912707803790369</v>
      </c>
      <c r="AI304" s="147">
        <v>42.285229508999997</v>
      </c>
      <c r="AJ304" s="147">
        <f t="shared" ref="AJ304:BC304" ca="1" si="80">IF(AJ298=0,0,AJ295/AJ298)</f>
        <v>83.784817524937893</v>
      </c>
      <c r="AK304" s="787">
        <f t="shared" ca="1" si="80"/>
        <v>0</v>
      </c>
      <c r="AL304" s="787">
        <f t="shared" ca="1" si="80"/>
        <v>0</v>
      </c>
      <c r="AM304" s="787">
        <f t="shared" ca="1" si="80"/>
        <v>0</v>
      </c>
      <c r="AN304" s="787">
        <f t="shared" ca="1" si="80"/>
        <v>0</v>
      </c>
      <c r="AO304" s="787">
        <f t="shared" ca="1" si="80"/>
        <v>0</v>
      </c>
      <c r="AP304" s="787">
        <f t="shared" ca="1" si="80"/>
        <v>0</v>
      </c>
      <c r="AQ304" s="787">
        <f t="shared" ca="1" si="80"/>
        <v>0</v>
      </c>
      <c r="AR304" s="787">
        <f t="shared" ca="1" si="80"/>
        <v>0</v>
      </c>
      <c r="AS304" s="787">
        <f t="shared" ca="1" si="80"/>
        <v>0</v>
      </c>
      <c r="AT304" s="147">
        <f t="shared" ca="1" si="80"/>
        <v>46.599998018126833</v>
      </c>
      <c r="AU304" s="787">
        <f t="shared" ca="1" si="80"/>
        <v>0</v>
      </c>
      <c r="AV304" s="787">
        <f t="shared" ca="1" si="80"/>
        <v>0</v>
      </c>
      <c r="AW304" s="787">
        <f t="shared" ca="1" si="80"/>
        <v>0</v>
      </c>
      <c r="AX304" s="787">
        <f t="shared" ca="1" si="80"/>
        <v>0</v>
      </c>
      <c r="AY304" s="787">
        <f t="shared" ca="1" si="80"/>
        <v>0</v>
      </c>
      <c r="AZ304" s="787">
        <f t="shared" ca="1" si="80"/>
        <v>0</v>
      </c>
      <c r="BA304" s="787">
        <f t="shared" ca="1" si="80"/>
        <v>0</v>
      </c>
      <c r="BB304" s="787">
        <f t="shared" ca="1" si="80"/>
        <v>0</v>
      </c>
      <c r="BC304" s="787">
        <f t="shared" ca="1" si="80"/>
        <v>0</v>
      </c>
      <c r="BD304" s="552"/>
      <c r="BE304" s="552"/>
      <c r="BF304" s="552"/>
      <c r="BG304" s="552"/>
      <c r="BH304" s="552"/>
      <c r="BI304" s="552"/>
      <c r="BJ304" s="552"/>
      <c r="BK304" s="552"/>
      <c r="BL304" s="552"/>
      <c r="BM304" s="552"/>
      <c r="BN304" s="215"/>
      <c r="BO304" s="215"/>
      <c r="BP304" s="215"/>
      <c r="BS304" s="703" t="s">
        <v>1892</v>
      </c>
    </row>
    <row r="305" spans="1:75" s="950" customFormat="1" ht="20.45" customHeight="1">
      <c r="A305" s="95"/>
      <c r="B305" s="344"/>
      <c r="C305" s="95"/>
      <c r="D305" s="46">
        <f>D304+1</f>
        <v>12</v>
      </c>
      <c r="E305" s="522">
        <v>21</v>
      </c>
      <c r="F305" s="3" t="str" cm="1">
        <f t="array" aca="1" ref="F305" ca="1">OFFSET(E305,-1,1)</f>
        <v>1</v>
      </c>
      <c r="G305" s="95"/>
      <c r="H305" s="91"/>
      <c r="I305" s="91" t="s">
        <v>1897</v>
      </c>
      <c r="J305" s="95"/>
      <c r="K305" s="91" t="s">
        <v>1897</v>
      </c>
      <c r="L305" s="46" t="s">
        <v>1893</v>
      </c>
      <c r="M305" s="46"/>
      <c r="N305" s="95"/>
      <c r="O305" s="95"/>
      <c r="P305" s="95"/>
      <c r="Q305" s="95"/>
      <c r="R305" s="95"/>
      <c r="S305" s="95"/>
      <c r="T305" s="365" t="b" cm="1">
        <f t="array" aca="1" ref="T305" ca="1">T304</f>
        <v>1</v>
      </c>
      <c r="U305" s="95"/>
      <c r="V305" s="95"/>
      <c r="W305" s="95"/>
      <c r="X305" s="1075"/>
      <c r="Y305" s="95"/>
      <c r="Z305" s="1065"/>
      <c r="AA305" s="95"/>
      <c r="AB305" s="143" cm="1">
        <f t="array" ref="AB305">D305</f>
        <v>12</v>
      </c>
      <c r="AC305" s="144" t="s">
        <v>1895</v>
      </c>
      <c r="AD305" s="143" t="s">
        <v>804</v>
      </c>
      <c r="AE305" s="157">
        <v>20481.782026920398</v>
      </c>
      <c r="AF305" s="157">
        <f ca="1">IF(AF298=0,0,AF295/AF298*AF306)</f>
        <v>25714.897287128861</v>
      </c>
      <c r="AG305" s="157">
        <f ca="1">IF(AG298=0,0,AG295/AG298*AG306)</f>
        <v>21333.15137892649</v>
      </c>
      <c r="AH305" s="145">
        <f ca="1">AH307*AH308+AH309*AH310</f>
        <v>0</v>
      </c>
      <c r="AI305" s="157">
        <v>22854.5322711689</v>
      </c>
      <c r="AJ305" s="157">
        <f t="shared" ref="AJ305:BC305" ca="1" si="81">IF(AJ298=0,0,AJ295/AJ298*AJ306)</f>
        <v>44316.72245755302</v>
      </c>
      <c r="AK305" s="783">
        <f t="shared" ca="1" si="81"/>
        <v>0</v>
      </c>
      <c r="AL305" s="783">
        <f t="shared" ca="1" si="81"/>
        <v>0</v>
      </c>
      <c r="AM305" s="783">
        <f t="shared" ca="1" si="81"/>
        <v>0</v>
      </c>
      <c r="AN305" s="783">
        <f t="shared" ca="1" si="81"/>
        <v>0</v>
      </c>
      <c r="AO305" s="783">
        <f t="shared" ca="1" si="81"/>
        <v>0</v>
      </c>
      <c r="AP305" s="783">
        <f t="shared" ca="1" si="81"/>
        <v>0</v>
      </c>
      <c r="AQ305" s="783">
        <f t="shared" ca="1" si="81"/>
        <v>0</v>
      </c>
      <c r="AR305" s="783">
        <f t="shared" ca="1" si="81"/>
        <v>0</v>
      </c>
      <c r="AS305" s="783">
        <f t="shared" ca="1" si="81"/>
        <v>0</v>
      </c>
      <c r="AT305" s="157">
        <f t="shared" ca="1" si="81"/>
        <v>24627.027152625615</v>
      </c>
      <c r="AU305" s="783">
        <f t="shared" ca="1" si="81"/>
        <v>0</v>
      </c>
      <c r="AV305" s="783">
        <f t="shared" ca="1" si="81"/>
        <v>0</v>
      </c>
      <c r="AW305" s="783">
        <f t="shared" ca="1" si="81"/>
        <v>0</v>
      </c>
      <c r="AX305" s="783">
        <f t="shared" ca="1" si="81"/>
        <v>0</v>
      </c>
      <c r="AY305" s="783">
        <f t="shared" ca="1" si="81"/>
        <v>0</v>
      </c>
      <c r="AZ305" s="783">
        <f t="shared" ca="1" si="81"/>
        <v>0</v>
      </c>
      <c r="BA305" s="783">
        <f t="shared" ca="1" si="81"/>
        <v>0</v>
      </c>
      <c r="BB305" s="783">
        <f t="shared" ca="1" si="81"/>
        <v>0</v>
      </c>
      <c r="BC305" s="783">
        <f t="shared" ca="1" si="81"/>
        <v>0</v>
      </c>
      <c r="BD305" s="145">
        <f ca="1">IF(AI305=0,0,(AT305-AI305)/AI305*100)</f>
        <v>7.7555508921647229</v>
      </c>
      <c r="BE305" s="145">
        <f t="shared" ref="BE305:BM305" ca="1" si="82">IF(AT305=0,0,(AU305-AT305)/AT305*100)</f>
        <v>-100</v>
      </c>
      <c r="BF305" s="145">
        <f t="shared" ca="1" si="82"/>
        <v>0</v>
      </c>
      <c r="BG305" s="145">
        <f t="shared" ca="1" si="82"/>
        <v>0</v>
      </c>
      <c r="BH305" s="145">
        <f t="shared" ca="1" si="82"/>
        <v>0</v>
      </c>
      <c r="BI305" s="145">
        <f t="shared" ca="1" si="82"/>
        <v>0</v>
      </c>
      <c r="BJ305" s="145">
        <f t="shared" ca="1" si="82"/>
        <v>0</v>
      </c>
      <c r="BK305" s="145">
        <f t="shared" ca="1" si="82"/>
        <v>0</v>
      </c>
      <c r="BL305" s="145">
        <f t="shared" ca="1" si="82"/>
        <v>0</v>
      </c>
      <c r="BM305" s="145">
        <f t="shared" ca="1" si="82"/>
        <v>0</v>
      </c>
      <c r="BN305" s="215"/>
      <c r="BO305" s="215"/>
      <c r="BP305" s="215"/>
      <c r="BQ305" s="95"/>
      <c r="BR305" s="95"/>
      <c r="BS305" s="704" t="s">
        <v>1896</v>
      </c>
      <c r="BT305" s="711"/>
      <c r="BU305" s="711"/>
      <c r="BV305" s="522"/>
      <c r="BW305" s="522"/>
    </row>
    <row r="306" spans="1:75" s="950" customFormat="1" ht="20.25" customHeight="1">
      <c r="A306" s="95"/>
      <c r="B306" s="344"/>
      <c r="C306" s="95"/>
      <c r="D306" s="46">
        <f>D305+1</f>
        <v>13</v>
      </c>
      <c r="E306" s="522">
        <v>21</v>
      </c>
      <c r="F306" s="3" t="str" cm="1">
        <f t="array" aca="1" ref="F306" ca="1">OFFSET(E306,-1,1)</f>
        <v>1</v>
      </c>
      <c r="G306" s="91" t="s">
        <v>1646</v>
      </c>
      <c r="H306" s="91"/>
      <c r="I306" s="91" t="s">
        <v>2201</v>
      </c>
      <c r="J306" s="95"/>
      <c r="K306" s="91" t="s">
        <v>2201</v>
      </c>
      <c r="L306" s="46" t="s">
        <v>1897</v>
      </c>
      <c r="M306" s="46"/>
      <c r="N306" s="95"/>
      <c r="O306" s="95"/>
      <c r="P306" s="95"/>
      <c r="Q306" s="95"/>
      <c r="R306" s="95"/>
      <c r="S306" s="95"/>
      <c r="T306" s="365" t="b" cm="1">
        <f t="array" aca="1" ref="T306" ca="1">T305</f>
        <v>1</v>
      </c>
      <c r="U306" s="95"/>
      <c r="V306" s="95"/>
      <c r="W306" s="95"/>
      <c r="X306" s="1075"/>
      <c r="Y306" s="95"/>
      <c r="Z306" s="1065"/>
      <c r="AA306" s="95"/>
      <c r="AB306" s="143" cm="1">
        <f t="array" ref="AB306">D306</f>
        <v>13</v>
      </c>
      <c r="AC306" s="144" t="s">
        <v>1899</v>
      </c>
      <c r="AD306" s="143" t="s">
        <v>534</v>
      </c>
      <c r="AE306" s="562">
        <f ca="1">SUMIFS(Баланс!AE$26:AE$300,Баланс!$F$26:$F$300,$F306,Баланс!$G$26:$G$300,"население")</f>
        <v>531.92520270110003</v>
      </c>
      <c r="AF306" s="562">
        <f ca="1">SUMIFS(Баланс!AF$26:AF$300,Баланс!$F$26:$F$300,$F306,Баланс!$G$26:$G$300,"население")</f>
        <v>528.47699999999998</v>
      </c>
      <c r="AG306" s="562">
        <f ca="1">SUMIFS(Баланс!AG$26:AG$300,Баланс!$F$26:$F$300,$F306,Баланс!$G$26:$G$300,"население")</f>
        <v>528.47699999999998</v>
      </c>
      <c r="AH306" s="562">
        <f ca="1">AG306-AF306</f>
        <v>0</v>
      </c>
      <c r="AI306" s="562">
        <f ca="1">SUMIFS(Баланс!AH$26:AH$300,Баланс!$F$26:$F$300,$F306,Баланс!$G$26:$G$300,"население")</f>
        <v>540.48500000000001</v>
      </c>
      <c r="AJ306" s="562">
        <f ca="1">SUMIFS(Баланс!AI$26:AI$300,Баланс!$F$26:$F$300,$F306,Баланс!$G$26:$G$300,"население")</f>
        <v>528.93499999999995</v>
      </c>
      <c r="AK306" s="562">
        <f ca="1">SUMIFS(Баланс!AJ$26:AJ$300,Баланс!$F$26:$F$300,$F306,Баланс!$G$26:$G$300,"население")</f>
        <v>0</v>
      </c>
      <c r="AL306" s="562">
        <f ca="1">SUMIFS(Баланс!AK$26:AK$300,Баланс!$F$26:$F$300,$F306,Баланс!$G$26:$G$300,"население")</f>
        <v>0</v>
      </c>
      <c r="AM306" s="562">
        <f ca="1">SUMIFS(Баланс!AL$26:AL$300,Баланс!$F$26:$F$300,$F306,Баланс!$G$26:$G$300,"население")</f>
        <v>0</v>
      </c>
      <c r="AN306" s="562">
        <f ca="1">SUMIFS(Баланс!AM$26:AM$300,Баланс!$F$26:$F$300,$F306,Баланс!$G$26:$G$300,"население")</f>
        <v>0</v>
      </c>
      <c r="AO306" s="562">
        <f ca="1">SUMIFS(Баланс!AN$26:AN$300,Баланс!$F$26:$F$300,$F306,Баланс!$G$26:$G$300,"население")</f>
        <v>0</v>
      </c>
      <c r="AP306" s="562">
        <f ca="1">SUMIFS(Баланс!AO$26:AO$300,Баланс!$F$26:$F$300,$F306,Баланс!$G$26:$G$300,"население")</f>
        <v>0</v>
      </c>
      <c r="AQ306" s="562">
        <f ca="1">SUMIFS(Баланс!AP$26:AP$300,Баланс!$F$26:$F$300,$F306,Баланс!$G$26:$G$300,"население")</f>
        <v>0</v>
      </c>
      <c r="AR306" s="562">
        <f ca="1">SUMIFS(Баланс!AQ$26:AQ$300,Баланс!$F$26:$F$300,$F306,Баланс!$G$26:$G$300,"население")</f>
        <v>0</v>
      </c>
      <c r="AS306" s="562">
        <f ca="1">SUMIFS(Баланс!AR$26:AR$300,Баланс!$F$26:$F$300,$F306,Баланс!$G$26:$G$300,"население")</f>
        <v>0</v>
      </c>
      <c r="AT306" s="562">
        <f ca="1">SUMIFS(Баланс!AS$26:AS$300,Баланс!$F$26:$F$300,$F306,Баланс!$G$26:$G$300,"население")</f>
        <v>528.47699999999998</v>
      </c>
      <c r="AU306" s="562">
        <f ca="1">SUMIFS(Баланс!AT$26:AT$300,Баланс!$F$26:$F$300,$F306,Баланс!$G$26:$G$300,"население")</f>
        <v>0</v>
      </c>
      <c r="AV306" s="562">
        <f ca="1">SUMIFS(Баланс!AU$26:AU$300,Баланс!$F$26:$F$300,$F306,Баланс!$G$26:$G$300,"население")</f>
        <v>0</v>
      </c>
      <c r="AW306" s="562">
        <f ca="1">SUMIFS(Баланс!AV$26:AV$300,Баланс!$F$26:$F$300,$F306,Баланс!$G$26:$G$300,"население")</f>
        <v>0</v>
      </c>
      <c r="AX306" s="562">
        <f ca="1">SUMIFS(Баланс!AW$26:AW$300,Баланс!$F$26:$F$300,$F306,Баланс!$G$26:$G$300,"население")</f>
        <v>0</v>
      </c>
      <c r="AY306" s="562">
        <f ca="1">SUMIFS(Баланс!AX$26:AX$300,Баланс!$F$26:$F$300,$F306,Баланс!$G$26:$G$300,"население")</f>
        <v>0</v>
      </c>
      <c r="AZ306" s="562">
        <f ca="1">SUMIFS(Баланс!AY$26:AY$300,Баланс!$F$26:$F$300,$F306,Баланс!$G$26:$G$300,"население")</f>
        <v>0</v>
      </c>
      <c r="BA306" s="562">
        <f ca="1">SUMIFS(Баланс!AZ$26:AZ$300,Баланс!$F$26:$F$300,$F306,Баланс!$G$26:$G$300,"население")</f>
        <v>0</v>
      </c>
      <c r="BB306" s="562">
        <f ca="1">SUMIFS(Баланс!BA$26:BA$300,Баланс!$F$26:$F$300,$F306,Баланс!$G$26:$G$300,"население")</f>
        <v>0</v>
      </c>
      <c r="BC306" s="562">
        <f ca="1">SUMIFS(Баланс!BB$26:BB$300,Баланс!$F$26:$F$300,$F306,Баланс!$G$26:$G$300,"население")</f>
        <v>0</v>
      </c>
      <c r="BD306" s="148"/>
      <c r="BE306" s="148"/>
      <c r="BF306" s="148"/>
      <c r="BG306" s="148"/>
      <c r="BH306" s="148"/>
      <c r="BI306" s="148"/>
      <c r="BJ306" s="148"/>
      <c r="BK306" s="148"/>
      <c r="BL306" s="148"/>
      <c r="BM306" s="148"/>
      <c r="BN306" s="215"/>
      <c r="BO306" s="215"/>
      <c r="BP306" s="215"/>
      <c r="BQ306" s="95"/>
      <c r="BR306" s="95"/>
      <c r="BS306" s="704" t="s">
        <v>1900</v>
      </c>
      <c r="BT306" s="711"/>
      <c r="BU306" s="711"/>
      <c r="BV306" s="522"/>
      <c r="BW306" s="522"/>
    </row>
    <row r="307" spans="1:75" ht="23.25" customHeight="1">
      <c r="D307" s="44" cm="1">
        <f t="array" ref="D307">D306</f>
        <v>13</v>
      </c>
      <c r="E307" s="518">
        <v>15</v>
      </c>
      <c r="F307" s="3" t="str" cm="1">
        <f t="array" aca="1" ref="F307" ca="1">OFFSET(E307,-1,1)</f>
        <v>1</v>
      </c>
      <c r="G307" s="91" t="s">
        <v>1680</v>
      </c>
      <c r="I307" s="91" t="s">
        <v>2202</v>
      </c>
      <c r="K307" s="91" t="s">
        <v>2202</v>
      </c>
      <c r="L307" s="44" t="s">
        <v>1901</v>
      </c>
      <c r="M307" s="44"/>
      <c r="T307" s="365" t="b" cm="1">
        <f t="array" aca="1" ref="T307" ca="1">T306</f>
        <v>1</v>
      </c>
      <c r="X307" s="1075"/>
      <c r="Z307" s="1065"/>
      <c r="AB307" s="26" t="str">
        <f>D307&amp;".1"</f>
        <v>13.1</v>
      </c>
      <c r="AC307" s="146" t="s">
        <v>1903</v>
      </c>
      <c r="AD307" s="26" t="s">
        <v>534</v>
      </c>
      <c r="AE307" s="455">
        <v>265.96260135049999</v>
      </c>
      <c r="AF307" s="455">
        <f ca="1">IF(AF$24="2026 год",AF306/12*9,AF306/2)</f>
        <v>264.23849999999999</v>
      </c>
      <c r="AG307" s="455">
        <f ca="1">IF(AG$24="2026 год",AG306/12*9,AG306/2)</f>
        <v>264.23849999999999</v>
      </c>
      <c r="AH307" s="568">
        <f ca="1">AG307-AF307</f>
        <v>0</v>
      </c>
      <c r="AI307" s="455">
        <v>265.96260135049999</v>
      </c>
      <c r="AJ307" s="455">
        <f t="shared" ref="AJ307:BC307" ca="1" si="83">IF(AJ$24="2026 год",AJ306/12*9,AJ306/2)</f>
        <v>396.70124999999996</v>
      </c>
      <c r="AK307" s="785">
        <f t="shared" ca="1" si="83"/>
        <v>0</v>
      </c>
      <c r="AL307" s="785">
        <f t="shared" ca="1" si="83"/>
        <v>0</v>
      </c>
      <c r="AM307" s="785">
        <f t="shared" ca="1" si="83"/>
        <v>0</v>
      </c>
      <c r="AN307" s="785">
        <f t="shared" ca="1" si="83"/>
        <v>0</v>
      </c>
      <c r="AO307" s="785">
        <f t="shared" ca="1" si="83"/>
        <v>0</v>
      </c>
      <c r="AP307" s="785">
        <f t="shared" ca="1" si="83"/>
        <v>0</v>
      </c>
      <c r="AQ307" s="785">
        <f t="shared" ca="1" si="83"/>
        <v>0</v>
      </c>
      <c r="AR307" s="785">
        <f t="shared" ca="1" si="83"/>
        <v>0</v>
      </c>
      <c r="AS307" s="785">
        <f t="shared" ca="1" si="83"/>
        <v>0</v>
      </c>
      <c r="AT307" s="455">
        <f t="shared" ca="1" si="83"/>
        <v>396.35775000000001</v>
      </c>
      <c r="AU307" s="785">
        <f t="shared" ca="1" si="83"/>
        <v>0</v>
      </c>
      <c r="AV307" s="785">
        <f t="shared" ca="1" si="83"/>
        <v>0</v>
      </c>
      <c r="AW307" s="785">
        <f t="shared" ca="1" si="83"/>
        <v>0</v>
      </c>
      <c r="AX307" s="785">
        <f t="shared" ca="1" si="83"/>
        <v>0</v>
      </c>
      <c r="AY307" s="785">
        <f t="shared" ca="1" si="83"/>
        <v>0</v>
      </c>
      <c r="AZ307" s="785">
        <f t="shared" ca="1" si="83"/>
        <v>0</v>
      </c>
      <c r="BA307" s="785">
        <f t="shared" ca="1" si="83"/>
        <v>0</v>
      </c>
      <c r="BB307" s="785">
        <f t="shared" ca="1" si="83"/>
        <v>0</v>
      </c>
      <c r="BC307" s="785">
        <f t="shared" ca="1" si="83"/>
        <v>0</v>
      </c>
      <c r="BD307" s="552"/>
      <c r="BE307" s="552"/>
      <c r="BF307" s="552"/>
      <c r="BG307" s="552"/>
      <c r="BH307" s="552"/>
      <c r="BI307" s="552"/>
      <c r="BJ307" s="552"/>
      <c r="BK307" s="552"/>
      <c r="BL307" s="552"/>
      <c r="BM307" s="552"/>
      <c r="BN307" s="215"/>
      <c r="BO307" s="215"/>
      <c r="BP307" s="215"/>
      <c r="BS307" s="703" t="s">
        <v>1904</v>
      </c>
    </row>
    <row r="308" spans="1:75" ht="23.25" customHeight="1">
      <c r="D308" s="44" cm="1">
        <f t="array" ref="D308">D307</f>
        <v>13</v>
      </c>
      <c r="E308" s="518">
        <v>15</v>
      </c>
      <c r="F308" s="3" t="str" cm="1">
        <f t="array" aca="1" ref="F308" ca="1">OFFSET(E308,-1,1)</f>
        <v>1</v>
      </c>
      <c r="G308" s="91" t="s">
        <v>1636</v>
      </c>
      <c r="I308" s="91" t="s">
        <v>2203</v>
      </c>
      <c r="K308" s="91" t="s">
        <v>2203</v>
      </c>
      <c r="L308" s="44" t="s">
        <v>1905</v>
      </c>
      <c r="M308" s="44"/>
      <c r="T308" s="365" t="b" cm="1">
        <f t="array" aca="1" ref="T308" ca="1">T307</f>
        <v>1</v>
      </c>
      <c r="X308" s="1075"/>
      <c r="Z308" s="1065"/>
      <c r="AB308" s="26" t="str">
        <f>D308&amp;".2"</f>
        <v>13.2</v>
      </c>
      <c r="AC308" s="146" t="s">
        <v>1907</v>
      </c>
      <c r="AD308" s="26" t="s">
        <v>1624</v>
      </c>
      <c r="AE308" s="147">
        <v>37.4</v>
      </c>
      <c r="AF308" s="147">
        <f ca="1">IF(AF306=0,0,AF300*(1+Сценарии!AF$26/100))</f>
        <v>48.658497663196897</v>
      </c>
      <c r="AG308" s="147">
        <f ca="1">IF(AG306=0,0,AG300*(1+Сценарии!AG$26/100))</f>
        <v>40.367226882817903</v>
      </c>
      <c r="AH308" s="190">
        <f ca="1">AG308-AF308</f>
        <v>-8.2912707803789942</v>
      </c>
      <c r="AI308" s="147">
        <v>39.61</v>
      </c>
      <c r="AJ308" s="147">
        <f ca="1">IF(AJ306=0,0,AJ300*(1+Сценарии!AJ$26/100))</f>
        <v>83.784821899090403</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147">
        <f>AT300*1.05</f>
        <v>47.208473690384999</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52"/>
      <c r="BE308" s="552"/>
      <c r="BF308" s="552"/>
      <c r="BG308" s="552"/>
      <c r="BH308" s="552"/>
      <c r="BI308" s="552"/>
      <c r="BJ308" s="552"/>
      <c r="BK308" s="552"/>
      <c r="BL308" s="552"/>
      <c r="BM308" s="552"/>
      <c r="BN308" s="215"/>
      <c r="BO308" s="215"/>
      <c r="BP308" s="215"/>
      <c r="BS308" s="703" t="s">
        <v>1908</v>
      </c>
    </row>
    <row r="309" spans="1:75" ht="23.25" customHeight="1">
      <c r="B309" s="34"/>
      <c r="C309" s="44"/>
      <c r="D309" s="44" cm="1">
        <f t="array" ref="D309">D308</f>
        <v>13</v>
      </c>
      <c r="E309" s="462">
        <v>15</v>
      </c>
      <c r="F309" s="3" t="str" cm="1">
        <f t="array" aca="1" ref="F309" ca="1">OFFSET(E309,-1,1)</f>
        <v>1</v>
      </c>
      <c r="G309" s="44" t="s">
        <v>1687</v>
      </c>
      <c r="H309" s="44"/>
      <c r="I309" s="44" t="s">
        <v>2204</v>
      </c>
      <c r="J309" s="44"/>
      <c r="K309" s="44" t="s">
        <v>2204</v>
      </c>
      <c r="L309" s="44" t="s">
        <v>1909</v>
      </c>
      <c r="M309" s="44"/>
      <c r="N309" s="44"/>
      <c r="O309" s="44"/>
      <c r="P309" s="44"/>
      <c r="Q309" s="44"/>
      <c r="R309" s="44"/>
      <c r="S309" s="44"/>
      <c r="T309" s="365" t="b" cm="1">
        <f t="array" aca="1" ref="T309" ca="1">T308</f>
        <v>1</v>
      </c>
      <c r="U309" s="44"/>
      <c r="V309" s="44"/>
      <c r="W309" s="44"/>
      <c r="X309" s="1075"/>
      <c r="Z309" s="1065"/>
      <c r="AB309" s="26" t="str">
        <f>D309&amp;".3"</f>
        <v>13.3</v>
      </c>
      <c r="AC309" s="146" t="s">
        <v>1879</v>
      </c>
      <c r="AD309" s="26" t="s">
        <v>534</v>
      </c>
      <c r="AE309" s="568">
        <f ca="1">AE306-AE307</f>
        <v>265.96260135060004</v>
      </c>
      <c r="AF309" s="568">
        <f ca="1">AF306-AF307</f>
        <v>264.23849999999999</v>
      </c>
      <c r="AG309" s="568">
        <f ca="1">AG306-AG307</f>
        <v>264.23849999999999</v>
      </c>
      <c r="AH309" s="568">
        <f ca="1">AG309-AF309</f>
        <v>0</v>
      </c>
      <c r="AI309" s="568">
        <f t="shared" ref="AI309:BC309" ca="1" si="84">AI306-AI307</f>
        <v>274.52239864950002</v>
      </c>
      <c r="AJ309" s="568">
        <f t="shared" ca="1" si="84"/>
        <v>132.23374999999999</v>
      </c>
      <c r="AK309" s="568">
        <f t="shared" ca="1" si="84"/>
        <v>0</v>
      </c>
      <c r="AL309" s="568">
        <f t="shared" ca="1" si="84"/>
        <v>0</v>
      </c>
      <c r="AM309" s="568">
        <f t="shared" ca="1" si="84"/>
        <v>0</v>
      </c>
      <c r="AN309" s="568">
        <f t="shared" ca="1" si="84"/>
        <v>0</v>
      </c>
      <c r="AO309" s="568">
        <f t="shared" ca="1" si="84"/>
        <v>0</v>
      </c>
      <c r="AP309" s="568">
        <f t="shared" ca="1" si="84"/>
        <v>0</v>
      </c>
      <c r="AQ309" s="568">
        <f t="shared" ca="1" si="84"/>
        <v>0</v>
      </c>
      <c r="AR309" s="568">
        <f t="shared" ca="1" si="84"/>
        <v>0</v>
      </c>
      <c r="AS309" s="568">
        <f t="shared" ca="1" si="84"/>
        <v>0</v>
      </c>
      <c r="AT309" s="568">
        <f t="shared" ca="1" si="84"/>
        <v>132.11924999999997</v>
      </c>
      <c r="AU309" s="568">
        <f t="shared" ca="1" si="84"/>
        <v>0</v>
      </c>
      <c r="AV309" s="568">
        <f t="shared" ca="1" si="84"/>
        <v>0</v>
      </c>
      <c r="AW309" s="568">
        <f t="shared" ca="1" si="84"/>
        <v>0</v>
      </c>
      <c r="AX309" s="568">
        <f t="shared" ca="1" si="84"/>
        <v>0</v>
      </c>
      <c r="AY309" s="568">
        <f t="shared" ca="1" si="84"/>
        <v>0</v>
      </c>
      <c r="AZ309" s="568">
        <f t="shared" ca="1" si="84"/>
        <v>0</v>
      </c>
      <c r="BA309" s="568">
        <f t="shared" ca="1" si="84"/>
        <v>0</v>
      </c>
      <c r="BB309" s="568">
        <f t="shared" ca="1" si="84"/>
        <v>0</v>
      </c>
      <c r="BC309" s="568">
        <f t="shared" ca="1" si="84"/>
        <v>0</v>
      </c>
      <c r="BD309" s="552"/>
      <c r="BE309" s="552"/>
      <c r="BF309" s="552"/>
      <c r="BG309" s="552"/>
      <c r="BH309" s="552"/>
      <c r="BI309" s="552"/>
      <c r="BJ309" s="552"/>
      <c r="BK309" s="552"/>
      <c r="BL309" s="552"/>
      <c r="BM309" s="552"/>
      <c r="BN309" s="215"/>
      <c r="BO309" s="215"/>
      <c r="BP309" s="215"/>
      <c r="BS309" s="703" t="s">
        <v>1911</v>
      </c>
    </row>
    <row r="310" spans="1:75" ht="14.65" customHeight="1">
      <c r="B310" s="34"/>
      <c r="C310" s="44"/>
      <c r="D310" s="44" cm="1">
        <f t="array" ref="D310">D309</f>
        <v>13</v>
      </c>
      <c r="E310" s="462">
        <v>15</v>
      </c>
      <c r="F310" s="3" t="str" cm="1">
        <f t="array" aca="1" ref="F310" ca="1">OFFSET(E310,-1,1)</f>
        <v>1</v>
      </c>
      <c r="G310" s="44" t="s">
        <v>1640</v>
      </c>
      <c r="H310" s="44"/>
      <c r="I310" s="44" t="s">
        <v>2205</v>
      </c>
      <c r="J310" s="44"/>
      <c r="K310" s="44" t="s">
        <v>2205</v>
      </c>
      <c r="L310" s="44" t="s">
        <v>1912</v>
      </c>
      <c r="M310" s="44"/>
      <c r="N310" s="44"/>
      <c r="O310" s="44"/>
      <c r="P310" s="44"/>
      <c r="Q310" s="44"/>
      <c r="R310" s="44"/>
      <c r="S310" s="44"/>
      <c r="T310" s="365" t="b" cm="1">
        <f t="array" aca="1" ref="T310" ca="1">T309</f>
        <v>1</v>
      </c>
      <c r="U310" s="44"/>
      <c r="V310" s="44"/>
      <c r="W310" s="44"/>
      <c r="X310" s="1075"/>
      <c r="Z310" s="1065"/>
      <c r="AB310" s="26" t="str">
        <f>D310&amp;".4"</f>
        <v>13.4</v>
      </c>
      <c r="AC310" s="146" t="s">
        <v>1883</v>
      </c>
      <c r="AD310" s="26" t="s">
        <v>1624</v>
      </c>
      <c r="AE310" s="147">
        <v>39.610001385499999</v>
      </c>
      <c r="AF310" s="147">
        <f ca="1">IF(AF306=0,0,AF302*(1+Сценарии!AF$26/100))</f>
        <v>48.658499243494823</v>
      </c>
      <c r="AG310" s="147">
        <f ca="1">IF(AG306=0,0,AG302*(1+Сценарии!AG$26/100))</f>
        <v>40.367228463115751</v>
      </c>
      <c r="AH310" s="190">
        <f ca="1">AG310-AF310</f>
        <v>-8.2912707803790724</v>
      </c>
      <c r="AI310" s="147">
        <v>42.780000195500001</v>
      </c>
      <c r="AJ310" s="147">
        <f ca="1">IF(AJ306=0,0,AJ302*(1+Сценарии!AJ$26/100))</f>
        <v>83.784804402480361</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147">
        <f ca="1">AT302*1.05</f>
        <v>54.094570604977697</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52"/>
      <c r="BE310" s="552"/>
      <c r="BF310" s="552"/>
      <c r="BG310" s="552"/>
      <c r="BH310" s="552"/>
      <c r="BI310" s="552"/>
      <c r="BJ310" s="552"/>
      <c r="BK310" s="552"/>
      <c r="BL310" s="552"/>
      <c r="BM310" s="552"/>
      <c r="BN310" s="215"/>
      <c r="BO310" s="215"/>
      <c r="BP310" s="215"/>
      <c r="BS310" s="703" t="s">
        <v>1915</v>
      </c>
    </row>
    <row r="311" spans="1:75" ht="14.25" customHeight="1">
      <c r="B311" s="34"/>
      <c r="C311" s="44"/>
      <c r="D311" s="44">
        <f>D310+1</f>
        <v>14</v>
      </c>
      <c r="E311" s="462">
        <v>15</v>
      </c>
      <c r="F311" s="3" t="str" cm="1">
        <f t="array" aca="1" ref="F311" ca="1">OFFSET(E311,-1,1)</f>
        <v>1</v>
      </c>
      <c r="G311" s="44"/>
      <c r="H311" s="44"/>
      <c r="I311" s="44"/>
      <c r="J311" s="44"/>
      <c r="K311" s="44"/>
      <c r="L311" s="44"/>
      <c r="M311" s="44"/>
      <c r="N311" s="44"/>
      <c r="O311" s="44"/>
      <c r="P311" s="44"/>
      <c r="Q311" s="44"/>
      <c r="R311" s="44"/>
      <c r="S311" s="44"/>
      <c r="T311" s="365" t="b" cm="1">
        <f t="array" aca="1" ref="T311" ca="1">T310</f>
        <v>1</v>
      </c>
      <c r="U311" s="44"/>
      <c r="V311" s="44"/>
      <c r="W311" s="44"/>
      <c r="X311" s="1075"/>
      <c r="Z311" s="1065"/>
      <c r="AB311" s="143" cm="1">
        <f t="array" ref="AB311">D311</f>
        <v>14</v>
      </c>
      <c r="AC311" s="144" t="s">
        <v>1917</v>
      </c>
      <c r="AD311" s="143" t="s">
        <v>804</v>
      </c>
      <c r="AE311" s="147"/>
      <c r="AF311" s="147"/>
      <c r="AG311" s="147"/>
      <c r="AH311" s="190"/>
      <c r="AI311" s="147"/>
      <c r="AJ311" s="147"/>
      <c r="AK311" s="787"/>
      <c r="AL311" s="787"/>
      <c r="AM311" s="787"/>
      <c r="AN311" s="787"/>
      <c r="AO311" s="787"/>
      <c r="AP311" s="787"/>
      <c r="AQ311" s="787"/>
      <c r="AR311" s="787"/>
      <c r="AS311" s="787"/>
      <c r="AT311" s="147"/>
      <c r="AU311" s="787"/>
      <c r="AV311" s="787"/>
      <c r="AW311" s="787"/>
      <c r="AX311" s="787"/>
      <c r="AY311" s="787"/>
      <c r="AZ311" s="787"/>
      <c r="BA311" s="787"/>
      <c r="BB311" s="787"/>
      <c r="BC311" s="787"/>
      <c r="BD311" s="552"/>
      <c r="BE311" s="552"/>
      <c r="BF311" s="552"/>
      <c r="BG311" s="552"/>
      <c r="BH311" s="552"/>
      <c r="BI311" s="552"/>
      <c r="BJ311" s="552"/>
      <c r="BK311" s="552"/>
      <c r="BL311" s="552"/>
      <c r="BM311" s="552"/>
      <c r="BN311" s="215"/>
      <c r="BO311" s="215"/>
      <c r="BP311" s="215"/>
      <c r="BS311" s="703" t="s">
        <v>1918</v>
      </c>
    </row>
    <row r="312" spans="1:75" ht="20.25" customHeight="1">
      <c r="B312" s="34"/>
      <c r="C312" s="44"/>
      <c r="D312" s="44" cm="1">
        <f t="array" ref="D312">D311</f>
        <v>14</v>
      </c>
      <c r="E312" s="462">
        <v>21</v>
      </c>
      <c r="F312" s="3" t="str" cm="1">
        <f t="array" aca="1" ref="F312" ca="1">OFFSET(E312,-1,1)</f>
        <v>1</v>
      </c>
      <c r="G312" s="44"/>
      <c r="H312" s="44"/>
      <c r="I312" s="44"/>
      <c r="J312" s="44"/>
      <c r="K312" s="44"/>
      <c r="L312" s="44"/>
      <c r="M312" s="44"/>
      <c r="N312" s="44"/>
      <c r="O312" s="44"/>
      <c r="P312" s="44"/>
      <c r="Q312" s="44"/>
      <c r="R312" s="44"/>
      <c r="S312" s="44"/>
      <c r="T312" s="365" t="b" cm="1">
        <f t="array" aca="1" ref="T312" ca="1">T311</f>
        <v>1</v>
      </c>
      <c r="U312" s="44"/>
      <c r="V312" s="44"/>
      <c r="W312" s="44"/>
      <c r="X312" s="1075"/>
      <c r="Z312" s="1065"/>
      <c r="AB312" s="26" t="str">
        <f>D312&amp;".1"</f>
        <v>14.1</v>
      </c>
      <c r="AC312" s="146" t="s">
        <v>1920</v>
      </c>
      <c r="AD312" s="26" t="s">
        <v>804</v>
      </c>
      <c r="AE312" s="147"/>
      <c r="AF312" s="147"/>
      <c r="AG312" s="147"/>
      <c r="AH312" s="190">
        <f>AG312-AF312</f>
        <v>0</v>
      </c>
      <c r="AI312" s="147"/>
      <c r="AJ312" s="147"/>
      <c r="AK312" s="787"/>
      <c r="AL312" s="787"/>
      <c r="AM312" s="787"/>
      <c r="AN312" s="787"/>
      <c r="AO312" s="787"/>
      <c r="AP312" s="787"/>
      <c r="AQ312" s="787"/>
      <c r="AR312" s="787"/>
      <c r="AS312" s="787"/>
      <c r="AT312" s="147"/>
      <c r="AU312" s="787"/>
      <c r="AV312" s="787"/>
      <c r="AW312" s="787"/>
      <c r="AX312" s="787"/>
      <c r="AY312" s="787"/>
      <c r="AZ312" s="787"/>
      <c r="BA312" s="787"/>
      <c r="BB312" s="787"/>
      <c r="BC312" s="787"/>
      <c r="BD312" s="552"/>
      <c r="BE312" s="552"/>
      <c r="BF312" s="552"/>
      <c r="BG312" s="552"/>
      <c r="BH312" s="552"/>
      <c r="BI312" s="552"/>
      <c r="BJ312" s="552"/>
      <c r="BK312" s="552"/>
      <c r="BL312" s="552"/>
      <c r="BM312" s="552"/>
      <c r="BN312" s="215"/>
      <c r="BO312" s="215"/>
      <c r="BP312" s="215"/>
      <c r="BS312" s="703" t="s">
        <v>1921</v>
      </c>
      <c r="BT312" s="712"/>
      <c r="BU312" s="712"/>
      <c r="BV312" s="713"/>
      <c r="BW312" s="713"/>
    </row>
    <row r="313" spans="1:75" ht="64.5" customHeight="1">
      <c r="B313" s="34"/>
      <c r="C313" s="44"/>
      <c r="D313" s="44" cm="1">
        <f t="array" ref="D313">D312</f>
        <v>14</v>
      </c>
      <c r="E313" s="462">
        <v>66.599999999999994</v>
      </c>
      <c r="F313" s="3" t="str" cm="1">
        <f t="array" aca="1" ref="F313" ca="1">OFFSET(E313,-1,1)</f>
        <v>1</v>
      </c>
      <c r="G313" s="44"/>
      <c r="H313" s="44"/>
      <c r="I313" s="44"/>
      <c r="J313" s="44"/>
      <c r="K313" s="44"/>
      <c r="L313" s="44"/>
      <c r="M313" s="44"/>
      <c r="N313" s="44"/>
      <c r="O313" s="44"/>
      <c r="P313" s="44"/>
      <c r="Q313" s="44"/>
      <c r="R313" s="44"/>
      <c r="S313" s="44"/>
      <c r="T313" s="365" t="b" cm="1">
        <f t="array" aca="1" ref="T313" ca="1">T312</f>
        <v>1</v>
      </c>
      <c r="U313" s="44"/>
      <c r="V313" s="44"/>
      <c r="W313" s="44"/>
      <c r="X313" s="1075"/>
      <c r="Z313" s="1065"/>
      <c r="AB313" s="26" t="str">
        <f>D313&amp;".2"</f>
        <v>14.2</v>
      </c>
      <c r="AC313" s="146" t="s">
        <v>1923</v>
      </c>
      <c r="AD313" s="26" t="s">
        <v>804</v>
      </c>
      <c r="AE313" s="147"/>
      <c r="AF313" s="147"/>
      <c r="AG313" s="147"/>
      <c r="AH313" s="190">
        <f>AG313-AF313</f>
        <v>0</v>
      </c>
      <c r="AI313" s="147"/>
      <c r="AJ313" s="147"/>
      <c r="AK313" s="787"/>
      <c r="AL313" s="787"/>
      <c r="AM313" s="787"/>
      <c r="AN313" s="787"/>
      <c r="AO313" s="787"/>
      <c r="AP313" s="787"/>
      <c r="AQ313" s="787"/>
      <c r="AR313" s="787"/>
      <c r="AS313" s="787"/>
      <c r="AT313" s="147"/>
      <c r="AU313" s="787"/>
      <c r="AV313" s="787"/>
      <c r="AW313" s="787"/>
      <c r="AX313" s="787"/>
      <c r="AY313" s="787"/>
      <c r="AZ313" s="787"/>
      <c r="BA313" s="787"/>
      <c r="BB313" s="787"/>
      <c r="BC313" s="787"/>
      <c r="BD313" s="552"/>
      <c r="BE313" s="552"/>
      <c r="BF313" s="552"/>
      <c r="BG313" s="552"/>
      <c r="BH313" s="552"/>
      <c r="BI313" s="552"/>
      <c r="BJ313" s="552"/>
      <c r="BK313" s="552"/>
      <c r="BL313" s="552"/>
      <c r="BM313" s="552"/>
      <c r="BN313" s="215"/>
      <c r="BO313" s="215"/>
      <c r="BP313" s="215"/>
      <c r="BS313" s="703" t="s">
        <v>1924</v>
      </c>
      <c r="BT313" s="712"/>
      <c r="BU313" s="712"/>
      <c r="BV313" s="713"/>
      <c r="BW313" s="713"/>
    </row>
    <row r="314" spans="1:75" ht="44.25" customHeight="1">
      <c r="A314" s="388"/>
      <c r="B314" s="548"/>
      <c r="C314" s="44"/>
      <c r="D314" s="44" cm="1">
        <f t="array" ref="D314">D313</f>
        <v>14</v>
      </c>
      <c r="E314" s="462">
        <v>45.6</v>
      </c>
      <c r="F314" s="3" t="str" cm="1">
        <f t="array" aca="1" ref="F314" ca="1">OFFSET(E314,-1,1)</f>
        <v>1</v>
      </c>
      <c r="G314" s="44"/>
      <c r="H314" s="44"/>
      <c r="I314" s="44"/>
      <c r="J314" s="44"/>
      <c r="K314" s="44"/>
      <c r="L314" s="44"/>
      <c r="M314" s="44"/>
      <c r="N314" s="44"/>
      <c r="O314" s="44"/>
      <c r="P314" s="44"/>
      <c r="Q314" s="44"/>
      <c r="R314" s="44"/>
      <c r="S314" s="44"/>
      <c r="T314" s="365" t="b" cm="1">
        <f t="array" aca="1" ref="T314" ca="1">T313</f>
        <v>1</v>
      </c>
      <c r="U314" s="44"/>
      <c r="V314" s="44"/>
      <c r="W314" s="44"/>
      <c r="X314" s="1075"/>
      <c r="Y314" s="388"/>
      <c r="Z314" s="1065"/>
      <c r="AA314" s="388"/>
      <c r="AB314" s="26" t="str">
        <f>D314&amp;".3"</f>
        <v>14.3</v>
      </c>
      <c r="AC314" s="146" t="s">
        <v>2206</v>
      </c>
      <c r="AD314" s="26" t="s">
        <v>804</v>
      </c>
      <c r="AE314" s="552"/>
      <c r="AF314" s="147"/>
      <c r="AG314" s="147"/>
      <c r="AH314" s="190">
        <f>AG314-AF314</f>
        <v>0</v>
      </c>
      <c r="AI314" s="552"/>
      <c r="AJ314" s="552"/>
      <c r="AK314" s="552"/>
      <c r="AL314" s="552"/>
      <c r="AM314" s="552"/>
      <c r="AN314" s="552"/>
      <c r="AO314" s="552"/>
      <c r="AP314" s="552"/>
      <c r="AQ314" s="552"/>
      <c r="AR314" s="552"/>
      <c r="AS314" s="552"/>
      <c r="AT314" s="552"/>
      <c r="AU314" s="552"/>
      <c r="AV314" s="552"/>
      <c r="AW314" s="552"/>
      <c r="AX314" s="552"/>
      <c r="AY314" s="552"/>
      <c r="AZ314" s="552"/>
      <c r="BA314" s="552"/>
      <c r="BB314" s="552"/>
      <c r="BC314" s="552"/>
      <c r="BD314" s="552"/>
      <c r="BE314" s="552"/>
      <c r="BF314" s="552"/>
      <c r="BG314" s="552"/>
      <c r="BH314" s="552"/>
      <c r="BI314" s="552"/>
      <c r="BJ314" s="552"/>
      <c r="BK314" s="552"/>
      <c r="BL314" s="552"/>
      <c r="BM314" s="552"/>
      <c r="BN314" s="215"/>
      <c r="BO314" s="215"/>
      <c r="BP314" s="215"/>
      <c r="BS314" s="712" t="s">
        <v>2207</v>
      </c>
      <c r="BT314" s="712"/>
      <c r="BU314" s="712"/>
      <c r="BV314" s="713"/>
      <c r="BW314" s="713"/>
    </row>
    <row r="315" spans="1:75" s="408" customFormat="1" ht="14.25" customHeight="1">
      <c r="A315" s="57"/>
      <c r="B315" s="62"/>
      <c r="C315" s="57"/>
      <c r="D315" s="57"/>
      <c r="E315" s="459">
        <v>15</v>
      </c>
      <c r="F315" s="36" t="str" cm="1">
        <f t="array" ref="F315">X315</f>
        <v>2</v>
      </c>
      <c r="G315" s="36" t="str" cm="1">
        <f t="array" ref="G315">INDEX('Общие сведения'!$AK$179:$AK$222,MATCH($X315,'Общие сведения'!$Z$179:$Z$222,0))</f>
        <v>одноставочный</v>
      </c>
      <c r="H315" s="57"/>
      <c r="I315" s="36"/>
      <c r="J315" s="57"/>
      <c r="K315" s="57"/>
      <c r="L315" s="41"/>
      <c r="M315" s="41"/>
      <c r="N315" s="57"/>
      <c r="O315" s="57"/>
      <c r="P315" s="57"/>
      <c r="Q315" s="57"/>
      <c r="R315" s="57"/>
      <c r="S315" s="57" t="str" cm="1">
        <f t="array" ref="S315">INDEX('Общие сведения'!$AE$179:$AE$222,MATCH($X315,'Общие сведения'!$Z$179:$Z$222,0))</f>
        <v>Водоотведение</v>
      </c>
      <c r="T315" s="365" t="b">
        <f>X315&gt;0</f>
        <v>1</v>
      </c>
      <c r="U315" s="57"/>
      <c r="V315" s="57" t="str" cm="1">
        <f t="array" ref="V315">'Калькуляция (МИ)'!$AB$315</f>
        <v>Тариф 2 (Водоотведение) - тариф на водоотведение (Доп. признак не требуется)</v>
      </c>
      <c r="W315" s="57"/>
      <c r="X315" s="1075" t="s">
        <v>285</v>
      </c>
      <c r="Y315" s="57"/>
      <c r="Z315" s="1065"/>
      <c r="AA315" s="57"/>
      <c r="AB315" s="293" t="str" cm="1">
        <f t="array" ref="AB315">'Калькуляция (МИ)'!$AB$315</f>
        <v>Тариф 2 (Водоотведение) - тариф на водоотведение (Доп. признак не требуется)</v>
      </c>
      <c r="AC315" s="184"/>
      <c r="AD315" s="184"/>
      <c r="AE315" s="184"/>
      <c r="AF315" s="184"/>
      <c r="AG315" s="184"/>
      <c r="AH315" s="184"/>
      <c r="AI315" s="184"/>
      <c r="AJ315" s="184"/>
      <c r="AK315" s="184"/>
      <c r="AL315" s="184"/>
      <c r="AM315" s="184"/>
      <c r="AN315" s="184"/>
      <c r="AO315" s="184"/>
      <c r="AP315" s="184"/>
      <c r="AQ315" s="184"/>
      <c r="AR315" s="184"/>
      <c r="AS315" s="184"/>
      <c r="AT315" s="184"/>
      <c r="AU315" s="184"/>
      <c r="AV315" s="184"/>
      <c r="AW315" s="184"/>
      <c r="AX315" s="184"/>
      <c r="AY315" s="184"/>
      <c r="AZ315" s="184"/>
      <c r="BA315" s="184"/>
      <c r="BB315" s="184"/>
      <c r="BC315" s="184"/>
      <c r="BD315" s="184"/>
      <c r="BE315" s="184"/>
      <c r="BF315" s="184"/>
      <c r="BG315" s="184"/>
      <c r="BH315" s="184"/>
      <c r="BI315" s="184"/>
      <c r="BJ315" s="184"/>
      <c r="BK315" s="184"/>
      <c r="BL315" s="184"/>
      <c r="BM315" s="184"/>
      <c r="BN315" s="184"/>
      <c r="BO315" s="184"/>
      <c r="BP315" s="184"/>
      <c r="BQ315" s="57"/>
      <c r="BR315" s="57"/>
      <c r="BS315" s="665"/>
      <c r="BT315" s="665"/>
      <c r="BU315" s="665"/>
      <c r="BV315" s="459"/>
      <c r="BW315" s="459"/>
    </row>
    <row r="316" spans="1:75" s="949" customFormat="1" ht="159.75" customHeight="1">
      <c r="A316" s="94"/>
      <c r="B316" s="343"/>
      <c r="C316" s="94"/>
      <c r="D316" s="94"/>
      <c r="E316" s="520">
        <v>21</v>
      </c>
      <c r="F316" s="3" t="str" cm="1">
        <f t="array" aca="1" ref="F316" ca="1">OFFSET(E316,-1,1)</f>
        <v>2</v>
      </c>
      <c r="G316" s="94"/>
      <c r="H316" s="289"/>
      <c r="I316" s="289" t="s">
        <v>327</v>
      </c>
      <c r="J316" s="94"/>
      <c r="K316" s="289" t="s">
        <v>327</v>
      </c>
      <c r="L316" s="585"/>
      <c r="M316" s="585"/>
      <c r="N316" s="94"/>
      <c r="O316" s="94"/>
      <c r="P316" s="94"/>
      <c r="Q316" s="94"/>
      <c r="R316" s="94" t="s">
        <v>2218</v>
      </c>
      <c r="S316" s="94"/>
      <c r="T316" s="365" t="b" cm="1">
        <f t="array" ref="T316">T315</f>
        <v>1</v>
      </c>
      <c r="U316" s="94"/>
      <c r="V316" s="94"/>
      <c r="W316" s="94"/>
      <c r="X316" s="1075"/>
      <c r="Y316" s="94"/>
      <c r="Z316" s="1065"/>
      <c r="AA316" s="94"/>
      <c r="AB316" s="179" t="s">
        <v>275</v>
      </c>
      <c r="AC316" s="144" t="s">
        <v>1931</v>
      </c>
      <c r="AD316" s="166" t="s">
        <v>804</v>
      </c>
      <c r="AE316" s="157">
        <f ca="1">SUM(AE318,AE335,AE341,AE361,AE362,AE363)</f>
        <v>30616.182627900598</v>
      </c>
      <c r="AF316" s="145">
        <f ca="1">SUM(AF318,AF335,AF341,AF361,AF362,AF363)</f>
        <v>30613.677509200003</v>
      </c>
      <c r="AG316" s="145">
        <f ca="1">SUM(AG318,AG335,AG341,AG361,AG362,AG363)</f>
        <v>30616.182627900598</v>
      </c>
      <c r="AH316" s="145">
        <f t="shared" ref="AH316:AH347" ca="1" si="85">AG316-AF316</f>
        <v>2.5051187005956308</v>
      </c>
      <c r="AI316" s="157">
        <v>34763.199549616802</v>
      </c>
      <c r="AJ316" s="157">
        <f>SUM(AJ318,AJ335,AJ341,AJ361,AJ362,AJ363)</f>
        <v>46074.183000000005</v>
      </c>
      <c r="AK316" s="783">
        <f t="shared" ref="AK316:AS316" ca="1" si="86">AJ316*AK317</f>
        <v>46074.183000000005</v>
      </c>
      <c r="AL316" s="783">
        <f t="shared" ca="1" si="86"/>
        <v>46074.183000000005</v>
      </c>
      <c r="AM316" s="783">
        <f t="shared" ca="1" si="86"/>
        <v>46074.183000000005</v>
      </c>
      <c r="AN316" s="783">
        <f t="shared" ca="1" si="86"/>
        <v>46074.183000000005</v>
      </c>
      <c r="AO316" s="783">
        <f t="shared" ca="1" si="86"/>
        <v>46074.183000000005</v>
      </c>
      <c r="AP316" s="783">
        <f t="shared" ca="1" si="86"/>
        <v>46074.183000000005</v>
      </c>
      <c r="AQ316" s="783">
        <f t="shared" ca="1" si="86"/>
        <v>46074.183000000005</v>
      </c>
      <c r="AR316" s="783">
        <f t="shared" ca="1" si="86"/>
        <v>46074.183000000005</v>
      </c>
      <c r="AS316" s="783">
        <f t="shared" ca="1" si="86"/>
        <v>46074.183000000005</v>
      </c>
      <c r="AT316" s="157">
        <f ca="1">AI316*AT317</f>
        <v>36170.76149938078</v>
      </c>
      <c r="AU316" s="783">
        <f t="shared" ref="AU316:BC316" ca="1" si="87">AT316*AU317</f>
        <v>36170.76149938078</v>
      </c>
      <c r="AV316" s="783">
        <f t="shared" ca="1" si="87"/>
        <v>36170.76149938078</v>
      </c>
      <c r="AW316" s="783">
        <f t="shared" ca="1" si="87"/>
        <v>36170.76149938078</v>
      </c>
      <c r="AX316" s="783">
        <f t="shared" ca="1" si="87"/>
        <v>36170.76149938078</v>
      </c>
      <c r="AY316" s="783">
        <f t="shared" ca="1" si="87"/>
        <v>36170.76149938078</v>
      </c>
      <c r="AZ316" s="783">
        <f t="shared" ca="1" si="87"/>
        <v>36170.76149938078</v>
      </c>
      <c r="BA316" s="783">
        <f t="shared" ca="1" si="87"/>
        <v>36170.76149938078</v>
      </c>
      <c r="BB316" s="783">
        <f t="shared" ca="1" si="87"/>
        <v>36170.76149938078</v>
      </c>
      <c r="BC316" s="783">
        <f t="shared" ca="1" si="87"/>
        <v>36170.76149938078</v>
      </c>
      <c r="BD316" s="145">
        <f ca="1">IF(AI316=0,0,(AT316-AI316)/AI316*100)</f>
        <v>4.0489999999999826</v>
      </c>
      <c r="BE316" s="145">
        <f t="shared" ref="BE316:BM316" ca="1" si="88">IF(AT316=0,0,(AU316-AT316)/AT316*100)</f>
        <v>0</v>
      </c>
      <c r="BF316" s="145">
        <f t="shared" ca="1" si="88"/>
        <v>0</v>
      </c>
      <c r="BG316" s="145">
        <f t="shared" ca="1" si="88"/>
        <v>0</v>
      </c>
      <c r="BH316" s="145">
        <f t="shared" ca="1" si="88"/>
        <v>0</v>
      </c>
      <c r="BI316" s="145">
        <f t="shared" ca="1" si="88"/>
        <v>0</v>
      </c>
      <c r="BJ316" s="145">
        <f t="shared" ca="1" si="88"/>
        <v>0</v>
      </c>
      <c r="BK316" s="145">
        <f t="shared" ca="1" si="88"/>
        <v>0</v>
      </c>
      <c r="BL316" s="145">
        <f t="shared" ca="1" si="88"/>
        <v>0</v>
      </c>
      <c r="BM316" s="145">
        <f t="shared" ca="1" si="88"/>
        <v>0</v>
      </c>
      <c r="BN316" s="953" t="s">
        <v>2253</v>
      </c>
      <c r="BO316" s="215" t="s">
        <v>2254</v>
      </c>
      <c r="BP316" s="215"/>
      <c r="BQ316" s="93"/>
      <c r="BR316" s="94"/>
      <c r="BS316" s="709" t="s">
        <v>526</v>
      </c>
      <c r="BT316" s="709"/>
      <c r="BU316" s="709"/>
      <c r="BV316" s="520"/>
      <c r="BW316" s="520"/>
    </row>
    <row r="317" spans="1:75" ht="14.65" customHeight="1">
      <c r="E317" s="518">
        <v>15</v>
      </c>
      <c r="F317" s="3" t="str" cm="1">
        <f t="array" aca="1" ref="F317" ca="1">OFFSET(E317,-1,1)</f>
        <v>2</v>
      </c>
      <c r="H317" s="290"/>
      <c r="I317" s="290" t="s">
        <v>461</v>
      </c>
      <c r="K317" s="290" t="s">
        <v>461</v>
      </c>
      <c r="L317" s="44"/>
      <c r="M317" s="44"/>
      <c r="R317" s="94" t="s">
        <v>2218</v>
      </c>
      <c r="T317" s="365" t="b" cm="1">
        <f t="array" ref="T317">T316</f>
        <v>1</v>
      </c>
      <c r="X317" s="1075"/>
      <c r="Z317" s="1065"/>
      <c r="AB317" s="152" t="s">
        <v>897</v>
      </c>
      <c r="AC317" s="146" t="s">
        <v>1932</v>
      </c>
      <c r="AD317" s="26"/>
      <c r="AE317" s="455"/>
      <c r="AF317" s="455"/>
      <c r="AG317" s="455"/>
      <c r="AH317" s="568">
        <f t="shared" si="85"/>
        <v>0</v>
      </c>
      <c r="AI317" s="455">
        <v>1.0580000000000001</v>
      </c>
      <c r="AJ317" s="455">
        <f ca="1">SUMIFS(INDEX(Сценарии!$AE$25:$BF$109,,MATCH(AJ$8,Сценарии!$AE$8:$BF$8,0)),Сценарии!$F$25:$F$109,$F317,Сценарии!$G$25:$G$109,"ИОР")</f>
        <v>1.08</v>
      </c>
      <c r="AK317" s="785">
        <f ca="1">SUMIFS(INDEX(Сценарии!$AE$25:$BF$109,,MATCH(AK$8,Сценарии!$AE$8:$BF$8,0)),Сценарии!$F$25:$F$109,$F317,Сценарии!$G$25:$G$109,"ИОР")</f>
        <v>1</v>
      </c>
      <c r="AL317" s="785">
        <f ca="1">SUMIFS(INDEX(Сценарии!$AE$25:$BF$109,,MATCH(AL$8,Сценарии!$AE$8:$BF$8,0)),Сценарии!$F$25:$F$109,$F317,Сценарии!$G$25:$G$109,"ИОР")</f>
        <v>1</v>
      </c>
      <c r="AM317" s="785">
        <f ca="1">SUMIFS(INDEX(Сценарии!$AE$25:$BF$109,,MATCH(AM$8,Сценарии!$AE$8:$BF$8,0)),Сценарии!$F$25:$F$109,$F317,Сценарии!$G$25:$G$109,"ИОР")</f>
        <v>1</v>
      </c>
      <c r="AN317" s="785">
        <f ca="1">SUMIFS(INDEX(Сценарии!$AE$25:$BF$109,,MATCH(AN$8,Сценарии!$AE$8:$BF$8,0)),Сценарии!$F$25:$F$109,$F317,Сценарии!$G$25:$G$109,"ИОР")</f>
        <v>1</v>
      </c>
      <c r="AO317" s="785">
        <f ca="1">SUMIFS(INDEX(Сценарии!$AE$25:$BF$109,,MATCH(AO$8,Сценарии!$AE$8:$BF$8,0)),Сценарии!$F$25:$F$109,$F317,Сценарии!$G$25:$G$109,"ИОР")</f>
        <v>1</v>
      </c>
      <c r="AP317" s="785">
        <f ca="1">SUMIFS(INDEX(Сценарии!$AE$25:$BF$109,,MATCH(AP$8,Сценарии!$AE$8:$BF$8,0)),Сценарии!$F$25:$F$109,$F317,Сценарии!$G$25:$G$109,"ИОР")</f>
        <v>1</v>
      </c>
      <c r="AQ317" s="785">
        <f ca="1">SUMIFS(INDEX(Сценарии!$AE$25:$BF$109,,MATCH(AQ$8,Сценарии!$AE$8:$BF$8,0)),Сценарии!$F$25:$F$109,$F317,Сценарии!$G$25:$G$109,"ИОР")</f>
        <v>1</v>
      </c>
      <c r="AR317" s="785">
        <f ca="1">SUMIFS(INDEX(Сценарии!$AE$25:$BF$109,,MATCH(AR$8,Сценарии!$AE$8:$BF$8,0)),Сценарии!$F$25:$F$109,$F317,Сценарии!$G$25:$G$109,"ИОР")</f>
        <v>1</v>
      </c>
      <c r="AS317" s="785">
        <f ca="1">SUMIFS(INDEX(Сценарии!$AE$25:$BF$109,,MATCH(AS$8,Сценарии!$AE$8:$BF$8,0)),Сценарии!$F$25:$F$109,$F317,Сценарии!$G$25:$G$109,"ИОР")</f>
        <v>1</v>
      </c>
      <c r="AT317" s="455">
        <f ca="1">SUMIFS(INDEX(Сценарии!$AE$25:$BF$109,,MATCH(AT$8,Сценарии!$AE$8:$BF$8,0)),Сценарии!$F$25:$F$109,$F317,Сценарии!$G$25:$G$109,"ИОР")</f>
        <v>1.0404899999999999</v>
      </c>
      <c r="AU317" s="785">
        <f ca="1">SUMIFS(INDEX(Сценарии!$AE$25:$BF$109,,MATCH(AU$8,Сценарии!$AE$8:$BF$8,0)),Сценарии!$F$25:$F$109,$F317,Сценарии!$G$25:$G$109,"ИОР")</f>
        <v>1</v>
      </c>
      <c r="AV317" s="785">
        <f ca="1">SUMIFS(INDEX(Сценарии!$AE$25:$BF$109,,MATCH(AV$8,Сценарии!$AE$8:$BF$8,0)),Сценарии!$F$25:$F$109,$F317,Сценарии!$G$25:$G$109,"ИОР")</f>
        <v>1</v>
      </c>
      <c r="AW317" s="785">
        <f ca="1">SUMIFS(INDEX(Сценарии!$AE$25:$BF$109,,MATCH(AW$8,Сценарии!$AE$8:$BF$8,0)),Сценарии!$F$25:$F$109,$F317,Сценарии!$G$25:$G$109,"ИОР")</f>
        <v>1</v>
      </c>
      <c r="AX317" s="785">
        <f ca="1">SUMIFS(INDEX(Сценарии!$AE$25:$BF$109,,MATCH(AX$8,Сценарии!$AE$8:$BF$8,0)),Сценарии!$F$25:$F$109,$F317,Сценарии!$G$25:$G$109,"ИОР")</f>
        <v>1</v>
      </c>
      <c r="AY317" s="785">
        <f ca="1">SUMIFS(INDEX(Сценарии!$AE$25:$BF$109,,MATCH(AY$8,Сценарии!$AE$8:$BF$8,0)),Сценарии!$F$25:$F$109,$F317,Сценарии!$G$25:$G$109,"ИОР")</f>
        <v>1</v>
      </c>
      <c r="AZ317" s="785">
        <f ca="1">SUMIFS(INDEX(Сценарии!$AE$25:$BF$109,,MATCH(AZ$8,Сценарии!$AE$8:$BF$8,0)),Сценарии!$F$25:$F$109,$F317,Сценарии!$G$25:$G$109,"ИОР")</f>
        <v>1</v>
      </c>
      <c r="BA317" s="785">
        <f ca="1">SUMIFS(INDEX(Сценарии!$AE$25:$BF$109,,MATCH(BA$8,Сценарии!$AE$8:$BF$8,0)),Сценарии!$F$25:$F$109,$F317,Сценарии!$G$25:$G$109,"ИОР")</f>
        <v>1</v>
      </c>
      <c r="BB317" s="785">
        <f ca="1">SUMIFS(INDEX(Сценарии!$AE$25:$BF$109,,MATCH(BB$8,Сценарии!$AE$8:$BF$8,0)),Сценарии!$F$25:$F$109,$F317,Сценарии!$G$25:$G$109,"ИОР")</f>
        <v>1</v>
      </c>
      <c r="BC317" s="785">
        <f ca="1">SUMIFS(INDEX(Сценарии!$AE$25:$BF$109,,MATCH(BC$8,Сценарии!$AE$8:$BF$8,0)),Сценарии!$F$25:$F$109,$F317,Сценарии!$G$25:$G$109,"ИОР")</f>
        <v>1</v>
      </c>
      <c r="BD317" s="552"/>
      <c r="BE317" s="552"/>
      <c r="BF317" s="552"/>
      <c r="BG317" s="552"/>
      <c r="BH317" s="552"/>
      <c r="BI317" s="552"/>
      <c r="BJ317" s="552"/>
      <c r="BK317" s="552"/>
      <c r="BL317" s="552"/>
      <c r="BM317" s="552"/>
      <c r="BN317" s="215"/>
      <c r="BO317" s="215"/>
      <c r="BP317" s="215"/>
      <c r="BS317" s="705" t="s">
        <v>1933</v>
      </c>
    </row>
    <row r="318" spans="1:75" s="343" customFormat="1" ht="20.25" customHeight="1">
      <c r="A318" s="93"/>
      <c r="C318" s="93"/>
      <c r="D318" s="93"/>
      <c r="E318" s="521">
        <v>21</v>
      </c>
      <c r="F318" s="3" t="str" cm="1">
        <f t="array" aca="1" ref="F318" ca="1">OFFSET(E318,-1,1)</f>
        <v>2</v>
      </c>
      <c r="G318" s="93"/>
      <c r="H318" s="289"/>
      <c r="I318" s="289" t="s">
        <v>465</v>
      </c>
      <c r="J318" s="93"/>
      <c r="K318" s="289" t="s">
        <v>465</v>
      </c>
      <c r="L318" s="588" t="s">
        <v>327</v>
      </c>
      <c r="M318" s="588"/>
      <c r="N318" s="93"/>
      <c r="O318" s="93"/>
      <c r="P318" s="93"/>
      <c r="Q318" s="91" t="s">
        <v>2218</v>
      </c>
      <c r="R318" s="94" t="s">
        <v>2218</v>
      </c>
      <c r="S318" s="93"/>
      <c r="T318" s="365" t="b" cm="1">
        <f t="array" ref="T318">T317</f>
        <v>1</v>
      </c>
      <c r="U318" s="93"/>
      <c r="V318" s="93"/>
      <c r="W318" s="93"/>
      <c r="X318" s="1075"/>
      <c r="Y318" s="93"/>
      <c r="Z318" s="1065"/>
      <c r="AA318" s="93"/>
      <c r="AB318" s="179" t="s">
        <v>900</v>
      </c>
      <c r="AC318" s="276" t="s">
        <v>1721</v>
      </c>
      <c r="AD318" s="166" t="s">
        <v>804</v>
      </c>
      <c r="AE318" s="145">
        <f ca="1">SUM(AE319,AE322,AE323,AE326,AE327)</f>
        <v>24461.825736383002</v>
      </c>
      <c r="AF318" s="145">
        <f ca="1">SUM(AF319,AF322,AF323,AF326,AF327)</f>
        <v>24437.179509199999</v>
      </c>
      <c r="AG318" s="145">
        <f ca="1">SUM(AG319,AG322,AG323,AG326,AG327)</f>
        <v>24461.825736383002</v>
      </c>
      <c r="AH318" s="145">
        <f t="shared" ca="1" si="85"/>
        <v>24.646227183002338</v>
      </c>
      <c r="AI318" s="951">
        <f ca="1">SUM(AI319,AI322,AI323,AI326,AI327)</f>
        <v>0</v>
      </c>
      <c r="AJ318" s="455">
        <f>SUM(AJ319,AJ322,AJ323,AJ326,AJ327)</f>
        <v>38716.825000000004</v>
      </c>
      <c r="AK318" s="148"/>
      <c r="AL318" s="148"/>
      <c r="AM318" s="148"/>
      <c r="AN318" s="148"/>
      <c r="AO318" s="148"/>
      <c r="AP318" s="148"/>
      <c r="AQ318" s="148"/>
      <c r="AR318" s="148"/>
      <c r="AS318" s="148"/>
      <c r="AT318" s="148"/>
      <c r="AU318" s="148"/>
      <c r="AV318" s="148"/>
      <c r="AW318" s="148"/>
      <c r="AX318" s="148"/>
      <c r="AY318" s="148"/>
      <c r="AZ318" s="148"/>
      <c r="BA318" s="148"/>
      <c r="BB318" s="148"/>
      <c r="BC318" s="148"/>
      <c r="BD318" s="148"/>
      <c r="BE318" s="148"/>
      <c r="BF318" s="148"/>
      <c r="BG318" s="148"/>
      <c r="BH318" s="148"/>
      <c r="BI318" s="148"/>
      <c r="BJ318" s="148"/>
      <c r="BK318" s="148"/>
      <c r="BL318" s="148"/>
      <c r="BM318" s="148"/>
      <c r="BN318" s="566"/>
      <c r="BO318" s="566"/>
      <c r="BP318" s="566"/>
      <c r="BQ318" s="93"/>
      <c r="BR318" s="93"/>
      <c r="BS318" s="703" t="s">
        <v>516</v>
      </c>
      <c r="BT318" s="710"/>
      <c r="BU318" s="710"/>
      <c r="BV318" s="521"/>
      <c r="BW318" s="521"/>
    </row>
    <row r="319" spans="1:75" ht="14.25" customHeight="1">
      <c r="E319" s="518">
        <v>15</v>
      </c>
      <c r="F319" s="3" t="str" cm="1">
        <f t="array" aca="1" ref="F319" ca="1">OFFSET(E319,-1,1)</f>
        <v>2</v>
      </c>
      <c r="H319" s="290"/>
      <c r="I319" s="290" t="s">
        <v>1336</v>
      </c>
      <c r="K319" s="290" t="s">
        <v>1336</v>
      </c>
      <c r="L319" s="44" t="s">
        <v>461</v>
      </c>
      <c r="M319" s="44"/>
      <c r="Q319" s="91" t="s">
        <v>2218</v>
      </c>
      <c r="R319" s="94" t="s">
        <v>2218</v>
      </c>
      <c r="T319" s="365" t="b" cm="1">
        <f t="array" ref="T319">T318</f>
        <v>1</v>
      </c>
      <c r="X319" s="1075"/>
      <c r="Z319" s="1065"/>
      <c r="AB319" s="152" t="s">
        <v>1337</v>
      </c>
      <c r="AC319" s="153" t="s">
        <v>1934</v>
      </c>
      <c r="AD319" s="28" t="s">
        <v>804</v>
      </c>
      <c r="AE319" s="190">
        <f ca="1">SUM(AE320,AE321)</f>
        <v>0</v>
      </c>
      <c r="AF319" s="190">
        <f ca="1">SUM(AF320,AF321)</f>
        <v>0</v>
      </c>
      <c r="AG319" s="190">
        <f ca="1">SUM(AG320,AG321)</f>
        <v>0</v>
      </c>
      <c r="AH319" s="190">
        <f t="shared" ca="1" si="85"/>
        <v>0</v>
      </c>
      <c r="AI319" s="952">
        <f>SUM(AI320,AI321)</f>
        <v>0</v>
      </c>
      <c r="AJ319" s="455"/>
      <c r="AK319" s="552"/>
      <c r="AL319" s="552"/>
      <c r="AM319" s="552"/>
      <c r="AN319" s="552"/>
      <c r="AO319" s="552"/>
      <c r="AP319" s="552"/>
      <c r="AQ319" s="552"/>
      <c r="AR319" s="552"/>
      <c r="AS319" s="552"/>
      <c r="AT319" s="552"/>
      <c r="AU319" s="552"/>
      <c r="AV319" s="552"/>
      <c r="AW319" s="552"/>
      <c r="AX319" s="552"/>
      <c r="AY319" s="552"/>
      <c r="AZ319" s="552"/>
      <c r="BA319" s="552"/>
      <c r="BB319" s="552"/>
      <c r="BC319" s="552"/>
      <c r="BD319" s="552"/>
      <c r="BE319" s="552"/>
      <c r="BF319" s="552"/>
      <c r="BG319" s="552"/>
      <c r="BH319" s="552"/>
      <c r="BI319" s="552"/>
      <c r="BJ319" s="552"/>
      <c r="BK319" s="552"/>
      <c r="BL319" s="552"/>
      <c r="BM319" s="552"/>
      <c r="BN319" s="215"/>
      <c r="BO319" s="215"/>
      <c r="BP319" s="215"/>
      <c r="BQ319" s="47"/>
      <c r="BS319" s="704" t="s">
        <v>1723</v>
      </c>
    </row>
    <row r="320" spans="1:75" ht="14.25" customHeight="1">
      <c r="E320" s="518">
        <v>15</v>
      </c>
      <c r="F320" s="3" t="str" cm="1">
        <f t="array" aca="1" ref="F320" ca="1">OFFSET(E320,-1,1)</f>
        <v>2</v>
      </c>
      <c r="H320" s="290"/>
      <c r="I320" s="290" t="s">
        <v>1935</v>
      </c>
      <c r="K320" s="290" t="s">
        <v>1935</v>
      </c>
      <c r="L320" s="44" t="s">
        <v>1008</v>
      </c>
      <c r="M320" s="44"/>
      <c r="Q320" s="91" t="s">
        <v>2218</v>
      </c>
      <c r="R320" s="94" t="s">
        <v>2218</v>
      </c>
      <c r="T320" s="365" t="b" cm="1">
        <f t="array" ref="T320">T319</f>
        <v>1</v>
      </c>
      <c r="X320" s="1075"/>
      <c r="Z320" s="1065"/>
      <c r="AB320" s="152" t="s">
        <v>1936</v>
      </c>
      <c r="AC320" s="553" t="s">
        <v>1726</v>
      </c>
      <c r="AD320" s="28" t="s">
        <v>804</v>
      </c>
      <c r="AE320" s="190">
        <f ca="1">SUMIFS('Сырье и материалы'!AE$25:AE$96,'Сырье и материалы'!$F$25:$F$96,$F320,'Сырье и материалы'!$I$25:$I$96,"Горюче-смазочные материалы")</f>
        <v>0</v>
      </c>
      <c r="AF320" s="190">
        <f ca="1">SUMIFS('Сырье и материалы'!AF$25:AF$96,'Сырье и материалы'!$F$25:$F$96,$F320,'Сырье и материалы'!$I$25:$I$96,"Горюче-смазочные материалы")</f>
        <v>0</v>
      </c>
      <c r="AG320" s="190">
        <f ca="1">SUMIFS('Сырье и материалы'!AG$25:AG$96,'Сырье и материалы'!$F$25:$F$96,$F320,'Сырье и материалы'!$I$25:$I$96,"Горюче-смазочные материалы")</f>
        <v>0</v>
      </c>
      <c r="AH320" s="190">
        <f t="shared" ca="1" si="85"/>
        <v>0</v>
      </c>
      <c r="AI320" s="952"/>
      <c r="AJ320" s="455"/>
      <c r="AK320" s="552"/>
      <c r="AL320" s="552"/>
      <c r="AM320" s="552"/>
      <c r="AN320" s="552"/>
      <c r="AO320" s="552"/>
      <c r="AP320" s="552"/>
      <c r="AQ320" s="552"/>
      <c r="AR320" s="552"/>
      <c r="AS320" s="552"/>
      <c r="AT320" s="552"/>
      <c r="AU320" s="552"/>
      <c r="AV320" s="552"/>
      <c r="AW320" s="552"/>
      <c r="AX320" s="552"/>
      <c r="AY320" s="552"/>
      <c r="AZ320" s="552"/>
      <c r="BA320" s="552"/>
      <c r="BB320" s="552"/>
      <c r="BC320" s="552"/>
      <c r="BD320" s="552"/>
      <c r="BE320" s="552"/>
      <c r="BF320" s="552"/>
      <c r="BG320" s="552"/>
      <c r="BH320" s="552"/>
      <c r="BI320" s="552"/>
      <c r="BJ320" s="552"/>
      <c r="BK320" s="552"/>
      <c r="BL320" s="552"/>
      <c r="BM320" s="552"/>
      <c r="BN320" s="215"/>
      <c r="BO320" s="215"/>
      <c r="BP320" s="215"/>
      <c r="BS320" s="703" t="s">
        <v>1727</v>
      </c>
    </row>
    <row r="321" spans="1:75" ht="14.25" customHeight="1">
      <c r="E321" s="518">
        <v>15</v>
      </c>
      <c r="F321" s="3" t="str" cm="1">
        <f t="array" aca="1" ref="F321" ca="1">OFFSET(E321,-1,1)</f>
        <v>2</v>
      </c>
      <c r="H321" s="290"/>
      <c r="I321" s="290" t="s">
        <v>1937</v>
      </c>
      <c r="K321" s="290" t="s">
        <v>1937</v>
      </c>
      <c r="L321" s="44" t="s">
        <v>1311</v>
      </c>
      <c r="M321" s="44"/>
      <c r="Q321" s="91" t="s">
        <v>2218</v>
      </c>
      <c r="R321" s="94" t="s">
        <v>2218</v>
      </c>
      <c r="T321" s="365" t="b" cm="1">
        <f t="array" ref="T321">T320</f>
        <v>1</v>
      </c>
      <c r="X321" s="1075"/>
      <c r="Z321" s="1065"/>
      <c r="AB321" s="152" t="s">
        <v>1938</v>
      </c>
      <c r="AC321" s="553" t="s">
        <v>1728</v>
      </c>
      <c r="AD321" s="28" t="s">
        <v>804</v>
      </c>
      <c r="AE321" s="190">
        <f ca="1">SUMIFS('Сырье и материалы'!AE$25:AE$96,'Сырье и материалы'!$F$25:$F$96,$F321,'Сырье и материалы'!$I$25:$I$96,"Материалы")</f>
        <v>0</v>
      </c>
      <c r="AF321" s="190">
        <f ca="1">SUMIFS('Сырье и материалы'!AF$25:AF$96,'Сырье и материалы'!$F$25:$F$96,$F321,'Сырье и материалы'!$I$25:$I$96,"Материалы")</f>
        <v>0</v>
      </c>
      <c r="AG321" s="190">
        <f ca="1">SUMIFS('Сырье и материалы'!AG$25:AG$96,'Сырье и материалы'!$F$25:$F$96,$F321,'Сырье и материалы'!$I$25:$I$96,"Материалы")</f>
        <v>0</v>
      </c>
      <c r="AH321" s="190">
        <f t="shared" ca="1" si="85"/>
        <v>0</v>
      </c>
      <c r="AI321" s="952"/>
      <c r="AJ321" s="455"/>
      <c r="AK321" s="552"/>
      <c r="AL321" s="552"/>
      <c r="AM321" s="552"/>
      <c r="AN321" s="552"/>
      <c r="AO321" s="552"/>
      <c r="AP321" s="552"/>
      <c r="AQ321" s="552"/>
      <c r="AR321" s="552"/>
      <c r="AS321" s="552"/>
      <c r="AT321" s="552"/>
      <c r="AU321" s="552"/>
      <c r="AV321" s="552"/>
      <c r="AW321" s="552"/>
      <c r="AX321" s="552"/>
      <c r="AY321" s="552"/>
      <c r="AZ321" s="552"/>
      <c r="BA321" s="552"/>
      <c r="BB321" s="552"/>
      <c r="BC321" s="552"/>
      <c r="BD321" s="552"/>
      <c r="BE321" s="552"/>
      <c r="BF321" s="552"/>
      <c r="BG321" s="552"/>
      <c r="BH321" s="552"/>
      <c r="BI321" s="552"/>
      <c r="BJ321" s="552"/>
      <c r="BK321" s="552"/>
      <c r="BL321" s="552"/>
      <c r="BM321" s="552"/>
      <c r="BN321" s="215"/>
      <c r="BO321" s="215"/>
      <c r="BP321" s="215"/>
      <c r="BS321" s="703" t="s">
        <v>1729</v>
      </c>
    </row>
    <row r="322" spans="1:75" ht="21.75" customHeight="1">
      <c r="E322" s="518">
        <v>22.5</v>
      </c>
      <c r="F322" s="3" t="str" cm="1">
        <f t="array" aca="1" ref="F322" ca="1">OFFSET(E322,-1,1)</f>
        <v>2</v>
      </c>
      <c r="H322" s="290"/>
      <c r="I322" s="290" t="s">
        <v>1339</v>
      </c>
      <c r="K322" s="290" t="s">
        <v>1339</v>
      </c>
      <c r="L322" s="44" t="s">
        <v>468</v>
      </c>
      <c r="M322" s="44"/>
      <c r="Q322" s="91" t="s">
        <v>2218</v>
      </c>
      <c r="R322" s="94" t="s">
        <v>2218</v>
      </c>
      <c r="T322" s="365" t="b" cm="1">
        <f t="array" ref="T322">T321</f>
        <v>1</v>
      </c>
      <c r="X322" s="1075"/>
      <c r="Z322" s="1065"/>
      <c r="AB322" s="152" t="s">
        <v>1340</v>
      </c>
      <c r="AC322" s="153" t="s">
        <v>1939</v>
      </c>
      <c r="AD322" s="28" t="s">
        <v>804</v>
      </c>
      <c r="AE322" s="147"/>
      <c r="AF322" s="147"/>
      <c r="AG322" s="147"/>
      <c r="AH322" s="190">
        <f t="shared" si="85"/>
        <v>0</v>
      </c>
      <c r="AI322" s="952"/>
      <c r="AJ322" s="455"/>
      <c r="AK322" s="552"/>
      <c r="AL322" s="552"/>
      <c r="AM322" s="552"/>
      <c r="AN322" s="552"/>
      <c r="AO322" s="552"/>
      <c r="AP322" s="552"/>
      <c r="AQ322" s="552"/>
      <c r="AR322" s="552"/>
      <c r="AS322" s="552"/>
      <c r="AT322" s="552"/>
      <c r="AU322" s="552"/>
      <c r="AV322" s="552"/>
      <c r="AW322" s="552"/>
      <c r="AX322" s="552"/>
      <c r="AY322" s="552"/>
      <c r="AZ322" s="552"/>
      <c r="BA322" s="552"/>
      <c r="BB322" s="552"/>
      <c r="BC322" s="552"/>
      <c r="BD322" s="552"/>
      <c r="BE322" s="552"/>
      <c r="BF322" s="552"/>
      <c r="BG322" s="552"/>
      <c r="BH322" s="552"/>
      <c r="BI322" s="552"/>
      <c r="BJ322" s="552"/>
      <c r="BK322" s="552"/>
      <c r="BL322" s="552"/>
      <c r="BM322" s="552"/>
      <c r="BN322" s="215"/>
      <c r="BO322" s="215"/>
      <c r="BP322" s="215"/>
      <c r="BS322" s="704" t="s">
        <v>1754</v>
      </c>
    </row>
    <row r="323" spans="1:75" ht="21.75" customHeight="1">
      <c r="E323" s="518">
        <v>22.5</v>
      </c>
      <c r="F323" s="3" t="str" cm="1">
        <f t="array" aca="1" ref="F323" ca="1">OFFSET(E323,-1,1)</f>
        <v>2</v>
      </c>
      <c r="H323" s="290"/>
      <c r="I323" s="290" t="s">
        <v>1343</v>
      </c>
      <c r="K323" s="290" t="s">
        <v>1343</v>
      </c>
      <c r="L323" s="44" t="s">
        <v>472</v>
      </c>
      <c r="M323" s="44"/>
      <c r="Q323" s="91" t="s">
        <v>2218</v>
      </c>
      <c r="R323" s="94" t="s">
        <v>2218</v>
      </c>
      <c r="T323" s="365" t="b" cm="1">
        <f t="array" ref="T323">T322</f>
        <v>1</v>
      </c>
      <c r="X323" s="1075"/>
      <c r="Z323" s="1065"/>
      <c r="AB323" s="152" t="s">
        <v>1344</v>
      </c>
      <c r="AC323" s="153" t="s">
        <v>1940</v>
      </c>
      <c r="AD323" s="28" t="s">
        <v>804</v>
      </c>
      <c r="AE323" s="190">
        <f>AE324+AE325</f>
        <v>22277.202292800001</v>
      </c>
      <c r="AF323" s="190">
        <f ca="1">AF324+AF325</f>
        <v>19267.249509199999</v>
      </c>
      <c r="AG323" s="190">
        <f ca="1">AG324+AG325</f>
        <v>22277.202292800001</v>
      </c>
      <c r="AH323" s="190">
        <f t="shared" ca="1" si="85"/>
        <v>3009.9527836000016</v>
      </c>
      <c r="AI323" s="952">
        <f ca="1">AI324+AI325</f>
        <v>0</v>
      </c>
      <c r="AJ323" s="455">
        <f>AJ324+AJ325</f>
        <v>32238.367000000002</v>
      </c>
      <c r="AK323" s="552"/>
      <c r="AL323" s="552"/>
      <c r="AM323" s="552"/>
      <c r="AN323" s="552"/>
      <c r="AO323" s="552"/>
      <c r="AP323" s="552"/>
      <c r="AQ323" s="552"/>
      <c r="AR323" s="552"/>
      <c r="AS323" s="552"/>
      <c r="AT323" s="552"/>
      <c r="AU323" s="552"/>
      <c r="AV323" s="552"/>
      <c r="AW323" s="552"/>
      <c r="AX323" s="552"/>
      <c r="AY323" s="552"/>
      <c r="AZ323" s="552"/>
      <c r="BA323" s="552"/>
      <c r="BB323" s="552"/>
      <c r="BC323" s="552"/>
      <c r="BD323" s="552"/>
      <c r="BE323" s="552"/>
      <c r="BF323" s="552"/>
      <c r="BG323" s="552"/>
      <c r="BH323" s="552"/>
      <c r="BI323" s="552"/>
      <c r="BJ323" s="552"/>
      <c r="BK323" s="552"/>
      <c r="BL323" s="552"/>
      <c r="BM323" s="552"/>
      <c r="BN323" s="215"/>
      <c r="BO323" s="215"/>
      <c r="BP323" s="215"/>
      <c r="BS323" s="704" t="s">
        <v>1941</v>
      </c>
    </row>
    <row r="324" spans="1:75" ht="14.65" customHeight="1">
      <c r="E324" s="518">
        <v>15</v>
      </c>
      <c r="F324" s="3" t="str" cm="1">
        <f t="array" aca="1" ref="F324" ca="1">OFFSET(E324,-1,1)</f>
        <v>2</v>
      </c>
      <c r="G324" s="266" t="s">
        <v>1156</v>
      </c>
      <c r="H324" s="290"/>
      <c r="I324" s="290" t="s">
        <v>1487</v>
      </c>
      <c r="K324" s="290" t="s">
        <v>1487</v>
      </c>
      <c r="L324" s="44" t="s">
        <v>1363</v>
      </c>
      <c r="M324" s="44"/>
      <c r="Q324" s="91" t="s">
        <v>2218</v>
      </c>
      <c r="R324" s="94" t="s">
        <v>2218</v>
      </c>
      <c r="T324" s="365" t="b" cm="1">
        <f t="array" ref="T324">T323</f>
        <v>1</v>
      </c>
      <c r="X324" s="1075"/>
      <c r="Z324" s="1065"/>
      <c r="AB324" s="152" t="s">
        <v>1942</v>
      </c>
      <c r="AC324" s="553" t="s">
        <v>1757</v>
      </c>
      <c r="AD324" s="28" t="s">
        <v>804</v>
      </c>
      <c r="AE324" s="147">
        <v>17109.986400000002</v>
      </c>
      <c r="AF324" s="147">
        <v>15497.86</v>
      </c>
      <c r="AG324" s="147" cm="1">
        <f t="array" ref="AG324">AE324</f>
        <v>17109.986400000002</v>
      </c>
      <c r="AH324" s="190">
        <f t="shared" si="85"/>
        <v>1612.126400000001</v>
      </c>
      <c r="AI324" s="952"/>
      <c r="AJ324" s="147">
        <v>24741.647000000001</v>
      </c>
      <c r="AK324" s="552"/>
      <c r="AL324" s="552"/>
      <c r="AM324" s="552"/>
      <c r="AN324" s="552"/>
      <c r="AO324" s="552"/>
      <c r="AP324" s="552"/>
      <c r="AQ324" s="552"/>
      <c r="AR324" s="552"/>
      <c r="AS324" s="552"/>
      <c r="AT324" s="552"/>
      <c r="AU324" s="552"/>
      <c r="AV324" s="552"/>
      <c r="AW324" s="552"/>
      <c r="AX324" s="552"/>
      <c r="AY324" s="552"/>
      <c r="AZ324" s="552"/>
      <c r="BA324" s="552"/>
      <c r="BB324" s="552"/>
      <c r="BC324" s="552"/>
      <c r="BD324" s="552"/>
      <c r="BE324" s="552"/>
      <c r="BF324" s="552"/>
      <c r="BG324" s="552"/>
      <c r="BH324" s="552"/>
      <c r="BI324" s="552"/>
      <c r="BJ324" s="552"/>
      <c r="BK324" s="552"/>
      <c r="BL324" s="552"/>
      <c r="BM324" s="552"/>
      <c r="BN324" s="215" t="s">
        <v>2222</v>
      </c>
      <c r="BO324" s="610" t="str">
        <f ca="1">IF(IFERROR(INDEX(ФОТ!$K$26:$L$102,MATCH($F324&amp;"1komm",ФОТ!$K$26:$K$102,0),2),"")=0,"",IFERROR(INDEX(ФОТ!$K$26:$L$102,MATCH($F324&amp;"1komm",ФОТ!$K$26:$K$102,0),2),""))</f>
        <v/>
      </c>
      <c r="BP324" s="215"/>
      <c r="BS324" s="703" t="s">
        <v>1758</v>
      </c>
    </row>
    <row r="325" spans="1:75" ht="23.25" customHeight="1">
      <c r="E325" s="518">
        <v>22.5</v>
      </c>
      <c r="F325" s="3" t="str" cm="1">
        <f t="array" aca="1" ref="F325" ca="1">OFFSET(E325,-1,1)</f>
        <v>2</v>
      </c>
      <c r="G325" s="266" t="s">
        <v>1168</v>
      </c>
      <c r="H325" s="290"/>
      <c r="I325" s="290" t="s">
        <v>1491</v>
      </c>
      <c r="K325" s="290" t="s">
        <v>1491</v>
      </c>
      <c r="L325" s="44" t="s">
        <v>1364</v>
      </c>
      <c r="M325" s="44"/>
      <c r="Q325" s="91" t="s">
        <v>2218</v>
      </c>
      <c r="R325" s="94" t="s">
        <v>2218</v>
      </c>
      <c r="T325" s="365" t="b" cm="1">
        <f t="array" ref="T325">T324</f>
        <v>1</v>
      </c>
      <c r="X325" s="1075"/>
      <c r="Z325" s="1065"/>
      <c r="AB325" s="152" t="s">
        <v>1943</v>
      </c>
      <c r="AC325" s="553" t="s">
        <v>1944</v>
      </c>
      <c r="AD325" s="28" t="s">
        <v>804</v>
      </c>
      <c r="AE325" s="147">
        <v>5167.2158927999999</v>
      </c>
      <c r="AF325" s="147">
        <f ca="1">AF324*SUMIFS(INDEX(Сценарии!$AE$25:$BF$109,,MATCH(AF$8,Сценарии!$AE$8:$BF$8,0)),Сценарии!$F$25:$F$109,$F325,Сценарии!$G$25:$G$109,"СВФОТ")/100</f>
        <v>3769.3895091999998</v>
      </c>
      <c r="AG325" s="147">
        <f ca="1">AG324*SUMIFS(INDEX(Сценарии!$AE$25:$BF$109,,MATCH(AG$8,Сценарии!$AE$8:$BF$8,0)),Сценарии!$F$25:$F$109,$F325,Сценарии!$G$25:$G$109,"СВФОТ")/100</f>
        <v>5167.2158927999999</v>
      </c>
      <c r="AH325" s="190">
        <f t="shared" ca="1" si="85"/>
        <v>1397.8263836000001</v>
      </c>
      <c r="AI325" s="952">
        <f ca="1">AI324*SUMIFS(INDEX(Сценарии!$AE$25:$BF$109,,MATCH(AG$8,Сценарии!$AE$8:$BF$8,0)),Сценарии!$F$25:$F$109,$F325,Сценарии!$G$25:$G$109,"СВФОТ")/100</f>
        <v>0</v>
      </c>
      <c r="AJ325" s="455">
        <v>7496.72</v>
      </c>
      <c r="AK325" s="552"/>
      <c r="AL325" s="552"/>
      <c r="AM325" s="552"/>
      <c r="AN325" s="552"/>
      <c r="AO325" s="552"/>
      <c r="AP325" s="552"/>
      <c r="AQ325" s="552"/>
      <c r="AR325" s="552"/>
      <c r="AS325" s="552"/>
      <c r="AT325" s="552"/>
      <c r="AU325" s="552"/>
      <c r="AV325" s="552"/>
      <c r="AW325" s="552"/>
      <c r="AX325" s="552"/>
      <c r="AY325" s="552"/>
      <c r="AZ325" s="552"/>
      <c r="BA325" s="552"/>
      <c r="BB325" s="552"/>
      <c r="BC325" s="552"/>
      <c r="BD325" s="552"/>
      <c r="BE325" s="552"/>
      <c r="BF325" s="552"/>
      <c r="BG325" s="552"/>
      <c r="BH325" s="552"/>
      <c r="BI325" s="552"/>
      <c r="BJ325" s="552"/>
      <c r="BK325" s="552"/>
      <c r="BL325" s="552"/>
      <c r="BM325" s="552"/>
      <c r="BN325" s="215" t="s">
        <v>2223</v>
      </c>
      <c r="BO325" s="610" t="str">
        <f ca="1">IF(IFERROR(INDEX(ФОТ!$K$26:$L$102,MATCH($F325&amp;"2komm",ФОТ!$K$26:$K$102,0),2),"")=0,"",IFERROR(INDEX(ФОТ!$K$26:$L$102,MATCH($F325&amp;"2komm",ФОТ!$K$26:$K$102,0),2),""))</f>
        <v/>
      </c>
      <c r="BP325" s="215"/>
      <c r="BS325" s="703" t="s">
        <v>1760</v>
      </c>
    </row>
    <row r="326" spans="1:75" ht="14.25" customHeight="1">
      <c r="E326" s="518">
        <v>15</v>
      </c>
      <c r="F326" s="3" t="str" cm="1">
        <f t="array" aca="1" ref="F326" ca="1">OFFSET(E326,-1,1)</f>
        <v>2</v>
      </c>
      <c r="H326" s="290"/>
      <c r="I326" s="290" t="s">
        <v>1502</v>
      </c>
      <c r="K326" s="290" t="s">
        <v>1502</v>
      </c>
      <c r="L326" s="44" t="s">
        <v>1762</v>
      </c>
      <c r="M326" s="44"/>
      <c r="Q326" s="91" t="s">
        <v>2218</v>
      </c>
      <c r="R326" s="94" t="s">
        <v>2218</v>
      </c>
      <c r="T326" s="365" t="b" cm="1">
        <f t="array" ref="T326">T325</f>
        <v>1</v>
      </c>
      <c r="X326" s="1075"/>
      <c r="Z326" s="1065"/>
      <c r="AB326" s="152" t="s">
        <v>1736</v>
      </c>
      <c r="AC326" s="153" t="s">
        <v>1945</v>
      </c>
      <c r="AD326" s="28" t="s">
        <v>804</v>
      </c>
      <c r="AE326" s="147"/>
      <c r="AF326" s="147"/>
      <c r="AG326" s="147"/>
      <c r="AH326" s="190">
        <f t="shared" si="85"/>
        <v>0</v>
      </c>
      <c r="AI326" s="952"/>
      <c r="AJ326" s="455"/>
      <c r="AK326" s="552"/>
      <c r="AL326" s="552"/>
      <c r="AM326" s="552"/>
      <c r="AN326" s="552"/>
      <c r="AO326" s="552"/>
      <c r="AP326" s="552"/>
      <c r="AQ326" s="552"/>
      <c r="AR326" s="552"/>
      <c r="AS326" s="552"/>
      <c r="AT326" s="552"/>
      <c r="AU326" s="552"/>
      <c r="AV326" s="552"/>
      <c r="AW326" s="552"/>
      <c r="AX326" s="552"/>
      <c r="AY326" s="552"/>
      <c r="AZ326" s="552"/>
      <c r="BA326" s="552"/>
      <c r="BB326" s="552"/>
      <c r="BC326" s="552"/>
      <c r="BD326" s="552"/>
      <c r="BE326" s="552"/>
      <c r="BF326" s="552"/>
      <c r="BG326" s="552"/>
      <c r="BH326" s="552"/>
      <c r="BI326" s="552"/>
      <c r="BJ326" s="552"/>
      <c r="BK326" s="552"/>
      <c r="BL326" s="552"/>
      <c r="BM326" s="552"/>
      <c r="BN326" s="215"/>
      <c r="BO326" s="215"/>
      <c r="BP326" s="215"/>
      <c r="BS326" s="704" t="s">
        <v>1765</v>
      </c>
    </row>
    <row r="327" spans="1:75" ht="14.25" customHeight="1">
      <c r="E327" s="518">
        <v>15</v>
      </c>
      <c r="F327" s="3" t="str" cm="1">
        <f t="array" aca="1" ref="F327" ca="1">OFFSET(E327,-1,1)</f>
        <v>2</v>
      </c>
      <c r="H327" s="290"/>
      <c r="I327" s="290" t="s">
        <v>1506</v>
      </c>
      <c r="K327" s="290" t="s">
        <v>1506</v>
      </c>
      <c r="L327" s="44" t="s">
        <v>1766</v>
      </c>
      <c r="Q327" s="91" t="s">
        <v>2218</v>
      </c>
      <c r="R327" s="94" t="s">
        <v>2218</v>
      </c>
      <c r="T327" s="365" t="b" cm="1">
        <f t="array" ref="T327">T326</f>
        <v>1</v>
      </c>
      <c r="X327" s="1075"/>
      <c r="Z327" s="1065"/>
      <c r="AB327" s="152" t="s">
        <v>1738</v>
      </c>
      <c r="AC327" s="153" t="s">
        <v>1946</v>
      </c>
      <c r="AD327" s="26" t="s">
        <v>804</v>
      </c>
      <c r="AE327" s="190">
        <f>SUM(AE328:AE334)</f>
        <v>2184.6234435830002</v>
      </c>
      <c r="AF327" s="190">
        <f>SUM(AF328:AF334)</f>
        <v>5169.93</v>
      </c>
      <c r="AG327" s="190">
        <f>SUM(AG328:AG334)</f>
        <v>2184.6234435830002</v>
      </c>
      <c r="AH327" s="190">
        <f t="shared" si="85"/>
        <v>-2985.3065564170001</v>
      </c>
      <c r="AI327" s="952">
        <f>SUM(AI328:AI334)</f>
        <v>0</v>
      </c>
      <c r="AJ327" s="455">
        <f>SUM(AJ328:AJ334)</f>
        <v>6478.4579999999996</v>
      </c>
      <c r="AK327" s="552"/>
      <c r="AL327" s="552"/>
      <c r="AM327" s="552"/>
      <c r="AN327" s="552"/>
      <c r="AO327" s="552"/>
      <c r="AP327" s="552"/>
      <c r="AQ327" s="552"/>
      <c r="AR327" s="552"/>
      <c r="AS327" s="552"/>
      <c r="AT327" s="552"/>
      <c r="AU327" s="552"/>
      <c r="AV327" s="552"/>
      <c r="AW327" s="552"/>
      <c r="AX327" s="552"/>
      <c r="AY327" s="552"/>
      <c r="AZ327" s="552"/>
      <c r="BA327" s="552"/>
      <c r="BB327" s="552"/>
      <c r="BC327" s="552"/>
      <c r="BD327" s="552"/>
      <c r="BE327" s="552"/>
      <c r="BF327" s="552"/>
      <c r="BG327" s="552"/>
      <c r="BH327" s="552"/>
      <c r="BI327" s="552"/>
      <c r="BJ327" s="552"/>
      <c r="BK327" s="552"/>
      <c r="BL327" s="552"/>
      <c r="BM327" s="552"/>
      <c r="BN327" s="215"/>
      <c r="BO327" s="215"/>
      <c r="BP327" s="215"/>
      <c r="BS327" s="704" t="s">
        <v>1947</v>
      </c>
    </row>
    <row r="328" spans="1:75" ht="14.25" customHeight="1">
      <c r="E328" s="518">
        <v>15</v>
      </c>
      <c r="F328" s="3" t="str" cm="1">
        <f t="array" aca="1" ref="F328" ca="1">OFFSET(E328,-1,1)</f>
        <v>2</v>
      </c>
      <c r="H328" s="290"/>
      <c r="I328" s="290" t="s">
        <v>1948</v>
      </c>
      <c r="K328" s="290" t="s">
        <v>1948</v>
      </c>
      <c r="L328" s="44" t="s">
        <v>1766</v>
      </c>
      <c r="M328" s="44" t="s">
        <v>1774</v>
      </c>
      <c r="Q328" s="91" t="s">
        <v>2218</v>
      </c>
      <c r="R328" s="94" t="s">
        <v>2218</v>
      </c>
      <c r="T328" s="365" t="b" cm="1">
        <f t="array" ref="T328">T327</f>
        <v>1</v>
      </c>
      <c r="X328" s="1075"/>
      <c r="Z328" s="1065"/>
      <c r="AB328" s="152" t="s">
        <v>1949</v>
      </c>
      <c r="AC328" s="553" t="s">
        <v>1950</v>
      </c>
      <c r="AD328" s="26" t="s">
        <v>804</v>
      </c>
      <c r="AE328" s="147"/>
      <c r="AF328" s="147"/>
      <c r="AG328" s="147"/>
      <c r="AH328" s="190">
        <f t="shared" si="85"/>
        <v>0</v>
      </c>
      <c r="AI328" s="952"/>
      <c r="AJ328" s="455"/>
      <c r="AK328" s="552"/>
      <c r="AL328" s="552"/>
      <c r="AM328" s="552"/>
      <c r="AN328" s="552"/>
      <c r="AO328" s="552"/>
      <c r="AP328" s="552"/>
      <c r="AQ328" s="552"/>
      <c r="AR328" s="552"/>
      <c r="AS328" s="552"/>
      <c r="AT328" s="552"/>
      <c r="AU328" s="552"/>
      <c r="AV328" s="552"/>
      <c r="AW328" s="552"/>
      <c r="AX328" s="552"/>
      <c r="AY328" s="552"/>
      <c r="AZ328" s="552"/>
      <c r="BA328" s="552"/>
      <c r="BB328" s="552"/>
      <c r="BC328" s="552"/>
      <c r="BD328" s="552"/>
      <c r="BE328" s="552"/>
      <c r="BF328" s="552"/>
      <c r="BG328" s="552"/>
      <c r="BH328" s="552"/>
      <c r="BI328" s="552"/>
      <c r="BJ328" s="552"/>
      <c r="BK328" s="552"/>
      <c r="BL328" s="552"/>
      <c r="BM328" s="552"/>
      <c r="BN328" s="215"/>
      <c r="BO328" s="215"/>
      <c r="BP328" s="215"/>
      <c r="BS328" s="703" t="s">
        <v>1777</v>
      </c>
    </row>
    <row r="329" spans="1:75" ht="21.75" customHeight="1">
      <c r="E329" s="518">
        <v>22.5</v>
      </c>
      <c r="F329" s="3" t="str" cm="1">
        <f t="array" aca="1" ref="F329" ca="1">OFFSET(E329,-1,1)</f>
        <v>2</v>
      </c>
      <c r="H329" s="290"/>
      <c r="I329" s="290" t="s">
        <v>1951</v>
      </c>
      <c r="K329" s="290" t="s">
        <v>1951</v>
      </c>
      <c r="L329" s="44" t="s">
        <v>1766</v>
      </c>
      <c r="M329" s="44" t="s">
        <v>1770</v>
      </c>
      <c r="Q329" s="91" t="s">
        <v>2218</v>
      </c>
      <c r="R329" s="94" t="s">
        <v>2218</v>
      </c>
      <c r="T329" s="365" t="b" cm="1">
        <f t="array" ref="T329">T328</f>
        <v>1</v>
      </c>
      <c r="X329" s="1075"/>
      <c r="Z329" s="1065"/>
      <c r="AB329" s="152" t="s">
        <v>1952</v>
      </c>
      <c r="AC329" s="553" t="s">
        <v>1953</v>
      </c>
      <c r="AD329" s="26" t="s">
        <v>804</v>
      </c>
      <c r="AE329" s="147"/>
      <c r="AF329" s="147"/>
      <c r="AG329" s="147"/>
      <c r="AH329" s="190">
        <f t="shared" si="85"/>
        <v>0</v>
      </c>
      <c r="AI329" s="952"/>
      <c r="AJ329" s="455"/>
      <c r="AK329" s="552"/>
      <c r="AL329" s="552"/>
      <c r="AM329" s="552"/>
      <c r="AN329" s="552"/>
      <c r="AO329" s="552"/>
      <c r="AP329" s="552"/>
      <c r="AQ329" s="552"/>
      <c r="AR329" s="552"/>
      <c r="AS329" s="552"/>
      <c r="AT329" s="552"/>
      <c r="AU329" s="552"/>
      <c r="AV329" s="552"/>
      <c r="AW329" s="552"/>
      <c r="AX329" s="552"/>
      <c r="AY329" s="552"/>
      <c r="AZ329" s="552"/>
      <c r="BA329" s="552"/>
      <c r="BB329" s="552"/>
      <c r="BC329" s="552"/>
      <c r="BD329" s="552"/>
      <c r="BE329" s="552"/>
      <c r="BF329" s="552"/>
      <c r="BG329" s="552"/>
      <c r="BH329" s="552"/>
      <c r="BI329" s="552"/>
      <c r="BJ329" s="552"/>
      <c r="BK329" s="552"/>
      <c r="BL329" s="552"/>
      <c r="BM329" s="552"/>
      <c r="BN329" s="215"/>
      <c r="BO329" s="215"/>
      <c r="BP329" s="215"/>
      <c r="BS329" s="705" t="s">
        <v>1954</v>
      </c>
    </row>
    <row r="330" spans="1:75" ht="21.75" customHeight="1">
      <c r="E330" s="518">
        <v>22.5</v>
      </c>
      <c r="F330" s="3" t="str" cm="1">
        <f t="array" aca="1" ref="F330" ca="1">OFFSET(E330,-1,1)</f>
        <v>2</v>
      </c>
      <c r="H330" s="290"/>
      <c r="I330" s="290" t="s">
        <v>1955</v>
      </c>
      <c r="K330" s="290" t="s">
        <v>1955</v>
      </c>
      <c r="Q330" s="91" t="s">
        <v>2218</v>
      </c>
      <c r="R330" s="94" t="s">
        <v>2218</v>
      </c>
      <c r="T330" s="365" t="b" cm="1">
        <f t="array" ref="T330">T329</f>
        <v>1</v>
      </c>
      <c r="X330" s="1075"/>
      <c r="Z330" s="1065"/>
      <c r="AB330" s="152" t="s">
        <v>1956</v>
      </c>
      <c r="AC330" s="554" t="s">
        <v>1957</v>
      </c>
      <c r="AD330" s="26" t="s">
        <v>804</v>
      </c>
      <c r="AE330" s="147"/>
      <c r="AF330" s="147"/>
      <c r="AG330" s="147"/>
      <c r="AH330" s="190">
        <f t="shared" si="85"/>
        <v>0</v>
      </c>
      <c r="AI330" s="952"/>
      <c r="AJ330" s="455"/>
      <c r="AK330" s="552"/>
      <c r="AL330" s="552"/>
      <c r="AM330" s="552"/>
      <c r="AN330" s="552"/>
      <c r="AO330" s="552"/>
      <c r="AP330" s="552"/>
      <c r="AQ330" s="552"/>
      <c r="AR330" s="552"/>
      <c r="AS330" s="552"/>
      <c r="AT330" s="552"/>
      <c r="AU330" s="552"/>
      <c r="AV330" s="552"/>
      <c r="AW330" s="552"/>
      <c r="AX330" s="552"/>
      <c r="AY330" s="552"/>
      <c r="AZ330" s="552"/>
      <c r="BA330" s="552"/>
      <c r="BB330" s="552"/>
      <c r="BC330" s="552"/>
      <c r="BD330" s="552"/>
      <c r="BE330" s="552"/>
      <c r="BF330" s="552"/>
      <c r="BG330" s="552"/>
      <c r="BH330" s="552"/>
      <c r="BI330" s="552"/>
      <c r="BJ330" s="552"/>
      <c r="BK330" s="552"/>
      <c r="BL330" s="552"/>
      <c r="BM330" s="552"/>
      <c r="BN330" s="215"/>
      <c r="BO330" s="215"/>
      <c r="BP330" s="215"/>
      <c r="BS330" s="705" t="s">
        <v>1958</v>
      </c>
    </row>
    <row r="331" spans="1:75" ht="21.95" customHeight="1">
      <c r="E331" s="518">
        <v>22.5</v>
      </c>
      <c r="F331" s="3" t="str" cm="1">
        <f t="array" aca="1" ref="F331" ca="1">OFFSET(E331,-1,1)</f>
        <v>2</v>
      </c>
      <c r="H331" s="290"/>
      <c r="I331" s="290" t="s">
        <v>1959</v>
      </c>
      <c r="K331" s="290" t="s">
        <v>1959</v>
      </c>
      <c r="L331" s="44"/>
      <c r="Q331" s="91" t="s">
        <v>2218</v>
      </c>
      <c r="R331" s="94" t="s">
        <v>2218</v>
      </c>
      <c r="T331" s="365" t="b" cm="1">
        <f t="array" ref="T331">T330</f>
        <v>1</v>
      </c>
      <c r="X331" s="1075"/>
      <c r="Z331" s="1065"/>
      <c r="AB331" s="152" t="s">
        <v>1960</v>
      </c>
      <c r="AC331" s="554" t="s">
        <v>1961</v>
      </c>
      <c r="AD331" s="26" t="s">
        <v>804</v>
      </c>
      <c r="AE331" s="147">
        <v>816.69541919999995</v>
      </c>
      <c r="AF331" s="147">
        <v>3524.09</v>
      </c>
      <c r="AG331" s="147" cm="1">
        <f t="array" ref="AG331">AE331</f>
        <v>816.69541919999995</v>
      </c>
      <c r="AH331" s="190">
        <f t="shared" si="85"/>
        <v>-2707.3945808000003</v>
      </c>
      <c r="AI331" s="952"/>
      <c r="AJ331" s="455">
        <v>4026.76</v>
      </c>
      <c r="AK331" s="552"/>
      <c r="AL331" s="552"/>
      <c r="AM331" s="552"/>
      <c r="AN331" s="552"/>
      <c r="AO331" s="552"/>
      <c r="AP331" s="552"/>
      <c r="AQ331" s="552"/>
      <c r="AR331" s="552"/>
      <c r="AS331" s="552"/>
      <c r="AT331" s="552"/>
      <c r="AU331" s="552"/>
      <c r="AV331" s="552"/>
      <c r="AW331" s="552"/>
      <c r="AX331" s="552"/>
      <c r="AY331" s="552"/>
      <c r="AZ331" s="552"/>
      <c r="BA331" s="552"/>
      <c r="BB331" s="552"/>
      <c r="BC331" s="552"/>
      <c r="BD331" s="552"/>
      <c r="BE331" s="552"/>
      <c r="BF331" s="552"/>
      <c r="BG331" s="552"/>
      <c r="BH331" s="552"/>
      <c r="BI331" s="552"/>
      <c r="BJ331" s="552"/>
      <c r="BK331" s="552"/>
      <c r="BL331" s="552"/>
      <c r="BM331" s="552"/>
      <c r="BN331" s="953" t="s">
        <v>2255</v>
      </c>
      <c r="BO331" s="215"/>
      <c r="BP331" s="215"/>
      <c r="BS331" s="705" t="s">
        <v>1962</v>
      </c>
    </row>
    <row r="332" spans="1:75" ht="44.25" customHeight="1">
      <c r="E332" s="518">
        <v>45</v>
      </c>
      <c r="F332" s="3" t="str" cm="1">
        <f t="array" aca="1" ref="F332" ca="1">OFFSET(E332,-1,1)</f>
        <v>2</v>
      </c>
      <c r="H332" s="290"/>
      <c r="I332" s="290" t="s">
        <v>1963</v>
      </c>
      <c r="K332" s="290" t="s">
        <v>1963</v>
      </c>
      <c r="L332" s="44" t="s">
        <v>1766</v>
      </c>
      <c r="M332" s="44" t="s">
        <v>1778</v>
      </c>
      <c r="Q332" s="91" t="s">
        <v>2218</v>
      </c>
      <c r="R332" s="94" t="s">
        <v>2218</v>
      </c>
      <c r="T332" s="365" t="b" cm="1">
        <f t="array" ref="T332">T331</f>
        <v>1</v>
      </c>
      <c r="X332" s="1075"/>
      <c r="Z332" s="1065"/>
      <c r="AB332" s="152" t="s">
        <v>1964</v>
      </c>
      <c r="AC332" s="553" t="s">
        <v>1965</v>
      </c>
      <c r="AD332" s="26" t="s">
        <v>804</v>
      </c>
      <c r="AE332" s="147">
        <v>176.26229215999999</v>
      </c>
      <c r="AF332" s="147">
        <v>146.99</v>
      </c>
      <c r="AG332" s="147" cm="1">
        <f t="array" ref="AG332">AE332</f>
        <v>176.26229215999999</v>
      </c>
      <c r="AH332" s="190">
        <f t="shared" si="85"/>
        <v>29.272292159999978</v>
      </c>
      <c r="AI332" s="952"/>
      <c r="AJ332" s="455">
        <v>204.23</v>
      </c>
      <c r="AK332" s="552"/>
      <c r="AL332" s="552"/>
      <c r="AM332" s="552"/>
      <c r="AN332" s="552"/>
      <c r="AO332" s="552"/>
      <c r="AP332" s="552"/>
      <c r="AQ332" s="552"/>
      <c r="AR332" s="552"/>
      <c r="AS332" s="552"/>
      <c r="AT332" s="552"/>
      <c r="AU332" s="552"/>
      <c r="AV332" s="552"/>
      <c r="AW332" s="552"/>
      <c r="AX332" s="552"/>
      <c r="AY332" s="552"/>
      <c r="AZ332" s="552"/>
      <c r="BA332" s="552"/>
      <c r="BB332" s="552"/>
      <c r="BC332" s="552"/>
      <c r="BD332" s="552"/>
      <c r="BE332" s="552"/>
      <c r="BF332" s="552"/>
      <c r="BG332" s="552"/>
      <c r="BH332" s="552"/>
      <c r="BI332" s="552"/>
      <c r="BJ332" s="552"/>
      <c r="BK332" s="552"/>
      <c r="BL332" s="552"/>
      <c r="BM332" s="552"/>
      <c r="BN332" s="953" t="s">
        <v>2256</v>
      </c>
      <c r="BO332" s="215"/>
      <c r="BP332" s="215"/>
      <c r="BS332" s="705" t="s">
        <v>1781</v>
      </c>
    </row>
    <row r="333" spans="1:75" ht="14.25" customHeight="1">
      <c r="E333" s="518">
        <v>15</v>
      </c>
      <c r="F333" s="3" t="str" cm="1">
        <f t="array" aca="1" ref="F333" ca="1">OFFSET(E333,-1,1)</f>
        <v>2</v>
      </c>
      <c r="H333" s="290"/>
      <c r="I333" s="290" t="s">
        <v>1966</v>
      </c>
      <c r="K333" s="290" t="s">
        <v>1966</v>
      </c>
      <c r="L333" s="44" t="s">
        <v>1766</v>
      </c>
      <c r="M333" s="44" t="s">
        <v>1782</v>
      </c>
      <c r="Q333" s="91" t="s">
        <v>2218</v>
      </c>
      <c r="R333" s="94" t="s">
        <v>2218</v>
      </c>
      <c r="T333" s="365" t="b" cm="1">
        <f t="array" ref="T333">T332</f>
        <v>1</v>
      </c>
      <c r="X333" s="1075"/>
      <c r="Z333" s="1065"/>
      <c r="AB333" s="152" t="s">
        <v>1967</v>
      </c>
      <c r="AC333" s="553" t="s">
        <v>1784</v>
      </c>
      <c r="AD333" s="26" t="s">
        <v>804</v>
      </c>
      <c r="AE333" s="147"/>
      <c r="AF333" s="147">
        <v>337.17</v>
      </c>
      <c r="AG333" s="147"/>
      <c r="AH333" s="190">
        <f t="shared" si="85"/>
        <v>-337.17</v>
      </c>
      <c r="AI333" s="952"/>
      <c r="AJ333" s="455">
        <v>552.91</v>
      </c>
      <c r="AK333" s="552"/>
      <c r="AL333" s="552"/>
      <c r="AM333" s="552"/>
      <c r="AN333" s="552"/>
      <c r="AO333" s="552"/>
      <c r="AP333" s="552"/>
      <c r="AQ333" s="552"/>
      <c r="AR333" s="552"/>
      <c r="AS333" s="552"/>
      <c r="AT333" s="552"/>
      <c r="AU333" s="552"/>
      <c r="AV333" s="552"/>
      <c r="AW333" s="552"/>
      <c r="AX333" s="552"/>
      <c r="AY333" s="552"/>
      <c r="AZ333" s="552"/>
      <c r="BA333" s="552"/>
      <c r="BB333" s="552"/>
      <c r="BC333" s="552"/>
      <c r="BD333" s="552"/>
      <c r="BE333" s="552"/>
      <c r="BF333" s="552"/>
      <c r="BG333" s="552"/>
      <c r="BH333" s="552"/>
      <c r="BI333" s="552"/>
      <c r="BJ333" s="552"/>
      <c r="BK333" s="552"/>
      <c r="BL333" s="552"/>
      <c r="BM333" s="552"/>
      <c r="BN333" s="215"/>
      <c r="BO333" s="215"/>
      <c r="BP333" s="215"/>
      <c r="BS333" s="705" t="s">
        <v>1785</v>
      </c>
    </row>
    <row r="334" spans="1:75" ht="14.65" customHeight="1">
      <c r="E334" s="518">
        <v>15</v>
      </c>
      <c r="F334" s="3" t="str" cm="1">
        <f t="array" aca="1" ref="F334" ca="1">OFFSET(E334,-1,1)</f>
        <v>2</v>
      </c>
      <c r="H334" s="290"/>
      <c r="I334" s="290" t="s">
        <v>1968</v>
      </c>
      <c r="K334" s="290" t="s">
        <v>1968</v>
      </c>
      <c r="L334" s="44"/>
      <c r="M334" s="44"/>
      <c r="Q334" s="91" t="s">
        <v>2218</v>
      </c>
      <c r="R334" s="94" t="s">
        <v>2218</v>
      </c>
      <c r="T334" s="365" t="b" cm="1">
        <f t="array" ref="T334">T333</f>
        <v>1</v>
      </c>
      <c r="X334" s="1075"/>
      <c r="Z334" s="1065"/>
      <c r="AB334" s="152" t="s">
        <v>1969</v>
      </c>
      <c r="AC334" s="553" t="s">
        <v>1970</v>
      </c>
      <c r="AD334" s="26" t="s">
        <v>804</v>
      </c>
      <c r="AE334" s="147">
        <v>1191.6657322230001</v>
      </c>
      <c r="AF334" s="147">
        <v>1161.68</v>
      </c>
      <c r="AG334" s="147" cm="1">
        <f t="array" ref="AG334">AE334</f>
        <v>1191.6657322230001</v>
      </c>
      <c r="AH334" s="190">
        <f t="shared" si="85"/>
        <v>29.985732223000014</v>
      </c>
      <c r="AI334" s="952"/>
      <c r="AJ334" s="147">
        <v>1694.558</v>
      </c>
      <c r="AK334" s="552"/>
      <c r="AL334" s="552"/>
      <c r="AM334" s="552"/>
      <c r="AN334" s="552"/>
      <c r="AO334" s="552"/>
      <c r="AP334" s="552"/>
      <c r="AQ334" s="552"/>
      <c r="AR334" s="552"/>
      <c r="AS334" s="552"/>
      <c r="AT334" s="552"/>
      <c r="AU334" s="552"/>
      <c r="AV334" s="552"/>
      <c r="AW334" s="552"/>
      <c r="AX334" s="552"/>
      <c r="AY334" s="552"/>
      <c r="AZ334" s="552"/>
      <c r="BA334" s="552"/>
      <c r="BB334" s="552"/>
      <c r="BC334" s="552"/>
      <c r="BD334" s="552"/>
      <c r="BE334" s="552"/>
      <c r="BF334" s="552"/>
      <c r="BG334" s="552"/>
      <c r="BH334" s="552"/>
      <c r="BI334" s="552"/>
      <c r="BJ334" s="552"/>
      <c r="BK334" s="552"/>
      <c r="BL334" s="552"/>
      <c r="BM334" s="552"/>
      <c r="BN334" s="953" t="s">
        <v>2257</v>
      </c>
      <c r="BO334" s="215"/>
      <c r="BP334" s="215"/>
      <c r="BS334" s="705" t="s">
        <v>1769</v>
      </c>
    </row>
    <row r="335" spans="1:75" s="950" customFormat="1" ht="20.25" customHeight="1">
      <c r="A335" s="95"/>
      <c r="B335" s="344"/>
      <c r="C335" s="95"/>
      <c r="D335" s="95"/>
      <c r="E335" s="522">
        <v>21</v>
      </c>
      <c r="F335" s="3" t="str" cm="1">
        <f t="array" aca="1" ref="F335" ca="1">OFFSET(E335,-1,1)</f>
        <v>2</v>
      </c>
      <c r="G335" s="95"/>
      <c r="H335" s="290"/>
      <c r="I335" s="290" t="s">
        <v>468</v>
      </c>
      <c r="J335" s="95"/>
      <c r="K335" s="290" t="s">
        <v>468</v>
      </c>
      <c r="L335" s="46"/>
      <c r="M335" s="46"/>
      <c r="N335" s="95"/>
      <c r="O335" s="95"/>
      <c r="P335" s="95"/>
      <c r="Q335" s="91" t="s">
        <v>2218</v>
      </c>
      <c r="R335" s="94" t="s">
        <v>2218</v>
      </c>
      <c r="S335" s="95"/>
      <c r="T335" s="365" t="b" cm="1">
        <f t="array" ref="T335">T334</f>
        <v>1</v>
      </c>
      <c r="U335" s="95"/>
      <c r="V335" s="95"/>
      <c r="W335" s="95"/>
      <c r="X335" s="1075"/>
      <c r="Y335" s="95"/>
      <c r="Z335" s="1065"/>
      <c r="AA335" s="95"/>
      <c r="AB335" s="150" t="s">
        <v>903</v>
      </c>
      <c r="AC335" s="276" t="s">
        <v>1788</v>
      </c>
      <c r="AD335" s="143" t="s">
        <v>804</v>
      </c>
      <c r="AE335" s="145">
        <f ca="1">AE336+AE337+AE338</f>
        <v>1375.4708885375999</v>
      </c>
      <c r="AF335" s="145">
        <f ca="1">AF336+AF337+AF338</f>
        <v>643.11</v>
      </c>
      <c r="AG335" s="145">
        <f ca="1">AG336+AG337+AG338</f>
        <v>1375.4708885375999</v>
      </c>
      <c r="AH335" s="145">
        <f t="shared" ca="1" si="85"/>
        <v>732.36088853759986</v>
      </c>
      <c r="AI335" s="951">
        <f>AI336+AI337+AI338</f>
        <v>0</v>
      </c>
      <c r="AJ335" s="455">
        <f>AJ336+AJ337+AJ338</f>
        <v>1034.6780000000001</v>
      </c>
      <c r="AK335" s="148"/>
      <c r="AL335" s="148"/>
      <c r="AM335" s="148"/>
      <c r="AN335" s="148"/>
      <c r="AO335" s="148"/>
      <c r="AP335" s="148"/>
      <c r="AQ335" s="148"/>
      <c r="AR335" s="148"/>
      <c r="AS335" s="148"/>
      <c r="AT335" s="148"/>
      <c r="AU335" s="148"/>
      <c r="AV335" s="148"/>
      <c r="AW335" s="148"/>
      <c r="AX335" s="148"/>
      <c r="AY335" s="148"/>
      <c r="AZ335" s="148"/>
      <c r="BA335" s="148"/>
      <c r="BB335" s="148"/>
      <c r="BC335" s="148"/>
      <c r="BD335" s="148"/>
      <c r="BE335" s="148"/>
      <c r="BF335" s="148"/>
      <c r="BG335" s="148"/>
      <c r="BH335" s="148"/>
      <c r="BI335" s="148"/>
      <c r="BJ335" s="148"/>
      <c r="BK335" s="148"/>
      <c r="BL335" s="148"/>
      <c r="BM335" s="148"/>
      <c r="BN335" s="566"/>
      <c r="BO335" s="566"/>
      <c r="BP335" s="566"/>
      <c r="BQ335" s="95"/>
      <c r="BR335" s="95"/>
      <c r="BS335" s="704" t="s">
        <v>1789</v>
      </c>
      <c r="BT335" s="711"/>
      <c r="BU335" s="711"/>
      <c r="BV335" s="522"/>
      <c r="BW335" s="522"/>
    </row>
    <row r="336" spans="1:75" ht="23.25" customHeight="1">
      <c r="E336" s="518">
        <v>22.5</v>
      </c>
      <c r="F336" s="3" t="str" cm="1">
        <f t="array" aca="1" ref="F336" ca="1">OFFSET(E336,-1,1)</f>
        <v>2</v>
      </c>
      <c r="H336" s="290"/>
      <c r="I336" s="290" t="s">
        <v>1349</v>
      </c>
      <c r="K336" s="290" t="s">
        <v>1349</v>
      </c>
      <c r="L336" s="44"/>
      <c r="M336" s="44"/>
      <c r="Q336" s="91" t="s">
        <v>2218</v>
      </c>
      <c r="R336" s="94" t="s">
        <v>2218</v>
      </c>
      <c r="T336" s="365" t="b" cm="1">
        <f t="array" ref="T336">T335</f>
        <v>1</v>
      </c>
      <c r="X336" s="1075"/>
      <c r="Z336" s="1065"/>
      <c r="AB336" s="152" t="s">
        <v>1350</v>
      </c>
      <c r="AC336" s="153" t="s">
        <v>1971</v>
      </c>
      <c r="AD336" s="26" t="s">
        <v>804</v>
      </c>
      <c r="AE336" s="147">
        <v>599.76088853759995</v>
      </c>
      <c r="AF336" s="147">
        <v>231.42</v>
      </c>
      <c r="AG336" s="147" cm="1">
        <f t="array" ref="AG336">AE336</f>
        <v>599.76088853759995</v>
      </c>
      <c r="AH336" s="190">
        <f t="shared" si="85"/>
        <v>368.34088853759999</v>
      </c>
      <c r="AI336" s="952"/>
      <c r="AJ336" s="455">
        <v>210.79</v>
      </c>
      <c r="AK336" s="552"/>
      <c r="AL336" s="552"/>
      <c r="AM336" s="552"/>
      <c r="AN336" s="552"/>
      <c r="AO336" s="552"/>
      <c r="AP336" s="552"/>
      <c r="AQ336" s="552"/>
      <c r="AR336" s="552"/>
      <c r="AS336" s="552"/>
      <c r="AT336" s="552"/>
      <c r="AU336" s="552"/>
      <c r="AV336" s="552"/>
      <c r="AW336" s="552"/>
      <c r="AX336" s="552"/>
      <c r="AY336" s="552"/>
      <c r="AZ336" s="552"/>
      <c r="BA336" s="552"/>
      <c r="BB336" s="552"/>
      <c r="BC336" s="552"/>
      <c r="BD336" s="552"/>
      <c r="BE336" s="552"/>
      <c r="BF336" s="552"/>
      <c r="BG336" s="552"/>
      <c r="BH336" s="552"/>
      <c r="BI336" s="552"/>
      <c r="BJ336" s="552"/>
      <c r="BK336" s="552"/>
      <c r="BL336" s="552"/>
      <c r="BM336" s="552"/>
      <c r="BN336" s="953" t="s">
        <v>2258</v>
      </c>
      <c r="BO336" s="215"/>
      <c r="BP336" s="215"/>
      <c r="BS336" s="703" t="s">
        <v>1791</v>
      </c>
    </row>
    <row r="337" spans="1:75" ht="23.25" customHeight="1">
      <c r="E337" s="518">
        <v>22.5</v>
      </c>
      <c r="F337" s="3" t="str" cm="1">
        <f t="array" aca="1" ref="F337" ca="1">OFFSET(E337,-1,1)</f>
        <v>2</v>
      </c>
      <c r="H337" s="290"/>
      <c r="I337" s="290" t="s">
        <v>1353</v>
      </c>
      <c r="K337" s="290" t="s">
        <v>1353</v>
      </c>
      <c r="L337" s="44"/>
      <c r="M337" s="44"/>
      <c r="Q337" s="91" t="s">
        <v>2218</v>
      </c>
      <c r="R337" s="94" t="s">
        <v>2218</v>
      </c>
      <c r="T337" s="365" t="b" cm="1">
        <f t="array" ref="T337">T336</f>
        <v>1</v>
      </c>
      <c r="X337" s="1075"/>
      <c r="Z337" s="1065"/>
      <c r="AB337" s="152" t="s">
        <v>1354</v>
      </c>
      <c r="AC337" s="153" t="s">
        <v>1972</v>
      </c>
      <c r="AD337" s="26" t="s">
        <v>804</v>
      </c>
      <c r="AE337" s="147">
        <v>775.71</v>
      </c>
      <c r="AF337" s="147">
        <v>411.69</v>
      </c>
      <c r="AG337" s="147" cm="1">
        <f t="array" ref="AG337">AE337</f>
        <v>775.71</v>
      </c>
      <c r="AH337" s="190">
        <f t="shared" si="85"/>
        <v>364.02000000000004</v>
      </c>
      <c r="AI337" s="952"/>
      <c r="AJ337" s="147">
        <v>823.88800000000003</v>
      </c>
      <c r="AK337" s="552"/>
      <c r="AL337" s="552"/>
      <c r="AM337" s="552"/>
      <c r="AN337" s="552"/>
      <c r="AO337" s="552"/>
      <c r="AP337" s="552"/>
      <c r="AQ337" s="552"/>
      <c r="AR337" s="552"/>
      <c r="AS337" s="552"/>
      <c r="AT337" s="552"/>
      <c r="AU337" s="552"/>
      <c r="AV337" s="552"/>
      <c r="AW337" s="552"/>
      <c r="AX337" s="552"/>
      <c r="AY337" s="552"/>
      <c r="AZ337" s="552"/>
      <c r="BA337" s="552"/>
      <c r="BB337" s="552"/>
      <c r="BC337" s="552"/>
      <c r="BD337" s="552"/>
      <c r="BE337" s="552"/>
      <c r="BF337" s="552"/>
      <c r="BG337" s="552"/>
      <c r="BH337" s="552"/>
      <c r="BI337" s="552"/>
      <c r="BJ337" s="552"/>
      <c r="BK337" s="552"/>
      <c r="BL337" s="552"/>
      <c r="BM337" s="552"/>
      <c r="BN337" s="953" t="s">
        <v>2259</v>
      </c>
      <c r="BO337" s="215"/>
      <c r="BP337" s="215"/>
      <c r="BS337" s="705" t="s">
        <v>1973</v>
      </c>
    </row>
    <row r="338" spans="1:75" ht="21.75" customHeight="1">
      <c r="E338" s="518">
        <v>22.5</v>
      </c>
      <c r="F338" s="3" t="str" cm="1">
        <f t="array" aca="1" ref="F338" ca="1">OFFSET(E338,-1,1)</f>
        <v>2</v>
      </c>
      <c r="H338" s="290"/>
      <c r="I338" s="290" t="s">
        <v>1357</v>
      </c>
      <c r="K338" s="290" t="s">
        <v>1357</v>
      </c>
      <c r="L338" s="44" t="s">
        <v>482</v>
      </c>
      <c r="M338" s="44"/>
      <c r="Q338" s="91" t="s">
        <v>2218</v>
      </c>
      <c r="R338" s="94" t="s">
        <v>2218</v>
      </c>
      <c r="T338" s="365" t="b" cm="1">
        <f t="array" ref="T338">T337</f>
        <v>1</v>
      </c>
      <c r="X338" s="1075"/>
      <c r="Z338" s="1065"/>
      <c r="AB338" s="152" t="s">
        <v>1358</v>
      </c>
      <c r="AC338" s="153" t="s">
        <v>1974</v>
      </c>
      <c r="AD338" s="26" t="s">
        <v>804</v>
      </c>
      <c r="AE338" s="147">
        <f ca="1">AE339+AE340</f>
        <v>0</v>
      </c>
      <c r="AF338" s="147">
        <f ca="1">AF339+AF340</f>
        <v>0</v>
      </c>
      <c r="AG338" s="147">
        <f ca="1">AG339+AG340</f>
        <v>0</v>
      </c>
      <c r="AH338" s="190">
        <f t="shared" ca="1" si="85"/>
        <v>0</v>
      </c>
      <c r="AI338" s="952"/>
      <c r="AJ338" s="455"/>
      <c r="AK338" s="552"/>
      <c r="AL338" s="552"/>
      <c r="AM338" s="552"/>
      <c r="AN338" s="552"/>
      <c r="AO338" s="552"/>
      <c r="AP338" s="552"/>
      <c r="AQ338" s="552"/>
      <c r="AR338" s="552"/>
      <c r="AS338" s="552"/>
      <c r="AT338" s="552"/>
      <c r="AU338" s="552"/>
      <c r="AV338" s="552"/>
      <c r="AW338" s="552"/>
      <c r="AX338" s="552"/>
      <c r="AY338" s="552"/>
      <c r="AZ338" s="552"/>
      <c r="BA338" s="552"/>
      <c r="BB338" s="552"/>
      <c r="BC338" s="552"/>
      <c r="BD338" s="552"/>
      <c r="BE338" s="552"/>
      <c r="BF338" s="552"/>
      <c r="BG338" s="552"/>
      <c r="BH338" s="552"/>
      <c r="BI338" s="552"/>
      <c r="BJ338" s="552"/>
      <c r="BK338" s="552"/>
      <c r="BL338" s="552"/>
      <c r="BM338" s="552"/>
      <c r="BN338" s="215"/>
      <c r="BO338" s="215"/>
      <c r="BP338" s="215"/>
      <c r="BS338" s="703" t="s">
        <v>1793</v>
      </c>
    </row>
    <row r="339" spans="1:75" ht="14.25" customHeight="1">
      <c r="E339" s="518">
        <v>15</v>
      </c>
      <c r="F339" s="3" t="str" cm="1">
        <f t="array" aca="1" ref="F339" ca="1">OFFSET(E339,-1,1)</f>
        <v>2</v>
      </c>
      <c r="G339" s="2" t="s">
        <v>1171</v>
      </c>
      <c r="H339" s="290"/>
      <c r="I339" s="290" t="s">
        <v>1975</v>
      </c>
      <c r="K339" s="290" t="s">
        <v>1975</v>
      </c>
      <c r="L339" s="44" t="s">
        <v>1794</v>
      </c>
      <c r="M339" s="44"/>
      <c r="Q339" s="91" t="s">
        <v>2218</v>
      </c>
      <c r="R339" s="94" t="s">
        <v>2218</v>
      </c>
      <c r="T339" s="365" t="b" cm="1">
        <f t="array" ref="T339">T338</f>
        <v>1</v>
      </c>
      <c r="X339" s="1075"/>
      <c r="Z339" s="1065"/>
      <c r="AB339" s="152" t="s">
        <v>1976</v>
      </c>
      <c r="AC339" s="553" t="s">
        <v>1795</v>
      </c>
      <c r="AD339" s="26" t="s">
        <v>804</v>
      </c>
      <c r="AE339" s="147"/>
      <c r="AF339" s="147"/>
      <c r="AG339" s="147"/>
      <c r="AH339" s="190">
        <f t="shared" si="85"/>
        <v>0</v>
      </c>
      <c r="AI339" s="952"/>
      <c r="AJ339" s="455"/>
      <c r="AK339" s="552"/>
      <c r="AL339" s="552"/>
      <c r="AM339" s="552"/>
      <c r="AN339" s="552"/>
      <c r="AO339" s="552"/>
      <c r="AP339" s="552"/>
      <c r="AQ339" s="552"/>
      <c r="AR339" s="552"/>
      <c r="AS339" s="552"/>
      <c r="AT339" s="552"/>
      <c r="AU339" s="552"/>
      <c r="AV339" s="552"/>
      <c r="AW339" s="552"/>
      <c r="AX339" s="552"/>
      <c r="AY339" s="552"/>
      <c r="AZ339" s="552"/>
      <c r="BA339" s="552"/>
      <c r="BB339" s="552"/>
      <c r="BC339" s="552"/>
      <c r="BD339" s="552"/>
      <c r="BE339" s="552"/>
      <c r="BF339" s="552"/>
      <c r="BG339" s="552"/>
      <c r="BH339" s="552"/>
      <c r="BI339" s="552"/>
      <c r="BJ339" s="552"/>
      <c r="BK339" s="552"/>
      <c r="BL339" s="552"/>
      <c r="BM339" s="552"/>
      <c r="BN339" s="215"/>
      <c r="BO339" s="610" t="str">
        <f ca="1">IF(IFERROR(INDEX(ФОТ!$K$26:$L$102,MATCH($F339&amp;"3komm",ФОТ!$K$26:$K$102,0),2),"")=0,"",IFERROR(INDEX(ФОТ!$K$26:$L$102,MATCH($F339&amp;"3komm",ФОТ!$K$26:$K$102,0),2),""))</f>
        <v/>
      </c>
      <c r="BP339" s="215"/>
      <c r="BS339" s="703" t="s">
        <v>1796</v>
      </c>
    </row>
    <row r="340" spans="1:75" ht="21.75" customHeight="1">
      <c r="E340" s="518">
        <v>22.5</v>
      </c>
      <c r="F340" s="3" t="str" cm="1">
        <f t="array" aca="1" ref="F340" ca="1">OFFSET(E340,-1,1)</f>
        <v>2</v>
      </c>
      <c r="G340" s="2" t="s">
        <v>1176</v>
      </c>
      <c r="H340" s="290"/>
      <c r="I340" s="290" t="s">
        <v>1977</v>
      </c>
      <c r="K340" s="290" t="s">
        <v>1977</v>
      </c>
      <c r="L340" s="44" t="s">
        <v>1797</v>
      </c>
      <c r="M340" s="44"/>
      <c r="Q340" s="91" t="s">
        <v>2218</v>
      </c>
      <c r="R340" s="94" t="s">
        <v>2218</v>
      </c>
      <c r="T340" s="365" t="b" cm="1">
        <f t="array" ref="T340">T339</f>
        <v>1</v>
      </c>
      <c r="X340" s="1075"/>
      <c r="Z340" s="1065"/>
      <c r="AB340" s="152" t="s">
        <v>1978</v>
      </c>
      <c r="AC340" s="553" t="s">
        <v>1979</v>
      </c>
      <c r="AD340" s="26" t="s">
        <v>804</v>
      </c>
      <c r="AE340" s="147">
        <f ca="1">AE339*SUMIFS(INDEX(Сценарии!$AE$25:$BF$109,,MATCH(AE$8,Сценарии!$AE$8:$BF$8,0)),Сценарии!$F$25:$F$109,$F340,Сценарии!$G$25:$G$109,"СВФОТ")/100</f>
        <v>0</v>
      </c>
      <c r="AF340" s="147">
        <f ca="1">AF339*SUMIFS(INDEX(Сценарии!$AE$25:$BF$109,,MATCH(AF$8,Сценарии!$AE$8:$BF$8,0)),Сценарии!$F$25:$F$109,$F340,Сценарии!$G$25:$G$109,"СВФОТ")/100</f>
        <v>0</v>
      </c>
      <c r="AG340" s="147">
        <f ca="1">AG339*SUMIFS(INDEX(Сценарии!$AE$25:$BF$109,,MATCH(AG$8,Сценарии!$AE$8:$BF$8,0)),Сценарии!$F$25:$F$109,$F340,Сценарии!$G$25:$G$109,"СВФОТ")/100</f>
        <v>0</v>
      </c>
      <c r="AH340" s="190">
        <f t="shared" ca="1" si="85"/>
        <v>0</v>
      </c>
      <c r="AI340" s="952">
        <f ca="1">AI339*SUMIFS(INDEX(Сценарии!$AE$25:$BF$109,,MATCH(AG$8,Сценарии!$AE$8:$BF$8,0)),Сценарии!$F$25:$F$109,$F340,Сценарии!$G$25:$G$109,"СВФОТ")/100</f>
        <v>0</v>
      </c>
      <c r="AJ340" s="455"/>
      <c r="AK340" s="552"/>
      <c r="AL340" s="552"/>
      <c r="AM340" s="552"/>
      <c r="AN340" s="552"/>
      <c r="AO340" s="552"/>
      <c r="AP340" s="552"/>
      <c r="AQ340" s="552"/>
      <c r="AR340" s="552"/>
      <c r="AS340" s="552"/>
      <c r="AT340" s="552"/>
      <c r="AU340" s="552"/>
      <c r="AV340" s="552"/>
      <c r="AW340" s="552"/>
      <c r="AX340" s="552"/>
      <c r="AY340" s="552"/>
      <c r="AZ340" s="552"/>
      <c r="BA340" s="552"/>
      <c r="BB340" s="552"/>
      <c r="BC340" s="552"/>
      <c r="BD340" s="552"/>
      <c r="BE340" s="552"/>
      <c r="BF340" s="552"/>
      <c r="BG340" s="552"/>
      <c r="BH340" s="552"/>
      <c r="BI340" s="552"/>
      <c r="BJ340" s="552"/>
      <c r="BK340" s="552"/>
      <c r="BL340" s="552"/>
      <c r="BM340" s="552"/>
      <c r="BN340" s="215"/>
      <c r="BO340" s="610" t="str">
        <f ca="1">IF(IFERROR(INDEX(ФОТ!$K$26:$L$102,MATCH($F340&amp;"4komm",ФОТ!$K$26:$K$102,0),2),"")=0,"",IFERROR(INDEX(ФОТ!$K$26:$L$102,MATCH($F340&amp;"4komm",ФОТ!$K$26:$K$102,0),2),""))</f>
        <v/>
      </c>
      <c r="BP340" s="215"/>
      <c r="BS340" s="703" t="s">
        <v>1799</v>
      </c>
    </row>
    <row r="341" spans="1:75" s="950" customFormat="1" ht="20.25" customHeight="1">
      <c r="A341" s="95"/>
      <c r="B341" s="344"/>
      <c r="C341" s="95"/>
      <c r="D341" s="95"/>
      <c r="E341" s="522">
        <v>21</v>
      </c>
      <c r="F341" s="3" t="str" cm="1">
        <f t="array" aca="1" ref="F341" ca="1">OFFSET(E341,-1,1)</f>
        <v>2</v>
      </c>
      <c r="G341" s="95"/>
      <c r="H341" s="290"/>
      <c r="I341" s="290" t="s">
        <v>472</v>
      </c>
      <c r="J341" s="95"/>
      <c r="K341" s="290" t="s">
        <v>472</v>
      </c>
      <c r="L341" s="46" t="s">
        <v>329</v>
      </c>
      <c r="M341" s="46"/>
      <c r="N341" s="95"/>
      <c r="O341" s="95"/>
      <c r="P341" s="95"/>
      <c r="Q341" s="91" t="s">
        <v>2218</v>
      </c>
      <c r="R341" s="94" t="s">
        <v>2218</v>
      </c>
      <c r="S341" s="95"/>
      <c r="T341" s="365" t="b" cm="1">
        <f t="array" ref="T341">T340</f>
        <v>1</v>
      </c>
      <c r="U341" s="95"/>
      <c r="V341" s="95"/>
      <c r="W341" s="95"/>
      <c r="X341" s="1075"/>
      <c r="Y341" s="95"/>
      <c r="Z341" s="1065"/>
      <c r="AA341" s="95"/>
      <c r="AB341" s="150" t="s">
        <v>906</v>
      </c>
      <c r="AC341" s="276" t="s">
        <v>1980</v>
      </c>
      <c r="AD341" s="143" t="s">
        <v>804</v>
      </c>
      <c r="AE341" s="145">
        <f>AE342+AE350+AE353+AE354+AE355+AE356+AE357</f>
        <v>4778.8860029799998</v>
      </c>
      <c r="AF341" s="145">
        <f>AF342+AF350+AF353+AF354+AF355+AF356+AF357</f>
        <v>5533.3880000000008</v>
      </c>
      <c r="AG341" s="145">
        <f ca="1">AG342+AG350+AG353+AG354+AG355+AG356+AG357</f>
        <v>4778.8860029799998</v>
      </c>
      <c r="AH341" s="145">
        <f t="shared" ca="1" si="85"/>
        <v>-754.501997020001</v>
      </c>
      <c r="AI341" s="951">
        <f ca="1">AI342+AI350+AI353+AI354+AI355+AI356+AI357</f>
        <v>0</v>
      </c>
      <c r="AJ341" s="455">
        <f>AJ342+AJ350+AJ353+AJ354+AJ355+AJ356+AJ357</f>
        <v>6322.6799999999994</v>
      </c>
      <c r="AK341" s="148"/>
      <c r="AL341" s="148"/>
      <c r="AM341" s="148"/>
      <c r="AN341" s="148"/>
      <c r="AO341" s="148"/>
      <c r="AP341" s="148"/>
      <c r="AQ341" s="148"/>
      <c r="AR341" s="148"/>
      <c r="AS341" s="148"/>
      <c r="AT341" s="148"/>
      <c r="AU341" s="148"/>
      <c r="AV341" s="148"/>
      <c r="AW341" s="148"/>
      <c r="AX341" s="148"/>
      <c r="AY341" s="148"/>
      <c r="AZ341" s="148"/>
      <c r="BA341" s="148"/>
      <c r="BB341" s="148"/>
      <c r="BC341" s="148"/>
      <c r="BD341" s="148"/>
      <c r="BE341" s="148"/>
      <c r="BF341" s="148"/>
      <c r="BG341" s="148"/>
      <c r="BH341" s="148"/>
      <c r="BI341" s="148"/>
      <c r="BJ341" s="148"/>
      <c r="BK341" s="148"/>
      <c r="BL341" s="148"/>
      <c r="BM341" s="148"/>
      <c r="BN341" s="566"/>
      <c r="BO341" s="566"/>
      <c r="BP341" s="566"/>
      <c r="BQ341" s="95"/>
      <c r="BR341" s="95"/>
      <c r="BS341" s="704" t="s">
        <v>1801</v>
      </c>
      <c r="BT341" s="711"/>
      <c r="BU341" s="711"/>
      <c r="BV341" s="522"/>
      <c r="BW341" s="522"/>
    </row>
    <row r="342" spans="1:75" ht="21.75" customHeight="1">
      <c r="E342" s="518">
        <v>22.5</v>
      </c>
      <c r="F342" s="3" t="str" cm="1">
        <f t="array" aca="1" ref="F342" ca="1">OFFSET(E342,-1,1)</f>
        <v>2</v>
      </c>
      <c r="G342" s="91" t="s">
        <v>1197</v>
      </c>
      <c r="H342" s="290"/>
      <c r="I342" s="290" t="s">
        <v>1363</v>
      </c>
      <c r="K342" s="290" t="s">
        <v>1363</v>
      </c>
      <c r="L342" s="44" t="s">
        <v>927</v>
      </c>
      <c r="M342" s="44"/>
      <c r="Q342" s="91" t="s">
        <v>2218</v>
      </c>
      <c r="R342" s="94" t="s">
        <v>2218</v>
      </c>
      <c r="T342" s="365" t="b" cm="1">
        <f t="array" ref="T342">T341</f>
        <v>1</v>
      </c>
      <c r="X342" s="1075"/>
      <c r="Z342" s="1065"/>
      <c r="AB342" s="152" t="s">
        <v>1021</v>
      </c>
      <c r="AC342" s="153" t="s">
        <v>1981</v>
      </c>
      <c r="AD342" s="26" t="s">
        <v>804</v>
      </c>
      <c r="AE342" s="190">
        <f>SUM(AE343:AE349)</f>
        <v>1059.0734849999999</v>
      </c>
      <c r="AF342" s="190">
        <f>SUM(AF343:AF349)</f>
        <v>1007.1400000000002</v>
      </c>
      <c r="AG342" s="190">
        <f>SUM(AG343:AG349)</f>
        <v>1059.0734849999999</v>
      </c>
      <c r="AH342" s="190">
        <f t="shared" si="85"/>
        <v>51.933484999999678</v>
      </c>
      <c r="AI342" s="952">
        <f>SUM(AI343:AI349)</f>
        <v>0</v>
      </c>
      <c r="AJ342" s="455">
        <f>SUM(AJ343:AJ349)</f>
        <v>1490.15</v>
      </c>
      <c r="AK342" s="552"/>
      <c r="AL342" s="552"/>
      <c r="AM342" s="552"/>
      <c r="AN342" s="552"/>
      <c r="AO342" s="552"/>
      <c r="AP342" s="552"/>
      <c r="AQ342" s="552"/>
      <c r="AR342" s="552"/>
      <c r="AS342" s="552"/>
      <c r="AT342" s="552"/>
      <c r="AU342" s="552"/>
      <c r="AV342" s="552"/>
      <c r="AW342" s="552"/>
      <c r="AX342" s="552"/>
      <c r="AY342" s="552"/>
      <c r="AZ342" s="552"/>
      <c r="BA342" s="552"/>
      <c r="BB342" s="552"/>
      <c r="BC342" s="552"/>
      <c r="BD342" s="552"/>
      <c r="BE342" s="552"/>
      <c r="BF342" s="552"/>
      <c r="BG342" s="552"/>
      <c r="BH342" s="552"/>
      <c r="BI342" s="552"/>
      <c r="BJ342" s="552"/>
      <c r="BK342" s="552"/>
      <c r="BL342" s="552"/>
      <c r="BM342" s="552"/>
      <c r="BN342" s="215"/>
      <c r="BO342" s="610" t="str">
        <f ca="1">IF(IFERROR(INDEX(Административные!$K$26:$L$84,MATCH($F342&amp;"17komm",Административные!$K$26:$K$84,0),2),"")=0,"",IFERROR(INDEX(Административные!$K$26:$L$84,MATCH($F342&amp;"17komm",Административные!$K$26:$K$84,0),2),""))</f>
        <v/>
      </c>
      <c r="BP342" s="215"/>
      <c r="BS342" s="703" t="s">
        <v>1199</v>
      </c>
    </row>
    <row r="343" spans="1:75" ht="14.65" customHeight="1">
      <c r="E343" s="518">
        <v>15</v>
      </c>
      <c r="F343" s="3" t="str" cm="1">
        <f t="array" aca="1" ref="F343" ca="1">OFFSET(E343,-1,1)</f>
        <v>2</v>
      </c>
      <c r="G343" s="91" t="s">
        <v>1200</v>
      </c>
      <c r="H343" s="290"/>
      <c r="I343" s="290" t="s">
        <v>1982</v>
      </c>
      <c r="K343" s="290" t="s">
        <v>1982</v>
      </c>
      <c r="L343" s="44"/>
      <c r="M343" s="44"/>
      <c r="Q343" s="91" t="s">
        <v>2218</v>
      </c>
      <c r="R343" s="94" t="s">
        <v>2218</v>
      </c>
      <c r="T343" s="365" t="b" cm="1">
        <f t="array" ref="T343">T342</f>
        <v>1</v>
      </c>
      <c r="X343" s="1075"/>
      <c r="Z343" s="1065"/>
      <c r="AB343" s="152" t="s">
        <v>1983</v>
      </c>
      <c r="AC343" s="553" t="s">
        <v>1201</v>
      </c>
      <c r="AD343" s="26" t="s">
        <v>804</v>
      </c>
      <c r="AE343" s="147">
        <v>33.561556263900002</v>
      </c>
      <c r="AF343" s="147">
        <v>33.76</v>
      </c>
      <c r="AG343" s="147" cm="1">
        <f t="array" ref="AG343">AE343</f>
        <v>33.561556263900002</v>
      </c>
      <c r="AH343" s="190">
        <f t="shared" si="85"/>
        <v>-0.19844373609999622</v>
      </c>
      <c r="AI343" s="952"/>
      <c r="AJ343" s="455">
        <v>40.57</v>
      </c>
      <c r="AK343" s="552"/>
      <c r="AL343" s="552"/>
      <c r="AM343" s="552"/>
      <c r="AN343" s="552"/>
      <c r="AO343" s="552"/>
      <c r="AP343" s="552"/>
      <c r="AQ343" s="552"/>
      <c r="AR343" s="552"/>
      <c r="AS343" s="552"/>
      <c r="AT343" s="552"/>
      <c r="AU343" s="552"/>
      <c r="AV343" s="552"/>
      <c r="AW343" s="552"/>
      <c r="AX343" s="552"/>
      <c r="AY343" s="552"/>
      <c r="AZ343" s="552"/>
      <c r="BA343" s="552"/>
      <c r="BB343" s="552"/>
      <c r="BC343" s="552"/>
      <c r="BD343" s="552"/>
      <c r="BE343" s="552"/>
      <c r="BF343" s="552"/>
      <c r="BG343" s="552"/>
      <c r="BH343" s="552"/>
      <c r="BI343" s="552"/>
      <c r="BJ343" s="552"/>
      <c r="BK343" s="552"/>
      <c r="BL343" s="552"/>
      <c r="BM343" s="552"/>
      <c r="BN343" s="953" t="s">
        <v>2228</v>
      </c>
      <c r="BO343" s="610" t="str">
        <f ca="1">IF(IFERROR(INDEX(Административные!$K$26:$L$84,MATCH($F343&amp;"18komm",Административные!$K$26:$K$84,0),2),"")=0,"",IFERROR(INDEX(Административные!$K$26:$L$84,MATCH($F343&amp;"18komm",Административные!$K$26:$K$84,0),2),""))</f>
        <v/>
      </c>
      <c r="BP343" s="215"/>
      <c r="BS343" s="705" t="s">
        <v>1202</v>
      </c>
    </row>
    <row r="344" spans="1:75" ht="14.65" customHeight="1">
      <c r="E344" s="518">
        <v>15</v>
      </c>
      <c r="F344" s="3" t="str" cm="1">
        <f t="array" aca="1" ref="F344" ca="1">OFFSET(E344,-1,1)</f>
        <v>2</v>
      </c>
      <c r="G344" s="91" t="s">
        <v>1203</v>
      </c>
      <c r="H344" s="290"/>
      <c r="I344" s="290" t="s">
        <v>1984</v>
      </c>
      <c r="K344" s="290" t="s">
        <v>1984</v>
      </c>
      <c r="L344" s="44"/>
      <c r="M344" s="44"/>
      <c r="Q344" s="91" t="s">
        <v>2218</v>
      </c>
      <c r="R344" s="94" t="s">
        <v>2218</v>
      </c>
      <c r="T344" s="365" t="b" cm="1">
        <f t="array" ref="T344">T343</f>
        <v>1</v>
      </c>
      <c r="X344" s="1075"/>
      <c r="Z344" s="1065"/>
      <c r="AB344" s="152" t="s">
        <v>1985</v>
      </c>
      <c r="AC344" s="553" t="s">
        <v>1204</v>
      </c>
      <c r="AD344" s="26" t="s">
        <v>804</v>
      </c>
      <c r="AE344" s="147">
        <v>411.3493030656</v>
      </c>
      <c r="AF344" s="147">
        <v>395.16</v>
      </c>
      <c r="AG344" s="147" cm="1">
        <f t="array" ref="AG344">AE344</f>
        <v>411.3493030656</v>
      </c>
      <c r="AH344" s="190">
        <f t="shared" si="85"/>
        <v>16.189303065599972</v>
      </c>
      <c r="AI344" s="952"/>
      <c r="AJ344" s="455">
        <v>497.29</v>
      </c>
      <c r="AK344" s="552"/>
      <c r="AL344" s="552"/>
      <c r="AM344" s="552"/>
      <c r="AN344" s="552"/>
      <c r="AO344" s="552"/>
      <c r="AP344" s="552"/>
      <c r="AQ344" s="552"/>
      <c r="AR344" s="552"/>
      <c r="AS344" s="552"/>
      <c r="AT344" s="552"/>
      <c r="AU344" s="552"/>
      <c r="AV344" s="552"/>
      <c r="AW344" s="552"/>
      <c r="AX344" s="552"/>
      <c r="AY344" s="552"/>
      <c r="AZ344" s="552"/>
      <c r="BA344" s="552"/>
      <c r="BB344" s="552"/>
      <c r="BC344" s="552"/>
      <c r="BD344" s="552"/>
      <c r="BE344" s="552"/>
      <c r="BF344" s="552"/>
      <c r="BG344" s="552"/>
      <c r="BH344" s="552"/>
      <c r="BI344" s="552"/>
      <c r="BJ344" s="552"/>
      <c r="BK344" s="552"/>
      <c r="BL344" s="552"/>
      <c r="BM344" s="552"/>
      <c r="BN344" s="953" t="s">
        <v>2229</v>
      </c>
      <c r="BO344" s="610" t="str">
        <f ca="1">IF(IFERROR(INDEX(Административные!$K$26:$L$84,MATCH($F344&amp;"11komm",Административные!$K$26:$K$84,0),2),"")=0,"",IFERROR(INDEX(Административные!$K$26:$L$84,MATCH($F344&amp;"11komm",Административные!$K$26:$K$84,0),2),""))</f>
        <v/>
      </c>
      <c r="BP344" s="215"/>
      <c r="BS344" s="705" t="s">
        <v>1205</v>
      </c>
    </row>
    <row r="345" spans="1:75" ht="14.25" customHeight="1">
      <c r="E345" s="518">
        <v>15</v>
      </c>
      <c r="F345" s="3" t="str" cm="1">
        <f t="array" aca="1" ref="F345" ca="1">OFFSET(E345,-1,1)</f>
        <v>2</v>
      </c>
      <c r="G345" s="91" t="s">
        <v>1206</v>
      </c>
      <c r="H345" s="290"/>
      <c r="I345" s="290" t="s">
        <v>1986</v>
      </c>
      <c r="K345" s="290" t="s">
        <v>1986</v>
      </c>
      <c r="L345" s="44"/>
      <c r="M345" s="44"/>
      <c r="Q345" s="91" t="s">
        <v>2218</v>
      </c>
      <c r="R345" s="94" t="s">
        <v>2218</v>
      </c>
      <c r="T345" s="365" t="b" cm="1">
        <f t="array" ref="T345">T344</f>
        <v>1</v>
      </c>
      <c r="X345" s="1075"/>
      <c r="Z345" s="1065"/>
      <c r="AB345" s="152" t="s">
        <v>1987</v>
      </c>
      <c r="AC345" s="553" t="s">
        <v>1207</v>
      </c>
      <c r="AD345" s="26" t="s">
        <v>804</v>
      </c>
      <c r="AE345" s="147"/>
      <c r="AF345" s="147"/>
      <c r="AG345" s="147"/>
      <c r="AH345" s="190">
        <f t="shared" si="85"/>
        <v>0</v>
      </c>
      <c r="AI345" s="952"/>
      <c r="AJ345" s="455"/>
      <c r="AK345" s="552"/>
      <c r="AL345" s="552"/>
      <c r="AM345" s="552"/>
      <c r="AN345" s="552"/>
      <c r="AO345" s="552"/>
      <c r="AP345" s="552"/>
      <c r="AQ345" s="552"/>
      <c r="AR345" s="552"/>
      <c r="AS345" s="552"/>
      <c r="AT345" s="552"/>
      <c r="AU345" s="552"/>
      <c r="AV345" s="552"/>
      <c r="AW345" s="552"/>
      <c r="AX345" s="552"/>
      <c r="AY345" s="552"/>
      <c r="AZ345" s="552"/>
      <c r="BA345" s="552"/>
      <c r="BB345" s="552"/>
      <c r="BC345" s="552"/>
      <c r="BD345" s="552"/>
      <c r="BE345" s="552"/>
      <c r="BF345" s="552"/>
      <c r="BG345" s="552"/>
      <c r="BH345" s="552"/>
      <c r="BI345" s="552"/>
      <c r="BJ345" s="552"/>
      <c r="BK345" s="552"/>
      <c r="BL345" s="552"/>
      <c r="BM345" s="552"/>
      <c r="BN345" s="215"/>
      <c r="BO345" s="610" t="str">
        <f ca="1">IF(IFERROR(INDEX(Административные!$K$26:$L$84,MATCH($F345&amp;"12komm",Административные!$K$26:$K$84,0),2),"")=0,"",IFERROR(INDEX(Административные!$K$26:$L$84,MATCH($F345&amp;"12komm",Административные!$K$26:$K$84,0),2),""))</f>
        <v/>
      </c>
      <c r="BP345" s="215"/>
      <c r="BS345" s="705" t="s">
        <v>1208</v>
      </c>
    </row>
    <row r="346" spans="1:75" ht="14.65" customHeight="1">
      <c r="E346" s="518">
        <v>15</v>
      </c>
      <c r="F346" s="3" t="str" cm="1">
        <f t="array" aca="1" ref="F346" ca="1">OFFSET(E346,-1,1)</f>
        <v>2</v>
      </c>
      <c r="G346" s="91" t="s">
        <v>1209</v>
      </c>
      <c r="H346" s="290"/>
      <c r="I346" s="290" t="s">
        <v>1988</v>
      </c>
      <c r="K346" s="290" t="s">
        <v>1988</v>
      </c>
      <c r="L346" s="44"/>
      <c r="M346" s="44"/>
      <c r="Q346" s="91" t="s">
        <v>2218</v>
      </c>
      <c r="R346" s="94" t="s">
        <v>2218</v>
      </c>
      <c r="T346" s="365" t="b" cm="1">
        <f t="array" ref="T346">T345</f>
        <v>1</v>
      </c>
      <c r="X346" s="1075"/>
      <c r="Z346" s="1065"/>
      <c r="AB346" s="152" t="s">
        <v>1989</v>
      </c>
      <c r="AC346" s="553" t="s">
        <v>1210</v>
      </c>
      <c r="AD346" s="26" t="s">
        <v>804</v>
      </c>
      <c r="AE346" s="147">
        <v>127.880612352</v>
      </c>
      <c r="AF346" s="147">
        <v>58.8</v>
      </c>
      <c r="AG346" s="147" cm="1">
        <f t="array" ref="AG346">AE346</f>
        <v>127.880612352</v>
      </c>
      <c r="AH346" s="190">
        <f t="shared" si="85"/>
        <v>69.080612352000003</v>
      </c>
      <c r="AI346" s="952"/>
      <c r="AJ346" s="455">
        <v>154.6</v>
      </c>
      <c r="AK346" s="552"/>
      <c r="AL346" s="552"/>
      <c r="AM346" s="552"/>
      <c r="AN346" s="552"/>
      <c r="AO346" s="552"/>
      <c r="AP346" s="552"/>
      <c r="AQ346" s="552"/>
      <c r="AR346" s="552"/>
      <c r="AS346" s="552"/>
      <c r="AT346" s="552"/>
      <c r="AU346" s="552"/>
      <c r="AV346" s="552"/>
      <c r="AW346" s="552"/>
      <c r="AX346" s="552"/>
      <c r="AY346" s="552"/>
      <c r="AZ346" s="552"/>
      <c r="BA346" s="552"/>
      <c r="BB346" s="552"/>
      <c r="BC346" s="552"/>
      <c r="BD346" s="552"/>
      <c r="BE346" s="552"/>
      <c r="BF346" s="552"/>
      <c r="BG346" s="552"/>
      <c r="BH346" s="552"/>
      <c r="BI346" s="552"/>
      <c r="BJ346" s="552"/>
      <c r="BK346" s="552"/>
      <c r="BL346" s="552"/>
      <c r="BM346" s="552"/>
      <c r="BN346" s="953" t="s">
        <v>2230</v>
      </c>
      <c r="BO346" s="610" t="str">
        <f ca="1">IF(IFERROR(INDEX(Административные!$K$26:$L$84,MATCH($F346&amp;"13komm",Административные!$K$26:$K$84,0),2),"")=0,"",IFERROR(INDEX(Административные!$K$26:$L$84,MATCH($F346&amp;"13komm",Административные!$K$26:$K$84,0),2),""))</f>
        <v/>
      </c>
      <c r="BP346" s="215"/>
      <c r="BS346" s="705" t="s">
        <v>1211</v>
      </c>
    </row>
    <row r="347" spans="1:75" ht="14.25" customHeight="1">
      <c r="E347" s="518">
        <v>15</v>
      </c>
      <c r="F347" s="3" t="str" cm="1">
        <f t="array" aca="1" ref="F347" ca="1">OFFSET(E347,-1,1)</f>
        <v>2</v>
      </c>
      <c r="G347" s="91" t="s">
        <v>1212</v>
      </c>
      <c r="H347" s="290"/>
      <c r="I347" s="290" t="s">
        <v>1990</v>
      </c>
      <c r="K347" s="290" t="s">
        <v>1990</v>
      </c>
      <c r="L347" s="44"/>
      <c r="M347" s="44"/>
      <c r="Q347" s="91" t="s">
        <v>2218</v>
      </c>
      <c r="R347" s="94" t="s">
        <v>2218</v>
      </c>
      <c r="T347" s="365" t="b" cm="1">
        <f t="array" ref="T347">T346</f>
        <v>1</v>
      </c>
      <c r="X347" s="1075"/>
      <c r="Z347" s="1065"/>
      <c r="AB347" s="152" t="s">
        <v>1991</v>
      </c>
      <c r="AC347" s="553" t="s">
        <v>1213</v>
      </c>
      <c r="AD347" s="26" t="s">
        <v>804</v>
      </c>
      <c r="AE347" s="147"/>
      <c r="AF347" s="147"/>
      <c r="AG347" s="147"/>
      <c r="AH347" s="190">
        <f t="shared" si="85"/>
        <v>0</v>
      </c>
      <c r="AI347" s="952"/>
      <c r="AJ347" s="455"/>
      <c r="AK347" s="552"/>
      <c r="AL347" s="552"/>
      <c r="AM347" s="552"/>
      <c r="AN347" s="552"/>
      <c r="AO347" s="552"/>
      <c r="AP347" s="552"/>
      <c r="AQ347" s="552"/>
      <c r="AR347" s="552"/>
      <c r="AS347" s="552"/>
      <c r="AT347" s="552"/>
      <c r="AU347" s="552"/>
      <c r="AV347" s="552"/>
      <c r="AW347" s="552"/>
      <c r="AX347" s="552"/>
      <c r="AY347" s="552"/>
      <c r="AZ347" s="552"/>
      <c r="BA347" s="552"/>
      <c r="BB347" s="552"/>
      <c r="BC347" s="552"/>
      <c r="BD347" s="552"/>
      <c r="BE347" s="552"/>
      <c r="BF347" s="552"/>
      <c r="BG347" s="552"/>
      <c r="BH347" s="552"/>
      <c r="BI347" s="552"/>
      <c r="BJ347" s="552"/>
      <c r="BK347" s="552"/>
      <c r="BL347" s="552"/>
      <c r="BM347" s="552"/>
      <c r="BN347" s="215"/>
      <c r="BO347" s="610" t="str">
        <f ca="1">IF(IFERROR(INDEX(Административные!$K$26:$L$84,MATCH($F347&amp;"14komm",Административные!$K$26:$K$84,0),2),"")=0,"",IFERROR(INDEX(Административные!$K$26:$L$84,MATCH($F347&amp;"14komm",Административные!$K$26:$K$84,0),2),""))</f>
        <v/>
      </c>
      <c r="BP347" s="215"/>
      <c r="BS347" s="705" t="s">
        <v>1992</v>
      </c>
    </row>
    <row r="348" spans="1:75" ht="14.25" customHeight="1">
      <c r="E348" s="518">
        <v>15</v>
      </c>
      <c r="F348" s="3" t="str" cm="1">
        <f t="array" aca="1" ref="F348" ca="1">OFFSET(E348,-1,1)</f>
        <v>2</v>
      </c>
      <c r="G348" s="91" t="s">
        <v>1215</v>
      </c>
      <c r="H348" s="290"/>
      <c r="I348" s="290" t="s">
        <v>1993</v>
      </c>
      <c r="K348" s="290" t="s">
        <v>1993</v>
      </c>
      <c r="L348" s="44"/>
      <c r="M348" s="44"/>
      <c r="Q348" s="91" t="s">
        <v>2218</v>
      </c>
      <c r="R348" s="94" t="s">
        <v>2218</v>
      </c>
      <c r="T348" s="365" t="b" cm="1">
        <f t="array" ref="T348">T347</f>
        <v>1</v>
      </c>
      <c r="X348" s="1075"/>
      <c r="Z348" s="1065"/>
      <c r="AB348" s="152" t="s">
        <v>1994</v>
      </c>
      <c r="AC348" s="553" t="s">
        <v>1218</v>
      </c>
      <c r="AD348" s="26" t="s">
        <v>804</v>
      </c>
      <c r="AE348" s="147"/>
      <c r="AF348" s="147"/>
      <c r="AG348" s="147"/>
      <c r="AH348" s="190">
        <f t="shared" ref="AH348:AH364" si="89">AG348-AF348</f>
        <v>0</v>
      </c>
      <c r="AI348" s="952"/>
      <c r="AJ348" s="455"/>
      <c r="AK348" s="552"/>
      <c r="AL348" s="552"/>
      <c r="AM348" s="552"/>
      <c r="AN348" s="552"/>
      <c r="AO348" s="552"/>
      <c r="AP348" s="552"/>
      <c r="AQ348" s="552"/>
      <c r="AR348" s="552"/>
      <c r="AS348" s="552"/>
      <c r="AT348" s="552"/>
      <c r="AU348" s="552"/>
      <c r="AV348" s="552"/>
      <c r="AW348" s="552"/>
      <c r="AX348" s="552"/>
      <c r="AY348" s="552"/>
      <c r="AZ348" s="552"/>
      <c r="BA348" s="552"/>
      <c r="BB348" s="552"/>
      <c r="BC348" s="552"/>
      <c r="BD348" s="552"/>
      <c r="BE348" s="552"/>
      <c r="BF348" s="552"/>
      <c r="BG348" s="552"/>
      <c r="BH348" s="552"/>
      <c r="BI348" s="552"/>
      <c r="BJ348" s="552"/>
      <c r="BK348" s="552"/>
      <c r="BL348" s="552"/>
      <c r="BM348" s="552"/>
      <c r="BN348" s="215"/>
      <c r="BO348" s="610" t="str">
        <f ca="1">IF(IFERROR(INDEX(Административные!$K$26:$L$84,MATCH($F348&amp;"15komm",Административные!$K$26:$K$84,0),2),"")=0,"",IFERROR(INDEX(Административные!$K$26:$L$84,MATCH($F348&amp;"15komm",Административные!$K$26:$K$84,0),2),""))</f>
        <v/>
      </c>
      <c r="BP348" s="215"/>
      <c r="BS348" s="705" t="s">
        <v>1219</v>
      </c>
    </row>
    <row r="349" spans="1:75" ht="14.65" customHeight="1">
      <c r="E349" s="518">
        <v>15</v>
      </c>
      <c r="F349" s="3" t="str" cm="1">
        <f t="array" aca="1" ref="F349" ca="1">OFFSET(E349,-1,1)</f>
        <v>2</v>
      </c>
      <c r="G349" s="91" t="s">
        <v>1220</v>
      </c>
      <c r="H349" s="290"/>
      <c r="I349" s="290" t="s">
        <v>1995</v>
      </c>
      <c r="K349" s="290" t="s">
        <v>1995</v>
      </c>
      <c r="L349" s="44"/>
      <c r="M349" s="44"/>
      <c r="Q349" s="91" t="s">
        <v>2218</v>
      </c>
      <c r="R349" s="94" t="s">
        <v>2218</v>
      </c>
      <c r="T349" s="365" t="b" cm="1">
        <f t="array" ref="T349">T348</f>
        <v>1</v>
      </c>
      <c r="X349" s="1075"/>
      <c r="Z349" s="1065"/>
      <c r="AB349" s="152" t="s">
        <v>1996</v>
      </c>
      <c r="AC349" s="553" t="s">
        <v>1223</v>
      </c>
      <c r="AD349" s="26" t="s">
        <v>804</v>
      </c>
      <c r="AE349" s="147">
        <v>486.28201331849999</v>
      </c>
      <c r="AF349" s="147">
        <f>1008.07-AF343-AF344-AF346-AF355</f>
        <v>519.42000000000019</v>
      </c>
      <c r="AG349" s="147" cm="1">
        <f t="array" ref="AG349">AE349</f>
        <v>486.28201331849999</v>
      </c>
      <c r="AH349" s="190">
        <f t="shared" si="89"/>
        <v>-33.137986681500195</v>
      </c>
      <c r="AI349" s="952"/>
      <c r="AJ349" s="455">
        <f>1520.94-AJ343-AJ344-AJ346-AJ355</f>
        <v>797.69000000000017</v>
      </c>
      <c r="AK349" s="552"/>
      <c r="AL349" s="552"/>
      <c r="AM349" s="552"/>
      <c r="AN349" s="552"/>
      <c r="AO349" s="552"/>
      <c r="AP349" s="552"/>
      <c r="AQ349" s="552"/>
      <c r="AR349" s="552"/>
      <c r="AS349" s="552"/>
      <c r="AT349" s="552"/>
      <c r="AU349" s="552"/>
      <c r="AV349" s="552"/>
      <c r="AW349" s="552"/>
      <c r="AX349" s="552"/>
      <c r="AY349" s="552"/>
      <c r="AZ349" s="552"/>
      <c r="BA349" s="552"/>
      <c r="BB349" s="552"/>
      <c r="BC349" s="552"/>
      <c r="BD349" s="552"/>
      <c r="BE349" s="552"/>
      <c r="BF349" s="552"/>
      <c r="BG349" s="552"/>
      <c r="BH349" s="552"/>
      <c r="BI349" s="552"/>
      <c r="BJ349" s="552"/>
      <c r="BK349" s="552"/>
      <c r="BL349" s="552"/>
      <c r="BM349" s="552"/>
      <c r="BN349" s="953" t="s">
        <v>2260</v>
      </c>
      <c r="BO349" s="610" t="str">
        <f ca="1">IF(IFERROR(INDEX(Административные!$K$26:$L$84,MATCH($F349&amp;"16komm",Административные!$K$26:$K$84,0),2),"")=0,"",IFERROR(INDEX(Административные!$K$26:$L$84,MATCH($F349&amp;"16komm",Административные!$K$26:$K$84,0),2),""))</f>
        <v/>
      </c>
      <c r="BP349" s="215"/>
      <c r="BS349" s="705" t="s">
        <v>1997</v>
      </c>
    </row>
    <row r="350" spans="1:75" ht="21.75" customHeight="1">
      <c r="E350" s="518">
        <v>22.5</v>
      </c>
      <c r="F350" s="3" t="str" cm="1">
        <f t="array" aca="1" ref="F350" ca="1">OFFSET(E350,-1,1)</f>
        <v>2</v>
      </c>
      <c r="H350" s="290"/>
      <c r="I350" s="290" t="s">
        <v>1364</v>
      </c>
      <c r="K350" s="290" t="s">
        <v>1364</v>
      </c>
      <c r="L350" s="44" t="s">
        <v>929</v>
      </c>
      <c r="M350" s="44"/>
      <c r="Q350" s="91" t="s">
        <v>2218</v>
      </c>
      <c r="R350" s="94" t="s">
        <v>2218</v>
      </c>
      <c r="T350" s="365" t="b" cm="1">
        <f t="array" ref="T350">T349</f>
        <v>1</v>
      </c>
      <c r="X350" s="1075"/>
      <c r="Z350" s="1065"/>
      <c r="AB350" s="152" t="s">
        <v>1024</v>
      </c>
      <c r="AC350" s="153" t="s">
        <v>1998</v>
      </c>
      <c r="AD350" s="26" t="s">
        <v>804</v>
      </c>
      <c r="AE350" s="190">
        <f>AE351+AE352</f>
        <v>3694.3475179799998</v>
      </c>
      <c r="AF350" s="190">
        <f>AF351+AF352</f>
        <v>4525.3180000000002</v>
      </c>
      <c r="AG350" s="190">
        <f ca="1">AG351+AG352</f>
        <v>3694.3475179799998</v>
      </c>
      <c r="AH350" s="190">
        <f t="shared" ca="1" si="89"/>
        <v>-830.97048202000042</v>
      </c>
      <c r="AI350" s="952">
        <f ca="1">AI351+AI352</f>
        <v>0</v>
      </c>
      <c r="AJ350" s="455">
        <f>AJ351+AJ352</f>
        <v>4801.74</v>
      </c>
      <c r="AK350" s="552"/>
      <c r="AL350" s="552"/>
      <c r="AM350" s="552"/>
      <c r="AN350" s="552"/>
      <c r="AO350" s="552"/>
      <c r="AP350" s="552"/>
      <c r="AQ350" s="552"/>
      <c r="AR350" s="552"/>
      <c r="AS350" s="552"/>
      <c r="AT350" s="552"/>
      <c r="AU350" s="552"/>
      <c r="AV350" s="552"/>
      <c r="AW350" s="552"/>
      <c r="AX350" s="552"/>
      <c r="AY350" s="552"/>
      <c r="AZ350" s="552"/>
      <c r="BA350" s="552"/>
      <c r="BB350" s="552"/>
      <c r="BC350" s="552"/>
      <c r="BD350" s="552"/>
      <c r="BE350" s="552"/>
      <c r="BF350" s="552"/>
      <c r="BG350" s="552"/>
      <c r="BH350" s="552"/>
      <c r="BI350" s="552"/>
      <c r="BJ350" s="552"/>
      <c r="BK350" s="552"/>
      <c r="BL350" s="552"/>
      <c r="BM350" s="552"/>
      <c r="BN350" s="215"/>
      <c r="BO350" s="215"/>
      <c r="BP350" s="215"/>
      <c r="BS350" s="703" t="s">
        <v>1804</v>
      </c>
    </row>
    <row r="351" spans="1:75" ht="14.65" customHeight="1">
      <c r="E351" s="518">
        <v>15</v>
      </c>
      <c r="F351" s="3" t="str" cm="1">
        <f t="array" aca="1" ref="F351" ca="1">OFFSET(E351,-1,1)</f>
        <v>2</v>
      </c>
      <c r="G351" s="91" t="s">
        <v>1179</v>
      </c>
      <c r="H351" s="290"/>
      <c r="I351" s="290" t="s">
        <v>1999</v>
      </c>
      <c r="K351" s="290" t="s">
        <v>1999</v>
      </c>
      <c r="L351" s="44" t="s">
        <v>497</v>
      </c>
      <c r="M351" s="44"/>
      <c r="Q351" s="91" t="s">
        <v>2218</v>
      </c>
      <c r="R351" s="94" t="s">
        <v>2218</v>
      </c>
      <c r="T351" s="365" t="b" cm="1">
        <f t="array" ref="T351">T350</f>
        <v>1</v>
      </c>
      <c r="X351" s="1075"/>
      <c r="Z351" s="1065"/>
      <c r="AB351" s="152" t="s">
        <v>2000</v>
      </c>
      <c r="AC351" s="553" t="s">
        <v>1805</v>
      </c>
      <c r="AD351" s="555" t="s">
        <v>804</v>
      </c>
      <c r="AE351" s="147">
        <v>2837.44049</v>
      </c>
      <c r="AF351" s="147">
        <v>3685.308</v>
      </c>
      <c r="AG351" s="147" cm="1">
        <f t="array" ref="AG351">AE351</f>
        <v>2837.44049</v>
      </c>
      <c r="AH351" s="190">
        <f t="shared" si="89"/>
        <v>-847.86751000000004</v>
      </c>
      <c r="AI351" s="952"/>
      <c r="AJ351" s="455">
        <v>3685.14</v>
      </c>
      <c r="AK351" s="552"/>
      <c r="AL351" s="552"/>
      <c r="AM351" s="552"/>
      <c r="AN351" s="552"/>
      <c r="AO351" s="552"/>
      <c r="AP351" s="552"/>
      <c r="AQ351" s="552"/>
      <c r="AR351" s="552"/>
      <c r="AS351" s="552"/>
      <c r="AT351" s="552"/>
      <c r="AU351" s="552"/>
      <c r="AV351" s="552"/>
      <c r="AW351" s="552"/>
      <c r="AX351" s="552"/>
      <c r="AY351" s="552"/>
      <c r="AZ351" s="552"/>
      <c r="BA351" s="552"/>
      <c r="BB351" s="552"/>
      <c r="BC351" s="552"/>
      <c r="BD351" s="552"/>
      <c r="BE351" s="552"/>
      <c r="BF351" s="552"/>
      <c r="BG351" s="552"/>
      <c r="BH351" s="552"/>
      <c r="BI351" s="552"/>
      <c r="BJ351" s="552"/>
      <c r="BK351" s="552"/>
      <c r="BL351" s="552"/>
      <c r="BM351" s="552"/>
      <c r="BN351" s="953" t="s">
        <v>2222</v>
      </c>
      <c r="BO351" s="610" t="str">
        <f ca="1">IF(IFERROR(INDEX(ФОТ!$K$26:$L$102,MATCH($F351&amp;"5komm",ФОТ!$K$26:$K$102,0),2),"")=0,"",IFERROR(INDEX(ФОТ!$K$26:$L$102,MATCH($F351&amp;"5komm",ФОТ!$K$26:$K$102,0),2),""))</f>
        <v/>
      </c>
      <c r="BP351" s="215"/>
      <c r="BS351" s="703" t="s">
        <v>1196</v>
      </c>
    </row>
    <row r="352" spans="1:75" ht="23.25" customHeight="1">
      <c r="E352" s="518">
        <v>22.5</v>
      </c>
      <c r="F352" s="3" t="str" cm="1">
        <f t="array" aca="1" ref="F352" ca="1">OFFSET(E352,-1,1)</f>
        <v>2</v>
      </c>
      <c r="G352" s="91" t="s">
        <v>1184</v>
      </c>
      <c r="H352" s="290"/>
      <c r="I352" s="290" t="s">
        <v>2001</v>
      </c>
      <c r="K352" s="290" t="s">
        <v>2001</v>
      </c>
      <c r="L352" s="44" t="s">
        <v>502</v>
      </c>
      <c r="M352" s="44"/>
      <c r="Q352" s="91" t="s">
        <v>2218</v>
      </c>
      <c r="R352" s="94" t="s">
        <v>2218</v>
      </c>
      <c r="T352" s="365" t="b" cm="1">
        <f t="array" ref="T352">T351</f>
        <v>1</v>
      </c>
      <c r="X352" s="1075"/>
      <c r="Z352" s="1065"/>
      <c r="AB352" s="152" t="s">
        <v>2002</v>
      </c>
      <c r="AC352" s="553" t="s">
        <v>2003</v>
      </c>
      <c r="AD352" s="26" t="s">
        <v>804</v>
      </c>
      <c r="AE352" s="147">
        <v>856.90702797999995</v>
      </c>
      <c r="AF352" s="147">
        <v>840.01</v>
      </c>
      <c r="AG352" s="147">
        <f ca="1">AG351*SUMIFS(INDEX(Сценарии!$AE$25:$BF$109,,MATCH(AG$8,Сценарии!$AE$8:$BF$8,0)),Сценарии!$F$25:$F$109,$F352,Сценарии!$G$25:$G$109,"СВФОТ")/100</f>
        <v>856.90702797999995</v>
      </c>
      <c r="AH352" s="190">
        <f t="shared" ca="1" si="89"/>
        <v>16.897027979999962</v>
      </c>
      <c r="AI352" s="952">
        <f ca="1">AI351*SUMIFS(INDEX(Сценарии!$AE$25:$BF$109,,MATCH(AG$8,Сценарии!$AE$8:$BF$8,0)),Сценарии!$F$25:$F$109,$F352,Сценарии!$G$25:$G$109,"СВФОТ")/100</f>
        <v>0</v>
      </c>
      <c r="AJ352" s="455">
        <v>1116.5999999999999</v>
      </c>
      <c r="AK352" s="552"/>
      <c r="AL352" s="552"/>
      <c r="AM352" s="552"/>
      <c r="AN352" s="552"/>
      <c r="AO352" s="552"/>
      <c r="AP352" s="552"/>
      <c r="AQ352" s="552"/>
      <c r="AR352" s="552"/>
      <c r="AS352" s="552"/>
      <c r="AT352" s="552"/>
      <c r="AU352" s="552"/>
      <c r="AV352" s="552"/>
      <c r="AW352" s="552"/>
      <c r="AX352" s="552"/>
      <c r="AY352" s="552"/>
      <c r="AZ352" s="552"/>
      <c r="BA352" s="552"/>
      <c r="BB352" s="552"/>
      <c r="BC352" s="552"/>
      <c r="BD352" s="552"/>
      <c r="BE352" s="552"/>
      <c r="BF352" s="552"/>
      <c r="BG352" s="552"/>
      <c r="BH352" s="552"/>
      <c r="BI352" s="552"/>
      <c r="BJ352" s="552"/>
      <c r="BK352" s="552"/>
      <c r="BL352" s="552"/>
      <c r="BM352" s="552"/>
      <c r="BN352" s="953" t="s">
        <v>2223</v>
      </c>
      <c r="BO352" s="610" t="str">
        <f ca="1">IF(IFERROR(INDEX(ФОТ!$K$26:$L$102,MATCH($F352&amp;"6komm",ФОТ!$K$26:$K$102,0),2),"")=0,"",IFERROR(INDEX(ФОТ!$K$26:$L$102,MATCH($F352&amp;"6komm",ФОТ!$K$26:$K$102,0),2),""))</f>
        <v/>
      </c>
      <c r="BP352" s="215"/>
      <c r="BS352" s="703" t="s">
        <v>1807</v>
      </c>
    </row>
    <row r="353" spans="1:75" ht="33.75" customHeight="1">
      <c r="E353" s="518">
        <v>33.75</v>
      </c>
      <c r="F353" s="3" t="str" cm="1">
        <f t="array" aca="1" ref="F353" ca="1">OFFSET(E353,-1,1)</f>
        <v>2</v>
      </c>
      <c r="G353" s="2" t="s">
        <v>1225</v>
      </c>
      <c r="H353" s="290"/>
      <c r="I353" s="290" t="s">
        <v>1367</v>
      </c>
      <c r="K353" s="290" t="s">
        <v>1367</v>
      </c>
      <c r="L353" s="44" t="s">
        <v>931</v>
      </c>
      <c r="M353" s="44"/>
      <c r="Q353" s="91" t="s">
        <v>2218</v>
      </c>
      <c r="R353" s="94" t="s">
        <v>2218</v>
      </c>
      <c r="T353" s="365" t="b" cm="1">
        <f t="array" ref="T353">T352</f>
        <v>1</v>
      </c>
      <c r="X353" s="1075"/>
      <c r="Z353" s="1065"/>
      <c r="AB353" s="152" t="s">
        <v>1368</v>
      </c>
      <c r="AC353" s="153" t="s">
        <v>2004</v>
      </c>
      <c r="AD353" s="26" t="s">
        <v>804</v>
      </c>
      <c r="AE353" s="147">
        <v>0</v>
      </c>
      <c r="AF353" s="147"/>
      <c r="AG353" s="147"/>
      <c r="AH353" s="190">
        <f t="shared" si="89"/>
        <v>0</v>
      </c>
      <c r="AI353" s="952"/>
      <c r="AJ353" s="455"/>
      <c r="AK353" s="552"/>
      <c r="AL353" s="552"/>
      <c r="AM353" s="552"/>
      <c r="AN353" s="552"/>
      <c r="AO353" s="552"/>
      <c r="AP353" s="552"/>
      <c r="AQ353" s="552"/>
      <c r="AR353" s="552"/>
      <c r="AS353" s="552"/>
      <c r="AT353" s="552"/>
      <c r="AU353" s="552"/>
      <c r="AV353" s="552"/>
      <c r="AW353" s="552"/>
      <c r="AX353" s="552"/>
      <c r="AY353" s="552"/>
      <c r="AZ353" s="552"/>
      <c r="BA353" s="552"/>
      <c r="BB353" s="552"/>
      <c r="BC353" s="552"/>
      <c r="BD353" s="552"/>
      <c r="BE353" s="552"/>
      <c r="BF353" s="552"/>
      <c r="BG353" s="552"/>
      <c r="BH353" s="552"/>
      <c r="BI353" s="552"/>
      <c r="BJ353" s="552"/>
      <c r="BK353" s="552"/>
      <c r="BL353" s="552"/>
      <c r="BM353" s="552"/>
      <c r="BN353" s="215"/>
      <c r="BO353" s="610" t="str">
        <f ca="1">IF(IFERROR(INDEX(Административные!$K$26:$L$84,MATCH($F353&amp;"2komm",Административные!$K$26:$K$84,0),2),"")=0,"",IFERROR(INDEX(Административные!$K$26:$L$84,MATCH($F353&amp;"2komm",Административные!$K$26:$K$84,0),2),""))</f>
        <v/>
      </c>
      <c r="BP353" s="215"/>
      <c r="BS353" s="703" t="s">
        <v>1227</v>
      </c>
    </row>
    <row r="354" spans="1:75" ht="14.65" customHeight="1">
      <c r="E354" s="518">
        <v>15</v>
      </c>
      <c r="F354" s="3" t="str" cm="1">
        <f t="array" aca="1" ref="F354" ca="1">OFFSET(E354,-1,1)</f>
        <v>2</v>
      </c>
      <c r="G354" s="2" t="s">
        <v>1228</v>
      </c>
      <c r="H354" s="290"/>
      <c r="I354" s="290" t="s">
        <v>1371</v>
      </c>
      <c r="K354" s="290" t="s">
        <v>1371</v>
      </c>
      <c r="L354" s="44" t="s">
        <v>933</v>
      </c>
      <c r="M354" s="44"/>
      <c r="Q354" s="91" t="s">
        <v>2218</v>
      </c>
      <c r="R354" s="94" t="s">
        <v>2218</v>
      </c>
      <c r="T354" s="365" t="b" cm="1">
        <f t="array" ref="T354">T353</f>
        <v>1</v>
      </c>
      <c r="X354" s="1075"/>
      <c r="Z354" s="1065"/>
      <c r="AB354" s="152" t="s">
        <v>1372</v>
      </c>
      <c r="AC354" s="153" t="s">
        <v>2005</v>
      </c>
      <c r="AD354" s="26" t="s">
        <v>804</v>
      </c>
      <c r="AE354" s="147">
        <v>0</v>
      </c>
      <c r="AF354" s="147"/>
      <c r="AG354" s="147"/>
      <c r="AH354" s="190">
        <f t="shared" si="89"/>
        <v>0</v>
      </c>
      <c r="AI354" s="952"/>
      <c r="AJ354" s="455"/>
      <c r="AK354" s="552"/>
      <c r="AL354" s="552"/>
      <c r="AM354" s="552"/>
      <c r="AN354" s="552"/>
      <c r="AO354" s="552"/>
      <c r="AP354" s="552"/>
      <c r="AQ354" s="552"/>
      <c r="AR354" s="552"/>
      <c r="AS354" s="552"/>
      <c r="AT354" s="552"/>
      <c r="AU354" s="552"/>
      <c r="AV354" s="552"/>
      <c r="AW354" s="552"/>
      <c r="AX354" s="552"/>
      <c r="AY354" s="552"/>
      <c r="AZ354" s="552"/>
      <c r="BA354" s="552"/>
      <c r="BB354" s="552"/>
      <c r="BC354" s="552"/>
      <c r="BD354" s="552"/>
      <c r="BE354" s="552"/>
      <c r="BF354" s="552"/>
      <c r="BG354" s="552"/>
      <c r="BH354" s="552"/>
      <c r="BI354" s="552"/>
      <c r="BJ354" s="552"/>
      <c r="BK354" s="552"/>
      <c r="BL354" s="552"/>
      <c r="BM354" s="552"/>
      <c r="BN354" s="215"/>
      <c r="BO354" s="610" t="str">
        <f ca="1">IF(IFERROR(INDEX(Административные!$K$26:$L$84,MATCH($F354&amp;"3komm",Административные!$K$26:$K$84,0),2),"")=0,"",IFERROR(INDEX(Административные!$K$26:$L$84,MATCH($F354&amp;"3komm",Административные!$K$26:$K$84,0),2),""))</f>
        <v/>
      </c>
      <c r="BP354" s="215"/>
      <c r="BS354" s="703" t="s">
        <v>1230</v>
      </c>
    </row>
    <row r="355" spans="1:75" ht="14.65" customHeight="1">
      <c r="E355" s="518">
        <v>15</v>
      </c>
      <c r="F355" s="3" t="str" cm="1">
        <f t="array" aca="1" ref="F355" ca="1">OFFSET(E355,-1,1)</f>
        <v>2</v>
      </c>
      <c r="G355" s="2" t="s">
        <v>1231</v>
      </c>
      <c r="H355" s="290"/>
      <c r="I355" s="290" t="s">
        <v>2006</v>
      </c>
      <c r="K355" s="290" t="s">
        <v>2006</v>
      </c>
      <c r="L355" s="44" t="s">
        <v>936</v>
      </c>
      <c r="M355" s="44"/>
      <c r="Q355" s="91" t="s">
        <v>2218</v>
      </c>
      <c r="R355" s="94" t="s">
        <v>2218</v>
      </c>
      <c r="T355" s="365" t="b" cm="1">
        <f t="array" ref="T355">T354</f>
        <v>1</v>
      </c>
      <c r="X355" s="1075"/>
      <c r="Z355" s="1065"/>
      <c r="AB355" s="152" t="s">
        <v>2007</v>
      </c>
      <c r="AC355" s="153" t="s">
        <v>2008</v>
      </c>
      <c r="AD355" s="26" t="s">
        <v>804</v>
      </c>
      <c r="AE355" s="147">
        <v>25.465</v>
      </c>
      <c r="AF355" s="147">
        <v>0.93</v>
      </c>
      <c r="AG355" s="147" cm="1">
        <f t="array" ref="AG355">AE355</f>
        <v>25.465</v>
      </c>
      <c r="AH355" s="190">
        <f t="shared" si="89"/>
        <v>24.535</v>
      </c>
      <c r="AI355" s="952"/>
      <c r="AJ355" s="455">
        <v>30.79</v>
      </c>
      <c r="AK355" s="552"/>
      <c r="AL355" s="552"/>
      <c r="AM355" s="552"/>
      <c r="AN355" s="552"/>
      <c r="AO355" s="552"/>
      <c r="AP355" s="552"/>
      <c r="AQ355" s="552"/>
      <c r="AR355" s="552"/>
      <c r="AS355" s="552"/>
      <c r="AT355" s="552"/>
      <c r="AU355" s="552"/>
      <c r="AV355" s="552"/>
      <c r="AW355" s="552"/>
      <c r="AX355" s="552"/>
      <c r="AY355" s="552"/>
      <c r="AZ355" s="552"/>
      <c r="BA355" s="552"/>
      <c r="BB355" s="552"/>
      <c r="BC355" s="552"/>
      <c r="BD355" s="552"/>
      <c r="BE355" s="552"/>
      <c r="BF355" s="552"/>
      <c r="BG355" s="552"/>
      <c r="BH355" s="552"/>
      <c r="BI355" s="552"/>
      <c r="BJ355" s="552"/>
      <c r="BK355" s="552"/>
      <c r="BL355" s="552"/>
      <c r="BM355" s="552"/>
      <c r="BN355" s="953" t="s">
        <v>2261</v>
      </c>
      <c r="BO355" s="610" t="str">
        <f ca="1">IF(IFERROR(INDEX(Административные!$K$26:$L$84,MATCH($F355&amp;"4komm",Административные!$K$26:$K$84,0),2),"")=0,"",IFERROR(INDEX(Административные!$K$26:$L$84,MATCH($F355&amp;"4komm",Административные!$K$26:$K$84,0),2),""))</f>
        <v/>
      </c>
      <c r="BP355" s="215"/>
      <c r="BS355" s="703" t="s">
        <v>1233</v>
      </c>
    </row>
    <row r="356" spans="1:75" ht="14.65" customHeight="1">
      <c r="E356" s="518">
        <v>15</v>
      </c>
      <c r="F356" s="3" t="str" cm="1">
        <f t="array" aca="1" ref="F356" ca="1">OFFSET(E356,-1,1)</f>
        <v>2</v>
      </c>
      <c r="G356" s="2" t="s">
        <v>1234</v>
      </c>
      <c r="H356" s="290"/>
      <c r="I356" s="290" t="s">
        <v>2009</v>
      </c>
      <c r="K356" s="290" t="s">
        <v>2009</v>
      </c>
      <c r="L356" s="44" t="s">
        <v>1216</v>
      </c>
      <c r="M356" s="44"/>
      <c r="Q356" s="91" t="s">
        <v>2218</v>
      </c>
      <c r="R356" s="94" t="s">
        <v>2218</v>
      </c>
      <c r="T356" s="365" t="b" cm="1">
        <f t="array" ref="T356">T355</f>
        <v>1</v>
      </c>
      <c r="X356" s="1075"/>
      <c r="Z356" s="1065"/>
      <c r="AB356" s="152" t="s">
        <v>2010</v>
      </c>
      <c r="AC356" s="153" t="s">
        <v>2011</v>
      </c>
      <c r="AD356" s="26" t="s">
        <v>804</v>
      </c>
      <c r="AE356" s="147">
        <v>0</v>
      </c>
      <c r="AF356" s="147"/>
      <c r="AG356" s="147"/>
      <c r="AH356" s="190">
        <f t="shared" si="89"/>
        <v>0</v>
      </c>
      <c r="AI356" s="952"/>
      <c r="AJ356" s="455"/>
      <c r="AK356" s="552"/>
      <c r="AL356" s="552"/>
      <c r="AM356" s="552"/>
      <c r="AN356" s="552"/>
      <c r="AO356" s="552"/>
      <c r="AP356" s="552"/>
      <c r="AQ356" s="552"/>
      <c r="AR356" s="552"/>
      <c r="AS356" s="552"/>
      <c r="AT356" s="552"/>
      <c r="AU356" s="552"/>
      <c r="AV356" s="552"/>
      <c r="AW356" s="552"/>
      <c r="AX356" s="552"/>
      <c r="AY356" s="552"/>
      <c r="AZ356" s="552"/>
      <c r="BA356" s="552"/>
      <c r="BB356" s="552"/>
      <c r="BC356" s="552"/>
      <c r="BD356" s="552"/>
      <c r="BE356" s="552"/>
      <c r="BF356" s="552"/>
      <c r="BG356" s="552"/>
      <c r="BH356" s="552"/>
      <c r="BI356" s="552"/>
      <c r="BJ356" s="552"/>
      <c r="BK356" s="552"/>
      <c r="BL356" s="552"/>
      <c r="BM356" s="552"/>
      <c r="BN356" s="215"/>
      <c r="BO356" s="610" t="str">
        <f ca="1">IF(IFERROR(INDEX(Административные!$K$26:$L$84,MATCH($F356&amp;"5komm",Административные!$K$26:$K$84,0),2),"")=0,"",IFERROR(INDEX(Административные!$K$26:$L$84,MATCH($F356&amp;"5komm",Административные!$K$26:$K$84,0),2),""))</f>
        <v/>
      </c>
      <c r="BP356" s="215"/>
      <c r="BS356" s="703" t="s">
        <v>1809</v>
      </c>
    </row>
    <row r="357" spans="1:75" ht="14.25" customHeight="1">
      <c r="E357" s="518">
        <v>15</v>
      </c>
      <c r="F357" s="3" t="str" cm="1">
        <f t="array" aca="1" ref="F357" ca="1">OFFSET(E357,-1,1)</f>
        <v>2</v>
      </c>
      <c r="G357" s="2" t="s">
        <v>1237</v>
      </c>
      <c r="H357" s="290"/>
      <c r="I357" s="290" t="s">
        <v>2012</v>
      </c>
      <c r="K357" s="290" t="s">
        <v>2012</v>
      </c>
      <c r="L357" s="44" t="s">
        <v>1221</v>
      </c>
      <c r="M357" s="44"/>
      <c r="Q357" s="91" t="s">
        <v>2218</v>
      </c>
      <c r="R357" s="94" t="s">
        <v>2218</v>
      </c>
      <c r="T357" s="365" t="b" cm="1">
        <f t="array" ref="T357">T356</f>
        <v>1</v>
      </c>
      <c r="X357" s="1075"/>
      <c r="Z357" s="1065"/>
      <c r="AB357" s="152" t="s">
        <v>2013</v>
      </c>
      <c r="AC357" s="153" t="s">
        <v>2014</v>
      </c>
      <c r="AD357" s="26" t="s">
        <v>804</v>
      </c>
      <c r="AE357" s="190">
        <f>SUM(AE358:AE360)</f>
        <v>0</v>
      </c>
      <c r="AF357" s="190">
        <f>SUM(AF358:AF360)</f>
        <v>0</v>
      </c>
      <c r="AG357" s="190">
        <f>SUM(AG358:AG360)</f>
        <v>0</v>
      </c>
      <c r="AH357" s="190">
        <f t="shared" si="89"/>
        <v>0</v>
      </c>
      <c r="AI357" s="952">
        <f>SUM(AI358:AI360)</f>
        <v>0</v>
      </c>
      <c r="AJ357" s="455"/>
      <c r="AK357" s="552"/>
      <c r="AL357" s="552"/>
      <c r="AM357" s="552"/>
      <c r="AN357" s="552"/>
      <c r="AO357" s="552"/>
      <c r="AP357" s="552"/>
      <c r="AQ357" s="552"/>
      <c r="AR357" s="552"/>
      <c r="AS357" s="552"/>
      <c r="AT357" s="552"/>
      <c r="AU357" s="552"/>
      <c r="AV357" s="552"/>
      <c r="AW357" s="552"/>
      <c r="AX357" s="552"/>
      <c r="AY357" s="552"/>
      <c r="AZ357" s="552"/>
      <c r="BA357" s="552"/>
      <c r="BB357" s="552"/>
      <c r="BC357" s="552"/>
      <c r="BD357" s="552"/>
      <c r="BE357" s="552"/>
      <c r="BF357" s="552"/>
      <c r="BG357" s="552"/>
      <c r="BH357" s="552"/>
      <c r="BI357" s="552"/>
      <c r="BJ357" s="552"/>
      <c r="BK357" s="552"/>
      <c r="BL357" s="552"/>
      <c r="BM357" s="552"/>
      <c r="BN357" s="215"/>
      <c r="BO357" s="610" t="str">
        <f ca="1">IF(IFERROR(INDEX(Административные!$K$26:$L$84,MATCH($F357&amp;"6komm",Административные!$K$26:$K$84,0),2),"")=0,"",IFERROR(INDEX(Административные!$K$26:$L$84,MATCH($F357&amp;"6komm",Административные!$K$26:$K$84,0),2),""))</f>
        <v/>
      </c>
      <c r="BP357" s="215"/>
      <c r="BS357" s="703" t="s">
        <v>1811</v>
      </c>
    </row>
    <row r="358" spans="1:75" ht="0" hidden="1" customHeight="1">
      <c r="E358" s="518">
        <v>15</v>
      </c>
      <c r="F358" s="3" t="str" cm="1">
        <f t="array" aca="1" ref="F358" ca="1">OFFSET(E358,-1,1)</f>
        <v>2</v>
      </c>
      <c r="G358" s="2" t="s">
        <v>1239</v>
      </c>
      <c r="H358" s="290"/>
      <c r="I358" s="290" t="s">
        <v>2015</v>
      </c>
      <c r="K358" s="290" t="s">
        <v>2015</v>
      </c>
      <c r="L358" s="44" t="s">
        <v>1812</v>
      </c>
      <c r="M358" s="44"/>
      <c r="Q358" s="91" t="s">
        <v>2218</v>
      </c>
      <c r="R358" s="94" t="s">
        <v>2218</v>
      </c>
      <c r="T358" s="365" t="b" cm="1">
        <f t="array" ref="T358">T357</f>
        <v>1</v>
      </c>
      <c r="X358" s="1075"/>
      <c r="Z358" s="1065"/>
      <c r="AB358" s="152" t="s">
        <v>2016</v>
      </c>
      <c r="AC358" s="553" t="s">
        <v>1814</v>
      </c>
      <c r="AD358" s="26" t="s">
        <v>804</v>
      </c>
      <c r="AE358" s="147">
        <v>0</v>
      </c>
      <c r="AF358" s="147"/>
      <c r="AG358" s="147"/>
      <c r="AH358" s="190">
        <f t="shared" si="89"/>
        <v>0</v>
      </c>
      <c r="AI358" s="952"/>
      <c r="AJ358" s="455"/>
      <c r="AK358" s="552"/>
      <c r="AL358" s="552"/>
      <c r="AM358" s="552"/>
      <c r="AN358" s="552"/>
      <c r="AO358" s="552"/>
      <c r="AP358" s="552"/>
      <c r="AQ358" s="552"/>
      <c r="AR358" s="552"/>
      <c r="AS358" s="552"/>
      <c r="AT358" s="552"/>
      <c r="AU358" s="552"/>
      <c r="AV358" s="552"/>
      <c r="AW358" s="552"/>
      <c r="AX358" s="552"/>
      <c r="AY358" s="552"/>
      <c r="AZ358" s="552"/>
      <c r="BA358" s="552"/>
      <c r="BB358" s="552"/>
      <c r="BC358" s="552"/>
      <c r="BD358" s="552"/>
      <c r="BE358" s="552"/>
      <c r="BF358" s="552"/>
      <c r="BG358" s="552"/>
      <c r="BH358" s="552"/>
      <c r="BI358" s="552"/>
      <c r="BJ358" s="552"/>
      <c r="BK358" s="552"/>
      <c r="BL358" s="552"/>
      <c r="BM358" s="552"/>
      <c r="BN358" s="215"/>
      <c r="BO358" s="610" t="str">
        <f ca="1">IF(IFERROR(INDEX(Административные!$K$26:$L$84,MATCH($F358&amp;"7komm",Административные!$K$26:$K$84,0),2),"")=0,"",IFERROR(INDEX(Административные!$K$26:$L$84,MATCH($F358&amp;"7komm",Административные!$K$26:$K$84,0),2),""))</f>
        <v/>
      </c>
      <c r="BP358" s="215"/>
      <c r="BS358" s="703" t="s">
        <v>1815</v>
      </c>
    </row>
    <row r="359" spans="1:75" ht="0" hidden="1" customHeight="1">
      <c r="E359" s="518">
        <v>15</v>
      </c>
      <c r="F359" s="3" t="str" cm="1">
        <f t="array" aca="1" ref="F359" ca="1">OFFSET(E359,-1,1)</f>
        <v>2</v>
      </c>
      <c r="G359" s="2" t="s">
        <v>1242</v>
      </c>
      <c r="H359" s="290"/>
      <c r="I359" s="290" t="s">
        <v>2017</v>
      </c>
      <c r="K359" s="290" t="s">
        <v>2017</v>
      </c>
      <c r="L359" s="44" t="s">
        <v>1816</v>
      </c>
      <c r="M359" s="44"/>
      <c r="Q359" s="91" t="s">
        <v>2218</v>
      </c>
      <c r="R359" s="94" t="s">
        <v>2218</v>
      </c>
      <c r="T359" s="365" t="b" cm="1">
        <f t="array" ref="T359">T358</f>
        <v>1</v>
      </c>
      <c r="X359" s="1075"/>
      <c r="Z359" s="1065"/>
      <c r="AB359" s="152" t="s">
        <v>2018</v>
      </c>
      <c r="AC359" s="553" t="s">
        <v>1243</v>
      </c>
      <c r="AD359" s="26" t="s">
        <v>804</v>
      </c>
      <c r="AE359" s="147">
        <v>0</v>
      </c>
      <c r="AF359" s="147"/>
      <c r="AG359" s="147"/>
      <c r="AH359" s="190">
        <f t="shared" si="89"/>
        <v>0</v>
      </c>
      <c r="AI359" s="952"/>
      <c r="AJ359" s="455"/>
      <c r="AK359" s="552"/>
      <c r="AL359" s="552"/>
      <c r="AM359" s="552"/>
      <c r="AN359" s="552"/>
      <c r="AO359" s="552"/>
      <c r="AP359" s="552"/>
      <c r="AQ359" s="552"/>
      <c r="AR359" s="552"/>
      <c r="AS359" s="552"/>
      <c r="AT359" s="552"/>
      <c r="AU359" s="552"/>
      <c r="AV359" s="552"/>
      <c r="AW359" s="552"/>
      <c r="AX359" s="552"/>
      <c r="AY359" s="552"/>
      <c r="AZ359" s="552"/>
      <c r="BA359" s="552"/>
      <c r="BB359" s="552"/>
      <c r="BC359" s="552"/>
      <c r="BD359" s="552"/>
      <c r="BE359" s="552"/>
      <c r="BF359" s="552"/>
      <c r="BG359" s="552"/>
      <c r="BH359" s="552"/>
      <c r="BI359" s="552"/>
      <c r="BJ359" s="552"/>
      <c r="BK359" s="552"/>
      <c r="BL359" s="552"/>
      <c r="BM359" s="552"/>
      <c r="BN359" s="215"/>
      <c r="BO359" s="610" t="str">
        <f ca="1">IF(IFERROR(INDEX(Административные!$K$26:$L$84,MATCH($F359&amp;"8komm",Административные!$K$26:$K$84,0),2),"")=0,"",IFERROR(INDEX(Административные!$K$26:$L$84,MATCH($F359&amp;"8komm",Административные!$K$26:$K$84,0),2),""))</f>
        <v/>
      </c>
      <c r="BP359" s="215"/>
      <c r="BS359" s="703" t="s">
        <v>1818</v>
      </c>
    </row>
    <row r="360" spans="1:75" ht="0" hidden="1" customHeight="1">
      <c r="E360" s="518">
        <v>15</v>
      </c>
      <c r="F360" s="3" t="str" cm="1">
        <f t="array" aca="1" ref="F360" ca="1">OFFSET(E360,-1,1)</f>
        <v>2</v>
      </c>
      <c r="G360" s="91" t="s">
        <v>1245</v>
      </c>
      <c r="H360" s="290"/>
      <c r="I360" s="290" t="s">
        <v>2019</v>
      </c>
      <c r="K360" s="290" t="s">
        <v>2019</v>
      </c>
      <c r="L360" s="44" t="s">
        <v>1819</v>
      </c>
      <c r="M360" s="44"/>
      <c r="Q360" s="91" t="s">
        <v>2218</v>
      </c>
      <c r="R360" s="94" t="s">
        <v>2218</v>
      </c>
      <c r="T360" s="365" t="b" cm="1">
        <f t="array" ref="T360">T359</f>
        <v>1</v>
      </c>
      <c r="X360" s="1075"/>
      <c r="Z360" s="1065"/>
      <c r="AB360" s="152" t="s">
        <v>2020</v>
      </c>
      <c r="AC360" s="553" t="s">
        <v>1246</v>
      </c>
      <c r="AD360" s="26" t="s">
        <v>804</v>
      </c>
      <c r="AE360" s="147">
        <v>0</v>
      </c>
      <c r="AF360" s="147"/>
      <c r="AG360" s="147"/>
      <c r="AH360" s="190">
        <f t="shared" si="89"/>
        <v>0</v>
      </c>
      <c r="AI360" s="952"/>
      <c r="AJ360" s="455"/>
      <c r="AK360" s="552"/>
      <c r="AL360" s="552"/>
      <c r="AM360" s="552"/>
      <c r="AN360" s="552"/>
      <c r="AO360" s="552"/>
      <c r="AP360" s="552"/>
      <c r="AQ360" s="552"/>
      <c r="AR360" s="552"/>
      <c r="AS360" s="552"/>
      <c r="AT360" s="552"/>
      <c r="AU360" s="552"/>
      <c r="AV360" s="552"/>
      <c r="AW360" s="552"/>
      <c r="AX360" s="552"/>
      <c r="AY360" s="552"/>
      <c r="AZ360" s="552"/>
      <c r="BA360" s="552"/>
      <c r="BB360" s="552"/>
      <c r="BC360" s="552"/>
      <c r="BD360" s="552"/>
      <c r="BE360" s="552"/>
      <c r="BF360" s="552"/>
      <c r="BG360" s="552"/>
      <c r="BH360" s="552"/>
      <c r="BI360" s="552"/>
      <c r="BJ360" s="552"/>
      <c r="BK360" s="552"/>
      <c r="BL360" s="552"/>
      <c r="BM360" s="552"/>
      <c r="BN360" s="215"/>
      <c r="BO360" s="610" t="str">
        <f ca="1">IF(IFERROR(INDEX(Административные!$K$26:$L$84,MATCH($F360&amp;"9komm",Административные!$K$26:$K$84,0),2),"")=0,"",IFERROR(INDEX(Административные!$K$26:$L$84,MATCH($F360&amp;"9komm",Административные!$K$26:$K$84,0),2),""))</f>
        <v/>
      </c>
      <c r="BP360" s="215"/>
      <c r="BS360" s="703" t="s">
        <v>1821</v>
      </c>
    </row>
    <row r="361" spans="1:75" ht="0" hidden="1" customHeight="1">
      <c r="B361" s="341" t="b">
        <f>STATUS_GO="да"</f>
        <v>0</v>
      </c>
      <c r="E361" s="518">
        <v>22.5</v>
      </c>
      <c r="F361" s="3" t="str" cm="1">
        <f t="array" aca="1" ref="F361" ca="1">OFFSET(E361,-1,1)</f>
        <v>2</v>
      </c>
      <c r="H361" s="290"/>
      <c r="I361" s="290" t="s">
        <v>909</v>
      </c>
      <c r="K361" s="290" t="s">
        <v>909</v>
      </c>
      <c r="L361" s="44" t="s">
        <v>331</v>
      </c>
      <c r="M361" s="44"/>
      <c r="Q361" s="91" t="s">
        <v>2218</v>
      </c>
      <c r="R361" s="94" t="s">
        <v>2218</v>
      </c>
      <c r="T361" s="365" t="b" cm="1">
        <f t="array" ref="T361">T360</f>
        <v>1</v>
      </c>
      <c r="X361" s="1075"/>
      <c r="Z361" s="1065"/>
      <c r="AB361" s="152" t="s">
        <v>910</v>
      </c>
      <c r="AC361" s="146" t="s">
        <v>2021</v>
      </c>
      <c r="AD361" s="26" t="s">
        <v>804</v>
      </c>
      <c r="AE361" s="787">
        <v>0</v>
      </c>
      <c r="AF361" s="787"/>
      <c r="AG361" s="787"/>
      <c r="AH361" s="190">
        <f t="shared" si="89"/>
        <v>0</v>
      </c>
      <c r="AI361" s="952"/>
      <c r="AJ361" s="785"/>
      <c r="AK361" s="552"/>
      <c r="AL361" s="552"/>
      <c r="AM361" s="552"/>
      <c r="AN361" s="552"/>
      <c r="AO361" s="552"/>
      <c r="AP361" s="552"/>
      <c r="AQ361" s="552"/>
      <c r="AR361" s="552"/>
      <c r="AS361" s="552"/>
      <c r="AT361" s="552"/>
      <c r="AU361" s="552"/>
      <c r="AV361" s="552"/>
      <c r="AW361" s="552"/>
      <c r="AX361" s="552"/>
      <c r="AY361" s="552"/>
      <c r="AZ361" s="552"/>
      <c r="BA361" s="552"/>
      <c r="BB361" s="552"/>
      <c r="BC361" s="552"/>
      <c r="BD361" s="552"/>
      <c r="BE361" s="552"/>
      <c r="BF361" s="552"/>
      <c r="BG361" s="552"/>
      <c r="BH361" s="552"/>
      <c r="BI361" s="552"/>
      <c r="BJ361" s="552"/>
      <c r="BK361" s="552"/>
      <c r="BL361" s="552"/>
      <c r="BM361" s="552"/>
      <c r="BN361" s="784"/>
      <c r="BO361" s="784"/>
      <c r="BP361" s="784"/>
      <c r="BS361" s="704" t="s">
        <v>1823</v>
      </c>
    </row>
    <row r="362" spans="1:75" ht="0" hidden="1" customHeight="1">
      <c r="E362" s="518">
        <v>15</v>
      </c>
      <c r="F362" s="3" t="str" cm="1">
        <f t="array" aca="1" ref="F362" ca="1">OFFSET(E362,-1,1)</f>
        <v>2</v>
      </c>
      <c r="H362" s="290"/>
      <c r="I362" s="290" t="s">
        <v>1762</v>
      </c>
      <c r="K362" s="290" t="s">
        <v>1762</v>
      </c>
      <c r="L362" s="44"/>
      <c r="M362" s="44"/>
      <c r="Q362" s="91" t="s">
        <v>2218</v>
      </c>
      <c r="R362" s="94" t="s">
        <v>2218</v>
      </c>
      <c r="T362" s="365" t="b" cm="1">
        <f t="array" ref="T362">T361</f>
        <v>1</v>
      </c>
      <c r="X362" s="1075"/>
      <c r="Z362" s="1065"/>
      <c r="AB362" s="152" t="s">
        <v>1763</v>
      </c>
      <c r="AC362" s="146" t="s">
        <v>2022</v>
      </c>
      <c r="AD362" s="26" t="s">
        <v>804</v>
      </c>
      <c r="AE362" s="147"/>
      <c r="AF362" s="147"/>
      <c r="AG362" s="147"/>
      <c r="AH362" s="190">
        <f t="shared" si="89"/>
        <v>0</v>
      </c>
      <c r="AI362" s="952"/>
      <c r="AJ362" s="455"/>
      <c r="AK362" s="552"/>
      <c r="AL362" s="552"/>
      <c r="AM362" s="552"/>
      <c r="AN362" s="552"/>
      <c r="AO362" s="552"/>
      <c r="AP362" s="552"/>
      <c r="AQ362" s="552"/>
      <c r="AR362" s="552"/>
      <c r="AS362" s="552"/>
      <c r="AT362" s="552"/>
      <c r="AU362" s="552"/>
      <c r="AV362" s="552"/>
      <c r="AW362" s="552"/>
      <c r="AX362" s="552"/>
      <c r="AY362" s="552"/>
      <c r="AZ362" s="552"/>
      <c r="BA362" s="552"/>
      <c r="BB362" s="552"/>
      <c r="BC362" s="552"/>
      <c r="BD362" s="552"/>
      <c r="BE362" s="552"/>
      <c r="BF362" s="552"/>
      <c r="BG362" s="552"/>
      <c r="BH362" s="552"/>
      <c r="BI362" s="552"/>
      <c r="BJ362" s="552"/>
      <c r="BK362" s="552"/>
      <c r="BL362" s="552"/>
      <c r="BM362" s="552"/>
      <c r="BN362" s="215"/>
      <c r="BO362" s="215"/>
      <c r="BP362" s="215"/>
      <c r="BS362" s="705" t="s">
        <v>2023</v>
      </c>
    </row>
    <row r="363" spans="1:75" s="950" customFormat="1" ht="0" hidden="1" customHeight="1">
      <c r="A363" s="95"/>
      <c r="B363" s="344"/>
      <c r="C363" s="95"/>
      <c r="D363" s="95"/>
      <c r="E363" s="522">
        <v>21</v>
      </c>
      <c r="F363" s="3" t="str" cm="1">
        <f t="array" aca="1" ref="F363" ca="1">OFFSET(E363,-1,1)</f>
        <v>2</v>
      </c>
      <c r="G363" s="95"/>
      <c r="H363" s="290"/>
      <c r="I363" s="290" t="s">
        <v>1766</v>
      </c>
      <c r="J363" s="95"/>
      <c r="K363" s="290" t="s">
        <v>1766</v>
      </c>
      <c r="L363" s="46"/>
      <c r="M363" s="46"/>
      <c r="N363" s="95"/>
      <c r="O363" s="95"/>
      <c r="P363" s="95"/>
      <c r="Q363" s="91" t="s">
        <v>2218</v>
      </c>
      <c r="R363" s="94" t="s">
        <v>2218</v>
      </c>
      <c r="S363" s="95"/>
      <c r="T363" s="365" t="b" cm="1">
        <f t="array" ref="T363">T362</f>
        <v>1</v>
      </c>
      <c r="U363" s="95"/>
      <c r="V363" s="95"/>
      <c r="W363" s="95"/>
      <c r="X363" s="1075"/>
      <c r="Y363" s="95"/>
      <c r="Z363" s="1065"/>
      <c r="AA363" s="95"/>
      <c r="AB363" s="150" t="s">
        <v>1767</v>
      </c>
      <c r="AC363" s="276" t="s">
        <v>2024</v>
      </c>
      <c r="AD363" s="143" t="s">
        <v>804</v>
      </c>
      <c r="AE363" s="145">
        <f>SUM(AE364:AE365)</f>
        <v>0</v>
      </c>
      <c r="AF363" s="145">
        <f>SUM(AF364:AF365)</f>
        <v>0</v>
      </c>
      <c r="AG363" s="145">
        <f>SUM(AG364:AG365)</f>
        <v>0</v>
      </c>
      <c r="AH363" s="145">
        <f t="shared" si="89"/>
        <v>0</v>
      </c>
      <c r="AI363" s="951">
        <f>SUM(AI364:AI365)</f>
        <v>0</v>
      </c>
      <c r="AJ363" s="455"/>
      <c r="AK363" s="148"/>
      <c r="AL363" s="148"/>
      <c r="AM363" s="148"/>
      <c r="AN363" s="148"/>
      <c r="AO363" s="148"/>
      <c r="AP363" s="148"/>
      <c r="AQ363" s="148"/>
      <c r="AR363" s="148"/>
      <c r="AS363" s="148"/>
      <c r="AT363" s="552"/>
      <c r="AU363" s="552"/>
      <c r="AV363" s="148"/>
      <c r="AW363" s="148"/>
      <c r="AX363" s="148"/>
      <c r="AY363" s="148"/>
      <c r="AZ363" s="148"/>
      <c r="BA363" s="148"/>
      <c r="BB363" s="148"/>
      <c r="BC363" s="148"/>
      <c r="BD363" s="148"/>
      <c r="BE363" s="148"/>
      <c r="BF363" s="148"/>
      <c r="BG363" s="148"/>
      <c r="BH363" s="148"/>
      <c r="BI363" s="148"/>
      <c r="BJ363" s="148"/>
      <c r="BK363" s="148"/>
      <c r="BL363" s="148"/>
      <c r="BM363" s="148"/>
      <c r="BN363" s="566"/>
      <c r="BO363" s="566"/>
      <c r="BP363" s="566"/>
      <c r="BQ363" s="95"/>
      <c r="BR363" s="95"/>
      <c r="BS363" s="711" t="s">
        <v>2025</v>
      </c>
      <c r="BT363" s="711"/>
      <c r="BU363" s="711"/>
      <c r="BV363" s="522"/>
      <c r="BW363" s="522"/>
    </row>
    <row r="364" spans="1:75" ht="0" hidden="1" customHeight="1">
      <c r="E364" s="518">
        <v>15</v>
      </c>
      <c r="F364" s="3" t="str" cm="1">
        <f t="array" aca="1" ref="F364" ca="1">OFFSET(E364,-1,1)</f>
        <v>2</v>
      </c>
      <c r="I364" s="290" t="s">
        <v>1766</v>
      </c>
      <c r="J364" s="91" cm="1">
        <f t="array" ref="J364">AC364</f>
        <v>0</v>
      </c>
      <c r="K364" s="290" t="s">
        <v>1766</v>
      </c>
      <c r="L364" s="44"/>
      <c r="M364" s="44"/>
      <c r="Q364" s="91" t="s">
        <v>2218</v>
      </c>
      <c r="R364" s="94" t="s">
        <v>2218</v>
      </c>
      <c r="T364" s="365" t="b">
        <f ca="1">AND(F364&gt;0,Y364&gt;0)</f>
        <v>0</v>
      </c>
      <c r="W364" s="91" t="s">
        <v>173</v>
      </c>
      <c r="X364" s="1075"/>
      <c r="Y364" s="91">
        <v>0</v>
      </c>
      <c r="Z364" s="1065"/>
      <c r="AA364" s="332" t="s">
        <v>174</v>
      </c>
      <c r="AB364" s="26" t="str">
        <f>"1.7."&amp;Y364</f>
        <v>1.7.0</v>
      </c>
      <c r="AC364" s="789"/>
      <c r="AD364" s="26" t="s">
        <v>804</v>
      </c>
      <c r="AE364" s="787"/>
      <c r="AF364" s="787"/>
      <c r="AG364" s="787"/>
      <c r="AH364" s="190">
        <f t="shared" si="89"/>
        <v>0</v>
      </c>
      <c r="AI364" s="952"/>
      <c r="AJ364" s="787"/>
      <c r="AK364" s="552"/>
      <c r="AL364" s="552"/>
      <c r="AM364" s="552"/>
      <c r="AN364" s="552"/>
      <c r="AO364" s="552"/>
      <c r="AP364" s="552"/>
      <c r="AQ364" s="552"/>
      <c r="AR364" s="552"/>
      <c r="AS364" s="552"/>
      <c r="AT364" s="552"/>
      <c r="AU364" s="552"/>
      <c r="AV364" s="552"/>
      <c r="AW364" s="552"/>
      <c r="AX364" s="552"/>
      <c r="AY364" s="552"/>
      <c r="AZ364" s="552"/>
      <c r="BA364" s="552"/>
      <c r="BB364" s="552"/>
      <c r="BC364" s="552"/>
      <c r="BD364" s="148"/>
      <c r="BE364" s="552"/>
      <c r="BF364" s="552"/>
      <c r="BG364" s="552"/>
      <c r="BH364" s="552"/>
      <c r="BI364" s="552"/>
      <c r="BJ364" s="552"/>
      <c r="BK364" s="552"/>
      <c r="BL364" s="552"/>
      <c r="BM364" s="552"/>
      <c r="BN364" s="784"/>
      <c r="BO364" s="784"/>
      <c r="BP364" s="784"/>
      <c r="BS364" s="705" t="s">
        <v>2025</v>
      </c>
      <c r="BT364" s="705" t="s">
        <v>2026</v>
      </c>
      <c r="BU364" s="705" cm="1">
        <f t="array" ref="BU364">AC364</f>
        <v>0</v>
      </c>
      <c r="BW364" s="518" t="b">
        <v>1</v>
      </c>
    </row>
    <row r="365" spans="1:75" ht="0" hidden="1" customHeight="1">
      <c r="E365" s="518">
        <v>15</v>
      </c>
      <c r="F365" s="3" t="str" cm="1">
        <f t="array" aca="1" ref="F365" ca="1">OFFSET(E365,-1,1)</f>
        <v>2</v>
      </c>
      <c r="G365" s="279"/>
      <c r="J365" s="91" t="s">
        <v>2027</v>
      </c>
      <c r="L365" s="44"/>
      <c r="M365" s="44"/>
      <c r="T365" s="365" t="b">
        <f ca="1">F365&gt;0</f>
        <v>1</v>
      </c>
      <c r="W365" s="517" t="s">
        <v>2219</v>
      </c>
      <c r="X365" s="1075"/>
      <c r="Z365" s="1065"/>
      <c r="AB365" s="556"/>
      <c r="AC365" s="191" t="s">
        <v>177</v>
      </c>
      <c r="AD365" s="557"/>
      <c r="AE365" s="557"/>
      <c r="AF365" s="557"/>
      <c r="AG365" s="557"/>
      <c r="AH365" s="557"/>
      <c r="AI365" s="557"/>
      <c r="AJ365" s="557"/>
      <c r="AK365" s="557"/>
      <c r="AL365" s="557"/>
      <c r="AM365" s="557"/>
      <c r="AN365" s="557"/>
      <c r="AO365" s="557"/>
      <c r="AP365" s="557"/>
      <c r="AQ365" s="557"/>
      <c r="AR365" s="557"/>
      <c r="AS365" s="557"/>
      <c r="AT365" s="557"/>
      <c r="AU365" s="557"/>
      <c r="AV365" s="557"/>
      <c r="AW365" s="557"/>
      <c r="AX365" s="557"/>
      <c r="AY365" s="557"/>
      <c r="AZ365" s="557"/>
      <c r="BA365" s="557"/>
      <c r="BB365" s="557"/>
      <c r="BC365" s="557"/>
      <c r="BD365" s="557"/>
      <c r="BE365" s="557"/>
      <c r="BF365" s="557"/>
      <c r="BG365" s="557"/>
      <c r="BH365" s="557"/>
      <c r="BI365" s="557"/>
      <c r="BJ365" s="557"/>
      <c r="BK365" s="557"/>
      <c r="BL365" s="557"/>
      <c r="BM365" s="557"/>
      <c r="BN365" s="557"/>
      <c r="BO365" s="557"/>
      <c r="BP365" s="558"/>
      <c r="BV365" s="518" t="s">
        <v>2026</v>
      </c>
    </row>
    <row r="366" spans="1:75" s="950" customFormat="1" ht="12.75" customHeight="1">
      <c r="A366" s="95"/>
      <c r="B366" s="344"/>
      <c r="C366" s="95"/>
      <c r="D366" s="95"/>
      <c r="E366" s="522">
        <v>21</v>
      </c>
      <c r="F366" s="3" t="str" cm="1">
        <f t="array" aca="1" ref="F366" ca="1">OFFSET(E366,-1,1)</f>
        <v>2</v>
      </c>
      <c r="G366" s="95"/>
      <c r="H366" s="91"/>
      <c r="I366" s="91" t="s">
        <v>328</v>
      </c>
      <c r="J366" s="95"/>
      <c r="K366" s="91" t="s">
        <v>328</v>
      </c>
      <c r="L366" s="46"/>
      <c r="M366" s="46"/>
      <c r="N366" s="95"/>
      <c r="O366" s="95"/>
      <c r="P366" s="95"/>
      <c r="Q366" s="95"/>
      <c r="R366" s="95"/>
      <c r="S366" s="95"/>
      <c r="T366" s="365" t="b" cm="1">
        <f t="array" aca="1" ref="T366" ca="1">T365</f>
        <v>1</v>
      </c>
      <c r="U366" s="95"/>
      <c r="V366" s="95"/>
      <c r="W366" s="95"/>
      <c r="X366" s="1075"/>
      <c r="Y366" s="95"/>
      <c r="Z366" s="1065"/>
      <c r="AA366" s="95"/>
      <c r="AB366" s="179" t="s">
        <v>285</v>
      </c>
      <c r="AC366" s="144" t="s">
        <v>2028</v>
      </c>
      <c r="AD366" s="166" t="s">
        <v>804</v>
      </c>
      <c r="AE366" s="145">
        <f ca="1">AE367+AE379+AE380++AE391+AE392+AE393+AE395+AE396+AE397+AE398+AE401</f>
        <v>1502.5770778756803</v>
      </c>
      <c r="AF366" s="145">
        <f ca="1">AF367+AF379+AF380++AF391+AF392+AF393+AF395+AF396+AF397+AF398+AF401</f>
        <v>1932.4654599999999</v>
      </c>
      <c r="AG366" s="145">
        <f ca="1">AG367+AG379+AG380++AG391+AG392+AG393+AG395+AG396+AG397+AG398+AG401</f>
        <v>1361.60546</v>
      </c>
      <c r="AH366" s="145">
        <f t="shared" ref="AH366:AH411" ca="1" si="90">AG366-AF366</f>
        <v>-570.8599999999999</v>
      </c>
      <c r="AI366" s="145">
        <f t="shared" ref="AI366:BC366" ca="1" si="91">AI367+AI379+AI380++AI391+AI392+AI393+AI395+AI396+AI397+AI398+AI401</f>
        <v>2424.2068970411997</v>
      </c>
      <c r="AJ366" s="145">
        <f t="shared" ca="1" si="91"/>
        <v>2442.8902000000003</v>
      </c>
      <c r="AK366" s="145">
        <f t="shared" ca="1" si="91"/>
        <v>0</v>
      </c>
      <c r="AL366" s="145">
        <f t="shared" ca="1" si="91"/>
        <v>0</v>
      </c>
      <c r="AM366" s="145">
        <f t="shared" ca="1" si="91"/>
        <v>0</v>
      </c>
      <c r="AN366" s="145">
        <f t="shared" ca="1" si="91"/>
        <v>0</v>
      </c>
      <c r="AO366" s="145">
        <f t="shared" ca="1" si="91"/>
        <v>0</v>
      </c>
      <c r="AP366" s="145">
        <f t="shared" ca="1" si="91"/>
        <v>0</v>
      </c>
      <c r="AQ366" s="145">
        <f t="shared" ca="1" si="91"/>
        <v>0</v>
      </c>
      <c r="AR366" s="145">
        <f t="shared" ca="1" si="91"/>
        <v>0</v>
      </c>
      <c r="AS366" s="145">
        <f t="shared" ca="1" si="91"/>
        <v>0</v>
      </c>
      <c r="AT366" s="145">
        <f t="shared" ca="1" si="91"/>
        <v>1778.9782499999999</v>
      </c>
      <c r="AU366" s="145">
        <f t="shared" ca="1" si="91"/>
        <v>0</v>
      </c>
      <c r="AV366" s="145">
        <f t="shared" ca="1" si="91"/>
        <v>0</v>
      </c>
      <c r="AW366" s="145">
        <f t="shared" ca="1" si="91"/>
        <v>0</v>
      </c>
      <c r="AX366" s="145">
        <f t="shared" ca="1" si="91"/>
        <v>0</v>
      </c>
      <c r="AY366" s="145">
        <f t="shared" ca="1" si="91"/>
        <v>0</v>
      </c>
      <c r="AZ366" s="145">
        <f t="shared" ca="1" si="91"/>
        <v>0</v>
      </c>
      <c r="BA366" s="145">
        <f t="shared" ca="1" si="91"/>
        <v>0</v>
      </c>
      <c r="BB366" s="145">
        <f t="shared" ca="1" si="91"/>
        <v>0</v>
      </c>
      <c r="BC366" s="145">
        <f t="shared" ca="1" si="91"/>
        <v>0</v>
      </c>
      <c r="BD366" s="145">
        <f t="shared" ref="BD366:BD411" ca="1" si="92">IF(AI366=0,0,(AT366-AI366)/AI366*100)</f>
        <v>-26.616071748195925</v>
      </c>
      <c r="BE366" s="145">
        <f t="shared" ref="BE366:BE411" ca="1" si="93">IF(AT366=0,0,(AU366-AT366)/AT366*100)</f>
        <v>-100</v>
      </c>
      <c r="BF366" s="145">
        <f t="shared" ref="BF366:BF411" ca="1" si="94">IF(AU366=0,0,(AV366-AU366)/AU366*100)</f>
        <v>0</v>
      </c>
      <c r="BG366" s="145">
        <f t="shared" ref="BG366:BG411" ca="1" si="95">IF(AV366=0,0,(AW366-AV366)/AV366*100)</f>
        <v>0</v>
      </c>
      <c r="BH366" s="145">
        <f t="shared" ref="BH366:BH411" ca="1" si="96">IF(AW366=0,0,(AX366-AW366)/AW366*100)</f>
        <v>0</v>
      </c>
      <c r="BI366" s="145">
        <f t="shared" ref="BI366:BI411" ca="1" si="97">IF(AX366=0,0,(AY366-AX366)/AX366*100)</f>
        <v>0</v>
      </c>
      <c r="BJ366" s="145">
        <f t="shared" ref="BJ366:BJ411" ca="1" si="98">IF(AY366=0,0,(AZ366-AY366)/AY366*100)</f>
        <v>0</v>
      </c>
      <c r="BK366" s="145">
        <f t="shared" ref="BK366:BK411" ca="1" si="99">IF(AZ366=0,0,(BA366-AZ366)/AZ366*100)</f>
        <v>0</v>
      </c>
      <c r="BL366" s="145">
        <f t="shared" ref="BL366:BL411" ca="1" si="100">IF(BA366=0,0,(BB366-BA366)/BA366*100)</f>
        <v>0</v>
      </c>
      <c r="BM366" s="145">
        <f t="shared" ref="BM366:BM411" ca="1" si="101">IF(BB366=0,0,(BC366-BB366)/BB366*100)</f>
        <v>0</v>
      </c>
      <c r="BN366" s="953" t="s">
        <v>2262</v>
      </c>
      <c r="BO366" s="215"/>
      <c r="BP366" s="215"/>
      <c r="BQ366" s="93"/>
      <c r="BR366" s="95"/>
      <c r="BS366" s="711" t="s">
        <v>2029</v>
      </c>
      <c r="BT366" s="711"/>
      <c r="BU366" s="711"/>
      <c r="BV366" s="522"/>
      <c r="BW366" s="522"/>
    </row>
    <row r="367" spans="1:75" s="950" customFormat="1" ht="21.75" customHeight="1">
      <c r="A367" s="95"/>
      <c r="B367" s="344"/>
      <c r="C367" s="95"/>
      <c r="D367" s="95"/>
      <c r="E367" s="522">
        <v>22.5</v>
      </c>
      <c r="F367" s="3" t="str" cm="1">
        <f t="array" aca="1" ref="F367" ca="1">OFFSET(E367,-1,1)</f>
        <v>2</v>
      </c>
      <c r="G367" s="95"/>
      <c r="H367" s="91"/>
      <c r="I367" s="91" t="s">
        <v>479</v>
      </c>
      <c r="J367" s="95"/>
      <c r="K367" s="91" t="s">
        <v>479</v>
      </c>
      <c r="L367" s="46" t="s">
        <v>465</v>
      </c>
      <c r="M367" s="46"/>
      <c r="N367" s="95"/>
      <c r="O367" s="95"/>
      <c r="P367" s="95"/>
      <c r="Q367" s="95"/>
      <c r="R367" s="95"/>
      <c r="S367" s="95"/>
      <c r="T367" s="365" t="b" cm="1">
        <f t="array" aca="1" ref="T367" ca="1">T366</f>
        <v>1</v>
      </c>
      <c r="U367" s="95"/>
      <c r="V367" s="95"/>
      <c r="W367" s="95"/>
      <c r="X367" s="1075"/>
      <c r="Y367" s="95"/>
      <c r="Z367" s="1065"/>
      <c r="AA367" s="95"/>
      <c r="AB367" s="150" t="s">
        <v>537</v>
      </c>
      <c r="AC367" s="276" t="s">
        <v>2030</v>
      </c>
      <c r="AD367" s="143" t="s">
        <v>804</v>
      </c>
      <c r="AE367" s="145">
        <f ca="1">SUM(AE368:AE378)</f>
        <v>1000.4095929484801</v>
      </c>
      <c r="AF367" s="145">
        <f ca="1">SUM(AF368:AF378)</f>
        <v>929.87545999999998</v>
      </c>
      <c r="AG367" s="145">
        <f ca="1">SUM(AG368:AG378)</f>
        <v>929.87545999999998</v>
      </c>
      <c r="AH367" s="145">
        <f t="shared" ca="1" si="90"/>
        <v>0</v>
      </c>
      <c r="AI367" s="145">
        <f t="shared" ref="AI367:BC367" ca="1" si="102">SUM(AI368:AI378)</f>
        <v>913.3</v>
      </c>
      <c r="AJ367" s="145">
        <f t="shared" ca="1" si="102"/>
        <v>1090.6802</v>
      </c>
      <c r="AK367" s="145">
        <f t="shared" ca="1" si="102"/>
        <v>0</v>
      </c>
      <c r="AL367" s="145">
        <f t="shared" ca="1" si="102"/>
        <v>0</v>
      </c>
      <c r="AM367" s="145">
        <f t="shared" ca="1" si="102"/>
        <v>0</v>
      </c>
      <c r="AN367" s="145">
        <f t="shared" ca="1" si="102"/>
        <v>0</v>
      </c>
      <c r="AO367" s="145">
        <f t="shared" ca="1" si="102"/>
        <v>0</v>
      </c>
      <c r="AP367" s="145">
        <f t="shared" ca="1" si="102"/>
        <v>0</v>
      </c>
      <c r="AQ367" s="145">
        <f t="shared" ca="1" si="102"/>
        <v>0</v>
      </c>
      <c r="AR367" s="145">
        <f t="shared" ca="1" si="102"/>
        <v>0</v>
      </c>
      <c r="AS367" s="145">
        <f t="shared" ca="1" si="102"/>
        <v>0</v>
      </c>
      <c r="AT367" s="145">
        <f t="shared" ca="1" si="102"/>
        <v>1253.34825</v>
      </c>
      <c r="AU367" s="145">
        <f t="shared" ca="1" si="102"/>
        <v>0</v>
      </c>
      <c r="AV367" s="145">
        <f t="shared" ca="1" si="102"/>
        <v>0</v>
      </c>
      <c r="AW367" s="145">
        <f t="shared" ca="1" si="102"/>
        <v>0</v>
      </c>
      <c r="AX367" s="145">
        <f t="shared" ca="1" si="102"/>
        <v>0</v>
      </c>
      <c r="AY367" s="145">
        <f t="shared" ca="1" si="102"/>
        <v>0</v>
      </c>
      <c r="AZ367" s="145">
        <f t="shared" ca="1" si="102"/>
        <v>0</v>
      </c>
      <c r="BA367" s="145">
        <f t="shared" ca="1" si="102"/>
        <v>0</v>
      </c>
      <c r="BB367" s="145">
        <f t="shared" ca="1" si="102"/>
        <v>0</v>
      </c>
      <c r="BC367" s="145">
        <f t="shared" ca="1" si="102"/>
        <v>0</v>
      </c>
      <c r="BD367" s="145">
        <f t="shared" ca="1" si="92"/>
        <v>37.232919084638134</v>
      </c>
      <c r="BE367" s="145">
        <f t="shared" ca="1" si="93"/>
        <v>-100</v>
      </c>
      <c r="BF367" s="145">
        <f t="shared" ca="1" si="94"/>
        <v>0</v>
      </c>
      <c r="BG367" s="145">
        <f t="shared" ca="1" si="95"/>
        <v>0</v>
      </c>
      <c r="BH367" s="145">
        <f t="shared" ca="1" si="96"/>
        <v>0</v>
      </c>
      <c r="BI367" s="145">
        <f t="shared" ca="1" si="97"/>
        <v>0</v>
      </c>
      <c r="BJ367" s="145">
        <f t="shared" ca="1" si="98"/>
        <v>0</v>
      </c>
      <c r="BK367" s="145">
        <f t="shared" ca="1" si="99"/>
        <v>0</v>
      </c>
      <c r="BL367" s="145">
        <f t="shared" ca="1" si="100"/>
        <v>0</v>
      </c>
      <c r="BM367" s="145">
        <f t="shared" ca="1" si="101"/>
        <v>0</v>
      </c>
      <c r="BN367" s="566"/>
      <c r="BO367" s="566" t="s">
        <v>2234</v>
      </c>
      <c r="BP367" s="566"/>
      <c r="BQ367" s="95"/>
      <c r="BR367" s="95"/>
      <c r="BS367" s="711" t="s">
        <v>2031</v>
      </c>
      <c r="BT367" s="711"/>
      <c r="BU367" s="711"/>
      <c r="BV367" s="522"/>
      <c r="BW367" s="522"/>
    </row>
    <row r="368" spans="1:75" ht="12.75" customHeight="1">
      <c r="E368" s="518">
        <v>15</v>
      </c>
      <c r="F368" s="3" t="str" cm="1">
        <f t="array" aca="1" ref="F368" ca="1">OFFSET(E368,-1,1)</f>
        <v>2</v>
      </c>
      <c r="G368" s="91" t="s">
        <v>1106</v>
      </c>
      <c r="I368" s="91" t="s">
        <v>1562</v>
      </c>
      <c r="K368" s="91" t="s">
        <v>1562</v>
      </c>
      <c r="L368" s="44" t="s">
        <v>1339</v>
      </c>
      <c r="M368" s="44"/>
      <c r="T368" s="365" t="b" cm="1">
        <f t="array" aca="1" ref="T368" ca="1">T367</f>
        <v>1</v>
      </c>
      <c r="X368" s="1075"/>
      <c r="Z368" s="1065"/>
      <c r="AB368" s="152" t="s">
        <v>487</v>
      </c>
      <c r="AC368" s="153" t="s">
        <v>2032</v>
      </c>
      <c r="AD368" s="26" t="s">
        <v>804</v>
      </c>
      <c r="AE368" s="190">
        <f ca="1">SUMIFS(Покупка!AE$25:AE$254,Покупка!$F$25:$F$254,$F368,Покупка!$AC$25:$AC$254,$G368)</f>
        <v>1000.4095929484801</v>
      </c>
      <c r="AF368" s="190">
        <f ca="1">SUMIFS(Покупка!AF$25:AF$254,Покупка!$F$25:$F$254,$F368,Покупка!$AC$25:$AC$254,$G368)</f>
        <v>929.87545999999998</v>
      </c>
      <c r="AG368" s="190">
        <f ca="1">SUMIFS(Покупка!AG$25:AG$254,Покупка!$F$25:$F$254,$F368,Покупка!$AC$25:$AC$254,$G368)</f>
        <v>929.87545999999998</v>
      </c>
      <c r="AH368" s="190">
        <f t="shared" ca="1" si="90"/>
        <v>0</v>
      </c>
      <c r="AI368" s="190">
        <f ca="1">SUMIFS(Покупка!AH$25:AH$254,Покупка!$F$25:$F$254,$F368,Покупка!$AC$25:$AC$254,$G368)</f>
        <v>913.3</v>
      </c>
      <c r="AJ368" s="190">
        <f ca="1">SUMIFS(Покупка!AI$25:AI$254,Покупка!$F$25:$F$254,$F368,Покупка!$AC$25:$AC$254,$G368)</f>
        <v>1090.6802</v>
      </c>
      <c r="AK368" s="190">
        <f ca="1">SUMIFS(Покупка!AJ$25:AJ$254,Покупка!$F$25:$F$254,$F368,Покупка!$AC$25:$AC$254,$G368)</f>
        <v>0</v>
      </c>
      <c r="AL368" s="190">
        <f ca="1">SUMIFS(Покупка!AK$25:AK$254,Покупка!$F$25:$F$254,$F368,Покупка!$AC$25:$AC$254,$G368)</f>
        <v>0</v>
      </c>
      <c r="AM368" s="190">
        <f ca="1">SUMIFS(Покупка!AL$25:AL$254,Покупка!$F$25:$F$254,$F368,Покупка!$AC$25:$AC$254,$G368)</f>
        <v>0</v>
      </c>
      <c r="AN368" s="190">
        <f ca="1">SUMIFS(Покупка!AM$25:AM$254,Покупка!$F$25:$F$254,$F368,Покупка!$AC$25:$AC$254,$G368)</f>
        <v>0</v>
      </c>
      <c r="AO368" s="190">
        <f ca="1">SUMIFS(Покупка!AN$25:AN$254,Покупка!$F$25:$F$254,$F368,Покупка!$AC$25:$AC$254,$G368)</f>
        <v>0</v>
      </c>
      <c r="AP368" s="190">
        <f ca="1">SUMIFS(Покупка!AO$25:AO$254,Покупка!$F$25:$F$254,$F368,Покупка!$AC$25:$AC$254,$G368)</f>
        <v>0</v>
      </c>
      <c r="AQ368" s="190">
        <f ca="1">SUMIFS(Покупка!AP$25:AP$254,Покупка!$F$25:$F$254,$F368,Покупка!$AC$25:$AC$254,$G368)</f>
        <v>0</v>
      </c>
      <c r="AR368" s="190">
        <f ca="1">SUMIFS(Покупка!AQ$25:AQ$254,Покупка!$F$25:$F$254,$F368,Покупка!$AC$25:$AC$254,$G368)</f>
        <v>0</v>
      </c>
      <c r="AS368" s="190">
        <f ca="1">SUMIFS(Покупка!AR$25:AR$254,Покупка!$F$25:$F$254,$F368,Покупка!$AC$25:$AC$254,$G368)</f>
        <v>0</v>
      </c>
      <c r="AT368" s="190">
        <f ca="1">SUMIFS(Покупка!AS$25:AS$254,Покупка!$F$25:$F$254,$F368,Покупка!$AC$25:$AC$254,$G368)</f>
        <v>1253.34825</v>
      </c>
      <c r="AU368" s="190">
        <f ca="1">SUMIFS(Покупка!AT$25:AT$254,Покупка!$F$25:$F$254,$F368,Покупка!$AC$25:$AC$254,$G368)</f>
        <v>0</v>
      </c>
      <c r="AV368" s="190">
        <f ca="1">SUMIFS(Покупка!AU$25:AU$254,Покупка!$F$25:$F$254,$F368,Покупка!$AC$25:$AC$254,$G368)</f>
        <v>0</v>
      </c>
      <c r="AW368" s="190">
        <f ca="1">SUMIFS(Покупка!AV$25:AV$254,Покупка!$F$25:$F$254,$F368,Покупка!$AC$25:$AC$254,$G368)</f>
        <v>0</v>
      </c>
      <c r="AX368" s="190">
        <f ca="1">SUMIFS(Покупка!AW$25:AW$254,Покупка!$F$25:$F$254,$F368,Покупка!$AC$25:$AC$254,$G368)</f>
        <v>0</v>
      </c>
      <c r="AY368" s="190">
        <f ca="1">SUMIFS(Покупка!AX$25:AX$254,Покупка!$F$25:$F$254,$F368,Покупка!$AC$25:$AC$254,$G368)</f>
        <v>0</v>
      </c>
      <c r="AZ368" s="190">
        <f ca="1">SUMIFS(Покупка!AY$25:AY$254,Покупка!$F$25:$F$254,$F368,Покупка!$AC$25:$AC$254,$G368)</f>
        <v>0</v>
      </c>
      <c r="BA368" s="190">
        <f ca="1">SUMIFS(Покупка!AZ$25:AZ$254,Покупка!$F$25:$F$254,$F368,Покупка!$AC$25:$AC$254,$G368)</f>
        <v>0</v>
      </c>
      <c r="BB368" s="190">
        <f ca="1">SUMIFS(Покупка!BA$25:BA$254,Покупка!$F$25:$F$254,$F368,Покупка!$AC$25:$AC$254,$G368)</f>
        <v>0</v>
      </c>
      <c r="BC368" s="190">
        <f ca="1">SUMIFS(Покупка!BB$25:BB$254,Покупка!$F$25:$F$254,$F368,Покупка!$AC$25:$AC$254,$G368)</f>
        <v>0</v>
      </c>
      <c r="BD368" s="190">
        <f t="shared" ca="1" si="92"/>
        <v>37.232919084638134</v>
      </c>
      <c r="BE368" s="190">
        <f t="shared" ca="1" si="93"/>
        <v>-100</v>
      </c>
      <c r="BF368" s="190">
        <f t="shared" ca="1" si="94"/>
        <v>0</v>
      </c>
      <c r="BG368" s="190">
        <f t="shared" ca="1" si="95"/>
        <v>0</v>
      </c>
      <c r="BH368" s="190">
        <f t="shared" ca="1" si="96"/>
        <v>0</v>
      </c>
      <c r="BI368" s="190">
        <f t="shared" ca="1" si="97"/>
        <v>0</v>
      </c>
      <c r="BJ368" s="190">
        <f t="shared" ca="1" si="98"/>
        <v>0</v>
      </c>
      <c r="BK368" s="190">
        <f t="shared" ca="1" si="99"/>
        <v>0</v>
      </c>
      <c r="BL368" s="190">
        <f t="shared" ca="1" si="100"/>
        <v>0</v>
      </c>
      <c r="BM368" s="190">
        <f t="shared" ca="1" si="101"/>
        <v>0</v>
      </c>
      <c r="BN368" s="953" t="s">
        <v>2263</v>
      </c>
      <c r="BO368" s="610" t="s">
        <v>2236</v>
      </c>
      <c r="BP368" s="215"/>
      <c r="BS368" s="705" t="s">
        <v>1107</v>
      </c>
    </row>
    <row r="369" spans="1:75" ht="0" hidden="1" customHeight="1">
      <c r="B369" s="34"/>
      <c r="C369" s="44"/>
      <c r="D369" s="44"/>
      <c r="E369" s="462">
        <v>15</v>
      </c>
      <c r="F369" s="3" t="str" cm="1">
        <f t="array" aca="1" ref="F369" ca="1">OFFSET(E369,-1,1)</f>
        <v>2</v>
      </c>
      <c r="G369" s="44" t="s">
        <v>1128</v>
      </c>
      <c r="H369" s="44"/>
      <c r="I369" s="44" t="s">
        <v>1566</v>
      </c>
      <c r="J369" s="44"/>
      <c r="K369" s="44" t="s">
        <v>1566</v>
      </c>
      <c r="L369" s="44" t="s">
        <v>1343</v>
      </c>
      <c r="M369" s="44"/>
      <c r="N369" s="44"/>
      <c r="O369" s="44"/>
      <c r="P369" s="44"/>
      <c r="Q369" s="44"/>
      <c r="R369" s="44"/>
      <c r="S369" s="44"/>
      <c r="T369" s="365" t="b" cm="1">
        <f t="array" aca="1" ref="T369" ca="1">T368</f>
        <v>1</v>
      </c>
      <c r="U369" s="44"/>
      <c r="V369" s="44"/>
      <c r="X369" s="1075"/>
      <c r="Z369" s="1065"/>
      <c r="AB369" s="152" t="s">
        <v>2033</v>
      </c>
      <c r="AC369" s="153" t="s">
        <v>2034</v>
      </c>
      <c r="AD369" s="26" t="s">
        <v>804</v>
      </c>
      <c r="AE369" s="190">
        <f ca="1">SUMIFS(Покупка!AE$25:AE$254,Покупка!$F$25:$F$254,$F369,Покупка!$AC$25:$AC$254,$G369)</f>
        <v>0</v>
      </c>
      <c r="AF369" s="190">
        <f ca="1">SUMIFS(Покупка!AF$25:AF$254,Покупка!$F$25:$F$254,$F369,Покупка!$AC$25:$AC$254,$G369)</f>
        <v>0</v>
      </c>
      <c r="AG369" s="190">
        <f ca="1">SUMIFS(Покупка!AG$25:AG$254,Покупка!$F$25:$F$254,$F369,Покупка!$AC$25:$AC$254,$G369)</f>
        <v>0</v>
      </c>
      <c r="AH369" s="190">
        <f t="shared" ca="1" si="90"/>
        <v>0</v>
      </c>
      <c r="AI369" s="190">
        <f ca="1">SUMIFS(Покупка!AH$25:AH$254,Покупка!$F$25:$F$254,$F369,Покупка!$AC$25:$AC$254,$G369)</f>
        <v>0</v>
      </c>
      <c r="AJ369" s="190">
        <f ca="1">SUMIFS(Покупка!AI$25:AI$254,Покупка!$F$25:$F$254,$F369,Покупка!$AC$25:$AC$254,$G369)</f>
        <v>0</v>
      </c>
      <c r="AK369" s="190">
        <f ca="1">SUMIFS(Покупка!AJ$25:AJ$254,Покупка!$F$25:$F$254,$F369,Покупка!$AC$25:$AC$254,$G369)</f>
        <v>0</v>
      </c>
      <c r="AL369" s="190">
        <f ca="1">SUMIFS(Покупка!AK$25:AK$254,Покупка!$F$25:$F$254,$F369,Покупка!$AC$25:$AC$254,$G369)</f>
        <v>0</v>
      </c>
      <c r="AM369" s="190">
        <f ca="1">SUMIFS(Покупка!AL$25:AL$254,Покупка!$F$25:$F$254,$F369,Покупка!$AC$25:$AC$254,$G369)</f>
        <v>0</v>
      </c>
      <c r="AN369" s="190">
        <f ca="1">SUMIFS(Покупка!AM$25:AM$254,Покупка!$F$25:$F$254,$F369,Покупка!$AC$25:$AC$254,$G369)</f>
        <v>0</v>
      </c>
      <c r="AO369" s="190">
        <f ca="1">SUMIFS(Покупка!AN$25:AN$254,Покупка!$F$25:$F$254,$F369,Покупка!$AC$25:$AC$254,$G369)</f>
        <v>0</v>
      </c>
      <c r="AP369" s="190">
        <f ca="1">SUMIFS(Покупка!AO$25:AO$254,Покупка!$F$25:$F$254,$F369,Покупка!$AC$25:$AC$254,$G369)</f>
        <v>0</v>
      </c>
      <c r="AQ369" s="190">
        <f ca="1">SUMIFS(Покупка!AP$25:AP$254,Покупка!$F$25:$F$254,$F369,Покупка!$AC$25:$AC$254,$G369)</f>
        <v>0</v>
      </c>
      <c r="AR369" s="190">
        <f ca="1">SUMIFS(Покупка!AQ$25:AQ$254,Покупка!$F$25:$F$254,$F369,Покупка!$AC$25:$AC$254,$G369)</f>
        <v>0</v>
      </c>
      <c r="AS369" s="190">
        <f ca="1">SUMIFS(Покупка!AR$25:AR$254,Покупка!$F$25:$F$254,$F369,Покупка!$AC$25:$AC$254,$G369)</f>
        <v>0</v>
      </c>
      <c r="AT369" s="190">
        <f ca="1">SUMIFS(Покупка!AS$25:AS$254,Покупка!$F$25:$F$254,$F369,Покупка!$AC$25:$AC$254,$G369)</f>
        <v>0</v>
      </c>
      <c r="AU369" s="190">
        <f ca="1">SUMIFS(Покупка!AT$25:AT$254,Покупка!$F$25:$F$254,$F369,Покупка!$AC$25:$AC$254,$G369)</f>
        <v>0</v>
      </c>
      <c r="AV369" s="190">
        <f ca="1">SUMIFS(Покупка!AU$25:AU$254,Покупка!$F$25:$F$254,$F369,Покупка!$AC$25:$AC$254,$G369)</f>
        <v>0</v>
      </c>
      <c r="AW369" s="190">
        <f ca="1">SUMIFS(Покупка!AV$25:AV$254,Покупка!$F$25:$F$254,$F369,Покупка!$AC$25:$AC$254,$G369)</f>
        <v>0</v>
      </c>
      <c r="AX369" s="190">
        <f ca="1">SUMIFS(Покупка!AW$25:AW$254,Покупка!$F$25:$F$254,$F369,Покупка!$AC$25:$AC$254,$G369)</f>
        <v>0</v>
      </c>
      <c r="AY369" s="190">
        <f ca="1">SUMIFS(Покупка!AX$25:AX$254,Покупка!$F$25:$F$254,$F369,Покупка!$AC$25:$AC$254,$G369)</f>
        <v>0</v>
      </c>
      <c r="AZ369" s="190">
        <f ca="1">SUMIFS(Покупка!AY$25:AY$254,Покупка!$F$25:$F$254,$F369,Покупка!$AC$25:$AC$254,$G369)</f>
        <v>0</v>
      </c>
      <c r="BA369" s="190">
        <f ca="1">SUMIFS(Покупка!AZ$25:AZ$254,Покупка!$F$25:$F$254,$F369,Покупка!$AC$25:$AC$254,$G369)</f>
        <v>0</v>
      </c>
      <c r="BB369" s="190">
        <f ca="1">SUMIFS(Покупка!BA$25:BA$254,Покупка!$F$25:$F$254,$F369,Покупка!$AC$25:$AC$254,$G369)</f>
        <v>0</v>
      </c>
      <c r="BC369" s="190">
        <f ca="1">SUMIFS(Покупка!BB$25:BB$254,Покупка!$F$25:$F$254,$F369,Покупка!$AC$25:$AC$254,$G369)</f>
        <v>0</v>
      </c>
      <c r="BD369" s="190">
        <f t="shared" ca="1" si="92"/>
        <v>0</v>
      </c>
      <c r="BE369" s="190">
        <f t="shared" ca="1" si="93"/>
        <v>0</v>
      </c>
      <c r="BF369" s="190">
        <f t="shared" ca="1" si="94"/>
        <v>0</v>
      </c>
      <c r="BG369" s="190">
        <f t="shared" ca="1" si="95"/>
        <v>0</v>
      </c>
      <c r="BH369" s="190">
        <f t="shared" ca="1" si="96"/>
        <v>0</v>
      </c>
      <c r="BI369" s="190">
        <f t="shared" ca="1" si="97"/>
        <v>0</v>
      </c>
      <c r="BJ369" s="190">
        <f t="shared" ca="1" si="98"/>
        <v>0</v>
      </c>
      <c r="BK369" s="190">
        <f t="shared" ca="1" si="99"/>
        <v>0</v>
      </c>
      <c r="BL369" s="190">
        <f t="shared" ca="1" si="100"/>
        <v>0</v>
      </c>
      <c r="BM369" s="190">
        <f t="shared" ca="1" si="101"/>
        <v>0</v>
      </c>
      <c r="BN369" s="215"/>
      <c r="BO369" s="610" t="str">
        <f ca="1">IF(IFERROR(INDEX(Покупка!$K$26:$L$254,MATCH($F369&amp;"7komm",Покупка!$K$26:$K$254,0),2),"")=0,"",IFERROR(INDEX(Покупка!$K$26:$L$254,MATCH($F369&amp;"7komm",Покупка!$K$26:$K$254,0),2),""))</f>
        <v/>
      </c>
      <c r="BP369" s="215"/>
      <c r="BS369" s="705" t="s">
        <v>1129</v>
      </c>
    </row>
    <row r="370" spans="1:75" ht="0" hidden="1" customHeight="1">
      <c r="B370" s="34"/>
      <c r="C370" s="44"/>
      <c r="D370" s="44"/>
      <c r="E370" s="462">
        <v>15</v>
      </c>
      <c r="F370" s="3" t="str" cm="1">
        <f t="array" aca="1" ref="F370" ca="1">OFFSET(E370,-1,1)</f>
        <v>2</v>
      </c>
      <c r="G370" s="44" t="s">
        <v>1080</v>
      </c>
      <c r="H370" s="44"/>
      <c r="I370" s="44" t="s">
        <v>1661</v>
      </c>
      <c r="J370" s="44"/>
      <c r="K370" s="44" t="s">
        <v>1661</v>
      </c>
      <c r="L370" s="44" t="s">
        <v>1511</v>
      </c>
      <c r="M370" s="44"/>
      <c r="N370" s="44"/>
      <c r="O370" s="44"/>
      <c r="P370" s="44"/>
      <c r="Q370" s="44"/>
      <c r="R370" s="44"/>
      <c r="S370" s="44"/>
      <c r="T370" s="365" t="b" cm="1">
        <f t="array" aca="1" ref="T370" ca="1">T369</f>
        <v>1</v>
      </c>
      <c r="U370" s="44"/>
      <c r="V370" s="44"/>
      <c r="X370" s="1075"/>
      <c r="Z370" s="1065"/>
      <c r="AB370" s="152" t="s">
        <v>2035</v>
      </c>
      <c r="AC370" s="153" t="s">
        <v>2036</v>
      </c>
      <c r="AD370" s="26" t="s">
        <v>804</v>
      </c>
      <c r="AE370" s="190">
        <f ca="1">SUMIFS(Покупка!AE$25:AE$254,Покупка!$F$25:$F$254,$F370,Покупка!$AC$25:$AC$254,$G370)</f>
        <v>0</v>
      </c>
      <c r="AF370" s="190">
        <f ca="1">SUMIFS(Покупка!AF$25:AF$254,Покупка!$F$25:$F$254,$F370,Покупка!$AC$25:$AC$254,$G370)</f>
        <v>0</v>
      </c>
      <c r="AG370" s="190">
        <f ca="1">SUMIFS(Покупка!AG$25:AG$254,Покупка!$F$25:$F$254,$F370,Покупка!$AC$25:$AC$254,$G370)</f>
        <v>0</v>
      </c>
      <c r="AH370" s="190">
        <f t="shared" ca="1" si="90"/>
        <v>0</v>
      </c>
      <c r="AI370" s="190">
        <f ca="1">SUMIFS(Покупка!AH$25:AH$254,Покупка!$F$25:$F$254,$F370,Покупка!$AC$25:$AC$254,$G370)</f>
        <v>0</v>
      </c>
      <c r="AJ370" s="190">
        <f ca="1">SUMIFS(Покупка!AI$25:AI$254,Покупка!$F$25:$F$254,$F370,Покупка!$AC$25:$AC$254,$G370)</f>
        <v>0</v>
      </c>
      <c r="AK370" s="190">
        <f ca="1">SUMIFS(Покупка!AJ$25:AJ$254,Покупка!$F$25:$F$254,$F370,Покупка!$AC$25:$AC$254,$G370)</f>
        <v>0</v>
      </c>
      <c r="AL370" s="190">
        <f ca="1">SUMIFS(Покупка!AK$25:AK$254,Покупка!$F$25:$F$254,$F370,Покупка!$AC$25:$AC$254,$G370)</f>
        <v>0</v>
      </c>
      <c r="AM370" s="190">
        <f ca="1">SUMIFS(Покупка!AL$25:AL$254,Покупка!$F$25:$F$254,$F370,Покупка!$AC$25:$AC$254,$G370)</f>
        <v>0</v>
      </c>
      <c r="AN370" s="190">
        <f ca="1">SUMIFS(Покупка!AM$25:AM$254,Покупка!$F$25:$F$254,$F370,Покупка!$AC$25:$AC$254,$G370)</f>
        <v>0</v>
      </c>
      <c r="AO370" s="190">
        <f ca="1">SUMIFS(Покупка!AN$25:AN$254,Покупка!$F$25:$F$254,$F370,Покупка!$AC$25:$AC$254,$G370)</f>
        <v>0</v>
      </c>
      <c r="AP370" s="190">
        <f ca="1">SUMIFS(Покупка!AO$25:AO$254,Покупка!$F$25:$F$254,$F370,Покупка!$AC$25:$AC$254,$G370)</f>
        <v>0</v>
      </c>
      <c r="AQ370" s="190">
        <f ca="1">SUMIFS(Покупка!AP$25:AP$254,Покупка!$F$25:$F$254,$F370,Покупка!$AC$25:$AC$254,$G370)</f>
        <v>0</v>
      </c>
      <c r="AR370" s="190">
        <f ca="1">SUMIFS(Покупка!AQ$25:AQ$254,Покупка!$F$25:$F$254,$F370,Покупка!$AC$25:$AC$254,$G370)</f>
        <v>0</v>
      </c>
      <c r="AS370" s="190">
        <f ca="1">SUMIFS(Покупка!AR$25:AR$254,Покупка!$F$25:$F$254,$F370,Покупка!$AC$25:$AC$254,$G370)</f>
        <v>0</v>
      </c>
      <c r="AT370" s="190">
        <f ca="1">SUMIFS(Покупка!AS$25:AS$254,Покупка!$F$25:$F$254,$F370,Покупка!$AC$25:$AC$254,$G370)</f>
        <v>0</v>
      </c>
      <c r="AU370" s="190">
        <f ca="1">SUMIFS(Покупка!AT$25:AT$254,Покупка!$F$25:$F$254,$F370,Покупка!$AC$25:$AC$254,$G370)</f>
        <v>0</v>
      </c>
      <c r="AV370" s="190">
        <f ca="1">SUMIFS(Покупка!AU$25:AU$254,Покупка!$F$25:$F$254,$F370,Покупка!$AC$25:$AC$254,$G370)</f>
        <v>0</v>
      </c>
      <c r="AW370" s="190">
        <f ca="1">SUMIFS(Покупка!AV$25:AV$254,Покупка!$F$25:$F$254,$F370,Покупка!$AC$25:$AC$254,$G370)</f>
        <v>0</v>
      </c>
      <c r="AX370" s="190">
        <f ca="1">SUMIFS(Покупка!AW$25:AW$254,Покупка!$F$25:$F$254,$F370,Покупка!$AC$25:$AC$254,$G370)</f>
        <v>0</v>
      </c>
      <c r="AY370" s="190">
        <f ca="1">SUMIFS(Покупка!AX$25:AX$254,Покупка!$F$25:$F$254,$F370,Покупка!$AC$25:$AC$254,$G370)</f>
        <v>0</v>
      </c>
      <c r="AZ370" s="190">
        <f ca="1">SUMIFS(Покупка!AY$25:AY$254,Покупка!$F$25:$F$254,$F370,Покупка!$AC$25:$AC$254,$G370)</f>
        <v>0</v>
      </c>
      <c r="BA370" s="190">
        <f ca="1">SUMIFS(Покупка!AZ$25:AZ$254,Покупка!$F$25:$F$254,$F370,Покупка!$AC$25:$AC$254,$G370)</f>
        <v>0</v>
      </c>
      <c r="BB370" s="190">
        <f ca="1">SUMIFS(Покупка!BA$25:BA$254,Покупка!$F$25:$F$254,$F370,Покупка!$AC$25:$AC$254,$G370)</f>
        <v>0</v>
      </c>
      <c r="BC370" s="190">
        <f ca="1">SUMIFS(Покупка!BB$25:BB$254,Покупка!$F$25:$F$254,$F370,Покупка!$AC$25:$AC$254,$G370)</f>
        <v>0</v>
      </c>
      <c r="BD370" s="190">
        <f t="shared" ca="1" si="92"/>
        <v>0</v>
      </c>
      <c r="BE370" s="190">
        <f t="shared" ca="1" si="93"/>
        <v>0</v>
      </c>
      <c r="BF370" s="190">
        <f t="shared" ca="1" si="94"/>
        <v>0</v>
      </c>
      <c r="BG370" s="190">
        <f t="shared" ca="1" si="95"/>
        <v>0</v>
      </c>
      <c r="BH370" s="190">
        <f t="shared" ca="1" si="96"/>
        <v>0</v>
      </c>
      <c r="BI370" s="190">
        <f t="shared" ca="1" si="97"/>
        <v>0</v>
      </c>
      <c r="BJ370" s="190">
        <f t="shared" ca="1" si="98"/>
        <v>0</v>
      </c>
      <c r="BK370" s="190">
        <f t="shared" ca="1" si="99"/>
        <v>0</v>
      </c>
      <c r="BL370" s="190">
        <f t="shared" ca="1" si="100"/>
        <v>0</v>
      </c>
      <c r="BM370" s="190">
        <f t="shared" ca="1" si="101"/>
        <v>0</v>
      </c>
      <c r="BN370" s="215"/>
      <c r="BO370" s="610" t="str">
        <f ca="1">IF(IFERROR(INDEX(Покупка!$K$26:$L$254,MATCH($F370&amp;"2komm",Покупка!$K$26:$K$254,0),2),"")=0,"",IFERROR(INDEX(Покупка!$K$26:$L$254,MATCH($F370&amp;"2komm",Покупка!$K$26:$K$254,0),2),""))</f>
        <v/>
      </c>
      <c r="BP370" s="215"/>
      <c r="BS370" s="705" t="s">
        <v>2037</v>
      </c>
    </row>
    <row r="371" spans="1:75" ht="0" hidden="1" customHeight="1">
      <c r="B371" s="34"/>
      <c r="C371" s="44"/>
      <c r="D371" s="44"/>
      <c r="E371" s="462">
        <v>15</v>
      </c>
      <c r="F371" s="3" t="str" cm="1">
        <f t="array" aca="1" ref="F371" ca="1">OFFSET(E371,-1,1)</f>
        <v>2</v>
      </c>
      <c r="G371" s="44" t="s">
        <v>1067</v>
      </c>
      <c r="H371" s="44"/>
      <c r="I371" s="44" t="s">
        <v>1663</v>
      </c>
      <c r="J371" s="44"/>
      <c r="K371" s="44" t="s">
        <v>1663</v>
      </c>
      <c r="L371" s="44" t="s">
        <v>1506</v>
      </c>
      <c r="M371" s="44"/>
      <c r="N371" s="44"/>
      <c r="O371" s="44"/>
      <c r="P371" s="44"/>
      <c r="Q371" s="44"/>
      <c r="R371" s="44"/>
      <c r="S371" s="44"/>
      <c r="T371" s="365" t="b" cm="1">
        <f t="array" aca="1" ref="T371" ca="1">T370</f>
        <v>1</v>
      </c>
      <c r="U371" s="44"/>
      <c r="V371" s="44"/>
      <c r="X371" s="1075"/>
      <c r="Z371" s="1065"/>
      <c r="AB371" s="152" t="s">
        <v>2038</v>
      </c>
      <c r="AC371" s="153" t="s">
        <v>2039</v>
      </c>
      <c r="AD371" s="26" t="s">
        <v>804</v>
      </c>
      <c r="AE371" s="190">
        <f ca="1">SUMIFS(Покупка!AE$25:AE$254,Покупка!$F$25:$F$254,$F371,Покупка!$AC$25:$AC$254,$G371)</f>
        <v>0</v>
      </c>
      <c r="AF371" s="190">
        <f ca="1">SUMIFS(Покупка!AF$25:AF$254,Покупка!$F$25:$F$254,$F371,Покупка!$AC$25:$AC$254,$G371)</f>
        <v>0</v>
      </c>
      <c r="AG371" s="190">
        <f ca="1">SUMIFS(Покупка!AG$25:AG$254,Покупка!$F$25:$F$254,$F371,Покупка!$AC$25:$AC$254,$G371)</f>
        <v>0</v>
      </c>
      <c r="AH371" s="190">
        <f t="shared" ca="1" si="90"/>
        <v>0</v>
      </c>
      <c r="AI371" s="190">
        <f ca="1">SUMIFS(Покупка!AH$25:AH$254,Покупка!$F$25:$F$254,$F371,Покупка!$AC$25:$AC$254,$G371)</f>
        <v>0</v>
      </c>
      <c r="AJ371" s="190">
        <f ca="1">SUMIFS(Покупка!AI$25:AI$254,Покупка!$F$25:$F$254,$F371,Покупка!$AC$25:$AC$254,$G371)</f>
        <v>0</v>
      </c>
      <c r="AK371" s="190">
        <f ca="1">SUMIFS(Покупка!AJ$25:AJ$254,Покупка!$F$25:$F$254,$F371,Покупка!$AC$25:$AC$254,$G371)</f>
        <v>0</v>
      </c>
      <c r="AL371" s="190">
        <f ca="1">SUMIFS(Покупка!AK$25:AK$254,Покупка!$F$25:$F$254,$F371,Покупка!$AC$25:$AC$254,$G371)</f>
        <v>0</v>
      </c>
      <c r="AM371" s="190">
        <f ca="1">SUMIFS(Покупка!AL$25:AL$254,Покупка!$F$25:$F$254,$F371,Покупка!$AC$25:$AC$254,$G371)</f>
        <v>0</v>
      </c>
      <c r="AN371" s="190">
        <f ca="1">SUMIFS(Покупка!AM$25:AM$254,Покупка!$F$25:$F$254,$F371,Покупка!$AC$25:$AC$254,$G371)</f>
        <v>0</v>
      </c>
      <c r="AO371" s="190">
        <f ca="1">SUMIFS(Покупка!AN$25:AN$254,Покупка!$F$25:$F$254,$F371,Покупка!$AC$25:$AC$254,$G371)</f>
        <v>0</v>
      </c>
      <c r="AP371" s="190">
        <f ca="1">SUMIFS(Покупка!AO$25:AO$254,Покупка!$F$25:$F$254,$F371,Покупка!$AC$25:$AC$254,$G371)</f>
        <v>0</v>
      </c>
      <c r="AQ371" s="190">
        <f ca="1">SUMIFS(Покупка!AP$25:AP$254,Покупка!$F$25:$F$254,$F371,Покупка!$AC$25:$AC$254,$G371)</f>
        <v>0</v>
      </c>
      <c r="AR371" s="190">
        <f ca="1">SUMIFS(Покупка!AQ$25:AQ$254,Покупка!$F$25:$F$254,$F371,Покупка!$AC$25:$AC$254,$G371)</f>
        <v>0</v>
      </c>
      <c r="AS371" s="190">
        <f ca="1">SUMIFS(Покупка!AR$25:AR$254,Покупка!$F$25:$F$254,$F371,Покупка!$AC$25:$AC$254,$G371)</f>
        <v>0</v>
      </c>
      <c r="AT371" s="190">
        <f ca="1">SUMIFS(Покупка!AS$25:AS$254,Покупка!$F$25:$F$254,$F371,Покупка!$AC$25:$AC$254,$G371)</f>
        <v>0</v>
      </c>
      <c r="AU371" s="190">
        <f ca="1">SUMIFS(Покупка!AT$25:AT$254,Покупка!$F$25:$F$254,$F371,Покупка!$AC$25:$AC$254,$G371)</f>
        <v>0</v>
      </c>
      <c r="AV371" s="190">
        <f ca="1">SUMIFS(Покупка!AU$25:AU$254,Покупка!$F$25:$F$254,$F371,Покупка!$AC$25:$AC$254,$G371)</f>
        <v>0</v>
      </c>
      <c r="AW371" s="190">
        <f ca="1">SUMIFS(Покупка!AV$25:AV$254,Покупка!$F$25:$F$254,$F371,Покупка!$AC$25:$AC$254,$G371)</f>
        <v>0</v>
      </c>
      <c r="AX371" s="190">
        <f ca="1">SUMIFS(Покупка!AW$25:AW$254,Покупка!$F$25:$F$254,$F371,Покупка!$AC$25:$AC$254,$G371)</f>
        <v>0</v>
      </c>
      <c r="AY371" s="190">
        <f ca="1">SUMIFS(Покупка!AX$25:AX$254,Покупка!$F$25:$F$254,$F371,Покупка!$AC$25:$AC$254,$G371)</f>
        <v>0</v>
      </c>
      <c r="AZ371" s="190">
        <f ca="1">SUMIFS(Покупка!AY$25:AY$254,Покупка!$F$25:$F$254,$F371,Покупка!$AC$25:$AC$254,$G371)</f>
        <v>0</v>
      </c>
      <c r="BA371" s="190">
        <f ca="1">SUMIFS(Покупка!AZ$25:AZ$254,Покупка!$F$25:$F$254,$F371,Покупка!$AC$25:$AC$254,$G371)</f>
        <v>0</v>
      </c>
      <c r="BB371" s="190">
        <f ca="1">SUMIFS(Покупка!BA$25:BA$254,Покупка!$F$25:$F$254,$F371,Покупка!$AC$25:$AC$254,$G371)</f>
        <v>0</v>
      </c>
      <c r="BC371" s="190">
        <f ca="1">SUMIFS(Покупка!BB$25:BB$254,Покупка!$F$25:$F$254,$F371,Покупка!$AC$25:$AC$254,$G371)</f>
        <v>0</v>
      </c>
      <c r="BD371" s="190">
        <f t="shared" ca="1" si="92"/>
        <v>0</v>
      </c>
      <c r="BE371" s="190">
        <f t="shared" ca="1" si="93"/>
        <v>0</v>
      </c>
      <c r="BF371" s="190">
        <f t="shared" ca="1" si="94"/>
        <v>0</v>
      </c>
      <c r="BG371" s="190">
        <f t="shared" ca="1" si="95"/>
        <v>0</v>
      </c>
      <c r="BH371" s="190">
        <f t="shared" ca="1" si="96"/>
        <v>0</v>
      </c>
      <c r="BI371" s="190">
        <f t="shared" ca="1" si="97"/>
        <v>0</v>
      </c>
      <c r="BJ371" s="190">
        <f t="shared" ca="1" si="98"/>
        <v>0</v>
      </c>
      <c r="BK371" s="190">
        <f t="shared" ca="1" si="99"/>
        <v>0</v>
      </c>
      <c r="BL371" s="190">
        <f t="shared" ca="1" si="100"/>
        <v>0</v>
      </c>
      <c r="BM371" s="190">
        <f t="shared" ca="1" si="101"/>
        <v>0</v>
      </c>
      <c r="BN371" s="215"/>
      <c r="BO371" s="610" t="str">
        <f ca="1">IF(IFERROR(INDEX(Покупка!$K$26:$L$254,MATCH($F371&amp;"1komm",Покупка!$K$26:$K$254,0),2),"")=0,"",IFERROR(INDEX(Покупка!$K$26:$L$254,MATCH($F371&amp;"1komm",Покупка!$K$26:$K$254,0),2),""))</f>
        <v/>
      </c>
      <c r="BP371" s="215"/>
      <c r="BS371" s="705" t="s">
        <v>2040</v>
      </c>
    </row>
    <row r="372" spans="1:75" ht="0" hidden="1" customHeight="1">
      <c r="B372" s="34"/>
      <c r="C372" s="44"/>
      <c r="D372" s="44"/>
      <c r="E372" s="462">
        <v>15</v>
      </c>
      <c r="F372" s="3" t="str" cm="1">
        <f t="array" aca="1" ref="F372" ca="1">OFFSET(E372,-1,1)</f>
        <v>2</v>
      </c>
      <c r="G372" s="44" t="s">
        <v>1134</v>
      </c>
      <c r="H372" s="44"/>
      <c r="I372" s="44" t="s">
        <v>1666</v>
      </c>
      <c r="J372" s="44"/>
      <c r="K372" s="44" t="s">
        <v>1666</v>
      </c>
      <c r="L372" s="44"/>
      <c r="M372" s="44"/>
      <c r="N372" s="44"/>
      <c r="O372" s="44"/>
      <c r="P372" s="44"/>
      <c r="Q372" s="44"/>
      <c r="R372" s="44"/>
      <c r="S372" s="44"/>
      <c r="T372" s="365" t="b" cm="1">
        <f t="array" aca="1" ref="T372" ca="1">T371</f>
        <v>1</v>
      </c>
      <c r="U372" s="44"/>
      <c r="V372" s="44"/>
      <c r="X372" s="1075"/>
      <c r="Z372" s="1065"/>
      <c r="AB372" s="152" t="s">
        <v>2041</v>
      </c>
      <c r="AC372" s="153" t="s">
        <v>2042</v>
      </c>
      <c r="AD372" s="26" t="s">
        <v>804</v>
      </c>
      <c r="AE372" s="190">
        <f ca="1">SUMIFS(Покупка!AE$25:AE$254,Покупка!$F$25:$F$254,$F372,Покупка!$AC$25:$AC$254,$G372)</f>
        <v>0</v>
      </c>
      <c r="AF372" s="190">
        <f ca="1">SUMIFS(Покупка!AF$25:AF$254,Покупка!$F$25:$F$254,$F372,Покупка!$AC$25:$AC$254,$G372)</f>
        <v>0</v>
      </c>
      <c r="AG372" s="190">
        <f ca="1">SUMIFS(Покупка!AG$25:AG$254,Покупка!$F$25:$F$254,$F372,Покупка!$AC$25:$AC$254,$G372)</f>
        <v>0</v>
      </c>
      <c r="AH372" s="190">
        <f t="shared" ca="1" si="90"/>
        <v>0</v>
      </c>
      <c r="AI372" s="190">
        <f ca="1">SUMIFS(Покупка!AH$25:AH$254,Покупка!$F$25:$F$254,$F372,Покупка!$AC$25:$AC$254,$G372)</f>
        <v>0</v>
      </c>
      <c r="AJ372" s="190">
        <f ca="1">SUMIFS(Покупка!AI$25:AI$254,Покупка!$F$25:$F$254,$F372,Покупка!$AC$25:$AC$254,$G372)</f>
        <v>0</v>
      </c>
      <c r="AK372" s="190">
        <f ca="1">SUMIFS(Покупка!AJ$25:AJ$254,Покупка!$F$25:$F$254,$F372,Покупка!$AC$25:$AC$254,$G372)</f>
        <v>0</v>
      </c>
      <c r="AL372" s="190">
        <f ca="1">SUMIFS(Покупка!AK$25:AK$254,Покупка!$F$25:$F$254,$F372,Покупка!$AC$25:$AC$254,$G372)</f>
        <v>0</v>
      </c>
      <c r="AM372" s="190">
        <f ca="1">SUMIFS(Покупка!AL$25:AL$254,Покупка!$F$25:$F$254,$F372,Покупка!$AC$25:$AC$254,$G372)</f>
        <v>0</v>
      </c>
      <c r="AN372" s="190">
        <f ca="1">SUMIFS(Покупка!AM$25:AM$254,Покупка!$F$25:$F$254,$F372,Покупка!$AC$25:$AC$254,$G372)</f>
        <v>0</v>
      </c>
      <c r="AO372" s="190">
        <f ca="1">SUMIFS(Покупка!AN$25:AN$254,Покупка!$F$25:$F$254,$F372,Покупка!$AC$25:$AC$254,$G372)</f>
        <v>0</v>
      </c>
      <c r="AP372" s="190">
        <f ca="1">SUMIFS(Покупка!AO$25:AO$254,Покупка!$F$25:$F$254,$F372,Покупка!$AC$25:$AC$254,$G372)</f>
        <v>0</v>
      </c>
      <c r="AQ372" s="190">
        <f ca="1">SUMIFS(Покупка!AP$25:AP$254,Покупка!$F$25:$F$254,$F372,Покупка!$AC$25:$AC$254,$G372)</f>
        <v>0</v>
      </c>
      <c r="AR372" s="190">
        <f ca="1">SUMIFS(Покупка!AQ$25:AQ$254,Покупка!$F$25:$F$254,$F372,Покупка!$AC$25:$AC$254,$G372)</f>
        <v>0</v>
      </c>
      <c r="AS372" s="190">
        <f ca="1">SUMIFS(Покупка!AR$25:AR$254,Покупка!$F$25:$F$254,$F372,Покупка!$AC$25:$AC$254,$G372)</f>
        <v>0</v>
      </c>
      <c r="AT372" s="190">
        <f ca="1">SUMIFS(Покупка!AS$25:AS$254,Покупка!$F$25:$F$254,$F372,Покупка!$AC$25:$AC$254,$G372)</f>
        <v>0</v>
      </c>
      <c r="AU372" s="190">
        <f ca="1">SUMIFS(Покупка!AT$25:AT$254,Покупка!$F$25:$F$254,$F372,Покупка!$AC$25:$AC$254,$G372)</f>
        <v>0</v>
      </c>
      <c r="AV372" s="190">
        <f ca="1">SUMIFS(Покупка!AU$25:AU$254,Покупка!$F$25:$F$254,$F372,Покупка!$AC$25:$AC$254,$G372)</f>
        <v>0</v>
      </c>
      <c r="AW372" s="190">
        <f ca="1">SUMIFS(Покупка!AV$25:AV$254,Покупка!$F$25:$F$254,$F372,Покупка!$AC$25:$AC$254,$G372)</f>
        <v>0</v>
      </c>
      <c r="AX372" s="190">
        <f ca="1">SUMIFS(Покупка!AW$25:AW$254,Покупка!$F$25:$F$254,$F372,Покупка!$AC$25:$AC$254,$G372)</f>
        <v>0</v>
      </c>
      <c r="AY372" s="190">
        <f ca="1">SUMIFS(Покупка!AX$25:AX$254,Покупка!$F$25:$F$254,$F372,Покупка!$AC$25:$AC$254,$G372)</f>
        <v>0</v>
      </c>
      <c r="AZ372" s="190">
        <f ca="1">SUMIFS(Покупка!AY$25:AY$254,Покупка!$F$25:$F$254,$F372,Покупка!$AC$25:$AC$254,$G372)</f>
        <v>0</v>
      </c>
      <c r="BA372" s="190">
        <f ca="1">SUMIFS(Покупка!AZ$25:AZ$254,Покупка!$F$25:$F$254,$F372,Покупка!$AC$25:$AC$254,$G372)</f>
        <v>0</v>
      </c>
      <c r="BB372" s="190">
        <f ca="1">SUMIFS(Покупка!BA$25:BA$254,Покупка!$F$25:$F$254,$F372,Покупка!$AC$25:$AC$254,$G372)</f>
        <v>0</v>
      </c>
      <c r="BC372" s="190">
        <f ca="1">SUMIFS(Покупка!BB$25:BB$254,Покупка!$F$25:$F$254,$F372,Покупка!$AC$25:$AC$254,$G372)</f>
        <v>0</v>
      </c>
      <c r="BD372" s="190">
        <f t="shared" ca="1" si="92"/>
        <v>0</v>
      </c>
      <c r="BE372" s="190">
        <f t="shared" ca="1" si="93"/>
        <v>0</v>
      </c>
      <c r="BF372" s="190">
        <f t="shared" ca="1" si="94"/>
        <v>0</v>
      </c>
      <c r="BG372" s="190">
        <f t="shared" ca="1" si="95"/>
        <v>0</v>
      </c>
      <c r="BH372" s="190">
        <f t="shared" ca="1" si="96"/>
        <v>0</v>
      </c>
      <c r="BI372" s="190">
        <f t="shared" ca="1" si="97"/>
        <v>0</v>
      </c>
      <c r="BJ372" s="190">
        <f t="shared" ca="1" si="98"/>
        <v>0</v>
      </c>
      <c r="BK372" s="190">
        <f t="shared" ca="1" si="99"/>
        <v>0</v>
      </c>
      <c r="BL372" s="190">
        <f t="shared" ca="1" si="100"/>
        <v>0</v>
      </c>
      <c r="BM372" s="190">
        <f t="shared" ca="1" si="101"/>
        <v>0</v>
      </c>
      <c r="BN372" s="215"/>
      <c r="BO372" s="610" t="str">
        <f ca="1">IF(IFERROR(INDEX(Покупка!$K$26:$L$254,MATCH($F372&amp;"8komm",Покупка!$K$26:$K$254,0),2),"")=0,"",IFERROR(INDEX(Покупка!$K$26:$L$254,MATCH($F372&amp;"8komm",Покупка!$K$26:$K$254,0),2),""))</f>
        <v/>
      </c>
      <c r="BP372" s="215"/>
      <c r="BS372" s="705" t="s">
        <v>1135</v>
      </c>
    </row>
    <row r="373" spans="1:75" ht="0" hidden="1" customHeight="1">
      <c r="B373" s="34"/>
      <c r="C373" s="44"/>
      <c r="D373" s="44"/>
      <c r="E373" s="462">
        <v>15</v>
      </c>
      <c r="F373" s="3" t="str" cm="1">
        <f t="array" aca="1" ref="F373" ca="1">OFFSET(E373,-1,1)</f>
        <v>2</v>
      </c>
      <c r="G373" s="44"/>
      <c r="H373" s="44"/>
      <c r="I373" s="44" t="s">
        <v>2043</v>
      </c>
      <c r="J373" s="44"/>
      <c r="K373" s="44" t="s">
        <v>2043</v>
      </c>
      <c r="L373" s="44"/>
      <c r="M373" s="44"/>
      <c r="N373" s="44"/>
      <c r="O373" s="44"/>
      <c r="P373" s="44"/>
      <c r="Q373" s="44"/>
      <c r="R373" s="44"/>
      <c r="S373" s="44"/>
      <c r="T373" s="365" t="b" cm="1">
        <f t="array" aca="1" ref="T373" ca="1">T372</f>
        <v>1</v>
      </c>
      <c r="U373" s="44"/>
      <c r="V373" s="44"/>
      <c r="X373" s="1075"/>
      <c r="Z373" s="1065"/>
      <c r="AB373" s="152" t="s">
        <v>2044</v>
      </c>
      <c r="AC373" s="153" t="s">
        <v>2045</v>
      </c>
      <c r="AD373" s="26" t="s">
        <v>804</v>
      </c>
      <c r="AE373" s="147"/>
      <c r="AF373" s="147"/>
      <c r="AG373" s="147"/>
      <c r="AH373" s="190">
        <f t="shared" si="90"/>
        <v>0</v>
      </c>
      <c r="AI373" s="147"/>
      <c r="AJ373" s="147"/>
      <c r="AK373" s="787"/>
      <c r="AL373" s="787"/>
      <c r="AM373" s="787"/>
      <c r="AN373" s="787"/>
      <c r="AO373" s="787"/>
      <c r="AP373" s="787"/>
      <c r="AQ373" s="787"/>
      <c r="AR373" s="787"/>
      <c r="AS373" s="787"/>
      <c r="AT373" s="147"/>
      <c r="AU373" s="787"/>
      <c r="AV373" s="787"/>
      <c r="AW373" s="787"/>
      <c r="AX373" s="787"/>
      <c r="AY373" s="787"/>
      <c r="AZ373" s="787"/>
      <c r="BA373" s="787"/>
      <c r="BB373" s="787"/>
      <c r="BC373" s="787"/>
      <c r="BD373" s="190">
        <f t="shared" si="92"/>
        <v>0</v>
      </c>
      <c r="BE373" s="190">
        <f t="shared" si="93"/>
        <v>0</v>
      </c>
      <c r="BF373" s="190">
        <f t="shared" si="94"/>
        <v>0</v>
      </c>
      <c r="BG373" s="190">
        <f t="shared" si="95"/>
        <v>0</v>
      </c>
      <c r="BH373" s="190">
        <f t="shared" si="96"/>
        <v>0</v>
      </c>
      <c r="BI373" s="190">
        <f t="shared" si="97"/>
        <v>0</v>
      </c>
      <c r="BJ373" s="190">
        <f t="shared" si="98"/>
        <v>0</v>
      </c>
      <c r="BK373" s="190">
        <f t="shared" si="99"/>
        <v>0</v>
      </c>
      <c r="BL373" s="190">
        <f t="shared" si="100"/>
        <v>0</v>
      </c>
      <c r="BM373" s="190">
        <f t="shared" si="101"/>
        <v>0</v>
      </c>
      <c r="BN373" s="215"/>
      <c r="BO373" s="215"/>
      <c r="BP373" s="215"/>
      <c r="BS373" s="705" t="s">
        <v>2046</v>
      </c>
    </row>
    <row r="374" spans="1:75" ht="0" hidden="1" customHeight="1">
      <c r="B374" s="34"/>
      <c r="C374" s="44"/>
      <c r="D374" s="44"/>
      <c r="E374" s="462">
        <v>15</v>
      </c>
      <c r="F374" s="3" t="str" cm="1">
        <f t="array" aca="1" ref="F374" ca="1">OFFSET(E374,-1,1)</f>
        <v>2</v>
      </c>
      <c r="G374" s="44"/>
      <c r="H374" s="44"/>
      <c r="I374" s="44" t="s">
        <v>2047</v>
      </c>
      <c r="J374" s="44"/>
      <c r="K374" s="44" t="s">
        <v>2047</v>
      </c>
      <c r="L374" s="44"/>
      <c r="M374" s="44"/>
      <c r="N374" s="44"/>
      <c r="O374" s="44"/>
      <c r="P374" s="44"/>
      <c r="Q374" s="44"/>
      <c r="R374" s="44"/>
      <c r="S374" s="44"/>
      <c r="T374" s="365" t="b" cm="1">
        <f t="array" aca="1" ref="T374" ca="1">T373</f>
        <v>1</v>
      </c>
      <c r="U374" s="44"/>
      <c r="V374" s="44"/>
      <c r="X374" s="1075"/>
      <c r="Z374" s="1065"/>
      <c r="AB374" s="152" t="s">
        <v>2048</v>
      </c>
      <c r="AC374" s="153" t="s">
        <v>2049</v>
      </c>
      <c r="AD374" s="26" t="s">
        <v>804</v>
      </c>
      <c r="AE374" s="147"/>
      <c r="AF374" s="147"/>
      <c r="AG374" s="147"/>
      <c r="AH374" s="190">
        <f t="shared" si="90"/>
        <v>0</v>
      </c>
      <c r="AI374" s="147"/>
      <c r="AJ374" s="147"/>
      <c r="AK374" s="787"/>
      <c r="AL374" s="787"/>
      <c r="AM374" s="787"/>
      <c r="AN374" s="787"/>
      <c r="AO374" s="787"/>
      <c r="AP374" s="787"/>
      <c r="AQ374" s="787"/>
      <c r="AR374" s="787"/>
      <c r="AS374" s="787"/>
      <c r="AT374" s="147"/>
      <c r="AU374" s="787"/>
      <c r="AV374" s="787"/>
      <c r="AW374" s="787"/>
      <c r="AX374" s="787"/>
      <c r="AY374" s="787"/>
      <c r="AZ374" s="787"/>
      <c r="BA374" s="787"/>
      <c r="BB374" s="787"/>
      <c r="BC374" s="787"/>
      <c r="BD374" s="190">
        <f t="shared" si="92"/>
        <v>0</v>
      </c>
      <c r="BE374" s="190">
        <f t="shared" si="93"/>
        <v>0</v>
      </c>
      <c r="BF374" s="190">
        <f t="shared" si="94"/>
        <v>0</v>
      </c>
      <c r="BG374" s="190">
        <f t="shared" si="95"/>
        <v>0</v>
      </c>
      <c r="BH374" s="190">
        <f t="shared" si="96"/>
        <v>0</v>
      </c>
      <c r="BI374" s="190">
        <f t="shared" si="97"/>
        <v>0</v>
      </c>
      <c r="BJ374" s="190">
        <f t="shared" si="98"/>
        <v>0</v>
      </c>
      <c r="BK374" s="190">
        <f t="shared" si="99"/>
        <v>0</v>
      </c>
      <c r="BL374" s="190">
        <f t="shared" si="100"/>
        <v>0</v>
      </c>
      <c r="BM374" s="190">
        <f t="shared" si="101"/>
        <v>0</v>
      </c>
      <c r="BN374" s="215"/>
      <c r="BO374" s="215"/>
      <c r="BP374" s="215"/>
      <c r="BS374" s="705" t="s">
        <v>2050</v>
      </c>
    </row>
    <row r="375" spans="1:75" ht="0" hidden="1" customHeight="1">
      <c r="B375" s="34"/>
      <c r="C375" s="44"/>
      <c r="D375" s="44"/>
      <c r="E375" s="462">
        <v>15</v>
      </c>
      <c r="F375" s="3" t="str" cm="1">
        <f t="array" aca="1" ref="F375" ca="1">OFFSET(E375,-1,1)</f>
        <v>2</v>
      </c>
      <c r="G375" s="44" t="s">
        <v>1086</v>
      </c>
      <c r="H375" s="44"/>
      <c r="I375" s="44" t="s">
        <v>2051</v>
      </c>
      <c r="J375" s="44"/>
      <c r="K375" s="44" t="s">
        <v>2051</v>
      </c>
      <c r="L375" s="44" t="s">
        <v>1520</v>
      </c>
      <c r="M375" s="44"/>
      <c r="N375" s="44"/>
      <c r="O375" s="44"/>
      <c r="P375" s="44"/>
      <c r="Q375" s="44"/>
      <c r="R375" s="44"/>
      <c r="S375" s="44"/>
      <c r="T375" s="365" t="b" cm="1">
        <f t="array" aca="1" ref="T375" ca="1">T374</f>
        <v>1</v>
      </c>
      <c r="U375" s="44"/>
      <c r="V375" s="44"/>
      <c r="X375" s="1075"/>
      <c r="Z375" s="1065"/>
      <c r="AB375" s="152" t="s">
        <v>2052</v>
      </c>
      <c r="AC375" s="153" t="s">
        <v>2053</v>
      </c>
      <c r="AD375" s="26" t="s">
        <v>804</v>
      </c>
      <c r="AE375" s="190">
        <f ca="1">SUMIFS(Покупка!AE$25:AE$254,Покупка!$F$25:$F$254,$F375,Покупка!$AC$25:$AC$254,$G375)</f>
        <v>0</v>
      </c>
      <c r="AF375" s="190">
        <f ca="1">SUMIFS(Покупка!AF$25:AF$254,Покупка!$F$25:$F$254,$F375,Покупка!$AC$25:$AC$254,$G375)</f>
        <v>0</v>
      </c>
      <c r="AG375" s="190">
        <f ca="1">SUMIFS(Покупка!AG$25:AG$254,Покупка!$F$25:$F$254,$F375,Покупка!$AC$25:$AC$254,$G375)</f>
        <v>0</v>
      </c>
      <c r="AH375" s="190">
        <f t="shared" ca="1" si="90"/>
        <v>0</v>
      </c>
      <c r="AI375" s="190">
        <f ca="1">SUMIFS(Покупка!AH$25:AH$254,Покупка!$F$25:$F$254,$F375,Покупка!$AC$25:$AC$254,$G375)</f>
        <v>0</v>
      </c>
      <c r="AJ375" s="190">
        <f ca="1">SUMIFS(Покупка!AI$25:AI$254,Покупка!$F$25:$F$254,$F375,Покупка!$AC$25:$AC$254,$G375)</f>
        <v>0</v>
      </c>
      <c r="AK375" s="190">
        <f ca="1">SUMIFS(Покупка!AJ$25:AJ$254,Покупка!$F$25:$F$254,$F375,Покупка!$AC$25:$AC$254,$G375)</f>
        <v>0</v>
      </c>
      <c r="AL375" s="190">
        <f ca="1">SUMIFS(Покупка!AK$25:AK$254,Покупка!$F$25:$F$254,$F375,Покупка!$AC$25:$AC$254,$G375)</f>
        <v>0</v>
      </c>
      <c r="AM375" s="190">
        <f ca="1">SUMIFS(Покупка!AL$25:AL$254,Покупка!$F$25:$F$254,$F375,Покупка!$AC$25:$AC$254,$G375)</f>
        <v>0</v>
      </c>
      <c r="AN375" s="190">
        <f ca="1">SUMIFS(Покупка!AM$25:AM$254,Покупка!$F$25:$F$254,$F375,Покупка!$AC$25:$AC$254,$G375)</f>
        <v>0</v>
      </c>
      <c r="AO375" s="190">
        <f ca="1">SUMIFS(Покупка!AN$25:AN$254,Покупка!$F$25:$F$254,$F375,Покупка!$AC$25:$AC$254,$G375)</f>
        <v>0</v>
      </c>
      <c r="AP375" s="190">
        <f ca="1">SUMIFS(Покупка!AO$25:AO$254,Покупка!$F$25:$F$254,$F375,Покупка!$AC$25:$AC$254,$G375)</f>
        <v>0</v>
      </c>
      <c r="AQ375" s="190">
        <f ca="1">SUMIFS(Покупка!AP$25:AP$254,Покупка!$F$25:$F$254,$F375,Покупка!$AC$25:$AC$254,$G375)</f>
        <v>0</v>
      </c>
      <c r="AR375" s="190">
        <f ca="1">SUMIFS(Покупка!AQ$25:AQ$254,Покупка!$F$25:$F$254,$F375,Покупка!$AC$25:$AC$254,$G375)</f>
        <v>0</v>
      </c>
      <c r="AS375" s="190">
        <f ca="1">SUMIFS(Покупка!AR$25:AR$254,Покупка!$F$25:$F$254,$F375,Покупка!$AC$25:$AC$254,$G375)</f>
        <v>0</v>
      </c>
      <c r="AT375" s="190">
        <f ca="1">SUMIFS(Покупка!AS$25:AS$254,Покупка!$F$25:$F$254,$F375,Покупка!$AC$25:$AC$254,$G375)</f>
        <v>0</v>
      </c>
      <c r="AU375" s="190">
        <f ca="1">SUMIFS(Покупка!AT$25:AT$254,Покупка!$F$25:$F$254,$F375,Покупка!$AC$25:$AC$254,$G375)</f>
        <v>0</v>
      </c>
      <c r="AV375" s="190">
        <f ca="1">SUMIFS(Покупка!AU$25:AU$254,Покупка!$F$25:$F$254,$F375,Покупка!$AC$25:$AC$254,$G375)</f>
        <v>0</v>
      </c>
      <c r="AW375" s="190">
        <f ca="1">SUMIFS(Покупка!AV$25:AV$254,Покупка!$F$25:$F$254,$F375,Покупка!$AC$25:$AC$254,$G375)</f>
        <v>0</v>
      </c>
      <c r="AX375" s="190">
        <f ca="1">SUMIFS(Покупка!AW$25:AW$254,Покупка!$F$25:$F$254,$F375,Покупка!$AC$25:$AC$254,$G375)</f>
        <v>0</v>
      </c>
      <c r="AY375" s="190">
        <f ca="1">SUMIFS(Покупка!AX$25:AX$254,Покупка!$F$25:$F$254,$F375,Покупка!$AC$25:$AC$254,$G375)</f>
        <v>0</v>
      </c>
      <c r="AZ375" s="190">
        <f ca="1">SUMIFS(Покупка!AY$25:AY$254,Покупка!$F$25:$F$254,$F375,Покупка!$AC$25:$AC$254,$G375)</f>
        <v>0</v>
      </c>
      <c r="BA375" s="190">
        <f ca="1">SUMIFS(Покупка!AZ$25:AZ$254,Покупка!$F$25:$F$254,$F375,Покупка!$AC$25:$AC$254,$G375)</f>
        <v>0</v>
      </c>
      <c r="BB375" s="190">
        <f ca="1">SUMIFS(Покупка!BA$25:BA$254,Покупка!$F$25:$F$254,$F375,Покупка!$AC$25:$AC$254,$G375)</f>
        <v>0</v>
      </c>
      <c r="BC375" s="190">
        <f ca="1">SUMIFS(Покупка!BB$25:BB$254,Покупка!$F$25:$F$254,$F375,Покупка!$AC$25:$AC$254,$G375)</f>
        <v>0</v>
      </c>
      <c r="BD375" s="190">
        <f t="shared" ca="1" si="92"/>
        <v>0</v>
      </c>
      <c r="BE375" s="190">
        <f t="shared" ca="1" si="93"/>
        <v>0</v>
      </c>
      <c r="BF375" s="190">
        <f t="shared" ca="1" si="94"/>
        <v>0</v>
      </c>
      <c r="BG375" s="190">
        <f t="shared" ca="1" si="95"/>
        <v>0</v>
      </c>
      <c r="BH375" s="190">
        <f t="shared" ca="1" si="96"/>
        <v>0</v>
      </c>
      <c r="BI375" s="190">
        <f t="shared" ca="1" si="97"/>
        <v>0</v>
      </c>
      <c r="BJ375" s="190">
        <f t="shared" ca="1" si="98"/>
        <v>0</v>
      </c>
      <c r="BK375" s="190">
        <f t="shared" ca="1" si="99"/>
        <v>0</v>
      </c>
      <c r="BL375" s="190">
        <f t="shared" ca="1" si="100"/>
        <v>0</v>
      </c>
      <c r="BM375" s="190">
        <f t="shared" ca="1" si="101"/>
        <v>0</v>
      </c>
      <c r="BN375" s="215"/>
      <c r="BO375" s="610" t="str">
        <f ca="1">IF(IFERROR(INDEX(Покупка!$K$26:$L$254,MATCH($F375&amp;"3komm",Покупка!$K$26:$K$254,0),2),"")=0,"",IFERROR(INDEX(Покупка!$K$26:$L$254,MATCH($F375&amp;"3komm",Покупка!$K$26:$K$254,0),2),""))</f>
        <v/>
      </c>
      <c r="BP375" s="215"/>
      <c r="BS375" s="705" t="s">
        <v>1746</v>
      </c>
    </row>
    <row r="376" spans="1:75" ht="0" hidden="1" customHeight="1">
      <c r="B376" s="34"/>
      <c r="C376" s="44"/>
      <c r="D376" s="44"/>
      <c r="E376" s="462">
        <v>15</v>
      </c>
      <c r="F376" s="3" t="str" cm="1">
        <f t="array" aca="1" ref="F376" ca="1">OFFSET(E376,-1,1)</f>
        <v>2</v>
      </c>
      <c r="G376" s="44" t="s">
        <v>1092</v>
      </c>
      <c r="H376" s="44"/>
      <c r="I376" s="44" t="s">
        <v>2054</v>
      </c>
      <c r="J376" s="44"/>
      <c r="K376" s="44" t="s">
        <v>2054</v>
      </c>
      <c r="L376" s="44" t="s">
        <v>1525</v>
      </c>
      <c r="M376" s="44"/>
      <c r="N376" s="44"/>
      <c r="O376" s="44"/>
      <c r="P376" s="44"/>
      <c r="Q376" s="44"/>
      <c r="R376" s="44"/>
      <c r="S376" s="44"/>
      <c r="T376" s="365" t="b" cm="1">
        <f t="array" aca="1" ref="T376" ca="1">T375</f>
        <v>1</v>
      </c>
      <c r="U376" s="44"/>
      <c r="V376" s="44"/>
      <c r="X376" s="1075"/>
      <c r="Z376" s="1065"/>
      <c r="AB376" s="152" t="s">
        <v>2055</v>
      </c>
      <c r="AC376" s="153" t="s">
        <v>2056</v>
      </c>
      <c r="AD376" s="26" t="s">
        <v>804</v>
      </c>
      <c r="AE376" s="190">
        <f ca="1">SUMIFS(Покупка!AE$25:AE$254,Покупка!$F$25:$F$254,$F376,Покупка!$AC$25:$AC$254,$G376)</f>
        <v>0</v>
      </c>
      <c r="AF376" s="190">
        <f ca="1">SUMIFS(Покупка!AF$25:AF$254,Покупка!$F$25:$F$254,$F376,Покупка!$AC$25:$AC$254,$G376)</f>
        <v>0</v>
      </c>
      <c r="AG376" s="190">
        <f ca="1">SUMIFS(Покупка!AG$25:AG$254,Покупка!$F$25:$F$254,$F376,Покупка!$AC$25:$AC$254,$G376)</f>
        <v>0</v>
      </c>
      <c r="AH376" s="190">
        <f t="shared" ca="1" si="90"/>
        <v>0</v>
      </c>
      <c r="AI376" s="190">
        <f ca="1">SUMIFS(Покупка!AH$25:AH$254,Покупка!$F$25:$F$254,$F376,Покупка!$AC$25:$AC$254,$G376)</f>
        <v>0</v>
      </c>
      <c r="AJ376" s="190">
        <f ca="1">SUMIFS(Покупка!AI$25:AI$254,Покупка!$F$25:$F$254,$F376,Покупка!$AC$25:$AC$254,$G376)</f>
        <v>0</v>
      </c>
      <c r="AK376" s="190">
        <f ca="1">SUMIFS(Покупка!AJ$25:AJ$254,Покупка!$F$25:$F$254,$F376,Покупка!$AC$25:$AC$254,$G376)</f>
        <v>0</v>
      </c>
      <c r="AL376" s="190">
        <f ca="1">SUMIFS(Покупка!AK$25:AK$254,Покупка!$F$25:$F$254,$F376,Покупка!$AC$25:$AC$254,$G376)</f>
        <v>0</v>
      </c>
      <c r="AM376" s="190">
        <f ca="1">SUMIFS(Покупка!AL$25:AL$254,Покупка!$F$25:$F$254,$F376,Покупка!$AC$25:$AC$254,$G376)</f>
        <v>0</v>
      </c>
      <c r="AN376" s="190">
        <f ca="1">SUMIFS(Покупка!AM$25:AM$254,Покупка!$F$25:$F$254,$F376,Покупка!$AC$25:$AC$254,$G376)</f>
        <v>0</v>
      </c>
      <c r="AO376" s="190">
        <f ca="1">SUMIFS(Покупка!AN$25:AN$254,Покупка!$F$25:$F$254,$F376,Покупка!$AC$25:$AC$254,$G376)</f>
        <v>0</v>
      </c>
      <c r="AP376" s="190">
        <f ca="1">SUMIFS(Покупка!AO$25:AO$254,Покупка!$F$25:$F$254,$F376,Покупка!$AC$25:$AC$254,$G376)</f>
        <v>0</v>
      </c>
      <c r="AQ376" s="190">
        <f ca="1">SUMIFS(Покупка!AP$25:AP$254,Покупка!$F$25:$F$254,$F376,Покупка!$AC$25:$AC$254,$G376)</f>
        <v>0</v>
      </c>
      <c r="AR376" s="190">
        <f ca="1">SUMIFS(Покупка!AQ$25:AQ$254,Покупка!$F$25:$F$254,$F376,Покупка!$AC$25:$AC$254,$G376)</f>
        <v>0</v>
      </c>
      <c r="AS376" s="190">
        <f ca="1">SUMIFS(Покупка!AR$25:AR$254,Покупка!$F$25:$F$254,$F376,Покупка!$AC$25:$AC$254,$G376)</f>
        <v>0</v>
      </c>
      <c r="AT376" s="190">
        <f ca="1">SUMIFS(Покупка!AS$25:AS$254,Покупка!$F$25:$F$254,$F376,Покупка!$AC$25:$AC$254,$G376)</f>
        <v>0</v>
      </c>
      <c r="AU376" s="190">
        <f ca="1">SUMIFS(Покупка!AT$25:AT$254,Покупка!$F$25:$F$254,$F376,Покупка!$AC$25:$AC$254,$G376)</f>
        <v>0</v>
      </c>
      <c r="AV376" s="190">
        <f ca="1">SUMIFS(Покупка!AU$25:AU$254,Покупка!$F$25:$F$254,$F376,Покупка!$AC$25:$AC$254,$G376)</f>
        <v>0</v>
      </c>
      <c r="AW376" s="190">
        <f ca="1">SUMIFS(Покупка!AV$25:AV$254,Покупка!$F$25:$F$254,$F376,Покупка!$AC$25:$AC$254,$G376)</f>
        <v>0</v>
      </c>
      <c r="AX376" s="190">
        <f ca="1">SUMIFS(Покупка!AW$25:AW$254,Покупка!$F$25:$F$254,$F376,Покупка!$AC$25:$AC$254,$G376)</f>
        <v>0</v>
      </c>
      <c r="AY376" s="190">
        <f ca="1">SUMIFS(Покупка!AX$25:AX$254,Покупка!$F$25:$F$254,$F376,Покупка!$AC$25:$AC$254,$G376)</f>
        <v>0</v>
      </c>
      <c r="AZ376" s="190">
        <f ca="1">SUMIFS(Покупка!AY$25:AY$254,Покупка!$F$25:$F$254,$F376,Покупка!$AC$25:$AC$254,$G376)</f>
        <v>0</v>
      </c>
      <c r="BA376" s="190">
        <f ca="1">SUMIFS(Покупка!AZ$25:AZ$254,Покупка!$F$25:$F$254,$F376,Покупка!$AC$25:$AC$254,$G376)</f>
        <v>0</v>
      </c>
      <c r="BB376" s="190">
        <f ca="1">SUMIFS(Покупка!BA$25:BA$254,Покупка!$F$25:$F$254,$F376,Покупка!$AC$25:$AC$254,$G376)</f>
        <v>0</v>
      </c>
      <c r="BC376" s="190">
        <f ca="1">SUMIFS(Покупка!BB$25:BB$254,Покупка!$F$25:$F$254,$F376,Покупка!$AC$25:$AC$254,$G376)</f>
        <v>0</v>
      </c>
      <c r="BD376" s="190">
        <f t="shared" ca="1" si="92"/>
        <v>0</v>
      </c>
      <c r="BE376" s="190">
        <f t="shared" ca="1" si="93"/>
        <v>0</v>
      </c>
      <c r="BF376" s="190">
        <f t="shared" ca="1" si="94"/>
        <v>0</v>
      </c>
      <c r="BG376" s="190">
        <f t="shared" ca="1" si="95"/>
        <v>0</v>
      </c>
      <c r="BH376" s="190">
        <f t="shared" ca="1" si="96"/>
        <v>0</v>
      </c>
      <c r="BI376" s="190">
        <f t="shared" ca="1" si="97"/>
        <v>0</v>
      </c>
      <c r="BJ376" s="190">
        <f t="shared" ca="1" si="98"/>
        <v>0</v>
      </c>
      <c r="BK376" s="190">
        <f t="shared" ca="1" si="99"/>
        <v>0</v>
      </c>
      <c r="BL376" s="190">
        <f t="shared" ca="1" si="100"/>
        <v>0</v>
      </c>
      <c r="BM376" s="190">
        <f t="shared" ca="1" si="101"/>
        <v>0</v>
      </c>
      <c r="BN376" s="215"/>
      <c r="BO376" s="610" t="str">
        <f ca="1">IF(IFERROR(INDEX(Покупка!$K$26:$L$254,MATCH($F376&amp;"4komm",Покупка!$K$26:$K$254,0),2),"")=0,"",IFERROR(INDEX(Покупка!$K$26:$L$254,MATCH($F375&amp;"3komm",Покупка!$K$26:$K$254,0),2),""))</f>
        <v/>
      </c>
      <c r="BP376" s="215"/>
      <c r="BS376" s="705" t="s">
        <v>1749</v>
      </c>
    </row>
    <row r="377" spans="1:75" ht="0" hidden="1" customHeight="1">
      <c r="B377" s="34"/>
      <c r="C377" s="44"/>
      <c r="D377" s="44"/>
      <c r="E377" s="462">
        <v>15</v>
      </c>
      <c r="F377" s="3" t="str" cm="1">
        <f t="array" aca="1" ref="F377" ca="1">OFFSET(E377,-1,1)</f>
        <v>2</v>
      </c>
      <c r="G377" s="44" t="s">
        <v>1099</v>
      </c>
      <c r="H377" s="44"/>
      <c r="I377" s="44" t="s">
        <v>2057</v>
      </c>
      <c r="J377" s="44"/>
      <c r="K377" s="44" t="s">
        <v>2057</v>
      </c>
      <c r="L377" s="44" t="s">
        <v>1535</v>
      </c>
      <c r="M377" s="44"/>
      <c r="N377" s="44"/>
      <c r="O377" s="44"/>
      <c r="P377" s="44"/>
      <c r="Q377" s="44"/>
      <c r="R377" s="44"/>
      <c r="S377" s="44"/>
      <c r="T377" s="365" t="b" cm="1">
        <f t="array" aca="1" ref="T377" ca="1">T376</f>
        <v>1</v>
      </c>
      <c r="U377" s="44"/>
      <c r="V377" s="44"/>
      <c r="X377" s="1075"/>
      <c r="Z377" s="1065"/>
      <c r="AB377" s="152" t="s">
        <v>2058</v>
      </c>
      <c r="AC377" s="153" t="s">
        <v>2059</v>
      </c>
      <c r="AD377" s="26" t="s">
        <v>804</v>
      </c>
      <c r="AE377" s="190">
        <f ca="1">SUMIFS(Покупка!AE$25:AE$254,Покупка!$F$25:$F$254,$F377,Покупка!$AC$25:$AC$254,$G377)</f>
        <v>0</v>
      </c>
      <c r="AF377" s="190">
        <f ca="1">SUMIFS(Покупка!AF$25:AF$254,Покупка!$F$25:$F$254,$F377,Покупка!$AC$25:$AC$254,$G377)</f>
        <v>0</v>
      </c>
      <c r="AG377" s="190">
        <f ca="1">SUMIFS(Покупка!AG$25:AG$254,Покупка!$F$25:$F$254,$F377,Покупка!$AC$25:$AC$254,$G377)</f>
        <v>0</v>
      </c>
      <c r="AH377" s="190">
        <f t="shared" ca="1" si="90"/>
        <v>0</v>
      </c>
      <c r="AI377" s="190">
        <f ca="1">SUMIFS(Покупка!AH$25:AH$254,Покупка!$F$25:$F$254,$F377,Покупка!$AC$25:$AC$254,$G377)</f>
        <v>0</v>
      </c>
      <c r="AJ377" s="190">
        <f ca="1">SUMIFS(Покупка!AI$25:AI$254,Покупка!$F$25:$F$254,$F377,Покупка!$AC$25:$AC$254,$G377)</f>
        <v>0</v>
      </c>
      <c r="AK377" s="190">
        <f ca="1">SUMIFS(Покупка!AJ$25:AJ$254,Покупка!$F$25:$F$254,$F377,Покупка!$AC$25:$AC$254,$G377)</f>
        <v>0</v>
      </c>
      <c r="AL377" s="190">
        <f ca="1">SUMIFS(Покупка!AK$25:AK$254,Покупка!$F$25:$F$254,$F377,Покупка!$AC$25:$AC$254,$G377)</f>
        <v>0</v>
      </c>
      <c r="AM377" s="190">
        <f ca="1">SUMIFS(Покупка!AL$25:AL$254,Покупка!$F$25:$F$254,$F377,Покупка!$AC$25:$AC$254,$G377)</f>
        <v>0</v>
      </c>
      <c r="AN377" s="190">
        <f ca="1">SUMIFS(Покупка!AM$25:AM$254,Покупка!$F$25:$F$254,$F377,Покупка!$AC$25:$AC$254,$G377)</f>
        <v>0</v>
      </c>
      <c r="AO377" s="190">
        <f ca="1">SUMIFS(Покупка!AN$25:AN$254,Покупка!$F$25:$F$254,$F377,Покупка!$AC$25:$AC$254,$G377)</f>
        <v>0</v>
      </c>
      <c r="AP377" s="190">
        <f ca="1">SUMIFS(Покупка!AO$25:AO$254,Покупка!$F$25:$F$254,$F377,Покупка!$AC$25:$AC$254,$G377)</f>
        <v>0</v>
      </c>
      <c r="AQ377" s="190">
        <f ca="1">SUMIFS(Покупка!AP$25:AP$254,Покупка!$F$25:$F$254,$F377,Покупка!$AC$25:$AC$254,$G377)</f>
        <v>0</v>
      </c>
      <c r="AR377" s="190">
        <f ca="1">SUMIFS(Покупка!AQ$25:AQ$254,Покупка!$F$25:$F$254,$F377,Покупка!$AC$25:$AC$254,$G377)</f>
        <v>0</v>
      </c>
      <c r="AS377" s="190">
        <f ca="1">SUMIFS(Покупка!AR$25:AR$254,Покупка!$F$25:$F$254,$F377,Покупка!$AC$25:$AC$254,$G377)</f>
        <v>0</v>
      </c>
      <c r="AT377" s="190">
        <f ca="1">SUMIFS(Покупка!AS$25:AS$254,Покупка!$F$25:$F$254,$F377,Покупка!$AC$25:$AC$254,$G377)</f>
        <v>0</v>
      </c>
      <c r="AU377" s="190">
        <f ca="1">SUMIFS(Покупка!AT$25:AT$254,Покупка!$F$25:$F$254,$F377,Покупка!$AC$25:$AC$254,$G377)</f>
        <v>0</v>
      </c>
      <c r="AV377" s="190">
        <f ca="1">SUMIFS(Покупка!AU$25:AU$254,Покупка!$F$25:$F$254,$F377,Покупка!$AC$25:$AC$254,$G377)</f>
        <v>0</v>
      </c>
      <c r="AW377" s="190">
        <f ca="1">SUMIFS(Покупка!AV$25:AV$254,Покупка!$F$25:$F$254,$F377,Покупка!$AC$25:$AC$254,$G377)</f>
        <v>0</v>
      </c>
      <c r="AX377" s="190">
        <f ca="1">SUMIFS(Покупка!AW$25:AW$254,Покупка!$F$25:$F$254,$F377,Покупка!$AC$25:$AC$254,$G377)</f>
        <v>0</v>
      </c>
      <c r="AY377" s="190">
        <f ca="1">SUMIFS(Покупка!AX$25:AX$254,Покупка!$F$25:$F$254,$F377,Покупка!$AC$25:$AC$254,$G377)</f>
        <v>0</v>
      </c>
      <c r="AZ377" s="190">
        <f ca="1">SUMIFS(Покупка!AY$25:AY$254,Покупка!$F$25:$F$254,$F377,Покупка!$AC$25:$AC$254,$G377)</f>
        <v>0</v>
      </c>
      <c r="BA377" s="190">
        <f ca="1">SUMIFS(Покупка!AZ$25:AZ$254,Покупка!$F$25:$F$254,$F377,Покупка!$AC$25:$AC$254,$G377)</f>
        <v>0</v>
      </c>
      <c r="BB377" s="190">
        <f ca="1">SUMIFS(Покупка!BA$25:BA$254,Покупка!$F$25:$F$254,$F377,Покупка!$AC$25:$AC$254,$G377)</f>
        <v>0</v>
      </c>
      <c r="BC377" s="190">
        <f ca="1">SUMIFS(Покупка!BB$25:BB$254,Покупка!$F$25:$F$254,$F377,Покупка!$AC$25:$AC$254,$G377)</f>
        <v>0</v>
      </c>
      <c r="BD377" s="190">
        <f t="shared" ca="1" si="92"/>
        <v>0</v>
      </c>
      <c r="BE377" s="190">
        <f t="shared" ca="1" si="93"/>
        <v>0</v>
      </c>
      <c r="BF377" s="190">
        <f t="shared" ca="1" si="94"/>
        <v>0</v>
      </c>
      <c r="BG377" s="190">
        <f t="shared" ca="1" si="95"/>
        <v>0</v>
      </c>
      <c r="BH377" s="190">
        <f t="shared" ca="1" si="96"/>
        <v>0</v>
      </c>
      <c r="BI377" s="190">
        <f t="shared" ca="1" si="97"/>
        <v>0</v>
      </c>
      <c r="BJ377" s="190">
        <f t="shared" ca="1" si="98"/>
        <v>0</v>
      </c>
      <c r="BK377" s="190">
        <f t="shared" ca="1" si="99"/>
        <v>0</v>
      </c>
      <c r="BL377" s="190">
        <f t="shared" ca="1" si="100"/>
        <v>0</v>
      </c>
      <c r="BM377" s="190">
        <f t="shared" ca="1" si="101"/>
        <v>0</v>
      </c>
      <c r="BN377" s="215"/>
      <c r="BO377" s="610" t="str">
        <f ca="1">IF(IFERROR(INDEX(Покупка!$K$26:$L$254,MATCH($F377&amp;"5komm",Покупка!$K$26:$K$254,0),2),"")=0,"",IFERROR(INDEX(Покупка!$K$26:$L$254,MATCH($F377&amp;"5komm",Покупка!$K$26:$K$254,0),2),""))</f>
        <v/>
      </c>
      <c r="BP377" s="215"/>
      <c r="BS377" s="705" t="s">
        <v>1752</v>
      </c>
    </row>
    <row r="378" spans="1:75" s="388" customFormat="1" ht="0" hidden="1" customHeight="1">
      <c r="B378" s="34"/>
      <c r="C378" s="44"/>
      <c r="D378" s="44"/>
      <c r="E378" s="462">
        <v>15</v>
      </c>
      <c r="F378" s="3" t="str" cm="1">
        <f t="array" aca="1" ref="F378" ca="1">OFFSET(E378,-1,1)</f>
        <v>2</v>
      </c>
      <c r="G378" s="44" t="s">
        <v>1140</v>
      </c>
      <c r="H378" s="44"/>
      <c r="I378" s="44"/>
      <c r="J378" s="44"/>
      <c r="K378" s="44"/>
      <c r="L378" s="44" t="s">
        <v>1502</v>
      </c>
      <c r="M378" s="44"/>
      <c r="N378" s="44"/>
      <c r="O378" s="44"/>
      <c r="P378" s="44"/>
      <c r="Q378" s="44"/>
      <c r="R378" s="44"/>
      <c r="S378" s="44"/>
      <c r="T378" s="365" t="b" cm="1">
        <f t="array" aca="1" ref="T378" ca="1">T377</f>
        <v>1</v>
      </c>
      <c r="U378" s="44"/>
      <c r="V378" s="44"/>
      <c r="X378" s="1075"/>
      <c r="Z378" s="1065"/>
      <c r="AB378" s="152" t="s">
        <v>2060</v>
      </c>
      <c r="AC378" s="153" t="s">
        <v>2061</v>
      </c>
      <c r="AD378" s="26" t="s">
        <v>804</v>
      </c>
      <c r="AE378" s="190">
        <f ca="1">SUMIFS(Покупка!AE$25:AE$254,Покупка!$F$25:$F$254,$F378,Покупка!$AC$25:$AC$254,$G378)</f>
        <v>0</v>
      </c>
      <c r="AF378" s="190">
        <f ca="1">SUMIFS(Покупка!AF$25:AF$254,Покупка!$F$25:$F$254,$F378,Покупка!$AC$25:$AC$254,$G378)</f>
        <v>0</v>
      </c>
      <c r="AG378" s="190">
        <f ca="1">SUMIFS(Покупка!AG$25:AG$254,Покупка!$F$25:$F$254,$F378,Покупка!$AC$25:$AC$254,$G378)</f>
        <v>0</v>
      </c>
      <c r="AH378" s="190">
        <f t="shared" ca="1" si="90"/>
        <v>0</v>
      </c>
      <c r="AI378" s="190">
        <f ca="1">SUMIFS(Покупка!AH$25:AH$254,Покупка!$F$25:$F$254,$F378,Покупка!$AC$25:$AC$254,$G378)</f>
        <v>0</v>
      </c>
      <c r="AJ378" s="190">
        <f ca="1">SUMIFS(Покупка!AI$25:AI$254,Покупка!$F$25:$F$254,$F378,Покупка!$AC$25:$AC$254,$G378)</f>
        <v>0</v>
      </c>
      <c r="AK378" s="190">
        <f ca="1">SUMIFS(Покупка!AJ$25:AJ$254,Покупка!$F$25:$F$254,$F378,Покупка!$AC$25:$AC$254,$G378)</f>
        <v>0</v>
      </c>
      <c r="AL378" s="190">
        <f ca="1">SUMIFS(Покупка!AK$25:AK$254,Покупка!$F$25:$F$254,$F378,Покупка!$AC$25:$AC$254,$G378)</f>
        <v>0</v>
      </c>
      <c r="AM378" s="190">
        <f ca="1">SUMIFS(Покупка!AL$25:AL$254,Покупка!$F$25:$F$254,$F378,Покупка!$AC$25:$AC$254,$G378)</f>
        <v>0</v>
      </c>
      <c r="AN378" s="190">
        <f ca="1">SUMIFS(Покупка!AM$25:AM$254,Покупка!$F$25:$F$254,$F378,Покупка!$AC$25:$AC$254,$G378)</f>
        <v>0</v>
      </c>
      <c r="AO378" s="190">
        <f ca="1">SUMIFS(Покупка!AN$25:AN$254,Покупка!$F$25:$F$254,$F378,Покупка!$AC$25:$AC$254,$G378)</f>
        <v>0</v>
      </c>
      <c r="AP378" s="190">
        <f ca="1">SUMIFS(Покупка!AO$25:AO$254,Покупка!$F$25:$F$254,$F378,Покупка!$AC$25:$AC$254,$G378)</f>
        <v>0</v>
      </c>
      <c r="AQ378" s="190">
        <f ca="1">SUMIFS(Покупка!AP$25:AP$254,Покупка!$F$25:$F$254,$F378,Покупка!$AC$25:$AC$254,$G378)</f>
        <v>0</v>
      </c>
      <c r="AR378" s="190">
        <f ca="1">SUMIFS(Покупка!AQ$25:AQ$254,Покупка!$F$25:$F$254,$F378,Покупка!$AC$25:$AC$254,$G378)</f>
        <v>0</v>
      </c>
      <c r="AS378" s="190">
        <f ca="1">SUMIFS(Покупка!AR$25:AR$254,Покупка!$F$25:$F$254,$F378,Покупка!$AC$25:$AC$254,$G378)</f>
        <v>0</v>
      </c>
      <c r="AT378" s="190">
        <f ca="1">SUMIFS(Покупка!AS$25:AS$254,Покупка!$F$25:$F$254,$F378,Покупка!$AC$25:$AC$254,$G378)</f>
        <v>0</v>
      </c>
      <c r="AU378" s="190">
        <f ca="1">SUMIFS(Покупка!AT$25:AT$254,Покупка!$F$25:$F$254,$F378,Покупка!$AC$25:$AC$254,$G378)</f>
        <v>0</v>
      </c>
      <c r="AV378" s="190">
        <f ca="1">SUMIFS(Покупка!AU$25:AU$254,Покупка!$F$25:$F$254,$F378,Покупка!$AC$25:$AC$254,$G378)</f>
        <v>0</v>
      </c>
      <c r="AW378" s="190">
        <f ca="1">SUMIFS(Покупка!AV$25:AV$254,Покупка!$F$25:$F$254,$F378,Покупка!$AC$25:$AC$254,$G378)</f>
        <v>0</v>
      </c>
      <c r="AX378" s="190">
        <f ca="1">SUMIFS(Покупка!AW$25:AW$254,Покупка!$F$25:$F$254,$F378,Покупка!$AC$25:$AC$254,$G378)</f>
        <v>0</v>
      </c>
      <c r="AY378" s="190">
        <f ca="1">SUMIFS(Покупка!AX$25:AX$254,Покупка!$F$25:$F$254,$F378,Покупка!$AC$25:$AC$254,$G378)</f>
        <v>0</v>
      </c>
      <c r="AZ378" s="190">
        <f ca="1">SUMIFS(Покупка!AY$25:AY$254,Покупка!$F$25:$F$254,$F378,Покупка!$AC$25:$AC$254,$G378)</f>
        <v>0</v>
      </c>
      <c r="BA378" s="190">
        <f ca="1">SUMIFS(Покупка!AZ$25:AZ$254,Покупка!$F$25:$F$254,$F378,Покупка!$AC$25:$AC$254,$G378)</f>
        <v>0</v>
      </c>
      <c r="BB378" s="190">
        <f ca="1">SUMIFS(Покупка!BA$25:BA$254,Покупка!$F$25:$F$254,$F378,Покупка!$AC$25:$AC$254,$G378)</f>
        <v>0</v>
      </c>
      <c r="BC378" s="190">
        <f ca="1">SUMIFS(Покупка!BB$25:BB$254,Покупка!$F$25:$F$254,$F378,Покупка!$AC$25:$AC$254,$G378)</f>
        <v>0</v>
      </c>
      <c r="BD378" s="190">
        <f t="shared" ca="1" si="92"/>
        <v>0</v>
      </c>
      <c r="BE378" s="190">
        <f t="shared" ca="1" si="93"/>
        <v>0</v>
      </c>
      <c r="BF378" s="190">
        <f t="shared" ca="1" si="94"/>
        <v>0</v>
      </c>
      <c r="BG378" s="190">
        <f t="shared" ca="1" si="95"/>
        <v>0</v>
      </c>
      <c r="BH378" s="190">
        <f t="shared" ca="1" si="96"/>
        <v>0</v>
      </c>
      <c r="BI378" s="190">
        <f t="shared" ca="1" si="97"/>
        <v>0</v>
      </c>
      <c r="BJ378" s="190">
        <f t="shared" ca="1" si="98"/>
        <v>0</v>
      </c>
      <c r="BK378" s="190">
        <f t="shared" ca="1" si="99"/>
        <v>0</v>
      </c>
      <c r="BL378" s="190">
        <f t="shared" ca="1" si="100"/>
        <v>0</v>
      </c>
      <c r="BM378" s="190">
        <f t="shared" ca="1" si="101"/>
        <v>0</v>
      </c>
      <c r="BN378" s="215"/>
      <c r="BO378" s="610" t="str">
        <f ca="1">IF(IFERROR(INDEX(Покупка!$K$26:$L$254,MATCH($F378&amp;"9komm",Покупка!$K$26:$K$254,0),2),"")=0,"",IFERROR(INDEX(Покупка!$K$26:$L$254,MATCH($F378&amp;"9komm",Покупка!$K$26:$K$254,0),2),""))</f>
        <v/>
      </c>
      <c r="BP378" s="215"/>
      <c r="BS378" s="705" t="s">
        <v>1141</v>
      </c>
      <c r="BT378" s="705"/>
      <c r="BU378" s="705"/>
      <c r="BV378" s="518"/>
      <c r="BW378" s="518"/>
    </row>
    <row r="379" spans="1:75" ht="22.9" customHeight="1">
      <c r="B379" s="34"/>
      <c r="C379" s="44"/>
      <c r="D379" s="44"/>
      <c r="E379" s="462">
        <v>15</v>
      </c>
      <c r="F379" s="3" t="str" cm="1">
        <f t="array" aca="1" ref="F379" ca="1">OFFSET(E379,-1,1)</f>
        <v>2</v>
      </c>
      <c r="G379" s="44"/>
      <c r="H379" s="44"/>
      <c r="I379" s="44" t="s">
        <v>482</v>
      </c>
      <c r="J379" s="44"/>
      <c r="K379" s="44" t="s">
        <v>482</v>
      </c>
      <c r="L379" s="44"/>
      <c r="M379" s="44"/>
      <c r="N379" s="44"/>
      <c r="O379" s="44"/>
      <c r="P379" s="44"/>
      <c r="Q379" s="44"/>
      <c r="R379" s="44"/>
      <c r="S379" s="44"/>
      <c r="T379" s="365" t="b" cm="1">
        <f t="array" aca="1" ref="T379" ca="1">T378</f>
        <v>1</v>
      </c>
      <c r="U379" s="44"/>
      <c r="V379" s="44"/>
      <c r="X379" s="1075"/>
      <c r="Z379" s="1065"/>
      <c r="AB379" s="152" t="s">
        <v>541</v>
      </c>
      <c r="AC379" s="146" t="s">
        <v>2062</v>
      </c>
      <c r="AD379" s="118" t="s">
        <v>804</v>
      </c>
      <c r="AE379" s="190">
        <f ca="1">SUMIFS('Сырье и материалы'!AE$25:AE$96,'Сырье и материалы'!$F$25:$F$96,$F379,'Сырье и материалы'!$I$25:$I$96,"Реагенты")</f>
        <v>155.17450814470001</v>
      </c>
      <c r="AF379" s="190">
        <f ca="1">SUMIFS('Сырье и материалы'!AF$25:AF$96,'Сырье и материалы'!$F$25:$F$96,$F379,'Сырье и материалы'!$I$25:$I$96,"Реагенты")</f>
        <v>93.92</v>
      </c>
      <c r="AG379" s="190">
        <f ca="1">SUMIFS('Сырье и материалы'!AG$25:AG$96,'Сырье и материалы'!$F$25:$F$96,$F379,'Сырье и материалы'!$I$25:$I$96,"Реагенты")</f>
        <v>93.92</v>
      </c>
      <c r="AH379" s="190">
        <f t="shared" ca="1" si="90"/>
        <v>0</v>
      </c>
      <c r="AI379" s="190">
        <f ca="1">SUMIFS('Сырье и материалы'!AH$25:AH$96,'Сырье и материалы'!$F$25:$F$96,$F379,'Сырье и материалы'!$I$25:$I$96,"Реагенты")</f>
        <v>153.09607500000001</v>
      </c>
      <c r="AJ379" s="190">
        <f ca="1">SUMIFS('Сырье и материалы'!AI$25:AI$96,'Сырье и материалы'!$F$25:$F$96,$F379,'Сырье и материалы'!$I$25:$I$96,"Реагенты")</f>
        <v>160.47999999999999</v>
      </c>
      <c r="AK379" s="190">
        <f ca="1">SUMIFS('Сырье и материалы'!AJ$25:AJ$96,'Сырье и материалы'!$F$25:$F$96,$F379,'Сырье и материалы'!$I$25:$I$96,"Реагенты")</f>
        <v>0</v>
      </c>
      <c r="AL379" s="190">
        <f ca="1">SUMIFS('Сырье и материалы'!AK$25:AK$96,'Сырье и материалы'!$F$25:$F$96,$F379,'Сырье и материалы'!$I$25:$I$96,"Реагенты")</f>
        <v>0</v>
      </c>
      <c r="AM379" s="190">
        <f ca="1">SUMIFS('Сырье и материалы'!AL$25:AL$96,'Сырье и материалы'!$F$25:$F$96,$F379,'Сырье и материалы'!$I$25:$I$96,"Реагенты")</f>
        <v>0</v>
      </c>
      <c r="AN379" s="190">
        <f ca="1">SUMIFS('Сырье и материалы'!AM$25:AM$96,'Сырье и материалы'!$F$25:$F$96,$F379,'Сырье и материалы'!$I$25:$I$96,"Реагенты")</f>
        <v>0</v>
      </c>
      <c r="AO379" s="190">
        <f ca="1">SUMIFS('Сырье и материалы'!AN$25:AN$96,'Сырье и материалы'!$F$25:$F$96,$F379,'Сырье и материалы'!$I$25:$I$96,"Реагенты")</f>
        <v>0</v>
      </c>
      <c r="AP379" s="190">
        <f ca="1">SUMIFS('Сырье и материалы'!AO$25:AO$96,'Сырье и материалы'!$F$25:$F$96,$F379,'Сырье и материалы'!$I$25:$I$96,"Реагенты")</f>
        <v>0</v>
      </c>
      <c r="AQ379" s="190">
        <f ca="1">SUMIFS('Сырье и материалы'!AP$25:AP$96,'Сырье и материалы'!$F$25:$F$96,$F379,'Сырье и материалы'!$I$25:$I$96,"Реагенты")</f>
        <v>0</v>
      </c>
      <c r="AR379" s="190">
        <f ca="1">SUMIFS('Сырье и материалы'!AQ$25:AQ$96,'Сырье и материалы'!$F$25:$F$96,$F379,'Сырье и материалы'!$I$25:$I$96,"Реагенты")</f>
        <v>0</v>
      </c>
      <c r="AS379" s="190">
        <f ca="1">SUMIFS('Сырье и материалы'!AR$25:AR$96,'Сырье и материалы'!$F$25:$F$96,$F379,'Сырье и материалы'!$I$25:$I$96,"Реагенты")</f>
        <v>0</v>
      </c>
      <c r="AT379" s="190">
        <f ca="1">SUMIFS('Сырье и материалы'!AS$25:AS$96,'Сырье и материалы'!$F$25:$F$96,$F379,'Сырье и материалы'!$I$25:$I$96,"Реагенты")</f>
        <v>118.08</v>
      </c>
      <c r="AU379" s="190">
        <f ca="1">SUMIFS('Сырье и материалы'!AT$25:AT$96,'Сырье и материалы'!$F$25:$F$96,$F379,'Сырье и материалы'!$I$25:$I$96,"Реагенты")</f>
        <v>0</v>
      </c>
      <c r="AV379" s="190">
        <f ca="1">SUMIFS('Сырье и материалы'!AU$25:AU$96,'Сырье и материалы'!$F$25:$F$96,$F379,'Сырье и материалы'!$I$25:$I$96,"Реагенты")</f>
        <v>0</v>
      </c>
      <c r="AW379" s="190">
        <f ca="1">SUMIFS('Сырье и материалы'!AV$25:AV$96,'Сырье и материалы'!$F$25:$F$96,$F379,'Сырье и материалы'!$I$25:$I$96,"Реагенты")</f>
        <v>0</v>
      </c>
      <c r="AX379" s="190">
        <f ca="1">SUMIFS('Сырье и материалы'!AW$25:AW$96,'Сырье и материалы'!$F$25:$F$96,$F379,'Сырье и материалы'!$I$25:$I$96,"Реагенты")</f>
        <v>0</v>
      </c>
      <c r="AY379" s="190">
        <f ca="1">SUMIFS('Сырье и материалы'!AX$25:AX$96,'Сырье и материалы'!$F$25:$F$96,$F379,'Сырье и материалы'!$I$25:$I$96,"Реагенты")</f>
        <v>0</v>
      </c>
      <c r="AZ379" s="190">
        <f ca="1">SUMIFS('Сырье и материалы'!AY$25:AY$96,'Сырье и материалы'!$F$25:$F$96,$F379,'Сырье и материалы'!$I$25:$I$96,"Реагенты")</f>
        <v>0</v>
      </c>
      <c r="BA379" s="190">
        <f ca="1">SUMIFS('Сырье и материалы'!AZ$25:AZ$96,'Сырье и материалы'!$F$25:$F$96,$F379,'Сырье и материалы'!$I$25:$I$96,"Реагенты")</f>
        <v>0</v>
      </c>
      <c r="BB379" s="190">
        <f ca="1">SUMIFS('Сырье и материалы'!BA$25:BA$96,'Сырье и материалы'!$F$25:$F$96,$F379,'Сырье и материалы'!$I$25:$I$96,"Реагенты")</f>
        <v>0</v>
      </c>
      <c r="BC379" s="190">
        <f ca="1">SUMIFS('Сырье и материалы'!BB$25:BB$96,'Сырье и материалы'!$F$25:$F$96,$F379,'Сырье и материалы'!$I$25:$I$96,"Реагенты")</f>
        <v>0</v>
      </c>
      <c r="BD379" s="190">
        <f t="shared" ca="1" si="92"/>
        <v>-22.871961283135452</v>
      </c>
      <c r="BE379" s="190">
        <f t="shared" ca="1" si="93"/>
        <v>-100</v>
      </c>
      <c r="BF379" s="190">
        <f t="shared" ca="1" si="94"/>
        <v>0</v>
      </c>
      <c r="BG379" s="190">
        <f t="shared" ca="1" si="95"/>
        <v>0</v>
      </c>
      <c r="BH379" s="190">
        <f t="shared" ca="1" si="96"/>
        <v>0</v>
      </c>
      <c r="BI379" s="190">
        <f t="shared" ca="1" si="97"/>
        <v>0</v>
      </c>
      <c r="BJ379" s="190">
        <f t="shared" ca="1" si="98"/>
        <v>0</v>
      </c>
      <c r="BK379" s="190">
        <f t="shared" ca="1" si="99"/>
        <v>0</v>
      </c>
      <c r="BL379" s="190">
        <f t="shared" ca="1" si="100"/>
        <v>0</v>
      </c>
      <c r="BM379" s="190">
        <f t="shared" ca="1" si="101"/>
        <v>0</v>
      </c>
      <c r="BN379" s="953" t="s">
        <v>2264</v>
      </c>
      <c r="BO379" s="610" t="s">
        <v>2265</v>
      </c>
      <c r="BP379" s="215"/>
      <c r="BS379" s="705" t="s">
        <v>1725</v>
      </c>
    </row>
    <row r="380" spans="1:75" s="950" customFormat="1" ht="107.25" customHeight="1">
      <c r="A380" s="95"/>
      <c r="B380" s="48"/>
      <c r="C380" s="46"/>
      <c r="D380" s="46"/>
      <c r="E380" s="569">
        <v>21</v>
      </c>
      <c r="F380" s="3" t="str" cm="1">
        <f t="array" aca="1" ref="F380" ca="1">OFFSET(E380,-1,1)</f>
        <v>2</v>
      </c>
      <c r="G380" s="46"/>
      <c r="H380" s="44"/>
      <c r="I380" s="44" t="s">
        <v>917</v>
      </c>
      <c r="J380" s="46"/>
      <c r="K380" s="44" t="s">
        <v>917</v>
      </c>
      <c r="L380" s="46" t="s">
        <v>514</v>
      </c>
      <c r="M380" s="46"/>
      <c r="N380" s="46"/>
      <c r="O380" s="46"/>
      <c r="P380" s="46"/>
      <c r="Q380" s="46"/>
      <c r="R380" s="46"/>
      <c r="S380" s="46"/>
      <c r="T380" s="365" t="b" cm="1">
        <f t="array" aca="1" ref="T380" ca="1">T379</f>
        <v>1</v>
      </c>
      <c r="U380" s="46"/>
      <c r="V380" s="46"/>
      <c r="W380" s="95"/>
      <c r="X380" s="1075"/>
      <c r="Y380" s="95"/>
      <c r="Z380" s="1065"/>
      <c r="AA380" s="95"/>
      <c r="AB380" s="150" t="s">
        <v>545</v>
      </c>
      <c r="AC380" s="276" t="s">
        <v>2063</v>
      </c>
      <c r="AD380" s="143" t="s">
        <v>804</v>
      </c>
      <c r="AE380" s="145">
        <f ca="1">SUM(AE381:AE390)</f>
        <v>344.50103579249998</v>
      </c>
      <c r="AF380" s="145">
        <f ca="1">SUM(AF381:AF390)</f>
        <v>422.54</v>
      </c>
      <c r="AG380" s="145">
        <f ca="1">SUM(AG381:AG390)</f>
        <v>335.32</v>
      </c>
      <c r="AH380" s="145">
        <f t="shared" ca="1" si="90"/>
        <v>-87.220000000000027</v>
      </c>
      <c r="AI380" s="145">
        <f t="shared" ref="AI380:BC380" ca="1" si="103">SUM(AI381:AI390)</f>
        <v>384.89527767999999</v>
      </c>
      <c r="AJ380" s="145">
        <f t="shared" ca="1" si="103"/>
        <v>705.6</v>
      </c>
      <c r="AK380" s="145">
        <f t="shared" ca="1" si="103"/>
        <v>0</v>
      </c>
      <c r="AL380" s="145">
        <f t="shared" ca="1" si="103"/>
        <v>0</v>
      </c>
      <c r="AM380" s="145">
        <f t="shared" ca="1" si="103"/>
        <v>0</v>
      </c>
      <c r="AN380" s="145">
        <f t="shared" ca="1" si="103"/>
        <v>0</v>
      </c>
      <c r="AO380" s="145">
        <f t="shared" ca="1" si="103"/>
        <v>0</v>
      </c>
      <c r="AP380" s="145">
        <f t="shared" ca="1" si="103"/>
        <v>0</v>
      </c>
      <c r="AQ380" s="145">
        <f t="shared" ca="1" si="103"/>
        <v>0</v>
      </c>
      <c r="AR380" s="145">
        <f t="shared" ca="1" si="103"/>
        <v>0</v>
      </c>
      <c r="AS380" s="145">
        <f t="shared" ca="1" si="103"/>
        <v>0</v>
      </c>
      <c r="AT380" s="145">
        <f t="shared" ca="1" si="103"/>
        <v>405.06</v>
      </c>
      <c r="AU380" s="145">
        <f t="shared" ca="1" si="103"/>
        <v>0</v>
      </c>
      <c r="AV380" s="145">
        <f t="shared" ca="1" si="103"/>
        <v>0</v>
      </c>
      <c r="AW380" s="145">
        <f t="shared" ca="1" si="103"/>
        <v>0</v>
      </c>
      <c r="AX380" s="145">
        <f t="shared" ca="1" si="103"/>
        <v>0</v>
      </c>
      <c r="AY380" s="145">
        <f t="shared" ca="1" si="103"/>
        <v>0</v>
      </c>
      <c r="AZ380" s="145">
        <f t="shared" ca="1" si="103"/>
        <v>0</v>
      </c>
      <c r="BA380" s="145">
        <f t="shared" ca="1" si="103"/>
        <v>0</v>
      </c>
      <c r="BB380" s="145">
        <f t="shared" ca="1" si="103"/>
        <v>0</v>
      </c>
      <c r="BC380" s="145">
        <f t="shared" ca="1" si="103"/>
        <v>0</v>
      </c>
      <c r="BD380" s="145">
        <f t="shared" ca="1" si="92"/>
        <v>5.2390152567070105</v>
      </c>
      <c r="BE380" s="145">
        <f t="shared" ca="1" si="93"/>
        <v>-100</v>
      </c>
      <c r="BF380" s="145">
        <f t="shared" ca="1" si="94"/>
        <v>0</v>
      </c>
      <c r="BG380" s="145">
        <f t="shared" ca="1" si="95"/>
        <v>0</v>
      </c>
      <c r="BH380" s="145">
        <f t="shared" ca="1" si="96"/>
        <v>0</v>
      </c>
      <c r="BI380" s="145">
        <f t="shared" ca="1" si="97"/>
        <v>0</v>
      </c>
      <c r="BJ380" s="145">
        <f t="shared" ca="1" si="98"/>
        <v>0</v>
      </c>
      <c r="BK380" s="145">
        <f t="shared" ca="1" si="99"/>
        <v>0</v>
      </c>
      <c r="BL380" s="145">
        <f t="shared" ca="1" si="100"/>
        <v>0</v>
      </c>
      <c r="BM380" s="145">
        <f t="shared" ca="1" si="101"/>
        <v>0</v>
      </c>
      <c r="BN380" s="566"/>
      <c r="BO380" s="610" t="s">
        <v>2240</v>
      </c>
      <c r="BP380" s="566"/>
      <c r="BQ380" s="95"/>
      <c r="BR380" s="95"/>
      <c r="BS380" s="711" t="s">
        <v>1270</v>
      </c>
      <c r="BT380" s="711"/>
      <c r="BU380" s="711"/>
      <c r="BV380" s="522"/>
      <c r="BW380" s="522"/>
    </row>
    <row r="381" spans="1:75" ht="14.25" customHeight="1">
      <c r="B381" s="34"/>
      <c r="C381" s="44"/>
      <c r="D381" s="44"/>
      <c r="E381" s="462">
        <v>15</v>
      </c>
      <c r="F381" s="3" t="str" cm="1">
        <f t="array" aca="1" ref="F381" ca="1">OFFSET(E381,-1,1)</f>
        <v>2</v>
      </c>
      <c r="G381" s="620">
        <v>7</v>
      </c>
      <c r="H381" s="44"/>
      <c r="I381" s="44" t="s">
        <v>2064</v>
      </c>
      <c r="J381" s="44"/>
      <c r="K381" s="44" t="s">
        <v>2064</v>
      </c>
      <c r="L381" s="44"/>
      <c r="M381" s="44"/>
      <c r="N381" s="44"/>
      <c r="O381" s="44"/>
      <c r="P381" s="44"/>
      <c r="Q381" s="44"/>
      <c r="R381" s="44"/>
      <c r="S381" s="44"/>
      <c r="T381" s="365" t="b" cm="1">
        <f t="array" aca="1" ref="T381" ca="1">T380</f>
        <v>1</v>
      </c>
      <c r="U381" s="44"/>
      <c r="V381" s="44"/>
      <c r="X381" s="1075"/>
      <c r="Z381" s="1065"/>
      <c r="AB381" s="152" t="s">
        <v>498</v>
      </c>
      <c r="AC381" s="153" t="s">
        <v>1284</v>
      </c>
      <c r="AD381" s="26" t="s">
        <v>804</v>
      </c>
      <c r="AE381" s="190">
        <f ca="1">SUMIFS(Налоги!AE$25:AE$69,Налоги!$F$25:$F$69,$F381,Налоги!$AB$25:$AB$69,$G381)</f>
        <v>0</v>
      </c>
      <c r="AF381" s="190">
        <f ca="1">SUMIFS(Налоги!AF$25:AF$69,Налоги!$F$25:$F$69,$F381,Налоги!$AB$25:$AB$69,$G381)</f>
        <v>0</v>
      </c>
      <c r="AG381" s="190">
        <f ca="1">SUMIFS(Налоги!AG$25:AG$69,Налоги!$F$25:$F$69,$F381,Налоги!$AB$25:$AB$69,$G381)</f>
        <v>0</v>
      </c>
      <c r="AH381" s="190">
        <f t="shared" ca="1" si="90"/>
        <v>0</v>
      </c>
      <c r="AI381" s="190">
        <f ca="1">SUMIFS(Налоги!AH$25:AH$69,Налоги!$F$25:$F$69,$F381,Налоги!$AB$25:$AB$69,$G381)</f>
        <v>0</v>
      </c>
      <c r="AJ381" s="190">
        <f ca="1">SUMIFS(Налоги!AI$25:AI$69,Налоги!$F$25:$F$69,$F381,Налоги!$AB$25:$AB$69,$G381)</f>
        <v>0</v>
      </c>
      <c r="AK381" s="190">
        <f ca="1">SUMIFS(Налоги!AJ$25:AJ$69,Налоги!$F$25:$F$69,$F381,Налоги!$AB$25:$AB$69,$G381)</f>
        <v>0</v>
      </c>
      <c r="AL381" s="190">
        <f ca="1">SUMIFS(Налоги!AK$25:AK$69,Налоги!$F$25:$F$69,$F381,Налоги!$AB$25:$AB$69,$G381)</f>
        <v>0</v>
      </c>
      <c r="AM381" s="190">
        <f ca="1">SUMIFS(Налоги!AL$25:AL$69,Налоги!$F$25:$F$69,$F381,Налоги!$AB$25:$AB$69,$G381)</f>
        <v>0</v>
      </c>
      <c r="AN381" s="190">
        <f ca="1">SUMIFS(Налоги!AM$25:AM$69,Налоги!$F$25:$F$69,$F381,Налоги!$AB$25:$AB$69,$G381)</f>
        <v>0</v>
      </c>
      <c r="AO381" s="190">
        <f ca="1">SUMIFS(Налоги!AN$25:AN$69,Налоги!$F$25:$F$69,$F381,Налоги!$AB$25:$AB$69,$G381)</f>
        <v>0</v>
      </c>
      <c r="AP381" s="190">
        <f ca="1">SUMIFS(Налоги!AO$25:AO$69,Налоги!$F$25:$F$69,$F381,Налоги!$AB$25:$AB$69,$G381)</f>
        <v>0</v>
      </c>
      <c r="AQ381" s="190">
        <f ca="1">SUMIFS(Налоги!AP$25:AP$69,Налоги!$F$25:$F$69,$F381,Налоги!$AB$25:$AB$69,$G381)</f>
        <v>0</v>
      </c>
      <c r="AR381" s="190">
        <f ca="1">SUMIFS(Налоги!AQ$25:AQ$69,Налоги!$F$25:$F$69,$F381,Налоги!$AB$25:$AB$69,$G381)</f>
        <v>0</v>
      </c>
      <c r="AS381" s="190">
        <f ca="1">SUMIFS(Налоги!AR$25:AR$69,Налоги!$F$25:$F$69,$F381,Налоги!$AB$25:$AB$69,$G381)</f>
        <v>0</v>
      </c>
      <c r="AT381" s="190">
        <f ca="1">SUMIFS(Налоги!AS$25:AS$69,Налоги!$F$25:$F$69,$F381,Налоги!$AB$25:$AB$69,$G381)</f>
        <v>0</v>
      </c>
      <c r="AU381" s="190">
        <f ca="1">SUMIFS(Налоги!AT$25:AT$69,Налоги!$F$25:$F$69,$F381,Налоги!$AB$25:$AB$69,$G381)</f>
        <v>0</v>
      </c>
      <c r="AV381" s="190">
        <f ca="1">SUMIFS(Налоги!AU$25:AU$69,Налоги!$F$25:$F$69,$F381,Налоги!$AB$25:$AB$69,$G381)</f>
        <v>0</v>
      </c>
      <c r="AW381" s="190">
        <f ca="1">SUMIFS(Налоги!AV$25:AV$69,Налоги!$F$25:$F$69,$F381,Налоги!$AB$25:$AB$69,$G381)</f>
        <v>0</v>
      </c>
      <c r="AX381" s="190">
        <f ca="1">SUMIFS(Налоги!AW$25:AW$69,Налоги!$F$25:$F$69,$F381,Налоги!$AB$25:$AB$69,$G381)</f>
        <v>0</v>
      </c>
      <c r="AY381" s="190">
        <f ca="1">SUMIFS(Налоги!AX$25:AX$69,Налоги!$F$25:$F$69,$F381,Налоги!$AB$25:$AB$69,$G381)</f>
        <v>0</v>
      </c>
      <c r="AZ381" s="190">
        <f ca="1">SUMIFS(Налоги!AY$25:AY$69,Налоги!$F$25:$F$69,$F381,Налоги!$AB$25:$AB$69,$G381)</f>
        <v>0</v>
      </c>
      <c r="BA381" s="190">
        <f ca="1">SUMIFS(Налоги!AZ$25:AZ$69,Налоги!$F$25:$F$69,$F381,Налоги!$AB$25:$AB$69,$G381)</f>
        <v>0</v>
      </c>
      <c r="BB381" s="190">
        <f ca="1">SUMIFS(Налоги!BA$25:BA$69,Налоги!$F$25:$F$69,$F381,Налоги!$AB$25:$AB$69,$G381)</f>
        <v>0</v>
      </c>
      <c r="BC381" s="190">
        <f ca="1">SUMIFS(Налоги!BB$25:BB$69,Налоги!$F$25:$F$69,$F381,Налоги!$AB$25:$AB$69,$G381)</f>
        <v>0</v>
      </c>
      <c r="BD381" s="190">
        <f t="shared" ca="1" si="92"/>
        <v>0</v>
      </c>
      <c r="BE381" s="190">
        <f t="shared" ca="1" si="93"/>
        <v>0</v>
      </c>
      <c r="BF381" s="190">
        <f t="shared" ca="1" si="94"/>
        <v>0</v>
      </c>
      <c r="BG381" s="190">
        <f t="shared" ca="1" si="95"/>
        <v>0</v>
      </c>
      <c r="BH381" s="190">
        <f t="shared" ca="1" si="96"/>
        <v>0</v>
      </c>
      <c r="BI381" s="190">
        <f t="shared" ca="1" si="97"/>
        <v>0</v>
      </c>
      <c r="BJ381" s="190">
        <f t="shared" ca="1" si="98"/>
        <v>0</v>
      </c>
      <c r="BK381" s="190">
        <f t="shared" ca="1" si="99"/>
        <v>0</v>
      </c>
      <c r="BL381" s="190">
        <f t="shared" ca="1" si="100"/>
        <v>0</v>
      </c>
      <c r="BM381" s="190">
        <f t="shared" ca="1" si="101"/>
        <v>0</v>
      </c>
      <c r="BN381" s="215"/>
      <c r="BO381" s="610" t="str">
        <f ca="1">IF(IFERROR(INDEX(Налоги!$K$26:$L$69,MATCH($F381&amp;"7komm",Налоги!$K$26:$K$69,0),2),"")=0,"",IFERROR(INDEX(Налоги!$K$26:$L$69,MATCH($F381&amp;"7komm",Налоги!$K$26:$K$69,0),2),""))</f>
        <v/>
      </c>
      <c r="BP381" s="215"/>
      <c r="BS381" s="705" t="s">
        <v>2065</v>
      </c>
    </row>
    <row r="382" spans="1:75" ht="14.25" customHeight="1">
      <c r="B382" s="34"/>
      <c r="C382" s="44"/>
      <c r="D382" s="44"/>
      <c r="E382" s="462">
        <v>15</v>
      </c>
      <c r="F382" s="3" t="str" cm="1">
        <f t="array" aca="1" ref="F382" ca="1">OFFSET(E382,-1,1)</f>
        <v>2</v>
      </c>
      <c r="G382" s="620">
        <v>6</v>
      </c>
      <c r="H382" s="44"/>
      <c r="I382" s="44" t="s">
        <v>2066</v>
      </c>
      <c r="J382" s="44"/>
      <c r="K382" s="44" t="s">
        <v>2066</v>
      </c>
      <c r="L382" s="44"/>
      <c r="M382" s="44"/>
      <c r="N382" s="44"/>
      <c r="O382" s="44"/>
      <c r="P382" s="44"/>
      <c r="Q382" s="44"/>
      <c r="R382" s="44"/>
      <c r="S382" s="44"/>
      <c r="T382" s="365" t="b" cm="1">
        <f t="array" aca="1" ref="T382" ca="1">T381</f>
        <v>1</v>
      </c>
      <c r="U382" s="44"/>
      <c r="V382" s="44"/>
      <c r="X382" s="1075"/>
      <c r="Z382" s="1065"/>
      <c r="AB382" s="152" t="s">
        <v>1492</v>
      </c>
      <c r="AC382" s="153" t="s">
        <v>2067</v>
      </c>
      <c r="AD382" s="26" t="s">
        <v>804</v>
      </c>
      <c r="AE382" s="190">
        <f ca="1">SUMIFS(Налоги!AE$25:AE$69,Налоги!$F$25:$F$69,$F382,Налоги!$AB$25:$AB$69,$G382)</f>
        <v>0</v>
      </c>
      <c r="AF382" s="190">
        <f ca="1">SUMIFS(Налоги!AF$25:AF$69,Налоги!$F$25:$F$69,$F382,Налоги!$AB$25:$AB$69,$G382)</f>
        <v>0</v>
      </c>
      <c r="AG382" s="190">
        <f ca="1">SUMIFS(Налоги!AG$25:AG$69,Налоги!$F$25:$F$69,$F382,Налоги!$AB$25:$AB$69,$G382)</f>
        <v>0</v>
      </c>
      <c r="AH382" s="190">
        <f t="shared" ca="1" si="90"/>
        <v>0</v>
      </c>
      <c r="AI382" s="190">
        <f ca="1">SUMIFS(Налоги!AH$25:AH$69,Налоги!$F$25:$F$69,$F382,Налоги!$AB$25:$AB$69,$G382)</f>
        <v>0</v>
      </c>
      <c r="AJ382" s="190">
        <f ca="1">SUMIFS(Налоги!AI$25:AI$69,Налоги!$F$25:$F$69,$F382,Налоги!$AB$25:$AB$69,$G382)</f>
        <v>0</v>
      </c>
      <c r="AK382" s="190">
        <f ca="1">SUMIFS(Налоги!AJ$25:AJ$69,Налоги!$F$25:$F$69,$F382,Налоги!$AB$25:$AB$69,$G382)</f>
        <v>0</v>
      </c>
      <c r="AL382" s="190">
        <f ca="1">SUMIFS(Налоги!AK$25:AK$69,Налоги!$F$25:$F$69,$F382,Налоги!$AB$25:$AB$69,$G382)</f>
        <v>0</v>
      </c>
      <c r="AM382" s="190">
        <f ca="1">SUMIFS(Налоги!AL$25:AL$69,Налоги!$F$25:$F$69,$F382,Налоги!$AB$25:$AB$69,$G382)</f>
        <v>0</v>
      </c>
      <c r="AN382" s="190">
        <f ca="1">SUMIFS(Налоги!AM$25:AM$69,Налоги!$F$25:$F$69,$F382,Налоги!$AB$25:$AB$69,$G382)</f>
        <v>0</v>
      </c>
      <c r="AO382" s="190">
        <f ca="1">SUMIFS(Налоги!AN$25:AN$69,Налоги!$F$25:$F$69,$F382,Налоги!$AB$25:$AB$69,$G382)</f>
        <v>0</v>
      </c>
      <c r="AP382" s="190">
        <f ca="1">SUMIFS(Налоги!AO$25:AO$69,Налоги!$F$25:$F$69,$F382,Налоги!$AB$25:$AB$69,$G382)</f>
        <v>0</v>
      </c>
      <c r="AQ382" s="190">
        <f ca="1">SUMIFS(Налоги!AP$25:AP$69,Налоги!$F$25:$F$69,$F382,Налоги!$AB$25:$AB$69,$G382)</f>
        <v>0</v>
      </c>
      <c r="AR382" s="190">
        <f ca="1">SUMIFS(Налоги!AQ$25:AQ$69,Налоги!$F$25:$F$69,$F382,Налоги!$AB$25:$AB$69,$G382)</f>
        <v>0</v>
      </c>
      <c r="AS382" s="190">
        <f ca="1">SUMIFS(Налоги!AR$25:AR$69,Налоги!$F$25:$F$69,$F382,Налоги!$AB$25:$AB$69,$G382)</f>
        <v>0</v>
      </c>
      <c r="AT382" s="190">
        <f ca="1">SUMIFS(Налоги!AS$25:AS$69,Налоги!$F$25:$F$69,$F382,Налоги!$AB$25:$AB$69,$G382)</f>
        <v>0</v>
      </c>
      <c r="AU382" s="190">
        <f ca="1">SUMIFS(Налоги!AT$25:AT$69,Налоги!$F$25:$F$69,$F382,Налоги!$AB$25:$AB$69,$G382)</f>
        <v>0</v>
      </c>
      <c r="AV382" s="190">
        <f ca="1">SUMIFS(Налоги!AU$25:AU$69,Налоги!$F$25:$F$69,$F382,Налоги!$AB$25:$AB$69,$G382)</f>
        <v>0</v>
      </c>
      <c r="AW382" s="190">
        <f ca="1">SUMIFS(Налоги!AV$25:AV$69,Налоги!$F$25:$F$69,$F382,Налоги!$AB$25:$AB$69,$G382)</f>
        <v>0</v>
      </c>
      <c r="AX382" s="190">
        <f ca="1">SUMIFS(Налоги!AW$25:AW$69,Налоги!$F$25:$F$69,$F382,Налоги!$AB$25:$AB$69,$G382)</f>
        <v>0</v>
      </c>
      <c r="AY382" s="190">
        <f ca="1">SUMIFS(Налоги!AX$25:AX$69,Налоги!$F$25:$F$69,$F382,Налоги!$AB$25:$AB$69,$G382)</f>
        <v>0</v>
      </c>
      <c r="AZ382" s="190">
        <f ca="1">SUMIFS(Налоги!AY$25:AY$69,Налоги!$F$25:$F$69,$F382,Налоги!$AB$25:$AB$69,$G382)</f>
        <v>0</v>
      </c>
      <c r="BA382" s="190">
        <f ca="1">SUMIFS(Налоги!AZ$25:AZ$69,Налоги!$F$25:$F$69,$F382,Налоги!$AB$25:$AB$69,$G382)</f>
        <v>0</v>
      </c>
      <c r="BB382" s="190">
        <f ca="1">SUMIFS(Налоги!BA$25:BA$69,Налоги!$F$25:$F$69,$F382,Налоги!$AB$25:$AB$69,$G382)</f>
        <v>0</v>
      </c>
      <c r="BC382" s="190">
        <f ca="1">SUMIFS(Налоги!BB$25:BB$69,Налоги!$F$25:$F$69,$F382,Налоги!$AB$25:$AB$69,$G382)</f>
        <v>0</v>
      </c>
      <c r="BD382" s="190">
        <f t="shared" ca="1" si="92"/>
        <v>0</v>
      </c>
      <c r="BE382" s="190">
        <f t="shared" ca="1" si="93"/>
        <v>0</v>
      </c>
      <c r="BF382" s="190">
        <f t="shared" ca="1" si="94"/>
        <v>0</v>
      </c>
      <c r="BG382" s="190">
        <f t="shared" ca="1" si="95"/>
        <v>0</v>
      </c>
      <c r="BH382" s="190">
        <f t="shared" ca="1" si="96"/>
        <v>0</v>
      </c>
      <c r="BI382" s="190">
        <f t="shared" ca="1" si="97"/>
        <v>0</v>
      </c>
      <c r="BJ382" s="190">
        <f t="shared" ca="1" si="98"/>
        <v>0</v>
      </c>
      <c r="BK382" s="190">
        <f t="shared" ca="1" si="99"/>
        <v>0</v>
      </c>
      <c r="BL382" s="190">
        <f t="shared" ca="1" si="100"/>
        <v>0</v>
      </c>
      <c r="BM382" s="190">
        <f t="shared" ca="1" si="101"/>
        <v>0</v>
      </c>
      <c r="BN382" s="215"/>
      <c r="BO382" s="610" t="str">
        <f ca="1">IF(IFERROR(INDEX(Налоги!$K$26:$L$69,MATCH($F382&amp;"6komm",Налоги!$K$26:$K$69,0),2),"")=0,"",IFERROR(INDEX(Налоги!$K$26:$L$69,MATCH($F382&amp;"6komm",Налоги!$K$26:$K$69,0),2),""))</f>
        <v/>
      </c>
      <c r="BP382" s="215"/>
      <c r="BS382" s="705" t="s">
        <v>2068</v>
      </c>
    </row>
    <row r="383" spans="1:75" ht="14.25" customHeight="1">
      <c r="B383" s="34"/>
      <c r="C383" s="44"/>
      <c r="D383" s="44"/>
      <c r="E383" s="462">
        <v>15</v>
      </c>
      <c r="F383" s="3" t="str" cm="1">
        <f t="array" aca="1" ref="F383" ca="1">OFFSET(E383,-1,1)</f>
        <v>2</v>
      </c>
      <c r="G383" s="620">
        <v>2</v>
      </c>
      <c r="H383" s="44"/>
      <c r="I383" s="44" t="s">
        <v>2069</v>
      </c>
      <c r="J383" s="44"/>
      <c r="K383" s="44" t="s">
        <v>2069</v>
      </c>
      <c r="L383" s="44"/>
      <c r="M383" s="44"/>
      <c r="N383" s="44"/>
      <c r="O383" s="44"/>
      <c r="P383" s="44"/>
      <c r="Q383" s="44"/>
      <c r="R383" s="44"/>
      <c r="S383" s="44"/>
      <c r="T383" s="365" t="b" cm="1">
        <f t="array" aca="1" ref="T383" ca="1">T382</f>
        <v>1</v>
      </c>
      <c r="U383" s="44"/>
      <c r="V383" s="44"/>
      <c r="X383" s="1075"/>
      <c r="Z383" s="1065"/>
      <c r="AB383" s="152" t="s">
        <v>1497</v>
      </c>
      <c r="AC383" s="153" t="s">
        <v>2070</v>
      </c>
      <c r="AD383" s="26" t="s">
        <v>804</v>
      </c>
      <c r="AE383" s="190">
        <f ca="1">SUMIFS(Налоги!AE$25:AE$69,Налоги!$F$25:$F$69,$F383,Налоги!$AB$25:$AB$69,$G383)</f>
        <v>0</v>
      </c>
      <c r="AF383" s="190">
        <f ca="1">SUMIFS(Налоги!AF$25:AF$69,Налоги!$F$25:$F$69,$F383,Налоги!$AB$25:$AB$69,$G383)</f>
        <v>0</v>
      </c>
      <c r="AG383" s="190">
        <f ca="1">SUMIFS(Налоги!AG$25:AG$69,Налоги!$F$25:$F$69,$F383,Налоги!$AB$25:$AB$69,$G383)</f>
        <v>0</v>
      </c>
      <c r="AH383" s="190">
        <f t="shared" ca="1" si="90"/>
        <v>0</v>
      </c>
      <c r="AI383" s="190">
        <f ca="1">SUMIFS(Налоги!AH$25:AH$69,Налоги!$F$25:$F$69,$F383,Налоги!$AB$25:$AB$69,$G383)</f>
        <v>0</v>
      </c>
      <c r="AJ383" s="190">
        <f ca="1">SUMIFS(Налоги!AI$25:AI$69,Налоги!$F$25:$F$69,$F383,Налоги!$AB$25:$AB$69,$G383)</f>
        <v>0</v>
      </c>
      <c r="AK383" s="190">
        <f ca="1">SUMIFS(Налоги!AJ$25:AJ$69,Налоги!$F$25:$F$69,$F383,Налоги!$AB$25:$AB$69,$G383)</f>
        <v>0</v>
      </c>
      <c r="AL383" s="190">
        <f ca="1">SUMIFS(Налоги!AK$25:AK$69,Налоги!$F$25:$F$69,$F383,Налоги!$AB$25:$AB$69,$G383)</f>
        <v>0</v>
      </c>
      <c r="AM383" s="190">
        <f ca="1">SUMIFS(Налоги!AL$25:AL$69,Налоги!$F$25:$F$69,$F383,Налоги!$AB$25:$AB$69,$G383)</f>
        <v>0</v>
      </c>
      <c r="AN383" s="190">
        <f ca="1">SUMIFS(Налоги!AM$25:AM$69,Налоги!$F$25:$F$69,$F383,Налоги!$AB$25:$AB$69,$G383)</f>
        <v>0</v>
      </c>
      <c r="AO383" s="190">
        <f ca="1">SUMIFS(Налоги!AN$25:AN$69,Налоги!$F$25:$F$69,$F383,Налоги!$AB$25:$AB$69,$G383)</f>
        <v>0</v>
      </c>
      <c r="AP383" s="190">
        <f ca="1">SUMIFS(Налоги!AO$25:AO$69,Налоги!$F$25:$F$69,$F383,Налоги!$AB$25:$AB$69,$G383)</f>
        <v>0</v>
      </c>
      <c r="AQ383" s="190">
        <f ca="1">SUMIFS(Налоги!AP$25:AP$69,Налоги!$F$25:$F$69,$F383,Налоги!$AB$25:$AB$69,$G383)</f>
        <v>0</v>
      </c>
      <c r="AR383" s="190">
        <f ca="1">SUMIFS(Налоги!AQ$25:AQ$69,Налоги!$F$25:$F$69,$F383,Налоги!$AB$25:$AB$69,$G383)</f>
        <v>0</v>
      </c>
      <c r="AS383" s="190">
        <f ca="1">SUMIFS(Налоги!AR$25:AR$69,Налоги!$F$25:$F$69,$F383,Налоги!$AB$25:$AB$69,$G383)</f>
        <v>0</v>
      </c>
      <c r="AT383" s="190">
        <f ca="1">SUMIFS(Налоги!AS$25:AS$69,Налоги!$F$25:$F$69,$F383,Налоги!$AB$25:$AB$69,$G383)</f>
        <v>0</v>
      </c>
      <c r="AU383" s="190">
        <f ca="1">SUMIFS(Налоги!AT$25:AT$69,Налоги!$F$25:$F$69,$F383,Налоги!$AB$25:$AB$69,$G383)</f>
        <v>0</v>
      </c>
      <c r="AV383" s="190">
        <f ca="1">SUMIFS(Налоги!AU$25:AU$69,Налоги!$F$25:$F$69,$F383,Налоги!$AB$25:$AB$69,$G383)</f>
        <v>0</v>
      </c>
      <c r="AW383" s="190">
        <f ca="1">SUMIFS(Налоги!AV$25:AV$69,Налоги!$F$25:$F$69,$F383,Налоги!$AB$25:$AB$69,$G383)</f>
        <v>0</v>
      </c>
      <c r="AX383" s="190">
        <f ca="1">SUMIFS(Налоги!AW$25:AW$69,Налоги!$F$25:$F$69,$F383,Налоги!$AB$25:$AB$69,$G383)</f>
        <v>0</v>
      </c>
      <c r="AY383" s="190">
        <f ca="1">SUMIFS(Налоги!AX$25:AX$69,Налоги!$F$25:$F$69,$F383,Налоги!$AB$25:$AB$69,$G383)</f>
        <v>0</v>
      </c>
      <c r="AZ383" s="190">
        <f ca="1">SUMIFS(Налоги!AY$25:AY$69,Налоги!$F$25:$F$69,$F383,Налоги!$AB$25:$AB$69,$G383)</f>
        <v>0</v>
      </c>
      <c r="BA383" s="190">
        <f ca="1">SUMIFS(Налоги!AZ$25:AZ$69,Налоги!$F$25:$F$69,$F383,Налоги!$AB$25:$AB$69,$G383)</f>
        <v>0</v>
      </c>
      <c r="BB383" s="190">
        <f ca="1">SUMIFS(Налоги!BA$25:BA$69,Налоги!$F$25:$F$69,$F383,Налоги!$AB$25:$AB$69,$G383)</f>
        <v>0</v>
      </c>
      <c r="BC383" s="190">
        <f ca="1">SUMIFS(Налоги!BB$25:BB$69,Налоги!$F$25:$F$69,$F383,Налоги!$AB$25:$AB$69,$G383)</f>
        <v>0</v>
      </c>
      <c r="BD383" s="190">
        <f t="shared" ca="1" si="92"/>
        <v>0</v>
      </c>
      <c r="BE383" s="190">
        <f t="shared" ca="1" si="93"/>
        <v>0</v>
      </c>
      <c r="BF383" s="190">
        <f t="shared" ca="1" si="94"/>
        <v>0</v>
      </c>
      <c r="BG383" s="190">
        <f t="shared" ca="1" si="95"/>
        <v>0</v>
      </c>
      <c r="BH383" s="190">
        <f t="shared" ca="1" si="96"/>
        <v>0</v>
      </c>
      <c r="BI383" s="190">
        <f t="shared" ca="1" si="97"/>
        <v>0</v>
      </c>
      <c r="BJ383" s="190">
        <f t="shared" ca="1" si="98"/>
        <v>0</v>
      </c>
      <c r="BK383" s="190">
        <f t="shared" ca="1" si="99"/>
        <v>0</v>
      </c>
      <c r="BL383" s="190">
        <f t="shared" ca="1" si="100"/>
        <v>0</v>
      </c>
      <c r="BM383" s="190">
        <f t="shared" ca="1" si="101"/>
        <v>0</v>
      </c>
      <c r="BN383" s="215"/>
      <c r="BO383" s="610" t="str">
        <f ca="1">IF(IFERROR(INDEX(Налоги!$K$26:$L$69,MATCH($F383&amp;"2komm",Налоги!$K$26:$K$69,0),2),"")=0,"",IFERROR(INDEX(Налоги!$K$26:$L$69,MATCH($F383&amp;"2komm",Налоги!$K$26:$K$69,0),2),""))</f>
        <v/>
      </c>
      <c r="BP383" s="215"/>
      <c r="BS383" s="705" t="s">
        <v>2071</v>
      </c>
    </row>
    <row r="384" spans="1:75" ht="14.25" customHeight="1">
      <c r="B384" s="34"/>
      <c r="C384" s="44"/>
      <c r="D384" s="44"/>
      <c r="E384" s="462">
        <v>15</v>
      </c>
      <c r="F384" s="3" t="str" cm="1">
        <f t="array" aca="1" ref="F384" ca="1">OFFSET(E384,-1,1)</f>
        <v>2</v>
      </c>
      <c r="G384" s="620">
        <v>4</v>
      </c>
      <c r="H384" s="44"/>
      <c r="I384" s="44" t="s">
        <v>2072</v>
      </c>
      <c r="J384" s="44"/>
      <c r="K384" s="44" t="s">
        <v>2072</v>
      </c>
      <c r="L384" s="44"/>
      <c r="M384" s="44"/>
      <c r="N384" s="44"/>
      <c r="O384" s="44"/>
      <c r="P384" s="44"/>
      <c r="Q384" s="44"/>
      <c r="R384" s="44"/>
      <c r="S384" s="44"/>
      <c r="T384" s="365" t="b" cm="1">
        <f t="array" aca="1" ref="T384" ca="1">T383</f>
        <v>1</v>
      </c>
      <c r="U384" s="44"/>
      <c r="V384" s="44"/>
      <c r="X384" s="1075"/>
      <c r="Z384" s="1065"/>
      <c r="AB384" s="152" t="s">
        <v>2073</v>
      </c>
      <c r="AC384" s="153" t="s">
        <v>2074</v>
      </c>
      <c r="AD384" s="26" t="s">
        <v>804</v>
      </c>
      <c r="AE384" s="190">
        <f ca="1">SUMIFS(Налоги!AE$25:AE$69,Налоги!$F$25:$F$69,$F384,Налоги!$AB$25:$AB$69,$G384)</f>
        <v>0</v>
      </c>
      <c r="AF384" s="190">
        <f ca="1">SUMIFS(Налоги!AF$25:AF$69,Налоги!$F$25:$F$69,$F384,Налоги!$AB$25:$AB$69,$G384)</f>
        <v>0</v>
      </c>
      <c r="AG384" s="190">
        <f ca="1">SUMIFS(Налоги!AG$25:AG$69,Налоги!$F$25:$F$69,$F384,Налоги!$AB$25:$AB$69,$G384)</f>
        <v>0</v>
      </c>
      <c r="AH384" s="190">
        <f t="shared" ca="1" si="90"/>
        <v>0</v>
      </c>
      <c r="AI384" s="190">
        <f ca="1">SUMIFS(Налоги!AH$25:AH$69,Налоги!$F$25:$F$69,$F384,Налоги!$AB$25:$AB$69,$G384)</f>
        <v>0</v>
      </c>
      <c r="AJ384" s="190">
        <f ca="1">SUMIFS(Налоги!AI$25:AI$69,Налоги!$F$25:$F$69,$F384,Налоги!$AB$25:$AB$69,$G384)</f>
        <v>0</v>
      </c>
      <c r="AK384" s="190">
        <f ca="1">SUMIFS(Налоги!AJ$25:AJ$69,Налоги!$F$25:$F$69,$F384,Налоги!$AB$25:$AB$69,$G384)</f>
        <v>0</v>
      </c>
      <c r="AL384" s="190">
        <f ca="1">SUMIFS(Налоги!AK$25:AK$69,Налоги!$F$25:$F$69,$F384,Налоги!$AB$25:$AB$69,$G384)</f>
        <v>0</v>
      </c>
      <c r="AM384" s="190">
        <f ca="1">SUMIFS(Налоги!AL$25:AL$69,Налоги!$F$25:$F$69,$F384,Налоги!$AB$25:$AB$69,$G384)</f>
        <v>0</v>
      </c>
      <c r="AN384" s="190">
        <f ca="1">SUMIFS(Налоги!AM$25:AM$69,Налоги!$F$25:$F$69,$F384,Налоги!$AB$25:$AB$69,$G384)</f>
        <v>0</v>
      </c>
      <c r="AO384" s="190">
        <f ca="1">SUMIFS(Налоги!AN$25:AN$69,Налоги!$F$25:$F$69,$F384,Налоги!$AB$25:$AB$69,$G384)</f>
        <v>0</v>
      </c>
      <c r="AP384" s="190">
        <f ca="1">SUMIFS(Налоги!AO$25:AO$69,Налоги!$F$25:$F$69,$F384,Налоги!$AB$25:$AB$69,$G384)</f>
        <v>0</v>
      </c>
      <c r="AQ384" s="190">
        <f ca="1">SUMIFS(Налоги!AP$25:AP$69,Налоги!$F$25:$F$69,$F384,Налоги!$AB$25:$AB$69,$G384)</f>
        <v>0</v>
      </c>
      <c r="AR384" s="190">
        <f ca="1">SUMIFS(Налоги!AQ$25:AQ$69,Налоги!$F$25:$F$69,$F384,Налоги!$AB$25:$AB$69,$G384)</f>
        <v>0</v>
      </c>
      <c r="AS384" s="190">
        <f ca="1">SUMIFS(Налоги!AR$25:AR$69,Налоги!$F$25:$F$69,$F384,Налоги!$AB$25:$AB$69,$G384)</f>
        <v>0</v>
      </c>
      <c r="AT384" s="190">
        <f ca="1">SUMIFS(Налоги!AS$25:AS$69,Налоги!$F$25:$F$69,$F384,Налоги!$AB$25:$AB$69,$G384)</f>
        <v>0</v>
      </c>
      <c r="AU384" s="190">
        <f ca="1">SUMIFS(Налоги!AT$25:AT$69,Налоги!$F$25:$F$69,$F384,Налоги!$AB$25:$AB$69,$G384)</f>
        <v>0</v>
      </c>
      <c r="AV384" s="190">
        <f ca="1">SUMIFS(Налоги!AU$25:AU$69,Налоги!$F$25:$F$69,$F384,Налоги!$AB$25:$AB$69,$G384)</f>
        <v>0</v>
      </c>
      <c r="AW384" s="190">
        <f ca="1">SUMIFS(Налоги!AV$25:AV$69,Налоги!$F$25:$F$69,$F384,Налоги!$AB$25:$AB$69,$G384)</f>
        <v>0</v>
      </c>
      <c r="AX384" s="190">
        <f ca="1">SUMIFS(Налоги!AW$25:AW$69,Налоги!$F$25:$F$69,$F384,Налоги!$AB$25:$AB$69,$G384)</f>
        <v>0</v>
      </c>
      <c r="AY384" s="190">
        <f ca="1">SUMIFS(Налоги!AX$25:AX$69,Налоги!$F$25:$F$69,$F384,Налоги!$AB$25:$AB$69,$G384)</f>
        <v>0</v>
      </c>
      <c r="AZ384" s="190">
        <f ca="1">SUMIFS(Налоги!AY$25:AY$69,Налоги!$F$25:$F$69,$F384,Налоги!$AB$25:$AB$69,$G384)</f>
        <v>0</v>
      </c>
      <c r="BA384" s="190">
        <f ca="1">SUMIFS(Налоги!AZ$25:AZ$69,Налоги!$F$25:$F$69,$F384,Налоги!$AB$25:$AB$69,$G384)</f>
        <v>0</v>
      </c>
      <c r="BB384" s="190">
        <f ca="1">SUMIFS(Налоги!BA$25:BA$69,Налоги!$F$25:$F$69,$F384,Налоги!$AB$25:$AB$69,$G384)</f>
        <v>0</v>
      </c>
      <c r="BC384" s="190">
        <f ca="1">SUMIFS(Налоги!BB$25:BB$69,Налоги!$F$25:$F$69,$F384,Налоги!$AB$25:$AB$69,$G384)</f>
        <v>0</v>
      </c>
      <c r="BD384" s="190">
        <f t="shared" ca="1" si="92"/>
        <v>0</v>
      </c>
      <c r="BE384" s="190">
        <f t="shared" ca="1" si="93"/>
        <v>0</v>
      </c>
      <c r="BF384" s="190">
        <f t="shared" ca="1" si="94"/>
        <v>0</v>
      </c>
      <c r="BG384" s="190">
        <f t="shared" ca="1" si="95"/>
        <v>0</v>
      </c>
      <c r="BH384" s="190">
        <f t="shared" ca="1" si="96"/>
        <v>0</v>
      </c>
      <c r="BI384" s="190">
        <f t="shared" ca="1" si="97"/>
        <v>0</v>
      </c>
      <c r="BJ384" s="190">
        <f t="shared" ca="1" si="98"/>
        <v>0</v>
      </c>
      <c r="BK384" s="190">
        <f t="shared" ca="1" si="99"/>
        <v>0</v>
      </c>
      <c r="BL384" s="190">
        <f t="shared" ca="1" si="100"/>
        <v>0</v>
      </c>
      <c r="BM384" s="190">
        <f t="shared" ca="1" si="101"/>
        <v>0</v>
      </c>
      <c r="BN384" s="215"/>
      <c r="BO384" s="610" t="str">
        <f ca="1">IF(IFERROR(INDEX(Налоги!$K$26:$L$69,MATCH($F384&amp;"4komm",Налоги!$K$26:$K$69,0),2),"")=0,"",IFERROR(INDEX(Налоги!$K$26:$L$69,MATCH($F384&amp;"4komm",Налоги!$K$26:$K$69,0),2),""))</f>
        <v/>
      </c>
      <c r="BP384" s="215"/>
      <c r="BS384" s="705" t="s">
        <v>2075</v>
      </c>
    </row>
    <row r="385" spans="2:75" ht="14.25" customHeight="1">
      <c r="B385" s="34"/>
      <c r="C385" s="44"/>
      <c r="D385" s="44"/>
      <c r="E385" s="462">
        <v>15</v>
      </c>
      <c r="F385" s="3" t="str" cm="1">
        <f t="array" aca="1" ref="F385" ca="1">OFFSET(E385,-1,1)</f>
        <v>2</v>
      </c>
      <c r="G385" s="620">
        <v>5</v>
      </c>
      <c r="H385" s="44"/>
      <c r="I385" s="44" t="s">
        <v>2076</v>
      </c>
      <c r="J385" s="44"/>
      <c r="K385" s="44" t="s">
        <v>2076</v>
      </c>
      <c r="L385" s="44"/>
      <c r="M385" s="44"/>
      <c r="N385" s="44"/>
      <c r="O385" s="44"/>
      <c r="P385" s="44"/>
      <c r="Q385" s="44"/>
      <c r="R385" s="44"/>
      <c r="S385" s="44"/>
      <c r="T385" s="365" t="b" cm="1">
        <f t="array" aca="1" ref="T385" ca="1">T384</f>
        <v>1</v>
      </c>
      <c r="U385" s="44"/>
      <c r="V385" s="44"/>
      <c r="X385" s="1075"/>
      <c r="Z385" s="1065"/>
      <c r="AB385" s="152" t="s">
        <v>2077</v>
      </c>
      <c r="AC385" s="153" t="s">
        <v>2078</v>
      </c>
      <c r="AD385" s="26" t="s">
        <v>804</v>
      </c>
      <c r="AE385" s="190">
        <f ca="1">SUMIFS(Налоги!AE$25:AE$69,Налоги!$F$25:$F$69,$F385,Налоги!$AB$25:$AB$69,$G385)</f>
        <v>0</v>
      </c>
      <c r="AF385" s="190">
        <f ca="1">SUMIFS(Налоги!AF$25:AF$69,Налоги!$F$25:$F$69,$F385,Налоги!$AB$25:$AB$69,$G385)</f>
        <v>0</v>
      </c>
      <c r="AG385" s="190">
        <f ca="1">SUMIFS(Налоги!AG$25:AG$69,Налоги!$F$25:$F$69,$F385,Налоги!$AB$25:$AB$69,$G385)</f>
        <v>0</v>
      </c>
      <c r="AH385" s="190">
        <f t="shared" ca="1" si="90"/>
        <v>0</v>
      </c>
      <c r="AI385" s="190">
        <f ca="1">SUMIFS(Налоги!AH$25:AH$69,Налоги!$F$25:$F$69,$F385,Налоги!$AB$25:$AB$69,$G385)</f>
        <v>0</v>
      </c>
      <c r="AJ385" s="190">
        <f ca="1">SUMIFS(Налоги!AI$25:AI$69,Налоги!$F$25:$F$69,$F385,Налоги!$AB$25:$AB$69,$G385)</f>
        <v>0</v>
      </c>
      <c r="AK385" s="190">
        <f ca="1">SUMIFS(Налоги!AJ$25:AJ$69,Налоги!$F$25:$F$69,$F385,Налоги!$AB$25:$AB$69,$G385)</f>
        <v>0</v>
      </c>
      <c r="AL385" s="190">
        <f ca="1">SUMIFS(Налоги!AK$25:AK$69,Налоги!$F$25:$F$69,$F385,Налоги!$AB$25:$AB$69,$G385)</f>
        <v>0</v>
      </c>
      <c r="AM385" s="190">
        <f ca="1">SUMIFS(Налоги!AL$25:AL$69,Налоги!$F$25:$F$69,$F385,Налоги!$AB$25:$AB$69,$G385)</f>
        <v>0</v>
      </c>
      <c r="AN385" s="190">
        <f ca="1">SUMIFS(Налоги!AM$25:AM$69,Налоги!$F$25:$F$69,$F385,Налоги!$AB$25:$AB$69,$G385)</f>
        <v>0</v>
      </c>
      <c r="AO385" s="190">
        <f ca="1">SUMIFS(Налоги!AN$25:AN$69,Налоги!$F$25:$F$69,$F385,Налоги!$AB$25:$AB$69,$G385)</f>
        <v>0</v>
      </c>
      <c r="AP385" s="190">
        <f ca="1">SUMIFS(Налоги!AO$25:AO$69,Налоги!$F$25:$F$69,$F385,Налоги!$AB$25:$AB$69,$G385)</f>
        <v>0</v>
      </c>
      <c r="AQ385" s="190">
        <f ca="1">SUMIFS(Налоги!AP$25:AP$69,Налоги!$F$25:$F$69,$F385,Налоги!$AB$25:$AB$69,$G385)</f>
        <v>0</v>
      </c>
      <c r="AR385" s="190">
        <f ca="1">SUMIFS(Налоги!AQ$25:AQ$69,Налоги!$F$25:$F$69,$F385,Налоги!$AB$25:$AB$69,$G385)</f>
        <v>0</v>
      </c>
      <c r="AS385" s="190">
        <f ca="1">SUMIFS(Налоги!AR$25:AR$69,Налоги!$F$25:$F$69,$F385,Налоги!$AB$25:$AB$69,$G385)</f>
        <v>0</v>
      </c>
      <c r="AT385" s="190">
        <f ca="1">SUMIFS(Налоги!AS$25:AS$69,Налоги!$F$25:$F$69,$F385,Налоги!$AB$25:$AB$69,$G385)</f>
        <v>0</v>
      </c>
      <c r="AU385" s="190">
        <f ca="1">SUMIFS(Налоги!AT$25:AT$69,Налоги!$F$25:$F$69,$F385,Налоги!$AB$25:$AB$69,$G385)</f>
        <v>0</v>
      </c>
      <c r="AV385" s="190">
        <f ca="1">SUMIFS(Налоги!AU$25:AU$69,Налоги!$F$25:$F$69,$F385,Налоги!$AB$25:$AB$69,$G385)</f>
        <v>0</v>
      </c>
      <c r="AW385" s="190">
        <f ca="1">SUMIFS(Налоги!AV$25:AV$69,Налоги!$F$25:$F$69,$F385,Налоги!$AB$25:$AB$69,$G385)</f>
        <v>0</v>
      </c>
      <c r="AX385" s="190">
        <f ca="1">SUMIFS(Налоги!AW$25:AW$69,Налоги!$F$25:$F$69,$F385,Налоги!$AB$25:$AB$69,$G385)</f>
        <v>0</v>
      </c>
      <c r="AY385" s="190">
        <f ca="1">SUMIFS(Налоги!AX$25:AX$69,Налоги!$F$25:$F$69,$F385,Налоги!$AB$25:$AB$69,$G385)</f>
        <v>0</v>
      </c>
      <c r="AZ385" s="190">
        <f ca="1">SUMIFS(Налоги!AY$25:AY$69,Налоги!$F$25:$F$69,$F385,Налоги!$AB$25:$AB$69,$G385)</f>
        <v>0</v>
      </c>
      <c r="BA385" s="190">
        <f ca="1">SUMIFS(Налоги!AZ$25:AZ$69,Налоги!$F$25:$F$69,$F385,Налоги!$AB$25:$AB$69,$G385)</f>
        <v>0</v>
      </c>
      <c r="BB385" s="190">
        <f ca="1">SUMIFS(Налоги!BA$25:BA$69,Налоги!$F$25:$F$69,$F385,Налоги!$AB$25:$AB$69,$G385)</f>
        <v>0</v>
      </c>
      <c r="BC385" s="190">
        <f ca="1">SUMIFS(Налоги!BB$25:BB$69,Налоги!$F$25:$F$69,$F385,Налоги!$AB$25:$AB$69,$G385)</f>
        <v>0</v>
      </c>
      <c r="BD385" s="190">
        <f t="shared" ca="1" si="92"/>
        <v>0</v>
      </c>
      <c r="BE385" s="190">
        <f t="shared" ca="1" si="93"/>
        <v>0</v>
      </c>
      <c r="BF385" s="190">
        <f t="shared" ca="1" si="94"/>
        <v>0</v>
      </c>
      <c r="BG385" s="190">
        <f t="shared" ca="1" si="95"/>
        <v>0</v>
      </c>
      <c r="BH385" s="190">
        <f t="shared" ca="1" si="96"/>
        <v>0</v>
      </c>
      <c r="BI385" s="190">
        <f t="shared" ca="1" si="97"/>
        <v>0</v>
      </c>
      <c r="BJ385" s="190">
        <f t="shared" ca="1" si="98"/>
        <v>0</v>
      </c>
      <c r="BK385" s="190">
        <f t="shared" ca="1" si="99"/>
        <v>0</v>
      </c>
      <c r="BL385" s="190">
        <f t="shared" ca="1" si="100"/>
        <v>0</v>
      </c>
      <c r="BM385" s="190">
        <f t="shared" ca="1" si="101"/>
        <v>0</v>
      </c>
      <c r="BN385" s="215"/>
      <c r="BO385" s="610" t="str">
        <f ca="1">IF(IFERROR(INDEX(Налоги!$K$26:$L$69,MATCH($F385&amp;"5komm",Налоги!$K$26:$K$69,0),2),"")=0,"",IFERROR(INDEX(Налоги!$K$26:$L$69,MATCH($F385&amp;"5komm",Налоги!$K$26:$K$69,0),2),""))</f>
        <v/>
      </c>
      <c r="BP385" s="215"/>
      <c r="BS385" s="705" t="s">
        <v>2079</v>
      </c>
    </row>
    <row r="386" spans="2:75" ht="14.25" customHeight="1">
      <c r="B386" s="34"/>
      <c r="C386" s="44"/>
      <c r="D386" s="44"/>
      <c r="E386" s="462">
        <v>15</v>
      </c>
      <c r="F386" s="3" t="str" cm="1">
        <f t="array" aca="1" ref="F386" ca="1">OFFSET(E386,-1,1)</f>
        <v>2</v>
      </c>
      <c r="G386" s="620">
        <v>1</v>
      </c>
      <c r="H386" s="44"/>
      <c r="I386" s="44" t="s">
        <v>2080</v>
      </c>
      <c r="J386" s="44"/>
      <c r="K386" s="44" t="s">
        <v>2080</v>
      </c>
      <c r="L386" s="44"/>
      <c r="M386" s="44"/>
      <c r="N386" s="44"/>
      <c r="O386" s="44"/>
      <c r="P386" s="44"/>
      <c r="Q386" s="44"/>
      <c r="R386" s="44"/>
      <c r="S386" s="44"/>
      <c r="T386" s="365" t="b" cm="1">
        <f t="array" aca="1" ref="T386" ca="1">T385</f>
        <v>1</v>
      </c>
      <c r="U386" s="44"/>
      <c r="V386" s="44"/>
      <c r="X386" s="1075"/>
      <c r="Z386" s="1065"/>
      <c r="AB386" s="152" t="s">
        <v>2081</v>
      </c>
      <c r="AC386" s="153" t="s">
        <v>2082</v>
      </c>
      <c r="AD386" s="26" t="s">
        <v>804</v>
      </c>
      <c r="AE386" s="190">
        <f ca="1">SUMIFS(Налоги!AE$25:AE$69,Налоги!$F$25:$F$69,$F386,Налоги!$AB$25:$AB$69,$G386)</f>
        <v>0</v>
      </c>
      <c r="AF386" s="190">
        <f ca="1">SUMIFS(Налоги!AF$25:AF$69,Налоги!$F$25:$F$69,$F386,Налоги!$AB$25:$AB$69,$G386)</f>
        <v>0</v>
      </c>
      <c r="AG386" s="190">
        <f ca="1">SUMIFS(Налоги!AG$25:AG$69,Налоги!$F$25:$F$69,$F386,Налоги!$AB$25:$AB$69,$G386)</f>
        <v>0</v>
      </c>
      <c r="AH386" s="190">
        <f t="shared" ca="1" si="90"/>
        <v>0</v>
      </c>
      <c r="AI386" s="190">
        <f ca="1">SUMIFS(Налоги!AH$25:AH$69,Налоги!$F$25:$F$69,$F386,Налоги!$AB$25:$AB$69,$G386)</f>
        <v>0</v>
      </c>
      <c r="AJ386" s="190">
        <f ca="1">SUMIFS(Налоги!AI$25:AI$69,Налоги!$F$25:$F$69,$F386,Налоги!$AB$25:$AB$69,$G386)</f>
        <v>0</v>
      </c>
      <c r="AK386" s="190">
        <f ca="1">SUMIFS(Налоги!AJ$25:AJ$69,Налоги!$F$25:$F$69,$F386,Налоги!$AB$25:$AB$69,$G386)</f>
        <v>0</v>
      </c>
      <c r="AL386" s="190">
        <f ca="1">SUMIFS(Налоги!AK$25:AK$69,Налоги!$F$25:$F$69,$F386,Налоги!$AB$25:$AB$69,$G386)</f>
        <v>0</v>
      </c>
      <c r="AM386" s="190">
        <f ca="1">SUMIFS(Налоги!AL$25:AL$69,Налоги!$F$25:$F$69,$F386,Налоги!$AB$25:$AB$69,$G386)</f>
        <v>0</v>
      </c>
      <c r="AN386" s="190">
        <f ca="1">SUMIFS(Налоги!AM$25:AM$69,Налоги!$F$25:$F$69,$F386,Налоги!$AB$25:$AB$69,$G386)</f>
        <v>0</v>
      </c>
      <c r="AO386" s="190">
        <f ca="1">SUMIFS(Налоги!AN$25:AN$69,Налоги!$F$25:$F$69,$F386,Налоги!$AB$25:$AB$69,$G386)</f>
        <v>0</v>
      </c>
      <c r="AP386" s="190">
        <f ca="1">SUMIFS(Налоги!AO$25:AO$69,Налоги!$F$25:$F$69,$F386,Налоги!$AB$25:$AB$69,$G386)</f>
        <v>0</v>
      </c>
      <c r="AQ386" s="190">
        <f ca="1">SUMIFS(Налоги!AP$25:AP$69,Налоги!$F$25:$F$69,$F386,Налоги!$AB$25:$AB$69,$G386)</f>
        <v>0</v>
      </c>
      <c r="AR386" s="190">
        <f ca="1">SUMIFS(Налоги!AQ$25:AQ$69,Налоги!$F$25:$F$69,$F386,Налоги!$AB$25:$AB$69,$G386)</f>
        <v>0</v>
      </c>
      <c r="AS386" s="190">
        <f ca="1">SUMIFS(Налоги!AR$25:AR$69,Налоги!$F$25:$F$69,$F386,Налоги!$AB$25:$AB$69,$G386)</f>
        <v>0</v>
      </c>
      <c r="AT386" s="190">
        <f ca="1">SUMIFS(Налоги!AS$25:AS$69,Налоги!$F$25:$F$69,$F386,Налоги!$AB$25:$AB$69,$G386)</f>
        <v>0</v>
      </c>
      <c r="AU386" s="190">
        <f ca="1">SUMIFS(Налоги!AT$25:AT$69,Налоги!$F$25:$F$69,$F386,Налоги!$AB$25:$AB$69,$G386)</f>
        <v>0</v>
      </c>
      <c r="AV386" s="190">
        <f ca="1">SUMIFS(Налоги!AU$25:AU$69,Налоги!$F$25:$F$69,$F386,Налоги!$AB$25:$AB$69,$G386)</f>
        <v>0</v>
      </c>
      <c r="AW386" s="190">
        <f ca="1">SUMIFS(Налоги!AV$25:AV$69,Налоги!$F$25:$F$69,$F386,Налоги!$AB$25:$AB$69,$G386)</f>
        <v>0</v>
      </c>
      <c r="AX386" s="190">
        <f ca="1">SUMIFS(Налоги!AW$25:AW$69,Налоги!$F$25:$F$69,$F386,Налоги!$AB$25:$AB$69,$G386)</f>
        <v>0</v>
      </c>
      <c r="AY386" s="190">
        <f ca="1">SUMIFS(Налоги!AX$25:AX$69,Налоги!$F$25:$F$69,$F386,Налоги!$AB$25:$AB$69,$G386)</f>
        <v>0</v>
      </c>
      <c r="AZ386" s="190">
        <f ca="1">SUMIFS(Налоги!AY$25:AY$69,Налоги!$F$25:$F$69,$F386,Налоги!$AB$25:$AB$69,$G386)</f>
        <v>0</v>
      </c>
      <c r="BA386" s="190">
        <f ca="1">SUMIFS(Налоги!AZ$25:AZ$69,Налоги!$F$25:$F$69,$F386,Налоги!$AB$25:$AB$69,$G386)</f>
        <v>0</v>
      </c>
      <c r="BB386" s="190">
        <f ca="1">SUMIFS(Налоги!BA$25:BA$69,Налоги!$F$25:$F$69,$F386,Налоги!$AB$25:$AB$69,$G386)</f>
        <v>0</v>
      </c>
      <c r="BC386" s="190">
        <f ca="1">SUMIFS(Налоги!BB$25:BB$69,Налоги!$F$25:$F$69,$F386,Налоги!$AB$25:$AB$69,$G386)</f>
        <v>0</v>
      </c>
      <c r="BD386" s="190">
        <f t="shared" ca="1" si="92"/>
        <v>0</v>
      </c>
      <c r="BE386" s="190">
        <f t="shared" ca="1" si="93"/>
        <v>0</v>
      </c>
      <c r="BF386" s="190">
        <f t="shared" ca="1" si="94"/>
        <v>0</v>
      </c>
      <c r="BG386" s="190">
        <f t="shared" ca="1" si="95"/>
        <v>0</v>
      </c>
      <c r="BH386" s="190">
        <f t="shared" ca="1" si="96"/>
        <v>0</v>
      </c>
      <c r="BI386" s="190">
        <f t="shared" ca="1" si="97"/>
        <v>0</v>
      </c>
      <c r="BJ386" s="190">
        <f t="shared" ca="1" si="98"/>
        <v>0</v>
      </c>
      <c r="BK386" s="190">
        <f t="shared" ca="1" si="99"/>
        <v>0</v>
      </c>
      <c r="BL386" s="190">
        <f t="shared" ca="1" si="100"/>
        <v>0</v>
      </c>
      <c r="BM386" s="190">
        <f t="shared" ca="1" si="101"/>
        <v>0</v>
      </c>
      <c r="BN386" s="215"/>
      <c r="BO386" s="610" t="str">
        <f ca="1">IF(IFERROR(INDEX(Налоги!$K$26:$L$69,MATCH($F386&amp;"1komm",Налоги!$K$26:$K$69,0),2),"")=0,"",IFERROR(INDEX(Налоги!$K$26:$L$69,MATCH($F386&amp;"1komm",Налоги!$K$26:$K$69,0),2),""))</f>
        <v/>
      </c>
      <c r="BP386" s="215"/>
      <c r="BS386" s="705" t="s">
        <v>2083</v>
      </c>
    </row>
    <row r="387" spans="2:75" ht="201.75" customHeight="1">
      <c r="B387" s="34"/>
      <c r="C387" s="44"/>
      <c r="D387" s="44"/>
      <c r="E387" s="462">
        <v>15</v>
      </c>
      <c r="F387" s="3" t="str" cm="1">
        <f t="array" aca="1" ref="F387" ca="1">OFFSET(E387,-1,1)</f>
        <v>2</v>
      </c>
      <c r="G387" s="620">
        <v>3</v>
      </c>
      <c r="H387" s="44"/>
      <c r="I387" s="44" t="s">
        <v>2084</v>
      </c>
      <c r="J387" s="44"/>
      <c r="K387" s="44" t="s">
        <v>2084</v>
      </c>
      <c r="L387" s="44"/>
      <c r="M387" s="44"/>
      <c r="N387" s="44"/>
      <c r="O387" s="44"/>
      <c r="P387" s="44"/>
      <c r="Q387" s="44"/>
      <c r="R387" s="44"/>
      <c r="S387" s="44"/>
      <c r="T387" s="365" t="b" cm="1">
        <f t="array" aca="1" ref="T387" ca="1">T386</f>
        <v>1</v>
      </c>
      <c r="U387" s="44"/>
      <c r="V387" s="44"/>
      <c r="X387" s="1075"/>
      <c r="Z387" s="1065"/>
      <c r="AB387" s="152" t="s">
        <v>2085</v>
      </c>
      <c r="AC387" s="153" t="s">
        <v>2086</v>
      </c>
      <c r="AD387" s="26" t="s">
        <v>804</v>
      </c>
      <c r="AE387" s="147">
        <v>15.068</v>
      </c>
      <c r="AF387" s="147">
        <f ca="1">SUMIFS(Налоги!AF$25:AF$69,Налоги!$F$25:$F$69,$F387,Налоги!$AB$25:$AB$69,$G387)</f>
        <v>9.2899999999999991</v>
      </c>
      <c r="AG387" s="147">
        <f ca="1">SUMIFS(Налоги!AG$25:AG$69,Налоги!$F$25:$F$69,$F387,Налоги!$AB$25:$AB$69,$G387)</f>
        <v>9.2899999999999991</v>
      </c>
      <c r="AH387" s="190">
        <f t="shared" ca="1" si="90"/>
        <v>0</v>
      </c>
      <c r="AI387" s="147">
        <v>14.325277679999999</v>
      </c>
      <c r="AJ387" s="147">
        <f ca="1">SUMIFS(Налоги!AI$25:AI$69,Налоги!$F$25:$F$69,$F387,Налоги!$AB$25:$AB$69,$G387)</f>
        <v>10.199999999999999</v>
      </c>
      <c r="AK387" s="787">
        <f ca="1">SUMIFS(Налоги!AJ$25:AJ$69,Налоги!$F$25:$F$69,$F387,Налоги!$AB$25:$AB$69,$G387)</f>
        <v>0</v>
      </c>
      <c r="AL387" s="787">
        <f ca="1">SUMIFS(Налоги!AK$25:AK$69,Налоги!$F$25:$F$69,$F387,Налоги!$AB$25:$AB$69,$G387)</f>
        <v>0</v>
      </c>
      <c r="AM387" s="787">
        <f ca="1">SUMIFS(Налоги!AL$25:AL$69,Налоги!$F$25:$F$69,$F387,Налоги!$AB$25:$AB$69,$G387)</f>
        <v>0</v>
      </c>
      <c r="AN387" s="787">
        <f ca="1">SUMIFS(Налоги!AM$25:AM$69,Налоги!$F$25:$F$69,$F387,Налоги!$AB$25:$AB$69,$G387)</f>
        <v>0</v>
      </c>
      <c r="AO387" s="787">
        <f ca="1">SUMIFS(Налоги!AN$25:AN$69,Налоги!$F$25:$F$69,$F387,Налоги!$AB$25:$AB$69,$G387)</f>
        <v>0</v>
      </c>
      <c r="AP387" s="787">
        <f ca="1">SUMIFS(Налоги!AO$25:AO$69,Налоги!$F$25:$F$69,$F387,Налоги!$AB$25:$AB$69,$G387)</f>
        <v>0</v>
      </c>
      <c r="AQ387" s="787">
        <f ca="1">SUMIFS(Налоги!AP$25:AP$69,Налоги!$F$25:$F$69,$F387,Налоги!$AB$25:$AB$69,$G387)</f>
        <v>0</v>
      </c>
      <c r="AR387" s="787">
        <f ca="1">SUMIFS(Налоги!AQ$25:AQ$69,Налоги!$F$25:$F$69,$F387,Налоги!$AB$25:$AB$69,$G387)</f>
        <v>0</v>
      </c>
      <c r="AS387" s="787">
        <f ca="1">SUMIFS(Налоги!AR$25:AR$69,Налоги!$F$25:$F$69,$F387,Налоги!$AB$25:$AB$69,$G387)</f>
        <v>0</v>
      </c>
      <c r="AT387" s="147">
        <f ca="1">SUMIFS(Налоги!AS$25:AS$69,Налоги!$F$25:$F$69,$F387,Налоги!$AB$25:$AB$69,$G387)</f>
        <v>10.199999999999999</v>
      </c>
      <c r="AU387" s="787">
        <f ca="1">SUMIFS(Налоги!AT$25:AT$69,Налоги!$F$25:$F$69,$F387,Налоги!$AB$25:$AB$69,$G387)</f>
        <v>0</v>
      </c>
      <c r="AV387" s="787">
        <f ca="1">SUMIFS(Налоги!AU$25:AU$69,Налоги!$F$25:$F$69,$F387,Налоги!$AB$25:$AB$69,$G387)</f>
        <v>0</v>
      </c>
      <c r="AW387" s="787">
        <f ca="1">SUMIFS(Налоги!AV$25:AV$69,Налоги!$F$25:$F$69,$F387,Налоги!$AB$25:$AB$69,$G387)</f>
        <v>0</v>
      </c>
      <c r="AX387" s="787">
        <f ca="1">SUMIFS(Налоги!AW$25:AW$69,Налоги!$F$25:$F$69,$F387,Налоги!$AB$25:$AB$69,$G387)</f>
        <v>0</v>
      </c>
      <c r="AY387" s="787">
        <f ca="1">SUMIFS(Налоги!AX$25:AX$69,Налоги!$F$25:$F$69,$F387,Налоги!$AB$25:$AB$69,$G387)</f>
        <v>0</v>
      </c>
      <c r="AZ387" s="787">
        <f ca="1">SUMIFS(Налоги!AY$25:AY$69,Налоги!$F$25:$F$69,$F387,Налоги!$AB$25:$AB$69,$G387)</f>
        <v>0</v>
      </c>
      <c r="BA387" s="787">
        <f ca="1">SUMIFS(Налоги!AZ$25:AZ$69,Налоги!$F$25:$F$69,$F387,Налоги!$AB$25:$AB$69,$G387)</f>
        <v>0</v>
      </c>
      <c r="BB387" s="787">
        <f ca="1">SUMIFS(Налоги!BA$25:BA$69,Налоги!$F$25:$F$69,$F387,Налоги!$AB$25:$AB$69,$G387)</f>
        <v>0</v>
      </c>
      <c r="BC387" s="787">
        <f ca="1">SUMIFS(Налоги!BB$25:BB$69,Налоги!$F$25:$F$69,$F387,Налоги!$AB$25:$AB$69,$G387)</f>
        <v>0</v>
      </c>
      <c r="BD387" s="190">
        <f t="shared" ca="1" si="92"/>
        <v>-28.797191734436247</v>
      </c>
      <c r="BE387" s="190">
        <f t="shared" ca="1" si="93"/>
        <v>-100</v>
      </c>
      <c r="BF387" s="190">
        <f t="shared" ca="1" si="94"/>
        <v>0</v>
      </c>
      <c r="BG387" s="190">
        <f t="shared" ca="1" si="95"/>
        <v>0</v>
      </c>
      <c r="BH387" s="190">
        <f t="shared" ca="1" si="96"/>
        <v>0</v>
      </c>
      <c r="BI387" s="190">
        <f t="shared" ca="1" si="97"/>
        <v>0</v>
      </c>
      <c r="BJ387" s="190">
        <f t="shared" ca="1" si="98"/>
        <v>0</v>
      </c>
      <c r="BK387" s="190">
        <f t="shared" ca="1" si="99"/>
        <v>0</v>
      </c>
      <c r="BL387" s="190">
        <f t="shared" ca="1" si="100"/>
        <v>0</v>
      </c>
      <c r="BM387" s="190">
        <f t="shared" ca="1" si="101"/>
        <v>0</v>
      </c>
      <c r="BN387" s="953" t="s">
        <v>2266</v>
      </c>
      <c r="BO387" s="610" t="s">
        <v>1297</v>
      </c>
      <c r="BP387" s="215"/>
      <c r="BS387" s="705" t="s">
        <v>2087</v>
      </c>
    </row>
    <row r="388" spans="2:75" ht="54.75" customHeight="1">
      <c r="B388" s="34"/>
      <c r="C388" s="44"/>
      <c r="D388" s="44"/>
      <c r="E388" s="462">
        <v>15</v>
      </c>
      <c r="F388" s="3" t="str" cm="1">
        <f t="array" aca="1" ref="F388" ca="1">OFFSET(E388,-1,1)</f>
        <v>2</v>
      </c>
      <c r="G388" s="620">
        <v>8</v>
      </c>
      <c r="H388" s="44"/>
      <c r="I388" s="44" t="s">
        <v>2088</v>
      </c>
      <c r="J388" s="44"/>
      <c r="K388" s="44" t="s">
        <v>2088</v>
      </c>
      <c r="L388" s="44"/>
      <c r="M388" s="44"/>
      <c r="N388" s="44"/>
      <c r="O388" s="44"/>
      <c r="P388" s="44"/>
      <c r="Q388" s="44"/>
      <c r="R388" s="44"/>
      <c r="S388" s="44"/>
      <c r="T388" s="365" t="b" cm="1">
        <f t="array" aca="1" ref="T388" ca="1">T387</f>
        <v>1</v>
      </c>
      <c r="U388" s="44"/>
      <c r="V388" s="44"/>
      <c r="X388" s="1075"/>
      <c r="Z388" s="1065"/>
      <c r="AB388" s="152" t="s">
        <v>2089</v>
      </c>
      <c r="AC388" s="153" t="s">
        <v>2090</v>
      </c>
      <c r="AD388" s="26" t="s">
        <v>804</v>
      </c>
      <c r="AE388" s="190">
        <f ca="1">SUMIFS(Налоги!AE$25:AE$69,Налоги!$F$25:$F$69,$F388,Налоги!$AB$25:$AB$69,$G388)</f>
        <v>329.43303579249999</v>
      </c>
      <c r="AF388" s="190">
        <f ca="1">SUMIFS(Налоги!AF$25:AF$69,Налоги!$F$25:$F$69,$F388,Налоги!$AB$25:$AB$69,$G388)</f>
        <v>413.25</v>
      </c>
      <c r="AG388" s="190">
        <f ca="1">SUMIFS(Налоги!AG$25:AG$69,Налоги!$F$25:$F$69,$F388,Налоги!$AB$25:$AB$69,$G388)</f>
        <v>326.02999999999997</v>
      </c>
      <c r="AH388" s="190">
        <f t="shared" ca="1" si="90"/>
        <v>-87.220000000000027</v>
      </c>
      <c r="AI388" s="190">
        <f ca="1">SUMIFS(Налоги!AH$25:AH$69,Налоги!$F$25:$F$69,$F388,Налоги!$AB$25:$AB$69,$G388)</f>
        <v>370.57</v>
      </c>
      <c r="AJ388" s="190">
        <f ca="1">SUMIFS(Налоги!AI$25:AI$69,Налоги!$F$25:$F$69,$F388,Налоги!$AB$25:$AB$69,$G388)</f>
        <v>695.4</v>
      </c>
      <c r="AK388" s="190">
        <f ca="1">SUMIFS(Налоги!AJ$25:AJ$69,Налоги!$F$25:$F$69,$F388,Налоги!$AB$25:$AB$69,$G388)</f>
        <v>0</v>
      </c>
      <c r="AL388" s="190">
        <f ca="1">SUMIFS(Налоги!AK$25:AK$69,Налоги!$F$25:$F$69,$F388,Налоги!$AB$25:$AB$69,$G388)</f>
        <v>0</v>
      </c>
      <c r="AM388" s="190">
        <f ca="1">SUMIFS(Налоги!AL$25:AL$69,Налоги!$F$25:$F$69,$F388,Налоги!$AB$25:$AB$69,$G388)</f>
        <v>0</v>
      </c>
      <c r="AN388" s="190">
        <f ca="1">SUMIFS(Налоги!AM$25:AM$69,Налоги!$F$25:$F$69,$F388,Налоги!$AB$25:$AB$69,$G388)</f>
        <v>0</v>
      </c>
      <c r="AO388" s="190">
        <f ca="1">SUMIFS(Налоги!AN$25:AN$69,Налоги!$F$25:$F$69,$F388,Налоги!$AB$25:$AB$69,$G388)</f>
        <v>0</v>
      </c>
      <c r="AP388" s="190">
        <f ca="1">SUMIFS(Налоги!AO$25:AO$69,Налоги!$F$25:$F$69,$F388,Налоги!$AB$25:$AB$69,$G388)</f>
        <v>0</v>
      </c>
      <c r="AQ388" s="190">
        <f ca="1">SUMIFS(Налоги!AP$25:AP$69,Налоги!$F$25:$F$69,$F388,Налоги!$AB$25:$AB$69,$G388)</f>
        <v>0</v>
      </c>
      <c r="AR388" s="190">
        <f ca="1">SUMIFS(Налоги!AQ$25:AQ$69,Налоги!$F$25:$F$69,$F388,Налоги!$AB$25:$AB$69,$G388)</f>
        <v>0</v>
      </c>
      <c r="AS388" s="190">
        <f ca="1">SUMIFS(Налоги!AR$25:AR$69,Налоги!$F$25:$F$69,$F388,Налоги!$AB$25:$AB$69,$G388)</f>
        <v>0</v>
      </c>
      <c r="AT388" s="190">
        <f ca="1">SUMIFS(Налоги!AS$25:AS$69,Налоги!$F$25:$F$69,$F388,Налоги!$AB$25:$AB$69,$G388)</f>
        <v>394.86</v>
      </c>
      <c r="AU388" s="190">
        <f ca="1">SUMIFS(Налоги!AT$25:AT$69,Налоги!$F$25:$F$69,$F388,Налоги!$AB$25:$AB$69,$G388)</f>
        <v>0</v>
      </c>
      <c r="AV388" s="190">
        <f ca="1">SUMIFS(Налоги!AU$25:AU$69,Налоги!$F$25:$F$69,$F388,Налоги!$AB$25:$AB$69,$G388)</f>
        <v>0</v>
      </c>
      <c r="AW388" s="190">
        <f ca="1">SUMIFS(Налоги!AV$25:AV$69,Налоги!$F$25:$F$69,$F388,Налоги!$AB$25:$AB$69,$G388)</f>
        <v>0</v>
      </c>
      <c r="AX388" s="190">
        <f ca="1">SUMIFS(Налоги!AW$25:AW$69,Налоги!$F$25:$F$69,$F388,Налоги!$AB$25:$AB$69,$G388)</f>
        <v>0</v>
      </c>
      <c r="AY388" s="190">
        <f ca="1">SUMIFS(Налоги!AX$25:AX$69,Налоги!$F$25:$F$69,$F388,Налоги!$AB$25:$AB$69,$G388)</f>
        <v>0</v>
      </c>
      <c r="AZ388" s="190">
        <f ca="1">SUMIFS(Налоги!AY$25:AY$69,Налоги!$F$25:$F$69,$F388,Налоги!$AB$25:$AB$69,$G388)</f>
        <v>0</v>
      </c>
      <c r="BA388" s="190">
        <f ca="1">SUMIFS(Налоги!AZ$25:AZ$69,Налоги!$F$25:$F$69,$F388,Налоги!$AB$25:$AB$69,$G388)</f>
        <v>0</v>
      </c>
      <c r="BB388" s="190">
        <f ca="1">SUMIFS(Налоги!BA$25:BA$69,Налоги!$F$25:$F$69,$F388,Налоги!$AB$25:$AB$69,$G388)</f>
        <v>0</v>
      </c>
      <c r="BC388" s="190">
        <f ca="1">SUMIFS(Налоги!BB$25:BB$69,Налоги!$F$25:$F$69,$F388,Налоги!$AB$25:$AB$69,$G388)</f>
        <v>0</v>
      </c>
      <c r="BD388" s="190">
        <f t="shared" ca="1" si="92"/>
        <v>6.5547669805974635</v>
      </c>
      <c r="BE388" s="190">
        <f t="shared" ca="1" si="93"/>
        <v>-100</v>
      </c>
      <c r="BF388" s="190">
        <f t="shared" ca="1" si="94"/>
        <v>0</v>
      </c>
      <c r="BG388" s="190">
        <f t="shared" ca="1" si="95"/>
        <v>0</v>
      </c>
      <c r="BH388" s="190">
        <f t="shared" ca="1" si="96"/>
        <v>0</v>
      </c>
      <c r="BI388" s="190">
        <f t="shared" ca="1" si="97"/>
        <v>0</v>
      </c>
      <c r="BJ388" s="190">
        <f t="shared" ca="1" si="98"/>
        <v>0</v>
      </c>
      <c r="BK388" s="190">
        <f t="shared" ca="1" si="99"/>
        <v>0</v>
      </c>
      <c r="BL388" s="190">
        <f t="shared" ca="1" si="100"/>
        <v>0</v>
      </c>
      <c r="BM388" s="190">
        <f t="shared" ca="1" si="101"/>
        <v>0</v>
      </c>
      <c r="BN388" s="953" t="s">
        <v>2242</v>
      </c>
      <c r="BO388" s="610" t="s">
        <v>1296</v>
      </c>
      <c r="BP388" s="215"/>
      <c r="BS388" s="705" t="s">
        <v>1288</v>
      </c>
    </row>
    <row r="389" spans="2:75" s="388" customFormat="1" ht="0" hidden="1" customHeight="1">
      <c r="B389" s="34"/>
      <c r="C389" s="44"/>
      <c r="D389" s="44"/>
      <c r="E389" s="462">
        <v>15</v>
      </c>
      <c r="F389" s="3" t="str" cm="1">
        <f t="array" aca="1" ref="F389" ca="1">OFFSET(E389,-1,1)</f>
        <v>2</v>
      </c>
      <c r="G389" s="620">
        <v>9</v>
      </c>
      <c r="H389" s="44"/>
      <c r="I389" s="44"/>
      <c r="J389" s="44"/>
      <c r="K389" s="44"/>
      <c r="L389" s="44"/>
      <c r="M389" s="44"/>
      <c r="N389" s="44"/>
      <c r="O389" s="44"/>
      <c r="P389" s="44"/>
      <c r="Q389" s="44"/>
      <c r="R389" s="44"/>
      <c r="S389" s="44"/>
      <c r="T389" s="365" t="b" cm="1">
        <f t="array" aca="1" ref="T389" ca="1">T388</f>
        <v>1</v>
      </c>
      <c r="U389" s="44"/>
      <c r="V389" s="44"/>
      <c r="X389" s="1075"/>
      <c r="Z389" s="1065"/>
      <c r="AB389" s="152" t="s">
        <v>2091</v>
      </c>
      <c r="AC389" s="559" t="s">
        <v>2092</v>
      </c>
      <c r="AD389" s="26" t="s">
        <v>804</v>
      </c>
      <c r="AE389" s="190">
        <f ca="1">SUMIFS(Налоги!AE$25:AE$69,Налоги!$F$25:$F$69,$F389,Налоги!$AB$25:$AB$69,$G389)</f>
        <v>0</v>
      </c>
      <c r="AF389" s="190">
        <f ca="1">SUMIFS(Налоги!AF$25:AF$69,Налоги!$F$25:$F$69,$F389,Налоги!$AB$25:$AB$69,$G389)</f>
        <v>0</v>
      </c>
      <c r="AG389" s="190">
        <f ca="1">SUMIFS(Налоги!AG$25:AG$69,Налоги!$F$25:$F$69,$F389,Налоги!$AB$25:$AB$69,$G389)</f>
        <v>0</v>
      </c>
      <c r="AH389" s="190">
        <f t="shared" ca="1" si="90"/>
        <v>0</v>
      </c>
      <c r="AI389" s="190">
        <f ca="1">SUMIFS(Налоги!AH$25:AH$69,Налоги!$F$25:$F$69,$F389,Налоги!$AB$25:$AB$69,$G389)</f>
        <v>0</v>
      </c>
      <c r="AJ389" s="190">
        <f ca="1">SUMIFS(Налоги!AI$25:AI$69,Налоги!$F$25:$F$69,$F389,Налоги!$AB$25:$AB$69,$G389)</f>
        <v>0</v>
      </c>
      <c r="AK389" s="190">
        <f ca="1">SUMIFS(Налоги!AJ$25:AJ$69,Налоги!$F$25:$F$69,$F389,Налоги!$AB$25:$AB$69,$G389)</f>
        <v>0</v>
      </c>
      <c r="AL389" s="190">
        <f ca="1">SUMIFS(Налоги!AK$25:AK$69,Налоги!$F$25:$F$69,$F389,Налоги!$AB$25:$AB$69,$G389)</f>
        <v>0</v>
      </c>
      <c r="AM389" s="190">
        <f ca="1">SUMIFS(Налоги!AL$25:AL$69,Налоги!$F$25:$F$69,$F389,Налоги!$AB$25:$AB$69,$G389)</f>
        <v>0</v>
      </c>
      <c r="AN389" s="190">
        <f ca="1">SUMIFS(Налоги!AM$25:AM$69,Налоги!$F$25:$F$69,$F389,Налоги!$AB$25:$AB$69,$G389)</f>
        <v>0</v>
      </c>
      <c r="AO389" s="190">
        <f ca="1">SUMIFS(Налоги!AN$25:AN$69,Налоги!$F$25:$F$69,$F389,Налоги!$AB$25:$AB$69,$G389)</f>
        <v>0</v>
      </c>
      <c r="AP389" s="190">
        <f ca="1">SUMIFS(Налоги!AO$25:AO$69,Налоги!$F$25:$F$69,$F389,Налоги!$AB$25:$AB$69,$G389)</f>
        <v>0</v>
      </c>
      <c r="AQ389" s="190">
        <f ca="1">SUMIFS(Налоги!AP$25:AP$69,Налоги!$F$25:$F$69,$F389,Налоги!$AB$25:$AB$69,$G389)</f>
        <v>0</v>
      </c>
      <c r="AR389" s="190">
        <f ca="1">SUMIFS(Налоги!AQ$25:AQ$69,Налоги!$F$25:$F$69,$F389,Налоги!$AB$25:$AB$69,$G389)</f>
        <v>0</v>
      </c>
      <c r="AS389" s="190">
        <f ca="1">SUMIFS(Налоги!AR$25:AR$69,Налоги!$F$25:$F$69,$F389,Налоги!$AB$25:$AB$69,$G389)</f>
        <v>0</v>
      </c>
      <c r="AT389" s="190">
        <f ca="1">SUMIFS(Налоги!AS$25:AS$69,Налоги!$F$25:$F$69,$F389,Налоги!$AB$25:$AB$69,$G389)</f>
        <v>0</v>
      </c>
      <c r="AU389" s="190">
        <f ca="1">SUMIFS(Налоги!AT$25:AT$69,Налоги!$F$25:$F$69,$F389,Налоги!$AB$25:$AB$69,$G389)</f>
        <v>0</v>
      </c>
      <c r="AV389" s="190">
        <f ca="1">SUMIFS(Налоги!AU$25:AU$69,Налоги!$F$25:$F$69,$F389,Налоги!$AB$25:$AB$69,$G389)</f>
        <v>0</v>
      </c>
      <c r="AW389" s="190">
        <f ca="1">SUMIFS(Налоги!AV$25:AV$69,Налоги!$F$25:$F$69,$F389,Налоги!$AB$25:$AB$69,$G389)</f>
        <v>0</v>
      </c>
      <c r="AX389" s="190">
        <f ca="1">SUMIFS(Налоги!AW$25:AW$69,Налоги!$F$25:$F$69,$F389,Налоги!$AB$25:$AB$69,$G389)</f>
        <v>0</v>
      </c>
      <c r="AY389" s="190">
        <f ca="1">SUMIFS(Налоги!AX$25:AX$69,Налоги!$F$25:$F$69,$F389,Налоги!$AB$25:$AB$69,$G389)</f>
        <v>0</v>
      </c>
      <c r="AZ389" s="190">
        <f ca="1">SUMIFS(Налоги!AY$25:AY$69,Налоги!$F$25:$F$69,$F389,Налоги!$AB$25:$AB$69,$G389)</f>
        <v>0</v>
      </c>
      <c r="BA389" s="190">
        <f ca="1">SUMIFS(Налоги!AZ$25:AZ$69,Налоги!$F$25:$F$69,$F389,Налоги!$AB$25:$AB$69,$G389)</f>
        <v>0</v>
      </c>
      <c r="BB389" s="190">
        <f ca="1">SUMIFS(Налоги!BA$25:BA$69,Налоги!$F$25:$F$69,$F389,Налоги!$AB$25:$AB$69,$G389)</f>
        <v>0</v>
      </c>
      <c r="BC389" s="190">
        <f ca="1">SUMIFS(Налоги!BB$25:BB$69,Налоги!$F$25:$F$69,$F389,Налоги!$AB$25:$AB$69,$G389)</f>
        <v>0</v>
      </c>
      <c r="BD389" s="190">
        <f t="shared" ca="1" si="92"/>
        <v>0</v>
      </c>
      <c r="BE389" s="190">
        <f t="shared" ca="1" si="93"/>
        <v>0</v>
      </c>
      <c r="BF389" s="190">
        <f t="shared" ca="1" si="94"/>
        <v>0</v>
      </c>
      <c r="BG389" s="190">
        <f t="shared" ca="1" si="95"/>
        <v>0</v>
      </c>
      <c r="BH389" s="190">
        <f t="shared" ca="1" si="96"/>
        <v>0</v>
      </c>
      <c r="BI389" s="190">
        <f t="shared" ca="1" si="97"/>
        <v>0</v>
      </c>
      <c r="BJ389" s="190">
        <f t="shared" ca="1" si="98"/>
        <v>0</v>
      </c>
      <c r="BK389" s="190">
        <f t="shared" ca="1" si="99"/>
        <v>0</v>
      </c>
      <c r="BL389" s="190">
        <f t="shared" ca="1" si="100"/>
        <v>0</v>
      </c>
      <c r="BM389" s="190">
        <f t="shared" ca="1" si="101"/>
        <v>0</v>
      </c>
      <c r="BN389" s="215"/>
      <c r="BO389" s="610" t="str">
        <f ca="1">IF(IFERROR(INDEX(Налоги!$K$26:$L$69,MATCH($F389&amp;"9komm",Налоги!$K$26:$K$69,0),2),"")=0,"",IFERROR(INDEX(Налоги!$K$26:$L$69,MATCH($F389&amp;"9komm",Налоги!$K$26:$K$69,0),2),""))</f>
        <v/>
      </c>
      <c r="BP389" s="215"/>
      <c r="BS389" s="712" t="s">
        <v>2093</v>
      </c>
      <c r="BT389" s="712"/>
      <c r="BU389" s="712"/>
      <c r="BV389" s="713"/>
      <c r="BW389" s="713"/>
    </row>
    <row r="390" spans="2:75" ht="0" hidden="1" customHeight="1">
      <c r="B390" s="34"/>
      <c r="C390" s="44"/>
      <c r="D390" s="44"/>
      <c r="E390" s="462">
        <v>15</v>
      </c>
      <c r="F390" s="3" t="str" cm="1">
        <f t="array" aca="1" ref="F390" ca="1">OFFSET(E390,-1,1)</f>
        <v>2</v>
      </c>
      <c r="G390" s="620">
        <v>10</v>
      </c>
      <c r="H390" s="44"/>
      <c r="I390" s="44" t="s">
        <v>2094</v>
      </c>
      <c r="J390" s="44"/>
      <c r="K390" s="44" t="s">
        <v>2094</v>
      </c>
      <c r="L390" s="44"/>
      <c r="M390" s="44"/>
      <c r="N390" s="44"/>
      <c r="O390" s="44"/>
      <c r="P390" s="44"/>
      <c r="Q390" s="44"/>
      <c r="R390" s="44"/>
      <c r="S390" s="44"/>
      <c r="T390" s="365" t="b" cm="1">
        <f t="array" aca="1" ref="T390" ca="1">T389</f>
        <v>1</v>
      </c>
      <c r="U390" s="44"/>
      <c r="V390" s="44"/>
      <c r="X390" s="1075"/>
      <c r="Z390" s="1065"/>
      <c r="AB390" s="152" t="s">
        <v>2095</v>
      </c>
      <c r="AC390" s="559" t="s">
        <v>2096</v>
      </c>
      <c r="AD390" s="26" t="s">
        <v>804</v>
      </c>
      <c r="AE390" s="190">
        <f ca="1">SUMIFS(Налоги!AE$25:AE$69,Налоги!$F$25:$F$69,$F390,Налоги!$AB$25:$AB$69,$G390)</f>
        <v>0</v>
      </c>
      <c r="AF390" s="190">
        <f ca="1">SUMIFS(Налоги!AF$25:AF$69,Налоги!$F$25:$F$69,$F390,Налоги!$AB$25:$AB$69,$G390)</f>
        <v>0</v>
      </c>
      <c r="AG390" s="190">
        <f ca="1">SUMIFS(Налоги!AG$25:AG$69,Налоги!$F$25:$F$69,$F390,Налоги!$AB$25:$AB$69,$G390)</f>
        <v>0</v>
      </c>
      <c r="AH390" s="190">
        <f t="shared" ca="1" si="90"/>
        <v>0</v>
      </c>
      <c r="AI390" s="190">
        <f ca="1">SUMIFS(Налоги!AH$25:AH$69,Налоги!$F$25:$F$69,$F390,Налоги!$AB$25:$AB$69,$G390)</f>
        <v>0</v>
      </c>
      <c r="AJ390" s="190">
        <f ca="1">SUMIFS(Налоги!AI$25:AI$69,Налоги!$F$25:$F$69,$F390,Налоги!$AB$25:$AB$69,$G390)</f>
        <v>0</v>
      </c>
      <c r="AK390" s="190">
        <f ca="1">SUMIFS(Налоги!AJ$25:AJ$69,Налоги!$F$25:$F$69,$F390,Налоги!$AB$25:$AB$69,$G390)</f>
        <v>0</v>
      </c>
      <c r="AL390" s="190">
        <f ca="1">SUMIFS(Налоги!AK$25:AK$69,Налоги!$F$25:$F$69,$F390,Налоги!$AB$25:$AB$69,$G390)</f>
        <v>0</v>
      </c>
      <c r="AM390" s="190">
        <f ca="1">SUMIFS(Налоги!AL$25:AL$69,Налоги!$F$25:$F$69,$F390,Налоги!$AB$25:$AB$69,$G390)</f>
        <v>0</v>
      </c>
      <c r="AN390" s="190">
        <f ca="1">SUMIFS(Налоги!AM$25:AM$69,Налоги!$F$25:$F$69,$F390,Налоги!$AB$25:$AB$69,$G390)</f>
        <v>0</v>
      </c>
      <c r="AO390" s="190">
        <f ca="1">SUMIFS(Налоги!AN$25:AN$69,Налоги!$F$25:$F$69,$F390,Налоги!$AB$25:$AB$69,$G390)</f>
        <v>0</v>
      </c>
      <c r="AP390" s="190">
        <f ca="1">SUMIFS(Налоги!AO$25:AO$69,Налоги!$F$25:$F$69,$F390,Налоги!$AB$25:$AB$69,$G390)</f>
        <v>0</v>
      </c>
      <c r="AQ390" s="190">
        <f ca="1">SUMIFS(Налоги!AP$25:AP$69,Налоги!$F$25:$F$69,$F390,Налоги!$AB$25:$AB$69,$G390)</f>
        <v>0</v>
      </c>
      <c r="AR390" s="190">
        <f ca="1">SUMIFS(Налоги!AQ$25:AQ$69,Налоги!$F$25:$F$69,$F390,Налоги!$AB$25:$AB$69,$G390)</f>
        <v>0</v>
      </c>
      <c r="AS390" s="190">
        <f ca="1">SUMIFS(Налоги!AR$25:AR$69,Налоги!$F$25:$F$69,$F390,Налоги!$AB$25:$AB$69,$G390)</f>
        <v>0</v>
      </c>
      <c r="AT390" s="190">
        <f ca="1">SUMIFS(Налоги!AS$25:AS$69,Налоги!$F$25:$F$69,$F390,Налоги!$AB$25:$AB$69,$G390)</f>
        <v>0</v>
      </c>
      <c r="AU390" s="190">
        <f ca="1">SUMIFS(Налоги!AT$25:AT$69,Налоги!$F$25:$F$69,$F390,Налоги!$AB$25:$AB$69,$G390)</f>
        <v>0</v>
      </c>
      <c r="AV390" s="190">
        <f ca="1">SUMIFS(Налоги!AU$25:AU$69,Налоги!$F$25:$F$69,$F390,Налоги!$AB$25:$AB$69,$G390)</f>
        <v>0</v>
      </c>
      <c r="AW390" s="190">
        <f ca="1">SUMIFS(Налоги!AV$25:AV$69,Налоги!$F$25:$F$69,$F390,Налоги!$AB$25:$AB$69,$G390)</f>
        <v>0</v>
      </c>
      <c r="AX390" s="190">
        <f ca="1">SUMIFS(Налоги!AW$25:AW$69,Налоги!$F$25:$F$69,$F390,Налоги!$AB$25:$AB$69,$G390)</f>
        <v>0</v>
      </c>
      <c r="AY390" s="190">
        <f ca="1">SUMIFS(Налоги!AX$25:AX$69,Налоги!$F$25:$F$69,$F390,Налоги!$AB$25:$AB$69,$G390)</f>
        <v>0</v>
      </c>
      <c r="AZ390" s="190">
        <f ca="1">SUMIFS(Налоги!AY$25:AY$69,Налоги!$F$25:$F$69,$F390,Налоги!$AB$25:$AB$69,$G390)</f>
        <v>0</v>
      </c>
      <c r="BA390" s="190">
        <f ca="1">SUMIFS(Налоги!AZ$25:AZ$69,Налоги!$F$25:$F$69,$F390,Налоги!$AB$25:$AB$69,$G390)</f>
        <v>0</v>
      </c>
      <c r="BB390" s="190">
        <f ca="1">SUMIFS(Налоги!BA$25:BA$69,Налоги!$F$25:$F$69,$F390,Налоги!$AB$25:$AB$69,$G390)</f>
        <v>0</v>
      </c>
      <c r="BC390" s="190">
        <f ca="1">SUMIFS(Налоги!BB$25:BB$69,Налоги!$F$25:$F$69,$F390,Налоги!$AB$25:$AB$69,$G390)</f>
        <v>0</v>
      </c>
      <c r="BD390" s="190">
        <f t="shared" ca="1" si="92"/>
        <v>0</v>
      </c>
      <c r="BE390" s="190">
        <f t="shared" ca="1" si="93"/>
        <v>0</v>
      </c>
      <c r="BF390" s="190">
        <f t="shared" ca="1" si="94"/>
        <v>0</v>
      </c>
      <c r="BG390" s="190">
        <f t="shared" ca="1" si="95"/>
        <v>0</v>
      </c>
      <c r="BH390" s="190">
        <f t="shared" ca="1" si="96"/>
        <v>0</v>
      </c>
      <c r="BI390" s="190">
        <f t="shared" ca="1" si="97"/>
        <v>0</v>
      </c>
      <c r="BJ390" s="190">
        <f t="shared" ca="1" si="98"/>
        <v>0</v>
      </c>
      <c r="BK390" s="190">
        <f t="shared" ca="1" si="99"/>
        <v>0</v>
      </c>
      <c r="BL390" s="190">
        <f t="shared" ca="1" si="100"/>
        <v>0</v>
      </c>
      <c r="BM390" s="190">
        <f t="shared" ca="1" si="101"/>
        <v>0</v>
      </c>
      <c r="BN390" s="215"/>
      <c r="BO390" s="610" t="str">
        <f ca="1">IF(IFERROR(INDEX(Налоги!$K$26:$L$69,MATCH($F390&amp;"10komm",Налоги!$K$26:$K$69,0),2),"")=0,"",IFERROR(INDEX(Налоги!$K$26:$L$69,MATCH($F390&amp;"10komm",Налоги!$K$26:$K$69,0),2),""))</f>
        <v/>
      </c>
      <c r="BP390" s="215"/>
      <c r="BS390" s="705" t="s">
        <v>2097</v>
      </c>
    </row>
    <row r="391" spans="2:75" ht="0" hidden="1" customHeight="1">
      <c r="E391" s="518">
        <v>67.5</v>
      </c>
      <c r="F391" s="3" t="str" cm="1">
        <f t="array" aca="1" ref="F391" ca="1">OFFSET(E391,-1,1)</f>
        <v>2</v>
      </c>
      <c r="G391" s="91" t="s">
        <v>1445</v>
      </c>
      <c r="I391" s="91" t="s">
        <v>919</v>
      </c>
      <c r="K391" s="91" t="s">
        <v>919</v>
      </c>
      <c r="L391" s="44"/>
      <c r="M391" s="44"/>
      <c r="T391" s="365" t="b" cm="1">
        <f t="array" aca="1" ref="T391" ca="1">T390</f>
        <v>1</v>
      </c>
      <c r="X391" s="1075"/>
      <c r="Z391" s="1065"/>
      <c r="AB391" s="152" t="s">
        <v>920</v>
      </c>
      <c r="AC391" s="560" t="s">
        <v>1448</v>
      </c>
      <c r="AD391" s="26" t="s">
        <v>804</v>
      </c>
      <c r="AE391" s="160"/>
      <c r="AF391" s="160"/>
      <c r="AG391" s="160"/>
      <c r="AH391" s="190">
        <f t="shared" si="90"/>
        <v>0</v>
      </c>
      <c r="AI391" s="160"/>
      <c r="AJ391" s="160"/>
      <c r="AK391" s="790"/>
      <c r="AL391" s="790"/>
      <c r="AM391" s="790"/>
      <c r="AN391" s="790"/>
      <c r="AO391" s="790"/>
      <c r="AP391" s="790"/>
      <c r="AQ391" s="790"/>
      <c r="AR391" s="790"/>
      <c r="AS391" s="790"/>
      <c r="AT391" s="160"/>
      <c r="AU391" s="790"/>
      <c r="AV391" s="790"/>
      <c r="AW391" s="790"/>
      <c r="AX391" s="790"/>
      <c r="AY391" s="790"/>
      <c r="AZ391" s="790"/>
      <c r="BA391" s="790"/>
      <c r="BB391" s="790"/>
      <c r="BC391" s="790"/>
      <c r="BD391" s="190">
        <f t="shared" si="92"/>
        <v>0</v>
      </c>
      <c r="BE391" s="190">
        <f t="shared" si="93"/>
        <v>0</v>
      </c>
      <c r="BF391" s="190">
        <f t="shared" si="94"/>
        <v>0</v>
      </c>
      <c r="BG391" s="190">
        <f t="shared" si="95"/>
        <v>0</v>
      </c>
      <c r="BH391" s="190">
        <f t="shared" si="96"/>
        <v>0</v>
      </c>
      <c r="BI391" s="190">
        <f t="shared" si="97"/>
        <v>0</v>
      </c>
      <c r="BJ391" s="190">
        <f t="shared" si="98"/>
        <v>0</v>
      </c>
      <c r="BK391" s="190">
        <f t="shared" si="99"/>
        <v>0</v>
      </c>
      <c r="BL391" s="190">
        <f t="shared" si="100"/>
        <v>0</v>
      </c>
      <c r="BM391" s="190">
        <f t="shared" si="101"/>
        <v>0</v>
      </c>
      <c r="BN391" s="215"/>
      <c r="BO391" s="215"/>
      <c r="BP391" s="215"/>
      <c r="BS391" s="705" t="s">
        <v>2098</v>
      </c>
    </row>
    <row r="392" spans="2:75" ht="54.75" customHeight="1">
      <c r="E392" s="518">
        <v>15</v>
      </c>
      <c r="F392" s="3" t="str" cm="1">
        <f t="array" aca="1" ref="F392" ca="1">OFFSET(E392,-1,1)</f>
        <v>2</v>
      </c>
      <c r="G392" s="91" t="s">
        <v>999</v>
      </c>
      <c r="I392" s="91" t="s">
        <v>922</v>
      </c>
      <c r="K392" s="91" t="s">
        <v>922</v>
      </c>
      <c r="L392" s="44" t="s">
        <v>511</v>
      </c>
      <c r="M392" s="44"/>
      <c r="T392" s="365" t="b" cm="1">
        <f t="array" aca="1" ref="T392" ca="1">T391</f>
        <v>1</v>
      </c>
      <c r="X392" s="1075"/>
      <c r="Z392" s="1065"/>
      <c r="AB392" s="152" t="s">
        <v>923</v>
      </c>
      <c r="AC392" s="146" t="s">
        <v>999</v>
      </c>
      <c r="AD392" s="26" t="s">
        <v>804</v>
      </c>
      <c r="AE392" s="190">
        <f ca="1">SUMIFS(Аренда!AE$25:AE$57,Аренда!$F$25:$F$57,$F392,Аренда!$G$25:$G$57,"Арендная и концессионная плата, лизинговые платежи")</f>
        <v>2.4919409899999998</v>
      </c>
      <c r="AF392" s="190">
        <f ca="1">SUMIFS(Аренда!AF$25:AF$57,Аренда!$F$25:$F$57,$F392,Аренда!$G$25:$G$57,"Арендная и концессионная плата, лизинговые платежи")</f>
        <v>486.13</v>
      </c>
      <c r="AG392" s="190">
        <f ca="1">SUMIFS(Аренда!AG$25:AG$57,Аренда!$F$25:$F$57,$F392,Аренда!$G$25:$G$57,"Арендная и концессионная плата, лизинговые платежи")</f>
        <v>2.4900000000000002</v>
      </c>
      <c r="AH392" s="190">
        <f t="shared" ca="1" si="90"/>
        <v>-483.64</v>
      </c>
      <c r="AI392" s="190">
        <f ca="1">SUMIFS(Аренда!AH$25:AH$57,Аренда!$F$25:$F$57,$F392,Аренда!$G$25:$G$57,"Арендная и концессионная плата, лизинговые платежи")</f>
        <v>237.72194098999998</v>
      </c>
      <c r="AJ392" s="190">
        <f ca="1">SUMIFS(Аренда!AI$25:AI$57,Аренда!$F$25:$F$57,$F392,Аренда!$G$25:$G$57,"Арендная и концессионная плата, лизинговые платежи")</f>
        <v>486.13</v>
      </c>
      <c r="AK392" s="190">
        <f ca="1">SUMIFS(Аренда!AJ$25:AJ$57,Аренда!$F$25:$F$57,$F392,Аренда!$G$25:$G$57,"Арендная и концессионная плата, лизинговые платежи")</f>
        <v>0</v>
      </c>
      <c r="AL392" s="190">
        <f ca="1">SUMIFS(Аренда!AK$25:AK$57,Аренда!$F$25:$F$57,$F392,Аренда!$G$25:$G$57,"Арендная и концессионная плата, лизинговые платежи")</f>
        <v>0</v>
      </c>
      <c r="AM392" s="190">
        <f ca="1">SUMIFS(Аренда!AL$25:AL$57,Аренда!$F$25:$F$57,$F392,Аренда!$G$25:$G$57,"Арендная и концессионная плата, лизинговые платежи")</f>
        <v>0</v>
      </c>
      <c r="AN392" s="190">
        <f ca="1">SUMIFS(Аренда!AM$25:AM$57,Аренда!$F$25:$F$57,$F392,Аренда!$G$25:$G$57,"Арендная и концессионная плата, лизинговые платежи")</f>
        <v>0</v>
      </c>
      <c r="AO392" s="190">
        <f ca="1">SUMIFS(Аренда!AN$25:AN$57,Аренда!$F$25:$F$57,$F392,Аренда!$G$25:$G$57,"Арендная и концессионная плата, лизинговые платежи")</f>
        <v>0</v>
      </c>
      <c r="AP392" s="190">
        <f ca="1">SUMIFS(Аренда!AO$25:AO$57,Аренда!$F$25:$F$57,$F392,Аренда!$G$25:$G$57,"Арендная и концессионная плата, лизинговые платежи")</f>
        <v>0</v>
      </c>
      <c r="AQ392" s="190">
        <f ca="1">SUMIFS(Аренда!AP$25:AP$57,Аренда!$F$25:$F$57,$F392,Аренда!$G$25:$G$57,"Арендная и концессионная плата, лизинговые платежи")</f>
        <v>0</v>
      </c>
      <c r="AR392" s="190">
        <f ca="1">SUMIFS(Аренда!AQ$25:AQ$57,Аренда!$F$25:$F$57,$F392,Аренда!$G$25:$G$57,"Арендная и концессионная плата, лизинговые платежи")</f>
        <v>0</v>
      </c>
      <c r="AS392" s="190">
        <f ca="1">SUMIFS(Аренда!AR$25:AR$57,Аренда!$F$25:$F$57,$F392,Аренда!$G$25:$G$57,"Арендная и концессионная плата, лизинговые платежи")</f>
        <v>0</v>
      </c>
      <c r="AT392" s="190">
        <f ca="1">SUMIFS(Аренда!AS$25:AS$57,Аренда!$F$25:$F$57,$F392,Аренда!$G$25:$G$57,"Арендная и концессионная плата, лизинговые платежи")</f>
        <v>2.4900000000000002</v>
      </c>
      <c r="AU392" s="190">
        <f ca="1">SUMIFS(Аренда!AT$25:AT$57,Аренда!$F$25:$F$57,$F392,Аренда!$G$25:$G$57,"Арендная и концессионная плата, лизинговые платежи")</f>
        <v>0</v>
      </c>
      <c r="AV392" s="190">
        <f ca="1">SUMIFS(Аренда!AU$25:AU$57,Аренда!$F$25:$F$57,$F392,Аренда!$G$25:$G$57,"Арендная и концессионная плата, лизинговые платежи")</f>
        <v>0</v>
      </c>
      <c r="AW392" s="190">
        <f ca="1">SUMIFS(Аренда!AV$25:AV$57,Аренда!$F$25:$F$57,$F392,Аренда!$G$25:$G$57,"Арендная и концессионная плата, лизинговые платежи")</f>
        <v>0</v>
      </c>
      <c r="AX392" s="190">
        <f ca="1">SUMIFS(Аренда!AW$25:AW$57,Аренда!$F$25:$F$57,$F392,Аренда!$G$25:$G$57,"Арендная и концессионная плата, лизинговые платежи")</f>
        <v>0</v>
      </c>
      <c r="AY392" s="190">
        <f ca="1">SUMIFS(Аренда!AX$25:AX$57,Аренда!$F$25:$F$57,$F392,Аренда!$G$25:$G$57,"Арендная и концессионная плата, лизинговые платежи")</f>
        <v>0</v>
      </c>
      <c r="AZ392" s="190">
        <f ca="1">SUMIFS(Аренда!AY$25:AY$57,Аренда!$F$25:$F$57,$F392,Аренда!$G$25:$G$57,"Арендная и концессионная плата, лизинговые платежи")</f>
        <v>0</v>
      </c>
      <c r="BA392" s="190">
        <f ca="1">SUMIFS(Аренда!AZ$25:AZ$57,Аренда!$F$25:$F$57,$F392,Аренда!$G$25:$G$57,"Арендная и концессионная плата, лизинговые платежи")</f>
        <v>0</v>
      </c>
      <c r="BB392" s="190">
        <f ca="1">SUMIFS(Аренда!BA$25:BA$57,Аренда!$F$25:$F$57,$F392,Аренда!$G$25:$G$57,"Арендная и концессионная плата, лизинговые платежи")</f>
        <v>0</v>
      </c>
      <c r="BC392" s="190">
        <f ca="1">SUMIFS(Аренда!BB$25:BB$57,Аренда!$F$25:$F$57,$F392,Аренда!$G$25:$G$57,"Арендная и концессионная плата, лизинговые платежи")</f>
        <v>0</v>
      </c>
      <c r="BD392" s="190">
        <f t="shared" ca="1" si="92"/>
        <v>-98.952557769960009</v>
      </c>
      <c r="BE392" s="190">
        <f t="shared" ca="1" si="93"/>
        <v>-100</v>
      </c>
      <c r="BF392" s="190">
        <f t="shared" ca="1" si="94"/>
        <v>0</v>
      </c>
      <c r="BG392" s="190">
        <f t="shared" ca="1" si="95"/>
        <v>0</v>
      </c>
      <c r="BH392" s="190">
        <f t="shared" ca="1" si="96"/>
        <v>0</v>
      </c>
      <c r="BI392" s="190">
        <f t="shared" ca="1" si="97"/>
        <v>0</v>
      </c>
      <c r="BJ392" s="190">
        <f t="shared" ca="1" si="98"/>
        <v>0</v>
      </c>
      <c r="BK392" s="190">
        <f t="shared" ca="1" si="99"/>
        <v>0</v>
      </c>
      <c r="BL392" s="190">
        <f t="shared" ca="1" si="100"/>
        <v>0</v>
      </c>
      <c r="BM392" s="190">
        <f t="shared" ca="1" si="101"/>
        <v>0</v>
      </c>
      <c r="BN392" s="953" t="s">
        <v>2267</v>
      </c>
      <c r="BO392" s="610" t="s">
        <v>2244</v>
      </c>
      <c r="BP392" s="215" t="s">
        <v>1029</v>
      </c>
      <c r="BS392" s="705" t="s">
        <v>2099</v>
      </c>
    </row>
    <row r="393" spans="2:75" ht="0" hidden="1" customHeight="1">
      <c r="B393" s="341" t="b">
        <f>STATUS_GO="да"</f>
        <v>0</v>
      </c>
      <c r="E393" s="518">
        <v>15</v>
      </c>
      <c r="F393" s="3" t="str" cm="1">
        <f t="array" aca="1" ref="F393" ca="1">OFFSET(E393,-1,1)</f>
        <v>2</v>
      </c>
      <c r="I393" s="91" t="s">
        <v>2100</v>
      </c>
      <c r="K393" s="91" t="s">
        <v>2100</v>
      </c>
      <c r="L393" s="44"/>
      <c r="M393" s="44"/>
      <c r="T393" s="365" t="b" cm="1">
        <f t="array" aca="1" ref="T393" ca="1">T392</f>
        <v>1</v>
      </c>
      <c r="X393" s="1075"/>
      <c r="Z393" s="1065"/>
      <c r="AB393" s="152" t="s">
        <v>1512</v>
      </c>
      <c r="AC393" s="146" t="s">
        <v>2101</v>
      </c>
      <c r="AD393" s="26" t="s">
        <v>804</v>
      </c>
      <c r="AE393" s="787">
        <v>0</v>
      </c>
      <c r="AF393" s="787"/>
      <c r="AG393" s="787"/>
      <c r="AH393" s="190">
        <f t="shared" si="90"/>
        <v>0</v>
      </c>
      <c r="AI393" s="787">
        <v>0</v>
      </c>
      <c r="AJ393" s="787"/>
      <c r="AK393" s="787"/>
      <c r="AL393" s="787"/>
      <c r="AM393" s="787"/>
      <c r="AN393" s="787"/>
      <c r="AO393" s="787"/>
      <c r="AP393" s="787"/>
      <c r="AQ393" s="787"/>
      <c r="AR393" s="787"/>
      <c r="AS393" s="787"/>
      <c r="AT393" s="787"/>
      <c r="AU393" s="787"/>
      <c r="AV393" s="787"/>
      <c r="AW393" s="787"/>
      <c r="AX393" s="787"/>
      <c r="AY393" s="787"/>
      <c r="AZ393" s="787"/>
      <c r="BA393" s="787"/>
      <c r="BB393" s="787"/>
      <c r="BC393" s="787"/>
      <c r="BD393" s="190">
        <f t="shared" si="92"/>
        <v>0</v>
      </c>
      <c r="BE393" s="190">
        <f t="shared" si="93"/>
        <v>0</v>
      </c>
      <c r="BF393" s="190">
        <f t="shared" si="94"/>
        <v>0</v>
      </c>
      <c r="BG393" s="190">
        <f t="shared" si="95"/>
        <v>0</v>
      </c>
      <c r="BH393" s="190">
        <f t="shared" si="96"/>
        <v>0</v>
      </c>
      <c r="BI393" s="190">
        <f t="shared" si="97"/>
        <v>0</v>
      </c>
      <c r="BJ393" s="190">
        <f t="shared" si="98"/>
        <v>0</v>
      </c>
      <c r="BK393" s="190">
        <f t="shared" si="99"/>
        <v>0</v>
      </c>
      <c r="BL393" s="190">
        <f t="shared" si="100"/>
        <v>0</v>
      </c>
      <c r="BM393" s="190">
        <f t="shared" si="101"/>
        <v>0</v>
      </c>
      <c r="BN393" s="784"/>
      <c r="BO393" s="784"/>
      <c r="BP393" s="784"/>
      <c r="BS393" s="705" t="s">
        <v>2102</v>
      </c>
    </row>
    <row r="394" spans="2:75" ht="0" hidden="1" customHeight="1">
      <c r="B394" s="341" t="b">
        <f>STATUS_GO="да"</f>
        <v>0</v>
      </c>
      <c r="E394" s="518">
        <v>15</v>
      </c>
      <c r="F394" s="3" t="str" cm="1">
        <f t="array" aca="1" ref="F394" ca="1">OFFSET(E394,-1,1)</f>
        <v>2</v>
      </c>
      <c r="G394" s="91" t="s">
        <v>1454</v>
      </c>
      <c r="I394" s="91" t="s">
        <v>2103</v>
      </c>
      <c r="K394" s="91" t="s">
        <v>2103</v>
      </c>
      <c r="L394" s="44"/>
      <c r="M394" s="44"/>
      <c r="T394" s="365" t="b" cm="1">
        <f t="array" aca="1" ref="T394" ca="1">T393</f>
        <v>1</v>
      </c>
      <c r="X394" s="1075"/>
      <c r="Z394" s="1065"/>
      <c r="AB394" s="152" t="s">
        <v>2104</v>
      </c>
      <c r="AC394" s="153" t="s">
        <v>1454</v>
      </c>
      <c r="AD394" s="26" t="s">
        <v>804</v>
      </c>
      <c r="AE394" s="787">
        <v>0</v>
      </c>
      <c r="AF394" s="787"/>
      <c r="AG394" s="787"/>
      <c r="AH394" s="190">
        <f t="shared" si="90"/>
        <v>0</v>
      </c>
      <c r="AI394" s="787"/>
      <c r="AJ394" s="787"/>
      <c r="AK394" s="787"/>
      <c r="AL394" s="787"/>
      <c r="AM394" s="787"/>
      <c r="AN394" s="787"/>
      <c r="AO394" s="787"/>
      <c r="AP394" s="787"/>
      <c r="AQ394" s="787"/>
      <c r="AR394" s="787"/>
      <c r="AS394" s="787"/>
      <c r="AT394" s="787"/>
      <c r="AU394" s="787"/>
      <c r="AV394" s="787"/>
      <c r="AW394" s="787"/>
      <c r="AX394" s="787"/>
      <c r="AY394" s="787"/>
      <c r="AZ394" s="787"/>
      <c r="BA394" s="787"/>
      <c r="BB394" s="787"/>
      <c r="BC394" s="787"/>
      <c r="BD394" s="190">
        <f t="shared" si="92"/>
        <v>0</v>
      </c>
      <c r="BE394" s="190">
        <f t="shared" si="93"/>
        <v>0</v>
      </c>
      <c r="BF394" s="190">
        <f t="shared" si="94"/>
        <v>0</v>
      </c>
      <c r="BG394" s="190">
        <f t="shared" si="95"/>
        <v>0</v>
      </c>
      <c r="BH394" s="190">
        <f t="shared" si="96"/>
        <v>0</v>
      </c>
      <c r="BI394" s="190">
        <f t="shared" si="97"/>
        <v>0</v>
      </c>
      <c r="BJ394" s="190">
        <f t="shared" si="98"/>
        <v>0</v>
      </c>
      <c r="BK394" s="190">
        <f t="shared" si="99"/>
        <v>0</v>
      </c>
      <c r="BL394" s="190">
        <f t="shared" si="100"/>
        <v>0</v>
      </c>
      <c r="BM394" s="190">
        <f t="shared" si="101"/>
        <v>0</v>
      </c>
      <c r="BN394" s="784"/>
      <c r="BO394" s="788" t="str">
        <f ca="1">IF(IFERROR(INDEX('Сбытовые расходы ГО'!$K$26:$M$63,MATCH($F394&amp;"komm",'Сбытовые расходы ГО'!$K$26:$K$63,0),2),"")=0,"",IFERROR(INDEX('Сбытовые расходы ГО'!$K$26:$M$63,MATCH($F394&amp;"komm",'Сбытовые расходы ГО'!$K$26:$K$63,0),2),""))</f>
        <v/>
      </c>
      <c r="BP394" s="784"/>
      <c r="BS394" s="705" t="s">
        <v>2105</v>
      </c>
    </row>
    <row r="395" spans="2:75" ht="0" hidden="1" customHeight="1">
      <c r="E395" s="518">
        <v>15</v>
      </c>
      <c r="F395" s="3" t="str" cm="1">
        <f t="array" aca="1" ref="F395" ca="1">OFFSET(E395,-1,1)</f>
        <v>2</v>
      </c>
      <c r="G395" s="91" t="s">
        <v>1459</v>
      </c>
      <c r="I395" s="91" t="s">
        <v>2106</v>
      </c>
      <c r="K395" s="91" t="s">
        <v>2106</v>
      </c>
      <c r="L395" s="44"/>
      <c r="M395" s="44"/>
      <c r="T395" s="365" t="b" cm="1">
        <f t="array" aca="1" ref="T395" ca="1">T394</f>
        <v>1</v>
      </c>
      <c r="X395" s="1075"/>
      <c r="Z395" s="1065"/>
      <c r="AB395" s="152" t="s">
        <v>1517</v>
      </c>
      <c r="AC395" s="146" t="s">
        <v>1459</v>
      </c>
      <c r="AD395" s="26" t="s">
        <v>804</v>
      </c>
      <c r="AE395" s="147">
        <v>0</v>
      </c>
      <c r="AF395" s="147"/>
      <c r="AG395" s="147"/>
      <c r="AH395" s="190">
        <f t="shared" si="90"/>
        <v>0</v>
      </c>
      <c r="AI395" s="147">
        <v>0</v>
      </c>
      <c r="AJ395" s="147">
        <f ca="1">SUMIFS(Экономия_корр!AE$25:AE$51,Экономия_корр!$F$25:$F$51,$F395,Экономия_корр!$AC$25:$AC$51,"Экономия расходов с учетом ИПЦ")</f>
        <v>0</v>
      </c>
      <c r="AK395" s="787">
        <f ca="1">SUMIFS(Экономия_корр!AF$25:AF$51,Экономия_корр!$F$25:$F$51,$F395,Экономия_корр!$AC$25:$AC$51,"Экономия расходов с учетом ИПЦ")</f>
        <v>0</v>
      </c>
      <c r="AL395" s="787">
        <f ca="1">SUMIFS(Экономия_корр!AG$25:AG$51,Экономия_корр!$F$25:$F$51,$F395,Экономия_корр!$AC$25:$AC$51,"Экономия расходов с учетом ИПЦ")</f>
        <v>0</v>
      </c>
      <c r="AM395" s="787">
        <f ca="1">SUMIFS(Экономия_корр!AH$25:AH$51,Экономия_корр!$F$25:$F$51,$F395,Экономия_корр!$AC$25:$AC$51,"Экономия расходов с учетом ИПЦ")</f>
        <v>0</v>
      </c>
      <c r="AN395" s="787">
        <f ca="1">SUMIFS(Экономия_корр!AI$25:AI$51,Экономия_корр!$F$25:$F$51,$F395,Экономия_корр!$AC$25:$AC$51,"Экономия расходов с учетом ИПЦ")</f>
        <v>0</v>
      </c>
      <c r="AO395" s="787">
        <f ca="1">SUMIFS(Экономия_корр!AJ$25:AJ$51,Экономия_корр!$F$25:$F$51,$F395,Экономия_корр!$AC$25:$AC$51,"Экономия расходов с учетом ИПЦ")</f>
        <v>0</v>
      </c>
      <c r="AP395" s="787">
        <f ca="1">SUMIFS(Экономия_корр!AK$25:AK$51,Экономия_корр!$F$25:$F$51,$F395,Экономия_корр!$AC$25:$AC$51,"Экономия расходов с учетом ИПЦ")</f>
        <v>0</v>
      </c>
      <c r="AQ395" s="787">
        <f ca="1">SUMIFS(Экономия_корр!AL$25:AL$51,Экономия_корр!$F$25:$F$51,$F395,Экономия_корр!$AC$25:$AC$51,"Экономия расходов с учетом ИПЦ")</f>
        <v>0</v>
      </c>
      <c r="AR395" s="787">
        <f ca="1">SUMIFS(Экономия_корр!AM$25:AM$51,Экономия_корр!$F$25:$F$51,$F395,Экономия_корр!$AC$25:$AC$51,"Экономия расходов с учетом ИПЦ")</f>
        <v>0</v>
      </c>
      <c r="AS395" s="787">
        <f ca="1">SUMIFS(Экономия_корр!AN$25:AN$51,Экономия_корр!$F$25:$F$51,$F395,Экономия_корр!$AC$25:$AC$51,"Экономия расходов с учетом ИПЦ")</f>
        <v>0</v>
      </c>
      <c r="AT395" s="147">
        <f ca="1">SUMIFS(Экономия_корр!AO$25:AO$51,Экономия_корр!$F$25:$F$51,$F395,Экономия_корр!$AC$25:$AC$51,"Экономия расходов с учетом ИПЦ")</f>
        <v>0</v>
      </c>
      <c r="AU395" s="787">
        <f ca="1">SUMIFS(Экономия_корр!AP$25:AP$51,Экономия_корр!$F$25:$F$51,$F395,Экономия_корр!$AC$25:$AC$51,"Экономия расходов с учетом ИПЦ")</f>
        <v>0</v>
      </c>
      <c r="AV395" s="787">
        <f ca="1">SUMIFS(Экономия_корр!AQ$25:AQ$51,Экономия_корр!$F$25:$F$51,$F395,Экономия_корр!$AC$25:$AC$51,"Экономия расходов с учетом ИПЦ")</f>
        <v>0</v>
      </c>
      <c r="AW395" s="787">
        <f ca="1">SUMIFS(Экономия_корр!AR$25:AR$51,Экономия_корр!$F$25:$F$51,$F395,Экономия_корр!$AC$25:$AC$51,"Экономия расходов с учетом ИПЦ")</f>
        <v>0</v>
      </c>
      <c r="AX395" s="787">
        <f ca="1">SUMIFS(Экономия_корр!AS$25:AS$51,Экономия_корр!$F$25:$F$51,$F395,Экономия_корр!$AC$25:$AC$51,"Экономия расходов с учетом ИПЦ")</f>
        <v>0</v>
      </c>
      <c r="AY395" s="787">
        <f ca="1">SUMIFS(Экономия_корр!AT$25:AT$51,Экономия_корр!$F$25:$F$51,$F395,Экономия_корр!$AC$25:$AC$51,"Экономия расходов с учетом ИПЦ")</f>
        <v>0</v>
      </c>
      <c r="AZ395" s="787">
        <f ca="1">SUMIFS(Экономия_корр!AU$25:AU$51,Экономия_корр!$F$25:$F$51,$F395,Экономия_корр!$AC$25:$AC$51,"Экономия расходов с учетом ИПЦ")</f>
        <v>0</v>
      </c>
      <c r="BA395" s="787">
        <f ca="1">SUMIFS(Экономия_корр!AV$25:AV$51,Экономия_корр!$F$25:$F$51,$F395,Экономия_корр!$AC$25:$AC$51,"Экономия расходов с учетом ИПЦ")</f>
        <v>0</v>
      </c>
      <c r="BB395" s="787">
        <f ca="1">SUMIFS(Экономия_корр!AW$25:AW$51,Экономия_корр!$F$25:$F$51,$F395,Экономия_корр!$AC$25:$AC$51,"Экономия расходов с учетом ИПЦ")</f>
        <v>0</v>
      </c>
      <c r="BC395" s="787">
        <f ca="1">SUMIFS(Экономия_корр!AX$25:AX$51,Экономия_корр!$F$25:$F$51,$F395,Экономия_корр!$AC$25:$AC$51,"Экономия расходов с учетом ИПЦ")</f>
        <v>0</v>
      </c>
      <c r="BD395" s="190">
        <f t="shared" si="92"/>
        <v>0</v>
      </c>
      <c r="BE395" s="190">
        <f t="shared" ca="1" si="93"/>
        <v>0</v>
      </c>
      <c r="BF395" s="190">
        <f t="shared" ca="1" si="94"/>
        <v>0</v>
      </c>
      <c r="BG395" s="190">
        <f t="shared" ca="1" si="95"/>
        <v>0</v>
      </c>
      <c r="BH395" s="190">
        <f t="shared" ca="1" si="96"/>
        <v>0</v>
      </c>
      <c r="BI395" s="190">
        <f t="shared" ca="1" si="97"/>
        <v>0</v>
      </c>
      <c r="BJ395" s="190">
        <f t="shared" ca="1" si="98"/>
        <v>0</v>
      </c>
      <c r="BK395" s="190">
        <f t="shared" ca="1" si="99"/>
        <v>0</v>
      </c>
      <c r="BL395" s="190">
        <f t="shared" ca="1" si="100"/>
        <v>0</v>
      </c>
      <c r="BM395" s="190">
        <f t="shared" ca="1" si="101"/>
        <v>0</v>
      </c>
      <c r="BN395" s="215"/>
      <c r="BO395" s="215"/>
      <c r="BP395" s="215"/>
      <c r="BS395" s="705" t="s">
        <v>2107</v>
      </c>
    </row>
    <row r="396" spans="2:75" ht="0" hidden="1" customHeight="1">
      <c r="E396" s="518">
        <v>15</v>
      </c>
      <c r="F396" s="3" t="str" cm="1">
        <f t="array" aca="1" ref="F396" ca="1">OFFSET(E396,-1,1)</f>
        <v>2</v>
      </c>
      <c r="G396" s="91" t="s">
        <v>1464</v>
      </c>
      <c r="I396" s="91" t="s">
        <v>2108</v>
      </c>
      <c r="K396" s="91" t="s">
        <v>2108</v>
      </c>
      <c r="L396" s="44"/>
      <c r="M396" s="44"/>
      <c r="T396" s="365" t="b" cm="1">
        <f t="array" aca="1" ref="T396" ca="1">T395</f>
        <v>1</v>
      </c>
      <c r="X396" s="1075"/>
      <c r="Z396" s="1065"/>
      <c r="AB396" s="152" t="s">
        <v>2109</v>
      </c>
      <c r="AC396" s="146" t="s">
        <v>1464</v>
      </c>
      <c r="AD396" s="26" t="s">
        <v>804</v>
      </c>
      <c r="AE396" s="147"/>
      <c r="AF396" s="147"/>
      <c r="AG396" s="147"/>
      <c r="AH396" s="190">
        <f t="shared" si="90"/>
        <v>0</v>
      </c>
      <c r="AI396" s="147"/>
      <c r="AJ396" s="147"/>
      <c r="AK396" s="787"/>
      <c r="AL396" s="787"/>
      <c r="AM396" s="787"/>
      <c r="AN396" s="787"/>
      <c r="AO396" s="787"/>
      <c r="AP396" s="787"/>
      <c r="AQ396" s="787"/>
      <c r="AR396" s="787"/>
      <c r="AS396" s="787"/>
      <c r="AT396" s="147"/>
      <c r="AU396" s="787"/>
      <c r="AV396" s="787"/>
      <c r="AW396" s="787"/>
      <c r="AX396" s="787"/>
      <c r="AY396" s="787"/>
      <c r="AZ396" s="787"/>
      <c r="BA396" s="787"/>
      <c r="BB396" s="787"/>
      <c r="BC396" s="787"/>
      <c r="BD396" s="190">
        <f t="shared" si="92"/>
        <v>0</v>
      </c>
      <c r="BE396" s="190">
        <f t="shared" si="93"/>
        <v>0</v>
      </c>
      <c r="BF396" s="190">
        <f t="shared" si="94"/>
        <v>0</v>
      </c>
      <c r="BG396" s="190">
        <f t="shared" si="95"/>
        <v>0</v>
      </c>
      <c r="BH396" s="190">
        <f t="shared" si="96"/>
        <v>0</v>
      </c>
      <c r="BI396" s="190">
        <f t="shared" si="97"/>
        <v>0</v>
      </c>
      <c r="BJ396" s="190">
        <f t="shared" si="98"/>
        <v>0</v>
      </c>
      <c r="BK396" s="190">
        <f t="shared" si="99"/>
        <v>0</v>
      </c>
      <c r="BL396" s="190">
        <f t="shared" si="100"/>
        <v>0</v>
      </c>
      <c r="BM396" s="190">
        <f t="shared" si="101"/>
        <v>0</v>
      </c>
      <c r="BN396" s="215"/>
      <c r="BO396" s="215"/>
      <c r="BP396" s="215"/>
      <c r="BS396" s="705" t="s">
        <v>1838</v>
      </c>
    </row>
    <row r="397" spans="2:75" ht="14.65" customHeight="1">
      <c r="E397" s="518">
        <v>15</v>
      </c>
      <c r="F397" s="3" t="str" cm="1">
        <f t="array" aca="1" ref="F397" ca="1">OFFSET(E397,-1,1)</f>
        <v>2</v>
      </c>
      <c r="G397" s="91" t="s">
        <v>1469</v>
      </c>
      <c r="I397" s="91" t="s">
        <v>2110</v>
      </c>
      <c r="K397" s="91" t="s">
        <v>2110</v>
      </c>
      <c r="L397" s="44"/>
      <c r="M397" s="44"/>
      <c r="T397" s="365" t="b" cm="1">
        <f t="array" aca="1" ref="T397" ca="1">T396</f>
        <v>1</v>
      </c>
      <c r="X397" s="1075"/>
      <c r="Z397" s="1065"/>
      <c r="AB397" s="152" t="s">
        <v>1536</v>
      </c>
      <c r="AC397" s="146" t="s">
        <v>1469</v>
      </c>
      <c r="AD397" s="26" t="s">
        <v>804</v>
      </c>
      <c r="AE397" s="147"/>
      <c r="AF397" s="147"/>
      <c r="AG397" s="147"/>
      <c r="AH397" s="190">
        <f t="shared" si="90"/>
        <v>0</v>
      </c>
      <c r="AI397" s="147">
        <v>735.19360337119997</v>
      </c>
      <c r="AJ397" s="147"/>
      <c r="AK397" s="787"/>
      <c r="AL397" s="787"/>
      <c r="AM397" s="787"/>
      <c r="AN397" s="787"/>
      <c r="AO397" s="787"/>
      <c r="AP397" s="787"/>
      <c r="AQ397" s="787"/>
      <c r="AR397" s="787"/>
      <c r="AS397" s="787"/>
      <c r="AT397" s="147"/>
      <c r="AU397" s="787"/>
      <c r="AV397" s="787"/>
      <c r="AW397" s="787"/>
      <c r="AX397" s="787"/>
      <c r="AY397" s="787"/>
      <c r="AZ397" s="787"/>
      <c r="BA397" s="787"/>
      <c r="BB397" s="787"/>
      <c r="BC397" s="787"/>
      <c r="BD397" s="190">
        <f t="shared" si="92"/>
        <v>-100</v>
      </c>
      <c r="BE397" s="190">
        <f t="shared" si="93"/>
        <v>0</v>
      </c>
      <c r="BF397" s="190">
        <f t="shared" si="94"/>
        <v>0</v>
      </c>
      <c r="BG397" s="190">
        <f t="shared" si="95"/>
        <v>0</v>
      </c>
      <c r="BH397" s="190">
        <f t="shared" si="96"/>
        <v>0</v>
      </c>
      <c r="BI397" s="190">
        <f t="shared" si="97"/>
        <v>0</v>
      </c>
      <c r="BJ397" s="190">
        <f t="shared" si="98"/>
        <v>0</v>
      </c>
      <c r="BK397" s="190">
        <f t="shared" si="99"/>
        <v>0</v>
      </c>
      <c r="BL397" s="190">
        <f t="shared" si="100"/>
        <v>0</v>
      </c>
      <c r="BM397" s="190">
        <f t="shared" si="101"/>
        <v>0</v>
      </c>
      <c r="BN397" s="215"/>
      <c r="BO397" s="215"/>
      <c r="BP397" s="215"/>
      <c r="BS397" s="705" t="s">
        <v>2111</v>
      </c>
    </row>
    <row r="398" spans="2:75" ht="0" hidden="1" customHeight="1">
      <c r="E398" s="518">
        <v>15</v>
      </c>
      <c r="F398" s="3" t="str" cm="1">
        <f t="array" aca="1" ref="F398" ca="1">OFFSET(E398,-1,1)</f>
        <v>2</v>
      </c>
      <c r="G398" s="91" t="s">
        <v>1474</v>
      </c>
      <c r="I398" s="91" t="s">
        <v>2112</v>
      </c>
      <c r="K398" s="91" t="s">
        <v>2112</v>
      </c>
      <c r="L398" s="44"/>
      <c r="M398" s="44"/>
      <c r="T398" s="365" t="b" cm="1">
        <f t="array" aca="1" ref="T398" ca="1">T397</f>
        <v>1</v>
      </c>
      <c r="X398" s="1075"/>
      <c r="Z398" s="1065"/>
      <c r="AB398" s="152" t="s">
        <v>1540</v>
      </c>
      <c r="AC398" s="146" t="s">
        <v>1474</v>
      </c>
      <c r="AD398" s="26" t="s">
        <v>804</v>
      </c>
      <c r="AE398" s="190">
        <f>SUM(AE399,AE400)</f>
        <v>0</v>
      </c>
      <c r="AF398" s="190">
        <f>SUM(AF399,AF400)</f>
        <v>0</v>
      </c>
      <c r="AG398" s="190">
        <f>SUM(AG399,AG400)</f>
        <v>0</v>
      </c>
      <c r="AH398" s="190">
        <f t="shared" si="90"/>
        <v>0</v>
      </c>
      <c r="AI398" s="190">
        <f t="shared" ref="AI398:BC398" si="104">SUM(AI399,AI400)</f>
        <v>0</v>
      </c>
      <c r="AJ398" s="190">
        <f t="shared" si="104"/>
        <v>0</v>
      </c>
      <c r="AK398" s="190">
        <f t="shared" si="104"/>
        <v>0</v>
      </c>
      <c r="AL398" s="190">
        <f t="shared" si="104"/>
        <v>0</v>
      </c>
      <c r="AM398" s="190">
        <f t="shared" si="104"/>
        <v>0</v>
      </c>
      <c r="AN398" s="190">
        <f t="shared" si="104"/>
        <v>0</v>
      </c>
      <c r="AO398" s="190">
        <f t="shared" si="104"/>
        <v>0</v>
      </c>
      <c r="AP398" s="190">
        <f t="shared" si="104"/>
        <v>0</v>
      </c>
      <c r="AQ398" s="190">
        <f t="shared" si="104"/>
        <v>0</v>
      </c>
      <c r="AR398" s="190">
        <f t="shared" si="104"/>
        <v>0</v>
      </c>
      <c r="AS398" s="190">
        <f t="shared" si="104"/>
        <v>0</v>
      </c>
      <c r="AT398" s="190">
        <f t="shared" si="104"/>
        <v>0</v>
      </c>
      <c r="AU398" s="190">
        <f t="shared" si="104"/>
        <v>0</v>
      </c>
      <c r="AV398" s="190">
        <f t="shared" si="104"/>
        <v>0</v>
      </c>
      <c r="AW398" s="190">
        <f t="shared" si="104"/>
        <v>0</v>
      </c>
      <c r="AX398" s="190">
        <f t="shared" si="104"/>
        <v>0</v>
      </c>
      <c r="AY398" s="190">
        <f t="shared" si="104"/>
        <v>0</v>
      </c>
      <c r="AZ398" s="190">
        <f t="shared" si="104"/>
        <v>0</v>
      </c>
      <c r="BA398" s="190">
        <f t="shared" si="104"/>
        <v>0</v>
      </c>
      <c r="BB398" s="190">
        <f t="shared" si="104"/>
        <v>0</v>
      </c>
      <c r="BC398" s="190">
        <f t="shared" si="104"/>
        <v>0</v>
      </c>
      <c r="BD398" s="190">
        <f t="shared" si="92"/>
        <v>0</v>
      </c>
      <c r="BE398" s="190">
        <f t="shared" si="93"/>
        <v>0</v>
      </c>
      <c r="BF398" s="190">
        <f t="shared" si="94"/>
        <v>0</v>
      </c>
      <c r="BG398" s="190">
        <f t="shared" si="95"/>
        <v>0</v>
      </c>
      <c r="BH398" s="190">
        <f t="shared" si="96"/>
        <v>0</v>
      </c>
      <c r="BI398" s="190">
        <f t="shared" si="97"/>
        <v>0</v>
      </c>
      <c r="BJ398" s="190">
        <f t="shared" si="98"/>
        <v>0</v>
      </c>
      <c r="BK398" s="190">
        <f t="shared" si="99"/>
        <v>0</v>
      </c>
      <c r="BL398" s="190">
        <f t="shared" si="100"/>
        <v>0</v>
      </c>
      <c r="BM398" s="190">
        <f t="shared" si="101"/>
        <v>0</v>
      </c>
      <c r="BN398" s="215"/>
      <c r="BO398" s="215"/>
      <c r="BP398" s="215"/>
      <c r="BS398" s="705" t="s">
        <v>2113</v>
      </c>
    </row>
    <row r="399" spans="2:75" ht="0" hidden="1" customHeight="1">
      <c r="E399" s="518">
        <v>15</v>
      </c>
      <c r="F399" s="3" t="str" cm="1">
        <f t="array" aca="1" ref="F399" ca="1">OFFSET(E399,-1,1)</f>
        <v>2</v>
      </c>
      <c r="I399" s="91" t="s">
        <v>2114</v>
      </c>
      <c r="K399" s="91" t="s">
        <v>2114</v>
      </c>
      <c r="L399" s="44"/>
      <c r="M399" s="44"/>
      <c r="T399" s="365" t="b" cm="1">
        <f t="array" aca="1" ref="T399" ca="1">T398</f>
        <v>1</v>
      </c>
      <c r="X399" s="1075"/>
      <c r="Z399" s="1065"/>
      <c r="AB399" s="152" t="s">
        <v>2115</v>
      </c>
      <c r="AC399" s="153" t="s">
        <v>2116</v>
      </c>
      <c r="AD399" s="26" t="s">
        <v>804</v>
      </c>
      <c r="AE399" s="147"/>
      <c r="AF399" s="147"/>
      <c r="AG399" s="147"/>
      <c r="AH399" s="190">
        <f t="shared" si="90"/>
        <v>0</v>
      </c>
      <c r="AI399" s="147"/>
      <c r="AJ399" s="147"/>
      <c r="AK399" s="787"/>
      <c r="AL399" s="787"/>
      <c r="AM399" s="787"/>
      <c r="AN399" s="787"/>
      <c r="AO399" s="787"/>
      <c r="AP399" s="787"/>
      <c r="AQ399" s="787"/>
      <c r="AR399" s="787"/>
      <c r="AS399" s="787"/>
      <c r="AT399" s="147"/>
      <c r="AU399" s="787"/>
      <c r="AV399" s="787"/>
      <c r="AW399" s="787"/>
      <c r="AX399" s="787"/>
      <c r="AY399" s="787"/>
      <c r="AZ399" s="787"/>
      <c r="BA399" s="787"/>
      <c r="BB399" s="787"/>
      <c r="BC399" s="787"/>
      <c r="BD399" s="190">
        <f t="shared" si="92"/>
        <v>0</v>
      </c>
      <c r="BE399" s="190">
        <f t="shared" si="93"/>
        <v>0</v>
      </c>
      <c r="BF399" s="190">
        <f t="shared" si="94"/>
        <v>0</v>
      </c>
      <c r="BG399" s="190">
        <f t="shared" si="95"/>
        <v>0</v>
      </c>
      <c r="BH399" s="190">
        <f t="shared" si="96"/>
        <v>0</v>
      </c>
      <c r="BI399" s="190">
        <f t="shared" si="97"/>
        <v>0</v>
      </c>
      <c r="BJ399" s="190">
        <f t="shared" si="98"/>
        <v>0</v>
      </c>
      <c r="BK399" s="190">
        <f t="shared" si="99"/>
        <v>0</v>
      </c>
      <c r="BL399" s="190">
        <f t="shared" si="100"/>
        <v>0</v>
      </c>
      <c r="BM399" s="190">
        <f t="shared" si="101"/>
        <v>0</v>
      </c>
      <c r="BN399" s="215"/>
      <c r="BO399" s="215"/>
      <c r="BP399" s="215"/>
      <c r="BS399" s="705" t="s">
        <v>1262</v>
      </c>
    </row>
    <row r="400" spans="2:75" ht="0" hidden="1" customHeight="1">
      <c r="E400" s="518">
        <v>15</v>
      </c>
      <c r="F400" s="3" t="str" cm="1">
        <f t="array" aca="1" ref="F400" ca="1">OFFSET(E400,-1,1)</f>
        <v>2</v>
      </c>
      <c r="I400" s="91" t="s">
        <v>2117</v>
      </c>
      <c r="K400" s="91" t="s">
        <v>2117</v>
      </c>
      <c r="L400" s="44" t="s">
        <v>909</v>
      </c>
      <c r="M400" s="44"/>
      <c r="T400" s="365" t="b" cm="1">
        <f t="array" aca="1" ref="T400" ca="1">T399</f>
        <v>1</v>
      </c>
      <c r="X400" s="1075"/>
      <c r="Z400" s="1065"/>
      <c r="AB400" s="152" t="s">
        <v>2118</v>
      </c>
      <c r="AC400" s="153" t="s">
        <v>2119</v>
      </c>
      <c r="AD400" s="26" t="s">
        <v>804</v>
      </c>
      <c r="AE400" s="147"/>
      <c r="AF400" s="147"/>
      <c r="AG400" s="147"/>
      <c r="AH400" s="190">
        <f t="shared" si="90"/>
        <v>0</v>
      </c>
      <c r="AI400" s="147"/>
      <c r="AJ400" s="147"/>
      <c r="AK400" s="787"/>
      <c r="AL400" s="787"/>
      <c r="AM400" s="787"/>
      <c r="AN400" s="787"/>
      <c r="AO400" s="787"/>
      <c r="AP400" s="787"/>
      <c r="AQ400" s="787"/>
      <c r="AR400" s="787"/>
      <c r="AS400" s="787"/>
      <c r="AT400" s="147"/>
      <c r="AU400" s="787"/>
      <c r="AV400" s="787"/>
      <c r="AW400" s="787"/>
      <c r="AX400" s="787"/>
      <c r="AY400" s="787"/>
      <c r="AZ400" s="787"/>
      <c r="BA400" s="787"/>
      <c r="BB400" s="787"/>
      <c r="BC400" s="787"/>
      <c r="BD400" s="190">
        <f t="shared" si="92"/>
        <v>0</v>
      </c>
      <c r="BE400" s="190">
        <f t="shared" si="93"/>
        <v>0</v>
      </c>
      <c r="BF400" s="190">
        <f t="shared" si="94"/>
        <v>0</v>
      </c>
      <c r="BG400" s="190">
        <f t="shared" si="95"/>
        <v>0</v>
      </c>
      <c r="BH400" s="190">
        <f t="shared" si="96"/>
        <v>0</v>
      </c>
      <c r="BI400" s="190">
        <f t="shared" si="97"/>
        <v>0</v>
      </c>
      <c r="BJ400" s="190">
        <f t="shared" si="98"/>
        <v>0</v>
      </c>
      <c r="BK400" s="190">
        <f t="shared" si="99"/>
        <v>0</v>
      </c>
      <c r="BL400" s="190">
        <f t="shared" si="100"/>
        <v>0</v>
      </c>
      <c r="BM400" s="190">
        <f t="shared" si="101"/>
        <v>0</v>
      </c>
      <c r="BN400" s="215"/>
      <c r="BO400" s="215"/>
      <c r="BP400" s="215"/>
      <c r="BS400" s="705" t="s">
        <v>2120</v>
      </c>
    </row>
    <row r="401" spans="1:75" ht="0" hidden="1" customHeight="1">
      <c r="E401" s="518">
        <v>22.5</v>
      </c>
      <c r="F401" s="3" t="str" cm="1">
        <f t="array" aca="1" ref="F401" ca="1">OFFSET(E401,-1,1)</f>
        <v>2</v>
      </c>
      <c r="G401" s="91" t="s">
        <v>1479</v>
      </c>
      <c r="I401" s="91" t="s">
        <v>2121</v>
      </c>
      <c r="K401" s="91" t="s">
        <v>2121</v>
      </c>
      <c r="L401" s="44"/>
      <c r="M401" s="44"/>
      <c r="T401" s="365" t="b" cm="1">
        <f t="array" aca="1" ref="T401" ca="1">T400</f>
        <v>1</v>
      </c>
      <c r="X401" s="1075"/>
      <c r="Z401" s="1065"/>
      <c r="AB401" s="152" t="s">
        <v>1543</v>
      </c>
      <c r="AC401" s="146" t="s">
        <v>2122</v>
      </c>
      <c r="AD401" s="26" t="s">
        <v>804</v>
      </c>
      <c r="AE401" s="147"/>
      <c r="AF401" s="147"/>
      <c r="AG401" s="147"/>
      <c r="AH401" s="190">
        <f t="shared" si="90"/>
        <v>0</v>
      </c>
      <c r="AI401" s="147"/>
      <c r="AJ401" s="147"/>
      <c r="AK401" s="787"/>
      <c r="AL401" s="787"/>
      <c r="AM401" s="787"/>
      <c r="AN401" s="787"/>
      <c r="AO401" s="787"/>
      <c r="AP401" s="787"/>
      <c r="AQ401" s="787"/>
      <c r="AR401" s="787"/>
      <c r="AS401" s="787"/>
      <c r="AT401" s="147"/>
      <c r="AU401" s="787"/>
      <c r="AV401" s="787"/>
      <c r="AW401" s="787"/>
      <c r="AX401" s="787"/>
      <c r="AY401" s="787"/>
      <c r="AZ401" s="787"/>
      <c r="BA401" s="787"/>
      <c r="BB401" s="787"/>
      <c r="BC401" s="787"/>
      <c r="BD401" s="190">
        <f t="shared" si="92"/>
        <v>0</v>
      </c>
      <c r="BE401" s="190">
        <f t="shared" si="93"/>
        <v>0</v>
      </c>
      <c r="BF401" s="190">
        <f t="shared" si="94"/>
        <v>0</v>
      </c>
      <c r="BG401" s="190">
        <f t="shared" si="95"/>
        <v>0</v>
      </c>
      <c r="BH401" s="190">
        <f t="shared" si="96"/>
        <v>0</v>
      </c>
      <c r="BI401" s="190">
        <f t="shared" si="97"/>
        <v>0</v>
      </c>
      <c r="BJ401" s="190">
        <f t="shared" si="98"/>
        <v>0</v>
      </c>
      <c r="BK401" s="190">
        <f t="shared" si="99"/>
        <v>0</v>
      </c>
      <c r="BL401" s="190">
        <f t="shared" si="100"/>
        <v>0</v>
      </c>
      <c r="BM401" s="190">
        <f t="shared" si="101"/>
        <v>0</v>
      </c>
      <c r="BN401" s="215"/>
      <c r="BO401" s="215"/>
      <c r="BP401" s="215"/>
      <c r="BS401" s="705" t="s">
        <v>2123</v>
      </c>
    </row>
    <row r="402" spans="1:75" s="950" customFormat="1" ht="54.75" customHeight="1">
      <c r="A402" s="95"/>
      <c r="B402" s="344"/>
      <c r="C402" s="95"/>
      <c r="D402" s="95"/>
      <c r="E402" s="522">
        <v>21</v>
      </c>
      <c r="F402" s="3" t="str" cm="1">
        <f t="array" aca="1" ref="F402" ca="1">OFFSET(E402,-1,1)</f>
        <v>2</v>
      </c>
      <c r="G402" s="91" t="s">
        <v>2124</v>
      </c>
      <c r="H402" s="91"/>
      <c r="I402" s="91" t="s">
        <v>329</v>
      </c>
      <c r="J402" s="95"/>
      <c r="K402" s="91" t="s">
        <v>329</v>
      </c>
      <c r="L402" s="46" t="s">
        <v>1336</v>
      </c>
      <c r="M402" s="46"/>
      <c r="N402" s="95"/>
      <c r="O402" s="95"/>
      <c r="P402" s="95"/>
      <c r="Q402" s="95"/>
      <c r="R402" s="95"/>
      <c r="S402" s="95"/>
      <c r="T402" s="365" t="b" cm="1">
        <f t="array" aca="1" ref="T402" ca="1">T401</f>
        <v>1</v>
      </c>
      <c r="U402" s="95"/>
      <c r="V402" s="95"/>
      <c r="W402" s="95"/>
      <c r="X402" s="1075"/>
      <c r="Y402" s="95"/>
      <c r="Z402" s="1065"/>
      <c r="AA402" s="95"/>
      <c r="AB402" s="150" t="s">
        <v>325</v>
      </c>
      <c r="AC402" s="144" t="s">
        <v>2125</v>
      </c>
      <c r="AD402" s="143" t="s">
        <v>804</v>
      </c>
      <c r="AE402" s="145">
        <f ca="1">SUMIFS(ЭЭ!AE$25:AE$109,ЭЭ!$F$25:$F$109,$F402,ЭЭ!$AC$25:$AC$109,"Всего по тарифу")</f>
        <v>3604.1134688361999</v>
      </c>
      <c r="AF402" s="145">
        <f ca="1">SUMIFS(ЭЭ!AF$25:AF$109,ЭЭ!$F$25:$F$109,$F402,ЭЭ!$AC$25:$AC$109,"Всего по тарифу")</f>
        <v>3180.1200000000003</v>
      </c>
      <c r="AG402" s="145">
        <f ca="1">SUMIFS(ЭЭ!AG$25:AG$109,ЭЭ!$F$25:$F$109,$F402,ЭЭ!$AC$25:$AC$109,"Всего по тарифу")</f>
        <v>3180.1200000000003</v>
      </c>
      <c r="AH402" s="145">
        <f t="shared" ca="1" si="90"/>
        <v>0</v>
      </c>
      <c r="AI402" s="145">
        <f ca="1">SUMIFS(ЭЭ!AH$25:AH$109,ЭЭ!$F$25:$F$109,$F402,ЭЭ!$AC$25:$AC$109,"Всего по тарифу")</f>
        <v>3797.2434786017998</v>
      </c>
      <c r="AJ402" s="145">
        <f ca="1">SUMIFS(ЭЭ!AI$25:AI$109,ЭЭ!$F$25:$F$109,$F402,ЭЭ!$AC$25:$AC$109,"Всего по тарифу")</f>
        <v>4189.45</v>
      </c>
      <c r="AK402" s="145">
        <f ca="1">SUMIFS(ЭЭ!AJ$25:AJ$109,ЭЭ!$F$25:$F$109,$F402,ЭЭ!$AC$25:$AC$109,"Всего по тарифу")</f>
        <v>0</v>
      </c>
      <c r="AL402" s="145">
        <f ca="1">SUMIFS(ЭЭ!AK$25:AK$109,ЭЭ!$F$25:$F$109,$F402,ЭЭ!$AC$25:$AC$109,"Всего по тарифу")</f>
        <v>0</v>
      </c>
      <c r="AM402" s="145">
        <f ca="1">SUMIFS(ЭЭ!AL$25:AL$109,ЭЭ!$F$25:$F$109,$F402,ЭЭ!$AC$25:$AC$109,"Всего по тарифу")</f>
        <v>0</v>
      </c>
      <c r="AN402" s="145">
        <f ca="1">SUMIFS(ЭЭ!AM$25:AM$109,ЭЭ!$F$25:$F$109,$F402,ЭЭ!$AC$25:$AC$109,"Всего по тарифу")</f>
        <v>0</v>
      </c>
      <c r="AO402" s="145">
        <f ca="1">SUMIFS(ЭЭ!AN$25:AN$109,ЭЭ!$F$25:$F$109,$F402,ЭЭ!$AC$25:$AC$109,"Всего по тарифу")</f>
        <v>0</v>
      </c>
      <c r="AP402" s="145">
        <f ca="1">SUMIFS(ЭЭ!AO$25:AO$109,ЭЭ!$F$25:$F$109,$F402,ЭЭ!$AC$25:$AC$109,"Всего по тарифу")</f>
        <v>0</v>
      </c>
      <c r="AQ402" s="145">
        <f ca="1">SUMIFS(ЭЭ!AP$25:AP$109,ЭЭ!$F$25:$F$109,$F402,ЭЭ!$AC$25:$AC$109,"Всего по тарифу")</f>
        <v>0</v>
      </c>
      <c r="AR402" s="145">
        <f ca="1">SUMIFS(ЭЭ!AQ$25:AQ$109,ЭЭ!$F$25:$F$109,$F402,ЭЭ!$AC$25:$AC$109,"Всего по тарифу")</f>
        <v>0</v>
      </c>
      <c r="AS402" s="145">
        <f ca="1">SUMIFS(ЭЭ!AR$25:AR$109,ЭЭ!$F$25:$F$109,$F402,ЭЭ!$AC$25:$AC$109,"Всего по тарифу")</f>
        <v>0</v>
      </c>
      <c r="AT402" s="145">
        <f ca="1">SUMIFS(ЭЭ!AS$25:AS$109,ЭЭ!$F$25:$F$109,$F402,ЭЭ!$AC$25:$AC$109,"Всего по тарифу")</f>
        <v>4687.99</v>
      </c>
      <c r="AU402" s="145">
        <f ca="1">SUMIFS(ЭЭ!AT$25:AT$109,ЭЭ!$F$25:$F$109,$F402,ЭЭ!$AC$25:$AC$109,"Всего по тарифу")</f>
        <v>0</v>
      </c>
      <c r="AV402" s="145">
        <f ca="1">SUMIFS(ЭЭ!AU$25:AU$109,ЭЭ!$F$25:$F$109,$F402,ЭЭ!$AC$25:$AC$109,"Всего по тарифу")</f>
        <v>0</v>
      </c>
      <c r="AW402" s="145">
        <f ca="1">SUMIFS(ЭЭ!AV$25:AV$109,ЭЭ!$F$25:$F$109,$F402,ЭЭ!$AC$25:$AC$109,"Всего по тарифу")</f>
        <v>0</v>
      </c>
      <c r="AX402" s="145">
        <f ca="1">SUMIFS(ЭЭ!AW$25:AW$109,ЭЭ!$F$25:$F$109,$F402,ЭЭ!$AC$25:$AC$109,"Всего по тарифу")</f>
        <v>0</v>
      </c>
      <c r="AY402" s="145">
        <f ca="1">SUMIFS(ЭЭ!AX$25:AX$109,ЭЭ!$F$25:$F$109,$F402,ЭЭ!$AC$25:$AC$109,"Всего по тарифу")</f>
        <v>0</v>
      </c>
      <c r="AZ402" s="145">
        <f ca="1">SUMIFS(ЭЭ!AY$25:AY$109,ЭЭ!$F$25:$F$109,$F402,ЭЭ!$AC$25:$AC$109,"Всего по тарифу")</f>
        <v>0</v>
      </c>
      <c r="BA402" s="145">
        <f ca="1">SUMIFS(ЭЭ!AZ$25:AZ$109,ЭЭ!$F$25:$F$109,$F402,ЭЭ!$AC$25:$AC$109,"Всего по тарифу")</f>
        <v>0</v>
      </c>
      <c r="BB402" s="145">
        <f ca="1">SUMIFS(ЭЭ!BA$25:BA$109,ЭЭ!$F$25:$F$109,$F402,ЭЭ!$AC$25:$AC$109,"Всего по тарифу")</f>
        <v>0</v>
      </c>
      <c r="BC402" s="145">
        <f ca="1">SUMIFS(ЭЭ!BB$25:BB$109,ЭЭ!$F$25:$F$109,$F402,ЭЭ!$AC$25:$AC$109,"Всего по тарифу")</f>
        <v>0</v>
      </c>
      <c r="BD402" s="145">
        <f t="shared" ca="1" si="92"/>
        <v>23.457714166018814</v>
      </c>
      <c r="BE402" s="145">
        <f t="shared" ca="1" si="93"/>
        <v>-100</v>
      </c>
      <c r="BF402" s="145">
        <f t="shared" ca="1" si="94"/>
        <v>0</v>
      </c>
      <c r="BG402" s="145">
        <f t="shared" ca="1" si="95"/>
        <v>0</v>
      </c>
      <c r="BH402" s="145">
        <f t="shared" ca="1" si="96"/>
        <v>0</v>
      </c>
      <c r="BI402" s="145">
        <f t="shared" ca="1" si="97"/>
        <v>0</v>
      </c>
      <c r="BJ402" s="145">
        <f t="shared" ca="1" si="98"/>
        <v>0</v>
      </c>
      <c r="BK402" s="145">
        <f t="shared" ca="1" si="99"/>
        <v>0</v>
      </c>
      <c r="BL402" s="145">
        <f t="shared" ca="1" si="100"/>
        <v>0</v>
      </c>
      <c r="BM402" s="145">
        <f t="shared" ca="1" si="101"/>
        <v>0</v>
      </c>
      <c r="BN402" s="953" t="s">
        <v>2268</v>
      </c>
      <c r="BO402" s="610" t="s">
        <v>886</v>
      </c>
      <c r="BP402" s="215"/>
      <c r="BQ402" s="95"/>
      <c r="BR402" s="95"/>
      <c r="BS402" s="711" t="s">
        <v>1733</v>
      </c>
      <c r="BT402" s="711"/>
      <c r="BU402" s="711"/>
      <c r="BV402" s="522"/>
      <c r="BW402" s="522"/>
    </row>
    <row r="403" spans="1:75" s="950" customFormat="1" ht="54.75" customHeight="1">
      <c r="A403" s="95"/>
      <c r="B403" s="95" t="b">
        <f>method_reg="Метод индексации"</f>
        <v>1</v>
      </c>
      <c r="C403" s="95"/>
      <c r="D403" s="95"/>
      <c r="E403" s="522">
        <v>22.5</v>
      </c>
      <c r="F403" s="3" t="str" cm="1">
        <f t="array" aca="1" ref="F403" ca="1">OFFSET(E403,-1,1)</f>
        <v>2</v>
      </c>
      <c r="G403" s="91" t="s">
        <v>1501</v>
      </c>
      <c r="H403" s="91"/>
      <c r="I403" s="91" t="s">
        <v>331</v>
      </c>
      <c r="J403" s="95"/>
      <c r="K403" s="91" t="s">
        <v>331</v>
      </c>
      <c r="L403" s="46" t="s">
        <v>330</v>
      </c>
      <c r="M403" s="46"/>
      <c r="N403" s="95"/>
      <c r="O403" s="95"/>
      <c r="P403" s="95"/>
      <c r="Q403" s="95"/>
      <c r="R403" s="95"/>
      <c r="S403" s="95"/>
      <c r="T403" s="365" t="b" cm="1">
        <f t="array" aca="1" ref="T403" ca="1">T402</f>
        <v>1</v>
      </c>
      <c r="U403" s="95"/>
      <c r="V403" s="95"/>
      <c r="W403" s="95"/>
      <c r="X403" s="1075"/>
      <c r="Y403" s="95"/>
      <c r="Z403" s="1065"/>
      <c r="AA403" s="95"/>
      <c r="AB403" s="150" t="s">
        <v>433</v>
      </c>
      <c r="AC403" s="144" t="s">
        <v>2126</v>
      </c>
      <c r="AD403" s="143" t="s">
        <v>804</v>
      </c>
      <c r="AE403" s="145">
        <f ca="1">SUMIFS(Амортизация!AE$25:AE$174,Амортизация!$F$25:$F$174,$F403,Амортизация!$AC$25:$AC$174,"Сумма амортизационных отчислений")</f>
        <v>173.9360804762</v>
      </c>
      <c r="AF403" s="145">
        <f ca="1">SUMIFS(Амортизация!AF$25:AF$174,Амортизация!$F$25:$F$174,$F403,Амортизация!$AC$25:$AC$174,"Сумма амортизационных отчислений")</f>
        <v>406.04</v>
      </c>
      <c r="AG403" s="145">
        <f ca="1">SUMIFS(Амортизация!AG$25:AG$174,Амортизация!$F$25:$F$174,$F403,Амортизация!$AC$25:$AC$174,"Сумма амортизационных отчислений")</f>
        <v>398.82</v>
      </c>
      <c r="AH403" s="145">
        <f t="shared" ca="1" si="90"/>
        <v>-7.2200000000000273</v>
      </c>
      <c r="AI403" s="145">
        <f ca="1">SUMIFS(Амортизация!AH$25:AH$174,Амортизация!$F$25:$F$174,$F403,Амортизация!$AC$25:$AC$174,"Сумма амортизационных отчислений")</f>
        <v>257.45</v>
      </c>
      <c r="AJ403" s="145">
        <f ca="1">SUMIFS(Амортизация!AI$25:AI$174,Амортизация!$F$25:$F$174,$F403,Амортизация!$AC$25:$AC$174,"Сумма амортизационных отчислений")</f>
        <v>260.14</v>
      </c>
      <c r="AK403" s="145">
        <f ca="1">SUMIFS(Амортизация!AJ$25:AJ$174,Амортизация!$F$25:$F$174,$F403,Амортизация!$AC$25:$AC$174,"Сумма амортизационных отчислений")</f>
        <v>0</v>
      </c>
      <c r="AL403" s="145">
        <f ca="1">SUMIFS(Амортизация!AK$25:AK$174,Амортизация!$F$25:$F$174,$F403,Амортизация!$AC$25:$AC$174,"Сумма амортизационных отчислений")</f>
        <v>0</v>
      </c>
      <c r="AM403" s="145">
        <f ca="1">SUMIFS(Амортизация!AL$25:AL$174,Амортизация!$F$25:$F$174,$F403,Амортизация!$AC$25:$AC$174,"Сумма амортизационных отчислений")</f>
        <v>0</v>
      </c>
      <c r="AN403" s="145">
        <f ca="1">SUMIFS(Амортизация!AM$25:AM$174,Амортизация!$F$25:$F$174,$F403,Амортизация!$AC$25:$AC$174,"Сумма амортизационных отчислений")</f>
        <v>0</v>
      </c>
      <c r="AO403" s="145">
        <f ca="1">SUMIFS(Амортизация!AN$25:AN$174,Амортизация!$F$25:$F$174,$F403,Амортизация!$AC$25:$AC$174,"Сумма амортизационных отчислений")</f>
        <v>0</v>
      </c>
      <c r="AP403" s="145">
        <f ca="1">SUMIFS(Амортизация!AO$25:AO$174,Амортизация!$F$25:$F$174,$F403,Амортизация!$AC$25:$AC$174,"Сумма амортизационных отчислений")</f>
        <v>0</v>
      </c>
      <c r="AQ403" s="145">
        <f ca="1">SUMIFS(Амортизация!AP$25:AP$174,Амортизация!$F$25:$F$174,$F403,Амортизация!$AC$25:$AC$174,"Сумма амортизационных отчислений")</f>
        <v>0</v>
      </c>
      <c r="AR403" s="145">
        <f ca="1">SUMIFS(Амортизация!AQ$25:AQ$174,Амортизация!$F$25:$F$174,$F403,Амортизация!$AC$25:$AC$174,"Сумма амортизационных отчислений")</f>
        <v>0</v>
      </c>
      <c r="AS403" s="145">
        <f ca="1">SUMIFS(Амортизация!AR$25:AR$174,Амортизация!$F$25:$F$174,$F403,Амортизация!$AC$25:$AC$174,"Сумма амортизационных отчислений")</f>
        <v>0</v>
      </c>
      <c r="AT403" s="145">
        <f ca="1">SUMIFS(Амортизация!AS$25:AS$174,Амортизация!$F$25:$F$174,$F403,Амортизация!$AC$25:$AC$174,"Сумма амортизационных отчислений")</f>
        <v>260.14</v>
      </c>
      <c r="AU403" s="145">
        <f ca="1">SUMIFS(Амортизация!AT$25:AT$174,Амортизация!$F$25:$F$174,$F403,Амортизация!$AC$25:$AC$174,"Сумма амортизационных отчислений")</f>
        <v>0</v>
      </c>
      <c r="AV403" s="145">
        <f ca="1">SUMIFS(Амортизация!AU$25:AU$174,Амортизация!$F$25:$F$174,$F403,Амортизация!$AC$25:$AC$174,"Сумма амортизационных отчислений")</f>
        <v>0</v>
      </c>
      <c r="AW403" s="145">
        <f ca="1">SUMIFS(Амортизация!AV$25:AV$174,Амортизация!$F$25:$F$174,$F403,Амортизация!$AC$25:$AC$174,"Сумма амортизационных отчислений")</f>
        <v>0</v>
      </c>
      <c r="AX403" s="145">
        <f ca="1">SUMIFS(Амортизация!AW$25:AW$174,Амортизация!$F$25:$F$174,$F403,Амортизация!$AC$25:$AC$174,"Сумма амортизационных отчислений")</f>
        <v>0</v>
      </c>
      <c r="AY403" s="145">
        <f ca="1">SUMIFS(Амортизация!AX$25:AX$174,Амортизация!$F$25:$F$174,$F403,Амортизация!$AC$25:$AC$174,"Сумма амортизационных отчислений")</f>
        <v>0</v>
      </c>
      <c r="AZ403" s="145">
        <f ca="1">SUMIFS(Амортизация!AY$25:AY$174,Амортизация!$F$25:$F$174,$F403,Амортизация!$AC$25:$AC$174,"Сумма амортизационных отчислений")</f>
        <v>0</v>
      </c>
      <c r="BA403" s="145">
        <f ca="1">SUMIFS(Амортизация!AZ$25:AZ$174,Амортизация!$F$25:$F$174,$F403,Амортизация!$AC$25:$AC$174,"Сумма амортизационных отчислений")</f>
        <v>0</v>
      </c>
      <c r="BB403" s="145">
        <f ca="1">SUMIFS(Амортизация!BA$25:BA$174,Амортизация!$F$25:$F$174,$F403,Амортизация!$AC$25:$AC$174,"Сумма амортизационных отчислений")</f>
        <v>0</v>
      </c>
      <c r="BC403" s="145">
        <f ca="1">SUMIFS(Амортизация!BB$25:BB$174,Амортизация!$F$25:$F$174,$F403,Амортизация!$AC$25:$AC$174,"Сумма амортизационных отчислений")</f>
        <v>0</v>
      </c>
      <c r="BD403" s="145">
        <f t="shared" ca="1" si="92"/>
        <v>1.0448630802097485</v>
      </c>
      <c r="BE403" s="145">
        <f t="shared" ca="1" si="93"/>
        <v>-100</v>
      </c>
      <c r="BF403" s="145">
        <f t="shared" ca="1" si="94"/>
        <v>0</v>
      </c>
      <c r="BG403" s="145">
        <f t="shared" ca="1" si="95"/>
        <v>0</v>
      </c>
      <c r="BH403" s="145">
        <f t="shared" ca="1" si="96"/>
        <v>0</v>
      </c>
      <c r="BI403" s="145">
        <f t="shared" ca="1" si="97"/>
        <v>0</v>
      </c>
      <c r="BJ403" s="145">
        <f t="shared" ca="1" si="98"/>
        <v>0</v>
      </c>
      <c r="BK403" s="145">
        <f t="shared" ca="1" si="99"/>
        <v>0</v>
      </c>
      <c r="BL403" s="145">
        <f t="shared" ca="1" si="100"/>
        <v>0</v>
      </c>
      <c r="BM403" s="145">
        <f t="shared" ca="1" si="101"/>
        <v>0</v>
      </c>
      <c r="BN403" s="953" t="s">
        <v>2267</v>
      </c>
      <c r="BO403" s="610" t="s">
        <v>2269</v>
      </c>
      <c r="BP403" s="215"/>
      <c r="BQ403" s="95"/>
      <c r="BR403" s="95"/>
      <c r="BS403" s="711" t="s">
        <v>1241</v>
      </c>
      <c r="BT403" s="711"/>
      <c r="BU403" s="711"/>
      <c r="BV403" s="522"/>
      <c r="BW403" s="522"/>
    </row>
    <row r="404" spans="1:75" ht="14.25" customHeight="1">
      <c r="B404" s="341" t="b" cm="1">
        <f t="array" ref="B404">B403</f>
        <v>1</v>
      </c>
      <c r="E404" s="518">
        <v>15</v>
      </c>
      <c r="F404" s="3" t="str" cm="1">
        <f t="array" aca="1" ref="F404" ca="1">OFFSET(E404,-1,1)</f>
        <v>2</v>
      </c>
      <c r="I404" s="91" t="s">
        <v>536</v>
      </c>
      <c r="K404" s="91" t="s">
        <v>536</v>
      </c>
      <c r="L404" s="44" t="s">
        <v>550</v>
      </c>
      <c r="M404" s="44"/>
      <c r="T404" s="365" t="b" cm="1">
        <f t="array" aca="1" ref="T404" ca="1">T403</f>
        <v>1</v>
      </c>
      <c r="X404" s="1075"/>
      <c r="Z404" s="1065"/>
      <c r="AB404" s="152" t="s">
        <v>673</v>
      </c>
      <c r="AC404" s="146" t="s">
        <v>1825</v>
      </c>
      <c r="AD404" s="26" t="s">
        <v>804</v>
      </c>
      <c r="AE404" s="147">
        <f ca="1">SUMIFS('ИП + источники'!AF$27:AF$145,'ИП + источники'!$F$27:$F$145,$F404,'ИП + источники'!$AC$27:$AC$145,"Амортизационные отчисления")+SUMIFS('ИП + источники'!AF$27:AF$145,'ИП + источники'!$F$27:$F$145,$F404,'ИП + источники'!$AC$27:$AC$145,"погашение займов и кредитов из амортизации")</f>
        <v>0</v>
      </c>
      <c r="AF404" s="147">
        <f ca="1">SUMIFS('ИП + источники'!AG$27:AG$145,'ИП + источники'!$F$27:$F$145,$F404,'ИП + источники'!$AC$27:$AC$145,"Амортизационные отчисления")+SUMIFS('ИП + источники'!AG$27:AG$145,'ИП + источники'!$F$27:$F$145,$F404,'ИП + источники'!$AC$27:$AC$145,"погашение займов и кредитов из амортизации")</f>
        <v>0</v>
      </c>
      <c r="AG404" s="147">
        <f ca="1">SUMIFS('ИП + источники'!AH$27:AH$145,'ИП + источники'!$F$27:$F$145,$F404,'ИП + источники'!$AC$27:$AC$145,"Амортизационные отчисления")+SUMIFS('ИП + источники'!AH$27:AH$145,'ИП + источники'!$F$27:$F$145,$F404,'ИП + источники'!$AC$27:$AC$145,"погашение займов и кредитов из амортизации")</f>
        <v>0</v>
      </c>
      <c r="AH404" s="190">
        <f t="shared" ca="1" si="90"/>
        <v>0</v>
      </c>
      <c r="AI404" s="147">
        <f ca="1">SUMIFS('ИП + источники'!AJ$27:AJ$145,'ИП + источники'!$F$27:$F$145,$F404,'ИП + источники'!$AC$27:$AC$145,"Амортизационные отчисления")+SUMIFS('ИП + источники'!AJ$27:AJ$145,'ИП + источники'!$F$27:$F$145,$F404,'ИП + источники'!$AC$27:$AC$145,"погашение займов и кредитов из амортизации")</f>
        <v>0</v>
      </c>
      <c r="AJ404" s="147">
        <f ca="1">SUMIFS('ИП + источники'!AK$27:AK$145,'ИП + источники'!$F$27:$F$145,$F404,'ИП + источники'!$AC$27:$AC$145,"Амортизационные отчисления")+SUMIFS('ИП + источники'!AK$27:AK$145,'ИП + источники'!$F$27:$F$145,$F404,'ИП + источники'!$AC$27:$AC$145,"погашение займов и кредитов из амортизации")</f>
        <v>0</v>
      </c>
      <c r="AK404" s="787">
        <f ca="1">SUMIFS('ИП + источники'!AL$27:AL$145,'ИП + источники'!$F$27:$F$145,$F404,'ИП + источники'!$AC$27:$AC$145,"Амортизационные отчисления")+SUMIFS('ИП + источники'!AL$27:AL$145,'ИП + источники'!$F$27:$F$145,$F404,'ИП + источники'!$AC$27:$AC$145,"погашение займов и кредитов из амортизации")</f>
        <v>0</v>
      </c>
      <c r="AL404" s="787">
        <f ca="1">SUMIFS('ИП + источники'!AM$27:AM$145,'ИП + источники'!$F$27:$F$145,$F404,'ИП + источники'!$AC$27:$AC$145,"Амортизационные отчисления")+SUMIFS('ИП + источники'!AM$27:AM$145,'ИП + источники'!$F$27:$F$145,$F404,'ИП + источники'!$AC$27:$AC$145,"погашение займов и кредитов из амортизации")</f>
        <v>0</v>
      </c>
      <c r="AM404" s="787">
        <f ca="1">SUMIFS('ИП + источники'!AN$27:AN$145,'ИП + источники'!$F$27:$F$145,$F404,'ИП + источники'!$AC$27:$AC$145,"Амортизационные отчисления")+SUMIFS('ИП + источники'!AN$27:AN$145,'ИП + источники'!$F$27:$F$145,$F404,'ИП + источники'!$AC$27:$AC$145,"погашение займов и кредитов из амортизации")</f>
        <v>0</v>
      </c>
      <c r="AN404" s="787">
        <f ca="1">SUMIFS('ИП + источники'!AO$27:AO$145,'ИП + источники'!$F$27:$F$145,$F404,'ИП + источники'!$AC$27:$AC$145,"Амортизационные отчисления")+SUMIFS('ИП + источники'!AO$27:AO$145,'ИП + источники'!$F$27:$F$145,$F404,'ИП + источники'!$AC$27:$AC$145,"погашение займов и кредитов из амортизации")</f>
        <v>0</v>
      </c>
      <c r="AO404" s="787">
        <f ca="1">SUMIFS('ИП + источники'!AP$27:AP$145,'ИП + источники'!$F$27:$F$145,$F404,'ИП + источники'!$AC$27:$AC$145,"Амортизационные отчисления")+SUMIFS('ИП + источники'!AP$27:AP$145,'ИП + источники'!$F$27:$F$145,$F404,'ИП + источники'!$AC$27:$AC$145,"погашение займов и кредитов из амортизации")</f>
        <v>0</v>
      </c>
      <c r="AP404" s="787">
        <f ca="1">SUMIFS('ИП + источники'!AQ$27:AQ$145,'ИП + источники'!$F$27:$F$145,$F404,'ИП + источники'!$AC$27:$AC$145,"Амортизационные отчисления")+SUMIFS('ИП + источники'!AQ$27:AQ$145,'ИП + источники'!$F$27:$F$145,$F404,'ИП + источники'!$AC$27:$AC$145,"погашение займов и кредитов из амортизации")</f>
        <v>0</v>
      </c>
      <c r="AQ404" s="787">
        <f ca="1">SUMIFS('ИП + источники'!AR$27:AR$145,'ИП + источники'!$F$27:$F$145,$F404,'ИП + источники'!$AC$27:$AC$145,"Амортизационные отчисления")+SUMIFS('ИП + источники'!AR$27:AR$145,'ИП + источники'!$F$27:$F$145,$F404,'ИП + источники'!$AC$27:$AC$145,"погашение займов и кредитов из амортизации")</f>
        <v>0</v>
      </c>
      <c r="AR404" s="787">
        <f ca="1">SUMIFS('ИП + источники'!AS$27:AS$145,'ИП + источники'!$F$27:$F$145,$F404,'ИП + источники'!$AC$27:$AC$145,"Амортизационные отчисления")+SUMIFS('ИП + источники'!AS$27:AS$145,'ИП + источники'!$F$27:$F$145,$F404,'ИП + источники'!$AC$27:$AC$145,"погашение займов и кредитов из амортизации")</f>
        <v>0</v>
      </c>
      <c r="AS404" s="787">
        <f ca="1">SUMIFS('ИП + источники'!AT$27:AT$145,'ИП + источники'!$F$27:$F$145,$F404,'ИП + источники'!$AC$27:$AC$145,"Амортизационные отчисления")+SUMIFS('ИП + источники'!AT$27:AT$145,'ИП + источники'!$F$27:$F$145,$F404,'ИП + источники'!$AC$27:$AC$145,"погашение займов и кредитов из амортизации")</f>
        <v>0</v>
      </c>
      <c r="AT404" s="147">
        <f ca="1">SUMIFS('ИП + источники'!AU$27:AU$145,'ИП + источники'!$F$27:$F$145,$F404,'ИП + источники'!$AC$27:$AC$145,"Амортизационные отчисления")+SUMIFS('ИП + источники'!AU$27:AU$145,'ИП + источники'!$F$27:$F$145,$F404,'ИП + источники'!$AC$27:$AC$145,"погашение займов и кредитов из амортизации")</f>
        <v>0</v>
      </c>
      <c r="AU404" s="787">
        <f ca="1">SUMIFS('ИП + источники'!AV$27:AV$145,'ИП + источники'!$F$27:$F$145,$F404,'ИП + источники'!$AC$27:$AC$145,"Амортизационные отчисления")+SUMIFS('ИП + источники'!AV$27:AV$145,'ИП + источники'!$F$27:$F$145,$F404,'ИП + источники'!$AC$27:$AC$145,"погашение займов и кредитов из амортизации")</f>
        <v>0</v>
      </c>
      <c r="AV404" s="787">
        <f ca="1">SUMIFS('ИП + источники'!AW$27:AW$145,'ИП + источники'!$F$27:$F$145,$F404,'ИП + источники'!$AC$27:$AC$145,"Амортизационные отчисления")+SUMIFS('ИП + источники'!AW$27:AW$145,'ИП + источники'!$F$27:$F$145,$F404,'ИП + источники'!$AC$27:$AC$145,"погашение займов и кредитов из амортизации")</f>
        <v>0</v>
      </c>
      <c r="AW404" s="787">
        <f ca="1">SUMIFS('ИП + источники'!AX$27:AX$145,'ИП + источники'!$F$27:$F$145,$F404,'ИП + источники'!$AC$27:$AC$145,"Амортизационные отчисления")+SUMIFS('ИП + источники'!AX$27:AX$145,'ИП + источники'!$F$27:$F$145,$F404,'ИП + источники'!$AC$27:$AC$145,"погашение займов и кредитов из амортизации")</f>
        <v>0</v>
      </c>
      <c r="AX404" s="787">
        <f ca="1">SUMIFS('ИП + источники'!AY$27:AY$145,'ИП + источники'!$F$27:$F$145,$F404,'ИП + источники'!$AC$27:$AC$145,"Амортизационные отчисления")+SUMIFS('ИП + источники'!AY$27:AY$145,'ИП + источники'!$F$27:$F$145,$F404,'ИП + источники'!$AC$27:$AC$145,"погашение займов и кредитов из амортизации")</f>
        <v>0</v>
      </c>
      <c r="AY404" s="787">
        <f ca="1">SUMIFS('ИП + источники'!AZ$27:AZ$145,'ИП + источники'!$F$27:$F$145,$F404,'ИП + источники'!$AC$27:$AC$145,"Амортизационные отчисления")+SUMIFS('ИП + источники'!AZ$27:AZ$145,'ИП + источники'!$F$27:$F$145,$F404,'ИП + источники'!$AC$27:$AC$145,"погашение займов и кредитов из амортизации")</f>
        <v>0</v>
      </c>
      <c r="AZ404" s="787">
        <f ca="1">SUMIFS('ИП + источники'!BA$27:BA$145,'ИП + источники'!$F$27:$F$145,$F404,'ИП + источники'!$AC$27:$AC$145,"Амортизационные отчисления")+SUMIFS('ИП + источники'!BA$27:BA$145,'ИП + источники'!$F$27:$F$145,$F404,'ИП + источники'!$AC$27:$AC$145,"погашение займов и кредитов из амортизации")</f>
        <v>0</v>
      </c>
      <c r="BA404" s="787">
        <f ca="1">SUMIFS('ИП + источники'!BB$27:BB$145,'ИП + источники'!$F$27:$F$145,$F404,'ИП + источники'!$AC$27:$AC$145,"Амортизационные отчисления")+SUMIFS('ИП + источники'!BB$27:BB$145,'ИП + источники'!$F$27:$F$145,$F404,'ИП + источники'!$AC$27:$AC$145,"погашение займов и кредитов из амортизации")</f>
        <v>0</v>
      </c>
      <c r="BB404" s="787">
        <f ca="1">SUMIFS('ИП + источники'!BC$27:BC$145,'ИП + источники'!$F$27:$F$145,$F404,'ИП + источники'!$AC$27:$AC$145,"Амортизационные отчисления")+SUMIFS('ИП + источники'!BC$27:BC$145,'ИП + источники'!$F$27:$F$145,$F404,'ИП + источники'!$AC$27:$AC$145,"погашение займов и кредитов из амортизации")</f>
        <v>0</v>
      </c>
      <c r="BC404" s="787">
        <f ca="1">SUMIFS('ИП + источники'!BD$27:BD$145,'ИП + источники'!$F$27:$F$145,$F404,'ИП + источники'!$AC$27:$AC$145,"Амортизационные отчисления")+SUMIFS('ИП + источники'!BD$27:BD$145,'ИП + источники'!$F$27:$F$145,$F404,'ИП + источники'!$AC$27:$AC$145,"погашение займов и кредитов из амортизации")</f>
        <v>0</v>
      </c>
      <c r="BD404" s="190">
        <f t="shared" ca="1" si="92"/>
        <v>0</v>
      </c>
      <c r="BE404" s="190">
        <f t="shared" ca="1" si="93"/>
        <v>0</v>
      </c>
      <c r="BF404" s="190">
        <f t="shared" ca="1" si="94"/>
        <v>0</v>
      </c>
      <c r="BG404" s="190">
        <f t="shared" ca="1" si="95"/>
        <v>0</v>
      </c>
      <c r="BH404" s="190">
        <f t="shared" ca="1" si="96"/>
        <v>0</v>
      </c>
      <c r="BI404" s="190">
        <f t="shared" ca="1" si="97"/>
        <v>0</v>
      </c>
      <c r="BJ404" s="190">
        <f t="shared" ca="1" si="98"/>
        <v>0</v>
      </c>
      <c r="BK404" s="190">
        <f t="shared" ca="1" si="99"/>
        <v>0</v>
      </c>
      <c r="BL404" s="190">
        <f t="shared" ca="1" si="100"/>
        <v>0</v>
      </c>
      <c r="BM404" s="190">
        <f t="shared" ca="1" si="101"/>
        <v>0</v>
      </c>
      <c r="BN404" s="215"/>
      <c r="BO404" s="215"/>
      <c r="BP404" s="215"/>
      <c r="BS404" s="705" t="s">
        <v>1826</v>
      </c>
    </row>
    <row r="405" spans="1:75" s="950" customFormat="1" ht="20.25" customHeight="1">
      <c r="A405" s="95"/>
      <c r="B405" s="341" t="b" cm="1">
        <f t="array" ref="B405">B404</f>
        <v>1</v>
      </c>
      <c r="C405" s="95"/>
      <c r="D405" s="95"/>
      <c r="E405" s="522">
        <v>21</v>
      </c>
      <c r="F405" s="3" t="str" cm="1">
        <f t="array" aca="1" ref="F405" ca="1">OFFSET(E405,-1,1)</f>
        <v>2</v>
      </c>
      <c r="G405" s="91" t="s">
        <v>1505</v>
      </c>
      <c r="H405" s="91"/>
      <c r="I405" s="91" t="s">
        <v>330</v>
      </c>
      <c r="J405" s="95"/>
      <c r="K405" s="91" t="s">
        <v>330</v>
      </c>
      <c r="L405" s="46" t="s">
        <v>562</v>
      </c>
      <c r="M405" s="46"/>
      <c r="N405" s="95"/>
      <c r="O405" s="95"/>
      <c r="P405" s="95"/>
      <c r="Q405" s="95"/>
      <c r="R405" s="95"/>
      <c r="S405" s="95"/>
      <c r="T405" s="365" t="b" cm="1">
        <f t="array" aca="1" ref="T405" ca="1">T404</f>
        <v>1</v>
      </c>
      <c r="U405" s="95"/>
      <c r="V405" s="95"/>
      <c r="W405" s="95"/>
      <c r="X405" s="1075"/>
      <c r="Y405" s="95"/>
      <c r="Z405" s="1065"/>
      <c r="AA405" s="95"/>
      <c r="AB405" s="150" t="s">
        <v>444</v>
      </c>
      <c r="AC405" s="144" t="s">
        <v>1505</v>
      </c>
      <c r="AD405" s="166" t="s">
        <v>804</v>
      </c>
      <c r="AE405" s="145">
        <f ca="1">AE406+AE407+AE408+AE409</f>
        <v>0</v>
      </c>
      <c r="AF405" s="145">
        <f ca="1">AF406+AF407+AF408+AF409</f>
        <v>0</v>
      </c>
      <c r="AG405" s="145">
        <f ca="1">AG406+AG407+AG408+AG409</f>
        <v>0</v>
      </c>
      <c r="AH405" s="145">
        <f t="shared" ca="1" si="90"/>
        <v>0</v>
      </c>
      <c r="AI405" s="145">
        <f t="shared" ref="AI405:BC405" ca="1" si="105">AI406+AI407+AI408+AI409</f>
        <v>0</v>
      </c>
      <c r="AJ405" s="145">
        <f t="shared" ca="1" si="105"/>
        <v>0</v>
      </c>
      <c r="AK405" s="145">
        <f t="shared" ca="1" si="105"/>
        <v>0</v>
      </c>
      <c r="AL405" s="145">
        <f t="shared" ca="1" si="105"/>
        <v>0</v>
      </c>
      <c r="AM405" s="145">
        <f t="shared" ca="1" si="105"/>
        <v>0</v>
      </c>
      <c r="AN405" s="145">
        <f t="shared" ca="1" si="105"/>
        <v>0</v>
      </c>
      <c r="AO405" s="145">
        <f t="shared" ca="1" si="105"/>
        <v>0</v>
      </c>
      <c r="AP405" s="145">
        <f t="shared" ca="1" si="105"/>
        <v>0</v>
      </c>
      <c r="AQ405" s="145">
        <f t="shared" ca="1" si="105"/>
        <v>0</v>
      </c>
      <c r="AR405" s="145">
        <f t="shared" ca="1" si="105"/>
        <v>0</v>
      </c>
      <c r="AS405" s="145">
        <f t="shared" ca="1" si="105"/>
        <v>0</v>
      </c>
      <c r="AT405" s="145">
        <f t="shared" ca="1" si="105"/>
        <v>0</v>
      </c>
      <c r="AU405" s="145">
        <f t="shared" ca="1" si="105"/>
        <v>0</v>
      </c>
      <c r="AV405" s="145">
        <f t="shared" ca="1" si="105"/>
        <v>0</v>
      </c>
      <c r="AW405" s="145">
        <f t="shared" ca="1" si="105"/>
        <v>0</v>
      </c>
      <c r="AX405" s="145">
        <f t="shared" ca="1" si="105"/>
        <v>0</v>
      </c>
      <c r="AY405" s="145">
        <f t="shared" ca="1" si="105"/>
        <v>0</v>
      </c>
      <c r="AZ405" s="145">
        <f t="shared" ca="1" si="105"/>
        <v>0</v>
      </c>
      <c r="BA405" s="145">
        <f t="shared" ca="1" si="105"/>
        <v>0</v>
      </c>
      <c r="BB405" s="145">
        <f t="shared" ca="1" si="105"/>
        <v>0</v>
      </c>
      <c r="BC405" s="145">
        <f t="shared" ca="1" si="105"/>
        <v>0</v>
      </c>
      <c r="BD405" s="145">
        <f t="shared" ca="1" si="92"/>
        <v>0</v>
      </c>
      <c r="BE405" s="145">
        <f t="shared" ca="1" si="93"/>
        <v>0</v>
      </c>
      <c r="BF405" s="145">
        <f t="shared" ca="1" si="94"/>
        <v>0</v>
      </c>
      <c r="BG405" s="145">
        <f t="shared" ca="1" si="95"/>
        <v>0</v>
      </c>
      <c r="BH405" s="145">
        <f t="shared" ca="1" si="96"/>
        <v>0</v>
      </c>
      <c r="BI405" s="145">
        <f t="shared" ca="1" si="97"/>
        <v>0</v>
      </c>
      <c r="BJ405" s="145">
        <f t="shared" ca="1" si="98"/>
        <v>0</v>
      </c>
      <c r="BK405" s="145">
        <f t="shared" ca="1" si="99"/>
        <v>0</v>
      </c>
      <c r="BL405" s="145">
        <f t="shared" ca="1" si="100"/>
        <v>0</v>
      </c>
      <c r="BM405" s="145">
        <f t="shared" ca="1" si="101"/>
        <v>0</v>
      </c>
      <c r="BN405" s="215"/>
      <c r="BO405" s="215"/>
      <c r="BP405" s="215"/>
      <c r="BQ405" s="95"/>
      <c r="BR405" s="95"/>
      <c r="BS405" s="704" t="s">
        <v>1509</v>
      </c>
      <c r="BT405" s="711"/>
      <c r="BU405" s="711"/>
      <c r="BV405" s="522"/>
      <c r="BW405" s="522"/>
    </row>
    <row r="406" spans="1:75" ht="0" hidden="1" customHeight="1">
      <c r="B406" s="341" t="b" cm="1">
        <f t="array" ref="B406">B405</f>
        <v>1</v>
      </c>
      <c r="E406" s="518">
        <v>15</v>
      </c>
      <c r="F406" s="3" t="str" cm="1">
        <f t="array" aca="1" ref="F406" ca="1">OFFSET(E406,-1,1)</f>
        <v>2</v>
      </c>
      <c r="I406" s="91" t="s">
        <v>550</v>
      </c>
      <c r="K406" s="91" t="s">
        <v>550</v>
      </c>
      <c r="L406" s="44"/>
      <c r="M406" s="44"/>
      <c r="T406" s="365" t="b" cm="1">
        <f t="array" aca="1" ref="T406" ca="1">T405</f>
        <v>1</v>
      </c>
      <c r="X406" s="1075"/>
      <c r="Z406" s="1065"/>
      <c r="AB406" s="152" t="s">
        <v>680</v>
      </c>
      <c r="AC406" s="146" t="s">
        <v>2127</v>
      </c>
      <c r="AD406" s="26" t="s">
        <v>804</v>
      </c>
      <c r="AE406" s="147">
        <f ca="1">SUMIFS('ИП + источники'!AF$27:AF$145,'ИП + источники'!$F$27:$F$145,$F406,'ИП + источники'!$AC$27:$AC$145,"погашение займов и кредитов из нормативной прибыли")</f>
        <v>0</v>
      </c>
      <c r="AF406" s="147">
        <f ca="1">SUMIFS('ИП + источники'!AG$27:AG$145,'ИП + источники'!$F$27:$F$145,$F406,'ИП + источники'!$AC$27:$AC$145,"погашение займов и кредитов из нормативной прибыли")</f>
        <v>0</v>
      </c>
      <c r="AG406" s="147">
        <f ca="1">SUMIFS('ИП + источники'!AH$27:AH$145,'ИП + источники'!$F$27:$F$145,$F406,'ИП + источники'!$AC$27:$AC$145,"погашение займов и кредитов из нормативной прибыли")</f>
        <v>0</v>
      </c>
      <c r="AH406" s="190">
        <f t="shared" ca="1" si="90"/>
        <v>0</v>
      </c>
      <c r="AI406" s="147">
        <f ca="1">SUMIFS('ИП + источники'!AJ$27:AJ$145,'ИП + источники'!$F$27:$F$145,$F406,'ИП + источники'!$AC$27:$AC$145,"погашение займов и кредитов из нормативной прибыли")</f>
        <v>0</v>
      </c>
      <c r="AJ406" s="147">
        <f ca="1">SUMIFS('ИП + источники'!AK$27:AK$145,'ИП + источники'!$F$27:$F$145,$F406,'ИП + источники'!$AC$27:$AC$145,"погашение займов и кредитов из нормативной прибыли")</f>
        <v>0</v>
      </c>
      <c r="AK406" s="787">
        <f ca="1">SUMIFS('ИП + источники'!AL$27:AL$145,'ИП + источники'!$F$27:$F$145,$F406,'ИП + источники'!$AC$27:$AC$145,"погашение займов и кредитов из нормативной прибыли")</f>
        <v>0</v>
      </c>
      <c r="AL406" s="787">
        <f ca="1">SUMIFS('ИП + источники'!AM$27:AM$145,'ИП + источники'!$F$27:$F$145,$F406,'ИП + источники'!$AC$27:$AC$145,"погашение займов и кредитов из нормативной прибыли")</f>
        <v>0</v>
      </c>
      <c r="AM406" s="787">
        <f ca="1">SUMIFS('ИП + источники'!AN$27:AN$145,'ИП + источники'!$F$27:$F$145,$F406,'ИП + источники'!$AC$27:$AC$145,"погашение займов и кредитов из нормативной прибыли")</f>
        <v>0</v>
      </c>
      <c r="AN406" s="787">
        <f ca="1">SUMIFS('ИП + источники'!AO$27:AO$145,'ИП + источники'!$F$27:$F$145,$F406,'ИП + источники'!$AC$27:$AC$145,"погашение займов и кредитов из нормативной прибыли")</f>
        <v>0</v>
      </c>
      <c r="AO406" s="787">
        <f ca="1">SUMIFS('ИП + источники'!AP$27:AP$145,'ИП + источники'!$F$27:$F$145,$F406,'ИП + источники'!$AC$27:$AC$145,"погашение займов и кредитов из нормативной прибыли")</f>
        <v>0</v>
      </c>
      <c r="AP406" s="787">
        <f ca="1">SUMIFS('ИП + источники'!AQ$27:AQ$145,'ИП + источники'!$F$27:$F$145,$F406,'ИП + источники'!$AC$27:$AC$145,"погашение займов и кредитов из нормативной прибыли")</f>
        <v>0</v>
      </c>
      <c r="AQ406" s="787">
        <f ca="1">SUMIFS('ИП + источники'!AR$27:AR$145,'ИП + источники'!$F$27:$F$145,$F406,'ИП + источники'!$AC$27:$AC$145,"погашение займов и кредитов из нормативной прибыли")</f>
        <v>0</v>
      </c>
      <c r="AR406" s="787">
        <f ca="1">SUMIFS('ИП + источники'!AS$27:AS$145,'ИП + источники'!$F$27:$F$145,$F406,'ИП + источники'!$AC$27:$AC$145,"погашение займов и кредитов из нормативной прибыли")</f>
        <v>0</v>
      </c>
      <c r="AS406" s="787">
        <f ca="1">SUMIFS('ИП + источники'!AT$27:AT$145,'ИП + источники'!$F$27:$F$145,$F406,'ИП + источники'!$AC$27:$AC$145,"погашение займов и кредитов из нормативной прибыли")</f>
        <v>0</v>
      </c>
      <c r="AT406" s="147">
        <f ca="1">SUMIFS('ИП + источники'!AU$27:AU$145,'ИП + источники'!$F$27:$F$145,$F406,'ИП + источники'!$AC$27:$AC$145,"погашение займов и кредитов из нормативной прибыли")</f>
        <v>0</v>
      </c>
      <c r="AU406" s="787">
        <f ca="1">SUMIFS('ИП + источники'!AV$27:AV$145,'ИП + источники'!$F$27:$F$145,$F406,'ИП + источники'!$AC$27:$AC$145,"погашение займов и кредитов из нормативной прибыли")</f>
        <v>0</v>
      </c>
      <c r="AV406" s="787">
        <f ca="1">SUMIFS('ИП + источники'!AW$27:AW$145,'ИП + источники'!$F$27:$F$145,$F406,'ИП + источники'!$AC$27:$AC$145,"погашение займов и кредитов из нормативной прибыли")</f>
        <v>0</v>
      </c>
      <c r="AW406" s="787">
        <f ca="1">SUMIFS('ИП + источники'!AX$27:AX$145,'ИП + источники'!$F$27:$F$145,$F406,'ИП + источники'!$AC$27:$AC$145,"погашение займов и кредитов из нормативной прибыли")</f>
        <v>0</v>
      </c>
      <c r="AX406" s="787">
        <f ca="1">SUMIFS('ИП + источники'!AY$27:AY$145,'ИП + источники'!$F$27:$F$145,$F406,'ИП + источники'!$AC$27:$AC$145,"погашение займов и кредитов из нормативной прибыли")</f>
        <v>0</v>
      </c>
      <c r="AY406" s="787">
        <f ca="1">SUMIFS('ИП + источники'!AZ$27:AZ$145,'ИП + источники'!$F$27:$F$145,$F406,'ИП + источники'!$AC$27:$AC$145,"погашение займов и кредитов из нормативной прибыли")</f>
        <v>0</v>
      </c>
      <c r="AZ406" s="787">
        <f ca="1">SUMIFS('ИП + источники'!BA$27:BA$145,'ИП + источники'!$F$27:$F$145,$F406,'ИП + источники'!$AC$27:$AC$145,"погашение займов и кредитов из нормативной прибыли")</f>
        <v>0</v>
      </c>
      <c r="BA406" s="787">
        <f ca="1">SUMIFS('ИП + источники'!BB$27:BB$145,'ИП + источники'!$F$27:$F$145,$F406,'ИП + источники'!$AC$27:$AC$145,"погашение займов и кредитов из нормативной прибыли")</f>
        <v>0</v>
      </c>
      <c r="BB406" s="787">
        <f ca="1">SUMIFS('ИП + источники'!BC$27:BC$145,'ИП + источники'!$F$27:$F$145,$F406,'ИП + источники'!$AC$27:$AC$145,"погашение займов и кредитов из нормативной прибыли")</f>
        <v>0</v>
      </c>
      <c r="BC406" s="787">
        <f ca="1">SUMIFS('ИП + источники'!BD$27:BD$145,'ИП + источники'!$F$27:$F$145,$F406,'ИП + источники'!$AC$27:$AC$145,"погашение займов и кредитов из нормативной прибыли")</f>
        <v>0</v>
      </c>
      <c r="BD406" s="190">
        <f t="shared" ca="1" si="92"/>
        <v>0</v>
      </c>
      <c r="BE406" s="190">
        <f t="shared" ca="1" si="93"/>
        <v>0</v>
      </c>
      <c r="BF406" s="190">
        <f t="shared" ca="1" si="94"/>
        <v>0</v>
      </c>
      <c r="BG406" s="190">
        <f t="shared" ca="1" si="95"/>
        <v>0</v>
      </c>
      <c r="BH406" s="190">
        <f t="shared" ca="1" si="96"/>
        <v>0</v>
      </c>
      <c r="BI406" s="190">
        <f t="shared" ca="1" si="97"/>
        <v>0</v>
      </c>
      <c r="BJ406" s="190">
        <f t="shared" ca="1" si="98"/>
        <v>0</v>
      </c>
      <c r="BK406" s="190">
        <f t="shared" ca="1" si="99"/>
        <v>0</v>
      </c>
      <c r="BL406" s="190">
        <f t="shared" ca="1" si="100"/>
        <v>0</v>
      </c>
      <c r="BM406" s="190">
        <f t="shared" ca="1" si="101"/>
        <v>0</v>
      </c>
      <c r="BN406" s="215"/>
      <c r="BO406" s="610" t="str">
        <f ca="1">IF(IFERROR(INDEX('ИП + источники'!$K$57:$L$145,MATCH($F406&amp;"2komm",'ИП + источники'!$K$57:$K$145,0),2),"")=0,"",IFERROR(INDEX('ИП + источники'!$K$57:$L$145,MATCH($F406&amp;"2komm",'ИП + источники'!$K$57:$K$145,0),2),""))</f>
        <v/>
      </c>
      <c r="BP406" s="215"/>
      <c r="BS406" s="705" t="s">
        <v>2128</v>
      </c>
    </row>
    <row r="407" spans="1:75" ht="0" hidden="1" customHeight="1">
      <c r="B407" s="341" t="b" cm="1">
        <f t="array" ref="B407">B406</f>
        <v>1</v>
      </c>
      <c r="E407" s="518">
        <v>15</v>
      </c>
      <c r="F407" s="3" t="str" cm="1">
        <f t="array" aca="1" ref="F407" ca="1">OFFSET(E407,-1,1)</f>
        <v>2</v>
      </c>
      <c r="I407" s="91" t="s">
        <v>554</v>
      </c>
      <c r="K407" s="91" t="s">
        <v>554</v>
      </c>
      <c r="L407" s="44"/>
      <c r="M407" s="44"/>
      <c r="T407" s="365" t="b" cm="1">
        <f t="array" aca="1" ref="T407" ca="1">T406</f>
        <v>1</v>
      </c>
      <c r="X407" s="1075"/>
      <c r="Z407" s="1065"/>
      <c r="AB407" s="152" t="s">
        <v>683</v>
      </c>
      <c r="AC407" s="146" t="s">
        <v>2129</v>
      </c>
      <c r="AD407" s="26" t="s">
        <v>804</v>
      </c>
      <c r="AE407" s="147">
        <f ca="1">SUMIFS('ИП + источники'!AF$27:AF$145,'ИП + источники'!$F$27:$F$145,$F407,'ИП + источники'!$AC$27:$AC$145,"уплата процентов по кредитам из нормативной прибыли")</f>
        <v>0</v>
      </c>
      <c r="AF407" s="147">
        <f ca="1">SUMIFS('ИП + источники'!AG$27:AG$145,'ИП + источники'!$F$27:$F$145,$F407,'ИП + источники'!$AC$27:$AC$145,"уплата процентов по кредитам из нормативной прибыли")</f>
        <v>0</v>
      </c>
      <c r="AG407" s="147">
        <f ca="1">SUMIFS('ИП + источники'!AH$27:AH$145,'ИП + источники'!$F$27:$F$145,$F407,'ИП + источники'!$AC$27:$AC$145,"уплата процентов по кредитам из нормативной прибыли")</f>
        <v>0</v>
      </c>
      <c r="AH407" s="190">
        <f t="shared" ca="1" si="90"/>
        <v>0</v>
      </c>
      <c r="AI407" s="147">
        <f ca="1">SUMIFS('ИП + источники'!AJ$27:AJ$145,'ИП + источники'!$F$27:$F$145,$F407,'ИП + источники'!$AC$27:$AC$145,"уплата процентов по кредитам из нормативной прибыли")</f>
        <v>0</v>
      </c>
      <c r="AJ407" s="147">
        <f ca="1">SUMIFS('ИП + источники'!AK$27:AK$145,'ИП + источники'!$F$27:$F$145,$F407,'ИП + источники'!$AC$27:$AC$145,"уплата процентов по кредитам из нормативной прибыли")</f>
        <v>0</v>
      </c>
      <c r="AK407" s="787">
        <f ca="1">SUMIFS('ИП + источники'!AL$27:AL$145,'ИП + источники'!$F$27:$F$145,$F407,'ИП + источники'!$AC$27:$AC$145,"уплата процентов по кредитам из нормативной прибыли")</f>
        <v>0</v>
      </c>
      <c r="AL407" s="787">
        <f ca="1">SUMIFS('ИП + источники'!AM$27:AM$145,'ИП + источники'!$F$27:$F$145,$F407,'ИП + источники'!$AC$27:$AC$145,"уплата процентов по кредитам из нормативной прибыли")</f>
        <v>0</v>
      </c>
      <c r="AM407" s="787">
        <f ca="1">SUMIFS('ИП + источники'!AN$27:AN$145,'ИП + источники'!$F$27:$F$145,$F407,'ИП + источники'!$AC$27:$AC$145,"уплата процентов по кредитам из нормативной прибыли")</f>
        <v>0</v>
      </c>
      <c r="AN407" s="787">
        <f ca="1">SUMIFS('ИП + источники'!AO$27:AO$145,'ИП + источники'!$F$27:$F$145,$F407,'ИП + источники'!$AC$27:$AC$145,"уплата процентов по кредитам из нормативной прибыли")</f>
        <v>0</v>
      </c>
      <c r="AO407" s="787">
        <f ca="1">SUMIFS('ИП + источники'!AP$27:AP$145,'ИП + источники'!$F$27:$F$145,$F407,'ИП + источники'!$AC$27:$AC$145,"уплата процентов по кредитам из нормативной прибыли")</f>
        <v>0</v>
      </c>
      <c r="AP407" s="787">
        <f ca="1">SUMIFS('ИП + источники'!AQ$27:AQ$145,'ИП + источники'!$F$27:$F$145,$F407,'ИП + источники'!$AC$27:$AC$145,"уплата процентов по кредитам из нормативной прибыли")</f>
        <v>0</v>
      </c>
      <c r="AQ407" s="787">
        <f ca="1">SUMIFS('ИП + источники'!AR$27:AR$145,'ИП + источники'!$F$27:$F$145,$F407,'ИП + источники'!$AC$27:$AC$145,"уплата процентов по кредитам из нормативной прибыли")</f>
        <v>0</v>
      </c>
      <c r="AR407" s="787">
        <f ca="1">SUMIFS('ИП + источники'!AS$27:AS$145,'ИП + источники'!$F$27:$F$145,$F407,'ИП + источники'!$AC$27:$AC$145,"уплата процентов по кредитам из нормативной прибыли")</f>
        <v>0</v>
      </c>
      <c r="AS407" s="787">
        <f ca="1">SUMIFS('ИП + источники'!AT$27:AT$145,'ИП + источники'!$F$27:$F$145,$F407,'ИП + источники'!$AC$27:$AC$145,"уплата процентов по кредитам из нормативной прибыли")</f>
        <v>0</v>
      </c>
      <c r="AT407" s="147">
        <f ca="1">SUMIFS('ИП + источники'!AU$27:AU$145,'ИП + источники'!$F$27:$F$145,$F407,'ИП + источники'!$AC$27:$AC$145,"уплата процентов по кредитам из нормативной прибыли")</f>
        <v>0</v>
      </c>
      <c r="AU407" s="787">
        <f ca="1">SUMIFS('ИП + источники'!AV$27:AV$145,'ИП + источники'!$F$27:$F$145,$F407,'ИП + источники'!$AC$27:$AC$145,"уплата процентов по кредитам из нормативной прибыли")</f>
        <v>0</v>
      </c>
      <c r="AV407" s="787">
        <f ca="1">SUMIFS('ИП + источники'!AW$27:AW$145,'ИП + источники'!$F$27:$F$145,$F407,'ИП + источники'!$AC$27:$AC$145,"уплата процентов по кредитам из нормативной прибыли")</f>
        <v>0</v>
      </c>
      <c r="AW407" s="787">
        <f ca="1">SUMIFS('ИП + источники'!AX$27:AX$145,'ИП + источники'!$F$27:$F$145,$F407,'ИП + источники'!$AC$27:$AC$145,"уплата процентов по кредитам из нормативной прибыли")</f>
        <v>0</v>
      </c>
      <c r="AX407" s="787">
        <f ca="1">SUMIFS('ИП + источники'!AY$27:AY$145,'ИП + источники'!$F$27:$F$145,$F407,'ИП + источники'!$AC$27:$AC$145,"уплата процентов по кредитам из нормативной прибыли")</f>
        <v>0</v>
      </c>
      <c r="AY407" s="787">
        <f ca="1">SUMIFS('ИП + источники'!AZ$27:AZ$145,'ИП + источники'!$F$27:$F$145,$F407,'ИП + источники'!$AC$27:$AC$145,"уплата процентов по кредитам из нормативной прибыли")</f>
        <v>0</v>
      </c>
      <c r="AZ407" s="787">
        <f ca="1">SUMIFS('ИП + источники'!BA$27:BA$145,'ИП + источники'!$F$27:$F$145,$F407,'ИП + источники'!$AC$27:$AC$145,"уплата процентов по кредитам из нормативной прибыли")</f>
        <v>0</v>
      </c>
      <c r="BA407" s="787">
        <f ca="1">SUMIFS('ИП + источники'!BB$27:BB$145,'ИП + источники'!$F$27:$F$145,$F407,'ИП + источники'!$AC$27:$AC$145,"уплата процентов по кредитам из нормативной прибыли")</f>
        <v>0</v>
      </c>
      <c r="BB407" s="787">
        <f ca="1">SUMIFS('ИП + источники'!BC$27:BC$145,'ИП + источники'!$F$27:$F$145,$F407,'ИП + источники'!$AC$27:$AC$145,"уплата процентов по кредитам из нормативной прибыли")</f>
        <v>0</v>
      </c>
      <c r="BC407" s="787">
        <f ca="1">SUMIFS('ИП + источники'!BD$27:BD$145,'ИП + источники'!$F$27:$F$145,$F407,'ИП + источники'!$AC$27:$AC$145,"уплата процентов по кредитам из нормативной прибыли")</f>
        <v>0</v>
      </c>
      <c r="BD407" s="190">
        <f t="shared" ca="1" si="92"/>
        <v>0</v>
      </c>
      <c r="BE407" s="190">
        <f t="shared" ca="1" si="93"/>
        <v>0</v>
      </c>
      <c r="BF407" s="190">
        <f t="shared" ca="1" si="94"/>
        <v>0</v>
      </c>
      <c r="BG407" s="190">
        <f t="shared" ca="1" si="95"/>
        <v>0</v>
      </c>
      <c r="BH407" s="190">
        <f t="shared" ca="1" si="96"/>
        <v>0</v>
      </c>
      <c r="BI407" s="190">
        <f t="shared" ca="1" si="97"/>
        <v>0</v>
      </c>
      <c r="BJ407" s="190">
        <f t="shared" ca="1" si="98"/>
        <v>0</v>
      </c>
      <c r="BK407" s="190">
        <f t="shared" ca="1" si="99"/>
        <v>0</v>
      </c>
      <c r="BL407" s="190">
        <f t="shared" ca="1" si="100"/>
        <v>0</v>
      </c>
      <c r="BM407" s="190">
        <f t="shared" ca="1" si="101"/>
        <v>0</v>
      </c>
      <c r="BN407" s="215"/>
      <c r="BO407" s="610" t="str">
        <f ca="1">IF(IFERROR(INDEX('ИП + источники'!$K$57:$L$145,MATCH($F407&amp;"3komm",'ИП + источники'!$K$57:$K$145,0),2),"")=0,"",IFERROR(INDEX('ИП + источники'!$K$57:$L$145,MATCH($F407&amp;"3komm",'ИП + источники'!$K$57:$K$145,0),2),""))</f>
        <v/>
      </c>
      <c r="BP407" s="215"/>
      <c r="BS407" s="705" t="s">
        <v>2130</v>
      </c>
    </row>
    <row r="408" spans="1:75" ht="0" hidden="1" customHeight="1">
      <c r="B408" s="341" t="b" cm="1">
        <f t="array" ref="B408">B407</f>
        <v>1</v>
      </c>
      <c r="E408" s="518">
        <v>15</v>
      </c>
      <c r="F408" s="3" t="str" cm="1">
        <f t="array" aca="1" ref="F408" ca="1">OFFSET(E408,-1,1)</f>
        <v>2</v>
      </c>
      <c r="I408" s="91" t="s">
        <v>770</v>
      </c>
      <c r="K408" s="91" t="s">
        <v>770</v>
      </c>
      <c r="L408" s="44" t="s">
        <v>569</v>
      </c>
      <c r="M408" s="44"/>
      <c r="T408" s="365" t="b" cm="1">
        <f t="array" aca="1" ref="T408" ca="1">T407</f>
        <v>1</v>
      </c>
      <c r="X408" s="1075"/>
      <c r="Z408" s="1065"/>
      <c r="AB408" s="152" t="s">
        <v>952</v>
      </c>
      <c r="AC408" s="146" t="s">
        <v>2131</v>
      </c>
      <c r="AD408" s="26" t="s">
        <v>804</v>
      </c>
      <c r="AE408" s="147">
        <f ca="1">SUMIFS('ИП + источники'!AF$27:AF$145,'ИП + источники'!$F$27:$F$145,$F408,'ИП + источники'!$AC$27:$AC$145,"Прибыль на капвложения")</f>
        <v>0</v>
      </c>
      <c r="AF408" s="147">
        <f ca="1">SUMIFS('ИП + источники'!AG$27:AG$145,'ИП + источники'!$F$27:$F$145,$F408,'ИП + источники'!$AC$27:$AC$145,"Прибыль на капвложения")</f>
        <v>0</v>
      </c>
      <c r="AG408" s="147">
        <f ca="1">SUMIFS('ИП + источники'!AH$27:AH$145,'ИП + источники'!$F$27:$F$145,$F408,'ИП + источники'!$AC$27:$AC$145,"Прибыль на капвложения")</f>
        <v>0</v>
      </c>
      <c r="AH408" s="190">
        <f t="shared" ca="1" si="90"/>
        <v>0</v>
      </c>
      <c r="AI408" s="147">
        <f ca="1">SUMIFS('ИП + источники'!AJ$27:AJ$145,'ИП + источники'!$F$27:$F$145,$F408,'ИП + источники'!$AC$27:$AC$145,"Прибыль на капвложения")</f>
        <v>0</v>
      </c>
      <c r="AJ408" s="147">
        <f ca="1">SUMIFS('ИП + источники'!AK$27:AK$145,'ИП + источники'!$F$27:$F$145,$F408,'ИП + источники'!$AC$27:$AC$145,"Прибыль на капвложения")</f>
        <v>0</v>
      </c>
      <c r="AK408" s="787">
        <f ca="1">SUMIFS('ИП + источники'!AL$27:AL$145,'ИП + источники'!$F$27:$F$145,$F408,'ИП + источники'!$AC$27:$AC$145,"Прибыль на капвложения")</f>
        <v>0</v>
      </c>
      <c r="AL408" s="787">
        <f ca="1">SUMIFS('ИП + источники'!AM$27:AM$145,'ИП + источники'!$F$27:$F$145,$F408,'ИП + источники'!$AC$27:$AC$145,"Прибыль на капвложения")</f>
        <v>0</v>
      </c>
      <c r="AM408" s="787">
        <f ca="1">SUMIFS('ИП + источники'!AN$27:AN$145,'ИП + источники'!$F$27:$F$145,$F408,'ИП + источники'!$AC$27:$AC$145,"Прибыль на капвложения")</f>
        <v>0</v>
      </c>
      <c r="AN408" s="787">
        <f ca="1">SUMIFS('ИП + источники'!AO$27:AO$145,'ИП + источники'!$F$27:$F$145,$F408,'ИП + источники'!$AC$27:$AC$145,"Прибыль на капвложения")</f>
        <v>0</v>
      </c>
      <c r="AO408" s="787">
        <f ca="1">SUMIFS('ИП + источники'!AP$27:AP$145,'ИП + источники'!$F$27:$F$145,$F408,'ИП + источники'!$AC$27:$AC$145,"Прибыль на капвложения")</f>
        <v>0</v>
      </c>
      <c r="AP408" s="787">
        <f ca="1">SUMIFS('ИП + источники'!AQ$27:AQ$145,'ИП + источники'!$F$27:$F$145,$F408,'ИП + источники'!$AC$27:$AC$145,"Прибыль на капвложения")</f>
        <v>0</v>
      </c>
      <c r="AQ408" s="787">
        <f ca="1">SUMIFS('ИП + источники'!AR$27:AR$145,'ИП + источники'!$F$27:$F$145,$F408,'ИП + источники'!$AC$27:$AC$145,"Прибыль на капвложения")</f>
        <v>0</v>
      </c>
      <c r="AR408" s="787">
        <f ca="1">SUMIFS('ИП + источники'!AS$27:AS$145,'ИП + источники'!$F$27:$F$145,$F408,'ИП + источники'!$AC$27:$AC$145,"Прибыль на капвложения")</f>
        <v>0</v>
      </c>
      <c r="AS408" s="787">
        <f ca="1">SUMIFS('ИП + источники'!AT$27:AT$145,'ИП + источники'!$F$27:$F$145,$F408,'ИП + источники'!$AC$27:$AC$145,"Прибыль на капвложения")</f>
        <v>0</v>
      </c>
      <c r="AT408" s="147">
        <f ca="1">SUMIFS('ИП + источники'!AU$27:AU$145,'ИП + источники'!$F$27:$F$145,$F408,'ИП + источники'!$AC$27:$AC$145,"Прибыль на капвложения")</f>
        <v>0</v>
      </c>
      <c r="AU408" s="787">
        <f ca="1">SUMIFS('ИП + источники'!AV$27:AV$145,'ИП + источники'!$F$27:$F$145,$F408,'ИП + источники'!$AC$27:$AC$145,"Прибыль на капвложения")</f>
        <v>0</v>
      </c>
      <c r="AV408" s="787">
        <f ca="1">SUMIFS('ИП + источники'!AW$27:AW$145,'ИП + источники'!$F$27:$F$145,$F408,'ИП + источники'!$AC$27:$AC$145,"Прибыль на капвложения")</f>
        <v>0</v>
      </c>
      <c r="AW408" s="787">
        <f ca="1">SUMIFS('ИП + источники'!AX$27:AX$145,'ИП + источники'!$F$27:$F$145,$F408,'ИП + источники'!$AC$27:$AC$145,"Прибыль на капвложения")</f>
        <v>0</v>
      </c>
      <c r="AX408" s="787">
        <f ca="1">SUMIFS('ИП + источники'!AY$27:AY$145,'ИП + источники'!$F$27:$F$145,$F408,'ИП + источники'!$AC$27:$AC$145,"Прибыль на капвложения")</f>
        <v>0</v>
      </c>
      <c r="AY408" s="787">
        <f ca="1">SUMIFS('ИП + источники'!AZ$27:AZ$145,'ИП + источники'!$F$27:$F$145,$F408,'ИП + источники'!$AC$27:$AC$145,"Прибыль на капвложения")</f>
        <v>0</v>
      </c>
      <c r="AZ408" s="787">
        <f ca="1">SUMIFS('ИП + источники'!BA$27:BA$145,'ИП + источники'!$F$27:$F$145,$F408,'ИП + источники'!$AC$27:$AC$145,"Прибыль на капвложения")</f>
        <v>0</v>
      </c>
      <c r="BA408" s="787">
        <f ca="1">SUMIFS('ИП + источники'!BB$27:BB$145,'ИП + источники'!$F$27:$F$145,$F408,'ИП + источники'!$AC$27:$AC$145,"Прибыль на капвложения")</f>
        <v>0</v>
      </c>
      <c r="BB408" s="787">
        <f ca="1">SUMIFS('ИП + источники'!BC$27:BC$145,'ИП + источники'!$F$27:$F$145,$F408,'ИП + источники'!$AC$27:$AC$145,"Прибыль на капвложения")</f>
        <v>0</v>
      </c>
      <c r="BC408" s="787">
        <f ca="1">SUMIFS('ИП + источники'!BD$27:BD$145,'ИП + источники'!$F$27:$F$145,$F408,'ИП + источники'!$AC$27:$AC$145,"Прибыль на капвложения")</f>
        <v>0</v>
      </c>
      <c r="BD408" s="190">
        <f t="shared" ca="1" si="92"/>
        <v>0</v>
      </c>
      <c r="BE408" s="190">
        <f t="shared" ca="1" si="93"/>
        <v>0</v>
      </c>
      <c r="BF408" s="190">
        <f t="shared" ca="1" si="94"/>
        <v>0</v>
      </c>
      <c r="BG408" s="190">
        <f t="shared" ca="1" si="95"/>
        <v>0</v>
      </c>
      <c r="BH408" s="190">
        <f t="shared" ca="1" si="96"/>
        <v>0</v>
      </c>
      <c r="BI408" s="190">
        <f t="shared" ca="1" si="97"/>
        <v>0</v>
      </c>
      <c r="BJ408" s="190">
        <f t="shared" ca="1" si="98"/>
        <v>0</v>
      </c>
      <c r="BK408" s="190">
        <f t="shared" ca="1" si="99"/>
        <v>0</v>
      </c>
      <c r="BL408" s="190">
        <f t="shared" ca="1" si="100"/>
        <v>0</v>
      </c>
      <c r="BM408" s="190">
        <f t="shared" ca="1" si="101"/>
        <v>0</v>
      </c>
      <c r="BN408" s="215"/>
      <c r="BO408" s="610" t="str">
        <f ca="1">IF(IFERROR(INDEX('ИП + источники'!$K$57:$L$145,MATCH($F408&amp;"1komm",'ИП + источники'!$K$57:$K$145,0),2),"")=0,"",IFERROR(INDEX('ИП + источники'!$K$57:$L$145,MATCH($F408&amp;"1komm",'ИП + источники'!$K$57:$K$145,0),2),""))</f>
        <v/>
      </c>
      <c r="BP408" s="215"/>
      <c r="BS408" s="705" t="s">
        <v>1833</v>
      </c>
    </row>
    <row r="409" spans="1:75" ht="0" hidden="1" customHeight="1">
      <c r="B409" s="341" t="b" cm="1">
        <f t="array" ref="B409">B408</f>
        <v>1</v>
      </c>
      <c r="E409" s="518">
        <v>22.5</v>
      </c>
      <c r="F409" s="3" t="str" cm="1">
        <f t="array" aca="1" ref="F409" ca="1">OFFSET(E409,-1,1)</f>
        <v>2</v>
      </c>
      <c r="G409" s="91" t="s">
        <v>2132</v>
      </c>
      <c r="I409" s="91" t="s">
        <v>954</v>
      </c>
      <c r="K409" s="91" t="s">
        <v>954</v>
      </c>
      <c r="L409" s="44" t="s">
        <v>573</v>
      </c>
      <c r="M409" s="44"/>
      <c r="T409" s="365" t="b" cm="1">
        <f t="array" aca="1" ref="T409" ca="1">T408</f>
        <v>1</v>
      </c>
      <c r="X409" s="1075"/>
      <c r="Z409" s="1065"/>
      <c r="AB409" s="152" t="s">
        <v>955</v>
      </c>
      <c r="AC409" s="146" t="s">
        <v>2133</v>
      </c>
      <c r="AD409" s="26" t="s">
        <v>804</v>
      </c>
      <c r="AE409" s="147"/>
      <c r="AF409" s="147"/>
      <c r="AG409" s="147"/>
      <c r="AH409" s="190">
        <f t="shared" si="90"/>
        <v>0</v>
      </c>
      <c r="AI409" s="147"/>
      <c r="AJ409" s="147"/>
      <c r="AK409" s="787"/>
      <c r="AL409" s="787"/>
      <c r="AM409" s="787"/>
      <c r="AN409" s="787"/>
      <c r="AO409" s="787"/>
      <c r="AP409" s="787"/>
      <c r="AQ409" s="787"/>
      <c r="AR409" s="787"/>
      <c r="AS409" s="787"/>
      <c r="AT409" s="147"/>
      <c r="AU409" s="787"/>
      <c r="AV409" s="787"/>
      <c r="AW409" s="787"/>
      <c r="AX409" s="787"/>
      <c r="AY409" s="787"/>
      <c r="AZ409" s="787"/>
      <c r="BA409" s="787"/>
      <c r="BB409" s="787"/>
      <c r="BC409" s="787"/>
      <c r="BD409" s="190">
        <f t="shared" si="92"/>
        <v>0</v>
      </c>
      <c r="BE409" s="190">
        <f t="shared" si="93"/>
        <v>0</v>
      </c>
      <c r="BF409" s="190">
        <f t="shared" si="94"/>
        <v>0</v>
      </c>
      <c r="BG409" s="190">
        <f t="shared" si="95"/>
        <v>0</v>
      </c>
      <c r="BH409" s="190">
        <f t="shared" si="96"/>
        <v>0</v>
      </c>
      <c r="BI409" s="190">
        <f t="shared" si="97"/>
        <v>0</v>
      </c>
      <c r="BJ409" s="190">
        <f t="shared" si="98"/>
        <v>0</v>
      </c>
      <c r="BK409" s="190">
        <f t="shared" si="99"/>
        <v>0</v>
      </c>
      <c r="BL409" s="190">
        <f t="shared" si="100"/>
        <v>0</v>
      </c>
      <c r="BM409" s="190">
        <f t="shared" si="101"/>
        <v>0</v>
      </c>
      <c r="BN409" s="215"/>
      <c r="BO409" s="215"/>
      <c r="BP409" s="215"/>
      <c r="BS409" s="705" t="s">
        <v>2134</v>
      </c>
    </row>
    <row r="410" spans="1:75" ht="54.75" hidden="1" customHeight="1">
      <c r="B410" s="341" t="b">
        <f>AND(method_reg="Метод индексации",STATUS_GO="да")</f>
        <v>0</v>
      </c>
      <c r="E410" s="518">
        <v>15</v>
      </c>
      <c r="F410" s="3" t="str" cm="1">
        <f t="array" aca="1" ref="F410" ca="1">OFFSET(E410,-1,1)</f>
        <v>2</v>
      </c>
      <c r="G410" s="91" t="s">
        <v>1836</v>
      </c>
      <c r="I410" s="91" t="s">
        <v>511</v>
      </c>
      <c r="K410" s="91" t="s">
        <v>511</v>
      </c>
      <c r="L410" s="44" t="s">
        <v>577</v>
      </c>
      <c r="M410" s="44"/>
      <c r="T410" s="365" t="b" cm="1">
        <f t="array" aca="1" ref="T410" ca="1">T409</f>
        <v>1</v>
      </c>
      <c r="X410" s="1075"/>
      <c r="Z410" s="1065"/>
      <c r="AB410" s="152" t="s">
        <v>447</v>
      </c>
      <c r="AC410" s="358" t="s">
        <v>1836</v>
      </c>
      <c r="AD410" s="26" t="s">
        <v>804</v>
      </c>
      <c r="AE410" s="787">
        <v>1779.4477277087001</v>
      </c>
      <c r="AF410" s="787">
        <v>1806.617</v>
      </c>
      <c r="AG410" s="787" cm="1">
        <f t="array" ref="AG410">AE410</f>
        <v>1779.4477277087001</v>
      </c>
      <c r="AH410" s="190">
        <f t="shared" si="90"/>
        <v>-27.169272291299876</v>
      </c>
      <c r="AI410" s="787">
        <v>1849.1082383787</v>
      </c>
      <c r="AJ410" s="787">
        <v>2905.1</v>
      </c>
      <c r="AK410" s="787"/>
      <c r="AL410" s="787"/>
      <c r="AM410" s="787"/>
      <c r="AN410" s="787"/>
      <c r="AO410" s="787"/>
      <c r="AP410" s="787"/>
      <c r="AQ410" s="787"/>
      <c r="AR410" s="787"/>
      <c r="AS410" s="787"/>
      <c r="AT410" s="787">
        <v>1904.92</v>
      </c>
      <c r="AU410" s="787"/>
      <c r="AV410" s="787"/>
      <c r="AW410" s="787"/>
      <c r="AX410" s="787"/>
      <c r="AY410" s="787"/>
      <c r="AZ410" s="787"/>
      <c r="BA410" s="787"/>
      <c r="BB410" s="787"/>
      <c r="BC410" s="787"/>
      <c r="BD410" s="190">
        <f t="shared" si="92"/>
        <v>3.0183069039936736</v>
      </c>
      <c r="BE410" s="190">
        <f t="shared" si="93"/>
        <v>-100</v>
      </c>
      <c r="BF410" s="190">
        <f t="shared" si="94"/>
        <v>0</v>
      </c>
      <c r="BG410" s="190">
        <f t="shared" si="95"/>
        <v>0</v>
      </c>
      <c r="BH410" s="190">
        <f t="shared" si="96"/>
        <v>0</v>
      </c>
      <c r="BI410" s="190">
        <f t="shared" si="97"/>
        <v>0</v>
      </c>
      <c r="BJ410" s="190">
        <f t="shared" si="98"/>
        <v>0</v>
      </c>
      <c r="BK410" s="190">
        <f t="shared" si="99"/>
        <v>0</v>
      </c>
      <c r="BL410" s="190">
        <f t="shared" si="100"/>
        <v>0</v>
      </c>
      <c r="BM410" s="190">
        <f t="shared" si="101"/>
        <v>0</v>
      </c>
      <c r="BN410" s="784"/>
      <c r="BO410" s="784" t="s">
        <v>2248</v>
      </c>
      <c r="BP410" s="784"/>
      <c r="BS410" s="705" t="s">
        <v>1837</v>
      </c>
    </row>
    <row r="411" spans="1:75" ht="14.25" hidden="1" customHeight="1">
      <c r="B411" s="653" t="b">
        <f>method_reg="Метод обеспечения доходности инвестированного капитала"</f>
        <v>0</v>
      </c>
      <c r="E411" s="518">
        <v>15</v>
      </c>
      <c r="F411" s="3" t="str" cm="1">
        <f t="array" aca="1" ref="F411" ca="1">OFFSET(E411,-1,1)</f>
        <v>2</v>
      </c>
      <c r="K411" s="44" t="s">
        <v>331</v>
      </c>
      <c r="L411" s="44"/>
      <c r="M411" s="44"/>
      <c r="T411" s="365" t="b" cm="1">
        <f t="array" aca="1" ref="T411" ca="1">T410</f>
        <v>1</v>
      </c>
      <c r="X411" s="1075"/>
      <c r="Z411" s="1065"/>
      <c r="AB411" s="150" t="s">
        <v>433</v>
      </c>
      <c r="AC411" s="151" t="s">
        <v>2135</v>
      </c>
      <c r="AD411" s="143" t="s">
        <v>804</v>
      </c>
      <c r="AE411" s="783"/>
      <c r="AF411" s="783"/>
      <c r="AG411" s="783"/>
      <c r="AH411" s="145">
        <f t="shared" si="90"/>
        <v>0</v>
      </c>
      <c r="AI411" s="783"/>
      <c r="AJ411" s="783"/>
      <c r="AK411" s="783"/>
      <c r="AL411" s="783"/>
      <c r="AM411" s="783"/>
      <c r="AN411" s="783"/>
      <c r="AO411" s="783"/>
      <c r="AP411" s="783"/>
      <c r="AQ411" s="783"/>
      <c r="AR411" s="783"/>
      <c r="AS411" s="783"/>
      <c r="AT411" s="783"/>
      <c r="AU411" s="783"/>
      <c r="AV411" s="783"/>
      <c r="AW411" s="783"/>
      <c r="AX411" s="783"/>
      <c r="AY411" s="783"/>
      <c r="AZ411" s="783"/>
      <c r="BA411" s="783"/>
      <c r="BB411" s="783"/>
      <c r="BC411" s="783"/>
      <c r="BD411" s="145">
        <f t="shared" si="92"/>
        <v>0</v>
      </c>
      <c r="BE411" s="145">
        <f t="shared" si="93"/>
        <v>0</v>
      </c>
      <c r="BF411" s="145">
        <f t="shared" si="94"/>
        <v>0</v>
      </c>
      <c r="BG411" s="145">
        <f t="shared" si="95"/>
        <v>0</v>
      </c>
      <c r="BH411" s="145">
        <f t="shared" si="96"/>
        <v>0</v>
      </c>
      <c r="BI411" s="145">
        <f t="shared" si="97"/>
        <v>0</v>
      </c>
      <c r="BJ411" s="145">
        <f t="shared" si="98"/>
        <v>0</v>
      </c>
      <c r="BK411" s="145">
        <f t="shared" si="99"/>
        <v>0</v>
      </c>
      <c r="BL411" s="145">
        <f t="shared" si="100"/>
        <v>0</v>
      </c>
      <c r="BM411" s="145">
        <f t="shared" si="101"/>
        <v>0</v>
      </c>
      <c r="BN411" s="786"/>
      <c r="BO411" s="786"/>
      <c r="BP411" s="786"/>
      <c r="BS411" s="705" t="s">
        <v>2136</v>
      </c>
    </row>
    <row r="412" spans="1:75" ht="14.25" hidden="1" customHeight="1">
      <c r="B412" s="653" t="b" cm="1">
        <f t="array" ref="B412">B411</f>
        <v>0</v>
      </c>
      <c r="E412" s="518">
        <v>15</v>
      </c>
      <c r="F412" s="3" t="str" cm="1">
        <f t="array" aca="1" ref="F412" ca="1">OFFSET(E412,-1,1)</f>
        <v>2</v>
      </c>
      <c r="K412" s="44" t="s">
        <v>536</v>
      </c>
      <c r="L412" s="44"/>
      <c r="M412" s="44"/>
      <c r="T412" s="365" t="b" cm="1">
        <f t="array" aca="1" ref="T412" ca="1">T411</f>
        <v>1</v>
      </c>
      <c r="X412" s="1075"/>
      <c r="Z412" s="1065"/>
      <c r="AB412" s="152" t="s">
        <v>673</v>
      </c>
      <c r="AC412" s="146" t="s">
        <v>2137</v>
      </c>
      <c r="AD412" s="26" t="s">
        <v>804</v>
      </c>
      <c r="AE412" s="787"/>
      <c r="AF412" s="787"/>
      <c r="AG412" s="787"/>
      <c r="AH412" s="552"/>
      <c r="AI412" s="787"/>
      <c r="AJ412" s="787"/>
      <c r="AK412" s="787"/>
      <c r="AL412" s="787"/>
      <c r="AM412" s="787"/>
      <c r="AN412" s="787"/>
      <c r="AO412" s="787"/>
      <c r="AP412" s="787"/>
      <c r="AQ412" s="787"/>
      <c r="AR412" s="787"/>
      <c r="AS412" s="787"/>
      <c r="AT412" s="787"/>
      <c r="AU412" s="787"/>
      <c r="AV412" s="787"/>
      <c r="AW412" s="787"/>
      <c r="AX412" s="787"/>
      <c r="AY412" s="787"/>
      <c r="AZ412" s="787"/>
      <c r="BA412" s="787"/>
      <c r="BB412" s="787"/>
      <c r="BC412" s="787"/>
      <c r="BD412" s="552"/>
      <c r="BE412" s="552"/>
      <c r="BF412" s="552"/>
      <c r="BG412" s="552"/>
      <c r="BH412" s="552"/>
      <c r="BI412" s="552"/>
      <c r="BJ412" s="552"/>
      <c r="BK412" s="552"/>
      <c r="BL412" s="552"/>
      <c r="BM412" s="552"/>
      <c r="BN412" s="784"/>
      <c r="BO412" s="784"/>
      <c r="BP412" s="784"/>
      <c r="BS412" s="705" t="s">
        <v>2138</v>
      </c>
    </row>
    <row r="413" spans="1:75" ht="14.25" hidden="1" customHeight="1">
      <c r="B413" s="653" t="b" cm="1">
        <f t="array" ref="B413">B412</f>
        <v>0</v>
      </c>
      <c r="E413" s="518">
        <v>15</v>
      </c>
      <c r="F413" s="3" t="str" cm="1">
        <f t="array" aca="1" ref="F413" ca="1">OFFSET(E413,-1,1)</f>
        <v>2</v>
      </c>
      <c r="K413" s="44" t="s">
        <v>540</v>
      </c>
      <c r="L413" s="44"/>
      <c r="M413" s="44"/>
      <c r="T413" s="365" t="b" cm="1">
        <f t="array" aca="1" ref="T413" ca="1">T412</f>
        <v>1</v>
      </c>
      <c r="X413" s="1075"/>
      <c r="Z413" s="1065"/>
      <c r="AB413" s="152" t="s">
        <v>676</v>
      </c>
      <c r="AC413" s="146" t="s">
        <v>2139</v>
      </c>
      <c r="AD413" s="26" t="s">
        <v>2140</v>
      </c>
      <c r="AE413" s="787"/>
      <c r="AF413" s="787"/>
      <c r="AG413" s="787"/>
      <c r="AH413" s="552"/>
      <c r="AI413" s="787"/>
      <c r="AJ413" s="787"/>
      <c r="AK413" s="787"/>
      <c r="AL413" s="787"/>
      <c r="AM413" s="787"/>
      <c r="AN413" s="787"/>
      <c r="AO413" s="787"/>
      <c r="AP413" s="787"/>
      <c r="AQ413" s="787"/>
      <c r="AR413" s="787"/>
      <c r="AS413" s="787"/>
      <c r="AT413" s="787"/>
      <c r="AU413" s="787"/>
      <c r="AV413" s="787"/>
      <c r="AW413" s="787"/>
      <c r="AX413" s="787"/>
      <c r="AY413" s="787"/>
      <c r="AZ413" s="787"/>
      <c r="BA413" s="787"/>
      <c r="BB413" s="787"/>
      <c r="BC413" s="787"/>
      <c r="BD413" s="552"/>
      <c r="BE413" s="552"/>
      <c r="BF413" s="552"/>
      <c r="BG413" s="552"/>
      <c r="BH413" s="552"/>
      <c r="BI413" s="552"/>
      <c r="BJ413" s="552"/>
      <c r="BK413" s="552"/>
      <c r="BL413" s="552"/>
      <c r="BM413" s="552"/>
      <c r="BN413" s="784"/>
      <c r="BO413" s="784"/>
      <c r="BP413" s="784"/>
      <c r="BS413" s="705" t="s">
        <v>2141</v>
      </c>
    </row>
    <row r="414" spans="1:75" ht="14.25" hidden="1" customHeight="1">
      <c r="B414" s="653" t="b" cm="1">
        <f t="array" ref="B414">B413</f>
        <v>0</v>
      </c>
      <c r="E414" s="518">
        <v>15</v>
      </c>
      <c r="F414" s="3" t="str" cm="1">
        <f t="array" aca="1" ref="F414" ca="1">OFFSET(E414,-1,1)</f>
        <v>2</v>
      </c>
      <c r="K414" s="44" t="s">
        <v>330</v>
      </c>
      <c r="L414" s="44"/>
      <c r="M414" s="44"/>
      <c r="T414" s="365" t="b" cm="1">
        <f t="array" aca="1" ref="T414" ca="1">T413</f>
        <v>1</v>
      </c>
      <c r="X414" s="1075"/>
      <c r="Z414" s="1065"/>
      <c r="AB414" s="150" t="s">
        <v>444</v>
      </c>
      <c r="AC414" s="151" t="s">
        <v>2142</v>
      </c>
      <c r="AD414" s="143" t="s">
        <v>804</v>
      </c>
      <c r="AE414" s="783"/>
      <c r="AF414" s="783"/>
      <c r="AG414" s="783"/>
      <c r="AH414" s="145">
        <f>AG414-AF414</f>
        <v>0</v>
      </c>
      <c r="AI414" s="783"/>
      <c r="AJ414" s="783"/>
      <c r="AK414" s="783"/>
      <c r="AL414" s="783"/>
      <c r="AM414" s="783"/>
      <c r="AN414" s="783"/>
      <c r="AO414" s="783"/>
      <c r="AP414" s="783"/>
      <c r="AQ414" s="783"/>
      <c r="AR414" s="783"/>
      <c r="AS414" s="783"/>
      <c r="AT414" s="783"/>
      <c r="AU414" s="783"/>
      <c r="AV414" s="783"/>
      <c r="AW414" s="783"/>
      <c r="AX414" s="783"/>
      <c r="AY414" s="783"/>
      <c r="AZ414" s="783"/>
      <c r="BA414" s="783"/>
      <c r="BB414" s="783"/>
      <c r="BC414" s="783"/>
      <c r="BD414" s="145">
        <f>IF(AI414=0,0,(AT414-AI414)/AI414*100)</f>
        <v>0</v>
      </c>
      <c r="BE414" s="145">
        <f t="shared" ref="BE414:BM414" si="106">IF(AT414=0,0,(AU414-AT414)/AT414*100)</f>
        <v>0</v>
      </c>
      <c r="BF414" s="145">
        <f t="shared" si="106"/>
        <v>0</v>
      </c>
      <c r="BG414" s="145">
        <f t="shared" si="106"/>
        <v>0</v>
      </c>
      <c r="BH414" s="145">
        <f t="shared" si="106"/>
        <v>0</v>
      </c>
      <c r="BI414" s="145">
        <f t="shared" si="106"/>
        <v>0</v>
      </c>
      <c r="BJ414" s="145">
        <f t="shared" si="106"/>
        <v>0</v>
      </c>
      <c r="BK414" s="145">
        <f t="shared" si="106"/>
        <v>0</v>
      </c>
      <c r="BL414" s="145">
        <f t="shared" si="106"/>
        <v>0</v>
      </c>
      <c r="BM414" s="145">
        <f t="shared" si="106"/>
        <v>0</v>
      </c>
      <c r="BN414" s="786"/>
      <c r="BO414" s="786"/>
      <c r="BP414" s="786"/>
      <c r="BS414" s="705" t="s">
        <v>2143</v>
      </c>
    </row>
    <row r="415" spans="1:75" ht="14.25" hidden="1" customHeight="1">
      <c r="B415" s="653" t="b" cm="1">
        <f t="array" ref="B415">B414</f>
        <v>0</v>
      </c>
      <c r="E415" s="518">
        <v>15</v>
      </c>
      <c r="F415" s="3" t="str" cm="1">
        <f t="array" aca="1" ref="F415" ca="1">OFFSET(E415,-1,1)</f>
        <v>2</v>
      </c>
      <c r="K415" s="44" t="s">
        <v>550</v>
      </c>
      <c r="L415" s="44"/>
      <c r="M415" s="44"/>
      <c r="T415" s="365" t="b" cm="1">
        <f t="array" aca="1" ref="T415" ca="1">T414</f>
        <v>1</v>
      </c>
      <c r="X415" s="1075"/>
      <c r="Z415" s="1065"/>
      <c r="AB415" s="152" t="s">
        <v>680</v>
      </c>
      <c r="AC415" s="146" t="s">
        <v>2144</v>
      </c>
      <c r="AD415" s="26" t="s">
        <v>804</v>
      </c>
      <c r="AE415" s="787"/>
      <c r="AF415" s="787"/>
      <c r="AG415" s="787"/>
      <c r="AH415" s="552"/>
      <c r="AI415" s="787"/>
      <c r="AJ415" s="787"/>
      <c r="AK415" s="787"/>
      <c r="AL415" s="787"/>
      <c r="AM415" s="787"/>
      <c r="AN415" s="787"/>
      <c r="AO415" s="787"/>
      <c r="AP415" s="787"/>
      <c r="AQ415" s="787"/>
      <c r="AR415" s="787"/>
      <c r="AS415" s="787"/>
      <c r="AT415" s="787"/>
      <c r="AU415" s="787"/>
      <c r="AV415" s="787"/>
      <c r="AW415" s="787"/>
      <c r="AX415" s="787"/>
      <c r="AY415" s="787"/>
      <c r="AZ415" s="787"/>
      <c r="BA415" s="787"/>
      <c r="BB415" s="787"/>
      <c r="BC415" s="787"/>
      <c r="BD415" s="552"/>
      <c r="BE415" s="552"/>
      <c r="BF415" s="552"/>
      <c r="BG415" s="552"/>
      <c r="BH415" s="552"/>
      <c r="BI415" s="552"/>
      <c r="BJ415" s="552"/>
      <c r="BK415" s="552"/>
      <c r="BL415" s="552"/>
      <c r="BM415" s="552"/>
      <c r="BN415" s="784"/>
      <c r="BO415" s="784"/>
      <c r="BP415" s="784"/>
      <c r="BS415" s="705" t="s">
        <v>2145</v>
      </c>
    </row>
    <row r="416" spans="1:75" ht="14.25" hidden="1" customHeight="1">
      <c r="B416" s="653" t="b" cm="1">
        <f t="array" ref="B416">B415</f>
        <v>0</v>
      </c>
      <c r="E416" s="518">
        <v>15</v>
      </c>
      <c r="F416" s="3" t="str" cm="1">
        <f t="array" aca="1" ref="F416" ca="1">OFFSET(E416,-1,1)</f>
        <v>2</v>
      </c>
      <c r="K416" s="44" t="s">
        <v>554</v>
      </c>
      <c r="L416" s="44"/>
      <c r="M416" s="44"/>
      <c r="T416" s="365" t="b" cm="1">
        <f t="array" aca="1" ref="T416" ca="1">T415</f>
        <v>1</v>
      </c>
      <c r="X416" s="1075"/>
      <c r="Z416" s="1065"/>
      <c r="AB416" s="152" t="s">
        <v>683</v>
      </c>
      <c r="AC416" s="146" t="s">
        <v>2146</v>
      </c>
      <c r="AD416" s="26" t="s">
        <v>456</v>
      </c>
      <c r="AE416" s="787"/>
      <c r="AF416" s="787"/>
      <c r="AG416" s="787"/>
      <c r="AH416" s="552"/>
      <c r="AI416" s="787"/>
      <c r="AJ416" s="787"/>
      <c r="AK416" s="787"/>
      <c r="AL416" s="787"/>
      <c r="AM416" s="787"/>
      <c r="AN416" s="787"/>
      <c r="AO416" s="787"/>
      <c r="AP416" s="787"/>
      <c r="AQ416" s="787"/>
      <c r="AR416" s="787"/>
      <c r="AS416" s="787"/>
      <c r="AT416" s="787"/>
      <c r="AU416" s="787"/>
      <c r="AV416" s="787"/>
      <c r="AW416" s="787"/>
      <c r="AX416" s="787"/>
      <c r="AY416" s="787"/>
      <c r="AZ416" s="787"/>
      <c r="BA416" s="787"/>
      <c r="BB416" s="787"/>
      <c r="BC416" s="787"/>
      <c r="BD416" s="552"/>
      <c r="BE416" s="552"/>
      <c r="BF416" s="552"/>
      <c r="BG416" s="552"/>
      <c r="BH416" s="552"/>
      <c r="BI416" s="552"/>
      <c r="BJ416" s="552"/>
      <c r="BK416" s="552"/>
      <c r="BL416" s="552"/>
      <c r="BM416" s="552"/>
      <c r="BN416" s="784"/>
      <c r="BO416" s="784"/>
      <c r="BP416" s="784"/>
      <c r="BS416" s="705" t="s">
        <v>2147</v>
      </c>
    </row>
    <row r="417" spans="1:75" ht="14.25" hidden="1" customHeight="1">
      <c r="B417" s="653" t="b" cm="1">
        <f t="array" ref="B417">B416</f>
        <v>0</v>
      </c>
      <c r="E417" s="518">
        <v>15</v>
      </c>
      <c r="F417" s="3" t="str" cm="1">
        <f t="array" aca="1" ref="F417" ca="1">OFFSET(E417,-1,1)</f>
        <v>2</v>
      </c>
      <c r="K417" s="44" t="s">
        <v>770</v>
      </c>
      <c r="L417" s="44"/>
      <c r="M417" s="44"/>
      <c r="T417" s="365" t="b" cm="1">
        <f t="array" aca="1" ref="T417" ca="1">T416</f>
        <v>1</v>
      </c>
      <c r="X417" s="1075"/>
      <c r="Z417" s="1065"/>
      <c r="AB417" s="152" t="s">
        <v>952</v>
      </c>
      <c r="AC417" s="146" t="s">
        <v>2148</v>
      </c>
      <c r="AD417" s="26" t="s">
        <v>804</v>
      </c>
      <c r="AE417" s="787"/>
      <c r="AF417" s="787"/>
      <c r="AG417" s="787"/>
      <c r="AH417" s="552"/>
      <c r="AI417" s="787"/>
      <c r="AJ417" s="787"/>
      <c r="AK417" s="787"/>
      <c r="AL417" s="787"/>
      <c r="AM417" s="787"/>
      <c r="AN417" s="787"/>
      <c r="AO417" s="787"/>
      <c r="AP417" s="787"/>
      <c r="AQ417" s="787"/>
      <c r="AR417" s="787"/>
      <c r="AS417" s="787"/>
      <c r="AT417" s="787"/>
      <c r="AU417" s="787"/>
      <c r="AV417" s="787"/>
      <c r="AW417" s="787"/>
      <c r="AX417" s="787"/>
      <c r="AY417" s="787"/>
      <c r="AZ417" s="787"/>
      <c r="BA417" s="787"/>
      <c r="BB417" s="787"/>
      <c r="BC417" s="787"/>
      <c r="BD417" s="552"/>
      <c r="BE417" s="552"/>
      <c r="BF417" s="552"/>
      <c r="BG417" s="552"/>
      <c r="BH417" s="552"/>
      <c r="BI417" s="552"/>
      <c r="BJ417" s="552"/>
      <c r="BK417" s="552"/>
      <c r="BL417" s="552"/>
      <c r="BM417" s="552"/>
      <c r="BN417" s="784"/>
      <c r="BO417" s="784"/>
      <c r="BP417" s="784"/>
      <c r="BS417" s="705" t="s">
        <v>2149</v>
      </c>
    </row>
    <row r="418" spans="1:75" ht="14.25" hidden="1" customHeight="1">
      <c r="B418" s="653" t="b" cm="1">
        <f t="array" ref="B418">B417</f>
        <v>0</v>
      </c>
      <c r="E418" s="518">
        <v>15</v>
      </c>
      <c r="F418" s="3" t="str" cm="1">
        <f t="array" aca="1" ref="F418" ca="1">OFFSET(E418,-1,1)</f>
        <v>2</v>
      </c>
      <c r="K418" s="44" t="s">
        <v>954</v>
      </c>
      <c r="L418" s="44"/>
      <c r="M418" s="44"/>
      <c r="T418" s="365" t="b" cm="1">
        <f t="array" aca="1" ref="T418" ca="1">T417</f>
        <v>1</v>
      </c>
      <c r="X418" s="1075"/>
      <c r="Z418" s="1065"/>
      <c r="AB418" s="152" t="s">
        <v>955</v>
      </c>
      <c r="AC418" s="146" t="s">
        <v>2150</v>
      </c>
      <c r="AD418" s="26" t="s">
        <v>804</v>
      </c>
      <c r="AE418" s="787"/>
      <c r="AF418" s="787"/>
      <c r="AG418" s="787"/>
      <c r="AH418" s="552"/>
      <c r="AI418" s="787"/>
      <c r="AJ418" s="787"/>
      <c r="AK418" s="787"/>
      <c r="AL418" s="787"/>
      <c r="AM418" s="787"/>
      <c r="AN418" s="787"/>
      <c r="AO418" s="787"/>
      <c r="AP418" s="787"/>
      <c r="AQ418" s="787"/>
      <c r="AR418" s="787"/>
      <c r="AS418" s="787"/>
      <c r="AT418" s="787"/>
      <c r="AU418" s="787"/>
      <c r="AV418" s="787"/>
      <c r="AW418" s="787"/>
      <c r="AX418" s="787"/>
      <c r="AY418" s="787"/>
      <c r="AZ418" s="787"/>
      <c r="BA418" s="787"/>
      <c r="BB418" s="787"/>
      <c r="BC418" s="787"/>
      <c r="BD418" s="552"/>
      <c r="BE418" s="552"/>
      <c r="BF418" s="552"/>
      <c r="BG418" s="552"/>
      <c r="BH418" s="552"/>
      <c r="BI418" s="552"/>
      <c r="BJ418" s="552"/>
      <c r="BK418" s="552"/>
      <c r="BL418" s="552"/>
      <c r="BM418" s="552"/>
      <c r="BN418" s="784"/>
      <c r="BO418" s="784"/>
      <c r="BP418" s="784"/>
      <c r="BS418" s="705" t="s">
        <v>2151</v>
      </c>
    </row>
    <row r="419" spans="1:75" ht="14.25" hidden="1" customHeight="1">
      <c r="B419" s="653" t="b" cm="1">
        <f t="array" ref="B419">B418</f>
        <v>0</v>
      </c>
      <c r="E419" s="518">
        <v>15</v>
      </c>
      <c r="F419" s="3" t="str" cm="1">
        <f t="array" aca="1" ref="F419" ca="1">OFFSET(E419,-1,1)</f>
        <v>2</v>
      </c>
      <c r="K419" s="44" t="s">
        <v>2152</v>
      </c>
      <c r="L419" s="44"/>
      <c r="M419" s="44"/>
      <c r="T419" s="365" t="b" cm="1">
        <f t="array" aca="1" ref="T419" ca="1">T418</f>
        <v>1</v>
      </c>
      <c r="X419" s="1075"/>
      <c r="Z419" s="1065"/>
      <c r="AB419" s="152" t="s">
        <v>2153</v>
      </c>
      <c r="AC419" s="153" t="s">
        <v>2154</v>
      </c>
      <c r="AD419" s="26" t="s">
        <v>456</v>
      </c>
      <c r="AE419" s="787"/>
      <c r="AF419" s="787"/>
      <c r="AG419" s="787"/>
      <c r="AH419" s="552"/>
      <c r="AI419" s="787"/>
      <c r="AJ419" s="787"/>
      <c r="AK419" s="787"/>
      <c r="AL419" s="787"/>
      <c r="AM419" s="787"/>
      <c r="AN419" s="787"/>
      <c r="AO419" s="787"/>
      <c r="AP419" s="787"/>
      <c r="AQ419" s="787"/>
      <c r="AR419" s="787"/>
      <c r="AS419" s="787"/>
      <c r="AT419" s="787"/>
      <c r="AU419" s="787"/>
      <c r="AV419" s="787"/>
      <c r="AW419" s="787"/>
      <c r="AX419" s="787"/>
      <c r="AY419" s="787"/>
      <c r="AZ419" s="787"/>
      <c r="BA419" s="787"/>
      <c r="BB419" s="787"/>
      <c r="BC419" s="787"/>
      <c r="BD419" s="552"/>
      <c r="BE419" s="552"/>
      <c r="BF419" s="552"/>
      <c r="BG419" s="552"/>
      <c r="BH419" s="552"/>
      <c r="BI419" s="552"/>
      <c r="BJ419" s="552"/>
      <c r="BK419" s="552"/>
      <c r="BL419" s="552"/>
      <c r="BM419" s="552"/>
      <c r="BN419" s="784"/>
      <c r="BO419" s="784"/>
      <c r="BP419" s="784"/>
      <c r="BS419" s="705" t="s">
        <v>2155</v>
      </c>
    </row>
    <row r="420" spans="1:75" ht="14.25" hidden="1" customHeight="1">
      <c r="B420" s="653" t="b" cm="1">
        <f t="array" ref="B420">B419</f>
        <v>0</v>
      </c>
      <c r="E420" s="518">
        <v>15</v>
      </c>
      <c r="F420" s="3" t="str" cm="1">
        <f t="array" aca="1" ref="F420" ca="1">OFFSET(E420,-1,1)</f>
        <v>2</v>
      </c>
      <c r="K420" s="44" t="s">
        <v>957</v>
      </c>
      <c r="L420" s="44"/>
      <c r="M420" s="44"/>
      <c r="T420" s="365" t="b" cm="1">
        <f t="array" aca="1" ref="T420" ca="1">T419</f>
        <v>1</v>
      </c>
      <c r="X420" s="1075"/>
      <c r="Z420" s="1065"/>
      <c r="AB420" s="152" t="s">
        <v>958</v>
      </c>
      <c r="AC420" s="146" t="s">
        <v>2156</v>
      </c>
      <c r="AD420" s="26" t="s">
        <v>456</v>
      </c>
      <c r="AE420" s="787"/>
      <c r="AF420" s="787"/>
      <c r="AG420" s="787"/>
      <c r="AH420" s="552"/>
      <c r="AI420" s="787"/>
      <c r="AJ420" s="787"/>
      <c r="AK420" s="787"/>
      <c r="AL420" s="787"/>
      <c r="AM420" s="787"/>
      <c r="AN420" s="787"/>
      <c r="AO420" s="787"/>
      <c r="AP420" s="787"/>
      <c r="AQ420" s="787"/>
      <c r="AR420" s="787"/>
      <c r="AS420" s="787"/>
      <c r="AT420" s="787"/>
      <c r="AU420" s="787"/>
      <c r="AV420" s="787"/>
      <c r="AW420" s="787"/>
      <c r="AX420" s="787"/>
      <c r="AY420" s="787"/>
      <c r="AZ420" s="787"/>
      <c r="BA420" s="787"/>
      <c r="BB420" s="787"/>
      <c r="BC420" s="787"/>
      <c r="BD420" s="552"/>
      <c r="BE420" s="552"/>
      <c r="BF420" s="552"/>
      <c r="BG420" s="552"/>
      <c r="BH420" s="552"/>
      <c r="BI420" s="552"/>
      <c r="BJ420" s="552"/>
      <c r="BK420" s="552"/>
      <c r="BL420" s="552"/>
      <c r="BM420" s="552"/>
      <c r="BN420" s="784"/>
      <c r="BO420" s="784"/>
      <c r="BP420" s="784"/>
      <c r="BS420" s="705" t="s">
        <v>2157</v>
      </c>
    </row>
    <row r="421" spans="1:75" ht="14.25" hidden="1" customHeight="1">
      <c r="B421" s="653" t="b" cm="1">
        <f t="array" ref="B421">B420</f>
        <v>0</v>
      </c>
      <c r="E421" s="518">
        <v>15</v>
      </c>
      <c r="F421" s="3" t="str" cm="1">
        <f t="array" aca="1" ref="F421" ca="1">OFFSET(E421,-1,1)</f>
        <v>2</v>
      </c>
      <c r="K421" s="44" t="s">
        <v>2158</v>
      </c>
      <c r="L421" s="44"/>
      <c r="M421" s="44"/>
      <c r="T421" s="365" t="b" cm="1">
        <f t="array" aca="1" ref="T421" ca="1">T420</f>
        <v>1</v>
      </c>
      <c r="X421" s="1075"/>
      <c r="Z421" s="1065"/>
      <c r="AB421" s="152" t="s">
        <v>2159</v>
      </c>
      <c r="AC421" s="153" t="s">
        <v>2160</v>
      </c>
      <c r="AD421" s="26" t="s">
        <v>456</v>
      </c>
      <c r="AE421" s="787"/>
      <c r="AF421" s="787"/>
      <c r="AG421" s="787"/>
      <c r="AH421" s="552"/>
      <c r="AI421" s="787"/>
      <c r="AJ421" s="787"/>
      <c r="AK421" s="787"/>
      <c r="AL421" s="787"/>
      <c r="AM421" s="787"/>
      <c r="AN421" s="787"/>
      <c r="AO421" s="787"/>
      <c r="AP421" s="787"/>
      <c r="AQ421" s="787"/>
      <c r="AR421" s="787"/>
      <c r="AS421" s="787"/>
      <c r="AT421" s="787"/>
      <c r="AU421" s="787"/>
      <c r="AV421" s="787"/>
      <c r="AW421" s="787"/>
      <c r="AX421" s="787"/>
      <c r="AY421" s="787"/>
      <c r="AZ421" s="787"/>
      <c r="BA421" s="787"/>
      <c r="BB421" s="787"/>
      <c r="BC421" s="787"/>
      <c r="BD421" s="552"/>
      <c r="BE421" s="552"/>
      <c r="BF421" s="552"/>
      <c r="BG421" s="552"/>
      <c r="BH421" s="552"/>
      <c r="BI421" s="552"/>
      <c r="BJ421" s="552"/>
      <c r="BK421" s="552"/>
      <c r="BL421" s="552"/>
      <c r="BM421" s="552"/>
      <c r="BN421" s="784"/>
      <c r="BO421" s="784"/>
      <c r="BP421" s="784"/>
      <c r="BS421" s="705" t="s">
        <v>2161</v>
      </c>
    </row>
    <row r="422" spans="1:75" ht="14.25" hidden="1" customHeight="1">
      <c r="B422" s="653" t="b" cm="1">
        <f t="array" ref="B422">B421</f>
        <v>0</v>
      </c>
      <c r="E422" s="518">
        <v>15</v>
      </c>
      <c r="F422" s="3" t="str" cm="1">
        <f t="array" aca="1" ref="F422" ca="1">OFFSET(E422,-1,1)</f>
        <v>2</v>
      </c>
      <c r="K422" s="44" t="s">
        <v>2162</v>
      </c>
      <c r="L422" s="44"/>
      <c r="M422" s="44"/>
      <c r="T422" s="365" t="b" cm="1">
        <f t="array" aca="1" ref="T422" ca="1">T421</f>
        <v>1</v>
      </c>
      <c r="X422" s="1075"/>
      <c r="Z422" s="1065"/>
      <c r="AB422" s="152" t="s">
        <v>2163</v>
      </c>
      <c r="AC422" s="153" t="s">
        <v>2164</v>
      </c>
      <c r="AD422" s="26" t="s">
        <v>456</v>
      </c>
      <c r="AE422" s="787"/>
      <c r="AF422" s="787"/>
      <c r="AG422" s="787"/>
      <c r="AH422" s="552"/>
      <c r="AI422" s="787"/>
      <c r="AJ422" s="787"/>
      <c r="AK422" s="787"/>
      <c r="AL422" s="787"/>
      <c r="AM422" s="787"/>
      <c r="AN422" s="787"/>
      <c r="AO422" s="787"/>
      <c r="AP422" s="787"/>
      <c r="AQ422" s="787"/>
      <c r="AR422" s="787"/>
      <c r="AS422" s="787"/>
      <c r="AT422" s="787"/>
      <c r="AU422" s="787"/>
      <c r="AV422" s="787"/>
      <c r="AW422" s="787"/>
      <c r="AX422" s="787"/>
      <c r="AY422" s="787"/>
      <c r="AZ422" s="787"/>
      <c r="BA422" s="787"/>
      <c r="BB422" s="787"/>
      <c r="BC422" s="787"/>
      <c r="BD422" s="552"/>
      <c r="BE422" s="552"/>
      <c r="BF422" s="552"/>
      <c r="BG422" s="552"/>
      <c r="BH422" s="552"/>
      <c r="BI422" s="552"/>
      <c r="BJ422" s="552"/>
      <c r="BK422" s="552"/>
      <c r="BL422" s="552"/>
      <c r="BM422" s="552"/>
      <c r="BN422" s="784"/>
      <c r="BO422" s="784"/>
      <c r="BP422" s="784"/>
      <c r="BS422" s="705" t="s">
        <v>2165</v>
      </c>
    </row>
    <row r="423" spans="1:75" s="950" customFormat="1" ht="20.45" customHeight="1">
      <c r="A423" s="95"/>
      <c r="B423" s="344"/>
      <c r="C423" s="95"/>
      <c r="D423" s="46" t="str">
        <f>IF(B422,"6","7")</f>
        <v>7</v>
      </c>
      <c r="E423" s="522">
        <v>21</v>
      </c>
      <c r="F423" s="3" t="str" cm="1">
        <f t="array" aca="1" ref="F423" ca="1">OFFSET(E423,-1,1)</f>
        <v>2</v>
      </c>
      <c r="G423" s="91" t="s">
        <v>2166</v>
      </c>
      <c r="H423" s="91"/>
      <c r="I423" s="292" t="s">
        <v>2167</v>
      </c>
      <c r="J423" s="95"/>
      <c r="K423" s="292" t="s">
        <v>2167</v>
      </c>
      <c r="L423" s="46"/>
      <c r="M423" s="46"/>
      <c r="N423" s="95"/>
      <c r="O423" s="95"/>
      <c r="P423" s="95"/>
      <c r="Q423" s="95"/>
      <c r="R423" s="95"/>
      <c r="S423" s="95"/>
      <c r="T423" s="365" t="b" cm="1">
        <f t="array" aca="1" ref="T423" ca="1">T422</f>
        <v>1</v>
      </c>
      <c r="U423" s="95"/>
      <c r="V423" s="95"/>
      <c r="W423" s="95"/>
      <c r="X423" s="1075"/>
      <c r="Y423" s="95"/>
      <c r="Z423" s="1065"/>
      <c r="AA423" s="95"/>
      <c r="AB423" s="143" t="str" cm="1">
        <f t="array" ref="AB423">D423</f>
        <v>7</v>
      </c>
      <c r="AC423" s="151" t="s">
        <v>1590</v>
      </c>
      <c r="AD423" s="143" t="s">
        <v>804</v>
      </c>
      <c r="AE423" s="157">
        <f>AE425+AE426+AE427+AE428+AE429+AE430+AE431+AE434+AE435</f>
        <v>-307.85383874169997</v>
      </c>
      <c r="AF423" s="157">
        <f>AF425+AF426+AF427+AF428+AF429+AF430+AF431+AF434+AF435</f>
        <v>0</v>
      </c>
      <c r="AG423" s="157">
        <f>AG425+AG426+AG427+AG428+AG429+AG430+AG431+AG434+AG435</f>
        <v>0</v>
      </c>
      <c r="AH423" s="145">
        <f>AG423-AF423</f>
        <v>0</v>
      </c>
      <c r="AI423" s="157">
        <f>AI425+AI426+AI427+AI428+AI429+AI430+AI431+AI434+AI435</f>
        <v>-1925.2035865367002</v>
      </c>
      <c r="AJ423" s="157">
        <f ca="1">AJ425+AJ426+AJ427+AJ428+AJ429+AJ430+AJ431+AJ434+AJ435</f>
        <v>5135.3604600000044</v>
      </c>
      <c r="AK423" s="783"/>
      <c r="AL423" s="783"/>
      <c r="AM423" s="783"/>
      <c r="AN423" s="783"/>
      <c r="AO423" s="783"/>
      <c r="AP423" s="783"/>
      <c r="AQ423" s="783"/>
      <c r="AR423" s="783"/>
      <c r="AS423" s="783"/>
      <c r="AT423" s="157">
        <f ca="1">AT425+AT426+AT427+AT428+AT429+AT430+AT431+AT434+AT435</f>
        <v>-525.72082999999679</v>
      </c>
      <c r="AU423" s="783"/>
      <c r="AV423" s="783"/>
      <c r="AW423" s="783"/>
      <c r="AX423" s="783"/>
      <c r="AY423" s="783"/>
      <c r="AZ423" s="783"/>
      <c r="BA423" s="783"/>
      <c r="BB423" s="783"/>
      <c r="BC423" s="783"/>
      <c r="BD423" s="145">
        <f ca="1">IF(AI423=0,0,(AT423-AI423)/AI423*100)</f>
        <v>-72.692715010689852</v>
      </c>
      <c r="BE423" s="145">
        <f t="shared" ref="BE423:BM423" ca="1" si="107">IF(AT423=0,0,(AU423-AT423)/AT423*100)</f>
        <v>-100</v>
      </c>
      <c r="BF423" s="145">
        <f t="shared" si="107"/>
        <v>0</v>
      </c>
      <c r="BG423" s="145">
        <f t="shared" si="107"/>
        <v>0</v>
      </c>
      <c r="BH423" s="145">
        <f t="shared" si="107"/>
        <v>0</v>
      </c>
      <c r="BI423" s="145">
        <f t="shared" si="107"/>
        <v>0</v>
      </c>
      <c r="BJ423" s="145">
        <f t="shared" si="107"/>
        <v>0</v>
      </c>
      <c r="BK423" s="145">
        <f t="shared" si="107"/>
        <v>0</v>
      </c>
      <c r="BL423" s="145">
        <f t="shared" si="107"/>
        <v>0</v>
      </c>
      <c r="BM423" s="145">
        <f t="shared" si="107"/>
        <v>0</v>
      </c>
      <c r="BN423" s="566"/>
      <c r="BO423" s="610" t="str">
        <f ca="1">IF(IFERROR(INDEX('Корректировка НВВ'!$K$26:$L$180,MATCH($F423&amp;"11komm",'Корректировка НВВ'!$K$26:$K$180,0),2),"")=0,"",IFERROR(INDEX('Корректировка НВВ'!$K$26:$L$180,MATCH($F423&amp;"11komm",'Корректировка НВВ'!$K$26:$K$180,0),2),""))</f>
        <v/>
      </c>
      <c r="BP423" s="566"/>
      <c r="BQ423" s="95"/>
      <c r="BR423" s="95"/>
      <c r="BS423" s="711" t="s">
        <v>2168</v>
      </c>
      <c r="BT423" s="711"/>
      <c r="BU423" s="711"/>
      <c r="BV423" s="522"/>
      <c r="BW423" s="522"/>
    </row>
    <row r="424" spans="1:75" ht="14.25" customHeight="1">
      <c r="D424" s="44" t="str" cm="1">
        <f t="array" ref="D424">D423</f>
        <v>7</v>
      </c>
      <c r="E424" s="518">
        <v>15</v>
      </c>
      <c r="F424" s="3" t="str" cm="1">
        <f t="array" aca="1" ref="F424" ca="1">OFFSET(E424,-1,1)</f>
        <v>2</v>
      </c>
      <c r="L424" s="44"/>
      <c r="M424" s="44"/>
      <c r="T424" s="365" t="b" cm="1">
        <f t="array" aca="1" ref="T424" ca="1">T423</f>
        <v>1</v>
      </c>
      <c r="X424" s="1075"/>
      <c r="Z424" s="1065"/>
      <c r="AB424" s="26"/>
      <c r="AC424" s="358" t="s">
        <v>2169</v>
      </c>
      <c r="AD424" s="26"/>
      <c r="AE424" s="552"/>
      <c r="AF424" s="552"/>
      <c r="AG424" s="552"/>
      <c r="AH424" s="552"/>
      <c r="AI424" s="552"/>
      <c r="AJ424" s="552"/>
      <c r="AK424" s="552"/>
      <c r="AL424" s="552"/>
      <c r="AM424" s="552"/>
      <c r="AN424" s="552"/>
      <c r="AO424" s="552"/>
      <c r="AP424" s="552"/>
      <c r="AQ424" s="552"/>
      <c r="AR424" s="552"/>
      <c r="AS424" s="552"/>
      <c r="AT424" s="552"/>
      <c r="AU424" s="552"/>
      <c r="AV424" s="552"/>
      <c r="AW424" s="552"/>
      <c r="AX424" s="552"/>
      <c r="AY424" s="552"/>
      <c r="AZ424" s="552"/>
      <c r="BA424" s="552"/>
      <c r="BB424" s="552"/>
      <c r="BC424" s="552"/>
      <c r="BD424" s="552"/>
      <c r="BE424" s="552"/>
      <c r="BF424" s="552"/>
      <c r="BG424" s="552"/>
      <c r="BH424" s="552"/>
      <c r="BI424" s="552"/>
      <c r="BJ424" s="552"/>
      <c r="BK424" s="552"/>
      <c r="BL424" s="552"/>
      <c r="BM424" s="552"/>
      <c r="BN424" s="398"/>
      <c r="BO424" s="398"/>
      <c r="BP424" s="398"/>
    </row>
    <row r="425" spans="1:75" ht="0" hidden="1" customHeight="1">
      <c r="D425" s="44" t="str" cm="1">
        <f t="array" ref="D425">D424</f>
        <v>7</v>
      </c>
      <c r="E425" s="518">
        <v>22.5</v>
      </c>
      <c r="F425" s="3" t="str" cm="1">
        <f t="array" aca="1" ref="F425" ca="1">OFFSET(E425,-1,1)</f>
        <v>2</v>
      </c>
      <c r="G425" s="91" t="s">
        <v>368</v>
      </c>
      <c r="I425" s="91" t="s">
        <v>514</v>
      </c>
      <c r="K425" s="91" t="s">
        <v>514</v>
      </c>
      <c r="L425" s="44"/>
      <c r="M425" s="44"/>
      <c r="T425" s="365" t="b" cm="1">
        <f t="array" aca="1" ref="T425" ca="1">T424</f>
        <v>1</v>
      </c>
      <c r="X425" s="1075"/>
      <c r="Z425" s="1065"/>
      <c r="AB425" s="26" t="str">
        <f>D425&amp;".1"</f>
        <v>7.1</v>
      </c>
      <c r="AC425" s="146" t="s">
        <v>2170</v>
      </c>
      <c r="AD425" s="26" t="s">
        <v>804</v>
      </c>
      <c r="AE425" s="147">
        <v>0</v>
      </c>
      <c r="AF425" s="147"/>
      <c r="AG425" s="147"/>
      <c r="AH425" s="190">
        <f t="shared" ref="AH425:AH438" si="108">AG425-AF425</f>
        <v>0</v>
      </c>
      <c r="AI425" s="147">
        <v>0</v>
      </c>
      <c r="AJ425" s="147">
        <f ca="1">SUMIFS('Корректировка НВВ'!$AF$25:$AF$180,'Корректировка НВВ'!$F$25:$F$180,$F425,'Корректировка НВВ'!$I$25:$I$180,$G425)</f>
        <v>0</v>
      </c>
      <c r="AK425" s="787"/>
      <c r="AL425" s="787"/>
      <c r="AM425" s="787"/>
      <c r="AN425" s="787"/>
      <c r="AO425" s="787"/>
      <c r="AP425" s="787"/>
      <c r="AQ425" s="787"/>
      <c r="AR425" s="787"/>
      <c r="AS425" s="787"/>
      <c r="AT425" s="147">
        <f ca="1">SUMIFS('Корректировка НВВ'!$AG$25:$AG$180,'Корректировка НВВ'!$F$25:$F$180,$F425,'Корректировка НВВ'!$I$25:$I$180,$G425)</f>
        <v>0</v>
      </c>
      <c r="AU425" s="787"/>
      <c r="AV425" s="787"/>
      <c r="AW425" s="787"/>
      <c r="AX425" s="787"/>
      <c r="AY425" s="787"/>
      <c r="AZ425" s="787"/>
      <c r="BA425" s="787"/>
      <c r="BB425" s="787"/>
      <c r="BC425" s="787"/>
      <c r="BD425" s="552"/>
      <c r="BE425" s="552"/>
      <c r="BF425" s="552"/>
      <c r="BG425" s="552"/>
      <c r="BH425" s="552"/>
      <c r="BI425" s="552"/>
      <c r="BJ425" s="552"/>
      <c r="BK425" s="552"/>
      <c r="BL425" s="552"/>
      <c r="BM425" s="552"/>
      <c r="BN425" s="215"/>
      <c r="BO425" s="610" t="str">
        <f ca="1">IF(IFERROR(INDEX('Корректировка НВВ'!$K$26:$L$180,MATCH($F425&amp;"1komm",'Корректировка НВВ'!$K$26:$K$180,0),2),"")=0,"",IFERROR(INDEX('Корректировка НВВ'!$K$26:$L$180,MATCH($F425&amp;"1komm",'Корректировка НВВ'!$K$26:$K$180,0),2),""))</f>
        <v/>
      </c>
      <c r="BP425" s="215"/>
      <c r="BS425" s="705" t="s">
        <v>2171</v>
      </c>
    </row>
    <row r="426" spans="1:75" ht="0" hidden="1" customHeight="1">
      <c r="D426" s="44" t="str" cm="1">
        <f t="array" ref="D426">D425</f>
        <v>7</v>
      </c>
      <c r="E426" s="518">
        <v>101.25</v>
      </c>
      <c r="F426" s="3" t="str" cm="1">
        <f t="array" aca="1" ref="F426" ca="1">OFFSET(E426,-1,1)</f>
        <v>2</v>
      </c>
      <c r="G426" s="91" t="s">
        <v>2172</v>
      </c>
      <c r="I426" s="91" t="s">
        <v>562</v>
      </c>
      <c r="K426" s="91" t="s">
        <v>562</v>
      </c>
      <c r="L426" s="44"/>
      <c r="M426" s="44"/>
      <c r="T426" s="365" t="b" cm="1">
        <f t="array" aca="1" ref="T426" ca="1">T425</f>
        <v>1</v>
      </c>
      <c r="X426" s="1075"/>
      <c r="Z426" s="1065"/>
      <c r="AB426" s="26" t="str">
        <f>D426&amp;".2"</f>
        <v>7.2</v>
      </c>
      <c r="AC426" s="146" t="s">
        <v>2173</v>
      </c>
      <c r="AD426" s="26" t="s">
        <v>804</v>
      </c>
      <c r="AE426" s="147">
        <v>0</v>
      </c>
      <c r="AF426" s="147"/>
      <c r="AG426" s="147"/>
      <c r="AH426" s="190">
        <f t="shared" si="108"/>
        <v>0</v>
      </c>
      <c r="AI426" s="147">
        <v>0</v>
      </c>
      <c r="AJ426" s="147">
        <f ca="1">SUMIFS('Корректировка НВВ'!$AF$25:$AF$180,'Корректировка НВВ'!$F$25:$F$180,$F426,'Корректировка НВВ'!$I$25:$I$180,$G426)</f>
        <v>0</v>
      </c>
      <c r="AK426" s="787"/>
      <c r="AL426" s="787"/>
      <c r="AM426" s="787"/>
      <c r="AN426" s="787"/>
      <c r="AO426" s="787"/>
      <c r="AP426" s="787"/>
      <c r="AQ426" s="787"/>
      <c r="AR426" s="787"/>
      <c r="AS426" s="787"/>
      <c r="AT426" s="147">
        <f ca="1">SUMIFS('Корректировка НВВ'!$AG$25:$AG$180,'Корректировка НВВ'!$F$25:$F$180,$F426,'Корректировка НВВ'!$I$25:$I$180,$G426)</f>
        <v>0</v>
      </c>
      <c r="AU426" s="787"/>
      <c r="AV426" s="787"/>
      <c r="AW426" s="787"/>
      <c r="AX426" s="787"/>
      <c r="AY426" s="787"/>
      <c r="AZ426" s="787"/>
      <c r="BA426" s="787"/>
      <c r="BB426" s="787"/>
      <c r="BC426" s="787"/>
      <c r="BD426" s="552"/>
      <c r="BE426" s="552"/>
      <c r="BF426" s="552"/>
      <c r="BG426" s="552"/>
      <c r="BH426" s="552"/>
      <c r="BI426" s="552"/>
      <c r="BJ426" s="552"/>
      <c r="BK426" s="552"/>
      <c r="BL426" s="552"/>
      <c r="BM426" s="552"/>
      <c r="BN426" s="215"/>
      <c r="BO426" s="610" t="str">
        <f ca="1">IF(IFERROR(INDEX('Корректировка НВВ'!$K$26:$L$180,MATCH($F426&amp;"2komm",'Корректировка НВВ'!$K$26:$K$180,0),2),"")=0,"",IFERROR(INDEX('Корректировка НВВ'!$K$26:$L$180,MATCH($F426&amp;"2komm",'Корректировка НВВ'!$K$26:$K$180,0),2),""))</f>
        <v/>
      </c>
      <c r="BP426" s="215"/>
      <c r="BS426" s="705" t="s">
        <v>2174</v>
      </c>
    </row>
    <row r="427" spans="1:75" ht="107.25" customHeight="1">
      <c r="D427" s="44" t="str" cm="1">
        <f t="array" ref="D427">D426</f>
        <v>7</v>
      </c>
      <c r="E427" s="518">
        <v>45</v>
      </c>
      <c r="F427" s="3" t="str" cm="1">
        <f t="array" aca="1" ref="F427" ca="1">OFFSET(E427,-1,1)</f>
        <v>2</v>
      </c>
      <c r="I427" s="91" t="s">
        <v>577</v>
      </c>
      <c r="K427" s="91" t="s">
        <v>577</v>
      </c>
      <c r="L427" s="44"/>
      <c r="M427" s="44"/>
      <c r="T427" s="365" t="b" cm="1">
        <f t="array" aca="1" ref="T427" ca="1">T426</f>
        <v>1</v>
      </c>
      <c r="X427" s="1075"/>
      <c r="Z427" s="1065"/>
      <c r="AB427" s="26" t="str">
        <f>D427&amp;".3"</f>
        <v>7.3</v>
      </c>
      <c r="AC427" s="146" t="s">
        <v>2175</v>
      </c>
      <c r="AD427" s="26" t="s">
        <v>804</v>
      </c>
      <c r="AE427" s="147">
        <v>0</v>
      </c>
      <c r="AF427" s="147"/>
      <c r="AG427" s="147"/>
      <c r="AH427" s="190">
        <f t="shared" si="108"/>
        <v>0</v>
      </c>
      <c r="AI427" s="147">
        <v>-360.47106309079999</v>
      </c>
      <c r="AJ427" s="147">
        <f ca="1">SUMIFS('Корректировка НВВ'!$AF$25:$AF$180,'Корректировка НВВ'!$F$25:$F$180,$F427,'Корректировка НВВ'!$I$25:$I$180,"L1")+SUMIFS('Корректировка НВВ'!$AF$25:$AF$180,'Корректировка НВВ'!$F$25:$F$180,$F427,'Корректировка НВВ'!$I$25:$I$180,"L2")</f>
        <v>5039.9004600000044</v>
      </c>
      <c r="AK427" s="787"/>
      <c r="AL427" s="787"/>
      <c r="AM427" s="787"/>
      <c r="AN427" s="787"/>
      <c r="AO427" s="787"/>
      <c r="AP427" s="787"/>
      <c r="AQ427" s="787"/>
      <c r="AR427" s="787"/>
      <c r="AS427" s="787"/>
      <c r="AT427" s="147" cm="1">
        <f t="array" aca="1" ref="AT427" ca="1">'Корректировка НВВ'!AG179</f>
        <v>-421.2945399999968</v>
      </c>
      <c r="AU427" s="787"/>
      <c r="AV427" s="787"/>
      <c r="AW427" s="787"/>
      <c r="AX427" s="787"/>
      <c r="AY427" s="787"/>
      <c r="AZ427" s="787"/>
      <c r="BA427" s="787"/>
      <c r="BB427" s="787"/>
      <c r="BC427" s="787"/>
      <c r="BD427" s="552"/>
      <c r="BE427" s="552"/>
      <c r="BF427" s="552"/>
      <c r="BG427" s="552"/>
      <c r="BH427" s="552"/>
      <c r="BI427" s="552"/>
      <c r="BJ427" s="552"/>
      <c r="BK427" s="552"/>
      <c r="BL427" s="552"/>
      <c r="BM427" s="552"/>
      <c r="BN427" s="215"/>
      <c r="BO427" s="610" t="s">
        <v>1592</v>
      </c>
      <c r="BP427" s="215"/>
      <c r="BS427" s="705" t="s">
        <v>2176</v>
      </c>
    </row>
    <row r="428" spans="1:75" ht="87.75" customHeight="1">
      <c r="B428" s="353" t="b">
        <f>S315="Водоотведение"</f>
        <v>1</v>
      </c>
      <c r="D428" s="44" t="str" cm="1">
        <f t="array" ref="D428">D427</f>
        <v>7</v>
      </c>
      <c r="E428" s="518">
        <v>90</v>
      </c>
      <c r="F428" s="3" t="str" cm="1">
        <f t="array" aca="1" ref="F428" ca="1">OFFSET(E428,-1,1)</f>
        <v>2</v>
      </c>
      <c r="G428" s="91" t="s">
        <v>2177</v>
      </c>
      <c r="H428" s="2"/>
      <c r="I428" s="91" t="s">
        <v>746</v>
      </c>
      <c r="K428" s="91" t="s">
        <v>746</v>
      </c>
      <c r="L428" s="44" t="s">
        <v>743</v>
      </c>
      <c r="M428" s="44"/>
      <c r="T428" s="365" t="b" cm="1">
        <f t="array" aca="1" ref="T428" ca="1">T427</f>
        <v>1</v>
      </c>
      <c r="X428" s="1075"/>
      <c r="Z428" s="1065"/>
      <c r="AB428" s="26" t="str">
        <f>D428&amp;".4"</f>
        <v>7.4</v>
      </c>
      <c r="AC428" s="146" t="s">
        <v>1839</v>
      </c>
      <c r="AD428" s="28" t="s">
        <v>804</v>
      </c>
      <c r="AE428" s="147">
        <v>-147.114</v>
      </c>
      <c r="AF428" s="147"/>
      <c r="AG428" s="147"/>
      <c r="AH428" s="190">
        <f t="shared" si="108"/>
        <v>0</v>
      </c>
      <c r="AI428" s="147">
        <v>-1529.18</v>
      </c>
      <c r="AJ428" s="147">
        <f ca="1">SUMIFS('Корректировка НВВ'!$AF$25:$AF$180,'Корректировка НВВ'!$F$25:$F$180,$F428,'Корректировка НВВ'!$I$25:$I$180,$G428)</f>
        <v>0</v>
      </c>
      <c r="AK428" s="787"/>
      <c r="AL428" s="787"/>
      <c r="AM428" s="787"/>
      <c r="AN428" s="787"/>
      <c r="AO428" s="787"/>
      <c r="AP428" s="787"/>
      <c r="AQ428" s="787"/>
      <c r="AR428" s="787"/>
      <c r="AS428" s="787"/>
      <c r="AT428" s="147">
        <f ca="1">SUMIFS('Корректировка НВВ'!$AG$25:$AG$180,'Корректировка НВВ'!$F$25:$F$180,$F428,'Корректировка НВВ'!$I$25:$I$180,$G428)</f>
        <v>0</v>
      </c>
      <c r="AU428" s="787"/>
      <c r="AV428" s="787"/>
      <c r="AW428" s="787"/>
      <c r="AX428" s="787"/>
      <c r="AY428" s="787"/>
      <c r="AZ428" s="787"/>
      <c r="BA428" s="787"/>
      <c r="BB428" s="787"/>
      <c r="BC428" s="787"/>
      <c r="BD428" s="552"/>
      <c r="BE428" s="552"/>
      <c r="BF428" s="552"/>
      <c r="BG428" s="552"/>
      <c r="BH428" s="552"/>
      <c r="BI428" s="552"/>
      <c r="BJ428" s="552"/>
      <c r="BK428" s="552"/>
      <c r="BL428" s="552"/>
      <c r="BM428" s="552"/>
      <c r="BN428" s="215"/>
      <c r="BO428" s="610" t="s">
        <v>2270</v>
      </c>
      <c r="BP428" s="215"/>
      <c r="BS428" s="705" t="s">
        <v>1366</v>
      </c>
    </row>
    <row r="429" spans="1:75" ht="0" hidden="1" customHeight="1">
      <c r="B429" s="353" t="b" cm="1">
        <f t="array" ref="B429">B428</f>
        <v>1</v>
      </c>
      <c r="D429" s="44" t="str" cm="1">
        <f t="array" ref="D429">D428</f>
        <v>7</v>
      </c>
      <c r="E429" s="518">
        <v>56.25</v>
      </c>
      <c r="F429" s="3" t="str" cm="1">
        <f t="array" aca="1" ref="F429" ca="1">OFFSET(E429,-1,1)</f>
        <v>2</v>
      </c>
      <c r="G429" s="91" t="s">
        <v>2178</v>
      </c>
      <c r="H429" s="2"/>
      <c r="I429" s="91" t="s">
        <v>782</v>
      </c>
      <c r="K429" s="91" t="s">
        <v>782</v>
      </c>
      <c r="L429" s="44" t="s">
        <v>746</v>
      </c>
      <c r="M429" s="44"/>
      <c r="T429" s="365" t="b" cm="1">
        <f t="array" aca="1" ref="T429" ca="1">T428</f>
        <v>1</v>
      </c>
      <c r="X429" s="1075"/>
      <c r="Z429" s="1065"/>
      <c r="AB429" s="26" t="str">
        <f>D429&amp;".5"</f>
        <v>7.5</v>
      </c>
      <c r="AC429" s="146" t="s">
        <v>1841</v>
      </c>
      <c r="AD429" s="28" t="s">
        <v>804</v>
      </c>
      <c r="AE429" s="147">
        <v>0</v>
      </c>
      <c r="AF429" s="147"/>
      <c r="AG429" s="147"/>
      <c r="AH429" s="190">
        <f t="shared" si="108"/>
        <v>0</v>
      </c>
      <c r="AI429" s="147">
        <v>0</v>
      </c>
      <c r="AJ429" s="147">
        <f ca="1">SUMIFS('Корректировка НВВ'!$AF$25:$AF$180,'Корректировка НВВ'!$F$25:$F$180,$F429,'Корректировка НВВ'!$I$25:$I$180,$G429)</f>
        <v>0</v>
      </c>
      <c r="AK429" s="787"/>
      <c r="AL429" s="787"/>
      <c r="AM429" s="787"/>
      <c r="AN429" s="787"/>
      <c r="AO429" s="787"/>
      <c r="AP429" s="787"/>
      <c r="AQ429" s="787"/>
      <c r="AR429" s="787"/>
      <c r="AS429" s="787"/>
      <c r="AT429" s="147">
        <f ca="1">SUMIFS('Корректировка НВВ'!$AG$25:$AG$180,'Корректировка НВВ'!$F$25:$F$180,$F429,'Корректировка НВВ'!$I$25:$I$180,$G429)</f>
        <v>0</v>
      </c>
      <c r="AU429" s="787"/>
      <c r="AV429" s="787"/>
      <c r="AW429" s="787"/>
      <c r="AX429" s="787"/>
      <c r="AY429" s="787"/>
      <c r="AZ429" s="787"/>
      <c r="BA429" s="787"/>
      <c r="BB429" s="787"/>
      <c r="BC429" s="787"/>
      <c r="BD429" s="552"/>
      <c r="BE429" s="552"/>
      <c r="BF429" s="552"/>
      <c r="BG429" s="552"/>
      <c r="BH429" s="552"/>
      <c r="BI429" s="552"/>
      <c r="BJ429" s="552"/>
      <c r="BK429" s="552"/>
      <c r="BL429" s="552"/>
      <c r="BM429" s="552"/>
      <c r="BN429" s="215"/>
      <c r="BO429" s="610" t="str">
        <f ca="1">IF(IFERROR(INDEX('Корректировка НВВ'!$K$26:$L$180,MATCH($F429&amp;"4komm",'Корректировка НВВ'!$K$26:$K$180,0),2),"")=0,"",IFERROR(INDEX('Корректировка НВВ'!$K$26:$L$180,MATCH($F429&amp;"4komm",'Корректировка НВВ'!$K$26:$K$180,0),2),""))</f>
        <v/>
      </c>
      <c r="BP429" s="215"/>
      <c r="BS429" s="705" t="s">
        <v>1370</v>
      </c>
    </row>
    <row r="430" spans="1:75" ht="65.25" customHeight="1">
      <c r="D430" s="44" t="str" cm="1">
        <f t="array" ref="D430">D429</f>
        <v>7</v>
      </c>
      <c r="E430" s="518">
        <v>15</v>
      </c>
      <c r="F430" s="3" t="str" cm="1">
        <f t="array" aca="1" ref="F430" ca="1">OFFSET(E430,-1,1)</f>
        <v>2</v>
      </c>
      <c r="G430" s="91" t="s">
        <v>2179</v>
      </c>
      <c r="I430" s="91" t="s">
        <v>783</v>
      </c>
      <c r="K430" s="91" t="s">
        <v>783</v>
      </c>
      <c r="L430" s="44" t="s">
        <v>782</v>
      </c>
      <c r="M430" s="44"/>
      <c r="T430" s="365" t="b" cm="1">
        <f t="array" aca="1" ref="T430" ca="1">T429</f>
        <v>1</v>
      </c>
      <c r="X430" s="1075"/>
      <c r="Z430" s="1065"/>
      <c r="AB430" s="26" t="str">
        <f>IF(B429,D430&amp;".6",D430&amp;".4")</f>
        <v>7.6</v>
      </c>
      <c r="AC430" s="146" t="s">
        <v>1583</v>
      </c>
      <c r="AD430" s="26" t="s">
        <v>804</v>
      </c>
      <c r="AE430" s="147">
        <v>0</v>
      </c>
      <c r="AF430" s="147"/>
      <c r="AG430" s="147"/>
      <c r="AH430" s="190">
        <f t="shared" si="108"/>
        <v>0</v>
      </c>
      <c r="AI430" s="147">
        <v>0</v>
      </c>
      <c r="AJ430" s="147">
        <f>112.08+147.51</f>
        <v>259.58999999999997</v>
      </c>
      <c r="AK430" s="787"/>
      <c r="AL430" s="787"/>
      <c r="AM430" s="787"/>
      <c r="AN430" s="787"/>
      <c r="AO430" s="787"/>
      <c r="AP430" s="787"/>
      <c r="AQ430" s="787"/>
      <c r="AR430" s="787"/>
      <c r="AS430" s="787"/>
      <c r="AT430" s="147">
        <f>112.08+147.51</f>
        <v>259.58999999999997</v>
      </c>
      <c r="AU430" s="787"/>
      <c r="AV430" s="787"/>
      <c r="AW430" s="787"/>
      <c r="AX430" s="787"/>
      <c r="AY430" s="787"/>
      <c r="AZ430" s="787"/>
      <c r="BA430" s="787"/>
      <c r="BB430" s="787"/>
      <c r="BC430" s="787"/>
      <c r="BD430" s="552"/>
      <c r="BE430" s="552"/>
      <c r="BF430" s="552"/>
      <c r="BG430" s="552"/>
      <c r="BH430" s="552"/>
      <c r="BI430" s="552"/>
      <c r="BJ430" s="552"/>
      <c r="BK430" s="552"/>
      <c r="BL430" s="552"/>
      <c r="BM430" s="552"/>
      <c r="BN430" s="215"/>
      <c r="BO430" s="610" t="s">
        <v>2271</v>
      </c>
      <c r="BP430" s="215"/>
      <c r="BS430" s="705" t="s">
        <v>2180</v>
      </c>
    </row>
    <row r="431" spans="1:75" ht="14.65" customHeight="1">
      <c r="D431" s="44" t="str" cm="1">
        <f t="array" ref="D431">D430</f>
        <v>7</v>
      </c>
      <c r="E431" s="518">
        <v>15</v>
      </c>
      <c r="F431" s="3" t="str" cm="1">
        <f t="array" aca="1" ref="F431" ca="1">OFFSET(E431,-1,1)</f>
        <v>2</v>
      </c>
      <c r="G431" s="91" t="s">
        <v>2181</v>
      </c>
      <c r="I431" s="91" t="s">
        <v>1850</v>
      </c>
      <c r="K431" s="91" t="s">
        <v>1850</v>
      </c>
      <c r="L431" s="44" t="s">
        <v>783</v>
      </c>
      <c r="M431" s="44"/>
      <c r="T431" s="365" t="b" cm="1">
        <f t="array" aca="1" ref="T431" ca="1">T430</f>
        <v>1</v>
      </c>
      <c r="X431" s="1075"/>
      <c r="Z431" s="1065"/>
      <c r="AB431" s="26" t="str">
        <f>IF(B429,D430&amp;".7",D430&amp;".5")</f>
        <v>7.7</v>
      </c>
      <c r="AC431" s="146" t="s">
        <v>1545</v>
      </c>
      <c r="AD431" s="26" t="s">
        <v>804</v>
      </c>
      <c r="AE431" s="147">
        <v>-160.7398387417</v>
      </c>
      <c r="AF431" s="147">
        <f>AF432+AF433</f>
        <v>0</v>
      </c>
      <c r="AG431" s="147">
        <f>AG432+AG433</f>
        <v>0</v>
      </c>
      <c r="AH431" s="190">
        <f t="shared" si="108"/>
        <v>0</v>
      </c>
      <c r="AI431" s="147">
        <v>-35.5525234459</v>
      </c>
      <c r="AJ431" s="147" cm="1">
        <f t="array" ref="AJ431">AJ432</f>
        <v>-164.13</v>
      </c>
      <c r="AK431" s="787">
        <f t="shared" ref="AK431:AS431" si="109">AK432+AK433</f>
        <v>0</v>
      </c>
      <c r="AL431" s="787">
        <f t="shared" si="109"/>
        <v>0</v>
      </c>
      <c r="AM431" s="787">
        <f t="shared" si="109"/>
        <v>0</v>
      </c>
      <c r="AN431" s="787">
        <f t="shared" si="109"/>
        <v>0</v>
      </c>
      <c r="AO431" s="787">
        <f t="shared" si="109"/>
        <v>0</v>
      </c>
      <c r="AP431" s="787">
        <f t="shared" si="109"/>
        <v>0</v>
      </c>
      <c r="AQ431" s="787">
        <f t="shared" si="109"/>
        <v>0</v>
      </c>
      <c r="AR431" s="787">
        <f t="shared" si="109"/>
        <v>0</v>
      </c>
      <c r="AS431" s="787">
        <f t="shared" si="109"/>
        <v>0</v>
      </c>
      <c r="AT431" s="147" cm="1">
        <f t="array" ref="AT431">AT432</f>
        <v>-364.01629000000003</v>
      </c>
      <c r="AU431" s="787">
        <f t="shared" ref="AU431:BC431" si="110">AU432+AU433</f>
        <v>0</v>
      </c>
      <c r="AV431" s="787">
        <f t="shared" si="110"/>
        <v>0</v>
      </c>
      <c r="AW431" s="787">
        <f t="shared" si="110"/>
        <v>0</v>
      </c>
      <c r="AX431" s="787">
        <f t="shared" si="110"/>
        <v>0</v>
      </c>
      <c r="AY431" s="787">
        <f t="shared" si="110"/>
        <v>0</v>
      </c>
      <c r="AZ431" s="787">
        <f t="shared" si="110"/>
        <v>0</v>
      </c>
      <c r="BA431" s="787">
        <f t="shared" si="110"/>
        <v>0</v>
      </c>
      <c r="BB431" s="787">
        <f t="shared" si="110"/>
        <v>0</v>
      </c>
      <c r="BC431" s="787">
        <f t="shared" si="110"/>
        <v>0</v>
      </c>
      <c r="BD431" s="190">
        <f>IF(AI431=0,0,(AT431-AI431)/AI431*100)</f>
        <v>923.88313041666595</v>
      </c>
      <c r="BE431" s="190">
        <f t="shared" ref="BE431:BM431" si="111">IF(AT431=0,0,(AU431-AT431)/AT431*100)</f>
        <v>-100</v>
      </c>
      <c r="BF431" s="190">
        <f t="shared" si="111"/>
        <v>0</v>
      </c>
      <c r="BG431" s="190">
        <f t="shared" si="111"/>
        <v>0</v>
      </c>
      <c r="BH431" s="190">
        <f t="shared" si="111"/>
        <v>0</v>
      </c>
      <c r="BI431" s="190">
        <f t="shared" si="111"/>
        <v>0</v>
      </c>
      <c r="BJ431" s="190">
        <f t="shared" si="111"/>
        <v>0</v>
      </c>
      <c r="BK431" s="190">
        <f t="shared" si="111"/>
        <v>0</v>
      </c>
      <c r="BL431" s="190">
        <f t="shared" si="111"/>
        <v>0</v>
      </c>
      <c r="BM431" s="190">
        <f t="shared" si="111"/>
        <v>0</v>
      </c>
      <c r="BN431" s="215"/>
      <c r="BO431" s="610" t="str">
        <f ca="1">IF(IFERROR(INDEX('Корректировка НВВ'!$K$26:$L$180,MATCH($F431&amp;"6komm",'Корректировка НВВ'!$K$26:$K$180,0),2),"")=0,"",IFERROR(INDEX('Корректировка НВВ'!$K$26:$L$180,MATCH($F431&amp;"6komm",'Корректировка НВВ'!$K$26:$K$180,0),2),""))</f>
        <v/>
      </c>
      <c r="BP431" s="215"/>
      <c r="BS431" s="705" t="s">
        <v>1547</v>
      </c>
    </row>
    <row r="432" spans="1:75" ht="128.25" customHeight="1">
      <c r="D432" s="44" t="str" cm="1">
        <f t="array" ref="D432">D431</f>
        <v>7</v>
      </c>
      <c r="E432" s="518">
        <v>22.5</v>
      </c>
      <c r="F432" s="3" t="str" cm="1">
        <f t="array" aca="1" ref="F432" ca="1">OFFSET(E432,-1,1)</f>
        <v>2</v>
      </c>
      <c r="G432" s="91" t="s">
        <v>2182</v>
      </c>
      <c r="I432" s="91" t="s">
        <v>2183</v>
      </c>
      <c r="K432" s="91" t="s">
        <v>2183</v>
      </c>
      <c r="L432" s="44" t="s">
        <v>1845</v>
      </c>
      <c r="M432" s="44"/>
      <c r="T432" s="365" t="b" cm="1">
        <f t="array" aca="1" ref="T432" ca="1">T431</f>
        <v>1</v>
      </c>
      <c r="X432" s="1075"/>
      <c r="Z432" s="1065"/>
      <c r="AB432" s="26" t="str">
        <f>AB431&amp;".1"</f>
        <v>7.7.1</v>
      </c>
      <c r="AC432" s="559" t="s">
        <v>1548</v>
      </c>
      <c r="AD432" s="26" t="s">
        <v>804</v>
      </c>
      <c r="AE432" s="147">
        <v>-160.7398387417</v>
      </c>
      <c r="AF432" s="147"/>
      <c r="AG432" s="147"/>
      <c r="AH432" s="190">
        <f t="shared" si="108"/>
        <v>0</v>
      </c>
      <c r="AI432" s="147">
        <v>-35.5525234459</v>
      </c>
      <c r="AJ432" s="147">
        <v>-164.13</v>
      </c>
      <c r="AK432" s="787"/>
      <c r="AL432" s="787"/>
      <c r="AM432" s="787"/>
      <c r="AN432" s="787"/>
      <c r="AO432" s="787"/>
      <c r="AP432" s="787"/>
      <c r="AQ432" s="787"/>
      <c r="AR432" s="787"/>
      <c r="AS432" s="787"/>
      <c r="AT432" s="147">
        <v>-364.01629000000003</v>
      </c>
      <c r="AU432" s="787"/>
      <c r="AV432" s="787"/>
      <c r="AW432" s="787"/>
      <c r="AX432" s="787"/>
      <c r="AY432" s="787"/>
      <c r="AZ432" s="787"/>
      <c r="BA432" s="787"/>
      <c r="BB432" s="787"/>
      <c r="BC432" s="787"/>
      <c r="BD432" s="552"/>
      <c r="BE432" s="552"/>
      <c r="BF432" s="552"/>
      <c r="BG432" s="552"/>
      <c r="BH432" s="552"/>
      <c r="BI432" s="552"/>
      <c r="BJ432" s="552"/>
      <c r="BK432" s="552"/>
      <c r="BL432" s="552"/>
      <c r="BM432" s="552"/>
      <c r="BN432" s="215"/>
      <c r="BO432" s="610" t="s">
        <v>2250</v>
      </c>
      <c r="BP432" s="215"/>
      <c r="BS432" s="705" t="s">
        <v>1549</v>
      </c>
    </row>
    <row r="433" spans="1:75" ht="21.95" customHeight="1">
      <c r="D433" s="44" t="str" cm="1">
        <f t="array" ref="D433">D432</f>
        <v>7</v>
      </c>
      <c r="E433" s="518">
        <v>22.5</v>
      </c>
      <c r="F433" s="3" t="str" cm="1">
        <f t="array" aca="1" ref="F433" ca="1">OFFSET(E433,-1,1)</f>
        <v>2</v>
      </c>
      <c r="G433" s="91" t="s">
        <v>2184</v>
      </c>
      <c r="I433" s="91" t="s">
        <v>2185</v>
      </c>
      <c r="K433" s="91" t="s">
        <v>2185</v>
      </c>
      <c r="L433" s="44" t="s">
        <v>1847</v>
      </c>
      <c r="M433" s="44"/>
      <c r="T433" s="365" t="b" cm="1">
        <f t="array" aca="1" ref="T433" ca="1">T432</f>
        <v>1</v>
      </c>
      <c r="X433" s="1075"/>
      <c r="Z433" s="1065"/>
      <c r="AB433" s="26" t="str">
        <f>AB431&amp;".2"</f>
        <v>7.7.2</v>
      </c>
      <c r="AC433" s="559" t="s">
        <v>1550</v>
      </c>
      <c r="AD433" s="26" t="s">
        <v>804</v>
      </c>
      <c r="AE433" s="147">
        <v>0</v>
      </c>
      <c r="AF433" s="147"/>
      <c r="AG433" s="147"/>
      <c r="AH433" s="190">
        <f t="shared" si="108"/>
        <v>0</v>
      </c>
      <c r="AI433" s="147">
        <v>0</v>
      </c>
      <c r="AJ433" s="147">
        <f ca="1">SUMIFS('Корректировка НВВ'!$AF$25:$AF$180,'Корректировка НВВ'!$F$25:$F$180,$F433,'Корректировка НВВ'!$I$25:$I$180,$G433)</f>
        <v>0</v>
      </c>
      <c r="AK433" s="787"/>
      <c r="AL433" s="787"/>
      <c r="AM433" s="787"/>
      <c r="AN433" s="787"/>
      <c r="AO433" s="787"/>
      <c r="AP433" s="787"/>
      <c r="AQ433" s="787"/>
      <c r="AR433" s="787"/>
      <c r="AS433" s="787"/>
      <c r="AT433" s="147">
        <f ca="1">SUMIFS('Корректировка НВВ'!$AG$25:$AG$180,'Корректировка НВВ'!$F$25:$F$180,$F433,'Корректировка НВВ'!$I$25:$I$180,$G433)</f>
        <v>0</v>
      </c>
      <c r="AU433" s="787"/>
      <c r="AV433" s="787"/>
      <c r="AW433" s="787"/>
      <c r="AX433" s="787"/>
      <c r="AY433" s="787"/>
      <c r="AZ433" s="787"/>
      <c r="BA433" s="787"/>
      <c r="BB433" s="787"/>
      <c r="BC433" s="787"/>
      <c r="BD433" s="552"/>
      <c r="BE433" s="552"/>
      <c r="BF433" s="552"/>
      <c r="BG433" s="552"/>
      <c r="BH433" s="552"/>
      <c r="BI433" s="552"/>
      <c r="BJ433" s="552"/>
      <c r="BK433" s="552"/>
      <c r="BL433" s="552"/>
      <c r="BM433" s="552"/>
      <c r="BN433" s="215"/>
      <c r="BO433" s="610" t="str">
        <f ca="1">IF(IFERROR(INDEX('Корректировка НВВ'!$K$26:$L$180,MATCH($F433&amp;"8komm",'Корректировка НВВ'!$K$26:$K$180,0),2),"")=0,"",IFERROR(INDEX('Корректировка НВВ'!$K$26:$L$180,MATCH($F433&amp;"8komm",'Корректировка НВВ'!$K$26:$K$180,0),2),""))</f>
        <v/>
      </c>
      <c r="BP433" s="215"/>
      <c r="BS433" s="705" t="s">
        <v>1551</v>
      </c>
    </row>
    <row r="434" spans="1:75" ht="14.65" customHeight="1">
      <c r="D434" s="44" t="str" cm="1">
        <f t="array" ref="D434">D433</f>
        <v>7</v>
      </c>
      <c r="E434" s="518">
        <v>15</v>
      </c>
      <c r="F434" s="3" t="str" cm="1">
        <f t="array" aca="1" ref="F434" ca="1">OFFSET(E434,-1,1)</f>
        <v>2</v>
      </c>
      <c r="G434" s="91" t="s">
        <v>314</v>
      </c>
      <c r="I434" s="91" t="s">
        <v>1851</v>
      </c>
      <c r="K434" s="91" t="s">
        <v>1851</v>
      </c>
      <c r="L434" s="44" t="s">
        <v>1850</v>
      </c>
      <c r="M434" s="44"/>
      <c r="T434" s="365" t="b" cm="1">
        <f t="array" aca="1" ref="T434" ca="1">T433</f>
        <v>1</v>
      </c>
      <c r="X434" s="1075"/>
      <c r="Z434" s="1065"/>
      <c r="AB434" s="26" t="str">
        <f>IF(B429,D430&amp;".8",D430&amp;".6")</f>
        <v>7.8</v>
      </c>
      <c r="AC434" s="560" t="s">
        <v>1552</v>
      </c>
      <c r="AD434" s="26" t="s">
        <v>804</v>
      </c>
      <c r="AE434" s="147">
        <v>0</v>
      </c>
      <c r="AF434" s="147"/>
      <c r="AG434" s="147"/>
      <c r="AH434" s="190">
        <f t="shared" si="108"/>
        <v>0</v>
      </c>
      <c r="AI434" s="147">
        <v>0</v>
      </c>
      <c r="AJ434" s="147">
        <f ca="1">SUMIFS('Корректировка НВВ'!$AF$25:$AF$180,'Корректировка НВВ'!$F$25:$F$180,$F434,'Корректировка НВВ'!$I$25:$I$180,$G434)</f>
        <v>0</v>
      </c>
      <c r="AK434" s="787"/>
      <c r="AL434" s="787"/>
      <c r="AM434" s="787"/>
      <c r="AN434" s="787"/>
      <c r="AO434" s="787"/>
      <c r="AP434" s="787"/>
      <c r="AQ434" s="787"/>
      <c r="AR434" s="787"/>
      <c r="AS434" s="787"/>
      <c r="AT434" s="147">
        <f ca="1">SUMIFS('Корректировка НВВ'!$AG$25:$AG$180,'Корректировка НВВ'!$F$25:$F$180,$F434,'Корректировка НВВ'!$I$25:$I$180,$G434)</f>
        <v>0</v>
      </c>
      <c r="AU434" s="787"/>
      <c r="AV434" s="787"/>
      <c r="AW434" s="787"/>
      <c r="AX434" s="787"/>
      <c r="AY434" s="787"/>
      <c r="AZ434" s="787"/>
      <c r="BA434" s="787"/>
      <c r="BB434" s="787"/>
      <c r="BC434" s="787"/>
      <c r="BD434" s="552"/>
      <c r="BE434" s="552"/>
      <c r="BF434" s="552"/>
      <c r="BG434" s="552"/>
      <c r="BH434" s="552"/>
      <c r="BI434" s="552"/>
      <c r="BJ434" s="552"/>
      <c r="BK434" s="552"/>
      <c r="BL434" s="552"/>
      <c r="BM434" s="552"/>
      <c r="BN434" s="215"/>
      <c r="BO434" s="610" t="str">
        <f ca="1">IF(IFERROR(INDEX('Корректировка НВВ'!$K$26:$L$180,MATCH($F434&amp;"9komm",'Корректировка НВВ'!$K$26:$K$180,0),2),"")=0,"",IFERROR(INDEX('Корректировка НВВ'!$K$26:$L$180,MATCH($F434&amp;"9komm",'Корректировка НВВ'!$K$26:$K$180,0),2),""))</f>
        <v/>
      </c>
      <c r="BP434" s="215"/>
      <c r="BS434" s="705" t="s">
        <v>2186</v>
      </c>
    </row>
    <row r="435" spans="1:75" ht="14.65" customHeight="1">
      <c r="D435" s="44" t="str" cm="1">
        <f t="array" ref="D435">D434</f>
        <v>7</v>
      </c>
      <c r="E435" s="518">
        <v>15</v>
      </c>
      <c r="F435" s="3" t="str" cm="1">
        <f t="array" aca="1" ref="F435" ca="1">OFFSET(E435,-1,1)</f>
        <v>2</v>
      </c>
      <c r="G435" s="91" t="s">
        <v>2187</v>
      </c>
      <c r="I435" s="91" t="s">
        <v>1853</v>
      </c>
      <c r="K435" s="91" t="s">
        <v>1853</v>
      </c>
      <c r="L435" s="44" t="s">
        <v>1851</v>
      </c>
      <c r="M435" s="44"/>
      <c r="T435" s="365" t="b" cm="1">
        <f t="array" aca="1" ref="T435" ca="1">T434</f>
        <v>1</v>
      </c>
      <c r="X435" s="1075"/>
      <c r="Z435" s="1065"/>
      <c r="AB435" s="26" t="str">
        <f>IF(B429,D430&amp;".9",D430&amp;".7")</f>
        <v>7.9</v>
      </c>
      <c r="AC435" s="560" t="s">
        <v>1554</v>
      </c>
      <c r="AD435" s="26" t="s">
        <v>804</v>
      </c>
      <c r="AE435" s="147">
        <v>0</v>
      </c>
      <c r="AF435" s="147"/>
      <c r="AG435" s="147"/>
      <c r="AH435" s="190">
        <f t="shared" si="108"/>
        <v>0</v>
      </c>
      <c r="AI435" s="147">
        <v>0</v>
      </c>
      <c r="AJ435" s="147">
        <f ca="1">SUMIFS('Корректировка НВВ'!$AF$25:$AF$180,'Корректировка НВВ'!$F$25:$F$180,$F435,'Корректировка НВВ'!$I$25:$I$180,$G435)</f>
        <v>0</v>
      </c>
      <c r="AK435" s="787"/>
      <c r="AL435" s="787"/>
      <c r="AM435" s="787"/>
      <c r="AN435" s="787"/>
      <c r="AO435" s="787"/>
      <c r="AP435" s="787"/>
      <c r="AQ435" s="787"/>
      <c r="AR435" s="787"/>
      <c r="AS435" s="787"/>
      <c r="AT435" s="147">
        <f ca="1">SUMIFS('Корректировка НВВ'!$AG$25:$AG$180,'Корректировка НВВ'!$F$25:$F$180,$F435,'Корректировка НВВ'!$I$25:$I$180,$G435)</f>
        <v>0</v>
      </c>
      <c r="AU435" s="787"/>
      <c r="AV435" s="787"/>
      <c r="AW435" s="787"/>
      <c r="AX435" s="787"/>
      <c r="AY435" s="787"/>
      <c r="AZ435" s="787"/>
      <c r="BA435" s="787"/>
      <c r="BB435" s="787"/>
      <c r="BC435" s="787"/>
      <c r="BD435" s="552"/>
      <c r="BE435" s="552"/>
      <c r="BF435" s="552"/>
      <c r="BG435" s="552"/>
      <c r="BH435" s="552"/>
      <c r="BI435" s="552"/>
      <c r="BJ435" s="552"/>
      <c r="BK435" s="552"/>
      <c r="BL435" s="552"/>
      <c r="BM435" s="552"/>
      <c r="BN435" s="215"/>
      <c r="BO435" s="610" t="str">
        <f ca="1">IF(IFERROR(INDEX('Корректировка НВВ'!$K$26:$L$180,MATCH($F435&amp;"10komm",'Корректировка НВВ'!$K$26:$K$180,0),2),"")=0,"",IFERROR(INDEX('Корректировка НВВ'!$K$26:$L$180,MATCH($F435&amp;"10komm",'Корректировка НВВ'!$K$26:$K$180,0),2),""))</f>
        <v/>
      </c>
      <c r="BP435" s="215"/>
      <c r="BS435" s="705" t="s">
        <v>1555</v>
      </c>
    </row>
    <row r="436" spans="1:75" s="950" customFormat="1" ht="86.25" customHeight="1">
      <c r="A436" s="95"/>
      <c r="B436" s="344"/>
      <c r="C436" s="95"/>
      <c r="D436" s="46">
        <f>D435+1</f>
        <v>8</v>
      </c>
      <c r="E436" s="522">
        <v>21</v>
      </c>
      <c r="F436" s="3" t="str" cm="1">
        <f t="array" aca="1" ref="F436" ca="1">OFFSET(E436,-1,1)</f>
        <v>2</v>
      </c>
      <c r="G436" s="95"/>
      <c r="H436" s="95"/>
      <c r="I436" s="95" t="s">
        <v>585</v>
      </c>
      <c r="J436" s="95"/>
      <c r="K436" s="95" t="s">
        <v>585</v>
      </c>
      <c r="L436" s="46"/>
      <c r="M436" s="46"/>
      <c r="N436" s="95"/>
      <c r="O436" s="95"/>
      <c r="P436" s="95"/>
      <c r="Q436" s="95"/>
      <c r="R436" s="95"/>
      <c r="S436" s="95"/>
      <c r="T436" s="365" t="b" cm="1">
        <f t="array" aca="1" ref="T436" ca="1">T435</f>
        <v>1</v>
      </c>
      <c r="U436" s="95"/>
      <c r="V436" s="95"/>
      <c r="W436" s="95"/>
      <c r="X436" s="1075"/>
      <c r="Y436" s="95"/>
      <c r="Z436" s="1065"/>
      <c r="AA436" s="95"/>
      <c r="AB436" s="143" cm="1">
        <f t="array" ref="AB436">D436</f>
        <v>8</v>
      </c>
      <c r="AC436" s="144" t="s">
        <v>2188</v>
      </c>
      <c r="AD436" s="143" t="s">
        <v>804</v>
      </c>
      <c r="AE436" s="157">
        <v>-4425.0990000000002</v>
      </c>
      <c r="AF436" s="157"/>
      <c r="AG436" s="157"/>
      <c r="AH436" s="145">
        <f t="shared" si="108"/>
        <v>0</v>
      </c>
      <c r="AI436" s="157">
        <v>-4107.7920000000004</v>
      </c>
      <c r="AJ436" s="157">
        <v>8532.89</v>
      </c>
      <c r="AK436" s="783"/>
      <c r="AL436" s="783"/>
      <c r="AM436" s="783"/>
      <c r="AN436" s="783"/>
      <c r="AO436" s="783"/>
      <c r="AP436" s="783"/>
      <c r="AQ436" s="783"/>
      <c r="AR436" s="783"/>
      <c r="AS436" s="783"/>
      <c r="AT436" s="157">
        <v>-4790.8220000000001</v>
      </c>
      <c r="AU436" s="783"/>
      <c r="AV436" s="783"/>
      <c r="AW436" s="783"/>
      <c r="AX436" s="783"/>
      <c r="AY436" s="783"/>
      <c r="AZ436" s="783"/>
      <c r="BA436" s="783"/>
      <c r="BB436" s="783"/>
      <c r="BC436" s="783"/>
      <c r="BD436" s="148"/>
      <c r="BE436" s="148"/>
      <c r="BF436" s="148"/>
      <c r="BG436" s="148"/>
      <c r="BH436" s="148"/>
      <c r="BI436" s="148"/>
      <c r="BJ436" s="148"/>
      <c r="BK436" s="148"/>
      <c r="BL436" s="148"/>
      <c r="BM436" s="148"/>
      <c r="BN436" s="566"/>
      <c r="BO436" s="566" t="s">
        <v>2272</v>
      </c>
      <c r="BP436" s="566" t="s">
        <v>2273</v>
      </c>
      <c r="BQ436" s="95"/>
      <c r="BR436" s="95"/>
      <c r="BS436" s="711" t="s">
        <v>2189</v>
      </c>
      <c r="BT436" s="711"/>
      <c r="BU436" s="711"/>
      <c r="BV436" s="522"/>
      <c r="BW436" s="522"/>
    </row>
    <row r="437" spans="1:75" ht="14.25" customHeight="1">
      <c r="D437" s="46" cm="1">
        <f t="array" ref="D437">D436</f>
        <v>8</v>
      </c>
      <c r="E437" s="518">
        <v>15</v>
      </c>
      <c r="F437" s="3" t="str" cm="1">
        <f t="array" aca="1" ref="F437" ca="1">OFFSET(E437,-1,1)</f>
        <v>2</v>
      </c>
      <c r="I437" s="91" t="s">
        <v>589</v>
      </c>
      <c r="K437" s="91" t="s">
        <v>589</v>
      </c>
      <c r="L437" s="44"/>
      <c r="M437" s="44"/>
      <c r="T437" s="365" t="b" cm="1">
        <f t="array" aca="1" ref="T437" ca="1">T436</f>
        <v>1</v>
      </c>
      <c r="X437" s="1075"/>
      <c r="Z437" s="1065"/>
      <c r="AB437" s="26" t="str">
        <f>D437&amp;".1"</f>
        <v>8.1</v>
      </c>
      <c r="AC437" s="146" t="s">
        <v>2190</v>
      </c>
      <c r="AD437" s="26" t="s">
        <v>456</v>
      </c>
      <c r="AE437" s="190">
        <f ca="1">IF(AE438=0,0,AE436/(AE438+AE423)*100)</f>
        <v>-11.84181990046828</v>
      </c>
      <c r="AF437" s="190">
        <f ca="1">IF(AF438=0,0,AF436/(AF438+AF423)*100)</f>
        <v>0</v>
      </c>
      <c r="AG437" s="190">
        <f ca="1">IF(AG438=0,0,AG436/(AG438+AG423)*100)</f>
        <v>0</v>
      </c>
      <c r="AH437" s="190">
        <f t="shared" ca="1" si="108"/>
        <v>0</v>
      </c>
      <c r="AI437" s="190">
        <f t="shared" ref="AI437:BC437" ca="1" si="112">IF(AI438=0,0,AI436/(AI438+AI423)*100)</f>
        <v>-9.9786025925987509</v>
      </c>
      <c r="AJ437" s="190">
        <f t="shared" ca="1" si="112"/>
        <v>13.986710875855771</v>
      </c>
      <c r="AK437" s="190">
        <f t="shared" ca="1" si="112"/>
        <v>0</v>
      </c>
      <c r="AL437" s="190">
        <f t="shared" ca="1" si="112"/>
        <v>0</v>
      </c>
      <c r="AM437" s="190">
        <f t="shared" ca="1" si="112"/>
        <v>0</v>
      </c>
      <c r="AN437" s="190">
        <f t="shared" ca="1" si="112"/>
        <v>0</v>
      </c>
      <c r="AO437" s="190">
        <f t="shared" ca="1" si="112"/>
        <v>0</v>
      </c>
      <c r="AP437" s="190">
        <f t="shared" ca="1" si="112"/>
        <v>0</v>
      </c>
      <c r="AQ437" s="190">
        <f t="shared" ca="1" si="112"/>
        <v>0</v>
      </c>
      <c r="AR437" s="190">
        <f t="shared" ca="1" si="112"/>
        <v>0</v>
      </c>
      <c r="AS437" s="190">
        <f t="shared" ca="1" si="112"/>
        <v>0</v>
      </c>
      <c r="AT437" s="190">
        <f t="shared" ca="1" si="112"/>
        <v>-10.820097438525297</v>
      </c>
      <c r="AU437" s="190">
        <f t="shared" ca="1" si="112"/>
        <v>0</v>
      </c>
      <c r="AV437" s="190">
        <f t="shared" ca="1" si="112"/>
        <v>0</v>
      </c>
      <c r="AW437" s="190">
        <f t="shared" ca="1" si="112"/>
        <v>0</v>
      </c>
      <c r="AX437" s="190">
        <f t="shared" ca="1" si="112"/>
        <v>0</v>
      </c>
      <c r="AY437" s="190">
        <f t="shared" ca="1" si="112"/>
        <v>0</v>
      </c>
      <c r="AZ437" s="190">
        <f t="shared" ca="1" si="112"/>
        <v>0</v>
      </c>
      <c r="BA437" s="190">
        <f t="shared" ca="1" si="112"/>
        <v>0</v>
      </c>
      <c r="BB437" s="190">
        <f t="shared" ca="1" si="112"/>
        <v>0</v>
      </c>
      <c r="BC437" s="190">
        <f t="shared" ca="1" si="112"/>
        <v>0</v>
      </c>
      <c r="BD437" s="552"/>
      <c r="BE437" s="552"/>
      <c r="BF437" s="552"/>
      <c r="BG437" s="552"/>
      <c r="BH437" s="552"/>
      <c r="BI437" s="552"/>
      <c r="BJ437" s="552"/>
      <c r="BK437" s="552"/>
      <c r="BL437" s="552"/>
      <c r="BM437" s="552"/>
      <c r="BN437" s="215"/>
      <c r="BO437" s="215"/>
      <c r="BP437" s="215"/>
      <c r="BS437" s="705" t="s">
        <v>2191</v>
      </c>
    </row>
    <row r="438" spans="1:75" s="950" customFormat="1" ht="20.25" customHeight="1">
      <c r="A438" s="95"/>
      <c r="B438" s="344"/>
      <c r="C438" s="95"/>
      <c r="D438" s="46">
        <f>D437+1</f>
        <v>9</v>
      </c>
      <c r="E438" s="522">
        <v>21</v>
      </c>
      <c r="F438" s="3" t="str" cm="1">
        <f t="array" aca="1" ref="F438" ca="1">OFFSET(E438,-1,1)</f>
        <v>2</v>
      </c>
      <c r="G438" s="95"/>
      <c r="H438" s="91"/>
      <c r="I438" s="91" t="s">
        <v>743</v>
      </c>
      <c r="J438" s="95"/>
      <c r="K438" s="91" t="s">
        <v>743</v>
      </c>
      <c r="L438" s="46" t="s">
        <v>1853</v>
      </c>
      <c r="M438" s="46"/>
      <c r="N438" s="95"/>
      <c r="O438" s="95"/>
      <c r="P438" s="95"/>
      <c r="Q438" s="95"/>
      <c r="R438" s="95"/>
      <c r="S438" s="95"/>
      <c r="T438" s="365" t="b" cm="1">
        <f t="array" aca="1" ref="T438" ca="1">T437</f>
        <v>1</v>
      </c>
      <c r="U438" s="95"/>
      <c r="V438" s="95"/>
      <c r="W438" s="95"/>
      <c r="X438" s="1075"/>
      <c r="Y438" s="95"/>
      <c r="Z438" s="1065"/>
      <c r="AA438" s="95"/>
      <c r="AB438" s="143" cm="1">
        <f t="array" ref="AB438">D438</f>
        <v>9</v>
      </c>
      <c r="AC438" s="144" t="s">
        <v>1855</v>
      </c>
      <c r="AD438" s="166" t="s">
        <v>804</v>
      </c>
      <c r="AE438" s="145">
        <f ca="1">AE316+AE366+AE402+AE403+AE405+AE410+AE411+AE414</f>
        <v>37676.256982797378</v>
      </c>
      <c r="AF438" s="145">
        <f ca="1">AF316+AF366+AF402+AF403+AF405+AF410+AF411+AF414</f>
        <v>37938.919969200004</v>
      </c>
      <c r="AG438" s="145">
        <f ca="1">AG316+AG366+AG402+AG403+AG405+AG410+AG411+AG414</f>
        <v>37336.175815609298</v>
      </c>
      <c r="AH438" s="145">
        <f t="shared" ca="1" si="108"/>
        <v>-602.74415359070554</v>
      </c>
      <c r="AI438" s="145">
        <f t="shared" ref="AI438:BC438" ca="1" si="113">AI316+AI366+AI402+AI403+AI405+AI410+AI411+AI414</f>
        <v>43091.208163638497</v>
      </c>
      <c r="AJ438" s="145">
        <f t="shared" ca="1" si="113"/>
        <v>55871.763200000001</v>
      </c>
      <c r="AK438" s="145">
        <f t="shared" ca="1" si="113"/>
        <v>46074.183000000005</v>
      </c>
      <c r="AL438" s="145">
        <f t="shared" ca="1" si="113"/>
        <v>46074.183000000005</v>
      </c>
      <c r="AM438" s="145">
        <f t="shared" ca="1" si="113"/>
        <v>46074.183000000005</v>
      </c>
      <c r="AN438" s="145">
        <f t="shared" ca="1" si="113"/>
        <v>46074.183000000005</v>
      </c>
      <c r="AO438" s="145">
        <f t="shared" ca="1" si="113"/>
        <v>46074.183000000005</v>
      </c>
      <c r="AP438" s="145">
        <f t="shared" ca="1" si="113"/>
        <v>46074.183000000005</v>
      </c>
      <c r="AQ438" s="145">
        <f t="shared" ca="1" si="113"/>
        <v>46074.183000000005</v>
      </c>
      <c r="AR438" s="145">
        <f t="shared" ca="1" si="113"/>
        <v>46074.183000000005</v>
      </c>
      <c r="AS438" s="145">
        <f t="shared" ca="1" si="113"/>
        <v>46074.183000000005</v>
      </c>
      <c r="AT438" s="145">
        <f t="shared" ca="1" si="113"/>
        <v>44802.789749380776</v>
      </c>
      <c r="AU438" s="145">
        <f t="shared" ca="1" si="113"/>
        <v>36170.76149938078</v>
      </c>
      <c r="AV438" s="145">
        <f t="shared" ca="1" si="113"/>
        <v>36170.76149938078</v>
      </c>
      <c r="AW438" s="145">
        <f t="shared" ca="1" si="113"/>
        <v>36170.76149938078</v>
      </c>
      <c r="AX438" s="145">
        <f t="shared" ca="1" si="113"/>
        <v>36170.76149938078</v>
      </c>
      <c r="AY438" s="145">
        <f t="shared" ca="1" si="113"/>
        <v>36170.76149938078</v>
      </c>
      <c r="AZ438" s="145">
        <f t="shared" ca="1" si="113"/>
        <v>36170.76149938078</v>
      </c>
      <c r="BA438" s="145">
        <f t="shared" ca="1" si="113"/>
        <v>36170.76149938078</v>
      </c>
      <c r="BB438" s="145">
        <f t="shared" ca="1" si="113"/>
        <v>36170.76149938078</v>
      </c>
      <c r="BC438" s="145">
        <f t="shared" ca="1" si="113"/>
        <v>36170.76149938078</v>
      </c>
      <c r="BD438" s="145">
        <f ca="1">IF(AI438=0,0,(AT438-AI438)/AI438*100)</f>
        <v>3.9719972093670757</v>
      </c>
      <c r="BE438" s="145">
        <f t="shared" ref="BE438:BM439" ca="1" si="114">IF(AT438=0,0,(AU438-AT438)/AT438*100)</f>
        <v>-19.266720439254119</v>
      </c>
      <c r="BF438" s="145">
        <f t="shared" ca="1" si="114"/>
        <v>0</v>
      </c>
      <c r="BG438" s="145">
        <f t="shared" ca="1" si="114"/>
        <v>0</v>
      </c>
      <c r="BH438" s="145">
        <f t="shared" ca="1" si="114"/>
        <v>0</v>
      </c>
      <c r="BI438" s="145">
        <f t="shared" ca="1" si="114"/>
        <v>0</v>
      </c>
      <c r="BJ438" s="145">
        <f t="shared" ca="1" si="114"/>
        <v>0</v>
      </c>
      <c r="BK438" s="145">
        <f t="shared" ca="1" si="114"/>
        <v>0</v>
      </c>
      <c r="BL438" s="145">
        <f t="shared" ca="1" si="114"/>
        <v>0</v>
      </c>
      <c r="BM438" s="145">
        <f t="shared" ca="1" si="114"/>
        <v>0</v>
      </c>
      <c r="BN438" s="215"/>
      <c r="BO438" s="215"/>
      <c r="BP438" s="215"/>
      <c r="BQ438" s="95"/>
      <c r="BR438" s="95"/>
      <c r="BS438" s="711" t="s">
        <v>1856</v>
      </c>
      <c r="BT438" s="711"/>
      <c r="BU438" s="711"/>
      <c r="BV438" s="522"/>
      <c r="BW438" s="522"/>
    </row>
    <row r="439" spans="1:75" s="950" customFormat="1" ht="12.75" customHeight="1">
      <c r="A439" s="95"/>
      <c r="B439" s="344"/>
      <c r="C439" s="95"/>
      <c r="D439" s="46">
        <f>D438+1</f>
        <v>10</v>
      </c>
      <c r="E439" s="522">
        <v>21</v>
      </c>
      <c r="F439" s="3" t="str" cm="1">
        <f t="array" aca="1" ref="F439" ca="1">OFFSET(E439,-1,1)</f>
        <v>2</v>
      </c>
      <c r="G439" s="95"/>
      <c r="H439" s="91"/>
      <c r="I439" s="91" t="s">
        <v>1865</v>
      </c>
      <c r="J439" s="95"/>
      <c r="K439" s="91" t="s">
        <v>1865</v>
      </c>
      <c r="L439" s="46"/>
      <c r="M439" s="46"/>
      <c r="N439" s="95"/>
      <c r="O439" s="95"/>
      <c r="P439" s="95"/>
      <c r="Q439" s="95"/>
      <c r="R439" s="95"/>
      <c r="S439" s="95"/>
      <c r="T439" s="365" t="b" cm="1">
        <f t="array" aca="1" ref="T439" ca="1">T438</f>
        <v>1</v>
      </c>
      <c r="U439" s="95"/>
      <c r="V439" s="95"/>
      <c r="W439" s="95"/>
      <c r="X439" s="1075"/>
      <c r="Y439" s="95"/>
      <c r="Z439" s="1065"/>
      <c r="AA439" s="95"/>
      <c r="AB439" s="143" cm="1">
        <f t="array" ref="AB439">D439</f>
        <v>10</v>
      </c>
      <c r="AC439" s="144" t="s">
        <v>2192</v>
      </c>
      <c r="AD439" s="143" t="s">
        <v>804</v>
      </c>
      <c r="AE439" s="145">
        <f t="shared" ref="AE439:BC439" ca="1" si="115">AE438+AE423+AE436</f>
        <v>32943.304144055677</v>
      </c>
      <c r="AF439" s="145">
        <f t="shared" ca="1" si="115"/>
        <v>37938.919969200004</v>
      </c>
      <c r="AG439" s="145">
        <f t="shared" ca="1" si="115"/>
        <v>37336.175815609298</v>
      </c>
      <c r="AH439" s="145">
        <f t="shared" ca="1" si="115"/>
        <v>-602.74415359070554</v>
      </c>
      <c r="AI439" s="145">
        <f t="shared" ca="1" si="115"/>
        <v>37058.212577101796</v>
      </c>
      <c r="AJ439" s="145">
        <f t="shared" ca="1" si="115"/>
        <v>69540.013659999997</v>
      </c>
      <c r="AK439" s="145">
        <f t="shared" ca="1" si="115"/>
        <v>46074.183000000005</v>
      </c>
      <c r="AL439" s="145">
        <f t="shared" ca="1" si="115"/>
        <v>46074.183000000005</v>
      </c>
      <c r="AM439" s="145">
        <f t="shared" ca="1" si="115"/>
        <v>46074.183000000005</v>
      </c>
      <c r="AN439" s="145">
        <f t="shared" ca="1" si="115"/>
        <v>46074.183000000005</v>
      </c>
      <c r="AO439" s="145">
        <f t="shared" ca="1" si="115"/>
        <v>46074.183000000005</v>
      </c>
      <c r="AP439" s="145">
        <f t="shared" ca="1" si="115"/>
        <v>46074.183000000005</v>
      </c>
      <c r="AQ439" s="145">
        <f t="shared" ca="1" si="115"/>
        <v>46074.183000000005</v>
      </c>
      <c r="AR439" s="145">
        <f t="shared" ca="1" si="115"/>
        <v>46074.183000000005</v>
      </c>
      <c r="AS439" s="145">
        <f t="shared" ca="1" si="115"/>
        <v>46074.183000000005</v>
      </c>
      <c r="AT439" s="145">
        <f t="shared" ca="1" si="115"/>
        <v>39486.246919380777</v>
      </c>
      <c r="AU439" s="145">
        <f t="shared" ca="1" si="115"/>
        <v>36170.76149938078</v>
      </c>
      <c r="AV439" s="145">
        <f t="shared" ca="1" si="115"/>
        <v>36170.76149938078</v>
      </c>
      <c r="AW439" s="145">
        <f t="shared" ca="1" si="115"/>
        <v>36170.76149938078</v>
      </c>
      <c r="AX439" s="145">
        <f t="shared" ca="1" si="115"/>
        <v>36170.76149938078</v>
      </c>
      <c r="AY439" s="145">
        <f t="shared" ca="1" si="115"/>
        <v>36170.76149938078</v>
      </c>
      <c r="AZ439" s="145">
        <f t="shared" ca="1" si="115"/>
        <v>36170.76149938078</v>
      </c>
      <c r="BA439" s="145">
        <f t="shared" ca="1" si="115"/>
        <v>36170.76149938078</v>
      </c>
      <c r="BB439" s="145">
        <f t="shared" ca="1" si="115"/>
        <v>36170.76149938078</v>
      </c>
      <c r="BC439" s="145">
        <f t="shared" ca="1" si="115"/>
        <v>36170.76149938078</v>
      </c>
      <c r="BD439" s="145">
        <f ca="1">IF(AI439=0,0,(AT439-AI439)/AI439*100)</f>
        <v>6.551946716877703</v>
      </c>
      <c r="BE439" s="145">
        <f t="shared" ca="1" si="114"/>
        <v>-8.3965574818220556</v>
      </c>
      <c r="BF439" s="145">
        <f t="shared" ca="1" si="114"/>
        <v>0</v>
      </c>
      <c r="BG439" s="145">
        <f t="shared" ca="1" si="114"/>
        <v>0</v>
      </c>
      <c r="BH439" s="145">
        <f t="shared" ca="1" si="114"/>
        <v>0</v>
      </c>
      <c r="BI439" s="145">
        <f t="shared" ca="1" si="114"/>
        <v>0</v>
      </c>
      <c r="BJ439" s="145">
        <f t="shared" ca="1" si="114"/>
        <v>0</v>
      </c>
      <c r="BK439" s="145">
        <f t="shared" ca="1" si="114"/>
        <v>0</v>
      </c>
      <c r="BL439" s="145">
        <f t="shared" ca="1" si="114"/>
        <v>0</v>
      </c>
      <c r="BM439" s="145">
        <f t="shared" ca="1" si="114"/>
        <v>0</v>
      </c>
      <c r="BN439" s="215"/>
      <c r="BO439" s="215"/>
      <c r="BP439" s="215"/>
      <c r="BQ439" s="95"/>
      <c r="BR439" s="95"/>
      <c r="BS439" s="711" t="s">
        <v>2193</v>
      </c>
      <c r="BT439" s="711"/>
      <c r="BU439" s="711"/>
      <c r="BV439" s="522"/>
      <c r="BW439" s="522"/>
    </row>
    <row r="440" spans="1:75" ht="14.25" hidden="1" customHeight="1">
      <c r="B440" s="353" t="b">
        <f>A315="двухставочный"</f>
        <v>0</v>
      </c>
      <c r="D440" s="44" cm="1">
        <f t="array" ref="D440">D439</f>
        <v>10</v>
      </c>
      <c r="E440" s="518">
        <v>15</v>
      </c>
      <c r="F440" s="3" t="str" cm="1">
        <f t="array" aca="1" ref="F440" ca="1">OFFSET(E440,-1,1)</f>
        <v>2</v>
      </c>
      <c r="H440" s="2"/>
      <c r="I440" s="291" t="s">
        <v>1869</v>
      </c>
      <c r="K440" s="291" t="s">
        <v>1869</v>
      </c>
      <c r="L440" s="44" t="s">
        <v>1857</v>
      </c>
      <c r="M440" s="44"/>
      <c r="T440" s="365" t="b" cm="1">
        <f t="array" aca="1" ref="T440" ca="1">T439</f>
        <v>1</v>
      </c>
      <c r="X440" s="1075"/>
      <c r="Z440" s="1065"/>
      <c r="AB440" s="26" t="str">
        <f>D440&amp;".1"</f>
        <v>10.1</v>
      </c>
      <c r="AC440" s="560" t="s">
        <v>1859</v>
      </c>
      <c r="AD440" s="26" t="s">
        <v>804</v>
      </c>
      <c r="AE440" s="787"/>
      <c r="AF440" s="787"/>
      <c r="AG440" s="787"/>
      <c r="AH440" s="190">
        <f t="shared" ref="AH440:AH446" si="116">AG440-AF440</f>
        <v>0</v>
      </c>
      <c r="AI440" s="787"/>
      <c r="AJ440" s="787"/>
      <c r="AK440" s="787"/>
      <c r="AL440" s="787"/>
      <c r="AM440" s="787"/>
      <c r="AN440" s="787"/>
      <c r="AO440" s="787"/>
      <c r="AP440" s="787"/>
      <c r="AQ440" s="787"/>
      <c r="AR440" s="787"/>
      <c r="AS440" s="787"/>
      <c r="AT440" s="787"/>
      <c r="AU440" s="787"/>
      <c r="AV440" s="787"/>
      <c r="AW440" s="787"/>
      <c r="AX440" s="787"/>
      <c r="AY440" s="787"/>
      <c r="AZ440" s="787"/>
      <c r="BA440" s="787"/>
      <c r="BB440" s="787"/>
      <c r="BC440" s="787"/>
      <c r="BD440" s="552"/>
      <c r="BE440" s="552"/>
      <c r="BF440" s="552"/>
      <c r="BG440" s="552"/>
      <c r="BH440" s="552"/>
      <c r="BI440" s="552"/>
      <c r="BJ440" s="552"/>
      <c r="BK440" s="552"/>
      <c r="BL440" s="552"/>
      <c r="BM440" s="552"/>
      <c r="BN440" s="784"/>
      <c r="BO440" s="784"/>
      <c r="BP440" s="784"/>
      <c r="BS440" s="703" t="s">
        <v>1860</v>
      </c>
    </row>
    <row r="441" spans="1:75" ht="14.25" hidden="1" customHeight="1">
      <c r="B441" s="353" t="b">
        <f>A315="двухставочный"</f>
        <v>0</v>
      </c>
      <c r="D441" s="44" cm="1">
        <f t="array" ref="D441">D440</f>
        <v>10</v>
      </c>
      <c r="E441" s="518">
        <v>15</v>
      </c>
      <c r="F441" s="3" t="str" cm="1">
        <f t="array" aca="1" ref="F441" ca="1">OFFSET(E441,-1,1)</f>
        <v>2</v>
      </c>
      <c r="H441" s="2"/>
      <c r="I441" s="291" t="s">
        <v>1873</v>
      </c>
      <c r="K441" s="291" t="s">
        <v>1873</v>
      </c>
      <c r="L441" s="44" t="s">
        <v>1861</v>
      </c>
      <c r="M441" s="44"/>
      <c r="T441" s="365" t="b" cm="1">
        <f t="array" aca="1" ref="T441" ca="1">T440</f>
        <v>1</v>
      </c>
      <c r="X441" s="1075"/>
      <c r="Z441" s="1065"/>
      <c r="AB441" s="26" t="str">
        <f>D441&amp;".2"</f>
        <v>10.2</v>
      </c>
      <c r="AC441" s="560" t="s">
        <v>1863</v>
      </c>
      <c r="AD441" s="26" t="s">
        <v>804</v>
      </c>
      <c r="AE441" s="787"/>
      <c r="AF441" s="787"/>
      <c r="AG441" s="787"/>
      <c r="AH441" s="190">
        <f t="shared" si="116"/>
        <v>0</v>
      </c>
      <c r="AI441" s="787"/>
      <c r="AJ441" s="787"/>
      <c r="AK441" s="787"/>
      <c r="AL441" s="787"/>
      <c r="AM441" s="787"/>
      <c r="AN441" s="787"/>
      <c r="AO441" s="787"/>
      <c r="AP441" s="787"/>
      <c r="AQ441" s="787"/>
      <c r="AR441" s="787"/>
      <c r="AS441" s="787"/>
      <c r="AT441" s="787"/>
      <c r="AU441" s="787"/>
      <c r="AV441" s="787"/>
      <c r="AW441" s="787"/>
      <c r="AX441" s="787"/>
      <c r="AY441" s="787"/>
      <c r="AZ441" s="787"/>
      <c r="BA441" s="787"/>
      <c r="BB441" s="787"/>
      <c r="BC441" s="787"/>
      <c r="BD441" s="552"/>
      <c r="BE441" s="552"/>
      <c r="BF441" s="552"/>
      <c r="BG441" s="552"/>
      <c r="BH441" s="552"/>
      <c r="BI441" s="552"/>
      <c r="BJ441" s="552"/>
      <c r="BK441" s="552"/>
      <c r="BL441" s="552"/>
      <c r="BM441" s="552"/>
      <c r="BN441" s="784"/>
      <c r="BO441" s="784"/>
      <c r="BP441" s="784"/>
      <c r="BS441" s="703" t="s">
        <v>1864</v>
      </c>
    </row>
    <row r="442" spans="1:75" s="950" customFormat="1" ht="20.25" customHeight="1">
      <c r="A442" s="95"/>
      <c r="B442" s="344"/>
      <c r="C442" s="95"/>
      <c r="D442" s="46">
        <f>D441+1</f>
        <v>11</v>
      </c>
      <c r="E442" s="522">
        <v>21</v>
      </c>
      <c r="F442" s="3" t="str" cm="1">
        <f t="array" aca="1" ref="F442" ca="1">OFFSET(E442,-1,1)</f>
        <v>2</v>
      </c>
      <c r="G442" s="91" t="s">
        <v>1633</v>
      </c>
      <c r="H442" s="91"/>
      <c r="I442" s="91" t="s">
        <v>1893</v>
      </c>
      <c r="J442" s="95"/>
      <c r="K442" s="91" t="s">
        <v>1893</v>
      </c>
      <c r="L442" s="46" t="s">
        <v>1865</v>
      </c>
      <c r="M442" s="46"/>
      <c r="N442" s="95"/>
      <c r="O442" s="95"/>
      <c r="P442" s="95"/>
      <c r="Q442" s="95"/>
      <c r="R442" s="95"/>
      <c r="S442" s="95"/>
      <c r="T442" s="365" t="b" cm="1">
        <f t="array" aca="1" ref="T442" ca="1">T441</f>
        <v>1</v>
      </c>
      <c r="U442" s="95"/>
      <c r="V442" s="95"/>
      <c r="W442" s="95"/>
      <c r="X442" s="1075"/>
      <c r="Y442" s="95"/>
      <c r="Z442" s="1065"/>
      <c r="AA442" s="95"/>
      <c r="AB442" s="143" cm="1">
        <f t="array" ref="AB442">D442</f>
        <v>11</v>
      </c>
      <c r="AC442" s="144" t="s">
        <v>1867</v>
      </c>
      <c r="AD442" s="143" t="s">
        <v>534</v>
      </c>
      <c r="AE442" s="562">
        <f ca="1">SUMIFS(Баланс!AE$26:AE$300,Баланс!$F$26:$F$300,$F442,Баланс!$G$26:$G$300,"ПО")</f>
        <v>945.83128278079994</v>
      </c>
      <c r="AF442" s="562">
        <f ca="1">SUMIFS(Баланс!AF$26:AF$300,Баланс!$F$26:$F$300,$F442,Баланс!$G$26:$G$300,"ПО")</f>
        <v>948.16300000000001</v>
      </c>
      <c r="AG442" s="562">
        <f ca="1">SUMIFS(Баланс!AG$26:AG$300,Баланс!$F$26:$F$300,$F442,Баланс!$G$26:$G$300,"ПО")</f>
        <v>948.16300000000001</v>
      </c>
      <c r="AH442" s="562">
        <f t="shared" ca="1" si="116"/>
        <v>0</v>
      </c>
      <c r="AI442" s="562">
        <f ca="1">SUMIFS(Баланс!AH$26:AH$300,Баланс!$F$26:$F$300,$F442,Баланс!$G$26:$G$300,"ПО")</f>
        <v>949.96699999999998</v>
      </c>
      <c r="AJ442" s="562">
        <f ca="1">SUMIFS(Баланс!AI$26:AI$300,Баланс!$F$26:$F$300,$F442,Баланс!$G$26:$G$300,"ПО")</f>
        <v>938.9369999999999</v>
      </c>
      <c r="AK442" s="562">
        <f ca="1">SUMIFS(Баланс!AJ$26:AJ$300,Баланс!$F$26:$F$300,$F442,Баланс!$G$26:$G$300,"ПО")</f>
        <v>0</v>
      </c>
      <c r="AL442" s="562">
        <f ca="1">SUMIFS(Баланс!AK$26:AK$300,Баланс!$F$26:$F$300,$F442,Баланс!$G$26:$G$300,"ПО")</f>
        <v>0</v>
      </c>
      <c r="AM442" s="562">
        <f ca="1">SUMIFS(Баланс!AL$26:AL$300,Баланс!$F$26:$F$300,$F442,Баланс!$G$26:$G$300,"ПО")</f>
        <v>0</v>
      </c>
      <c r="AN442" s="562">
        <f ca="1">SUMIFS(Баланс!AM$26:AM$300,Баланс!$F$26:$F$300,$F442,Баланс!$G$26:$G$300,"ПО")</f>
        <v>0</v>
      </c>
      <c r="AO442" s="562">
        <f ca="1">SUMIFS(Баланс!AN$26:AN$300,Баланс!$F$26:$F$300,$F442,Баланс!$G$26:$G$300,"ПО")</f>
        <v>0</v>
      </c>
      <c r="AP442" s="562">
        <f ca="1">SUMIFS(Баланс!AO$26:AO$300,Баланс!$F$26:$F$300,$F442,Баланс!$G$26:$G$300,"ПО")</f>
        <v>0</v>
      </c>
      <c r="AQ442" s="562">
        <f ca="1">SUMIFS(Баланс!AP$26:AP$300,Баланс!$F$26:$F$300,$F442,Баланс!$G$26:$G$300,"ПО")</f>
        <v>0</v>
      </c>
      <c r="AR442" s="562">
        <f ca="1">SUMIFS(Баланс!AQ$26:AQ$300,Баланс!$F$26:$F$300,$F442,Баланс!$G$26:$G$300,"ПО")</f>
        <v>0</v>
      </c>
      <c r="AS442" s="562">
        <f ca="1">SUMIFS(Баланс!AR$26:AR$300,Баланс!$F$26:$F$300,$F442,Баланс!$G$26:$G$300,"ПО")</f>
        <v>0</v>
      </c>
      <c r="AT442" s="562">
        <f ca="1">SUMIFS(Баланс!AS$26:AS$300,Баланс!$F$26:$F$300,$F442,Баланс!$G$26:$G$300,"ПО")</f>
        <v>948.16300000000001</v>
      </c>
      <c r="AU442" s="562">
        <f ca="1">SUMIFS(Баланс!AT$26:AT$300,Баланс!$F$26:$F$300,$F442,Баланс!$G$26:$G$300,"ПО")</f>
        <v>0</v>
      </c>
      <c r="AV442" s="562">
        <f ca="1">SUMIFS(Баланс!AU$26:AU$300,Баланс!$F$26:$F$300,$F442,Баланс!$G$26:$G$300,"ПО")</f>
        <v>0</v>
      </c>
      <c r="AW442" s="562">
        <f ca="1">SUMIFS(Баланс!AV$26:AV$300,Баланс!$F$26:$F$300,$F442,Баланс!$G$26:$G$300,"ПО")</f>
        <v>0</v>
      </c>
      <c r="AX442" s="562">
        <f ca="1">SUMIFS(Баланс!AW$26:AW$300,Баланс!$F$26:$F$300,$F442,Баланс!$G$26:$G$300,"ПО")</f>
        <v>0</v>
      </c>
      <c r="AY442" s="562">
        <f ca="1">SUMIFS(Баланс!AX$26:AX$300,Баланс!$F$26:$F$300,$F442,Баланс!$G$26:$G$300,"ПО")</f>
        <v>0</v>
      </c>
      <c r="AZ442" s="562">
        <f ca="1">SUMIFS(Баланс!AY$26:AY$300,Баланс!$F$26:$F$300,$F442,Баланс!$G$26:$G$300,"ПО")</f>
        <v>0</v>
      </c>
      <c r="BA442" s="562">
        <f ca="1">SUMIFS(Баланс!AZ$26:AZ$300,Баланс!$F$26:$F$300,$F442,Баланс!$G$26:$G$300,"ПО")</f>
        <v>0</v>
      </c>
      <c r="BB442" s="562">
        <f ca="1">SUMIFS(Баланс!BA$26:BA$300,Баланс!$F$26:$F$300,$F442,Баланс!$G$26:$G$300,"ПО")</f>
        <v>0</v>
      </c>
      <c r="BC442" s="562">
        <f ca="1">SUMIFS(Баланс!BB$26:BB$300,Баланс!$F$26:$F$300,$F442,Баланс!$G$26:$G$300,"ПО")</f>
        <v>0</v>
      </c>
      <c r="BD442" s="148"/>
      <c r="BE442" s="148"/>
      <c r="BF442" s="148"/>
      <c r="BG442" s="148"/>
      <c r="BH442" s="148"/>
      <c r="BI442" s="148"/>
      <c r="BJ442" s="148"/>
      <c r="BK442" s="148"/>
      <c r="BL442" s="148"/>
      <c r="BM442" s="148"/>
      <c r="BN442" s="215"/>
      <c r="BO442" s="215"/>
      <c r="BP442" s="215"/>
      <c r="BQ442" s="95"/>
      <c r="BR442" s="95"/>
      <c r="BS442" s="704" t="s">
        <v>1868</v>
      </c>
      <c r="BT442" s="711"/>
      <c r="BU442" s="711"/>
      <c r="BV442" s="522"/>
      <c r="BW442" s="522"/>
    </row>
    <row r="443" spans="1:75" ht="14.65" customHeight="1">
      <c r="D443" s="44" cm="1">
        <f t="array" ref="D443">D442</f>
        <v>11</v>
      </c>
      <c r="E443" s="518">
        <v>15</v>
      </c>
      <c r="F443" s="3" t="str" cm="1">
        <f t="array" aca="1" ref="F443" ca="1">OFFSET(E443,-1,1)</f>
        <v>2</v>
      </c>
      <c r="G443" s="91" t="s">
        <v>1660</v>
      </c>
      <c r="I443" s="91" t="s">
        <v>2194</v>
      </c>
      <c r="K443" s="91" t="s">
        <v>2194</v>
      </c>
      <c r="L443" s="44" t="s">
        <v>1869</v>
      </c>
      <c r="M443" s="44"/>
      <c r="T443" s="365" t="b" cm="1">
        <f t="array" aca="1" ref="T443" ca="1">T442</f>
        <v>1</v>
      </c>
      <c r="X443" s="1075"/>
      <c r="Z443" s="1065"/>
      <c r="AB443" s="26" t="str">
        <f>D443&amp;".1"</f>
        <v>11.1</v>
      </c>
      <c r="AC443" s="146" t="s">
        <v>1871</v>
      </c>
      <c r="AD443" s="26" t="s">
        <v>534</v>
      </c>
      <c r="AE443" s="455">
        <v>472.91564139040003</v>
      </c>
      <c r="AF443" s="455">
        <f ca="1">IF(AF$24="2026 год",AF442/12*9,AF442/2)</f>
        <v>474.08150000000001</v>
      </c>
      <c r="AG443" s="455">
        <f ca="1">IF(AG$24="2026 год",AG442/12*9,AG442/2)</f>
        <v>474.08150000000001</v>
      </c>
      <c r="AH443" s="568">
        <f t="shared" ca="1" si="116"/>
        <v>0</v>
      </c>
      <c r="AI443" s="455">
        <v>474.98349999999999</v>
      </c>
      <c r="AJ443" s="455">
        <f t="shared" ref="AJ443:BC443" ca="1" si="117">IF(AJ$24="2026 год",AJ442/12*9,AJ442/2)</f>
        <v>704.20274999999992</v>
      </c>
      <c r="AK443" s="785">
        <f t="shared" ca="1" si="117"/>
        <v>0</v>
      </c>
      <c r="AL443" s="785">
        <f t="shared" ca="1" si="117"/>
        <v>0</v>
      </c>
      <c r="AM443" s="785">
        <f t="shared" ca="1" si="117"/>
        <v>0</v>
      </c>
      <c r="AN443" s="785">
        <f t="shared" ca="1" si="117"/>
        <v>0</v>
      </c>
      <c r="AO443" s="785">
        <f t="shared" ca="1" si="117"/>
        <v>0</v>
      </c>
      <c r="AP443" s="785">
        <f t="shared" ca="1" si="117"/>
        <v>0</v>
      </c>
      <c r="AQ443" s="785">
        <f t="shared" ca="1" si="117"/>
        <v>0</v>
      </c>
      <c r="AR443" s="785">
        <f t="shared" ca="1" si="117"/>
        <v>0</v>
      </c>
      <c r="AS443" s="785">
        <f t="shared" ca="1" si="117"/>
        <v>0</v>
      </c>
      <c r="AT443" s="455">
        <f t="shared" ca="1" si="117"/>
        <v>711.12225000000001</v>
      </c>
      <c r="AU443" s="785">
        <f t="shared" ca="1" si="117"/>
        <v>0</v>
      </c>
      <c r="AV443" s="785">
        <f t="shared" ca="1" si="117"/>
        <v>0</v>
      </c>
      <c r="AW443" s="785">
        <f t="shared" ca="1" si="117"/>
        <v>0</v>
      </c>
      <c r="AX443" s="785">
        <f t="shared" ca="1" si="117"/>
        <v>0</v>
      </c>
      <c r="AY443" s="785">
        <f t="shared" ca="1" si="117"/>
        <v>0</v>
      </c>
      <c r="AZ443" s="785">
        <f t="shared" ca="1" si="117"/>
        <v>0</v>
      </c>
      <c r="BA443" s="785">
        <f t="shared" ca="1" si="117"/>
        <v>0</v>
      </c>
      <c r="BB443" s="785">
        <f t="shared" ca="1" si="117"/>
        <v>0</v>
      </c>
      <c r="BC443" s="785">
        <f t="shared" ca="1" si="117"/>
        <v>0</v>
      </c>
      <c r="BD443" s="552"/>
      <c r="BE443" s="552"/>
      <c r="BF443" s="552"/>
      <c r="BG443" s="552"/>
      <c r="BH443" s="552"/>
      <c r="BI443" s="552"/>
      <c r="BJ443" s="552"/>
      <c r="BK443" s="552"/>
      <c r="BL443" s="552"/>
      <c r="BM443" s="552"/>
      <c r="BN443" s="215"/>
      <c r="BO443" s="215"/>
      <c r="BP443" s="215"/>
      <c r="BS443" s="703" t="s">
        <v>1872</v>
      </c>
    </row>
    <row r="444" spans="1:75" ht="54.75" customHeight="1">
      <c r="D444" s="44" cm="1">
        <f t="array" ref="D444">D443</f>
        <v>11</v>
      </c>
      <c r="E444" s="518">
        <v>15</v>
      </c>
      <c r="F444" s="3" t="str" cm="1">
        <f t="array" aca="1" ref="F444" ca="1">OFFSET(E444,-1,1)</f>
        <v>2</v>
      </c>
      <c r="G444" s="91" t="s">
        <v>1621</v>
      </c>
      <c r="I444" s="91" t="s">
        <v>2195</v>
      </c>
      <c r="K444" s="91" t="s">
        <v>2195</v>
      </c>
      <c r="L444" s="44" t="s">
        <v>1873</v>
      </c>
      <c r="M444" s="44"/>
      <c r="T444" s="365" t="b" cm="1">
        <f t="array" aca="1" ref="T444" ca="1">T443</f>
        <v>1</v>
      </c>
      <c r="X444" s="1075"/>
      <c r="Z444" s="1065"/>
      <c r="AB444" s="26" t="str">
        <f>D444&amp;".2"</f>
        <v>11.2</v>
      </c>
      <c r="AC444" s="146" t="s">
        <v>1875</v>
      </c>
      <c r="AD444" s="26" t="s">
        <v>1624</v>
      </c>
      <c r="AE444" s="147">
        <v>32.56</v>
      </c>
      <c r="AF444" s="147">
        <v>40.013082675869001</v>
      </c>
      <c r="AG444" s="147">
        <v>39.377385908972698</v>
      </c>
      <c r="AH444" s="190">
        <f t="shared" si="116"/>
        <v>-0.63569676689630228</v>
      </c>
      <c r="AI444" s="147">
        <v>37.1</v>
      </c>
      <c r="AJ444" s="147">
        <v>74.062496205815705</v>
      </c>
      <c r="AK444" s="787"/>
      <c r="AL444" s="787"/>
      <c r="AM444" s="787"/>
      <c r="AN444" s="787"/>
      <c r="AO444" s="787"/>
      <c r="AP444" s="787"/>
      <c r="AQ444" s="787"/>
      <c r="AR444" s="787"/>
      <c r="AS444" s="787"/>
      <c r="AT444" s="147" cm="1">
        <f t="array" ref="AT444">AI446</f>
        <v>40.9199998044</v>
      </c>
      <c r="AU444" s="787" cm="1">
        <f t="array" aca="1" ref="AU444" ca="1">AT446</f>
        <v>43.819995458486737</v>
      </c>
      <c r="AV444" s="787" cm="1">
        <f t="array" aca="1" ref="AV444" ca="1">AU446</f>
        <v>0</v>
      </c>
      <c r="AW444" s="787" cm="1">
        <f t="array" aca="1" ref="AW444" ca="1">AV446</f>
        <v>0</v>
      </c>
      <c r="AX444" s="787" cm="1">
        <f t="array" aca="1" ref="AX444" ca="1">AW446</f>
        <v>0</v>
      </c>
      <c r="AY444" s="787" cm="1">
        <f t="array" aca="1" ref="AY444" ca="1">AX446</f>
        <v>0</v>
      </c>
      <c r="AZ444" s="787" cm="1">
        <f t="array" aca="1" ref="AZ444" ca="1">AY446</f>
        <v>0</v>
      </c>
      <c r="BA444" s="787" cm="1">
        <f t="array" aca="1" ref="BA444" ca="1">AZ446</f>
        <v>0</v>
      </c>
      <c r="BB444" s="787" cm="1">
        <f t="array" aca="1" ref="BB444" ca="1">BA446</f>
        <v>0</v>
      </c>
      <c r="BC444" s="787" cm="1">
        <f t="array" aca="1" ref="BC444" ca="1">BB446</f>
        <v>0</v>
      </c>
      <c r="BD444" s="552"/>
      <c r="BE444" s="552"/>
      <c r="BF444" s="552"/>
      <c r="BG444" s="552"/>
      <c r="BH444" s="552"/>
      <c r="BI444" s="552"/>
      <c r="BJ444" s="552"/>
      <c r="BK444" s="552"/>
      <c r="BL444" s="552"/>
      <c r="BM444" s="552"/>
      <c r="BN444" s="215"/>
      <c r="BO444" s="215" t="s">
        <v>2215</v>
      </c>
      <c r="BP444" s="215"/>
      <c r="BS444" s="703" t="s">
        <v>1876</v>
      </c>
    </row>
    <row r="445" spans="1:75" ht="14.25" customHeight="1">
      <c r="D445" s="44" cm="1">
        <f t="array" ref="D445">D444</f>
        <v>11</v>
      </c>
      <c r="E445" s="518">
        <v>15</v>
      </c>
      <c r="F445" s="3" t="str" cm="1">
        <f t="array" aca="1" ref="F445" ca="1">OFFSET(E445,-1,1)</f>
        <v>2</v>
      </c>
      <c r="G445" s="91" t="s">
        <v>1673</v>
      </c>
      <c r="I445" s="91" t="s">
        <v>2196</v>
      </c>
      <c r="K445" s="91" t="s">
        <v>2196</v>
      </c>
      <c r="L445" s="44" t="s">
        <v>1877</v>
      </c>
      <c r="M445" s="44"/>
      <c r="T445" s="365" t="b" cm="1">
        <f t="array" aca="1" ref="T445" ca="1">T444</f>
        <v>1</v>
      </c>
      <c r="X445" s="1075"/>
      <c r="Z445" s="1065"/>
      <c r="AB445" s="26" t="str">
        <f>D445&amp;".3"</f>
        <v>11.3</v>
      </c>
      <c r="AC445" s="146" t="s">
        <v>2197</v>
      </c>
      <c r="AD445" s="26" t="s">
        <v>534</v>
      </c>
      <c r="AE445" s="568">
        <f ca="1">AE442-AE443</f>
        <v>472.91564139039991</v>
      </c>
      <c r="AF445" s="568">
        <f ca="1">AF442-AF443</f>
        <v>474.08150000000001</v>
      </c>
      <c r="AG445" s="568">
        <f ca="1">AG442-AG443</f>
        <v>474.08150000000001</v>
      </c>
      <c r="AH445" s="568">
        <f t="shared" ca="1" si="116"/>
        <v>0</v>
      </c>
      <c r="AI445" s="568">
        <f t="shared" ref="AI445:BC445" ca="1" si="118">AI442-AI443</f>
        <v>474.98349999999999</v>
      </c>
      <c r="AJ445" s="568">
        <f t="shared" ca="1" si="118"/>
        <v>234.73424999999997</v>
      </c>
      <c r="AK445" s="568">
        <f t="shared" ca="1" si="118"/>
        <v>0</v>
      </c>
      <c r="AL445" s="568">
        <f t="shared" ca="1" si="118"/>
        <v>0</v>
      </c>
      <c r="AM445" s="568">
        <f t="shared" ca="1" si="118"/>
        <v>0</v>
      </c>
      <c r="AN445" s="568">
        <f t="shared" ca="1" si="118"/>
        <v>0</v>
      </c>
      <c r="AO445" s="568">
        <f t="shared" ca="1" si="118"/>
        <v>0</v>
      </c>
      <c r="AP445" s="568">
        <f t="shared" ca="1" si="118"/>
        <v>0</v>
      </c>
      <c r="AQ445" s="568">
        <f t="shared" ca="1" si="118"/>
        <v>0</v>
      </c>
      <c r="AR445" s="568">
        <f t="shared" ca="1" si="118"/>
        <v>0</v>
      </c>
      <c r="AS445" s="568">
        <f t="shared" ca="1" si="118"/>
        <v>0</v>
      </c>
      <c r="AT445" s="568">
        <f t="shared" ca="1" si="118"/>
        <v>237.04075</v>
      </c>
      <c r="AU445" s="568">
        <f t="shared" ca="1" si="118"/>
        <v>0</v>
      </c>
      <c r="AV445" s="568">
        <f t="shared" ca="1" si="118"/>
        <v>0</v>
      </c>
      <c r="AW445" s="568">
        <f t="shared" ca="1" si="118"/>
        <v>0</v>
      </c>
      <c r="AX445" s="568">
        <f t="shared" ca="1" si="118"/>
        <v>0</v>
      </c>
      <c r="AY445" s="568">
        <f t="shared" ca="1" si="118"/>
        <v>0</v>
      </c>
      <c r="AZ445" s="568">
        <f t="shared" ca="1" si="118"/>
        <v>0</v>
      </c>
      <c r="BA445" s="568">
        <f t="shared" ca="1" si="118"/>
        <v>0</v>
      </c>
      <c r="BB445" s="568">
        <f t="shared" ca="1" si="118"/>
        <v>0</v>
      </c>
      <c r="BC445" s="568">
        <f t="shared" ca="1" si="118"/>
        <v>0</v>
      </c>
      <c r="BD445" s="552"/>
      <c r="BE445" s="552"/>
      <c r="BF445" s="552"/>
      <c r="BG445" s="552"/>
      <c r="BH445" s="552"/>
      <c r="BI445" s="552"/>
      <c r="BJ445" s="552"/>
      <c r="BK445" s="552"/>
      <c r="BL445" s="552"/>
      <c r="BM445" s="552"/>
      <c r="BN445" s="215"/>
      <c r="BO445" s="215"/>
      <c r="BP445" s="215"/>
      <c r="BS445" s="703" t="s">
        <v>1880</v>
      </c>
    </row>
    <row r="446" spans="1:75" ht="14.65" customHeight="1">
      <c r="D446" s="44" cm="1">
        <f t="array" ref="D446">D445</f>
        <v>11</v>
      </c>
      <c r="E446" s="518">
        <v>15</v>
      </c>
      <c r="F446" s="3" t="str" cm="1">
        <f t="array" aca="1" ref="F446" ca="1">OFFSET(E446,-1,1)</f>
        <v>2</v>
      </c>
      <c r="G446" s="91" t="s">
        <v>1626</v>
      </c>
      <c r="I446" s="91" t="s">
        <v>2198</v>
      </c>
      <c r="K446" s="91" t="s">
        <v>2198</v>
      </c>
      <c r="L446" s="44" t="s">
        <v>1881</v>
      </c>
      <c r="M446" s="44"/>
      <c r="T446" s="365" t="b" cm="1">
        <f t="array" aca="1" ref="T446" ca="1">T445</f>
        <v>1</v>
      </c>
      <c r="X446" s="1075"/>
      <c r="Z446" s="1065"/>
      <c r="AB446" s="26" t="str">
        <f>D446&amp;".4"</f>
        <v>11.4</v>
      </c>
      <c r="AC446" s="146" t="s">
        <v>1883</v>
      </c>
      <c r="AD446" s="26" t="s">
        <v>1624</v>
      </c>
      <c r="AE446" s="147">
        <v>37.100001194299999</v>
      </c>
      <c r="AF446" s="147">
        <f ca="1">IF(AF445=0,0,(AF439-AF443*AF444)/AF445)</f>
        <v>40.013073099456562</v>
      </c>
      <c r="AG446" s="147">
        <f ca="1">IF(AG445=0,0,(AG439-AG443*AG444)/AG445)</f>
        <v>39.377376332560246</v>
      </c>
      <c r="AH446" s="190">
        <f t="shared" ca="1" si="116"/>
        <v>-0.63569676689631649</v>
      </c>
      <c r="AI446" s="147">
        <v>40.9199998044</v>
      </c>
      <c r="AJ446" s="147">
        <f t="shared" ref="AJ446:BC446" ca="1" si="119">IF(AJ445=0,0,(AJ439-AJ443*AJ444)/AJ445)</f>
        <v>74.0624777168224</v>
      </c>
      <c r="AK446" s="787">
        <f t="shared" ca="1" si="119"/>
        <v>0</v>
      </c>
      <c r="AL446" s="787">
        <f t="shared" ca="1" si="119"/>
        <v>0</v>
      </c>
      <c r="AM446" s="787">
        <f t="shared" ca="1" si="119"/>
        <v>0</v>
      </c>
      <c r="AN446" s="787">
        <f t="shared" ca="1" si="119"/>
        <v>0</v>
      </c>
      <c r="AO446" s="787">
        <f t="shared" ca="1" si="119"/>
        <v>0</v>
      </c>
      <c r="AP446" s="787">
        <f t="shared" ca="1" si="119"/>
        <v>0</v>
      </c>
      <c r="AQ446" s="787">
        <f t="shared" ca="1" si="119"/>
        <v>0</v>
      </c>
      <c r="AR446" s="787">
        <f t="shared" ca="1" si="119"/>
        <v>0</v>
      </c>
      <c r="AS446" s="787">
        <f t="shared" ca="1" si="119"/>
        <v>0</v>
      </c>
      <c r="AT446" s="147">
        <f t="shared" ca="1" si="119"/>
        <v>43.819995458486737</v>
      </c>
      <c r="AU446" s="787">
        <f t="shared" ca="1" si="119"/>
        <v>0</v>
      </c>
      <c r="AV446" s="787">
        <f t="shared" ca="1" si="119"/>
        <v>0</v>
      </c>
      <c r="AW446" s="787">
        <f t="shared" ca="1" si="119"/>
        <v>0</v>
      </c>
      <c r="AX446" s="787">
        <f t="shared" ca="1" si="119"/>
        <v>0</v>
      </c>
      <c r="AY446" s="787">
        <f t="shared" ca="1" si="119"/>
        <v>0</v>
      </c>
      <c r="AZ446" s="787">
        <f t="shared" ca="1" si="119"/>
        <v>0</v>
      </c>
      <c r="BA446" s="787">
        <f t="shared" ca="1" si="119"/>
        <v>0</v>
      </c>
      <c r="BB446" s="787">
        <f t="shared" ca="1" si="119"/>
        <v>0</v>
      </c>
      <c r="BC446" s="787">
        <f t="shared" ca="1" si="119"/>
        <v>0</v>
      </c>
      <c r="BD446" s="552"/>
      <c r="BE446" s="552"/>
      <c r="BF446" s="552"/>
      <c r="BG446" s="552"/>
      <c r="BH446" s="552"/>
      <c r="BI446" s="552"/>
      <c r="BJ446" s="552"/>
      <c r="BK446" s="552"/>
      <c r="BL446" s="552"/>
      <c r="BM446" s="552"/>
      <c r="BN446" s="215"/>
      <c r="BO446" s="215"/>
      <c r="BP446" s="215"/>
      <c r="BS446" s="703" t="s">
        <v>1884</v>
      </c>
    </row>
    <row r="447" spans="1:75" ht="14.25" customHeight="1">
      <c r="D447" s="44" cm="1">
        <f t="array" ref="D447">D446</f>
        <v>11</v>
      </c>
      <c r="E447" s="518">
        <v>15</v>
      </c>
      <c r="F447" s="3" t="str" cm="1">
        <f t="array" aca="1" ref="F447" ca="1">OFFSET(E447,-1,1)</f>
        <v>2</v>
      </c>
      <c r="I447" s="91" t="s">
        <v>2199</v>
      </c>
      <c r="K447" s="91" t="s">
        <v>2199</v>
      </c>
      <c r="L447" s="44" t="s">
        <v>1885</v>
      </c>
      <c r="M447" s="44"/>
      <c r="T447" s="365" t="b" cm="1">
        <f t="array" aca="1" ref="T447" ca="1">T446</f>
        <v>1</v>
      </c>
      <c r="X447" s="1075"/>
      <c r="Z447" s="1065"/>
      <c r="AB447" s="26" t="str">
        <f>D447&amp;".5"</f>
        <v>11.5</v>
      </c>
      <c r="AC447" s="146" t="s">
        <v>1887</v>
      </c>
      <c r="AD447" s="26" t="s">
        <v>456</v>
      </c>
      <c r="AE447" s="190">
        <f>IF(AE444=0,0,AE446/AE444*100)</f>
        <v>113.94349261148649</v>
      </c>
      <c r="AF447" s="190">
        <f ca="1">IF(AF444=0,0,AF446/AF444*100)</f>
        <v>99.999976066796663</v>
      </c>
      <c r="AG447" s="190">
        <f ca="1">IF(AG444=0,0,AG446/AG444*100)</f>
        <v>99.999975680426132</v>
      </c>
      <c r="AH447" s="552"/>
      <c r="AI447" s="190">
        <f t="shared" ref="AI447:BC447" si="120">IF(AI444=0,0,AI446/AI444*100)</f>
        <v>110.29649542964958</v>
      </c>
      <c r="AJ447" s="190">
        <f t="shared" ca="1" si="120"/>
        <v>99.999975035957121</v>
      </c>
      <c r="AK447" s="190">
        <f t="shared" si="120"/>
        <v>0</v>
      </c>
      <c r="AL447" s="190">
        <f t="shared" si="120"/>
        <v>0</v>
      </c>
      <c r="AM447" s="190">
        <f t="shared" si="120"/>
        <v>0</v>
      </c>
      <c r="AN447" s="190">
        <f t="shared" si="120"/>
        <v>0</v>
      </c>
      <c r="AO447" s="190">
        <f t="shared" si="120"/>
        <v>0</v>
      </c>
      <c r="AP447" s="190">
        <f t="shared" si="120"/>
        <v>0</v>
      </c>
      <c r="AQ447" s="190">
        <f t="shared" si="120"/>
        <v>0</v>
      </c>
      <c r="AR447" s="190">
        <f t="shared" si="120"/>
        <v>0</v>
      </c>
      <c r="AS447" s="190">
        <f t="shared" si="120"/>
        <v>0</v>
      </c>
      <c r="AT447" s="190">
        <f t="shared" ca="1" si="120"/>
        <v>107.08698843584772</v>
      </c>
      <c r="AU447" s="190">
        <f t="shared" ca="1" si="120"/>
        <v>0</v>
      </c>
      <c r="AV447" s="190">
        <f t="shared" ca="1" si="120"/>
        <v>0</v>
      </c>
      <c r="AW447" s="190">
        <f t="shared" ca="1" si="120"/>
        <v>0</v>
      </c>
      <c r="AX447" s="190">
        <f t="shared" ca="1" si="120"/>
        <v>0</v>
      </c>
      <c r="AY447" s="190">
        <f t="shared" ca="1" si="120"/>
        <v>0</v>
      </c>
      <c r="AZ447" s="190">
        <f t="shared" ca="1" si="120"/>
        <v>0</v>
      </c>
      <c r="BA447" s="190">
        <f t="shared" ca="1" si="120"/>
        <v>0</v>
      </c>
      <c r="BB447" s="190">
        <f t="shared" ca="1" si="120"/>
        <v>0</v>
      </c>
      <c r="BC447" s="190">
        <f t="shared" ca="1" si="120"/>
        <v>0</v>
      </c>
      <c r="BD447" s="552"/>
      <c r="BE447" s="552"/>
      <c r="BF447" s="552"/>
      <c r="BG447" s="552"/>
      <c r="BH447" s="552"/>
      <c r="BI447" s="552"/>
      <c r="BJ447" s="552"/>
      <c r="BK447" s="552"/>
      <c r="BL447" s="552"/>
      <c r="BM447" s="552"/>
      <c r="BN447" s="215"/>
      <c r="BO447" s="215"/>
      <c r="BP447" s="215"/>
      <c r="BS447" s="703" t="s">
        <v>1888</v>
      </c>
    </row>
    <row r="448" spans="1:75" ht="14.65" customHeight="1">
      <c r="D448" s="44" cm="1">
        <f t="array" ref="D448">D447</f>
        <v>11</v>
      </c>
      <c r="E448" s="518">
        <v>15</v>
      </c>
      <c r="F448" s="3" t="str" cm="1">
        <f t="array" aca="1" ref="F448" ca="1">OFFSET(E448,-1,1)</f>
        <v>2</v>
      </c>
      <c r="I448" s="91" t="s">
        <v>2200</v>
      </c>
      <c r="K448" s="91" t="s">
        <v>2200</v>
      </c>
      <c r="L448" s="44" t="s">
        <v>1889</v>
      </c>
      <c r="M448" s="44"/>
      <c r="T448" s="365" t="b" cm="1">
        <f t="array" aca="1" ref="T448" ca="1">T447</f>
        <v>1</v>
      </c>
      <c r="X448" s="1075"/>
      <c r="Z448" s="1065"/>
      <c r="AB448" s="26" t="str">
        <f>D448&amp;".6"</f>
        <v>11.6</v>
      </c>
      <c r="AC448" s="146" t="s">
        <v>1891</v>
      </c>
      <c r="AD448" s="26" t="s">
        <v>1624</v>
      </c>
      <c r="AE448" s="147">
        <v>34.830000597100003</v>
      </c>
      <c r="AF448" s="147">
        <f ca="1">IF(AF442=0,0,AF439/AF442)</f>
        <v>40.013077887662782</v>
      </c>
      <c r="AG448" s="147">
        <f ca="1">IF(AG442=0,0,AG439/AG442)</f>
        <v>39.377381120766472</v>
      </c>
      <c r="AH448" s="190">
        <f ca="1">AG448-AF448</f>
        <v>-0.63569676689630938</v>
      </c>
      <c r="AI448" s="147">
        <v>39.009999902200001</v>
      </c>
      <c r="AJ448" s="147">
        <f t="shared" ref="AJ448:BC448" ca="1" si="121">IF(AJ442=0,0,AJ439/AJ442)</f>
        <v>74.062491583567379</v>
      </c>
      <c r="AK448" s="787">
        <f t="shared" ca="1" si="121"/>
        <v>0</v>
      </c>
      <c r="AL448" s="787">
        <f t="shared" ca="1" si="121"/>
        <v>0</v>
      </c>
      <c r="AM448" s="787">
        <f t="shared" ca="1" si="121"/>
        <v>0</v>
      </c>
      <c r="AN448" s="787">
        <f t="shared" ca="1" si="121"/>
        <v>0</v>
      </c>
      <c r="AO448" s="787">
        <f t="shared" ca="1" si="121"/>
        <v>0</v>
      </c>
      <c r="AP448" s="787">
        <f t="shared" ca="1" si="121"/>
        <v>0</v>
      </c>
      <c r="AQ448" s="787">
        <f t="shared" ca="1" si="121"/>
        <v>0</v>
      </c>
      <c r="AR448" s="787">
        <f t="shared" ca="1" si="121"/>
        <v>0</v>
      </c>
      <c r="AS448" s="787">
        <f t="shared" ca="1" si="121"/>
        <v>0</v>
      </c>
      <c r="AT448" s="147">
        <f t="shared" ca="1" si="121"/>
        <v>41.644998717921681</v>
      </c>
      <c r="AU448" s="787">
        <f t="shared" ca="1" si="121"/>
        <v>0</v>
      </c>
      <c r="AV448" s="787">
        <f t="shared" ca="1" si="121"/>
        <v>0</v>
      </c>
      <c r="AW448" s="787">
        <f t="shared" ca="1" si="121"/>
        <v>0</v>
      </c>
      <c r="AX448" s="787">
        <f t="shared" ca="1" si="121"/>
        <v>0</v>
      </c>
      <c r="AY448" s="787">
        <f t="shared" ca="1" si="121"/>
        <v>0</v>
      </c>
      <c r="AZ448" s="787">
        <f t="shared" ca="1" si="121"/>
        <v>0</v>
      </c>
      <c r="BA448" s="787">
        <f t="shared" ca="1" si="121"/>
        <v>0</v>
      </c>
      <c r="BB448" s="787">
        <f t="shared" ca="1" si="121"/>
        <v>0</v>
      </c>
      <c r="BC448" s="787">
        <f t="shared" ca="1" si="121"/>
        <v>0</v>
      </c>
      <c r="BD448" s="552"/>
      <c r="BE448" s="552"/>
      <c r="BF448" s="552"/>
      <c r="BG448" s="552"/>
      <c r="BH448" s="552"/>
      <c r="BI448" s="552"/>
      <c r="BJ448" s="552"/>
      <c r="BK448" s="552"/>
      <c r="BL448" s="552"/>
      <c r="BM448" s="552"/>
      <c r="BN448" s="215"/>
      <c r="BO448" s="215"/>
      <c r="BP448" s="215"/>
      <c r="BS448" s="703" t="s">
        <v>1892</v>
      </c>
    </row>
    <row r="449" spans="1:75" s="950" customFormat="1" ht="20.45" customHeight="1">
      <c r="A449" s="95"/>
      <c r="B449" s="344"/>
      <c r="C449" s="95"/>
      <c r="D449" s="46">
        <f>D448+1</f>
        <v>12</v>
      </c>
      <c r="E449" s="522">
        <v>21</v>
      </c>
      <c r="F449" s="3" t="str" cm="1">
        <f t="array" aca="1" ref="F449" ca="1">OFFSET(E449,-1,1)</f>
        <v>2</v>
      </c>
      <c r="G449" s="95"/>
      <c r="H449" s="91"/>
      <c r="I449" s="91" t="s">
        <v>1897</v>
      </c>
      <c r="J449" s="95"/>
      <c r="K449" s="91" t="s">
        <v>1897</v>
      </c>
      <c r="L449" s="46" t="s">
        <v>1893</v>
      </c>
      <c r="M449" s="46"/>
      <c r="N449" s="95"/>
      <c r="O449" s="95"/>
      <c r="P449" s="95"/>
      <c r="Q449" s="95"/>
      <c r="R449" s="95"/>
      <c r="S449" s="95"/>
      <c r="T449" s="365" t="b" cm="1">
        <f t="array" aca="1" ref="T449" ca="1">T448</f>
        <v>1</v>
      </c>
      <c r="U449" s="95"/>
      <c r="V449" s="95"/>
      <c r="W449" s="95"/>
      <c r="X449" s="1075"/>
      <c r="Y449" s="95"/>
      <c r="Z449" s="1065"/>
      <c r="AA449" s="95"/>
      <c r="AB449" s="143" cm="1">
        <f t="array" ref="AB449">D449</f>
        <v>12</v>
      </c>
      <c r="AC449" s="144" t="s">
        <v>1895</v>
      </c>
      <c r="AD449" s="143" t="s">
        <v>804</v>
      </c>
      <c r="AE449" s="157">
        <v>20913.9344351697</v>
      </c>
      <c r="AF449" s="157">
        <f ca="1">IF(AF442=0,0,AF439/AF442*AF450)</f>
        <v>23895.04986603235</v>
      </c>
      <c r="AG449" s="157">
        <f ca="1">IF(AG442=0,0,AG439/AG442*AG450)</f>
        <v>23515.423835080444</v>
      </c>
      <c r="AH449" s="145">
        <f ca="1">AH451*AH452+AH453*AH454</f>
        <v>0</v>
      </c>
      <c r="AI449" s="157">
        <v>23857.462670193701</v>
      </c>
      <c r="AJ449" s="157">
        <f t="shared" ref="AJ449:BC449" ca="1" si="122">IF(AJ442=0,0,AJ439/AJ442*AJ450)</f>
        <v>44471.341508794118</v>
      </c>
      <c r="AK449" s="783">
        <f t="shared" ca="1" si="122"/>
        <v>0</v>
      </c>
      <c r="AL449" s="783">
        <f t="shared" ca="1" si="122"/>
        <v>0</v>
      </c>
      <c r="AM449" s="783">
        <f t="shared" ca="1" si="122"/>
        <v>0</v>
      </c>
      <c r="AN449" s="783">
        <f t="shared" ca="1" si="122"/>
        <v>0</v>
      </c>
      <c r="AO449" s="783">
        <f t="shared" ca="1" si="122"/>
        <v>0</v>
      </c>
      <c r="AP449" s="783">
        <f t="shared" ca="1" si="122"/>
        <v>0</v>
      </c>
      <c r="AQ449" s="783">
        <f t="shared" ca="1" si="122"/>
        <v>0</v>
      </c>
      <c r="AR449" s="783">
        <f t="shared" ca="1" si="122"/>
        <v>0</v>
      </c>
      <c r="AS449" s="783">
        <f t="shared" ca="1" si="122"/>
        <v>0</v>
      </c>
      <c r="AT449" s="157">
        <f t="shared" ca="1" si="122"/>
        <v>24869.601979367188</v>
      </c>
      <c r="AU449" s="783">
        <f t="shared" ca="1" si="122"/>
        <v>0</v>
      </c>
      <c r="AV449" s="783">
        <f t="shared" ca="1" si="122"/>
        <v>0</v>
      </c>
      <c r="AW449" s="783">
        <f t="shared" ca="1" si="122"/>
        <v>0</v>
      </c>
      <c r="AX449" s="783">
        <f t="shared" ca="1" si="122"/>
        <v>0</v>
      </c>
      <c r="AY449" s="783">
        <f t="shared" ca="1" si="122"/>
        <v>0</v>
      </c>
      <c r="AZ449" s="783">
        <f t="shared" ca="1" si="122"/>
        <v>0</v>
      </c>
      <c r="BA449" s="783">
        <f t="shared" ca="1" si="122"/>
        <v>0</v>
      </c>
      <c r="BB449" s="783">
        <f t="shared" ca="1" si="122"/>
        <v>0</v>
      </c>
      <c r="BC449" s="783">
        <f t="shared" ca="1" si="122"/>
        <v>0</v>
      </c>
      <c r="BD449" s="145">
        <f ca="1">IF(AI449=0,0,(AT449-AI449)/AI449*100)</f>
        <v>4.2424432269488639</v>
      </c>
      <c r="BE449" s="145">
        <f t="shared" ref="BE449:BM449" ca="1" si="123">IF(AT449=0,0,(AU449-AT449)/AT449*100)</f>
        <v>-100</v>
      </c>
      <c r="BF449" s="145">
        <f t="shared" ca="1" si="123"/>
        <v>0</v>
      </c>
      <c r="BG449" s="145">
        <f t="shared" ca="1" si="123"/>
        <v>0</v>
      </c>
      <c r="BH449" s="145">
        <f t="shared" ca="1" si="123"/>
        <v>0</v>
      </c>
      <c r="BI449" s="145">
        <f t="shared" ca="1" si="123"/>
        <v>0</v>
      </c>
      <c r="BJ449" s="145">
        <f t="shared" ca="1" si="123"/>
        <v>0</v>
      </c>
      <c r="BK449" s="145">
        <f t="shared" ca="1" si="123"/>
        <v>0</v>
      </c>
      <c r="BL449" s="145">
        <f t="shared" ca="1" si="123"/>
        <v>0</v>
      </c>
      <c r="BM449" s="145">
        <f t="shared" ca="1" si="123"/>
        <v>0</v>
      </c>
      <c r="BN449" s="215"/>
      <c r="BO449" s="215"/>
      <c r="BP449" s="215"/>
      <c r="BQ449" s="95"/>
      <c r="BR449" s="95"/>
      <c r="BS449" s="704" t="s">
        <v>1896</v>
      </c>
      <c r="BT449" s="711"/>
      <c r="BU449" s="711"/>
      <c r="BV449" s="522"/>
      <c r="BW449" s="522"/>
    </row>
    <row r="450" spans="1:75" s="950" customFormat="1" ht="20.25" customHeight="1">
      <c r="A450" s="95"/>
      <c r="B450" s="344"/>
      <c r="C450" s="95"/>
      <c r="D450" s="46">
        <f>D449+1</f>
        <v>13</v>
      </c>
      <c r="E450" s="522">
        <v>21</v>
      </c>
      <c r="F450" s="3" t="str" cm="1">
        <f t="array" aca="1" ref="F450" ca="1">OFFSET(E450,-1,1)</f>
        <v>2</v>
      </c>
      <c r="G450" s="91" t="s">
        <v>1646</v>
      </c>
      <c r="H450" s="91"/>
      <c r="I450" s="91" t="s">
        <v>2201</v>
      </c>
      <c r="J450" s="95"/>
      <c r="K450" s="91" t="s">
        <v>2201</v>
      </c>
      <c r="L450" s="46" t="s">
        <v>1897</v>
      </c>
      <c r="M450" s="46"/>
      <c r="N450" s="95"/>
      <c r="O450" s="95"/>
      <c r="P450" s="95"/>
      <c r="Q450" s="95"/>
      <c r="R450" s="95"/>
      <c r="S450" s="95"/>
      <c r="T450" s="365" t="b" cm="1">
        <f t="array" aca="1" ref="T450" ca="1">T449</f>
        <v>1</v>
      </c>
      <c r="U450" s="95"/>
      <c r="V450" s="95"/>
      <c r="W450" s="95"/>
      <c r="X450" s="1075"/>
      <c r="Y450" s="95"/>
      <c r="Z450" s="1065"/>
      <c r="AA450" s="95"/>
      <c r="AB450" s="143" cm="1">
        <f t="array" ref="AB450">D450</f>
        <v>13</v>
      </c>
      <c r="AC450" s="144" t="s">
        <v>1899</v>
      </c>
      <c r="AD450" s="143" t="s">
        <v>534</v>
      </c>
      <c r="AE450" s="562">
        <f ca="1">SUMIFS(Баланс!AE$26:AE$300,Баланс!$F$26:$F$300,$F450,Баланс!$G$26:$G$300,"население")</f>
        <v>600.45748138409999</v>
      </c>
      <c r="AF450" s="562">
        <f ca="1">SUMIFS(Баланс!AF$26:AF$300,Баланс!$F$26:$F$300,$F450,Баланс!$G$26:$G$300,"население")</f>
        <v>597.18100000000004</v>
      </c>
      <c r="AG450" s="562">
        <f ca="1">SUMIFS(Баланс!AG$26:AG$300,Баланс!$F$26:$F$300,$F450,Баланс!$G$26:$G$300,"население")</f>
        <v>597.18100000000004</v>
      </c>
      <c r="AH450" s="562">
        <f ca="1">AG450-AF450</f>
        <v>0</v>
      </c>
      <c r="AI450" s="562">
        <f ca="1">SUMIFS(Баланс!AH$26:AH$300,Баланс!$F$26:$F$300,$F450,Баланс!$G$26:$G$300,"население")</f>
        <v>611.57299999999998</v>
      </c>
      <c r="AJ450" s="562">
        <f ca="1">SUMIFS(Баланс!AI$26:AI$300,Баланс!$F$26:$F$300,$F450,Баланс!$G$26:$G$300,"население")</f>
        <v>600.45699999999999</v>
      </c>
      <c r="AK450" s="562">
        <f ca="1">SUMIFS(Баланс!AJ$26:AJ$300,Баланс!$F$26:$F$300,$F450,Баланс!$G$26:$G$300,"население")</f>
        <v>0</v>
      </c>
      <c r="AL450" s="562">
        <f ca="1">SUMIFS(Баланс!AK$26:AK$300,Баланс!$F$26:$F$300,$F450,Баланс!$G$26:$G$300,"население")</f>
        <v>0</v>
      </c>
      <c r="AM450" s="562">
        <f ca="1">SUMIFS(Баланс!AL$26:AL$300,Баланс!$F$26:$F$300,$F450,Баланс!$G$26:$G$300,"население")</f>
        <v>0</v>
      </c>
      <c r="AN450" s="562">
        <f ca="1">SUMIFS(Баланс!AM$26:AM$300,Баланс!$F$26:$F$300,$F450,Баланс!$G$26:$G$300,"население")</f>
        <v>0</v>
      </c>
      <c r="AO450" s="562">
        <f ca="1">SUMIFS(Баланс!AN$26:AN$300,Баланс!$F$26:$F$300,$F450,Баланс!$G$26:$G$300,"население")</f>
        <v>0</v>
      </c>
      <c r="AP450" s="562">
        <f ca="1">SUMIFS(Баланс!AO$26:AO$300,Баланс!$F$26:$F$300,$F450,Баланс!$G$26:$G$300,"население")</f>
        <v>0</v>
      </c>
      <c r="AQ450" s="562">
        <f ca="1">SUMIFS(Баланс!AP$26:AP$300,Баланс!$F$26:$F$300,$F450,Баланс!$G$26:$G$300,"население")</f>
        <v>0</v>
      </c>
      <c r="AR450" s="562">
        <f ca="1">SUMIFS(Баланс!AQ$26:AQ$300,Баланс!$F$26:$F$300,$F450,Баланс!$G$26:$G$300,"население")</f>
        <v>0</v>
      </c>
      <c r="AS450" s="562">
        <f ca="1">SUMIFS(Баланс!AR$26:AR$300,Баланс!$F$26:$F$300,$F450,Баланс!$G$26:$G$300,"население")</f>
        <v>0</v>
      </c>
      <c r="AT450" s="562">
        <f ca="1">SUMIFS(Баланс!AS$26:AS$300,Баланс!$F$26:$F$300,$F450,Баланс!$G$26:$G$300,"население")</f>
        <v>597.18100000000004</v>
      </c>
      <c r="AU450" s="562">
        <f ca="1">SUMIFS(Баланс!AT$26:AT$300,Баланс!$F$26:$F$300,$F450,Баланс!$G$26:$G$300,"население")</f>
        <v>0</v>
      </c>
      <c r="AV450" s="562">
        <f ca="1">SUMIFS(Баланс!AU$26:AU$300,Баланс!$F$26:$F$300,$F450,Баланс!$G$26:$G$300,"население")</f>
        <v>0</v>
      </c>
      <c r="AW450" s="562">
        <f ca="1">SUMIFS(Баланс!AV$26:AV$300,Баланс!$F$26:$F$300,$F450,Баланс!$G$26:$G$300,"население")</f>
        <v>0</v>
      </c>
      <c r="AX450" s="562">
        <f ca="1">SUMIFS(Баланс!AW$26:AW$300,Баланс!$F$26:$F$300,$F450,Баланс!$G$26:$G$300,"население")</f>
        <v>0</v>
      </c>
      <c r="AY450" s="562">
        <f ca="1">SUMIFS(Баланс!AX$26:AX$300,Баланс!$F$26:$F$300,$F450,Баланс!$G$26:$G$300,"население")</f>
        <v>0</v>
      </c>
      <c r="AZ450" s="562">
        <f ca="1">SUMIFS(Баланс!AY$26:AY$300,Баланс!$F$26:$F$300,$F450,Баланс!$G$26:$G$300,"население")</f>
        <v>0</v>
      </c>
      <c r="BA450" s="562">
        <f ca="1">SUMIFS(Баланс!AZ$26:AZ$300,Баланс!$F$26:$F$300,$F450,Баланс!$G$26:$G$300,"население")</f>
        <v>0</v>
      </c>
      <c r="BB450" s="562">
        <f ca="1">SUMIFS(Баланс!BA$26:BA$300,Баланс!$F$26:$F$300,$F450,Баланс!$G$26:$G$300,"население")</f>
        <v>0</v>
      </c>
      <c r="BC450" s="562">
        <f ca="1">SUMIFS(Баланс!BB$26:BB$300,Баланс!$F$26:$F$300,$F450,Баланс!$G$26:$G$300,"население")</f>
        <v>0</v>
      </c>
      <c r="BD450" s="148"/>
      <c r="BE450" s="148"/>
      <c r="BF450" s="148"/>
      <c r="BG450" s="148"/>
      <c r="BH450" s="148"/>
      <c r="BI450" s="148"/>
      <c r="BJ450" s="148"/>
      <c r="BK450" s="148"/>
      <c r="BL450" s="148"/>
      <c r="BM450" s="148"/>
      <c r="BN450" s="215"/>
      <c r="BO450" s="215"/>
      <c r="BP450" s="215"/>
      <c r="BQ450" s="95"/>
      <c r="BR450" s="95"/>
      <c r="BS450" s="704" t="s">
        <v>1900</v>
      </c>
      <c r="BT450" s="711"/>
      <c r="BU450" s="711"/>
      <c r="BV450" s="522"/>
      <c r="BW450" s="522"/>
    </row>
    <row r="451" spans="1:75" ht="23.25" customHeight="1">
      <c r="D451" s="44" cm="1">
        <f t="array" ref="D451">D450</f>
        <v>13</v>
      </c>
      <c r="E451" s="518">
        <v>15</v>
      </c>
      <c r="F451" s="3" t="str" cm="1">
        <f t="array" aca="1" ref="F451" ca="1">OFFSET(E451,-1,1)</f>
        <v>2</v>
      </c>
      <c r="G451" s="91" t="s">
        <v>1680</v>
      </c>
      <c r="I451" s="91" t="s">
        <v>2202</v>
      </c>
      <c r="K451" s="91" t="s">
        <v>2202</v>
      </c>
      <c r="L451" s="44" t="s">
        <v>1901</v>
      </c>
      <c r="M451" s="44"/>
      <c r="T451" s="365" t="b" cm="1">
        <f t="array" aca="1" ref="T451" ca="1">T450</f>
        <v>1</v>
      </c>
      <c r="X451" s="1075"/>
      <c r="Z451" s="1065"/>
      <c r="AB451" s="26" t="str">
        <f>D451&amp;".1"</f>
        <v>13.1</v>
      </c>
      <c r="AC451" s="146" t="s">
        <v>1903</v>
      </c>
      <c r="AD451" s="26" t="s">
        <v>534</v>
      </c>
      <c r="AE451" s="455">
        <v>300.22874069210002</v>
      </c>
      <c r="AF451" s="455">
        <f ca="1">IF(AF$24="2026 год",AF450/12*9,AF450/2)</f>
        <v>298.59050000000002</v>
      </c>
      <c r="AG451" s="455">
        <f ca="1">IF(AG$24="2026 год",AG450/12*9,AG450/2)</f>
        <v>298.59050000000002</v>
      </c>
      <c r="AH451" s="568">
        <f ca="1">AG451-AF451</f>
        <v>0</v>
      </c>
      <c r="AI451" s="455">
        <v>305.78649999999999</v>
      </c>
      <c r="AJ451" s="455">
        <f t="shared" ref="AJ451:BC451" ca="1" si="124">IF(AJ$24="2026 год",AJ450/12*9,AJ450/2)</f>
        <v>450.34275000000002</v>
      </c>
      <c r="AK451" s="785">
        <f t="shared" ca="1" si="124"/>
        <v>0</v>
      </c>
      <c r="AL451" s="785">
        <f t="shared" ca="1" si="124"/>
        <v>0</v>
      </c>
      <c r="AM451" s="785">
        <f t="shared" ca="1" si="124"/>
        <v>0</v>
      </c>
      <c r="AN451" s="785">
        <f t="shared" ca="1" si="124"/>
        <v>0</v>
      </c>
      <c r="AO451" s="785">
        <f t="shared" ca="1" si="124"/>
        <v>0</v>
      </c>
      <c r="AP451" s="785">
        <f t="shared" ca="1" si="124"/>
        <v>0</v>
      </c>
      <c r="AQ451" s="785">
        <f t="shared" ca="1" si="124"/>
        <v>0</v>
      </c>
      <c r="AR451" s="785">
        <f t="shared" ca="1" si="124"/>
        <v>0</v>
      </c>
      <c r="AS451" s="785">
        <f t="shared" ca="1" si="124"/>
        <v>0</v>
      </c>
      <c r="AT451" s="455">
        <f t="shared" ca="1" si="124"/>
        <v>447.88575000000003</v>
      </c>
      <c r="AU451" s="785">
        <f t="shared" ca="1" si="124"/>
        <v>0</v>
      </c>
      <c r="AV451" s="785">
        <f t="shared" ca="1" si="124"/>
        <v>0</v>
      </c>
      <c r="AW451" s="785">
        <f t="shared" ca="1" si="124"/>
        <v>0</v>
      </c>
      <c r="AX451" s="785">
        <f t="shared" ca="1" si="124"/>
        <v>0</v>
      </c>
      <c r="AY451" s="785">
        <f t="shared" ca="1" si="124"/>
        <v>0</v>
      </c>
      <c r="AZ451" s="785">
        <f t="shared" ca="1" si="124"/>
        <v>0</v>
      </c>
      <c r="BA451" s="785">
        <f t="shared" ca="1" si="124"/>
        <v>0</v>
      </c>
      <c r="BB451" s="785">
        <f t="shared" ca="1" si="124"/>
        <v>0</v>
      </c>
      <c r="BC451" s="785">
        <f t="shared" ca="1" si="124"/>
        <v>0</v>
      </c>
      <c r="BD451" s="552"/>
      <c r="BE451" s="552"/>
      <c r="BF451" s="552"/>
      <c r="BG451" s="552"/>
      <c r="BH451" s="552"/>
      <c r="BI451" s="552"/>
      <c r="BJ451" s="552"/>
      <c r="BK451" s="552"/>
      <c r="BL451" s="552"/>
      <c r="BM451" s="552"/>
      <c r="BN451" s="215"/>
      <c r="BO451" s="215"/>
      <c r="BP451" s="215"/>
      <c r="BS451" s="703" t="s">
        <v>1904</v>
      </c>
    </row>
    <row r="452" spans="1:75" ht="23.25" customHeight="1">
      <c r="D452" s="44" cm="1">
        <f t="array" ref="D452">D451</f>
        <v>13</v>
      </c>
      <c r="E452" s="518">
        <v>15</v>
      </c>
      <c r="F452" s="3" t="str" cm="1">
        <f t="array" aca="1" ref="F452" ca="1">OFFSET(E452,-1,1)</f>
        <v>2</v>
      </c>
      <c r="G452" s="91" t="s">
        <v>1636</v>
      </c>
      <c r="I452" s="91" t="s">
        <v>2203</v>
      </c>
      <c r="K452" s="91" t="s">
        <v>2203</v>
      </c>
      <c r="L452" s="44" t="s">
        <v>1905</v>
      </c>
      <c r="M452" s="44"/>
      <c r="T452" s="365" t="b" cm="1">
        <f t="array" aca="1" ref="T452" ca="1">T451</f>
        <v>1</v>
      </c>
      <c r="X452" s="1075"/>
      <c r="Z452" s="1065"/>
      <c r="AB452" s="26" t="str">
        <f>D452&amp;".2"</f>
        <v>13.2</v>
      </c>
      <c r="AC452" s="146" t="s">
        <v>1907</v>
      </c>
      <c r="AD452" s="26" t="s">
        <v>1624</v>
      </c>
      <c r="AE452" s="147">
        <v>39.072000000000003</v>
      </c>
      <c r="AF452" s="147">
        <f ca="1">IF(AF450=0,0,AF444*(1+Сценарии!AF$26/100))</f>
        <v>40.013082675869001</v>
      </c>
      <c r="AG452" s="147">
        <f ca="1">IF(AG450=0,0,AG444*(1+Сценарии!AG$26/100))</f>
        <v>39.377385908972698</v>
      </c>
      <c r="AH452" s="190">
        <f ca="1">AG452-AF452</f>
        <v>-0.63569676689630228</v>
      </c>
      <c r="AI452" s="147">
        <v>44.52</v>
      </c>
      <c r="AJ452" s="147">
        <f ca="1">IF(AJ450=0,0,AJ444*(1+Сценарии!AJ$26/100))</f>
        <v>74.062496205815705</v>
      </c>
      <c r="AK452" s="787">
        <f ca="1">IF(AK450=0,0,AK444*(1+Сценарии!AO$26/100))</f>
        <v>0</v>
      </c>
      <c r="AL452" s="787">
        <f ca="1">IF(AL450=0,0,AL444*(1+Сценарии!AP$26/100))</f>
        <v>0</v>
      </c>
      <c r="AM452" s="787">
        <f ca="1">IF(AM450=0,0,AM444*(1+Сценарии!AQ$26/100))</f>
        <v>0</v>
      </c>
      <c r="AN452" s="787">
        <f ca="1">IF(AN450=0,0,AN444*(1+Сценарии!AR$26/100))</f>
        <v>0</v>
      </c>
      <c r="AO452" s="787">
        <f ca="1">IF(AO450=0,0,AO444*(1+Сценарии!AS$26/100))</f>
        <v>0</v>
      </c>
      <c r="AP452" s="787">
        <f ca="1">IF(AP450=0,0,AP444*(1+Сценарии!AT$26/100))</f>
        <v>0</v>
      </c>
      <c r="AQ452" s="787">
        <f ca="1">IF(AQ450=0,0,AQ444*(1+Сценарии!AU$26/100))</f>
        <v>0</v>
      </c>
      <c r="AR452" s="787">
        <f ca="1">IF(AR450=0,0,AR444*(1+Сценарии!AV$26/100))</f>
        <v>0</v>
      </c>
      <c r="AS452" s="787">
        <f ca="1">IF(AS450=0,0,AS444*(1+Сценарии!AW$26/100))</f>
        <v>0</v>
      </c>
      <c r="AT452" s="147">
        <f>AT444*1.05</f>
        <v>42.965999794620004</v>
      </c>
      <c r="AU452" s="787">
        <f ca="1">IF(AU450=0,0,AU444*(1+Сценарии!AX$26/100))</f>
        <v>0</v>
      </c>
      <c r="AV452" s="787">
        <f ca="1">IF(AV450=0,0,AV444*(1+Сценарии!AY$26/100))</f>
        <v>0</v>
      </c>
      <c r="AW452" s="787">
        <f ca="1">IF(AW450=0,0,AW444*(1+Сценарии!AZ$26/100))</f>
        <v>0</v>
      </c>
      <c r="AX452" s="787">
        <f ca="1">IF(AX450=0,0,AX444*(1+Сценарии!BA$26/100))</f>
        <v>0</v>
      </c>
      <c r="AY452" s="787">
        <f ca="1">IF(AY450=0,0,AY444*(1+Сценарии!BB$26/100))</f>
        <v>0</v>
      </c>
      <c r="AZ452" s="787">
        <f ca="1">IF(AZ450=0,0,AZ444*(1+Сценарии!BC$26/100))</f>
        <v>0</v>
      </c>
      <c r="BA452" s="787">
        <f ca="1">IF(BA450=0,0,BA444*(1+Сценарии!BD$26/100))</f>
        <v>0</v>
      </c>
      <c r="BB452" s="787">
        <f ca="1">IF(BB450=0,0,BB444*(1+Сценарии!BE$26/100))</f>
        <v>0</v>
      </c>
      <c r="BC452" s="787">
        <f ca="1">IF(BC450=0,0,BC444*(1+Сценарии!BF$26/100))</f>
        <v>0</v>
      </c>
      <c r="BD452" s="552"/>
      <c r="BE452" s="552"/>
      <c r="BF452" s="552"/>
      <c r="BG452" s="552"/>
      <c r="BH452" s="552"/>
      <c r="BI452" s="552"/>
      <c r="BJ452" s="552"/>
      <c r="BK452" s="552"/>
      <c r="BL452" s="552"/>
      <c r="BM452" s="552"/>
      <c r="BN452" s="215"/>
      <c r="BO452" s="215"/>
      <c r="BP452" s="215"/>
      <c r="BS452" s="703" t="s">
        <v>1908</v>
      </c>
    </row>
    <row r="453" spans="1:75" ht="23.25" customHeight="1">
      <c r="B453" s="34"/>
      <c r="C453" s="44"/>
      <c r="D453" s="44" cm="1">
        <f t="array" ref="D453">D452</f>
        <v>13</v>
      </c>
      <c r="E453" s="462">
        <v>15</v>
      </c>
      <c r="F453" s="3" t="str" cm="1">
        <f t="array" aca="1" ref="F453" ca="1">OFFSET(E453,-1,1)</f>
        <v>2</v>
      </c>
      <c r="G453" s="44" t="s">
        <v>1687</v>
      </c>
      <c r="H453" s="44"/>
      <c r="I453" s="44" t="s">
        <v>2204</v>
      </c>
      <c r="J453" s="44"/>
      <c r="K453" s="44" t="s">
        <v>2204</v>
      </c>
      <c r="L453" s="44" t="s">
        <v>1909</v>
      </c>
      <c r="M453" s="44"/>
      <c r="N453" s="44"/>
      <c r="O453" s="44"/>
      <c r="P453" s="44"/>
      <c r="Q453" s="44"/>
      <c r="R453" s="44"/>
      <c r="S453" s="44"/>
      <c r="T453" s="365" t="b" cm="1">
        <f t="array" aca="1" ref="T453" ca="1">T452</f>
        <v>1</v>
      </c>
      <c r="U453" s="44"/>
      <c r="V453" s="44"/>
      <c r="W453" s="44"/>
      <c r="X453" s="1075"/>
      <c r="Z453" s="1065"/>
      <c r="AB453" s="26" t="str">
        <f>D453&amp;".3"</f>
        <v>13.3</v>
      </c>
      <c r="AC453" s="146" t="s">
        <v>1879</v>
      </c>
      <c r="AD453" s="26" t="s">
        <v>534</v>
      </c>
      <c r="AE453" s="568">
        <f ca="1">AE450-AE451</f>
        <v>300.22874069199997</v>
      </c>
      <c r="AF453" s="568">
        <f ca="1">AF450-AF451</f>
        <v>298.59050000000002</v>
      </c>
      <c r="AG453" s="568">
        <f ca="1">AG450-AG451</f>
        <v>298.59050000000002</v>
      </c>
      <c r="AH453" s="568">
        <f ca="1">AG453-AF453</f>
        <v>0</v>
      </c>
      <c r="AI453" s="568">
        <f t="shared" ref="AI453:BC453" ca="1" si="125">AI450-AI451</f>
        <v>305.78649999999999</v>
      </c>
      <c r="AJ453" s="568">
        <f t="shared" ca="1" si="125"/>
        <v>150.11424999999997</v>
      </c>
      <c r="AK453" s="568">
        <f t="shared" ca="1" si="125"/>
        <v>0</v>
      </c>
      <c r="AL453" s="568">
        <f t="shared" ca="1" si="125"/>
        <v>0</v>
      </c>
      <c r="AM453" s="568">
        <f t="shared" ca="1" si="125"/>
        <v>0</v>
      </c>
      <c r="AN453" s="568">
        <f t="shared" ca="1" si="125"/>
        <v>0</v>
      </c>
      <c r="AO453" s="568">
        <f t="shared" ca="1" si="125"/>
        <v>0</v>
      </c>
      <c r="AP453" s="568">
        <f t="shared" ca="1" si="125"/>
        <v>0</v>
      </c>
      <c r="AQ453" s="568">
        <f t="shared" ca="1" si="125"/>
        <v>0</v>
      </c>
      <c r="AR453" s="568">
        <f t="shared" ca="1" si="125"/>
        <v>0</v>
      </c>
      <c r="AS453" s="568">
        <f t="shared" ca="1" si="125"/>
        <v>0</v>
      </c>
      <c r="AT453" s="568">
        <f t="shared" ca="1" si="125"/>
        <v>149.29525000000001</v>
      </c>
      <c r="AU453" s="568">
        <f t="shared" ca="1" si="125"/>
        <v>0</v>
      </c>
      <c r="AV453" s="568">
        <f t="shared" ca="1" si="125"/>
        <v>0</v>
      </c>
      <c r="AW453" s="568">
        <f t="shared" ca="1" si="125"/>
        <v>0</v>
      </c>
      <c r="AX453" s="568">
        <f t="shared" ca="1" si="125"/>
        <v>0</v>
      </c>
      <c r="AY453" s="568">
        <f t="shared" ca="1" si="125"/>
        <v>0</v>
      </c>
      <c r="AZ453" s="568">
        <f t="shared" ca="1" si="125"/>
        <v>0</v>
      </c>
      <c r="BA453" s="568">
        <f t="shared" ca="1" si="125"/>
        <v>0</v>
      </c>
      <c r="BB453" s="568">
        <f t="shared" ca="1" si="125"/>
        <v>0</v>
      </c>
      <c r="BC453" s="568">
        <f t="shared" ca="1" si="125"/>
        <v>0</v>
      </c>
      <c r="BD453" s="552"/>
      <c r="BE453" s="552"/>
      <c r="BF453" s="552"/>
      <c r="BG453" s="552"/>
      <c r="BH453" s="552"/>
      <c r="BI453" s="552"/>
      <c r="BJ453" s="552"/>
      <c r="BK453" s="552"/>
      <c r="BL453" s="552"/>
      <c r="BM453" s="552"/>
      <c r="BN453" s="215"/>
      <c r="BO453" s="215"/>
      <c r="BP453" s="215"/>
      <c r="BS453" s="703" t="s">
        <v>1911</v>
      </c>
    </row>
    <row r="454" spans="1:75" ht="14.65" customHeight="1">
      <c r="B454" s="34"/>
      <c r="C454" s="44"/>
      <c r="D454" s="44" cm="1">
        <f t="array" ref="D454">D453</f>
        <v>13</v>
      </c>
      <c r="E454" s="462">
        <v>15</v>
      </c>
      <c r="F454" s="3" t="str" cm="1">
        <f t="array" aca="1" ref="F454" ca="1">OFFSET(E454,-1,1)</f>
        <v>2</v>
      </c>
      <c r="G454" s="44" t="s">
        <v>1640</v>
      </c>
      <c r="H454" s="44"/>
      <c r="I454" s="44" t="s">
        <v>2205</v>
      </c>
      <c r="J454" s="44"/>
      <c r="K454" s="44" t="s">
        <v>2205</v>
      </c>
      <c r="L454" s="44" t="s">
        <v>1912</v>
      </c>
      <c r="M454" s="44"/>
      <c r="N454" s="44"/>
      <c r="O454" s="44"/>
      <c r="P454" s="44"/>
      <c r="Q454" s="44"/>
      <c r="R454" s="44"/>
      <c r="S454" s="44"/>
      <c r="T454" s="365" t="b" cm="1">
        <f t="array" aca="1" ref="T454" ca="1">T453</f>
        <v>1</v>
      </c>
      <c r="U454" s="44"/>
      <c r="V454" s="44"/>
      <c r="W454" s="44"/>
      <c r="X454" s="1075"/>
      <c r="Z454" s="1065"/>
      <c r="AB454" s="26" t="str">
        <f>D454&amp;".4"</f>
        <v>13.4</v>
      </c>
      <c r="AC454" s="146" t="s">
        <v>1883</v>
      </c>
      <c r="AD454" s="26" t="s">
        <v>1624</v>
      </c>
      <c r="AE454" s="147">
        <v>44.520001433200001</v>
      </c>
      <c r="AF454" s="147">
        <f ca="1">IF(AF450=0,0,AF446*(1+Сценарии!AF$26/100))</f>
        <v>40.013073099456562</v>
      </c>
      <c r="AG454" s="147">
        <f ca="1">IF(AG450=0,0,AG446*(1+Сценарии!AG$26/100))</f>
        <v>39.377376332560246</v>
      </c>
      <c r="AH454" s="190">
        <f ca="1">AG454-AF454</f>
        <v>-0.63569676689631649</v>
      </c>
      <c r="AI454" s="147">
        <v>49.103999765300003</v>
      </c>
      <c r="AJ454" s="147">
        <f ca="1">IF(AJ450=0,0,AJ446*(1+Сценарии!AJ$26/100))</f>
        <v>74.0624777168224</v>
      </c>
      <c r="AK454" s="787">
        <f ca="1">IF(AK450=0,0,AK446*(1+Сценарии!AO$26/100))</f>
        <v>0</v>
      </c>
      <c r="AL454" s="787">
        <f ca="1">IF(AL450=0,0,AL446*(1+Сценарии!AP$26/100))</f>
        <v>0</v>
      </c>
      <c r="AM454" s="787">
        <f ca="1">IF(AM450=0,0,AM446*(1+Сценарии!AQ$26/100))</f>
        <v>0</v>
      </c>
      <c r="AN454" s="787">
        <f ca="1">IF(AN450=0,0,AN446*(1+Сценарии!AR$26/100))</f>
        <v>0</v>
      </c>
      <c r="AO454" s="787">
        <f ca="1">IF(AO450=0,0,AO446*(1+Сценарии!AS$26/100))</f>
        <v>0</v>
      </c>
      <c r="AP454" s="787">
        <f ca="1">IF(AP450=0,0,AP446*(1+Сценарии!AT$26/100))</f>
        <v>0</v>
      </c>
      <c r="AQ454" s="787">
        <f ca="1">IF(AQ450=0,0,AQ446*(1+Сценарии!AU$26/100))</f>
        <v>0</v>
      </c>
      <c r="AR454" s="787">
        <f ca="1">IF(AR450=0,0,AR446*(1+Сценарии!AV$26/100))</f>
        <v>0</v>
      </c>
      <c r="AS454" s="787">
        <f ca="1">IF(AS450=0,0,AS446*(1+Сценарии!AW$26/100))</f>
        <v>0</v>
      </c>
      <c r="AT454" s="147">
        <f ca="1">AT446*1.05</f>
        <v>46.010995231411073</v>
      </c>
      <c r="AU454" s="787">
        <f ca="1">IF(AU450=0,0,AU446*(1+Сценарии!AX$26/100))</f>
        <v>0</v>
      </c>
      <c r="AV454" s="787">
        <f ca="1">IF(AV450=0,0,AV446*(1+Сценарии!AY$26/100))</f>
        <v>0</v>
      </c>
      <c r="AW454" s="787">
        <f ca="1">IF(AW450=0,0,AW446*(1+Сценарии!AZ$26/100))</f>
        <v>0</v>
      </c>
      <c r="AX454" s="787">
        <f ca="1">IF(AX450=0,0,AX446*(1+Сценарии!BA$26/100))</f>
        <v>0</v>
      </c>
      <c r="AY454" s="787">
        <f ca="1">IF(AY450=0,0,AY446*(1+Сценарии!BB$26/100))</f>
        <v>0</v>
      </c>
      <c r="AZ454" s="787">
        <f ca="1">IF(AZ450=0,0,AZ446*(1+Сценарии!BC$26/100))</f>
        <v>0</v>
      </c>
      <c r="BA454" s="787">
        <f ca="1">IF(BA450=0,0,BA446*(1+Сценарии!BD$26/100))</f>
        <v>0</v>
      </c>
      <c r="BB454" s="787">
        <f ca="1">IF(BB450=0,0,BB446*(1+Сценарии!BE$26/100))</f>
        <v>0</v>
      </c>
      <c r="BC454" s="787">
        <f ca="1">IF(BC450=0,0,BC446*(1+Сценарии!BF$26/100))</f>
        <v>0</v>
      </c>
      <c r="BD454" s="552"/>
      <c r="BE454" s="552"/>
      <c r="BF454" s="552"/>
      <c r="BG454" s="552"/>
      <c r="BH454" s="552"/>
      <c r="BI454" s="552"/>
      <c r="BJ454" s="552"/>
      <c r="BK454" s="552"/>
      <c r="BL454" s="552"/>
      <c r="BM454" s="552"/>
      <c r="BN454" s="215"/>
      <c r="BO454" s="215"/>
      <c r="BP454" s="215"/>
      <c r="BS454" s="703" t="s">
        <v>1915</v>
      </c>
    </row>
    <row r="455" spans="1:75" ht="14.25" customHeight="1">
      <c r="B455" s="34"/>
      <c r="C455" s="44"/>
      <c r="D455" s="44">
        <f>D454+1</f>
        <v>14</v>
      </c>
      <c r="E455" s="462">
        <v>15</v>
      </c>
      <c r="F455" s="3" t="str" cm="1">
        <f t="array" aca="1" ref="F455" ca="1">OFFSET(E455,-1,1)</f>
        <v>2</v>
      </c>
      <c r="G455" s="44"/>
      <c r="H455" s="44"/>
      <c r="I455" s="44"/>
      <c r="J455" s="44"/>
      <c r="K455" s="44"/>
      <c r="L455" s="44"/>
      <c r="M455" s="44"/>
      <c r="N455" s="44"/>
      <c r="O455" s="44"/>
      <c r="P455" s="44"/>
      <c r="Q455" s="44"/>
      <c r="R455" s="44"/>
      <c r="S455" s="44"/>
      <c r="T455" s="365" t="b" cm="1">
        <f t="array" aca="1" ref="T455" ca="1">T454</f>
        <v>1</v>
      </c>
      <c r="U455" s="44"/>
      <c r="V455" s="44"/>
      <c r="W455" s="44"/>
      <c r="X455" s="1075"/>
      <c r="Z455" s="1065"/>
      <c r="AB455" s="143" cm="1">
        <f t="array" ref="AB455">D455</f>
        <v>14</v>
      </c>
      <c r="AC455" s="144" t="s">
        <v>1917</v>
      </c>
      <c r="AD455" s="143" t="s">
        <v>804</v>
      </c>
      <c r="AE455" s="147"/>
      <c r="AF455" s="147"/>
      <c r="AG455" s="147"/>
      <c r="AH455" s="190"/>
      <c r="AI455" s="147"/>
      <c r="AJ455" s="147"/>
      <c r="AK455" s="787"/>
      <c r="AL455" s="787"/>
      <c r="AM455" s="787"/>
      <c r="AN455" s="787"/>
      <c r="AO455" s="787"/>
      <c r="AP455" s="787"/>
      <c r="AQ455" s="787"/>
      <c r="AR455" s="787"/>
      <c r="AS455" s="787"/>
      <c r="AT455" s="147"/>
      <c r="AU455" s="787"/>
      <c r="AV455" s="787"/>
      <c r="AW455" s="787"/>
      <c r="AX455" s="787"/>
      <c r="AY455" s="787"/>
      <c r="AZ455" s="787"/>
      <c r="BA455" s="787"/>
      <c r="BB455" s="787"/>
      <c r="BC455" s="787"/>
      <c r="BD455" s="552"/>
      <c r="BE455" s="552"/>
      <c r="BF455" s="552"/>
      <c r="BG455" s="552"/>
      <c r="BH455" s="552"/>
      <c r="BI455" s="552"/>
      <c r="BJ455" s="552"/>
      <c r="BK455" s="552"/>
      <c r="BL455" s="552"/>
      <c r="BM455" s="552"/>
      <c r="BN455" s="215"/>
      <c r="BO455" s="215"/>
      <c r="BP455" s="215"/>
      <c r="BS455" s="703" t="s">
        <v>1918</v>
      </c>
    </row>
    <row r="456" spans="1:75" ht="20.25" customHeight="1">
      <c r="B456" s="34"/>
      <c r="C456" s="44"/>
      <c r="D456" s="44" cm="1">
        <f t="array" ref="D456">D455</f>
        <v>14</v>
      </c>
      <c r="E456" s="462">
        <v>21</v>
      </c>
      <c r="F456" s="3" t="str" cm="1">
        <f t="array" aca="1" ref="F456" ca="1">OFFSET(E456,-1,1)</f>
        <v>2</v>
      </c>
      <c r="G456" s="44"/>
      <c r="H456" s="44"/>
      <c r="I456" s="44"/>
      <c r="J456" s="44"/>
      <c r="K456" s="44"/>
      <c r="L456" s="44"/>
      <c r="M456" s="44"/>
      <c r="N456" s="44"/>
      <c r="O456" s="44"/>
      <c r="P456" s="44"/>
      <c r="Q456" s="44"/>
      <c r="R456" s="44"/>
      <c r="S456" s="44"/>
      <c r="T456" s="365" t="b" cm="1">
        <f t="array" aca="1" ref="T456" ca="1">T455</f>
        <v>1</v>
      </c>
      <c r="U456" s="44"/>
      <c r="V456" s="44"/>
      <c r="W456" s="44"/>
      <c r="X456" s="1075"/>
      <c r="Z456" s="1065"/>
      <c r="AB456" s="26" t="str">
        <f>D456&amp;".1"</f>
        <v>14.1</v>
      </c>
      <c r="AC456" s="146" t="s">
        <v>1920</v>
      </c>
      <c r="AD456" s="26" t="s">
        <v>804</v>
      </c>
      <c r="AE456" s="147"/>
      <c r="AF456" s="147"/>
      <c r="AG456" s="147"/>
      <c r="AH456" s="190">
        <f>AG456-AF456</f>
        <v>0</v>
      </c>
      <c r="AI456" s="147"/>
      <c r="AJ456" s="147"/>
      <c r="AK456" s="787"/>
      <c r="AL456" s="787"/>
      <c r="AM456" s="787"/>
      <c r="AN456" s="787"/>
      <c r="AO456" s="787"/>
      <c r="AP456" s="787"/>
      <c r="AQ456" s="787"/>
      <c r="AR456" s="787"/>
      <c r="AS456" s="787"/>
      <c r="AT456" s="147"/>
      <c r="AU456" s="787"/>
      <c r="AV456" s="787"/>
      <c r="AW456" s="787"/>
      <c r="AX456" s="787"/>
      <c r="AY456" s="787"/>
      <c r="AZ456" s="787"/>
      <c r="BA456" s="787"/>
      <c r="BB456" s="787"/>
      <c r="BC456" s="787"/>
      <c r="BD456" s="552"/>
      <c r="BE456" s="552"/>
      <c r="BF456" s="552"/>
      <c r="BG456" s="552"/>
      <c r="BH456" s="552"/>
      <c r="BI456" s="552"/>
      <c r="BJ456" s="552"/>
      <c r="BK456" s="552"/>
      <c r="BL456" s="552"/>
      <c r="BM456" s="552"/>
      <c r="BN456" s="215"/>
      <c r="BO456" s="215"/>
      <c r="BP456" s="215"/>
      <c r="BS456" s="703" t="s">
        <v>1921</v>
      </c>
      <c r="BT456" s="712"/>
      <c r="BU456" s="712"/>
      <c r="BV456" s="713"/>
      <c r="BW456" s="713"/>
    </row>
    <row r="457" spans="1:75" ht="64.5" customHeight="1">
      <c r="B457" s="34"/>
      <c r="C457" s="44"/>
      <c r="D457" s="44" cm="1">
        <f t="array" ref="D457">D456</f>
        <v>14</v>
      </c>
      <c r="E457" s="462">
        <v>66.599999999999994</v>
      </c>
      <c r="F457" s="3" t="str" cm="1">
        <f t="array" aca="1" ref="F457" ca="1">OFFSET(E457,-1,1)</f>
        <v>2</v>
      </c>
      <c r="G457" s="44"/>
      <c r="H457" s="44"/>
      <c r="I457" s="44"/>
      <c r="J457" s="44"/>
      <c r="K457" s="44"/>
      <c r="L457" s="44"/>
      <c r="M457" s="44"/>
      <c r="N457" s="44"/>
      <c r="O457" s="44"/>
      <c r="P457" s="44"/>
      <c r="Q457" s="44"/>
      <c r="R457" s="44"/>
      <c r="S457" s="44"/>
      <c r="T457" s="365" t="b" cm="1">
        <f t="array" aca="1" ref="T457" ca="1">T456</f>
        <v>1</v>
      </c>
      <c r="U457" s="44"/>
      <c r="V457" s="44"/>
      <c r="W457" s="44"/>
      <c r="X457" s="1075"/>
      <c r="Z457" s="1065"/>
      <c r="AB457" s="26" t="str">
        <f>D457&amp;".2"</f>
        <v>14.2</v>
      </c>
      <c r="AC457" s="146" t="s">
        <v>1923</v>
      </c>
      <c r="AD457" s="26" t="s">
        <v>804</v>
      </c>
      <c r="AE457" s="147"/>
      <c r="AF457" s="147"/>
      <c r="AG457" s="147"/>
      <c r="AH457" s="190">
        <f>AG457-AF457</f>
        <v>0</v>
      </c>
      <c r="AI457" s="147"/>
      <c r="AJ457" s="147"/>
      <c r="AK457" s="787"/>
      <c r="AL457" s="787"/>
      <c r="AM457" s="787"/>
      <c r="AN457" s="787"/>
      <c r="AO457" s="787"/>
      <c r="AP457" s="787"/>
      <c r="AQ457" s="787"/>
      <c r="AR457" s="787"/>
      <c r="AS457" s="787"/>
      <c r="AT457" s="147"/>
      <c r="AU457" s="787"/>
      <c r="AV457" s="787"/>
      <c r="AW457" s="787"/>
      <c r="AX457" s="787"/>
      <c r="AY457" s="787"/>
      <c r="AZ457" s="787"/>
      <c r="BA457" s="787"/>
      <c r="BB457" s="787"/>
      <c r="BC457" s="787"/>
      <c r="BD457" s="552"/>
      <c r="BE457" s="552"/>
      <c r="BF457" s="552"/>
      <c r="BG457" s="552"/>
      <c r="BH457" s="552"/>
      <c r="BI457" s="552"/>
      <c r="BJ457" s="552"/>
      <c r="BK457" s="552"/>
      <c r="BL457" s="552"/>
      <c r="BM457" s="552"/>
      <c r="BN457" s="215"/>
      <c r="BO457" s="215"/>
      <c r="BP457" s="215"/>
      <c r="BS457" s="703" t="s">
        <v>1924</v>
      </c>
      <c r="BT457" s="712"/>
      <c r="BU457" s="712"/>
      <c r="BV457" s="713"/>
      <c r="BW457" s="713"/>
    </row>
    <row r="458" spans="1:75" ht="44.25" customHeight="1">
      <c r="A458" s="388"/>
      <c r="B458" s="548"/>
      <c r="C458" s="44"/>
      <c r="D458" s="44" cm="1">
        <f t="array" ref="D458">D457</f>
        <v>14</v>
      </c>
      <c r="E458" s="462">
        <v>45.6</v>
      </c>
      <c r="F458" s="3" t="str" cm="1">
        <f t="array" aca="1" ref="F458" ca="1">OFFSET(E458,-1,1)</f>
        <v>2</v>
      </c>
      <c r="G458" s="44"/>
      <c r="H458" s="44"/>
      <c r="I458" s="44"/>
      <c r="J458" s="44"/>
      <c r="K458" s="44"/>
      <c r="L458" s="44"/>
      <c r="M458" s="44"/>
      <c r="N458" s="44"/>
      <c r="O458" s="44"/>
      <c r="P458" s="44"/>
      <c r="Q458" s="44"/>
      <c r="R458" s="44"/>
      <c r="S458" s="44"/>
      <c r="T458" s="365" t="b" cm="1">
        <f t="array" aca="1" ref="T458" ca="1">T457</f>
        <v>1</v>
      </c>
      <c r="U458" s="44"/>
      <c r="V458" s="44"/>
      <c r="W458" s="44"/>
      <c r="X458" s="1075"/>
      <c r="Y458" s="388"/>
      <c r="Z458" s="1065"/>
      <c r="AA458" s="388"/>
      <c r="AB458" s="26" t="str">
        <f>D458&amp;".3"</f>
        <v>14.3</v>
      </c>
      <c r="AC458" s="146" t="s">
        <v>2206</v>
      </c>
      <c r="AD458" s="26" t="s">
        <v>804</v>
      </c>
      <c r="AE458" s="552"/>
      <c r="AF458" s="147"/>
      <c r="AG458" s="147"/>
      <c r="AH458" s="190">
        <f>AG458-AF458</f>
        <v>0</v>
      </c>
      <c r="AI458" s="552"/>
      <c r="AJ458" s="552"/>
      <c r="AK458" s="552"/>
      <c r="AL458" s="552"/>
      <c r="AM458" s="552"/>
      <c r="AN458" s="552"/>
      <c r="AO458" s="552"/>
      <c r="AP458" s="552"/>
      <c r="AQ458" s="552"/>
      <c r="AR458" s="552"/>
      <c r="AS458" s="552"/>
      <c r="AT458" s="552"/>
      <c r="AU458" s="552"/>
      <c r="AV458" s="552"/>
      <c r="AW458" s="552"/>
      <c r="AX458" s="552"/>
      <c r="AY458" s="552"/>
      <c r="AZ458" s="552"/>
      <c r="BA458" s="552"/>
      <c r="BB458" s="552"/>
      <c r="BC458" s="552"/>
      <c r="BD458" s="552"/>
      <c r="BE458" s="552"/>
      <c r="BF458" s="552"/>
      <c r="BG458" s="552"/>
      <c r="BH458" s="552"/>
      <c r="BI458" s="552"/>
      <c r="BJ458" s="552"/>
      <c r="BK458" s="552"/>
      <c r="BL458" s="552"/>
      <c r="BM458" s="552"/>
      <c r="BN458" s="215"/>
      <c r="BO458" s="215"/>
      <c r="BP458" s="215"/>
      <c r="BS458" s="712" t="s">
        <v>2207</v>
      </c>
      <c r="BT458" s="712"/>
      <c r="BU458" s="712"/>
      <c r="BV458" s="713"/>
      <c r="BW458" s="713"/>
    </row>
    <row r="459" spans="1:75" ht="10.9" customHeight="1">
      <c r="A459"/>
      <c r="B459" s="423"/>
      <c r="C459"/>
      <c r="D459"/>
      <c r="E459" s="465">
        <v>11.25</v>
      </c>
      <c r="F459" s="23"/>
      <c r="G459"/>
      <c r="H459"/>
      <c r="I459"/>
      <c r="J459"/>
      <c r="K459"/>
      <c r="L459"/>
      <c r="M459"/>
      <c r="N459"/>
      <c r="O459"/>
      <c r="P459"/>
      <c r="Q459"/>
      <c r="R459"/>
      <c r="S459"/>
      <c r="T459"/>
      <c r="U459" t="s">
        <v>177</v>
      </c>
      <c r="V459" s="517" t="s">
        <v>2274</v>
      </c>
      <c r="W459"/>
      <c r="X459"/>
      <c r="Y459"/>
      <c r="Z459"/>
      <c r="AA459"/>
      <c r="AB459"/>
      <c r="AC459" s="327"/>
      <c r="AD459" s="327"/>
      <c r="AE459" s="327"/>
      <c r="AF459" s="327"/>
      <c r="AG459"/>
      <c r="AH459"/>
      <c r="AI459"/>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c r="BO459"/>
      <c r="BP459"/>
      <c r="BQ459"/>
      <c r="BR459"/>
      <c r="BS459" s="670"/>
      <c r="BT459" s="670"/>
      <c r="BU459" s="670"/>
      <c r="BV459" s="465"/>
      <c r="BW459" s="465"/>
    </row>
    <row r="460" spans="1:75" ht="14.65" customHeight="1">
      <c r="B460" s="34"/>
      <c r="C460" s="44"/>
      <c r="D460" s="44"/>
      <c r="E460" s="462">
        <v>15</v>
      </c>
      <c r="F460" s="44"/>
      <c r="G460" s="44"/>
      <c r="H460" s="44"/>
      <c r="I460" s="44"/>
      <c r="J460" s="44"/>
      <c r="K460" s="44"/>
      <c r="L460" s="44"/>
      <c r="M460" s="44"/>
      <c r="N460" s="44"/>
      <c r="O460" s="44"/>
      <c r="P460" s="44"/>
      <c r="Q460" s="44"/>
      <c r="R460" s="44"/>
      <c r="S460" s="44"/>
      <c r="T460" s="44"/>
      <c r="U460" s="44"/>
      <c r="V460" s="44"/>
      <c r="W460" s="44"/>
      <c r="AB460" s="1088" t="s">
        <v>398</v>
      </c>
      <c r="AC460" s="1088"/>
      <c r="AD460" s="1088"/>
      <c r="AE460" s="1088"/>
      <c r="AF460" s="1088"/>
      <c r="AG460" s="1088"/>
      <c r="AH460" s="1088"/>
      <c r="AI460" s="1088"/>
      <c r="AJ460" s="1088"/>
      <c r="AK460" s="1088"/>
      <c r="AL460" s="1088"/>
      <c r="AM460" s="1088"/>
      <c r="AN460" s="1088"/>
      <c r="AO460" s="1088"/>
      <c r="AP460" s="1088"/>
      <c r="AQ460" s="1088"/>
      <c r="AR460" s="1088"/>
      <c r="AS460" s="1088"/>
      <c r="AT460" s="1088"/>
      <c r="AU460" s="1088"/>
      <c r="AV460" s="1088"/>
      <c r="AW460" s="1088"/>
      <c r="AX460" s="1088"/>
      <c r="AY460" s="1088"/>
      <c r="AZ460" s="1088"/>
      <c r="BA460" s="1088"/>
      <c r="BB460" s="1088"/>
      <c r="BC460" s="1088"/>
      <c r="BD460" s="1088"/>
      <c r="BE460" s="1088"/>
      <c r="BF460" s="1088"/>
      <c r="BG460" s="1088"/>
      <c r="BH460" s="1088"/>
      <c r="BI460" s="1088"/>
      <c r="BJ460" s="1088"/>
      <c r="BK460" s="1088"/>
      <c r="BL460" s="1088"/>
      <c r="BM460" s="1088"/>
      <c r="BN460" s="1088"/>
      <c r="BO460" s="1088"/>
      <c r="BP460" s="1088"/>
    </row>
    <row r="461" spans="1:75" ht="24" customHeight="1">
      <c r="B461" s="34"/>
      <c r="C461" s="44"/>
      <c r="D461" s="44"/>
      <c r="E461" s="462">
        <v>15</v>
      </c>
      <c r="F461" s="44"/>
      <c r="G461" s="44"/>
      <c r="H461" s="44"/>
      <c r="I461" s="44"/>
      <c r="J461" s="44"/>
      <c r="K461" s="44"/>
      <c r="N461" s="44"/>
      <c r="O461" s="44"/>
      <c r="P461" s="44"/>
      <c r="Q461" s="44"/>
      <c r="R461" s="44"/>
      <c r="S461" s="44"/>
      <c r="T461" s="44"/>
      <c r="U461" s="44"/>
      <c r="V461" s="44"/>
      <c r="W461" s="44"/>
      <c r="AA461" s="106"/>
      <c r="AB461" s="1158" t="s">
        <v>517</v>
      </c>
      <c r="AC461" s="1164"/>
      <c r="AD461" s="1164"/>
      <c r="AE461" s="1164"/>
      <c r="AF461" s="1164"/>
      <c r="AG461" s="1164"/>
      <c r="AH461" s="1164"/>
      <c r="AI461" s="1164"/>
      <c r="AJ461" s="1164"/>
      <c r="AK461" s="1164"/>
      <c r="AL461" s="1164"/>
      <c r="AM461" s="1164"/>
      <c r="AN461" s="1164"/>
      <c r="AO461" s="1164"/>
      <c r="AP461" s="1164"/>
      <c r="AQ461" s="1164"/>
      <c r="AR461" s="1164"/>
      <c r="AS461" s="1164"/>
      <c r="AT461" s="1164"/>
      <c r="AU461" s="1164"/>
      <c r="AV461" s="1164"/>
      <c r="AW461" s="1164"/>
      <c r="AX461" s="1164"/>
      <c r="AY461" s="1164"/>
      <c r="AZ461" s="1164"/>
      <c r="BA461" s="1164"/>
      <c r="BB461" s="1164"/>
      <c r="BC461" s="1164"/>
      <c r="BD461" s="1164"/>
      <c r="BE461" s="1164"/>
      <c r="BF461" s="1164"/>
      <c r="BG461" s="1164"/>
      <c r="BH461" s="1164"/>
      <c r="BI461" s="1164"/>
      <c r="BJ461" s="1164"/>
      <c r="BK461" s="1164"/>
      <c r="BL461" s="1164"/>
      <c r="BM461" s="1164"/>
      <c r="BN461" s="1164"/>
      <c r="BO461" s="1164"/>
      <c r="BP461" s="1164"/>
    </row>
    <row r="462" spans="1:75" ht="19.5" hidden="1" customHeight="1">
      <c r="E462" s="462">
        <v>15</v>
      </c>
      <c r="T462" s="365" t="b">
        <f t="shared" ref="T462:T467" si="126">ROW(W462)&gt;ROW(W$462)</f>
        <v>0</v>
      </c>
      <c r="W462" s="44" t="s">
        <v>173</v>
      </c>
      <c r="AA462" s="22" t="s">
        <v>174</v>
      </c>
      <c r="AB462" s="1159" t="s">
        <v>225</v>
      </c>
      <c r="AC462" s="1164"/>
      <c r="AD462" s="1164"/>
      <c r="AE462" s="1164"/>
      <c r="AF462" s="1164"/>
      <c r="AG462" s="1164"/>
      <c r="AH462" s="1164"/>
      <c r="AI462" s="1164"/>
      <c r="AJ462" s="1164"/>
      <c r="AK462" s="1164"/>
      <c r="AL462" s="1164"/>
      <c r="AM462" s="1164"/>
      <c r="AN462" s="1164"/>
      <c r="AO462" s="1164"/>
      <c r="AP462" s="1164"/>
      <c r="AQ462" s="1164"/>
      <c r="AR462" s="1164"/>
      <c r="AS462" s="1164"/>
      <c r="AT462" s="1164"/>
      <c r="AU462" s="1164"/>
      <c r="AV462" s="1164"/>
      <c r="AW462" s="1164"/>
      <c r="AX462" s="1164"/>
      <c r="AY462" s="1164"/>
      <c r="AZ462" s="1164"/>
      <c r="BA462" s="1164"/>
      <c r="BB462" s="1164"/>
      <c r="BC462" s="1164"/>
      <c r="BD462" s="1164"/>
      <c r="BE462" s="1164"/>
      <c r="BF462" s="1164"/>
      <c r="BG462" s="1164"/>
      <c r="BH462" s="1164"/>
      <c r="BI462" s="1164"/>
      <c r="BJ462" s="1164"/>
      <c r="BK462" s="1164"/>
      <c r="BL462" s="1164"/>
      <c r="BM462" s="1164"/>
      <c r="BN462" s="1164"/>
      <c r="BO462" s="1164"/>
      <c r="BP462" s="1164"/>
    </row>
    <row r="463" spans="1:75" ht="288" customHeight="1">
      <c r="E463" s="462">
        <v>15</v>
      </c>
      <c r="T463" s="365" t="b">
        <f t="shared" si="126"/>
        <v>1</v>
      </c>
      <c r="W463" s="44"/>
      <c r="Y463" s="91" t="s">
        <v>225</v>
      </c>
      <c r="AA463" s="22" t="s">
        <v>174</v>
      </c>
      <c r="AB463" s="1158" t="s">
        <v>2275</v>
      </c>
      <c r="AC463" s="1164"/>
      <c r="AD463" s="1164"/>
      <c r="AE463" s="1164"/>
      <c r="AF463" s="1164"/>
      <c r="AG463" s="1164"/>
      <c r="AH463" s="1164"/>
      <c r="AI463" s="1164"/>
      <c r="AJ463" s="1164"/>
      <c r="AK463" s="1164"/>
      <c r="AL463" s="1164"/>
      <c r="AM463" s="1164"/>
      <c r="AN463" s="1164"/>
      <c r="AO463" s="1164"/>
      <c r="AP463" s="1164"/>
      <c r="AQ463" s="1164"/>
      <c r="AR463" s="1164"/>
      <c r="AS463" s="1164"/>
      <c r="AT463" s="1164"/>
      <c r="AU463" s="1164"/>
      <c r="AV463" s="1164"/>
      <c r="AW463" s="1164"/>
      <c r="AX463" s="1164"/>
      <c r="AY463" s="1164"/>
      <c r="AZ463" s="1164"/>
      <c r="BA463" s="1164"/>
      <c r="BB463" s="1164"/>
      <c r="BC463" s="1164"/>
      <c r="BD463" s="1164"/>
      <c r="BE463" s="1164"/>
      <c r="BF463" s="1164"/>
      <c r="BG463" s="1164"/>
      <c r="BH463" s="1164"/>
      <c r="BI463" s="1164"/>
      <c r="BJ463" s="1164"/>
      <c r="BK463" s="1164"/>
      <c r="BL463" s="1164"/>
      <c r="BM463" s="1164"/>
      <c r="BN463" s="1164"/>
      <c r="BO463" s="1164"/>
      <c r="BP463" s="1164"/>
    </row>
    <row r="464" spans="1:75" ht="226.5" customHeight="1">
      <c r="E464" s="462">
        <v>15</v>
      </c>
      <c r="T464" s="365" t="b">
        <f t="shared" si="126"/>
        <v>1</v>
      </c>
      <c r="W464" s="44"/>
      <c r="Y464" s="91" t="s">
        <v>225</v>
      </c>
      <c r="AA464" s="22" t="s">
        <v>174</v>
      </c>
      <c r="AB464" s="1158" t="s">
        <v>2276</v>
      </c>
      <c r="AC464" s="1164"/>
      <c r="AD464" s="1164"/>
      <c r="AE464" s="1164"/>
      <c r="AF464" s="1164"/>
      <c r="AG464" s="1164"/>
      <c r="AH464" s="1164"/>
      <c r="AI464" s="1164"/>
      <c r="AJ464" s="1164"/>
      <c r="AK464" s="1164"/>
      <c r="AL464" s="1164"/>
      <c r="AM464" s="1164"/>
      <c r="AN464" s="1164"/>
      <c r="AO464" s="1164"/>
      <c r="AP464" s="1164"/>
      <c r="AQ464" s="1164"/>
      <c r="AR464" s="1164"/>
      <c r="AS464" s="1164"/>
      <c r="AT464" s="1164"/>
      <c r="AU464" s="1164"/>
      <c r="AV464" s="1164"/>
      <c r="AW464" s="1164"/>
      <c r="AX464" s="1164"/>
      <c r="AY464" s="1164"/>
      <c r="AZ464" s="1164"/>
      <c r="BA464" s="1164"/>
      <c r="BB464" s="1164"/>
      <c r="BC464" s="1164"/>
      <c r="BD464" s="1164"/>
      <c r="BE464" s="1164"/>
      <c r="BF464" s="1164"/>
      <c r="BG464" s="1164"/>
      <c r="BH464" s="1164"/>
      <c r="BI464" s="1164"/>
      <c r="BJ464" s="1164"/>
      <c r="BK464" s="1164"/>
      <c r="BL464" s="1164"/>
      <c r="BM464" s="1164"/>
      <c r="BN464" s="1164"/>
      <c r="BO464" s="1164"/>
      <c r="BP464" s="1164"/>
    </row>
    <row r="465" spans="2:69" ht="133.5" customHeight="1">
      <c r="E465" s="462">
        <v>15</v>
      </c>
      <c r="T465" s="365" t="b">
        <f t="shared" si="126"/>
        <v>1</v>
      </c>
      <c r="W465" s="44"/>
      <c r="AA465" s="22" t="s">
        <v>174</v>
      </c>
      <c r="AB465" s="1158" t="s">
        <v>2277</v>
      </c>
      <c r="AC465" s="1164"/>
      <c r="AD465" s="1164"/>
      <c r="AE465" s="1164"/>
      <c r="AF465" s="1164"/>
      <c r="AG465" s="1164"/>
      <c r="AH465" s="1164"/>
      <c r="AI465" s="1164"/>
      <c r="AJ465" s="1164"/>
      <c r="AK465" s="1164"/>
      <c r="AL465" s="1164"/>
      <c r="AM465" s="1164"/>
      <c r="AN465" s="1164"/>
      <c r="AO465" s="1164"/>
      <c r="AP465" s="1164"/>
      <c r="AQ465" s="1164"/>
      <c r="AR465" s="1164"/>
      <c r="AS465" s="1164"/>
      <c r="AT465" s="1164"/>
      <c r="AU465" s="1164"/>
      <c r="AV465" s="1164"/>
      <c r="AW465" s="1164"/>
      <c r="AX465" s="1164"/>
      <c r="AY465" s="1164"/>
      <c r="AZ465" s="1164"/>
      <c r="BA465" s="1164"/>
      <c r="BB465" s="1164"/>
      <c r="BC465" s="1164"/>
      <c r="BD465" s="1164"/>
      <c r="BE465" s="1164"/>
      <c r="BF465" s="1164"/>
      <c r="BG465" s="1164"/>
      <c r="BH465" s="1164"/>
      <c r="BI465" s="1164"/>
      <c r="BJ465" s="1164"/>
      <c r="BK465" s="1164"/>
      <c r="BL465" s="1164"/>
      <c r="BM465" s="1164"/>
      <c r="BN465" s="1164"/>
      <c r="BO465" s="1164"/>
      <c r="BP465" s="1164"/>
    </row>
    <row r="466" spans="2:69" ht="113.65" customHeight="1">
      <c r="E466" s="462">
        <v>15</v>
      </c>
      <c r="T466" s="365" t="b">
        <f t="shared" si="126"/>
        <v>1</v>
      </c>
      <c r="W466" s="44"/>
      <c r="Y466" s="91" t="s">
        <v>225</v>
      </c>
      <c r="AA466" s="22" t="s">
        <v>174</v>
      </c>
      <c r="AB466" s="1158" t="s">
        <v>2278</v>
      </c>
      <c r="AC466" s="1164"/>
      <c r="AD466" s="1164"/>
      <c r="AE466" s="1164"/>
      <c r="AF466" s="1164"/>
      <c r="AG466" s="1164"/>
      <c r="AH466" s="1164"/>
      <c r="AI466" s="1164"/>
      <c r="AJ466" s="1164"/>
      <c r="AK466" s="1164"/>
      <c r="AL466" s="1164"/>
      <c r="AM466" s="1164"/>
      <c r="AN466" s="1164"/>
      <c r="AO466" s="1164"/>
      <c r="AP466" s="1164"/>
      <c r="AQ466" s="1164"/>
      <c r="AR466" s="1164"/>
      <c r="AS466" s="1164"/>
      <c r="AT466" s="1164"/>
      <c r="AU466" s="1164"/>
      <c r="AV466" s="1164"/>
      <c r="AW466" s="1164"/>
      <c r="AX466" s="1164"/>
      <c r="AY466" s="1164"/>
      <c r="AZ466" s="1164"/>
      <c r="BA466" s="1164"/>
      <c r="BB466" s="1164"/>
      <c r="BC466" s="1164"/>
      <c r="BD466" s="1164"/>
      <c r="BE466" s="1164"/>
      <c r="BF466" s="1164"/>
      <c r="BG466" s="1164"/>
      <c r="BH466" s="1164"/>
      <c r="BI466" s="1164"/>
      <c r="BJ466" s="1164"/>
      <c r="BK466" s="1164"/>
      <c r="BL466" s="1164"/>
      <c r="BM466" s="1164"/>
      <c r="BN466" s="1164"/>
      <c r="BO466" s="1164"/>
      <c r="BP466" s="1164"/>
    </row>
    <row r="467" spans="2:69" ht="55.5" customHeight="1">
      <c r="E467" s="462">
        <v>15</v>
      </c>
      <c r="T467" s="365" t="b">
        <f t="shared" si="126"/>
        <v>1</v>
      </c>
      <c r="W467" s="44"/>
      <c r="AA467" s="22" t="s">
        <v>174</v>
      </c>
      <c r="AB467" s="1158" t="s">
        <v>2279</v>
      </c>
      <c r="AC467" s="1164"/>
      <c r="AD467" s="1164"/>
      <c r="AE467" s="1164"/>
      <c r="AF467" s="1164"/>
      <c r="AG467" s="1164"/>
      <c r="AH467" s="1164"/>
      <c r="AI467" s="1164"/>
      <c r="AJ467" s="1164"/>
      <c r="AK467" s="1164"/>
      <c r="AL467" s="1164"/>
      <c r="AM467" s="1164"/>
      <c r="AN467" s="1164"/>
      <c r="AO467" s="1164"/>
      <c r="AP467" s="1164"/>
      <c r="AQ467" s="1164"/>
      <c r="AR467" s="1164"/>
      <c r="AS467" s="1164"/>
      <c r="AT467" s="1164"/>
      <c r="AU467" s="1164"/>
      <c r="AV467" s="1164"/>
      <c r="AW467" s="1164"/>
      <c r="AX467" s="1164"/>
      <c r="AY467" s="1164"/>
      <c r="AZ467" s="1164"/>
      <c r="BA467" s="1164"/>
      <c r="BB467" s="1164"/>
      <c r="BC467" s="1164"/>
      <c r="BD467" s="1164"/>
      <c r="BE467" s="1164"/>
      <c r="BF467" s="1164"/>
      <c r="BG467" s="1164"/>
      <c r="BH467" s="1164"/>
      <c r="BI467" s="1164"/>
      <c r="BJ467" s="1164"/>
      <c r="BK467" s="1164"/>
      <c r="BL467" s="1164"/>
      <c r="BM467" s="1164"/>
      <c r="BN467" s="1164"/>
      <c r="BO467" s="1164"/>
      <c r="BP467" s="1164"/>
    </row>
    <row r="468" spans="2:69" ht="12.75" customHeight="1">
      <c r="B468" s="34"/>
      <c r="C468" s="44"/>
      <c r="D468" s="44"/>
      <c r="E468" s="462">
        <v>15</v>
      </c>
      <c r="F468" s="44"/>
      <c r="G468" s="44"/>
      <c r="H468" s="44"/>
      <c r="I468" s="44"/>
      <c r="J468" s="44"/>
      <c r="K468" s="44"/>
      <c r="N468" s="44"/>
      <c r="O468" s="44"/>
      <c r="P468" s="44"/>
      <c r="Q468" s="44"/>
      <c r="R468" s="44"/>
      <c r="S468" s="44"/>
      <c r="T468" s="44"/>
      <c r="U468" s="44"/>
      <c r="V468" s="44"/>
      <c r="W468" s="517" t="s">
        <v>399</v>
      </c>
      <c r="AB468" s="563"/>
      <c r="AC468" s="394" t="s">
        <v>400</v>
      </c>
      <c r="AD468" s="564"/>
      <c r="AE468" s="564"/>
      <c r="AF468" s="564"/>
      <c r="AG468" s="564"/>
      <c r="AH468" s="564"/>
      <c r="AI468" s="564"/>
      <c r="AJ468" s="564"/>
      <c r="AK468" s="564"/>
      <c r="AL468" s="564"/>
      <c r="AM468" s="564"/>
      <c r="AN468" s="564"/>
      <c r="AO468" s="564"/>
      <c r="AP468" s="564"/>
      <c r="AQ468" s="564"/>
      <c r="AR468" s="564"/>
      <c r="AS468" s="564"/>
      <c r="AT468" s="564"/>
      <c r="AU468" s="564"/>
      <c r="AV468" s="564"/>
      <c r="AW468" s="564"/>
      <c r="AX468" s="564"/>
      <c r="AY468" s="564"/>
      <c r="AZ468" s="564"/>
      <c r="BA468" s="564"/>
      <c r="BB468" s="564"/>
      <c r="BC468" s="564"/>
      <c r="BD468" s="564"/>
      <c r="BE468" s="564"/>
      <c r="BF468" s="564"/>
      <c r="BG468" s="564"/>
      <c r="BH468" s="564"/>
      <c r="BI468" s="564"/>
      <c r="BJ468" s="564"/>
      <c r="BK468" s="564"/>
      <c r="BL468" s="564"/>
      <c r="BM468" s="564"/>
      <c r="BN468" s="564"/>
      <c r="BO468" s="564"/>
      <c r="BP468" s="565"/>
    </row>
    <row r="469" spans="2:69" ht="10.9" customHeight="1">
      <c r="E469" s="518">
        <v>11.25</v>
      </c>
      <c r="BQ469" s="41"/>
    </row>
  </sheetData>
  <sheetProtection formatColumns="0" formatRows="0" insertRows="0" deleteColumns="0" deleteRows="0" sort="0" autoFilter="0"/>
  <mergeCells count="21">
    <mergeCell ref="AB460:BP460"/>
    <mergeCell ref="AB461:BP461"/>
    <mergeCell ref="AB462:BP462"/>
    <mergeCell ref="X27:X170"/>
    <mergeCell ref="Z27:Z170"/>
    <mergeCell ref="X171:X314"/>
    <mergeCell ref="Z171:Z314"/>
    <mergeCell ref="X315:X458"/>
    <mergeCell ref="Z315:Z458"/>
    <mergeCell ref="BP24:BP25"/>
    <mergeCell ref="BD25:BM25"/>
    <mergeCell ref="AB24:AB25"/>
    <mergeCell ref="AC24:AC25"/>
    <mergeCell ref="AD24:AD25"/>
    <mergeCell ref="BN24:BN25"/>
    <mergeCell ref="BO24:BO25"/>
    <mergeCell ref="AB463:BP463"/>
    <mergeCell ref="AB464:BP464"/>
    <mergeCell ref="AB465:BP465"/>
    <mergeCell ref="AB466:BP466"/>
    <mergeCell ref="AB467:BP467"/>
  </mergeCells>
  <hyperlinks>
    <hyperlink ref="BN172" r:id="rId1" tooltip="https://portal.eias.ru/Portal/DownloadPage.aspx?type=12&amp;guid=cb813cc3-71e1-4334-89b5-ea5ac1eb0d4b" xr:uid="{9E1B4768-ECC1-11C2-47C8-78089F0EF85F}"/>
    <hyperlink ref="BN180" r:id="rId2" tooltip="https://portal.eias.ru/Portal/DownloadPage.aspx?type=12&amp;guid=aefbbf8c-02b8-4585-9ed8-d1df3eca36b7" xr:uid="{1C4DC2A8-EBC8-E006-8124-C5BA777AE7EA}"/>
    <hyperlink ref="BN181" r:id="rId3" tooltip="https://portal.eias.ru/Portal/DownloadPage.aspx?type=12&amp;guid=1ff8021d-13f1-495d-9778-2e5b084fa21a" xr:uid="{EBACC466-4375-EDDE-D888-172CA3511DA8}"/>
    <hyperlink ref="BN187" r:id="rId4" tooltip="https://portal.eias.ru/Portal/DownloadPage.aspx?type=12&amp;guid=f8cf1639-3be2-4b08-8f19-ef78419b8800" xr:uid="{A2E30D9E-C2E8-C9D8-3C78-816FBD280CD8}"/>
    <hyperlink ref="BN188" r:id="rId5" tooltip="https://portal.eias.ru/Portal/DownloadPage.aspx?type=12&amp;guid=f8cf1639-3be2-4b08-8f19-ef78419b8800" xr:uid="{A4820073-06F8-A268-9115-CB06D574E638}"/>
    <hyperlink ref="BN190" r:id="rId6" tooltip="https://portal.eias.ru/Portal/DownloadPage.aspx?type=12&amp;guid=76d0b564-43a0-4303-a96b-fac8ed15fb49" xr:uid="{26C6F2D8-EE08-1798-A388-8952EC481E98}"/>
    <hyperlink ref="BN192" r:id="rId7" tooltip="https://portal.eias.ru/Portal/DownloadPage.aspx?type=12&amp;guid=96a3572f-dd28-4fad-8d0e-79a65f5271f1https://portal.eias.ru/Portal/DownloadPage.aspx?type=12&amp;guid=e9c040a8-4858-46d6-960d-ca29ec39bc56" xr:uid="{EACBA658-7ECD-8768-7503-526A48BC0DCB}"/>
    <hyperlink ref="BN193" r:id="rId8" tooltip="https://portal.eias.ru/Portal/DownloadPage.aspx?type=12&amp;guid=a093e265-245e-473a-8265-39cac4b54ea6" xr:uid="{98BF40D8-7373-D438-4C9C-B7C1C1A676F8}"/>
    <hyperlink ref="BN199" r:id="rId9" tooltip="https://portal.eias.ru/Portal/DownloadPage.aspx?type=12&amp;guid=2cf39c37-b084-4cbd-9080-5adc24a96ef6https://portal.eias.ru/Portal/DownloadPage.aspx?type=12&amp;guid=1d8f8bdc-c19b-486d-8128-f36d408ad72d" xr:uid="{F0461C44-3BA8-6478-E08B-381064472FC7}"/>
    <hyperlink ref="BN200" r:id="rId10" tooltip="https://portal.eias.ru/Portal/DownloadPage.aspx?type=12&amp;guid=cc5b503d-8076-48f3-8ee0-7a655db093dehttps://portal.eias.ru/Portal/DownloadPage.aspx?type=12&amp;guid=db39f901-e06d-48a0-98b0-12928e45f0dfhttps://portal.eias.ru/Portal/DownloadPage.aspx?type=12&amp;guid=" xr:uid="{613A6FA6-1CC8-D159-1167-E73B86663F85}"/>
    <hyperlink ref="BN202" r:id="rId11" tooltip="https://portal.eias.ru/Portal/DownloadPage.aspx?type=12&amp;guid=fe585c2c-220c-45c4-ae4e-0fedc1ed5bce" xr:uid="{29E9FEAE-9658-2C92-F268-82BBB234EC9D}"/>
    <hyperlink ref="BN205" r:id="rId12" tooltip="https://portal.eias.ru/Portal/DownloadPage.aspx?type=12&amp;guid=e4fba3b8-5708-4c67-ac7c-0c0d692dc733https://portal.eias.ru/Portal/DownloadPage.aspx?type=12&amp;guid=216b8ae7-85ae-49dd-91ab-eaea14bd8961https://portal.eias.ru/Portal/DownloadPage.aspx?type=12&amp;guid=" xr:uid="{074D5058-2772-5178-9E3A-C3D5FAD51034}"/>
    <hyperlink ref="BN207" r:id="rId13" tooltip="https://portal.eias.ru/Portal/DownloadPage.aspx?type=12&amp;guid=aefbbf8c-02b8-4585-9ed8-d1df3eca36b7" xr:uid="{FE3F7988-2508-04A8-D46B-D960B18515D8}"/>
    <hyperlink ref="BN208" r:id="rId14" tooltip="https://portal.eias.ru/Portal/DownloadPage.aspx?type=12&amp;guid=1ff8021d-13f1-495d-9778-2e5b084fa21a" xr:uid="{187CB42B-7C08-B9D4-5074-CD39A9CA4F07}"/>
    <hyperlink ref="BN222" r:id="rId15" tooltip="https://portal.eias.ru/Portal/DownloadPage.aspx?type=12&amp;guid=f5c67e69-b9c3-4cc7-aa4c-b5c80e967546" xr:uid="{34866508-A763-ED52-C243-228BA77034E8}"/>
    <hyperlink ref="BN224" r:id="rId16" tooltip="https://portal.eias.ru/Portal/DownloadPage.aspx?type=12&amp;guid=edc03fe2-00fb-4934-938e-8d6e512484cd" xr:uid="{2CD15AF6-FB98-9655-7F25-CB67828AB8CC}"/>
    <hyperlink ref="BN227" r:id="rId17" tooltip="https://portal.eias.ru/Portal/DownloadPage.aspx?type=12&amp;guid=4a7eafcc-0410-42dd-a407-bd70f6714fe4" xr:uid="{4448DB4E-F706-56A8-4264-1A40B1FAA958}"/>
    <hyperlink ref="BN235" r:id="rId18" tooltip="https://portal.eias.ru/Portal/DownloadPage.aspx?type=12&amp;guid=efc0779c-627d-4038-ab84-2a708a50fb43" xr:uid="{55F15468-81C2-2298-E9B8-1564FE502588}"/>
    <hyperlink ref="BN240" r:id="rId19" tooltip="https://portal.eias.ru/Portal/DownloadPage.aspx?type=12&amp;guid=aff70a6f-a48b-47fb-8f7f-48161df2194d" xr:uid="{791C4818-0368-5F08-9B98-BADC4FCDC428}"/>
    <hyperlink ref="BN244" r:id="rId20" tooltip="https://portal.eias.ru/Portal/DownloadPage.aspx?type=12&amp;guid=75f13117-21fe-48c3-b97c-cac2b41bf698" xr:uid="{8E3404E8-DE38-2D48-BE57-8B7EFE6B7766}"/>
    <hyperlink ref="BN248" r:id="rId21" tooltip="https://portal.eias.ru/Portal/DownloadPage.aspx?type=12&amp;guid=f09f4ff0-67c9-4533-b144-e76b417ac5d8" xr:uid="{AD11FA08-31C7-10ED-6988-9E954640A988}"/>
    <hyperlink ref="BN258" r:id="rId22" tooltip="https://portal.eias.ru/Portal/DownloadPage.aspx?type=12&amp;guid=487b052f-c18d-4446-9c94-f4c02a3b2532" xr:uid="{F6118188-FA88-1268-2022-4BE5737CA293}"/>
    <hyperlink ref="BN259" r:id="rId23" tooltip="https://portal.eias.ru/Portal/DownloadPage.aspx?type=12&amp;guid=26a59077-8141-4eab-8c72-e68b6e6756f9" xr:uid="{1F703DF1-31A1-8A76-7238-A4CDA6C62B34}"/>
    <hyperlink ref="BN316" r:id="rId24" tooltip="https://portal.eias.ru/Portal/DownloadPage.aspx?type=12&amp;guid=85d9d083-97e5-4a1c-a85d-6e7f3a83eb4a" xr:uid="{4B60ACF7-9848-EC3A-E88B-823232A89924}"/>
    <hyperlink ref="BN331" r:id="rId25" tooltip="https://portal.eias.ru/Portal/DownloadPage.aspx?type=12&amp;guid=c48e657c-612f-49fc-b4f9-bce0bb2a17bd" xr:uid="{8CFAA9F5-37DB-7BD8-EC28-5686DAA6A198}"/>
    <hyperlink ref="BN332" r:id="rId26" tooltip="https://portal.eias.ru/Portal/DownloadPage.aspx?type=12&amp;guid=1cbebc04-9440-4de9-9b95-7915dbda564b" xr:uid="{972EF3F8-4A78-258B-7B88-41BB6EBB6E3C}"/>
    <hyperlink ref="BN334" r:id="rId27" tooltip="https://portal.eias.ru/Portal/DownloadPage.aspx?type=12&amp;guid=725f471d-0734-459e-b401-56ed8589ef5b" xr:uid="{0EEC1683-E348-A2C9-9174-1833E0E834A8}"/>
    <hyperlink ref="BN336" r:id="rId28" tooltip="https://portal.eias.ru/Portal/DownloadPage.aspx?type=12&amp;guid=d64b978e-e9b2-4707-a459-44ce8934d266https://portal.eias.ru/Portal/DownloadPage.aspx?type=12&amp;guid=5acdda7a-bcfc-4b0e-9749-fac1c0e2fc68https://portal.eias.ru/Portal/DownloadPage.aspx?type=12&amp;guid=" xr:uid="{D24D299E-BC14-2FA8-7D58-3A832FAB6396}"/>
    <hyperlink ref="BN337" r:id="rId29" tooltip="https://portal.eias.ru/Portal/DownloadPage.aspx?type=12&amp;guid=e7a8e69e-f32c-4b16-9778-2cb6faeaa3b5" xr:uid="{7F8C818C-8258-C868-B2B8-0C45104F453C}"/>
    <hyperlink ref="BN343" r:id="rId30" tooltip="https://portal.eias.ru/Portal/DownloadPage.aspx?type=12&amp;guid=2cf39c37-b084-4cbd-9080-5adc24a96ef6https://portal.eias.ru/Portal/DownloadPage.aspx?type=12&amp;guid=1d8f8bdc-c19b-486d-8128-f36d408ad72d" xr:uid="{6CC395F8-93E8-94EC-B308-F2167D458687}"/>
    <hyperlink ref="BN344" r:id="rId31" tooltip="https://portal.eias.ru/Portal/DownloadPage.aspx?type=12&amp;guid=cc5b503d-8076-48f3-8ee0-7a655db093dehttps://portal.eias.ru/Portal/DownloadPage.aspx?type=12&amp;guid=db39f901-e06d-48a0-98b0-12928e45f0dfhttps://portal.eias.ru/Portal/DownloadPage.aspx?type=12&amp;guid=" xr:uid="{21064659-DC18-96BB-1D08-745C1529D56C}"/>
    <hyperlink ref="BN346" r:id="rId32" tooltip="https://portal.eias.ru/Portal/DownloadPage.aspx?type=12&amp;guid=fe585c2c-220c-45c4-ae4e-0fedc1ed5bce" xr:uid="{2EF29969-7A38-C5E5-418A-E407DDC3AF11}"/>
    <hyperlink ref="BN349" r:id="rId33" tooltip="https://portal.eias.ru/Portal/DownloadPage.aspx?type=12&amp;guid=9f568d50-86bc-4e46-bd5f-df325209bbaa" xr:uid="{7211CABF-E4E8-DE58-2878-3675FD9A8F77}"/>
    <hyperlink ref="BN351" r:id="rId34" tooltip="https://portal.eias.ru/Portal/DownloadPage.aspx?type=12&amp;guid=aefbbf8c-02b8-4585-9ed8-d1df3eca36b7" xr:uid="{E198E895-07C8-95FF-A018-5F0050C7FE2E}"/>
    <hyperlink ref="BN352" r:id="rId35" tooltip="https://portal.eias.ru/Portal/DownloadPage.aspx?type=12&amp;guid=1ff8021d-13f1-495d-9778-2e5b084fa21a" xr:uid="{EB3C57AE-5B18-49A8-FC38-83939E74E018}"/>
    <hyperlink ref="BN355" r:id="rId36" tooltip="https://portal.eias.ru/Portal/DownloadPage.aspx?type=12&amp;guid=d1c8d0fa-cdc3-48fd-8e58-cc43eb839254" xr:uid="{54C8AD6D-47A6-C488-42D8-3B43A2C4EFC8}"/>
    <hyperlink ref="BN366" r:id="rId37" tooltip="https://portal.eias.ru/Portal/DownloadPage.aspx?type=12&amp;guid=70e091ba-619c-4673-aeb1-924ce4e4e454" xr:uid="{E54346F8-4B88-7778-748B-C09AEE238557}"/>
    <hyperlink ref="BN368" r:id="rId38" tooltip="https://portal.eias.ru/Portal/DownloadPage.aspx?type=12&amp;guid=29507171-fded-4c19-83a0-f1c64c320c58" xr:uid="{C4654E75-3A13-C47F-5A88-DCD884ADE627}"/>
    <hyperlink ref="BN379" r:id="rId39" tooltip="https://portal.eias.ru/Portal/DownloadPage.aspx?type=12&amp;guid=3b430fa2-0bb4-4824-89fd-b13acfecc28b" xr:uid="{2FEFDE98-0496-BFBE-AA8A-8E27AE40749B}"/>
    <hyperlink ref="BN387" r:id="rId40" tooltip="https://portal.eias.ru/Portal/DownloadPage.aspx?type=12&amp;guid=de17eb0c-da58-4e25-af3c-6cb3f336eae8https://portal.eias.ru/Portal/DownloadPage.aspx?type=12&amp;guid=f0f15d69-cac4-4b6c-a202-e2ce21ea4dc0https://portal.eias.ru/Portal/DownloadPage.aspx?type=12&amp;guid=" xr:uid="{3EFF4848-8CEE-DB62-6E11-2C461710AA78}"/>
    <hyperlink ref="BN388" r:id="rId41" tooltip="https://portal.eias.ru/Portal/DownloadPage.aspx?type=12&amp;guid=75f13117-21fe-48c3-b97c-cac2b41bf698" xr:uid="{A2E27568-FE78-E3D8-1908-7BE4715E9358}"/>
    <hyperlink ref="BN392" r:id="rId42" tooltip="https://portal.eias.ru/Portal/DownloadPage.aspx?type=12&amp;guid=45ac096a-82cd-4bf1-8ede-e0b1a9f2c8d8" xr:uid="{E40E9798-5421-9316-2089-2E3A0D47D4B6}"/>
    <hyperlink ref="BN402" r:id="rId43" tooltip="https://portal.eias.ru/Portal/DownloadPage.aspx?type=12&amp;guid=211eadd0-e50b-4764-9794-b26812c87654" xr:uid="{D1CE2718-64FD-F879-9618-03787D39CA58}"/>
    <hyperlink ref="BN403" r:id="rId44" tooltip="https://portal.eias.ru/Portal/DownloadPage.aspx?type=12&amp;guid=45ac096a-82cd-4bf1-8ede-e0b1a9f2c8d8" xr:uid="{EB126758-6078-61E7-2B46-A554C420DE28}"/>
  </hyperlink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4DE8-5A58-5EA8-142F-48AAE3B7C59C}">
  <sheetPr>
    <tabColor rgb="FF000001"/>
  </sheetPr>
  <dimension ref="A2:G10"/>
  <sheetViews>
    <sheetView workbookViewId="0">
      <selection activeCell="G18" sqref="G18:G19"/>
    </sheetView>
  </sheetViews>
  <sheetFormatPr defaultColWidth="8.85546875" defaultRowHeight="15" customHeight="1"/>
  <cols>
    <col min="1" max="1" width="20.7109375" customWidth="1"/>
    <col min="2" max="4" width="12.28515625" bestFit="1" customWidth="1"/>
    <col min="5" max="6" width="11.5703125" bestFit="1" customWidth="1"/>
    <col min="7" max="7" width="13.85546875" bestFit="1" customWidth="1"/>
  </cols>
  <sheetData>
    <row r="2" spans="1:7" ht="15" customHeight="1">
      <c r="A2" t="s">
        <v>2280</v>
      </c>
    </row>
    <row r="4" spans="1:7" ht="15" customHeight="1">
      <c r="A4" s="1185" t="s">
        <v>276</v>
      </c>
      <c r="B4" s="1185"/>
      <c r="C4" s="954"/>
      <c r="D4" s="954"/>
      <c r="E4" s="954"/>
      <c r="F4" s="954"/>
      <c r="G4" s="954"/>
    </row>
    <row r="5" spans="1:7" ht="15" customHeight="1">
      <c r="A5" s="955" t="s">
        <v>2281</v>
      </c>
      <c r="B5" s="956" t="s">
        <v>2282</v>
      </c>
      <c r="C5" s="956" t="s">
        <v>2283</v>
      </c>
      <c r="D5" s="956" t="s">
        <v>2284</v>
      </c>
      <c r="E5" s="956" t="s">
        <v>2285</v>
      </c>
      <c r="F5" s="956" t="s">
        <v>2286</v>
      </c>
      <c r="G5" s="956" t="s">
        <v>2287</v>
      </c>
    </row>
    <row r="6" spans="1:7" ht="15" customHeight="1">
      <c r="A6" s="957" t="s">
        <v>2288</v>
      </c>
      <c r="B6" s="958">
        <v>-3645.9</v>
      </c>
      <c r="C6" s="958">
        <v>-7118.61</v>
      </c>
      <c r="D6" s="958">
        <v>-7479.59</v>
      </c>
      <c r="E6" s="958">
        <v>0</v>
      </c>
      <c r="F6" s="958">
        <v>0</v>
      </c>
      <c r="G6" s="958">
        <v>-18244.09</v>
      </c>
    </row>
    <row r="7" spans="1:7" ht="15" customHeight="1">
      <c r="A7" s="959"/>
      <c r="B7" s="954"/>
      <c r="C7" s="954"/>
      <c r="D7" s="954"/>
      <c r="E7" s="954"/>
      <c r="F7" s="954"/>
      <c r="G7" s="954"/>
    </row>
    <row r="8" spans="1:7" ht="15" customHeight="1">
      <c r="A8" s="1185" t="s">
        <v>286</v>
      </c>
      <c r="B8" s="1185"/>
      <c r="C8" s="954"/>
      <c r="D8" s="954"/>
      <c r="E8" s="954"/>
      <c r="F8" s="954"/>
      <c r="G8" s="954"/>
    </row>
    <row r="9" spans="1:7" ht="15" customHeight="1">
      <c r="A9" s="955" t="s">
        <v>2281</v>
      </c>
      <c r="B9" s="956" t="s">
        <v>2282</v>
      </c>
      <c r="C9" s="956" t="s">
        <v>2283</v>
      </c>
      <c r="D9" s="956" t="s">
        <v>2284</v>
      </c>
      <c r="E9" s="956" t="s">
        <v>2285</v>
      </c>
      <c r="F9" s="956" t="s">
        <v>2286</v>
      </c>
      <c r="G9" s="956" t="s">
        <v>2287</v>
      </c>
    </row>
    <row r="10" spans="1:7" ht="15" customHeight="1">
      <c r="A10" s="957" t="s">
        <v>2288</v>
      </c>
      <c r="B10" s="958">
        <v>-4425.1000000000004</v>
      </c>
      <c r="C10" s="958">
        <v>-4107.79</v>
      </c>
      <c r="D10" s="958">
        <v>-5026.05</v>
      </c>
      <c r="E10" s="958">
        <v>0</v>
      </c>
      <c r="F10" s="958">
        <v>0</v>
      </c>
      <c r="G10" s="958">
        <v>-13558.94</v>
      </c>
    </row>
  </sheetData>
  <sheetProtection insertRows="0" deleteColumns="0" deleteRows="0" sort="0" autoFilter="0"/>
  <mergeCells count="2">
    <mergeCell ref="A4:B4"/>
    <mergeCell ref="A8:B8"/>
  </mergeCells>
  <pageMargins left="0.7" right="0.7" top="0.75" bottom="0.75" header="0.3" footer="0.3"/>
  <pageSetup pageOrder="overThenDown"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57DC8-5C1E-22C8-1AE8-4A17CED11D63}">
  <sheetPr>
    <tabColor rgb="FF002060"/>
    <outlinePr summaryBelow="0" summaryRight="0"/>
  </sheetPr>
  <dimension ref="A1:AQ189"/>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cols>
    <col min="1" max="1" width="3.5703125" style="36" hidden="1" customWidth="1"/>
    <col min="2" max="2" width="8.5703125" style="65" hidden="1" customWidth="1"/>
    <col min="3" max="4" width="3.5703125" style="36" hidden="1" customWidth="1"/>
    <col min="5" max="5" width="3.5703125" style="472" hidden="1" customWidth="1"/>
    <col min="6" max="10" width="3.5703125" style="36" hidden="1" customWidth="1"/>
    <col min="11" max="11" width="10.28515625" style="36" hidden="1" customWidth="1"/>
    <col min="12" max="19" width="3.5703125" style="36" hidden="1" customWidth="1"/>
    <col min="20" max="20" width="8.28515625" style="36" hidden="1" customWidth="1"/>
    <col min="21" max="21" width="5.85546875" style="36" hidden="1" customWidth="1"/>
    <col min="22" max="23" width="6.140625" style="36" hidden="1" customWidth="1"/>
    <col min="24" max="25" width="5.5703125" style="36" hidden="1" customWidth="1"/>
    <col min="26" max="26" width="5.28515625" style="36" hidden="1" customWidth="1"/>
    <col min="27" max="27" width="3" style="36" customWidth="1"/>
    <col min="28" max="28" width="14.7109375" style="139" customWidth="1"/>
    <col min="29" max="33" width="17" style="36" customWidth="1"/>
    <col min="34" max="36" width="23" style="36" hidden="1" customWidth="1"/>
    <col min="37" max="37" width="25" style="36" hidden="1" customWidth="1"/>
    <col min="38" max="38" width="3" style="36" customWidth="1"/>
    <col min="39" max="40" width="9.140625" style="36" hidden="1"/>
    <col min="41" max="41" width="9.140625" style="680" hidden="1"/>
    <col min="42" max="43" width="9.140625" style="36" hidden="1"/>
  </cols>
  <sheetData>
    <row r="1" spans="1:41" ht="11.25" hidden="1" customHeight="1">
      <c r="E1" s="36"/>
      <c r="F1" s="36" t="s">
        <v>315</v>
      </c>
      <c r="K1" s="36" t="s">
        <v>353</v>
      </c>
      <c r="T1" s="365" t="s">
        <v>93</v>
      </c>
      <c r="U1" s="365" t="s">
        <v>98</v>
      </c>
      <c r="V1" s="365" t="s">
        <v>94</v>
      </c>
      <c r="W1" s="365" t="s">
        <v>95</v>
      </c>
      <c r="X1" s="365" t="s">
        <v>96</v>
      </c>
      <c r="Y1" s="367" t="s">
        <v>317</v>
      </c>
      <c r="Z1" s="365" t="s">
        <v>100</v>
      </c>
      <c r="AA1" s="366" t="s">
        <v>97</v>
      </c>
      <c r="AB1" s="23"/>
      <c r="AC1" s="366" t="s">
        <v>99</v>
      </c>
      <c r="AM1" s="36" t="s">
        <v>2289</v>
      </c>
      <c r="AO1" s="680" t="s">
        <v>358</v>
      </c>
    </row>
    <row r="2" spans="1:41" s="65" customFormat="1" ht="11.25" hidden="1" customHeight="1">
      <c r="B2" s="353" t="s">
        <v>19</v>
      </c>
      <c r="AB2" s="338"/>
      <c r="AG2" s="353" t="b">
        <f>$AF$24="нет"</f>
        <v>1</v>
      </c>
      <c r="AH2" s="353" t="b">
        <f>$AF$24="да"</f>
        <v>0</v>
      </c>
      <c r="AI2" s="353" t="b">
        <f>$AF$24="да"</f>
        <v>0</v>
      </c>
      <c r="AJ2" s="353" t="b">
        <f>$AF$24="да"</f>
        <v>0</v>
      </c>
      <c r="AK2" s="353" t="b">
        <f>$AF$24="да"</f>
        <v>0</v>
      </c>
      <c r="AO2" s="681"/>
    </row>
    <row r="3" spans="1:41" ht="11.25" hidden="1" customHeight="1">
      <c r="E3" s="36"/>
    </row>
    <row r="4" spans="1:41" ht="11.25" hidden="1" customHeight="1">
      <c r="E4" s="36"/>
    </row>
    <row r="5" spans="1:41" s="472" customFormat="1" ht="11.25" hidden="1" customHeight="1">
      <c r="A5" s="36"/>
      <c r="B5" s="65"/>
      <c r="C5" s="36"/>
      <c r="D5" s="36"/>
      <c r="E5" s="472" t="s">
        <v>20</v>
      </c>
      <c r="AA5" s="472">
        <v>3</v>
      </c>
      <c r="AB5" s="514">
        <v>14.71</v>
      </c>
      <c r="AC5" s="472">
        <v>17</v>
      </c>
      <c r="AD5" s="472">
        <v>17</v>
      </c>
      <c r="AE5" s="472">
        <v>17</v>
      </c>
      <c r="AF5" s="472">
        <v>17</v>
      </c>
      <c r="AG5" s="472">
        <v>17</v>
      </c>
      <c r="AH5" s="472">
        <v>23</v>
      </c>
      <c r="AI5" s="472">
        <v>23</v>
      </c>
      <c r="AJ5" s="472">
        <v>23</v>
      </c>
      <c r="AK5" s="472">
        <v>25</v>
      </c>
      <c r="AL5" s="472">
        <v>3</v>
      </c>
      <c r="AO5" s="680"/>
    </row>
    <row r="6" spans="1:41" ht="11.25" hidden="1" customHeight="1">
      <c r="A6" s="36" t="s">
        <v>326</v>
      </c>
      <c r="AC6" s="36" t="s">
        <v>327</v>
      </c>
      <c r="AD6" s="36" t="s">
        <v>328</v>
      </c>
      <c r="AE6" s="36" t="s">
        <v>329</v>
      </c>
      <c r="AF6" s="36" t="s">
        <v>536</v>
      </c>
      <c r="AG6" s="36" t="s">
        <v>540</v>
      </c>
      <c r="AH6" s="36" t="s">
        <v>2290</v>
      </c>
      <c r="AI6" s="36" t="s">
        <v>2291</v>
      </c>
      <c r="AJ6" s="36" t="s">
        <v>2292</v>
      </c>
      <c r="AK6" s="36" t="s">
        <v>2293</v>
      </c>
    </row>
    <row r="7" spans="1:41" ht="11.25" hidden="1" customHeight="1"/>
    <row r="8" spans="1:41" ht="11.25" hidden="1" customHeight="1"/>
    <row r="9" spans="1:41" s="680" customFormat="1" ht="11.25" hidden="1" customHeight="1">
      <c r="A9" s="680" t="s">
        <v>318</v>
      </c>
      <c r="B9" s="681"/>
      <c r="AB9" s="699"/>
      <c r="AC9" s="714" t="s">
        <v>2294</v>
      </c>
      <c r="AD9" s="714" t="s">
        <v>2295</v>
      </c>
      <c r="AE9" s="714" t="s">
        <v>2296</v>
      </c>
      <c r="AF9" s="714" t="s">
        <v>2297</v>
      </c>
      <c r="AG9" s="714" t="s">
        <v>2298</v>
      </c>
      <c r="AH9" s="714" t="s">
        <v>2299</v>
      </c>
      <c r="AI9" s="714" t="s">
        <v>2300</v>
      </c>
      <c r="AJ9" s="714" t="s">
        <v>2301</v>
      </c>
      <c r="AK9" s="680" t="s">
        <v>2302</v>
      </c>
    </row>
    <row r="10" spans="1:41" ht="11.25" hidden="1" customHeight="1"/>
    <row r="11" spans="1:41" ht="11.25" hidden="1" customHeight="1"/>
    <row r="12" spans="1:41" ht="11.25" hidden="1" customHeight="1"/>
    <row r="13" spans="1:41" ht="11.25" hidden="1" customHeight="1"/>
    <row r="14" spans="1:41" ht="11.25" hidden="1" customHeight="1"/>
    <row r="15" spans="1:41" ht="11.25" hidden="1" customHeight="1"/>
    <row r="16" spans="1:41" ht="11.25" hidden="1" customHeight="1"/>
    <row r="17" spans="1:43" ht="11.25" hidden="1" customHeight="1"/>
    <row r="18" spans="1:43" ht="11.25" hidden="1" customHeight="1"/>
    <row r="19" spans="1:43" ht="11.25" hidden="1" customHeight="1"/>
    <row r="20" spans="1:43" ht="11.25" hidden="1" customHeight="1"/>
    <row r="21" spans="1:43" ht="14.65" customHeight="1">
      <c r="E21" s="472">
        <v>15</v>
      </c>
      <c r="AA21" s="337"/>
      <c r="AB21" s="281" t="str" cm="1">
        <f t="array" ref="AB21">tpl_title</f>
        <v>Кемеровская область / 2026 / ООО "Энергосервис г. Гурьевска" (ИНН:4202049045, КПП:420201001) / ДПР: 2024-2028</v>
      </c>
    </row>
    <row r="22" spans="1:43" s="78" customFormat="1" ht="23.45" customHeight="1">
      <c r="B22" s="65"/>
      <c r="E22" s="473">
        <v>24</v>
      </c>
      <c r="AB22" s="239" t="s">
        <v>85</v>
      </c>
      <c r="AC22" s="138"/>
      <c r="AD22" s="138"/>
      <c r="AE22" s="138"/>
      <c r="AF22" s="138"/>
      <c r="AG22" s="138"/>
      <c r="AH22" s="138"/>
      <c r="AI22" s="138"/>
      <c r="AJ22" s="138"/>
      <c r="AK22" s="138"/>
      <c r="AO22" s="683"/>
    </row>
    <row r="23" spans="1:43" ht="10.9" customHeight="1">
      <c r="E23" s="472">
        <v>11.25</v>
      </c>
      <c r="AB23" s="79"/>
      <c r="AC23" s="79"/>
    </row>
    <row r="24" spans="1:43" ht="19.7" customHeight="1">
      <c r="E24" s="472">
        <v>20.25</v>
      </c>
      <c r="AB24" s="1162" t="s">
        <v>2303</v>
      </c>
      <c r="AC24" s="1162"/>
      <c r="AD24" s="1162"/>
      <c r="AE24" s="1162"/>
      <c r="AF24" s="265" t="s">
        <v>151</v>
      </c>
    </row>
    <row r="25" spans="1:43" ht="10.9" customHeight="1">
      <c r="E25" s="472">
        <v>11.25</v>
      </c>
      <c r="AB25" s="79"/>
      <c r="AC25" s="79"/>
    </row>
    <row r="26" spans="1:43" s="79" customFormat="1" ht="38.1" customHeight="1">
      <c r="B26" s="338"/>
      <c r="E26" s="470">
        <v>39</v>
      </c>
      <c r="AB26" s="1188" t="s">
        <v>2304</v>
      </c>
      <c r="AC26" s="1078" t="s">
        <v>2305</v>
      </c>
      <c r="AD26" s="1078" t="s">
        <v>462</v>
      </c>
      <c r="AE26" s="1069" t="s">
        <v>2306</v>
      </c>
      <c r="AF26" s="1088" t="s">
        <v>2307</v>
      </c>
      <c r="AG26" s="1088"/>
      <c r="AH26" s="1088"/>
      <c r="AI26" s="1088"/>
      <c r="AJ26" s="1088"/>
      <c r="AK26" s="1088"/>
      <c r="AO26" s="678"/>
    </row>
    <row r="27" spans="1:43" s="79" customFormat="1" ht="35.1" customHeight="1">
      <c r="B27" s="338"/>
      <c r="E27" s="470">
        <v>36</v>
      </c>
      <c r="AB27" s="1189"/>
      <c r="AC27" s="1078"/>
      <c r="AD27" s="1078"/>
      <c r="AE27" s="1078"/>
      <c r="AF27" s="570" t="s">
        <v>583</v>
      </c>
      <c r="AG27" s="570" t="s">
        <v>2308</v>
      </c>
      <c r="AH27" s="570" t="s">
        <v>2309</v>
      </c>
      <c r="AI27" s="570" t="s">
        <v>2310</v>
      </c>
      <c r="AJ27" s="570" t="s">
        <v>2311</v>
      </c>
      <c r="AK27" s="570" t="s">
        <v>2312</v>
      </c>
      <c r="AO27" s="678"/>
    </row>
    <row r="28" spans="1:43" s="81" customFormat="1" ht="11.25" customHeight="1">
      <c r="B28" s="338"/>
      <c r="E28" s="198">
        <v>11.5</v>
      </c>
      <c r="AB28" s="1190"/>
      <c r="AC28" s="571" t="s">
        <v>804</v>
      </c>
      <c r="AD28" s="571" t="s">
        <v>456</v>
      </c>
      <c r="AE28" s="28" t="s">
        <v>456</v>
      </c>
      <c r="AF28" s="571" t="s">
        <v>456</v>
      </c>
      <c r="AG28" s="571" t="s">
        <v>2313</v>
      </c>
      <c r="AH28" s="571" t="s">
        <v>2313</v>
      </c>
      <c r="AI28" s="571" t="s">
        <v>2313</v>
      </c>
      <c r="AJ28" s="571" t="s">
        <v>2313</v>
      </c>
      <c r="AK28" s="571" t="s">
        <v>2313</v>
      </c>
      <c r="AO28" s="687"/>
    </row>
    <row r="29" spans="1:43" ht="11.25" customHeight="1">
      <c r="A29"/>
      <c r="B29" s="339"/>
      <c r="C29"/>
      <c r="D29"/>
      <c r="E29" s="465" t="s">
        <v>366</v>
      </c>
      <c r="F29" s="23"/>
      <c r="G29"/>
      <c r="H29"/>
      <c r="I29"/>
      <c r="J29"/>
      <c r="K29"/>
      <c r="L29"/>
      <c r="M29"/>
      <c r="N29"/>
      <c r="O29"/>
      <c r="P29"/>
      <c r="Q29"/>
      <c r="R29"/>
      <c r="S29"/>
      <c r="T29"/>
      <c r="U29"/>
      <c r="V29"/>
      <c r="W29"/>
      <c r="X29"/>
      <c r="Y29"/>
      <c r="Z29"/>
      <c r="AA29"/>
      <c r="AB29"/>
      <c r="AC29" s="327"/>
      <c r="AD29" s="327"/>
      <c r="AE29" s="327"/>
      <c r="AF29" s="327"/>
      <c r="AG29"/>
      <c r="AH29"/>
      <c r="AI29"/>
      <c r="AJ29"/>
      <c r="AK29"/>
      <c r="AL29"/>
      <c r="AM29"/>
      <c r="AN29"/>
      <c r="AO29" s="670"/>
      <c r="AP29"/>
      <c r="AQ29" s="38"/>
    </row>
    <row r="30" spans="1:43" s="57" customFormat="1" ht="14.65" hidden="1" customHeight="1">
      <c r="B30" s="62"/>
      <c r="E30" s="459">
        <v>15</v>
      </c>
      <c r="F30" s="36" cm="1">
        <f t="array" ref="F30">X30</f>
        <v>0</v>
      </c>
      <c r="T30" s="365" t="b">
        <f>X30&gt;0</f>
        <v>0</v>
      </c>
      <c r="V30" s="57" t="s">
        <v>264</v>
      </c>
      <c r="X30" s="1075">
        <v>0</v>
      </c>
      <c r="Z30" s="1065"/>
      <c r="AB30" s="293" t="str" cm="1">
        <f t="array" ref="AB30">INDEX('Общие сведения'!$AG$179:$AG$222,MATCH($X30,'Общие сведения'!$Z$179:$Z$222,0))</f>
        <v xml:space="preserve">Тариф 0 () - </v>
      </c>
      <c r="AC30" s="572"/>
      <c r="AD30" s="572"/>
      <c r="AE30" s="572"/>
      <c r="AF30" s="572"/>
      <c r="AG30" s="572"/>
      <c r="AH30" s="572"/>
      <c r="AI30" s="572"/>
      <c r="AJ30" s="572"/>
      <c r="AK30" s="572"/>
      <c r="AL30" s="315"/>
      <c r="AO30" s="665"/>
    </row>
    <row r="31" spans="1:43" s="91" customFormat="1" ht="14.65" hidden="1" customHeight="1">
      <c r="B31" s="353" t="b">
        <f t="shared" ref="B31:B62" si="0">K31&lt;first_year+PERIOD_LENGTH</f>
        <v>1</v>
      </c>
      <c r="E31" s="518">
        <v>15</v>
      </c>
      <c r="F31" s="3" cm="1">
        <f t="array" aca="1" ref="F31" ca="1">OFFSET(E31,-1,1)</f>
        <v>0</v>
      </c>
      <c r="K31" s="91" cm="1">
        <f t="array" ref="K31">first_year</f>
        <v>2024</v>
      </c>
      <c r="T31" s="365" t="b" cm="1">
        <f t="array" ref="T31">T30</f>
        <v>0</v>
      </c>
      <c r="X31" s="1075"/>
      <c r="Z31" s="1065"/>
      <c r="AB31" s="573" t="str">
        <f t="shared" ref="AB31:AB62" si="1">K31&amp;" год"</f>
        <v>2024 год</v>
      </c>
      <c r="AC31" s="960">
        <f ca="1">IF(god=first_year,SUMIFS('Калькуляция (МИ)'!AT$26:AT$459,'Калькуляция (МИ)'!F$26:F$459,F31,'Калькуляция (МИ)'!AC$26:AC$459,"операционные расходы"),IF(god&lt;first_year+3,IFERROR(SUMIFS(INDEX('Калькуляция (МИ корр)'!$AE$25:$BC$459,,MATCH(K31&amp;"Принято органом регулирования",'Калькуляция (МИ корр)'!$AE$8:$BC$8,0)),'Калькуляция (МИ корр)'!$F$25:$F$459,F31,'Калькуляция (МИ корр)'!$AC$25:$AC$459,"Операционные расходы"),0),""))</f>
        <v>0</v>
      </c>
      <c r="AD31" s="961">
        <f ca="1">IFERROR(SUMIFS(INDEX(Сценарии!$AE$25:$BF$109,,MATCH($K31&amp;"Принято органом регулирования",Сценарии!$AE$8:$BF$8,0)),Сценарии!$F$25:$F$109,$F31,Сценарии!$AC$25:$AC$109,"Индекс эффективности операционных расходов"),0)</f>
        <v>0</v>
      </c>
      <c r="AE31" s="962"/>
      <c r="AF31" s="962">
        <f ca="1">IFERROR(SUMIFS(INDEX(Баланс!$AE$25:$BB$300,,MATCH($K31&amp;"Принято органом регулирования",Баланс!$AE$8:$BB$8,0)),Баланс!$F$25:$F$300,$F31,Баланс!$AC$24:$AC$300,"Уровень потерь воды"),0)</f>
        <v>0</v>
      </c>
      <c r="AG31" s="961">
        <f ca="1">IFERROR(SUMIFS(INDEX(Electricity_LOAD_1,,MATCH($K31&amp;"Принято органом регулирования",ЭЭ!$AE$8:$BB$8,0)),ЭЭ!$F$25:$F$109,$F31,ЭЭ!$AC$25:$AC$109,"Удельный расход электроэнергии"),0)</f>
        <v>0</v>
      </c>
      <c r="AH31" s="961">
        <f ca="1">IFERROR(SUMIFS(INDEX(Electricity_LOAD_1,,MATCH($K31&amp;"Принято органом регулирования",ЭЭ!$AE$8:$BB$8,0)),ЭЭ!$F$25:$F$109,$F31,ЭЭ!$AC$25:$AC$109,"Удельный расход электроэнергии"),0)</f>
        <v>0</v>
      </c>
      <c r="AI31" s="961">
        <f ca="1">IFERROR(SUMIFS(INDEX(Electricity_LOAD_1,,MATCH($K31&amp;"Принято органом регулирования",ЭЭ!$AE$8:$BB$8,0)),ЭЭ!$F$25:$F$109,$F31,ЭЭ!$AC$25:$AC$109,"Удельный расход электроэнергии"),0)</f>
        <v>0</v>
      </c>
      <c r="AJ31" s="961">
        <f ca="1">IFERROR(SUMIFS(INDEX(Electricity_LOAD_1,,MATCH($K31&amp;"Принято органом регулирования",ЭЭ!$AE$8:$BB$8,0)),ЭЭ!$F$25:$F$109,$F31,ЭЭ!$AC$25:$AC$109,"Удельный расход электроэнергии"),0)</f>
        <v>0</v>
      </c>
      <c r="AK31" s="961">
        <f ca="1">IFERROR(SUMIFS(INDEX(Electricity_LOAD_1,,MATCH($K31&amp;"Принято органом регулирования",ЭЭ!$AE$8:$BB$8,0)),ЭЭ!$F$25:$F$109,$F31,ЭЭ!$AC$25:$AC$109,"Удельный расход электроэнергии"),0)</f>
        <v>0</v>
      </c>
      <c r="AL31" s="316"/>
      <c r="AM31" s="91" t="s">
        <v>2314</v>
      </c>
      <c r="AO31" s="705" cm="1">
        <f t="array" ref="AO31">K31</f>
        <v>2024</v>
      </c>
    </row>
    <row r="32" spans="1:43" s="91" customFormat="1" ht="14.65" hidden="1" customHeight="1">
      <c r="B32" s="353" t="b">
        <f t="shared" si="0"/>
        <v>1</v>
      </c>
      <c r="E32" s="518">
        <v>15</v>
      </c>
      <c r="F32" s="3" cm="1">
        <f t="array" aca="1" ref="F32" ca="1">OFFSET(E32,-1,1)</f>
        <v>0</v>
      </c>
      <c r="K32" s="91">
        <f>first_year+1</f>
        <v>2025</v>
      </c>
      <c r="T32" s="365" t="b" cm="1">
        <f t="array" ref="T32">T31</f>
        <v>0</v>
      </c>
      <c r="X32" s="1075"/>
      <c r="Z32" s="1065"/>
      <c r="AB32" s="573" t="str">
        <f t="shared" si="1"/>
        <v>2025 год</v>
      </c>
      <c r="AC32" s="962"/>
      <c r="AD32" s="961">
        <f ca="1">IFERROR(SUMIFS(INDEX(Сценарии!$AE$25:$BF$109,,MATCH($K32&amp;"Принято органом регулирования",Сценарии!$AE$8:$BF$8,0)),Сценарии!$F$25:$F$109,$F32,Сценарии!$AC$25:$AC$109,"Индекс эффективности операционных расходов"),0)</f>
        <v>0</v>
      </c>
      <c r="AE32" s="962"/>
      <c r="AF32" s="962">
        <f ca="1">IFERROR(SUMIFS(INDEX(Баланс!$AE$25:$BB$300,,MATCH($K32&amp;"Принято органом регулирования",Баланс!$AE$8:$BB$8,0)),Баланс!$F$25:$F$300,$F32,Баланс!$AC$24:$AC$300,"Уровень потерь воды"),0)</f>
        <v>0</v>
      </c>
      <c r="AG32" s="961">
        <f ca="1">IFERROR(SUMIFS(INDEX(Electricity_LOAD_1,,MATCH($K32&amp;"Принято органом регулирования",ЭЭ!$AE$8:$BB$8,0)),ЭЭ!$F$25:$F$109,$F32,ЭЭ!$AC$25:$AC$109,"Удельный расход электроэнергии"),0)</f>
        <v>0</v>
      </c>
      <c r="AH32" s="961">
        <f ca="1">IFERROR(SUMIFS(INDEX(Electricity_LOAD_1,,MATCH($K32&amp;"Принято органом регулирования",ЭЭ!$AE$8:$BB$8,0)),ЭЭ!$F$25:$F$109,$F32,ЭЭ!$AC$25:$AC$109,"Удельный расход электроэнергии"),0)</f>
        <v>0</v>
      </c>
      <c r="AI32" s="961">
        <f ca="1">IFERROR(SUMIFS(INDEX(Electricity_LOAD_1,,MATCH($K32&amp;"Принято органом регулирования",ЭЭ!$AE$8:$BB$8,0)),ЭЭ!$F$25:$F$109,$F32,ЭЭ!$AC$25:$AC$109,"Удельный расход электроэнергии"),0)</f>
        <v>0</v>
      </c>
      <c r="AJ32" s="961">
        <f ca="1">IFERROR(SUMIFS(INDEX(Electricity_LOAD_1,,MATCH($K32&amp;"Принято органом регулирования",ЭЭ!$AE$8:$BB$8,0)),ЭЭ!$F$25:$F$109,$F32,ЭЭ!$AC$25:$AC$109,"Удельный расход электроэнергии"),0)</f>
        <v>0</v>
      </c>
      <c r="AK32" s="961">
        <f ca="1">IFERROR(SUMIFS(INDEX(Electricity_LOAD_1,,MATCH($K32&amp;"Принято органом регулирования",ЭЭ!$AE$8:$BB$8,0)),ЭЭ!$F$25:$F$109,$F32,ЭЭ!$AC$25:$AC$109,"Удельный расход электроэнергии"),0)</f>
        <v>0</v>
      </c>
      <c r="AL32" s="316"/>
      <c r="AM32" s="91" t="s">
        <v>2314</v>
      </c>
      <c r="AO32" s="705" cm="1">
        <f t="array" ref="AO32">K32</f>
        <v>2025</v>
      </c>
    </row>
    <row r="33" spans="2:41" s="91" customFormat="1" ht="14.65" hidden="1" customHeight="1">
      <c r="B33" s="353" t="b">
        <f t="shared" si="0"/>
        <v>1</v>
      </c>
      <c r="E33" s="518">
        <v>15</v>
      </c>
      <c r="F33" s="3" cm="1">
        <f t="array" aca="1" ref="F33" ca="1">OFFSET(E33,-1,1)</f>
        <v>0</v>
      </c>
      <c r="K33" s="91">
        <f>first_year+2</f>
        <v>2026</v>
      </c>
      <c r="T33" s="365" t="b" cm="1">
        <f t="array" ref="T33">T32</f>
        <v>0</v>
      </c>
      <c r="X33" s="1075"/>
      <c r="Z33" s="1065"/>
      <c r="AB33" s="573" t="str">
        <f t="shared" si="1"/>
        <v>2026 год</v>
      </c>
      <c r="AC33" s="962"/>
      <c r="AD33" s="961">
        <f ca="1">IFERROR(SUMIFS(INDEX(Сценарии!$AE$25:$BF$109,,MATCH($K33&amp;"Принято органом регулирования",Сценарии!$AE$8:$BF$8,0)),Сценарии!$F$25:$F$109,$F33,Сценарии!$AC$25:$AC$109,"Индекс эффективности операционных расходов"),0)</f>
        <v>0</v>
      </c>
      <c r="AE33" s="962"/>
      <c r="AF33" s="962">
        <f ca="1">IFERROR(SUMIFS(INDEX(Баланс!$AE$25:$BB$300,,MATCH($K33&amp;"Принято органом регулирования",Баланс!$AE$8:$BB$8,0)),Баланс!$F$25:$F$300,$F33,Баланс!$AC$24:$AC$300,"Уровень потерь воды"),0)</f>
        <v>0</v>
      </c>
      <c r="AG33" s="961">
        <f ca="1">IFERROR(SUMIFS(INDEX(Electricity_LOAD_1,,MATCH($K33&amp;"Принято органом регулирования",ЭЭ!$AE$8:$BB$8,0)),ЭЭ!$F$25:$F$109,$F33,ЭЭ!$AC$25:$AC$109,"Удельный расход электроэнергии"),0)</f>
        <v>0</v>
      </c>
      <c r="AH33" s="961">
        <f ca="1">IFERROR(SUMIFS(INDEX(Electricity_LOAD_1,,MATCH($K33&amp;"Принято органом регулирования",ЭЭ!$AE$8:$BB$8,0)),ЭЭ!$F$25:$F$109,$F33,ЭЭ!$AC$25:$AC$109,"Удельный расход электроэнергии"),0)</f>
        <v>0</v>
      </c>
      <c r="AI33" s="961">
        <f ca="1">IFERROR(SUMIFS(INDEX(Electricity_LOAD_1,,MATCH($K33&amp;"Принято органом регулирования",ЭЭ!$AE$8:$BB$8,0)),ЭЭ!$F$25:$F$109,$F33,ЭЭ!$AC$25:$AC$109,"Удельный расход электроэнергии"),0)</f>
        <v>0</v>
      </c>
      <c r="AJ33" s="961">
        <f ca="1">IFERROR(SUMIFS(INDEX(Electricity_LOAD_1,,MATCH($K33&amp;"Принято органом регулирования",ЭЭ!$AE$8:$BB$8,0)),ЭЭ!$F$25:$F$109,$F33,ЭЭ!$AC$25:$AC$109,"Удельный расход электроэнергии"),0)</f>
        <v>0</v>
      </c>
      <c r="AK33" s="961">
        <f ca="1">IFERROR(SUMIFS(INDEX(Electricity_LOAD_1,,MATCH($K33&amp;"Принято органом регулирования",ЭЭ!$AE$8:$BB$8,0)),ЭЭ!$F$25:$F$109,$F33,ЭЭ!$AC$25:$AC$109,"Удельный расход электроэнергии"),0)</f>
        <v>0</v>
      </c>
      <c r="AL33" s="316"/>
      <c r="AM33" s="91" t="s">
        <v>2314</v>
      </c>
      <c r="AO33" s="705" cm="1">
        <f t="array" ref="AO33">K33</f>
        <v>2026</v>
      </c>
    </row>
    <row r="34" spans="2:41" s="91" customFormat="1" ht="14.65" hidden="1" customHeight="1">
      <c r="B34" s="353" t="b">
        <f t="shared" si="0"/>
        <v>1</v>
      </c>
      <c r="E34" s="518">
        <v>15</v>
      </c>
      <c r="F34" s="3" cm="1">
        <f t="array" aca="1" ref="F34" ca="1">OFFSET(E34,-1,1)</f>
        <v>0</v>
      </c>
      <c r="K34" s="91">
        <f>first_year+3</f>
        <v>2027</v>
      </c>
      <c r="T34" s="365" t="b" cm="1">
        <f t="array" ref="T34">T33</f>
        <v>0</v>
      </c>
      <c r="X34" s="1075"/>
      <c r="Z34" s="1065"/>
      <c r="AB34" s="573" t="str">
        <f t="shared" si="1"/>
        <v>2027 год</v>
      </c>
      <c r="AC34" s="962"/>
      <c r="AD34" s="961">
        <f ca="1">IFERROR(SUMIFS(INDEX(Сценарии!$AE$25:$BF$109,,MATCH($K34&amp;"Принято органом регулирования",Сценарии!$AE$8:$BF$8,0)),Сценарии!$F$25:$F$109,$F34,Сценарии!$AC$25:$AC$109,"Индекс эффективности операционных расходов"),0)</f>
        <v>0</v>
      </c>
      <c r="AE34" s="962"/>
      <c r="AF34" s="962">
        <f ca="1">IFERROR(SUMIFS(INDEX(Баланс!$AE$25:$BB$300,,MATCH($K34&amp;"Принято органом регулирования",Баланс!$AE$8:$BB$8,0)),Баланс!$F$25:$F$300,$F34,Баланс!$AC$24:$AC$300,"Уровень потерь воды"),0)</f>
        <v>0</v>
      </c>
      <c r="AG34" s="961">
        <f ca="1">IFERROR(SUMIFS(INDEX(Electricity_LOAD_1,,MATCH($K34&amp;"Принято органом регулирования",ЭЭ!$AE$8:$BB$8,0)),ЭЭ!$F$25:$F$109,$F34,ЭЭ!$AC$25:$AC$109,"Удельный расход электроэнергии"),0)</f>
        <v>0</v>
      </c>
      <c r="AH34" s="961">
        <f ca="1">IFERROR(SUMIFS(INDEX(Electricity_LOAD_1,,MATCH($K34&amp;"Принято органом регулирования",ЭЭ!$AE$8:$BB$8,0)),ЭЭ!$F$25:$F$109,$F34,ЭЭ!$AC$25:$AC$109,"Удельный расход электроэнергии"),0)</f>
        <v>0</v>
      </c>
      <c r="AI34" s="961">
        <f ca="1">IFERROR(SUMIFS(INDEX(Electricity_LOAD_1,,MATCH($K34&amp;"Принято органом регулирования",ЭЭ!$AE$8:$BB$8,0)),ЭЭ!$F$25:$F$109,$F34,ЭЭ!$AC$25:$AC$109,"Удельный расход электроэнергии"),0)</f>
        <v>0</v>
      </c>
      <c r="AJ34" s="961">
        <f ca="1">IFERROR(SUMIFS(INDEX(Electricity_LOAD_1,,MATCH($K34&amp;"Принято органом регулирования",ЭЭ!$AE$8:$BB$8,0)),ЭЭ!$F$25:$F$109,$F34,ЭЭ!$AC$25:$AC$109,"Удельный расход электроэнергии"),0)</f>
        <v>0</v>
      </c>
      <c r="AK34" s="961">
        <f ca="1">IFERROR(SUMIFS(INDEX(Electricity_LOAD_1,,MATCH($K34&amp;"Принято органом регулирования",ЭЭ!$AE$8:$BB$8,0)),ЭЭ!$F$25:$F$109,$F34,ЭЭ!$AC$25:$AC$109,"Удельный расход электроэнергии"),0)</f>
        <v>0</v>
      </c>
      <c r="AL34" s="316"/>
      <c r="AM34" s="91" t="s">
        <v>2314</v>
      </c>
      <c r="AO34" s="705" cm="1">
        <f t="array" ref="AO34">K34</f>
        <v>2027</v>
      </c>
    </row>
    <row r="35" spans="2:41" s="91" customFormat="1" ht="14.65" hidden="1" customHeight="1">
      <c r="B35" s="353" t="b">
        <f t="shared" si="0"/>
        <v>1</v>
      </c>
      <c r="E35" s="518">
        <v>15</v>
      </c>
      <c r="F35" s="3" cm="1">
        <f t="array" aca="1" ref="F35" ca="1">OFFSET(E35,-1,1)</f>
        <v>0</v>
      </c>
      <c r="K35" s="91">
        <f>first_year+4</f>
        <v>2028</v>
      </c>
      <c r="T35" s="365" t="b" cm="1">
        <f t="array" ref="T35">T34</f>
        <v>0</v>
      </c>
      <c r="X35" s="1075"/>
      <c r="Z35" s="1065"/>
      <c r="AB35" s="573" t="str">
        <f t="shared" si="1"/>
        <v>2028 год</v>
      </c>
      <c r="AC35" s="962"/>
      <c r="AD35" s="961">
        <f ca="1">IFERROR(SUMIFS(INDEX(Сценарии!$AE$25:$BF$109,,MATCH($K35&amp;"Принято органом регулирования",Сценарии!$AE$8:$BF$8,0)),Сценарии!$F$25:$F$109,$F35,Сценарии!$AC$25:$AC$109,"Индекс эффективности операционных расходов"),0)</f>
        <v>0</v>
      </c>
      <c r="AE35" s="962"/>
      <c r="AF35" s="962">
        <f ca="1">IFERROR(SUMIFS(INDEX(Баланс!$AE$25:$BB$300,,MATCH($K35&amp;"Принято органом регулирования",Баланс!$AE$8:$BB$8,0)),Баланс!$F$25:$F$300,$F35,Баланс!$AC$24:$AC$300,"Уровень потерь воды"),0)</f>
        <v>0</v>
      </c>
      <c r="AG35" s="961">
        <f ca="1">IFERROR(SUMIFS(INDEX(Electricity_LOAD_1,,MATCH($K35&amp;"Принято органом регулирования",ЭЭ!$AE$8:$BB$8,0)),ЭЭ!$F$25:$F$109,$F35,ЭЭ!$AC$25:$AC$109,"Удельный расход электроэнергии"),0)</f>
        <v>0</v>
      </c>
      <c r="AH35" s="961">
        <f ca="1">IFERROR(SUMIFS(INDEX(Electricity_LOAD_1,,MATCH($K35&amp;"Принято органом регулирования",ЭЭ!$AE$8:$BB$8,0)),ЭЭ!$F$25:$F$109,$F35,ЭЭ!$AC$25:$AC$109,"Удельный расход электроэнергии"),0)</f>
        <v>0</v>
      </c>
      <c r="AI35" s="961">
        <f ca="1">IFERROR(SUMIFS(INDEX(Electricity_LOAD_1,,MATCH($K35&amp;"Принято органом регулирования",ЭЭ!$AE$8:$BB$8,0)),ЭЭ!$F$25:$F$109,$F35,ЭЭ!$AC$25:$AC$109,"Удельный расход электроэнергии"),0)</f>
        <v>0</v>
      </c>
      <c r="AJ35" s="961">
        <f ca="1">IFERROR(SUMIFS(INDEX(Electricity_LOAD_1,,MATCH($K35&amp;"Принято органом регулирования",ЭЭ!$AE$8:$BB$8,0)),ЭЭ!$F$25:$F$109,$F35,ЭЭ!$AC$25:$AC$109,"Удельный расход электроэнергии"),0)</f>
        <v>0</v>
      </c>
      <c r="AK35" s="961">
        <f ca="1">IFERROR(SUMIFS(INDEX(Electricity_LOAD_1,,MATCH($K35&amp;"Принято органом регулирования",ЭЭ!$AE$8:$BB$8,0)),ЭЭ!$F$25:$F$109,$F35,ЭЭ!$AC$25:$AC$109,"Удельный расход электроэнергии"),0)</f>
        <v>0</v>
      </c>
      <c r="AL35" s="316"/>
      <c r="AM35" s="91" t="s">
        <v>2314</v>
      </c>
      <c r="AO35" s="705" cm="1">
        <f t="array" ref="AO35">K35</f>
        <v>2028</v>
      </c>
    </row>
    <row r="36" spans="2:41" s="91" customFormat="1" ht="14.65" hidden="1" customHeight="1">
      <c r="B36" s="353" t="b">
        <f t="shared" si="0"/>
        <v>0</v>
      </c>
      <c r="E36" s="518">
        <v>15</v>
      </c>
      <c r="F36" s="3" cm="1">
        <f t="array" aca="1" ref="F36" ca="1">OFFSET(E36,-1,1)</f>
        <v>0</v>
      </c>
      <c r="K36" s="91">
        <f>first_year+5</f>
        <v>2029</v>
      </c>
      <c r="T36" s="365" t="b" cm="1">
        <f t="array" ref="T36">T35</f>
        <v>0</v>
      </c>
      <c r="X36" s="1075"/>
      <c r="Z36" s="1065"/>
      <c r="AB36" s="573" t="str">
        <f t="shared" si="1"/>
        <v>2029 год</v>
      </c>
      <c r="AC36" s="962"/>
      <c r="AD36" s="961">
        <f ca="1">IFERROR(SUMIFS(INDEX(Сценарии!$AE$25:$BF$109,,MATCH($K36&amp;"Принято органом регулирования",Сценарии!$AE$8:$BF$8,0)),Сценарии!$F$25:$F$109,$F36,Сценарии!$AC$25:$AC$109,"Индекс эффективности операционных расходов"),0)</f>
        <v>0</v>
      </c>
      <c r="AE36" s="962"/>
      <c r="AF36" s="962">
        <f ca="1">IFERROR(SUMIFS(INDEX(Баланс!$AE$25:$BB$300,,MATCH($K36&amp;"Принято органом регулирования",Баланс!$AE$8:$BB$8,0)),Баланс!$F$25:$F$300,$F36,Баланс!$AC$24:$AC$300,"Уровень потерь воды"),0)</f>
        <v>0</v>
      </c>
      <c r="AG36" s="961">
        <f ca="1">IFERROR(SUMIFS(INDEX(Electricity_LOAD_1,,MATCH($K36&amp;"Принято органом регулирования",ЭЭ!$AE$8:$BB$8,0)),ЭЭ!$F$25:$F$109,$F36,ЭЭ!$AC$25:$AC$109,"Удельный расход электроэнергии"),0)</f>
        <v>0</v>
      </c>
      <c r="AH36" s="961">
        <f ca="1">IFERROR(SUMIFS(INDEX(Electricity_LOAD_1,,MATCH($K36&amp;"Принято органом регулирования",ЭЭ!$AE$8:$BB$8,0)),ЭЭ!$F$25:$F$109,$F36,ЭЭ!$AC$25:$AC$109,"Удельный расход электроэнергии"),0)</f>
        <v>0</v>
      </c>
      <c r="AI36" s="961">
        <f ca="1">IFERROR(SUMIFS(INDEX(Electricity_LOAD_1,,MATCH($K36&amp;"Принято органом регулирования",ЭЭ!$AE$8:$BB$8,0)),ЭЭ!$F$25:$F$109,$F36,ЭЭ!$AC$25:$AC$109,"Удельный расход электроэнергии"),0)</f>
        <v>0</v>
      </c>
      <c r="AJ36" s="961">
        <f ca="1">IFERROR(SUMIFS(INDEX(Electricity_LOAD_1,,MATCH($K36&amp;"Принято органом регулирования",ЭЭ!$AE$8:$BB$8,0)),ЭЭ!$F$25:$F$109,$F36,ЭЭ!$AC$25:$AC$109,"Удельный расход электроэнергии"),0)</f>
        <v>0</v>
      </c>
      <c r="AK36" s="961">
        <f ca="1">IFERROR(SUMIFS(INDEX(Electricity_LOAD_1,,MATCH($K36&amp;"Принято органом регулирования",ЭЭ!$AE$8:$BB$8,0)),ЭЭ!$F$25:$F$109,$F36,ЭЭ!$AC$25:$AC$109,"Удельный расход электроэнергии"),0)</f>
        <v>0</v>
      </c>
      <c r="AL36" s="316"/>
      <c r="AM36" s="91" t="s">
        <v>2314</v>
      </c>
      <c r="AO36" s="705" cm="1">
        <f t="array" ref="AO36">K36</f>
        <v>2029</v>
      </c>
    </row>
    <row r="37" spans="2:41" s="91" customFormat="1" ht="14.65" hidden="1" customHeight="1">
      <c r="B37" s="353" t="b">
        <f t="shared" si="0"/>
        <v>0</v>
      </c>
      <c r="E37" s="518">
        <v>15</v>
      </c>
      <c r="F37" s="3" cm="1">
        <f t="array" aca="1" ref="F37" ca="1">OFFSET(E37,-1,1)</f>
        <v>0</v>
      </c>
      <c r="K37" s="91">
        <f>first_year+6</f>
        <v>2030</v>
      </c>
      <c r="T37" s="365" t="b" cm="1">
        <f t="array" ref="T37">T36</f>
        <v>0</v>
      </c>
      <c r="X37" s="1075"/>
      <c r="Z37" s="1065"/>
      <c r="AB37" s="573" t="str">
        <f t="shared" si="1"/>
        <v>2030 год</v>
      </c>
      <c r="AC37" s="962"/>
      <c r="AD37" s="961">
        <f ca="1">IFERROR(SUMIFS(INDEX(Сценарии!$AE$25:$BF$109,,MATCH($K37&amp;"Принято органом регулирования",Сценарии!$AE$8:$BF$8,0)),Сценарии!$F$25:$F$109,$F37,Сценарии!$AC$25:$AC$109,"Индекс эффективности операционных расходов"),0)</f>
        <v>0</v>
      </c>
      <c r="AE37" s="962"/>
      <c r="AF37" s="962">
        <f ca="1">IFERROR(SUMIFS(INDEX(Баланс!$AE$25:$BB$300,,MATCH($K37&amp;"Принято органом регулирования",Баланс!$AE$8:$BB$8,0)),Баланс!$F$25:$F$300,$F37,Баланс!$AC$24:$AC$300,"Уровень потерь воды"),0)</f>
        <v>0</v>
      </c>
      <c r="AG37" s="961">
        <f ca="1">IFERROR(SUMIFS(INDEX(Electricity_LOAD_1,,MATCH($K37&amp;"Принято органом регулирования",ЭЭ!$AE$8:$BB$8,0)),ЭЭ!$F$25:$F$109,$F37,ЭЭ!$AC$25:$AC$109,"Удельный расход электроэнергии"),0)</f>
        <v>0</v>
      </c>
      <c r="AH37" s="961">
        <f ca="1">IFERROR(SUMIFS(INDEX(Electricity_LOAD_1,,MATCH($K37&amp;"Принято органом регулирования",ЭЭ!$AE$8:$BB$8,0)),ЭЭ!$F$25:$F$109,$F37,ЭЭ!$AC$25:$AC$109,"Удельный расход электроэнергии"),0)</f>
        <v>0</v>
      </c>
      <c r="AI37" s="961">
        <f ca="1">IFERROR(SUMIFS(INDEX(Electricity_LOAD_1,,MATCH($K37&amp;"Принято органом регулирования",ЭЭ!$AE$8:$BB$8,0)),ЭЭ!$F$25:$F$109,$F37,ЭЭ!$AC$25:$AC$109,"Удельный расход электроэнергии"),0)</f>
        <v>0</v>
      </c>
      <c r="AJ37" s="961">
        <f ca="1">IFERROR(SUMIFS(INDEX(Electricity_LOAD_1,,MATCH($K37&amp;"Принято органом регулирования",ЭЭ!$AE$8:$BB$8,0)),ЭЭ!$F$25:$F$109,$F37,ЭЭ!$AC$25:$AC$109,"Удельный расход электроэнергии"),0)</f>
        <v>0</v>
      </c>
      <c r="AK37" s="961">
        <f ca="1">IFERROR(SUMIFS(INDEX(Electricity_LOAD_1,,MATCH($K37&amp;"Принято органом регулирования",ЭЭ!$AE$8:$BB$8,0)),ЭЭ!$F$25:$F$109,$F37,ЭЭ!$AC$25:$AC$109,"Удельный расход электроэнергии"),0)</f>
        <v>0</v>
      </c>
      <c r="AL37" s="316"/>
      <c r="AM37" s="91" t="s">
        <v>2314</v>
      </c>
      <c r="AO37" s="705" cm="1">
        <f t="array" ref="AO37">K37</f>
        <v>2030</v>
      </c>
    </row>
    <row r="38" spans="2:41" s="91" customFormat="1" ht="14.65" hidden="1" customHeight="1">
      <c r="B38" s="353" t="b">
        <f t="shared" si="0"/>
        <v>0</v>
      </c>
      <c r="E38" s="518">
        <v>15</v>
      </c>
      <c r="F38" s="3" cm="1">
        <f t="array" aca="1" ref="F38" ca="1">OFFSET(E38,-1,1)</f>
        <v>0</v>
      </c>
      <c r="K38" s="91">
        <f>first_year+7</f>
        <v>2031</v>
      </c>
      <c r="T38" s="365" t="b" cm="1">
        <f t="array" ref="T38">T37</f>
        <v>0</v>
      </c>
      <c r="X38" s="1075"/>
      <c r="Z38" s="1065"/>
      <c r="AB38" s="573" t="str">
        <f t="shared" si="1"/>
        <v>2031 год</v>
      </c>
      <c r="AC38" s="962"/>
      <c r="AD38" s="961">
        <f ca="1">IFERROR(SUMIFS(INDEX(Сценарии!$AE$25:$BF$109,,MATCH($K38&amp;"Принято органом регулирования",Сценарии!$AE$8:$BF$8,0)),Сценарии!$F$25:$F$109,$F38,Сценарии!$AC$25:$AC$109,"Индекс эффективности операционных расходов"),0)</f>
        <v>0</v>
      </c>
      <c r="AE38" s="962"/>
      <c r="AF38" s="962">
        <f ca="1">IFERROR(SUMIFS(INDEX(Баланс!$AE$25:$BB$300,,MATCH($K38&amp;"Принято органом регулирования",Баланс!$AE$8:$BB$8,0)),Баланс!$F$25:$F$300,$F38,Баланс!$AC$24:$AC$300,"Уровень потерь воды"),0)</f>
        <v>0</v>
      </c>
      <c r="AG38" s="961">
        <f ca="1">IFERROR(SUMIFS(INDEX(Electricity_LOAD_1,,MATCH($K38&amp;"Принято органом регулирования",ЭЭ!$AE$8:$BB$8,0)),ЭЭ!$F$25:$F$109,$F38,ЭЭ!$AC$25:$AC$109,"Удельный расход электроэнергии"),0)</f>
        <v>0</v>
      </c>
      <c r="AH38" s="961">
        <f ca="1">IFERROR(SUMIFS(INDEX(Electricity_LOAD_1,,MATCH($K38&amp;"Принято органом регулирования",ЭЭ!$AE$8:$BB$8,0)),ЭЭ!$F$25:$F$109,$F38,ЭЭ!$AC$25:$AC$109,"Удельный расход электроэнергии"),0)</f>
        <v>0</v>
      </c>
      <c r="AI38" s="961">
        <f ca="1">IFERROR(SUMIFS(INDEX(Electricity_LOAD_1,,MATCH($K38&amp;"Принято органом регулирования",ЭЭ!$AE$8:$BB$8,0)),ЭЭ!$F$25:$F$109,$F38,ЭЭ!$AC$25:$AC$109,"Удельный расход электроэнергии"),0)</f>
        <v>0</v>
      </c>
      <c r="AJ38" s="961">
        <f ca="1">IFERROR(SUMIFS(INDEX(Electricity_LOAD_1,,MATCH($K38&amp;"Принято органом регулирования",ЭЭ!$AE$8:$BB$8,0)),ЭЭ!$F$25:$F$109,$F38,ЭЭ!$AC$25:$AC$109,"Удельный расход электроэнергии"),0)</f>
        <v>0</v>
      </c>
      <c r="AK38" s="961">
        <f ca="1">IFERROR(SUMIFS(INDEX(Electricity_LOAD_1,,MATCH($K38&amp;"Принято органом регулирования",ЭЭ!$AE$8:$BB$8,0)),ЭЭ!$F$25:$F$109,$F38,ЭЭ!$AC$25:$AC$109,"Удельный расход электроэнергии"),0)</f>
        <v>0</v>
      </c>
      <c r="AL38" s="316"/>
      <c r="AM38" s="91" t="s">
        <v>2314</v>
      </c>
      <c r="AO38" s="705" cm="1">
        <f t="array" ref="AO38">K38</f>
        <v>2031</v>
      </c>
    </row>
    <row r="39" spans="2:41" s="91" customFormat="1" ht="14.65" hidden="1" customHeight="1">
      <c r="B39" s="353" t="b">
        <f t="shared" si="0"/>
        <v>0</v>
      </c>
      <c r="E39" s="518">
        <v>15</v>
      </c>
      <c r="F39" s="3" cm="1">
        <f t="array" aca="1" ref="F39" ca="1">OFFSET(E39,-1,1)</f>
        <v>0</v>
      </c>
      <c r="K39" s="91">
        <f>first_year+8</f>
        <v>2032</v>
      </c>
      <c r="T39" s="365" t="b" cm="1">
        <f t="array" ref="T39">T38</f>
        <v>0</v>
      </c>
      <c r="X39" s="1075"/>
      <c r="Z39" s="1065"/>
      <c r="AB39" s="573" t="str">
        <f t="shared" si="1"/>
        <v>2032 год</v>
      </c>
      <c r="AC39" s="962"/>
      <c r="AD39" s="961">
        <f ca="1">IFERROR(SUMIFS(INDEX(Сценарии!$AE$25:$BF$109,,MATCH($K39&amp;"Принято органом регулирования",Сценарии!$AE$8:$BF$8,0)),Сценарии!$F$25:$F$109,$F39,Сценарии!$AC$25:$AC$109,"Индекс эффективности операционных расходов"),0)</f>
        <v>0</v>
      </c>
      <c r="AE39" s="962"/>
      <c r="AF39" s="962">
        <f ca="1">IFERROR(SUMIFS(INDEX(Баланс!$AE$25:$BB$300,,MATCH($K39&amp;"Принято органом регулирования",Баланс!$AE$8:$BB$8,0)),Баланс!$F$25:$F$300,$F39,Баланс!$AC$24:$AC$300,"Уровень потерь воды"),0)</f>
        <v>0</v>
      </c>
      <c r="AG39" s="961">
        <f ca="1">IFERROR(SUMIFS(INDEX(Electricity_LOAD_1,,MATCH($K39&amp;"Принято органом регулирования",ЭЭ!$AE$8:$BB$8,0)),ЭЭ!$F$25:$F$109,$F39,ЭЭ!$AC$25:$AC$109,"Удельный расход электроэнергии"),0)</f>
        <v>0</v>
      </c>
      <c r="AH39" s="961">
        <f ca="1">IFERROR(SUMIFS(INDEX(Electricity_LOAD_1,,MATCH($K39&amp;"Принято органом регулирования",ЭЭ!$AE$8:$BB$8,0)),ЭЭ!$F$25:$F$109,$F39,ЭЭ!$AC$25:$AC$109,"Удельный расход электроэнергии"),0)</f>
        <v>0</v>
      </c>
      <c r="AI39" s="961">
        <f ca="1">IFERROR(SUMIFS(INDEX(Electricity_LOAD_1,,MATCH($K39&amp;"Принято органом регулирования",ЭЭ!$AE$8:$BB$8,0)),ЭЭ!$F$25:$F$109,$F39,ЭЭ!$AC$25:$AC$109,"Удельный расход электроэнергии"),0)</f>
        <v>0</v>
      </c>
      <c r="AJ39" s="961">
        <f ca="1">IFERROR(SUMIFS(INDEX(Electricity_LOAD_1,,MATCH($K39&amp;"Принято органом регулирования",ЭЭ!$AE$8:$BB$8,0)),ЭЭ!$F$25:$F$109,$F39,ЭЭ!$AC$25:$AC$109,"Удельный расход электроэнергии"),0)</f>
        <v>0</v>
      </c>
      <c r="AK39" s="961">
        <f ca="1">IFERROR(SUMIFS(INDEX(Electricity_LOAD_1,,MATCH($K39&amp;"Принято органом регулирования",ЭЭ!$AE$8:$BB$8,0)),ЭЭ!$F$25:$F$109,$F39,ЭЭ!$AC$25:$AC$109,"Удельный расход электроэнергии"),0)</f>
        <v>0</v>
      </c>
      <c r="AL39" s="316"/>
      <c r="AM39" s="91" t="s">
        <v>2314</v>
      </c>
      <c r="AO39" s="705" cm="1">
        <f t="array" ref="AO39">K39</f>
        <v>2032</v>
      </c>
    </row>
    <row r="40" spans="2:41" s="91" customFormat="1" ht="14.65" hidden="1" customHeight="1">
      <c r="B40" s="353" t="b">
        <f t="shared" si="0"/>
        <v>0</v>
      </c>
      <c r="E40" s="518">
        <v>15</v>
      </c>
      <c r="F40" s="3" cm="1">
        <f t="array" aca="1" ref="F40" ca="1">OFFSET(E40,-1,1)</f>
        <v>0</v>
      </c>
      <c r="K40" s="91">
        <f>first_year+9</f>
        <v>2033</v>
      </c>
      <c r="T40" s="365" t="b" cm="1">
        <f t="array" ref="T40">T39</f>
        <v>0</v>
      </c>
      <c r="X40" s="1075"/>
      <c r="Z40" s="1065"/>
      <c r="AB40" s="573" t="str">
        <f t="shared" si="1"/>
        <v>2033 год</v>
      </c>
      <c r="AC40" s="962"/>
      <c r="AD40" s="961">
        <f ca="1">IFERROR(SUMIFS(INDEX(Сценарии!$AE$25:$BF$109,,MATCH($K40&amp;"Принято органом регулирования",Сценарии!$AE$8:$BF$8,0)),Сценарии!$F$25:$F$109,$F40,Сценарии!$AC$25:$AC$109,"Индекс эффективности операционных расходов"),0)</f>
        <v>0</v>
      </c>
      <c r="AE40" s="962"/>
      <c r="AF40" s="962">
        <f ca="1">IFERROR(SUMIFS(INDEX(Баланс!$AE$25:$BB$300,,MATCH($K40&amp;"Принято органом регулирования",Баланс!$AE$8:$BB$8,0)),Баланс!$F$25:$F$300,$F40,Баланс!$AC$24:$AC$300,"Уровень потерь воды"),0)</f>
        <v>0</v>
      </c>
      <c r="AG40" s="961">
        <f ca="1">IFERROR(SUMIFS(INDEX(Electricity_LOAD_1,,MATCH($K40&amp;"Принято органом регулирования",ЭЭ!$AE$8:$BB$8,0)),ЭЭ!$F$25:$F$109,$F40,ЭЭ!$AC$25:$AC$109,"Удельный расход электроэнергии"),0)</f>
        <v>0</v>
      </c>
      <c r="AH40" s="961">
        <f ca="1">IFERROR(SUMIFS(INDEX(Electricity_LOAD_1,,MATCH($K40&amp;"Принято органом регулирования",ЭЭ!$AE$8:$BB$8,0)),ЭЭ!$F$25:$F$109,$F40,ЭЭ!$AC$25:$AC$109,"Удельный расход электроэнергии"),0)</f>
        <v>0</v>
      </c>
      <c r="AI40" s="961">
        <f ca="1">IFERROR(SUMIFS(INDEX(Electricity_LOAD_1,,MATCH($K40&amp;"Принято органом регулирования",ЭЭ!$AE$8:$BB$8,0)),ЭЭ!$F$25:$F$109,$F40,ЭЭ!$AC$25:$AC$109,"Удельный расход электроэнергии"),0)</f>
        <v>0</v>
      </c>
      <c r="AJ40" s="961">
        <f ca="1">IFERROR(SUMIFS(INDEX(Electricity_LOAD_1,,MATCH($K40&amp;"Принято органом регулирования",ЭЭ!$AE$8:$BB$8,0)),ЭЭ!$F$25:$F$109,$F40,ЭЭ!$AC$25:$AC$109,"Удельный расход электроэнергии"),0)</f>
        <v>0</v>
      </c>
      <c r="AK40" s="961">
        <f ca="1">IFERROR(SUMIFS(INDEX(Electricity_LOAD_1,,MATCH($K40&amp;"Принято органом регулирования",ЭЭ!$AE$8:$BB$8,0)),ЭЭ!$F$25:$F$109,$F40,ЭЭ!$AC$25:$AC$109,"Удельный расход электроэнергии"),0)</f>
        <v>0</v>
      </c>
      <c r="AL40" s="316"/>
      <c r="AM40" s="91" t="s">
        <v>2314</v>
      </c>
      <c r="AO40" s="705" cm="1">
        <f t="array" ref="AO40">K40</f>
        <v>2033</v>
      </c>
    </row>
    <row r="41" spans="2:41" s="91" customFormat="1" ht="14.65" hidden="1" customHeight="1">
      <c r="B41" s="353" t="b">
        <f t="shared" si="0"/>
        <v>0</v>
      </c>
      <c r="E41" s="518">
        <v>15</v>
      </c>
      <c r="F41" s="3" cm="1">
        <f t="array" aca="1" ref="F41" ca="1">OFFSET(E41,-1,1)</f>
        <v>0</v>
      </c>
      <c r="K41" s="91">
        <f>first_year+10</f>
        <v>2034</v>
      </c>
      <c r="T41" s="365" t="b" cm="1">
        <f t="array" ref="T41">T40</f>
        <v>0</v>
      </c>
      <c r="X41" s="1075"/>
      <c r="Z41" s="1065"/>
      <c r="AB41" s="573" t="str">
        <f t="shared" si="1"/>
        <v>2034 год</v>
      </c>
      <c r="AC41" s="962"/>
      <c r="AD41" s="961"/>
      <c r="AE41" s="962"/>
      <c r="AF41" s="962"/>
      <c r="AG41" s="961"/>
      <c r="AH41" s="961"/>
      <c r="AI41" s="961"/>
      <c r="AJ41" s="961"/>
      <c r="AK41" s="963"/>
      <c r="AL41" s="316"/>
      <c r="AO41" s="705" cm="1">
        <f t="array" ref="AO41">K41</f>
        <v>2034</v>
      </c>
    </row>
    <row r="42" spans="2:41" s="91" customFormat="1" ht="14.65" hidden="1" customHeight="1">
      <c r="B42" s="353" t="b">
        <f t="shared" si="0"/>
        <v>0</v>
      </c>
      <c r="E42" s="518">
        <v>15</v>
      </c>
      <c r="F42" s="3" cm="1">
        <f t="array" aca="1" ref="F42" ca="1">OFFSET(E42,-1,1)</f>
        <v>0</v>
      </c>
      <c r="K42" s="91">
        <f>first_year+11</f>
        <v>2035</v>
      </c>
      <c r="T42" s="365" t="b" cm="1">
        <f t="array" ref="T42">T41</f>
        <v>0</v>
      </c>
      <c r="X42" s="1075"/>
      <c r="Z42" s="1065"/>
      <c r="AB42" s="187" t="str">
        <f t="shared" si="1"/>
        <v>2035 год</v>
      </c>
      <c r="AC42" s="962"/>
      <c r="AD42" s="964"/>
      <c r="AE42" s="965"/>
      <c r="AF42" s="965"/>
      <c r="AG42" s="964"/>
      <c r="AH42" s="964"/>
      <c r="AI42" s="964"/>
      <c r="AJ42" s="964"/>
      <c r="AK42" s="966"/>
      <c r="AL42" s="316"/>
      <c r="AO42" s="705" cm="1">
        <f t="array" ref="AO42">K42</f>
        <v>2035</v>
      </c>
    </row>
    <row r="43" spans="2:41" s="91" customFormat="1" ht="14.65" hidden="1" customHeight="1">
      <c r="B43" s="353" t="b">
        <f t="shared" si="0"/>
        <v>0</v>
      </c>
      <c r="E43" s="518">
        <v>15</v>
      </c>
      <c r="F43" s="3" cm="1">
        <f t="array" aca="1" ref="F43" ca="1">OFFSET(E43,-1,1)</f>
        <v>0</v>
      </c>
      <c r="K43" s="91">
        <f>first_year+12</f>
        <v>2036</v>
      </c>
      <c r="T43" s="365" t="b" cm="1">
        <f t="array" ref="T43">T42</f>
        <v>0</v>
      </c>
      <c r="X43" s="1075"/>
      <c r="Z43" s="1065"/>
      <c r="AB43" s="187" t="str">
        <f t="shared" si="1"/>
        <v>2036 год</v>
      </c>
      <c r="AC43" s="962"/>
      <c r="AD43" s="964"/>
      <c r="AE43" s="965"/>
      <c r="AF43" s="965"/>
      <c r="AG43" s="964"/>
      <c r="AH43" s="964"/>
      <c r="AI43" s="964"/>
      <c r="AJ43" s="964"/>
      <c r="AK43" s="966"/>
      <c r="AL43" s="316"/>
      <c r="AO43" s="705" cm="1">
        <f t="array" ref="AO43">K43</f>
        <v>2036</v>
      </c>
    </row>
    <row r="44" spans="2:41" s="91" customFormat="1" ht="14.65" hidden="1" customHeight="1">
      <c r="B44" s="353" t="b">
        <f t="shared" si="0"/>
        <v>0</v>
      </c>
      <c r="E44" s="518">
        <v>15</v>
      </c>
      <c r="F44" s="3" cm="1">
        <f t="array" aca="1" ref="F44" ca="1">OFFSET(E44,-1,1)</f>
        <v>0</v>
      </c>
      <c r="K44" s="91">
        <f>first_year+13</f>
        <v>2037</v>
      </c>
      <c r="T44" s="365" t="b" cm="1">
        <f t="array" ref="T44">T43</f>
        <v>0</v>
      </c>
      <c r="X44" s="1075"/>
      <c r="Z44" s="1065"/>
      <c r="AB44" s="187" t="str">
        <f t="shared" si="1"/>
        <v>2037 год</v>
      </c>
      <c r="AC44" s="962"/>
      <c r="AD44" s="964"/>
      <c r="AE44" s="965"/>
      <c r="AF44" s="965"/>
      <c r="AG44" s="964"/>
      <c r="AH44" s="964"/>
      <c r="AI44" s="964"/>
      <c r="AJ44" s="964"/>
      <c r="AK44" s="966"/>
      <c r="AL44" s="316"/>
      <c r="AO44" s="705" cm="1">
        <f t="array" ref="AO44">K44</f>
        <v>2037</v>
      </c>
    </row>
    <row r="45" spans="2:41" s="91" customFormat="1" ht="14.65" hidden="1" customHeight="1">
      <c r="B45" s="353" t="b">
        <f t="shared" si="0"/>
        <v>0</v>
      </c>
      <c r="E45" s="518">
        <v>15</v>
      </c>
      <c r="F45" s="3" cm="1">
        <f t="array" aca="1" ref="F45" ca="1">OFFSET(E45,-1,1)</f>
        <v>0</v>
      </c>
      <c r="K45" s="91">
        <f>first_year+14</f>
        <v>2038</v>
      </c>
      <c r="T45" s="365" t="b" cm="1">
        <f t="array" ref="T45">T44</f>
        <v>0</v>
      </c>
      <c r="X45" s="1075"/>
      <c r="Z45" s="1065"/>
      <c r="AB45" s="187" t="str">
        <f t="shared" si="1"/>
        <v>2038 год</v>
      </c>
      <c r="AC45" s="962"/>
      <c r="AD45" s="964"/>
      <c r="AE45" s="965"/>
      <c r="AF45" s="965"/>
      <c r="AG45" s="964"/>
      <c r="AH45" s="964"/>
      <c r="AI45" s="964"/>
      <c r="AJ45" s="964"/>
      <c r="AK45" s="966"/>
      <c r="AL45" s="316"/>
      <c r="AO45" s="705" cm="1">
        <f t="array" ref="AO45">K45</f>
        <v>2038</v>
      </c>
    </row>
    <row r="46" spans="2:41" s="91" customFormat="1" ht="14.65" hidden="1" customHeight="1">
      <c r="B46" s="353" t="b">
        <f t="shared" si="0"/>
        <v>0</v>
      </c>
      <c r="E46" s="518">
        <v>15</v>
      </c>
      <c r="F46" s="3" cm="1">
        <f t="array" aca="1" ref="F46" ca="1">OFFSET(E46,-1,1)</f>
        <v>0</v>
      </c>
      <c r="K46" s="91">
        <f>first_year+15</f>
        <v>2039</v>
      </c>
      <c r="T46" s="365" t="b" cm="1">
        <f t="array" ref="T46">T45</f>
        <v>0</v>
      </c>
      <c r="X46" s="1075"/>
      <c r="Z46" s="1065"/>
      <c r="AB46" s="187" t="str">
        <f t="shared" si="1"/>
        <v>2039 год</v>
      </c>
      <c r="AC46" s="962"/>
      <c r="AD46" s="964"/>
      <c r="AE46" s="965"/>
      <c r="AF46" s="965"/>
      <c r="AG46" s="964"/>
      <c r="AH46" s="964"/>
      <c r="AI46" s="964"/>
      <c r="AJ46" s="964"/>
      <c r="AK46" s="966"/>
      <c r="AL46" s="316"/>
      <c r="AO46" s="705" cm="1">
        <f t="array" ref="AO46">K46</f>
        <v>2039</v>
      </c>
    </row>
    <row r="47" spans="2:41" s="91" customFormat="1" ht="14.65" hidden="1" customHeight="1">
      <c r="B47" s="353" t="b">
        <f t="shared" si="0"/>
        <v>0</v>
      </c>
      <c r="E47" s="518">
        <v>15</v>
      </c>
      <c r="F47" s="3" cm="1">
        <f t="array" aca="1" ref="F47" ca="1">OFFSET(E47,-1,1)</f>
        <v>0</v>
      </c>
      <c r="K47" s="91">
        <f>first_year+16</f>
        <v>2040</v>
      </c>
      <c r="T47" s="365" t="b" cm="1">
        <f t="array" ref="T47">T46</f>
        <v>0</v>
      </c>
      <c r="X47" s="1075"/>
      <c r="Z47" s="1065"/>
      <c r="AB47" s="187" t="str">
        <f t="shared" si="1"/>
        <v>2040 год</v>
      </c>
      <c r="AC47" s="962"/>
      <c r="AD47" s="964"/>
      <c r="AE47" s="965"/>
      <c r="AF47" s="965"/>
      <c r="AG47" s="964"/>
      <c r="AH47" s="964"/>
      <c r="AI47" s="964"/>
      <c r="AJ47" s="964"/>
      <c r="AK47" s="966"/>
      <c r="AL47" s="316"/>
      <c r="AO47" s="705" cm="1">
        <f t="array" ref="AO47">K47</f>
        <v>2040</v>
      </c>
    </row>
    <row r="48" spans="2:41" s="91" customFormat="1" ht="14.65" hidden="1" customHeight="1">
      <c r="B48" s="353" t="b">
        <f t="shared" si="0"/>
        <v>0</v>
      </c>
      <c r="E48" s="518">
        <v>15</v>
      </c>
      <c r="F48" s="3" cm="1">
        <f t="array" aca="1" ref="F48" ca="1">OFFSET(E48,-1,1)</f>
        <v>0</v>
      </c>
      <c r="K48" s="91">
        <f>first_year+17</f>
        <v>2041</v>
      </c>
      <c r="T48" s="365" t="b" cm="1">
        <f t="array" ref="T48">T47</f>
        <v>0</v>
      </c>
      <c r="X48" s="1075"/>
      <c r="Z48" s="1065"/>
      <c r="AB48" s="187" t="str">
        <f t="shared" si="1"/>
        <v>2041 год</v>
      </c>
      <c r="AC48" s="962"/>
      <c r="AD48" s="964"/>
      <c r="AE48" s="965"/>
      <c r="AF48" s="965"/>
      <c r="AG48" s="964"/>
      <c r="AH48" s="964"/>
      <c r="AI48" s="964"/>
      <c r="AJ48" s="964"/>
      <c r="AK48" s="966"/>
      <c r="AL48" s="316"/>
      <c r="AO48" s="705" cm="1">
        <f t="array" ref="AO48">K48</f>
        <v>2041</v>
      </c>
    </row>
    <row r="49" spans="2:41" s="91" customFormat="1" ht="14.65" hidden="1" customHeight="1">
      <c r="B49" s="353" t="b">
        <f t="shared" si="0"/>
        <v>0</v>
      </c>
      <c r="E49" s="518">
        <v>15</v>
      </c>
      <c r="F49" s="3" cm="1">
        <f t="array" aca="1" ref="F49" ca="1">OFFSET(E49,-1,1)</f>
        <v>0</v>
      </c>
      <c r="K49" s="91">
        <f>first_year+18</f>
        <v>2042</v>
      </c>
      <c r="T49" s="365" t="b" cm="1">
        <f t="array" ref="T49">T48</f>
        <v>0</v>
      </c>
      <c r="X49" s="1075"/>
      <c r="Z49" s="1065"/>
      <c r="AB49" s="187" t="str">
        <f t="shared" si="1"/>
        <v>2042 год</v>
      </c>
      <c r="AC49" s="962"/>
      <c r="AD49" s="964"/>
      <c r="AE49" s="965"/>
      <c r="AF49" s="965"/>
      <c r="AG49" s="964"/>
      <c r="AH49" s="964"/>
      <c r="AI49" s="964"/>
      <c r="AJ49" s="964"/>
      <c r="AK49" s="966"/>
      <c r="AL49" s="316"/>
      <c r="AO49" s="705" cm="1">
        <f t="array" ref="AO49">K49</f>
        <v>2042</v>
      </c>
    </row>
    <row r="50" spans="2:41" s="91" customFormat="1" ht="14.65" hidden="1" customHeight="1">
      <c r="B50" s="353" t="b">
        <f t="shared" si="0"/>
        <v>0</v>
      </c>
      <c r="E50" s="518">
        <v>15</v>
      </c>
      <c r="F50" s="3" cm="1">
        <f t="array" aca="1" ref="F50" ca="1">OFFSET(E50,-1,1)</f>
        <v>0</v>
      </c>
      <c r="K50" s="91">
        <f>first_year+19</f>
        <v>2043</v>
      </c>
      <c r="T50" s="365" t="b" cm="1">
        <f t="array" ref="T50">T49</f>
        <v>0</v>
      </c>
      <c r="X50" s="1075"/>
      <c r="Z50" s="1065"/>
      <c r="AB50" s="187" t="str">
        <f t="shared" si="1"/>
        <v>2043 год</v>
      </c>
      <c r="AC50" s="962"/>
      <c r="AD50" s="964"/>
      <c r="AE50" s="965"/>
      <c r="AF50" s="965"/>
      <c r="AG50" s="964"/>
      <c r="AH50" s="964"/>
      <c r="AI50" s="964"/>
      <c r="AJ50" s="964"/>
      <c r="AK50" s="966"/>
      <c r="AL50" s="316"/>
      <c r="AO50" s="705" cm="1">
        <f t="array" ref="AO50">K50</f>
        <v>2043</v>
      </c>
    </row>
    <row r="51" spans="2:41" s="91" customFormat="1" ht="14.65" hidden="1" customHeight="1">
      <c r="B51" s="353" t="b">
        <f t="shared" si="0"/>
        <v>0</v>
      </c>
      <c r="E51" s="518">
        <v>15</v>
      </c>
      <c r="F51" s="3" cm="1">
        <f t="array" aca="1" ref="F51" ca="1">OFFSET(E51,-1,1)</f>
        <v>0</v>
      </c>
      <c r="K51" s="91">
        <f>first_year+20</f>
        <v>2044</v>
      </c>
      <c r="T51" s="365" t="b" cm="1">
        <f t="array" ref="T51">T50</f>
        <v>0</v>
      </c>
      <c r="X51" s="1075"/>
      <c r="Z51" s="1065"/>
      <c r="AB51" s="187" t="str">
        <f t="shared" si="1"/>
        <v>2044 год</v>
      </c>
      <c r="AC51" s="962"/>
      <c r="AD51" s="964"/>
      <c r="AE51" s="965"/>
      <c r="AF51" s="965"/>
      <c r="AG51" s="964"/>
      <c r="AH51" s="964"/>
      <c r="AI51" s="964"/>
      <c r="AJ51" s="964"/>
      <c r="AK51" s="966"/>
      <c r="AL51" s="316"/>
      <c r="AO51" s="705" cm="1">
        <f t="array" ref="AO51">K51</f>
        <v>2044</v>
      </c>
    </row>
    <row r="52" spans="2:41" s="91" customFormat="1" ht="14.65" hidden="1" customHeight="1">
      <c r="B52" s="353" t="b">
        <f t="shared" si="0"/>
        <v>0</v>
      </c>
      <c r="E52" s="518">
        <v>15</v>
      </c>
      <c r="F52" s="3" cm="1">
        <f t="array" aca="1" ref="F52" ca="1">OFFSET(E52,-1,1)</f>
        <v>0</v>
      </c>
      <c r="K52" s="91">
        <f>first_year+21</f>
        <v>2045</v>
      </c>
      <c r="T52" s="365" t="b" cm="1">
        <f t="array" ref="T52">T51</f>
        <v>0</v>
      </c>
      <c r="X52" s="1075"/>
      <c r="Z52" s="1065"/>
      <c r="AB52" s="187" t="str">
        <f t="shared" si="1"/>
        <v>2045 год</v>
      </c>
      <c r="AC52" s="962"/>
      <c r="AD52" s="964"/>
      <c r="AE52" s="965"/>
      <c r="AF52" s="965"/>
      <c r="AG52" s="964"/>
      <c r="AH52" s="964"/>
      <c r="AI52" s="964"/>
      <c r="AJ52" s="964"/>
      <c r="AK52" s="966"/>
      <c r="AL52" s="316"/>
      <c r="AO52" s="705" cm="1">
        <f t="array" ref="AO52">K52</f>
        <v>2045</v>
      </c>
    </row>
    <row r="53" spans="2:41" s="91" customFormat="1" ht="14.65" hidden="1" customHeight="1">
      <c r="B53" s="353" t="b">
        <f t="shared" si="0"/>
        <v>0</v>
      </c>
      <c r="E53" s="518">
        <v>15</v>
      </c>
      <c r="F53" s="3" cm="1">
        <f t="array" aca="1" ref="F53" ca="1">OFFSET(E53,-1,1)</f>
        <v>0</v>
      </c>
      <c r="K53" s="91">
        <f>first_year+22</f>
        <v>2046</v>
      </c>
      <c r="T53" s="365" t="b" cm="1">
        <f t="array" ref="T53">T52</f>
        <v>0</v>
      </c>
      <c r="X53" s="1075"/>
      <c r="Z53" s="1065"/>
      <c r="AB53" s="187" t="str">
        <f t="shared" si="1"/>
        <v>2046 год</v>
      </c>
      <c r="AC53" s="962"/>
      <c r="AD53" s="964"/>
      <c r="AE53" s="965"/>
      <c r="AF53" s="965"/>
      <c r="AG53" s="964"/>
      <c r="AH53" s="964"/>
      <c r="AI53" s="964"/>
      <c r="AJ53" s="964"/>
      <c r="AK53" s="966"/>
      <c r="AL53" s="316"/>
      <c r="AO53" s="705" cm="1">
        <f t="array" ref="AO53">K53</f>
        <v>2046</v>
      </c>
    </row>
    <row r="54" spans="2:41" s="91" customFormat="1" ht="14.65" hidden="1" customHeight="1">
      <c r="B54" s="353" t="b">
        <f t="shared" si="0"/>
        <v>0</v>
      </c>
      <c r="E54" s="518">
        <v>15</v>
      </c>
      <c r="F54" s="3" cm="1">
        <f t="array" aca="1" ref="F54" ca="1">OFFSET(E54,-1,1)</f>
        <v>0</v>
      </c>
      <c r="K54" s="91">
        <f>first_year+23</f>
        <v>2047</v>
      </c>
      <c r="T54" s="365" t="b" cm="1">
        <f t="array" ref="T54">T53</f>
        <v>0</v>
      </c>
      <c r="X54" s="1075"/>
      <c r="Z54" s="1065"/>
      <c r="AB54" s="187" t="str">
        <f t="shared" si="1"/>
        <v>2047 год</v>
      </c>
      <c r="AC54" s="962"/>
      <c r="AD54" s="964"/>
      <c r="AE54" s="965"/>
      <c r="AF54" s="965"/>
      <c r="AG54" s="964"/>
      <c r="AH54" s="964"/>
      <c r="AI54" s="964"/>
      <c r="AJ54" s="964"/>
      <c r="AK54" s="966"/>
      <c r="AL54" s="316"/>
      <c r="AO54" s="705" cm="1">
        <f t="array" ref="AO54">K54</f>
        <v>2047</v>
      </c>
    </row>
    <row r="55" spans="2:41" s="91" customFormat="1" ht="14.65" hidden="1" customHeight="1">
      <c r="B55" s="353" t="b">
        <f t="shared" si="0"/>
        <v>0</v>
      </c>
      <c r="E55" s="518">
        <v>15</v>
      </c>
      <c r="F55" s="3" cm="1">
        <f t="array" aca="1" ref="F55" ca="1">OFFSET(E55,-1,1)</f>
        <v>0</v>
      </c>
      <c r="K55" s="91">
        <f>first_year+24</f>
        <v>2048</v>
      </c>
      <c r="T55" s="365" t="b" cm="1">
        <f t="array" ref="T55">T54</f>
        <v>0</v>
      </c>
      <c r="X55" s="1075"/>
      <c r="Z55" s="1065"/>
      <c r="AB55" s="187" t="str">
        <f t="shared" si="1"/>
        <v>2048 год</v>
      </c>
      <c r="AC55" s="962"/>
      <c r="AD55" s="964"/>
      <c r="AE55" s="965"/>
      <c r="AF55" s="965"/>
      <c r="AG55" s="964"/>
      <c r="AH55" s="964"/>
      <c r="AI55" s="964"/>
      <c r="AJ55" s="964"/>
      <c r="AK55" s="966"/>
      <c r="AL55" s="316"/>
      <c r="AO55" s="705" cm="1">
        <f t="array" ref="AO55">K55</f>
        <v>2048</v>
      </c>
    </row>
    <row r="56" spans="2:41" s="91" customFormat="1" ht="14.65" hidden="1" customHeight="1">
      <c r="B56" s="353" t="b">
        <f t="shared" si="0"/>
        <v>0</v>
      </c>
      <c r="E56" s="518">
        <v>15</v>
      </c>
      <c r="F56" s="3" cm="1">
        <f t="array" aca="1" ref="F56" ca="1">OFFSET(E56,-1,1)</f>
        <v>0</v>
      </c>
      <c r="K56" s="91">
        <f>first_year+25</f>
        <v>2049</v>
      </c>
      <c r="T56" s="365" t="b" cm="1">
        <f t="array" ref="T56">T55</f>
        <v>0</v>
      </c>
      <c r="X56" s="1075"/>
      <c r="Z56" s="1065"/>
      <c r="AB56" s="187" t="str">
        <f t="shared" si="1"/>
        <v>2049 год</v>
      </c>
      <c r="AC56" s="962"/>
      <c r="AD56" s="964"/>
      <c r="AE56" s="965"/>
      <c r="AF56" s="965"/>
      <c r="AG56" s="964"/>
      <c r="AH56" s="964"/>
      <c r="AI56" s="964"/>
      <c r="AJ56" s="964"/>
      <c r="AK56" s="966"/>
      <c r="AL56" s="316"/>
      <c r="AO56" s="705" cm="1">
        <f t="array" ref="AO56">K56</f>
        <v>2049</v>
      </c>
    </row>
    <row r="57" spans="2:41" s="91" customFormat="1" ht="14.65" hidden="1" customHeight="1">
      <c r="B57" s="353" t="b">
        <f t="shared" si="0"/>
        <v>0</v>
      </c>
      <c r="E57" s="518">
        <v>15</v>
      </c>
      <c r="F57" s="3" cm="1">
        <f t="array" aca="1" ref="F57" ca="1">OFFSET(E57,-1,1)</f>
        <v>0</v>
      </c>
      <c r="K57" s="91">
        <f>first_year+26</f>
        <v>2050</v>
      </c>
      <c r="T57" s="365" t="b" cm="1">
        <f t="array" ref="T57">T56</f>
        <v>0</v>
      </c>
      <c r="X57" s="1075"/>
      <c r="Z57" s="1065"/>
      <c r="AB57" s="187" t="str">
        <f t="shared" si="1"/>
        <v>2050 год</v>
      </c>
      <c r="AC57" s="962"/>
      <c r="AD57" s="964"/>
      <c r="AE57" s="965"/>
      <c r="AF57" s="965"/>
      <c r="AG57" s="964"/>
      <c r="AH57" s="964"/>
      <c r="AI57" s="964"/>
      <c r="AJ57" s="964"/>
      <c r="AK57" s="966"/>
      <c r="AL57" s="316"/>
      <c r="AO57" s="705" cm="1">
        <f t="array" ref="AO57">K57</f>
        <v>2050</v>
      </c>
    </row>
    <row r="58" spans="2:41" s="91" customFormat="1" ht="14.65" hidden="1" customHeight="1">
      <c r="B58" s="353" t="b">
        <f t="shared" si="0"/>
        <v>0</v>
      </c>
      <c r="E58" s="518">
        <v>15</v>
      </c>
      <c r="F58" s="3" cm="1">
        <f t="array" aca="1" ref="F58" ca="1">OFFSET(E58,-1,1)</f>
        <v>0</v>
      </c>
      <c r="K58" s="91">
        <f>first_year+27</f>
        <v>2051</v>
      </c>
      <c r="T58" s="365" t="b" cm="1">
        <f t="array" ref="T58">T57</f>
        <v>0</v>
      </c>
      <c r="X58" s="1075"/>
      <c r="Z58" s="1065"/>
      <c r="AB58" s="187" t="str">
        <f t="shared" si="1"/>
        <v>2051 год</v>
      </c>
      <c r="AC58" s="962"/>
      <c r="AD58" s="964"/>
      <c r="AE58" s="965"/>
      <c r="AF58" s="965"/>
      <c r="AG58" s="964"/>
      <c r="AH58" s="964"/>
      <c r="AI58" s="964"/>
      <c r="AJ58" s="964"/>
      <c r="AK58" s="966"/>
      <c r="AL58" s="316"/>
      <c r="AO58" s="705" cm="1">
        <f t="array" ref="AO58">K58</f>
        <v>2051</v>
      </c>
    </row>
    <row r="59" spans="2:41" s="91" customFormat="1" ht="14.65" hidden="1" customHeight="1">
      <c r="B59" s="353" t="b">
        <f t="shared" si="0"/>
        <v>0</v>
      </c>
      <c r="E59" s="518">
        <v>15</v>
      </c>
      <c r="F59" s="3" cm="1">
        <f t="array" aca="1" ref="F59" ca="1">OFFSET(E59,-1,1)</f>
        <v>0</v>
      </c>
      <c r="K59" s="91">
        <f>first_year+28</f>
        <v>2052</v>
      </c>
      <c r="T59" s="365" t="b" cm="1">
        <f t="array" ref="T59">T58</f>
        <v>0</v>
      </c>
      <c r="X59" s="1075"/>
      <c r="Z59" s="1065"/>
      <c r="AB59" s="187" t="str">
        <f t="shared" si="1"/>
        <v>2052 год</v>
      </c>
      <c r="AC59" s="962"/>
      <c r="AD59" s="964"/>
      <c r="AE59" s="965"/>
      <c r="AF59" s="965"/>
      <c r="AG59" s="964"/>
      <c r="AH59" s="964"/>
      <c r="AI59" s="964"/>
      <c r="AJ59" s="964"/>
      <c r="AK59" s="966"/>
      <c r="AL59" s="316"/>
      <c r="AO59" s="705" cm="1">
        <f t="array" ref="AO59">K59</f>
        <v>2052</v>
      </c>
    </row>
    <row r="60" spans="2:41" s="91" customFormat="1" ht="14.65" hidden="1" customHeight="1">
      <c r="B60" s="353" t="b">
        <f t="shared" si="0"/>
        <v>0</v>
      </c>
      <c r="E60" s="518">
        <v>15</v>
      </c>
      <c r="F60" s="3" cm="1">
        <f t="array" aca="1" ref="F60" ca="1">OFFSET(E60,-1,1)</f>
        <v>0</v>
      </c>
      <c r="K60" s="91">
        <f>first_year+29</f>
        <v>2053</v>
      </c>
      <c r="T60" s="365" t="b" cm="1">
        <f t="array" ref="T60">T59</f>
        <v>0</v>
      </c>
      <c r="X60" s="1075"/>
      <c r="Z60" s="1065"/>
      <c r="AB60" s="187" t="str">
        <f t="shared" si="1"/>
        <v>2053 год</v>
      </c>
      <c r="AC60" s="962"/>
      <c r="AD60" s="964"/>
      <c r="AE60" s="965"/>
      <c r="AF60" s="965"/>
      <c r="AG60" s="964"/>
      <c r="AH60" s="964"/>
      <c r="AI60" s="964"/>
      <c r="AJ60" s="964"/>
      <c r="AK60" s="966"/>
      <c r="AL60" s="316"/>
      <c r="AO60" s="705" cm="1">
        <f t="array" ref="AO60">K60</f>
        <v>2053</v>
      </c>
    </row>
    <row r="61" spans="2:41" s="91" customFormat="1" ht="14.65" hidden="1" customHeight="1">
      <c r="B61" s="353" t="b">
        <f t="shared" si="0"/>
        <v>0</v>
      </c>
      <c r="E61" s="518">
        <v>15</v>
      </c>
      <c r="F61" s="3" cm="1">
        <f t="array" aca="1" ref="F61" ca="1">OFFSET(E61,-1,1)</f>
        <v>0</v>
      </c>
      <c r="K61" s="91">
        <f>first_year+30</f>
        <v>2054</v>
      </c>
      <c r="T61" s="365" t="b" cm="1">
        <f t="array" ref="T61">T60</f>
        <v>0</v>
      </c>
      <c r="X61" s="1075"/>
      <c r="Z61" s="1065"/>
      <c r="AB61" s="187" t="str">
        <f t="shared" si="1"/>
        <v>2054 год</v>
      </c>
      <c r="AC61" s="962"/>
      <c r="AD61" s="964"/>
      <c r="AE61" s="965"/>
      <c r="AF61" s="965"/>
      <c r="AG61" s="964"/>
      <c r="AH61" s="964"/>
      <c r="AI61" s="964"/>
      <c r="AJ61" s="964"/>
      <c r="AK61" s="966"/>
      <c r="AL61" s="316"/>
      <c r="AO61" s="705" cm="1">
        <f t="array" ref="AO61">K61</f>
        <v>2054</v>
      </c>
    </row>
    <row r="62" spans="2:41" s="91" customFormat="1" ht="14.65" hidden="1" customHeight="1">
      <c r="B62" s="353" t="b">
        <f t="shared" si="0"/>
        <v>0</v>
      </c>
      <c r="E62" s="518">
        <v>15</v>
      </c>
      <c r="F62" s="3" cm="1">
        <f t="array" aca="1" ref="F62" ca="1">OFFSET(E62,-1,1)</f>
        <v>0</v>
      </c>
      <c r="K62" s="91">
        <f>first_year+31</f>
        <v>2055</v>
      </c>
      <c r="T62" s="365" t="b" cm="1">
        <f t="array" ref="T62">T61</f>
        <v>0</v>
      </c>
      <c r="X62" s="1075"/>
      <c r="Z62" s="1065"/>
      <c r="AB62" s="187" t="str">
        <f t="shared" si="1"/>
        <v>2055 год</v>
      </c>
      <c r="AC62" s="962"/>
      <c r="AD62" s="964"/>
      <c r="AE62" s="965"/>
      <c r="AF62" s="965"/>
      <c r="AG62" s="964"/>
      <c r="AH62" s="964"/>
      <c r="AI62" s="964"/>
      <c r="AJ62" s="964"/>
      <c r="AK62" s="966"/>
      <c r="AL62" s="316"/>
      <c r="AO62" s="705" cm="1">
        <f t="array" ref="AO62">K62</f>
        <v>2055</v>
      </c>
    </row>
    <row r="63" spans="2:41" s="91" customFormat="1" ht="14.65" hidden="1" customHeight="1">
      <c r="B63" s="353" t="b">
        <f t="shared" ref="B63:B80" si="2">K63&lt;first_year+PERIOD_LENGTH</f>
        <v>0</v>
      </c>
      <c r="E63" s="518">
        <v>15</v>
      </c>
      <c r="F63" s="3" cm="1">
        <f t="array" aca="1" ref="F63" ca="1">OFFSET(E63,-1,1)</f>
        <v>0</v>
      </c>
      <c r="K63" s="91">
        <f>first_year+32</f>
        <v>2056</v>
      </c>
      <c r="T63" s="365" t="b" cm="1">
        <f t="array" ref="T63">T62</f>
        <v>0</v>
      </c>
      <c r="X63" s="1075"/>
      <c r="Z63" s="1065"/>
      <c r="AB63" s="187" t="str">
        <f t="shared" ref="AB63:AB80" si="3">K63&amp;" год"</f>
        <v>2056 год</v>
      </c>
      <c r="AC63" s="962"/>
      <c r="AD63" s="964"/>
      <c r="AE63" s="965"/>
      <c r="AF63" s="965"/>
      <c r="AG63" s="964"/>
      <c r="AH63" s="964"/>
      <c r="AI63" s="964"/>
      <c r="AJ63" s="964"/>
      <c r="AK63" s="966"/>
      <c r="AL63" s="316"/>
      <c r="AO63" s="705" cm="1">
        <f t="array" ref="AO63">K63</f>
        <v>2056</v>
      </c>
    </row>
    <row r="64" spans="2:41" s="91" customFormat="1" ht="14.65" hidden="1" customHeight="1">
      <c r="B64" s="353" t="b">
        <f t="shared" si="2"/>
        <v>0</v>
      </c>
      <c r="E64" s="518">
        <v>15</v>
      </c>
      <c r="F64" s="3" cm="1">
        <f t="array" aca="1" ref="F64" ca="1">OFFSET(E64,-1,1)</f>
        <v>0</v>
      </c>
      <c r="K64" s="91">
        <f>first_year+33</f>
        <v>2057</v>
      </c>
      <c r="T64" s="365" t="b" cm="1">
        <f t="array" ref="T64">T63</f>
        <v>0</v>
      </c>
      <c r="X64" s="1075"/>
      <c r="Z64" s="1065"/>
      <c r="AB64" s="187" t="str">
        <f t="shared" si="3"/>
        <v>2057 год</v>
      </c>
      <c r="AC64" s="962"/>
      <c r="AD64" s="964"/>
      <c r="AE64" s="965"/>
      <c r="AF64" s="965"/>
      <c r="AG64" s="964"/>
      <c r="AH64" s="964"/>
      <c r="AI64" s="964"/>
      <c r="AJ64" s="964"/>
      <c r="AK64" s="966"/>
      <c r="AL64" s="316"/>
      <c r="AO64" s="705" cm="1">
        <f t="array" ref="AO64">K64</f>
        <v>2057</v>
      </c>
    </row>
    <row r="65" spans="2:41" s="91" customFormat="1" ht="14.65" hidden="1" customHeight="1">
      <c r="B65" s="353" t="b">
        <f t="shared" si="2"/>
        <v>0</v>
      </c>
      <c r="E65" s="518">
        <v>15</v>
      </c>
      <c r="F65" s="3" cm="1">
        <f t="array" aca="1" ref="F65" ca="1">OFFSET(E65,-1,1)</f>
        <v>0</v>
      </c>
      <c r="K65" s="91">
        <f>first_year+34</f>
        <v>2058</v>
      </c>
      <c r="T65" s="365" t="b" cm="1">
        <f t="array" ref="T65">T64</f>
        <v>0</v>
      </c>
      <c r="X65" s="1075"/>
      <c r="Z65" s="1065"/>
      <c r="AB65" s="187" t="str">
        <f t="shared" si="3"/>
        <v>2058 год</v>
      </c>
      <c r="AC65" s="962"/>
      <c r="AD65" s="964"/>
      <c r="AE65" s="965"/>
      <c r="AF65" s="965"/>
      <c r="AG65" s="964"/>
      <c r="AH65" s="964"/>
      <c r="AI65" s="964"/>
      <c r="AJ65" s="964"/>
      <c r="AK65" s="966"/>
      <c r="AL65" s="316"/>
      <c r="AO65" s="705" cm="1">
        <f t="array" ref="AO65">K65</f>
        <v>2058</v>
      </c>
    </row>
    <row r="66" spans="2:41" s="91" customFormat="1" ht="14.65" hidden="1" customHeight="1">
      <c r="B66" s="353" t="b">
        <f t="shared" si="2"/>
        <v>0</v>
      </c>
      <c r="E66" s="518">
        <v>15</v>
      </c>
      <c r="F66" s="3" cm="1">
        <f t="array" aca="1" ref="F66" ca="1">OFFSET(E66,-1,1)</f>
        <v>0</v>
      </c>
      <c r="K66" s="91">
        <f>first_year+35</f>
        <v>2059</v>
      </c>
      <c r="T66" s="365" t="b" cm="1">
        <f t="array" ref="T66">T65</f>
        <v>0</v>
      </c>
      <c r="X66" s="1075"/>
      <c r="Z66" s="1065"/>
      <c r="AB66" s="187" t="str">
        <f t="shared" si="3"/>
        <v>2059 год</v>
      </c>
      <c r="AC66" s="962"/>
      <c r="AD66" s="964"/>
      <c r="AE66" s="965"/>
      <c r="AF66" s="965"/>
      <c r="AG66" s="964"/>
      <c r="AH66" s="964"/>
      <c r="AI66" s="964"/>
      <c r="AJ66" s="964"/>
      <c r="AK66" s="966"/>
      <c r="AL66" s="316"/>
      <c r="AO66" s="705" cm="1">
        <f t="array" ref="AO66">K66</f>
        <v>2059</v>
      </c>
    </row>
    <row r="67" spans="2:41" s="91" customFormat="1" ht="14.65" hidden="1" customHeight="1">
      <c r="B67" s="353" t="b">
        <f t="shared" si="2"/>
        <v>0</v>
      </c>
      <c r="E67" s="518">
        <v>15</v>
      </c>
      <c r="F67" s="3" cm="1">
        <f t="array" aca="1" ref="F67" ca="1">OFFSET(E67,-1,1)</f>
        <v>0</v>
      </c>
      <c r="K67" s="91">
        <f>first_year+36</f>
        <v>2060</v>
      </c>
      <c r="T67" s="365" t="b" cm="1">
        <f t="array" ref="T67">T66</f>
        <v>0</v>
      </c>
      <c r="X67" s="1075"/>
      <c r="Z67" s="1065"/>
      <c r="AB67" s="187" t="str">
        <f t="shared" si="3"/>
        <v>2060 год</v>
      </c>
      <c r="AC67" s="962"/>
      <c r="AD67" s="964"/>
      <c r="AE67" s="965"/>
      <c r="AF67" s="965"/>
      <c r="AG67" s="964"/>
      <c r="AH67" s="964"/>
      <c r="AI67" s="964"/>
      <c r="AJ67" s="964"/>
      <c r="AK67" s="966"/>
      <c r="AL67" s="316"/>
      <c r="AO67" s="705" cm="1">
        <f t="array" ref="AO67">K67</f>
        <v>2060</v>
      </c>
    </row>
    <row r="68" spans="2:41" s="91" customFormat="1" ht="14.65" hidden="1" customHeight="1">
      <c r="B68" s="353" t="b">
        <f t="shared" si="2"/>
        <v>0</v>
      </c>
      <c r="E68" s="518">
        <v>15</v>
      </c>
      <c r="F68" s="3" cm="1">
        <f t="array" aca="1" ref="F68" ca="1">OFFSET(E68,-1,1)</f>
        <v>0</v>
      </c>
      <c r="K68" s="91">
        <f>first_year+37</f>
        <v>2061</v>
      </c>
      <c r="T68" s="365" t="b" cm="1">
        <f t="array" ref="T68">T67</f>
        <v>0</v>
      </c>
      <c r="X68" s="1075"/>
      <c r="Z68" s="1065"/>
      <c r="AB68" s="187" t="str">
        <f t="shared" si="3"/>
        <v>2061 год</v>
      </c>
      <c r="AC68" s="962"/>
      <c r="AD68" s="964"/>
      <c r="AE68" s="965"/>
      <c r="AF68" s="965"/>
      <c r="AG68" s="964"/>
      <c r="AH68" s="964"/>
      <c r="AI68" s="964"/>
      <c r="AJ68" s="964"/>
      <c r="AK68" s="966"/>
      <c r="AL68" s="316"/>
      <c r="AO68" s="705" cm="1">
        <f t="array" ref="AO68">K68</f>
        <v>2061</v>
      </c>
    </row>
    <row r="69" spans="2:41" s="91" customFormat="1" ht="14.65" hidden="1" customHeight="1">
      <c r="B69" s="353" t="b">
        <f t="shared" si="2"/>
        <v>0</v>
      </c>
      <c r="E69" s="518">
        <v>15</v>
      </c>
      <c r="F69" s="3" cm="1">
        <f t="array" aca="1" ref="F69" ca="1">OFFSET(E69,-1,1)</f>
        <v>0</v>
      </c>
      <c r="K69" s="91">
        <f>first_year+38</f>
        <v>2062</v>
      </c>
      <c r="T69" s="365" t="b" cm="1">
        <f t="array" ref="T69">T68</f>
        <v>0</v>
      </c>
      <c r="X69" s="1075"/>
      <c r="Z69" s="1065"/>
      <c r="AB69" s="187" t="str">
        <f t="shared" si="3"/>
        <v>2062 год</v>
      </c>
      <c r="AC69" s="962"/>
      <c r="AD69" s="964"/>
      <c r="AE69" s="965"/>
      <c r="AF69" s="965"/>
      <c r="AG69" s="964"/>
      <c r="AH69" s="964"/>
      <c r="AI69" s="964"/>
      <c r="AJ69" s="964"/>
      <c r="AK69" s="966"/>
      <c r="AL69" s="316"/>
      <c r="AO69" s="705" cm="1">
        <f t="array" ref="AO69">K69</f>
        <v>2062</v>
      </c>
    </row>
    <row r="70" spans="2:41" s="91" customFormat="1" ht="14.65" hidden="1" customHeight="1">
      <c r="B70" s="353" t="b">
        <f t="shared" si="2"/>
        <v>0</v>
      </c>
      <c r="E70" s="518">
        <v>15</v>
      </c>
      <c r="F70" s="3" cm="1">
        <f t="array" aca="1" ref="F70" ca="1">OFFSET(E70,-1,1)</f>
        <v>0</v>
      </c>
      <c r="K70" s="91">
        <f>first_year+39</f>
        <v>2063</v>
      </c>
      <c r="T70" s="365" t="b" cm="1">
        <f t="array" ref="T70">T69</f>
        <v>0</v>
      </c>
      <c r="X70" s="1075"/>
      <c r="Z70" s="1065"/>
      <c r="AB70" s="187" t="str">
        <f t="shared" si="3"/>
        <v>2063 год</v>
      </c>
      <c r="AC70" s="962"/>
      <c r="AD70" s="964"/>
      <c r="AE70" s="965"/>
      <c r="AF70" s="965"/>
      <c r="AG70" s="964"/>
      <c r="AH70" s="964"/>
      <c r="AI70" s="964"/>
      <c r="AJ70" s="964"/>
      <c r="AK70" s="966"/>
      <c r="AL70" s="316"/>
      <c r="AO70" s="705" cm="1">
        <f t="array" ref="AO70">K70</f>
        <v>2063</v>
      </c>
    </row>
    <row r="71" spans="2:41" s="91" customFormat="1" ht="14.65" hidden="1" customHeight="1">
      <c r="B71" s="353" t="b">
        <f t="shared" si="2"/>
        <v>0</v>
      </c>
      <c r="E71" s="518">
        <v>15</v>
      </c>
      <c r="F71" s="3" cm="1">
        <f t="array" aca="1" ref="F71" ca="1">OFFSET(E71,-1,1)</f>
        <v>0</v>
      </c>
      <c r="K71" s="91">
        <f>first_year+40</f>
        <v>2064</v>
      </c>
      <c r="T71" s="365" t="b" cm="1">
        <f t="array" ref="T71">T70</f>
        <v>0</v>
      </c>
      <c r="X71" s="1075"/>
      <c r="Z71" s="1065"/>
      <c r="AB71" s="187" t="str">
        <f t="shared" si="3"/>
        <v>2064 год</v>
      </c>
      <c r="AC71" s="962"/>
      <c r="AD71" s="964"/>
      <c r="AE71" s="965"/>
      <c r="AF71" s="965"/>
      <c r="AG71" s="964"/>
      <c r="AH71" s="964"/>
      <c r="AI71" s="964"/>
      <c r="AJ71" s="964"/>
      <c r="AK71" s="966"/>
      <c r="AL71" s="316"/>
      <c r="AO71" s="705" cm="1">
        <f t="array" ref="AO71">K71</f>
        <v>2064</v>
      </c>
    </row>
    <row r="72" spans="2:41" s="91" customFormat="1" ht="14.65" hidden="1" customHeight="1">
      <c r="B72" s="353" t="b">
        <f t="shared" si="2"/>
        <v>0</v>
      </c>
      <c r="E72" s="518">
        <v>15</v>
      </c>
      <c r="F72" s="3" cm="1">
        <f t="array" aca="1" ref="F72" ca="1">OFFSET(E72,-1,1)</f>
        <v>0</v>
      </c>
      <c r="K72" s="91">
        <f>first_year+41</f>
        <v>2065</v>
      </c>
      <c r="T72" s="365" t="b" cm="1">
        <f t="array" ref="T72">T71</f>
        <v>0</v>
      </c>
      <c r="X72" s="1075"/>
      <c r="Z72" s="1065"/>
      <c r="AB72" s="187" t="str">
        <f t="shared" si="3"/>
        <v>2065 год</v>
      </c>
      <c r="AC72" s="962"/>
      <c r="AD72" s="964"/>
      <c r="AE72" s="965"/>
      <c r="AF72" s="965"/>
      <c r="AG72" s="964"/>
      <c r="AH72" s="964"/>
      <c r="AI72" s="964"/>
      <c r="AJ72" s="964"/>
      <c r="AK72" s="966"/>
      <c r="AL72" s="316"/>
      <c r="AO72" s="705" cm="1">
        <f t="array" ref="AO72">K72</f>
        <v>2065</v>
      </c>
    </row>
    <row r="73" spans="2:41" s="91" customFormat="1" ht="14.65" hidden="1" customHeight="1">
      <c r="B73" s="353" t="b">
        <f t="shared" si="2"/>
        <v>0</v>
      </c>
      <c r="E73" s="518">
        <v>15</v>
      </c>
      <c r="F73" s="3" cm="1">
        <f t="array" aca="1" ref="F73" ca="1">OFFSET(E73,-1,1)</f>
        <v>0</v>
      </c>
      <c r="K73" s="91">
        <f>first_year+42</f>
        <v>2066</v>
      </c>
      <c r="T73" s="365" t="b" cm="1">
        <f t="array" ref="T73">T72</f>
        <v>0</v>
      </c>
      <c r="X73" s="1075"/>
      <c r="Z73" s="1065"/>
      <c r="AB73" s="187" t="str">
        <f t="shared" si="3"/>
        <v>2066 год</v>
      </c>
      <c r="AC73" s="962"/>
      <c r="AD73" s="964"/>
      <c r="AE73" s="965"/>
      <c r="AF73" s="965"/>
      <c r="AG73" s="964"/>
      <c r="AH73" s="964"/>
      <c r="AI73" s="964"/>
      <c r="AJ73" s="964"/>
      <c r="AK73" s="966"/>
      <c r="AL73" s="316"/>
      <c r="AO73" s="705" cm="1">
        <f t="array" ref="AO73">K73</f>
        <v>2066</v>
      </c>
    </row>
    <row r="74" spans="2:41" s="91" customFormat="1" ht="14.65" hidden="1" customHeight="1">
      <c r="B74" s="353" t="b">
        <f t="shared" si="2"/>
        <v>0</v>
      </c>
      <c r="E74" s="518">
        <v>15</v>
      </c>
      <c r="F74" s="3" cm="1">
        <f t="array" aca="1" ref="F74" ca="1">OFFSET(E74,-1,1)</f>
        <v>0</v>
      </c>
      <c r="K74" s="91">
        <f>first_year+43</f>
        <v>2067</v>
      </c>
      <c r="T74" s="365" t="b" cm="1">
        <f t="array" ref="T74">T73</f>
        <v>0</v>
      </c>
      <c r="X74" s="1075"/>
      <c r="Z74" s="1065"/>
      <c r="AB74" s="187" t="str">
        <f t="shared" si="3"/>
        <v>2067 год</v>
      </c>
      <c r="AC74" s="962"/>
      <c r="AD74" s="964"/>
      <c r="AE74" s="965"/>
      <c r="AF74" s="965"/>
      <c r="AG74" s="964"/>
      <c r="AH74" s="964"/>
      <c r="AI74" s="964"/>
      <c r="AJ74" s="964"/>
      <c r="AK74" s="966"/>
      <c r="AL74" s="316"/>
      <c r="AO74" s="705" cm="1">
        <f t="array" ref="AO74">K74</f>
        <v>2067</v>
      </c>
    </row>
    <row r="75" spans="2:41" s="91" customFormat="1" ht="14.65" hidden="1" customHeight="1">
      <c r="B75" s="353" t="b">
        <f t="shared" si="2"/>
        <v>0</v>
      </c>
      <c r="E75" s="518">
        <v>15</v>
      </c>
      <c r="F75" s="3" cm="1">
        <f t="array" aca="1" ref="F75" ca="1">OFFSET(E75,-1,1)</f>
        <v>0</v>
      </c>
      <c r="K75" s="91">
        <f>first_year+44</f>
        <v>2068</v>
      </c>
      <c r="T75" s="365" t="b" cm="1">
        <f t="array" ref="T75">T74</f>
        <v>0</v>
      </c>
      <c r="X75" s="1075"/>
      <c r="Z75" s="1065"/>
      <c r="AB75" s="187" t="str">
        <f t="shared" si="3"/>
        <v>2068 год</v>
      </c>
      <c r="AC75" s="962"/>
      <c r="AD75" s="964"/>
      <c r="AE75" s="965"/>
      <c r="AF75" s="965"/>
      <c r="AG75" s="964"/>
      <c r="AH75" s="964"/>
      <c r="AI75" s="964"/>
      <c r="AJ75" s="964"/>
      <c r="AK75" s="966"/>
      <c r="AL75" s="316"/>
      <c r="AO75" s="705" cm="1">
        <f t="array" ref="AO75">K75</f>
        <v>2068</v>
      </c>
    </row>
    <row r="76" spans="2:41" s="91" customFormat="1" ht="14.65" hidden="1" customHeight="1">
      <c r="B76" s="353" t="b">
        <f t="shared" si="2"/>
        <v>0</v>
      </c>
      <c r="E76" s="518">
        <v>15</v>
      </c>
      <c r="F76" s="3" cm="1">
        <f t="array" aca="1" ref="F76" ca="1">OFFSET(E76,-1,1)</f>
        <v>0</v>
      </c>
      <c r="K76" s="91">
        <f>first_year+45</f>
        <v>2069</v>
      </c>
      <c r="T76" s="365" t="b" cm="1">
        <f t="array" ref="T76">T75</f>
        <v>0</v>
      </c>
      <c r="X76" s="1075"/>
      <c r="Z76" s="1065"/>
      <c r="AB76" s="187" t="str">
        <f t="shared" si="3"/>
        <v>2069 год</v>
      </c>
      <c r="AC76" s="962"/>
      <c r="AD76" s="964"/>
      <c r="AE76" s="965"/>
      <c r="AF76" s="965"/>
      <c r="AG76" s="964"/>
      <c r="AH76" s="964"/>
      <c r="AI76" s="964"/>
      <c r="AJ76" s="964"/>
      <c r="AK76" s="966"/>
      <c r="AL76" s="316"/>
      <c r="AO76" s="705" cm="1">
        <f t="array" ref="AO76">K76</f>
        <v>2069</v>
      </c>
    </row>
    <row r="77" spans="2:41" s="91" customFormat="1" ht="14.65" hidden="1" customHeight="1">
      <c r="B77" s="353" t="b">
        <f t="shared" si="2"/>
        <v>0</v>
      </c>
      <c r="E77" s="518">
        <v>15</v>
      </c>
      <c r="F77" s="3" cm="1">
        <f t="array" aca="1" ref="F77" ca="1">OFFSET(E77,-1,1)</f>
        <v>0</v>
      </c>
      <c r="K77" s="91">
        <f>first_year+46</f>
        <v>2070</v>
      </c>
      <c r="T77" s="365" t="b" cm="1">
        <f t="array" ref="T77">T76</f>
        <v>0</v>
      </c>
      <c r="X77" s="1075"/>
      <c r="Z77" s="1065"/>
      <c r="AB77" s="187" t="str">
        <f t="shared" si="3"/>
        <v>2070 год</v>
      </c>
      <c r="AC77" s="962"/>
      <c r="AD77" s="964"/>
      <c r="AE77" s="965"/>
      <c r="AF77" s="965"/>
      <c r="AG77" s="964"/>
      <c r="AH77" s="964"/>
      <c r="AI77" s="964"/>
      <c r="AJ77" s="964"/>
      <c r="AK77" s="966"/>
      <c r="AL77" s="316"/>
      <c r="AO77" s="705" cm="1">
        <f t="array" ref="AO77">K77</f>
        <v>2070</v>
      </c>
    </row>
    <row r="78" spans="2:41" s="91" customFormat="1" ht="14.65" hidden="1" customHeight="1">
      <c r="B78" s="353" t="b">
        <f t="shared" si="2"/>
        <v>0</v>
      </c>
      <c r="E78" s="518">
        <v>15</v>
      </c>
      <c r="F78" s="3" cm="1">
        <f t="array" aca="1" ref="F78" ca="1">OFFSET(E78,-1,1)</f>
        <v>0</v>
      </c>
      <c r="K78" s="91">
        <f>first_year+47</f>
        <v>2071</v>
      </c>
      <c r="T78" s="365" t="b" cm="1">
        <f t="array" ref="T78">T77</f>
        <v>0</v>
      </c>
      <c r="X78" s="1075"/>
      <c r="Z78" s="1065"/>
      <c r="AB78" s="187" t="str">
        <f t="shared" si="3"/>
        <v>2071 год</v>
      </c>
      <c r="AC78" s="962"/>
      <c r="AD78" s="964"/>
      <c r="AE78" s="965"/>
      <c r="AF78" s="965"/>
      <c r="AG78" s="964"/>
      <c r="AH78" s="964"/>
      <c r="AI78" s="964"/>
      <c r="AJ78" s="964"/>
      <c r="AK78" s="966"/>
      <c r="AL78" s="316"/>
      <c r="AO78" s="705" cm="1">
        <f t="array" ref="AO78">K78</f>
        <v>2071</v>
      </c>
    </row>
    <row r="79" spans="2:41" s="91" customFormat="1" ht="14.65" hidden="1" customHeight="1">
      <c r="B79" s="353" t="b">
        <f t="shared" si="2"/>
        <v>0</v>
      </c>
      <c r="E79" s="518">
        <v>15</v>
      </c>
      <c r="F79" s="3" cm="1">
        <f t="array" aca="1" ref="F79" ca="1">OFFSET(E79,-1,1)</f>
        <v>0</v>
      </c>
      <c r="K79" s="91">
        <f>first_year+48</f>
        <v>2072</v>
      </c>
      <c r="T79" s="365" t="b" cm="1">
        <f t="array" ref="T79">T78</f>
        <v>0</v>
      </c>
      <c r="X79" s="1075"/>
      <c r="Z79" s="1065"/>
      <c r="AB79" s="187" t="str">
        <f t="shared" si="3"/>
        <v>2072 год</v>
      </c>
      <c r="AC79" s="962"/>
      <c r="AD79" s="964"/>
      <c r="AE79" s="965"/>
      <c r="AF79" s="965"/>
      <c r="AG79" s="964"/>
      <c r="AH79" s="964"/>
      <c r="AI79" s="964"/>
      <c r="AJ79" s="964"/>
      <c r="AK79" s="966"/>
      <c r="AL79" s="316"/>
      <c r="AO79" s="705" cm="1">
        <f t="array" ref="AO79">K79</f>
        <v>2072</v>
      </c>
    </row>
    <row r="80" spans="2:41" s="91" customFormat="1" ht="14.65" hidden="1" customHeight="1">
      <c r="B80" s="353" t="b">
        <f t="shared" si="2"/>
        <v>0</v>
      </c>
      <c r="E80" s="518">
        <v>15</v>
      </c>
      <c r="F80" s="3" cm="1">
        <f t="array" aca="1" ref="F80" ca="1">OFFSET(E80,-1,1)</f>
        <v>0</v>
      </c>
      <c r="K80" s="91">
        <f>first_year+49</f>
        <v>2073</v>
      </c>
      <c r="T80" s="365" t="b" cm="1">
        <f t="array" ref="T80">T79</f>
        <v>0</v>
      </c>
      <c r="X80" s="1075"/>
      <c r="Z80" s="1065"/>
      <c r="AB80" s="187" t="str">
        <f t="shared" si="3"/>
        <v>2073 год</v>
      </c>
      <c r="AC80" s="962"/>
      <c r="AD80" s="964"/>
      <c r="AE80" s="965"/>
      <c r="AF80" s="965"/>
      <c r="AG80" s="964"/>
      <c r="AH80" s="964"/>
      <c r="AI80" s="964"/>
      <c r="AJ80" s="964"/>
      <c r="AK80" s="966"/>
      <c r="AL80" s="316"/>
      <c r="AO80" s="705" cm="1">
        <f t="array" ref="AO80">K80</f>
        <v>2073</v>
      </c>
    </row>
    <row r="81" spans="1:43" s="408" customFormat="1" ht="14.25" customHeight="1">
      <c r="A81" s="57"/>
      <c r="B81" s="62"/>
      <c r="C81" s="57"/>
      <c r="D81" s="57"/>
      <c r="E81" s="459">
        <v>15</v>
      </c>
      <c r="F81" s="36" t="str" cm="1">
        <f t="array" ref="F81">X81</f>
        <v>1</v>
      </c>
      <c r="G81" s="57"/>
      <c r="H81" s="57"/>
      <c r="I81" s="57"/>
      <c r="J81" s="57"/>
      <c r="K81" s="57"/>
      <c r="L81" s="57"/>
      <c r="M81" s="57"/>
      <c r="N81" s="57"/>
      <c r="O81" s="57"/>
      <c r="P81" s="57"/>
      <c r="Q81" s="57"/>
      <c r="R81" s="57"/>
      <c r="S81" s="57"/>
      <c r="T81" s="365" t="b">
        <f>X81&gt;0</f>
        <v>1</v>
      </c>
      <c r="U81" s="57"/>
      <c r="V81" s="57" t="str" cm="1">
        <f t="array" ref="V81">'Калькуляция (МИ корр)'!$AB$171</f>
        <v>Тариф 1 (Водоснабжение) - тариф на питьевую воду (Доп. признак не требуется)</v>
      </c>
      <c r="W81" s="57"/>
      <c r="X81" s="1075" t="s">
        <v>275</v>
      </c>
      <c r="Y81" s="57"/>
      <c r="Z81" s="1065"/>
      <c r="AA81" s="57"/>
      <c r="AB81" s="293" t="str" cm="1">
        <f t="array" ref="AB81">'Калькуляция (МИ корр)'!$AB$171</f>
        <v>Тариф 1 (Водоснабжение) - тариф на питьевую воду (Доп. признак не требуется)</v>
      </c>
      <c r="AC81" s="572"/>
      <c r="AD81" s="572"/>
      <c r="AE81" s="572"/>
      <c r="AF81" s="572"/>
      <c r="AG81" s="572"/>
      <c r="AH81" s="572"/>
      <c r="AI81" s="572"/>
      <c r="AJ81" s="572"/>
      <c r="AK81" s="572"/>
      <c r="AL81" s="315"/>
      <c r="AM81" s="57"/>
      <c r="AN81" s="57"/>
      <c r="AO81" s="665"/>
      <c r="AP81" s="57"/>
      <c r="AQ81" s="57"/>
    </row>
    <row r="82" spans="1:43" s="967" customFormat="1" ht="14.65" customHeight="1">
      <c r="A82" s="91"/>
      <c r="B82" s="353" t="b">
        <f t="shared" ref="B82:B113" si="4">K82&lt;first_year+PERIOD_LENGTH</f>
        <v>1</v>
      </c>
      <c r="C82" s="91"/>
      <c r="D82" s="91"/>
      <c r="E82" s="518">
        <v>15</v>
      </c>
      <c r="F82" s="3" t="str" cm="1">
        <f t="array" aca="1" ref="F82" ca="1">OFFSET(E82,-1,1)</f>
        <v>1</v>
      </c>
      <c r="G82" s="91"/>
      <c r="H82" s="91"/>
      <c r="I82" s="91"/>
      <c r="J82" s="91"/>
      <c r="K82" s="91" cm="1">
        <f t="array" ref="K82">first_year</f>
        <v>2024</v>
      </c>
      <c r="L82" s="91"/>
      <c r="M82" s="91"/>
      <c r="N82" s="91"/>
      <c r="O82" s="91"/>
      <c r="P82" s="91"/>
      <c r="Q82" s="91"/>
      <c r="R82" s="91"/>
      <c r="S82" s="91"/>
      <c r="T82" s="365" t="b" cm="1">
        <f t="array" ref="T82">T81</f>
        <v>1</v>
      </c>
      <c r="U82" s="91"/>
      <c r="V82" s="91"/>
      <c r="W82" s="91"/>
      <c r="X82" s="1075"/>
      <c r="Y82" s="91"/>
      <c r="Z82" s="1065"/>
      <c r="AA82" s="91"/>
      <c r="AB82" s="573" t="str">
        <f t="shared" ref="AB82:AB113" si="5">K82&amp;" год"</f>
        <v>2024 год</v>
      </c>
      <c r="AC82" s="619">
        <v>27976.111832615999</v>
      </c>
      <c r="AD82" s="575">
        <f ca="1">IFERROR(SUMIFS(INDEX(Сценарии!$AE$25:$BF$109,,MATCH($K82&amp;"Принято органом регулирования",Сценарии!$AE$8:$BF$8,0)),Сценарии!$F$25:$F$109,$F82,Сценарии!$AC$25:$AC$109,"Индекс эффективности операционных расходов"),0)</f>
        <v>0</v>
      </c>
      <c r="AE82" s="574"/>
      <c r="AF82" s="574">
        <v>27.09</v>
      </c>
      <c r="AG82" s="575">
        <v>0.68452852019999999</v>
      </c>
      <c r="AH82" s="961">
        <f ca="1">IFERROR(SUMIFS(INDEX(Electricity_LOAD_1,,MATCH($K82&amp;"Принято органом регулирования",ЭЭ!$AE$8:$BB$8,0)),ЭЭ!$F$25:$F$109,$F82,ЭЭ!$AC$25:$AC$109,"Удельный расход электроэнергии"),0)</f>
        <v>0.68452786008143429</v>
      </c>
      <c r="AI82" s="961">
        <f ca="1">IFERROR(SUMIFS(INDEX(Electricity_LOAD_1,,MATCH($K82&amp;"Принято органом регулирования",ЭЭ!$AE$8:$BB$8,0)),ЭЭ!$F$25:$F$109,$F82,ЭЭ!$AC$25:$AC$109,"Удельный расход электроэнергии"),0)</f>
        <v>0.68452786008143429</v>
      </c>
      <c r="AJ82" s="968"/>
      <c r="AK82" s="968"/>
      <c r="AL82" s="316"/>
      <c r="AM82" s="91" t="s">
        <v>2314</v>
      </c>
      <c r="AN82" s="91"/>
      <c r="AO82" s="705" cm="1">
        <f t="array" ref="AO82">K82</f>
        <v>2024</v>
      </c>
      <c r="AP82" s="91"/>
      <c r="AQ82" s="91"/>
    </row>
    <row r="83" spans="1:43" s="967" customFormat="1" ht="14.65" customHeight="1">
      <c r="A83" s="91"/>
      <c r="B83" s="353" t="b">
        <f t="shared" si="4"/>
        <v>1</v>
      </c>
      <c r="C83" s="91"/>
      <c r="D83" s="91"/>
      <c r="E83" s="518">
        <v>15</v>
      </c>
      <c r="F83" s="3" t="str" cm="1">
        <f t="array" aca="1" ref="F83" ca="1">OFFSET(E83,-1,1)</f>
        <v>1</v>
      </c>
      <c r="G83" s="91"/>
      <c r="H83" s="91"/>
      <c r="I83" s="91"/>
      <c r="J83" s="91"/>
      <c r="K83" s="91">
        <f>first_year+1</f>
        <v>2025</v>
      </c>
      <c r="L83" s="91"/>
      <c r="M83" s="91"/>
      <c r="N83" s="91"/>
      <c r="O83" s="91"/>
      <c r="P83" s="91"/>
      <c r="Q83" s="91"/>
      <c r="R83" s="91"/>
      <c r="S83" s="91"/>
      <c r="T83" s="365" t="b" cm="1">
        <f t="array" ref="T83">T82</f>
        <v>1</v>
      </c>
      <c r="U83" s="91"/>
      <c r="V83" s="91"/>
      <c r="W83" s="91"/>
      <c r="X83" s="1075"/>
      <c r="Y83" s="91"/>
      <c r="Z83" s="1065"/>
      <c r="AA83" s="91"/>
      <c r="AB83" s="573" t="str">
        <f t="shared" si="5"/>
        <v>2025 год</v>
      </c>
      <c r="AC83" s="574">
        <v>31013.1761103221</v>
      </c>
      <c r="AD83" s="575">
        <f ca="1">IFERROR(SUMIFS(INDEX(Сценарии!$AE$25:$BF$109,,MATCH($K83&amp;"Принято органом регулирования",Сценарии!$AE$8:$BF$8,0)),Сценарии!$F$25:$F$109,$F83,Сценарии!$AC$25:$AC$109,"Индекс эффективности операционных расходов"),0)</f>
        <v>0</v>
      </c>
      <c r="AE83" s="574"/>
      <c r="AF83" s="574">
        <v>27.09</v>
      </c>
      <c r="AG83" s="575">
        <v>0.68452852019999999</v>
      </c>
      <c r="AH83" s="961">
        <f ca="1">IFERROR(SUMIFS(INDEX(Electricity_LOAD_1,,MATCH($K83&amp;"Принято органом регулирования",ЭЭ!$AE$8:$BB$8,0)),ЭЭ!$F$25:$F$109,$F83,ЭЭ!$AC$25:$AC$109,"Удельный расход электроэнергии"),0)</f>
        <v>0.6845278600814112</v>
      </c>
      <c r="AI83" s="961">
        <f ca="1">IFERROR(SUMIFS(INDEX(Electricity_LOAD_1,,MATCH($K83&amp;"Принято органом регулирования",ЭЭ!$AE$8:$BB$8,0)),ЭЭ!$F$25:$F$109,$F83,ЭЭ!$AC$25:$AC$109,"Удельный расход электроэнергии"),0)</f>
        <v>0.6845278600814112</v>
      </c>
      <c r="AJ83" s="968"/>
      <c r="AK83" s="968"/>
      <c r="AL83" s="316"/>
      <c r="AM83" s="91" t="s">
        <v>2314</v>
      </c>
      <c r="AN83" s="91"/>
      <c r="AO83" s="705" cm="1">
        <f t="array" ref="AO83">K83</f>
        <v>2025</v>
      </c>
      <c r="AP83" s="91"/>
      <c r="AQ83" s="91"/>
    </row>
    <row r="84" spans="1:43" s="967" customFormat="1" ht="14.65" customHeight="1">
      <c r="A84" s="91"/>
      <c r="B84" s="353" t="b">
        <f t="shared" si="4"/>
        <v>1</v>
      </c>
      <c r="C84" s="91"/>
      <c r="D84" s="91"/>
      <c r="E84" s="518">
        <v>15</v>
      </c>
      <c r="F84" s="3" t="str" cm="1">
        <f t="array" aca="1" ref="F84" ca="1">OFFSET(E84,-1,1)</f>
        <v>1</v>
      </c>
      <c r="G84" s="91"/>
      <c r="H84" s="91"/>
      <c r="I84" s="91"/>
      <c r="J84" s="91"/>
      <c r="K84" s="91">
        <f>first_year+2</f>
        <v>2026</v>
      </c>
      <c r="L84" s="91"/>
      <c r="M84" s="91"/>
      <c r="N84" s="91"/>
      <c r="O84" s="91"/>
      <c r="P84" s="91"/>
      <c r="Q84" s="91"/>
      <c r="R84" s="91"/>
      <c r="S84" s="91"/>
      <c r="T84" s="365" t="b" cm="1">
        <f t="array" ref="T84">T83</f>
        <v>1</v>
      </c>
      <c r="U84" s="91"/>
      <c r="V84" s="91"/>
      <c r="W84" s="91"/>
      <c r="X84" s="1075"/>
      <c r="Y84" s="91"/>
      <c r="Z84" s="1065"/>
      <c r="AA84" s="91"/>
      <c r="AB84" s="573" t="str">
        <f t="shared" si="5"/>
        <v>2026 год</v>
      </c>
      <c r="AC84" s="574"/>
      <c r="AD84" s="575">
        <v>1</v>
      </c>
      <c r="AE84" s="574"/>
      <c r="AF84" s="574">
        <v>27.09</v>
      </c>
      <c r="AG84" s="575">
        <v>0.68452852019999999</v>
      </c>
      <c r="AH84" s="961">
        <f ca="1">IFERROR(SUMIFS(INDEX(Electricity_LOAD_1,,MATCH($K84&amp;"Принято органом регулирования",ЭЭ!$AE$8:$BB$8,0)),ЭЭ!$F$25:$F$109,$F84,ЭЭ!$AC$25:$AC$109,"Удельный расход электроэнергии"),0)</f>
        <v>0.6845269810735245</v>
      </c>
      <c r="AI84" s="961">
        <f ca="1">IFERROR(SUMIFS(INDEX(Electricity_LOAD_1,,MATCH($K84&amp;"Принято органом регулирования",ЭЭ!$AE$8:$BB$8,0)),ЭЭ!$F$25:$F$109,$F84,ЭЭ!$AC$25:$AC$109,"Удельный расход электроэнергии"),0)</f>
        <v>0.6845269810735245</v>
      </c>
      <c r="AJ84" s="968"/>
      <c r="AK84" s="968"/>
      <c r="AL84" s="316"/>
      <c r="AM84" s="91" t="s">
        <v>2314</v>
      </c>
      <c r="AN84" s="91"/>
      <c r="AO84" s="705" cm="1">
        <f t="array" ref="AO84">K84</f>
        <v>2026</v>
      </c>
      <c r="AP84" s="91"/>
      <c r="AQ84" s="91"/>
    </row>
    <row r="85" spans="1:43" s="967" customFormat="1" ht="14.65" customHeight="1">
      <c r="A85" s="91"/>
      <c r="B85" s="353" t="b">
        <f t="shared" si="4"/>
        <v>1</v>
      </c>
      <c r="C85" s="91"/>
      <c r="D85" s="91"/>
      <c r="E85" s="518">
        <v>15</v>
      </c>
      <c r="F85" s="3" t="str" cm="1">
        <f t="array" aca="1" ref="F85" ca="1">OFFSET(E85,-1,1)</f>
        <v>1</v>
      </c>
      <c r="G85" s="91"/>
      <c r="H85" s="91"/>
      <c r="I85" s="91"/>
      <c r="J85" s="91"/>
      <c r="K85" s="91">
        <f>first_year+3</f>
        <v>2027</v>
      </c>
      <c r="L85" s="91"/>
      <c r="M85" s="91"/>
      <c r="N85" s="91"/>
      <c r="O85" s="91"/>
      <c r="P85" s="91"/>
      <c r="Q85" s="91"/>
      <c r="R85" s="91"/>
      <c r="S85" s="91"/>
      <c r="T85" s="365" t="b" cm="1">
        <f t="array" ref="T85">T84</f>
        <v>1</v>
      </c>
      <c r="U85" s="91"/>
      <c r="V85" s="91"/>
      <c r="W85" s="91"/>
      <c r="X85" s="1075"/>
      <c r="Y85" s="91"/>
      <c r="Z85" s="1065"/>
      <c r="AA85" s="91"/>
      <c r="AB85" s="573" t="str">
        <f t="shared" si="5"/>
        <v>2027 год</v>
      </c>
      <c r="AC85" s="574"/>
      <c r="AD85" s="575">
        <v>1</v>
      </c>
      <c r="AE85" s="574"/>
      <c r="AF85" s="574">
        <v>27.09</v>
      </c>
      <c r="AG85" s="575">
        <v>0.68452852019999999</v>
      </c>
      <c r="AH85" s="961">
        <f ca="1">IFERROR(SUMIFS(INDEX(Electricity_LOAD_1,,MATCH($K85&amp;"Принято органом регулирования",ЭЭ!$AE$8:$BB$8,0)),ЭЭ!$F$25:$F$109,$F85,ЭЭ!$AC$25:$AC$109,"Удельный расход электроэнергии"),0)</f>
        <v>0.6845269810735245</v>
      </c>
      <c r="AI85" s="961">
        <f ca="1">IFERROR(SUMIFS(INDEX(Electricity_LOAD_1,,MATCH($K85&amp;"Принято органом регулирования",ЭЭ!$AE$8:$BB$8,0)),ЭЭ!$F$25:$F$109,$F85,ЭЭ!$AC$25:$AC$109,"Удельный расход электроэнергии"),0)</f>
        <v>0.6845269810735245</v>
      </c>
      <c r="AJ85" s="968"/>
      <c r="AK85" s="968"/>
      <c r="AL85" s="316"/>
      <c r="AM85" s="91" t="s">
        <v>2314</v>
      </c>
      <c r="AN85" s="91"/>
      <c r="AO85" s="705" cm="1">
        <f t="array" ref="AO85">K85</f>
        <v>2027</v>
      </c>
      <c r="AP85" s="91"/>
      <c r="AQ85" s="91"/>
    </row>
    <row r="86" spans="1:43" s="967" customFormat="1" ht="14.65" customHeight="1">
      <c r="A86" s="91"/>
      <c r="B86" s="353" t="b">
        <f t="shared" si="4"/>
        <v>1</v>
      </c>
      <c r="C86" s="91"/>
      <c r="D86" s="91"/>
      <c r="E86" s="518">
        <v>15</v>
      </c>
      <c r="F86" s="3" t="str" cm="1">
        <f t="array" aca="1" ref="F86" ca="1">OFFSET(E86,-1,1)</f>
        <v>1</v>
      </c>
      <c r="G86" s="91"/>
      <c r="H86" s="91"/>
      <c r="I86" s="91"/>
      <c r="J86" s="91"/>
      <c r="K86" s="91">
        <f>first_year+4</f>
        <v>2028</v>
      </c>
      <c r="L86" s="91"/>
      <c r="M86" s="91"/>
      <c r="N86" s="91"/>
      <c r="O86" s="91"/>
      <c r="P86" s="91"/>
      <c r="Q86" s="91"/>
      <c r="R86" s="91"/>
      <c r="S86" s="91"/>
      <c r="T86" s="365" t="b" cm="1">
        <f t="array" ref="T86">T85</f>
        <v>1</v>
      </c>
      <c r="U86" s="91"/>
      <c r="V86" s="91"/>
      <c r="W86" s="91"/>
      <c r="X86" s="1075"/>
      <c r="Y86" s="91"/>
      <c r="Z86" s="1065"/>
      <c r="AA86" s="91"/>
      <c r="AB86" s="573" t="str">
        <f t="shared" si="5"/>
        <v>2028 год</v>
      </c>
      <c r="AC86" s="574"/>
      <c r="AD86" s="575">
        <v>1</v>
      </c>
      <c r="AE86" s="574"/>
      <c r="AF86" s="574">
        <v>27.09</v>
      </c>
      <c r="AG86" s="575">
        <v>0.68452852019999999</v>
      </c>
      <c r="AH86" s="961">
        <f ca="1">IFERROR(SUMIFS(INDEX(Electricity_LOAD_1,,MATCH($K86&amp;"Принято органом регулирования",ЭЭ!$AE$8:$BB$8,0)),ЭЭ!$F$25:$F$109,$F86,ЭЭ!$AC$25:$AC$109,"Удельный расход электроэнергии"),0)</f>
        <v>0.6845269810735245</v>
      </c>
      <c r="AI86" s="961">
        <f ca="1">IFERROR(SUMIFS(INDEX(Electricity_LOAD_1,,MATCH($K86&amp;"Принято органом регулирования",ЭЭ!$AE$8:$BB$8,0)),ЭЭ!$F$25:$F$109,$F86,ЭЭ!$AC$25:$AC$109,"Удельный расход электроэнергии"),0)</f>
        <v>0.6845269810735245</v>
      </c>
      <c r="AJ86" s="968"/>
      <c r="AK86" s="968"/>
      <c r="AL86" s="316"/>
      <c r="AM86" s="91" t="s">
        <v>2314</v>
      </c>
      <c r="AN86" s="91"/>
      <c r="AO86" s="705" cm="1">
        <f t="array" ref="AO86">K86</f>
        <v>2028</v>
      </c>
      <c r="AP86" s="91"/>
      <c r="AQ86" s="91"/>
    </row>
    <row r="87" spans="1:43" s="967" customFormat="1" ht="14.25" hidden="1" customHeight="1">
      <c r="A87" s="91"/>
      <c r="B87" s="353" t="b">
        <f t="shared" si="4"/>
        <v>0</v>
      </c>
      <c r="C87" s="91"/>
      <c r="D87" s="91"/>
      <c r="E87" s="518">
        <v>15</v>
      </c>
      <c r="F87" s="3" t="str" cm="1">
        <f t="array" aca="1" ref="F87" ca="1">OFFSET(E87,-1,1)</f>
        <v>1</v>
      </c>
      <c r="G87" s="91"/>
      <c r="H87" s="91"/>
      <c r="I87" s="91"/>
      <c r="J87" s="91"/>
      <c r="K87" s="91">
        <f>first_year+5</f>
        <v>2029</v>
      </c>
      <c r="L87" s="91"/>
      <c r="M87" s="91"/>
      <c r="N87" s="91"/>
      <c r="O87" s="91"/>
      <c r="P87" s="91"/>
      <c r="Q87" s="91"/>
      <c r="R87" s="91"/>
      <c r="S87" s="91"/>
      <c r="T87" s="365" t="b" cm="1">
        <f t="array" ref="T87">T86</f>
        <v>1</v>
      </c>
      <c r="U87" s="91"/>
      <c r="V87" s="91"/>
      <c r="W87" s="91"/>
      <c r="X87" s="1075"/>
      <c r="Y87" s="91"/>
      <c r="Z87" s="1065"/>
      <c r="AA87" s="91"/>
      <c r="AB87" s="573" t="str">
        <f t="shared" si="5"/>
        <v>2029 год</v>
      </c>
      <c r="AC87" s="962"/>
      <c r="AD87" s="961">
        <f ca="1">IFERROR(SUMIFS(INDEX(Сценарии!$AE$25:$BF$109,,MATCH($K87&amp;"Принято органом регулирования",Сценарии!$AE$8:$BF$8,0)),Сценарии!$F$25:$F$109,$F87,Сценарии!$AC$25:$AC$109,"Индекс эффективности операционных расходов"),0)</f>
        <v>0</v>
      </c>
      <c r="AE87" s="962"/>
      <c r="AF87" s="962">
        <f ca="1">IFERROR(SUMIFS(INDEX(Баланс!$AE$25:$BB$300,,MATCH($K87&amp;"Принято органом регулирования",Баланс!$AE$8:$BB$8,0)),Баланс!$F$25:$F$300,$F87,Баланс!$AC$24:$AC$300,"Уровень потерь воды"),0)</f>
        <v>0</v>
      </c>
      <c r="AG87" s="961">
        <f ca="1">IFERROR(SUMIFS(INDEX(Electricity_LOAD_1,,MATCH($K87&amp;"Принято органом регулирования",ЭЭ!$AE$8:$BB$8,0)),ЭЭ!$F$25:$F$109,$F87,ЭЭ!$AC$25:$AC$109,"Удельный расход электроэнергии"),0)</f>
        <v>0</v>
      </c>
      <c r="AH87" s="961">
        <f ca="1">IFERROR(SUMIFS(INDEX(Electricity_LOAD_1,,MATCH($K87&amp;"Принято органом регулирования",ЭЭ!$AE$8:$BB$8,0)),ЭЭ!$F$25:$F$109,$F87,ЭЭ!$AC$25:$AC$109,"Удельный расход электроэнергии"),0)</f>
        <v>0</v>
      </c>
      <c r="AI87" s="961">
        <f ca="1">IFERROR(SUMIFS(INDEX(Electricity_LOAD_1,,MATCH($K87&amp;"Принято органом регулирования",ЭЭ!$AE$8:$BB$8,0)),ЭЭ!$F$25:$F$109,$F87,ЭЭ!$AC$25:$AC$109,"Удельный расход электроэнергии"),0)</f>
        <v>0</v>
      </c>
      <c r="AJ87" s="968"/>
      <c r="AK87" s="968"/>
      <c r="AL87" s="316"/>
      <c r="AM87" s="91" t="s">
        <v>2314</v>
      </c>
      <c r="AN87" s="91"/>
      <c r="AO87" s="705" cm="1">
        <f t="array" ref="AO87">K87</f>
        <v>2029</v>
      </c>
      <c r="AP87" s="91"/>
      <c r="AQ87" s="91"/>
    </row>
    <row r="88" spans="1:43" s="967" customFormat="1" ht="14.25" hidden="1" customHeight="1">
      <c r="A88" s="91"/>
      <c r="B88" s="353" t="b">
        <f t="shared" si="4"/>
        <v>0</v>
      </c>
      <c r="C88" s="91"/>
      <c r="D88" s="91"/>
      <c r="E88" s="518">
        <v>15</v>
      </c>
      <c r="F88" s="3" t="str" cm="1">
        <f t="array" aca="1" ref="F88" ca="1">OFFSET(E88,-1,1)</f>
        <v>1</v>
      </c>
      <c r="G88" s="91"/>
      <c r="H88" s="91"/>
      <c r="I88" s="91"/>
      <c r="J88" s="91"/>
      <c r="K88" s="91">
        <f>first_year+6</f>
        <v>2030</v>
      </c>
      <c r="L88" s="91"/>
      <c r="M88" s="91"/>
      <c r="N88" s="91"/>
      <c r="O88" s="91"/>
      <c r="P88" s="91"/>
      <c r="Q88" s="91"/>
      <c r="R88" s="91"/>
      <c r="S88" s="91"/>
      <c r="T88" s="365" t="b" cm="1">
        <f t="array" ref="T88">T87</f>
        <v>1</v>
      </c>
      <c r="U88" s="91"/>
      <c r="V88" s="91"/>
      <c r="W88" s="91"/>
      <c r="X88" s="1075"/>
      <c r="Y88" s="91"/>
      <c r="Z88" s="1065"/>
      <c r="AA88" s="91"/>
      <c r="AB88" s="573" t="str">
        <f t="shared" si="5"/>
        <v>2030 год</v>
      </c>
      <c r="AC88" s="962"/>
      <c r="AD88" s="961">
        <f ca="1">IFERROR(SUMIFS(INDEX(Сценарии!$AE$25:$BF$109,,MATCH($K88&amp;"Принято органом регулирования",Сценарии!$AE$8:$BF$8,0)),Сценарии!$F$25:$F$109,$F88,Сценарии!$AC$25:$AC$109,"Индекс эффективности операционных расходов"),0)</f>
        <v>0</v>
      </c>
      <c r="AE88" s="962"/>
      <c r="AF88" s="962">
        <f ca="1">IFERROR(SUMIFS(INDEX(Баланс!$AE$25:$BB$300,,MATCH($K88&amp;"Принято органом регулирования",Баланс!$AE$8:$BB$8,0)),Баланс!$F$25:$F$300,$F88,Баланс!$AC$24:$AC$300,"Уровень потерь воды"),0)</f>
        <v>0</v>
      </c>
      <c r="AG88" s="961">
        <f ca="1">IFERROR(SUMIFS(INDEX(Electricity_LOAD_1,,MATCH($K88&amp;"Принято органом регулирования",ЭЭ!$AE$8:$BB$8,0)),ЭЭ!$F$25:$F$109,$F88,ЭЭ!$AC$25:$AC$109,"Удельный расход электроэнергии"),0)</f>
        <v>0</v>
      </c>
      <c r="AH88" s="961">
        <f ca="1">IFERROR(SUMIFS(INDEX(Electricity_LOAD_1,,MATCH($K88&amp;"Принято органом регулирования",ЭЭ!$AE$8:$BB$8,0)),ЭЭ!$F$25:$F$109,$F88,ЭЭ!$AC$25:$AC$109,"Удельный расход электроэнергии"),0)</f>
        <v>0</v>
      </c>
      <c r="AI88" s="961">
        <f ca="1">IFERROR(SUMIFS(INDEX(Electricity_LOAD_1,,MATCH($K88&amp;"Принято органом регулирования",ЭЭ!$AE$8:$BB$8,0)),ЭЭ!$F$25:$F$109,$F88,ЭЭ!$AC$25:$AC$109,"Удельный расход электроэнергии"),0)</f>
        <v>0</v>
      </c>
      <c r="AJ88" s="968"/>
      <c r="AK88" s="968"/>
      <c r="AL88" s="316"/>
      <c r="AM88" s="91" t="s">
        <v>2314</v>
      </c>
      <c r="AN88" s="91"/>
      <c r="AO88" s="705" cm="1">
        <f t="array" ref="AO88">K88</f>
        <v>2030</v>
      </c>
      <c r="AP88" s="91"/>
      <c r="AQ88" s="91"/>
    </row>
    <row r="89" spans="1:43" s="967" customFormat="1" ht="14.25" hidden="1" customHeight="1">
      <c r="A89" s="91"/>
      <c r="B89" s="353" t="b">
        <f t="shared" si="4"/>
        <v>0</v>
      </c>
      <c r="C89" s="91"/>
      <c r="D89" s="91"/>
      <c r="E89" s="518">
        <v>15</v>
      </c>
      <c r="F89" s="3" t="str" cm="1">
        <f t="array" aca="1" ref="F89" ca="1">OFFSET(E89,-1,1)</f>
        <v>1</v>
      </c>
      <c r="G89" s="91"/>
      <c r="H89" s="91"/>
      <c r="I89" s="91"/>
      <c r="J89" s="91"/>
      <c r="K89" s="91">
        <f>first_year+7</f>
        <v>2031</v>
      </c>
      <c r="L89" s="91"/>
      <c r="M89" s="91"/>
      <c r="N89" s="91"/>
      <c r="O89" s="91"/>
      <c r="P89" s="91"/>
      <c r="Q89" s="91"/>
      <c r="R89" s="91"/>
      <c r="S89" s="91"/>
      <c r="T89" s="365" t="b" cm="1">
        <f t="array" ref="T89">T88</f>
        <v>1</v>
      </c>
      <c r="U89" s="91"/>
      <c r="V89" s="91"/>
      <c r="W89" s="91"/>
      <c r="X89" s="1075"/>
      <c r="Y89" s="91"/>
      <c r="Z89" s="1065"/>
      <c r="AA89" s="91"/>
      <c r="AB89" s="573" t="str">
        <f t="shared" si="5"/>
        <v>2031 год</v>
      </c>
      <c r="AC89" s="962"/>
      <c r="AD89" s="961">
        <f ca="1">IFERROR(SUMIFS(INDEX(Сценарии!$AE$25:$BF$109,,MATCH($K89&amp;"Принято органом регулирования",Сценарии!$AE$8:$BF$8,0)),Сценарии!$F$25:$F$109,$F89,Сценарии!$AC$25:$AC$109,"Индекс эффективности операционных расходов"),0)</f>
        <v>0</v>
      </c>
      <c r="AE89" s="962"/>
      <c r="AF89" s="962">
        <f ca="1">IFERROR(SUMIFS(INDEX(Баланс!$AE$25:$BB$300,,MATCH($K89&amp;"Принято органом регулирования",Баланс!$AE$8:$BB$8,0)),Баланс!$F$25:$F$300,$F89,Баланс!$AC$24:$AC$300,"Уровень потерь воды"),0)</f>
        <v>0</v>
      </c>
      <c r="AG89" s="961">
        <f ca="1">IFERROR(SUMIFS(INDEX(Electricity_LOAD_1,,MATCH($K89&amp;"Принято органом регулирования",ЭЭ!$AE$8:$BB$8,0)),ЭЭ!$F$25:$F$109,$F89,ЭЭ!$AC$25:$AC$109,"Удельный расход электроэнергии"),0)</f>
        <v>0</v>
      </c>
      <c r="AH89" s="961">
        <f ca="1">IFERROR(SUMIFS(INDEX(Electricity_LOAD_1,,MATCH($K89&amp;"Принято органом регулирования",ЭЭ!$AE$8:$BB$8,0)),ЭЭ!$F$25:$F$109,$F89,ЭЭ!$AC$25:$AC$109,"Удельный расход электроэнергии"),0)</f>
        <v>0</v>
      </c>
      <c r="AI89" s="961">
        <f ca="1">IFERROR(SUMIFS(INDEX(Electricity_LOAD_1,,MATCH($K89&amp;"Принято органом регулирования",ЭЭ!$AE$8:$BB$8,0)),ЭЭ!$F$25:$F$109,$F89,ЭЭ!$AC$25:$AC$109,"Удельный расход электроэнергии"),0)</f>
        <v>0</v>
      </c>
      <c r="AJ89" s="968"/>
      <c r="AK89" s="968"/>
      <c r="AL89" s="316"/>
      <c r="AM89" s="91" t="s">
        <v>2314</v>
      </c>
      <c r="AN89" s="91"/>
      <c r="AO89" s="705" cm="1">
        <f t="array" ref="AO89">K89</f>
        <v>2031</v>
      </c>
      <c r="AP89" s="91"/>
      <c r="AQ89" s="91"/>
    </row>
    <row r="90" spans="1:43" s="967" customFormat="1" ht="14.25" hidden="1" customHeight="1">
      <c r="A90" s="91"/>
      <c r="B90" s="353" t="b">
        <f t="shared" si="4"/>
        <v>0</v>
      </c>
      <c r="C90" s="91"/>
      <c r="D90" s="91"/>
      <c r="E90" s="518">
        <v>15</v>
      </c>
      <c r="F90" s="3" t="str" cm="1">
        <f t="array" aca="1" ref="F90" ca="1">OFFSET(E90,-1,1)</f>
        <v>1</v>
      </c>
      <c r="G90" s="91"/>
      <c r="H90" s="91"/>
      <c r="I90" s="91"/>
      <c r="J90" s="91"/>
      <c r="K90" s="91">
        <f>first_year+8</f>
        <v>2032</v>
      </c>
      <c r="L90" s="91"/>
      <c r="M90" s="91"/>
      <c r="N90" s="91"/>
      <c r="O90" s="91"/>
      <c r="P90" s="91"/>
      <c r="Q90" s="91"/>
      <c r="R90" s="91"/>
      <c r="S90" s="91"/>
      <c r="T90" s="365" t="b" cm="1">
        <f t="array" ref="T90">T89</f>
        <v>1</v>
      </c>
      <c r="U90" s="91"/>
      <c r="V90" s="91"/>
      <c r="W90" s="91"/>
      <c r="X90" s="1075"/>
      <c r="Y90" s="91"/>
      <c r="Z90" s="1065"/>
      <c r="AA90" s="91"/>
      <c r="AB90" s="573" t="str">
        <f t="shared" si="5"/>
        <v>2032 год</v>
      </c>
      <c r="AC90" s="962"/>
      <c r="AD90" s="961">
        <f ca="1">IFERROR(SUMIFS(INDEX(Сценарии!$AE$25:$BF$109,,MATCH($K90&amp;"Принято органом регулирования",Сценарии!$AE$8:$BF$8,0)),Сценарии!$F$25:$F$109,$F90,Сценарии!$AC$25:$AC$109,"Индекс эффективности операционных расходов"),0)</f>
        <v>0</v>
      </c>
      <c r="AE90" s="962"/>
      <c r="AF90" s="962">
        <f ca="1">IFERROR(SUMIFS(INDEX(Баланс!$AE$25:$BB$300,,MATCH($K90&amp;"Принято органом регулирования",Баланс!$AE$8:$BB$8,0)),Баланс!$F$25:$F$300,$F90,Баланс!$AC$24:$AC$300,"Уровень потерь воды"),0)</f>
        <v>0</v>
      </c>
      <c r="AG90" s="961">
        <f ca="1">IFERROR(SUMIFS(INDEX(Electricity_LOAD_1,,MATCH($K90&amp;"Принято органом регулирования",ЭЭ!$AE$8:$BB$8,0)),ЭЭ!$F$25:$F$109,$F90,ЭЭ!$AC$25:$AC$109,"Удельный расход электроэнергии"),0)</f>
        <v>0</v>
      </c>
      <c r="AH90" s="961">
        <f ca="1">IFERROR(SUMIFS(INDEX(Electricity_LOAD_1,,MATCH($K90&amp;"Принято органом регулирования",ЭЭ!$AE$8:$BB$8,0)),ЭЭ!$F$25:$F$109,$F90,ЭЭ!$AC$25:$AC$109,"Удельный расход электроэнергии"),0)</f>
        <v>0</v>
      </c>
      <c r="AI90" s="961">
        <f ca="1">IFERROR(SUMIFS(INDEX(Electricity_LOAD_1,,MATCH($K90&amp;"Принято органом регулирования",ЭЭ!$AE$8:$BB$8,0)),ЭЭ!$F$25:$F$109,$F90,ЭЭ!$AC$25:$AC$109,"Удельный расход электроэнергии"),0)</f>
        <v>0</v>
      </c>
      <c r="AJ90" s="968"/>
      <c r="AK90" s="968"/>
      <c r="AL90" s="316"/>
      <c r="AM90" s="91" t="s">
        <v>2314</v>
      </c>
      <c r="AN90" s="91"/>
      <c r="AO90" s="705" cm="1">
        <f t="array" ref="AO90">K90</f>
        <v>2032</v>
      </c>
      <c r="AP90" s="91"/>
      <c r="AQ90" s="91"/>
    </row>
    <row r="91" spans="1:43" s="967" customFormat="1" ht="14.25" hidden="1" customHeight="1">
      <c r="A91" s="91"/>
      <c r="B91" s="353" t="b">
        <f t="shared" si="4"/>
        <v>0</v>
      </c>
      <c r="C91" s="91"/>
      <c r="D91" s="91"/>
      <c r="E91" s="518">
        <v>15</v>
      </c>
      <c r="F91" s="3" t="str" cm="1">
        <f t="array" aca="1" ref="F91" ca="1">OFFSET(E91,-1,1)</f>
        <v>1</v>
      </c>
      <c r="G91" s="91"/>
      <c r="H91" s="91"/>
      <c r="I91" s="91"/>
      <c r="J91" s="91"/>
      <c r="K91" s="91">
        <f>first_year+9</f>
        <v>2033</v>
      </c>
      <c r="L91" s="91"/>
      <c r="M91" s="91"/>
      <c r="N91" s="91"/>
      <c r="O91" s="91"/>
      <c r="P91" s="91"/>
      <c r="Q91" s="91"/>
      <c r="R91" s="91"/>
      <c r="S91" s="91"/>
      <c r="T91" s="365" t="b" cm="1">
        <f t="array" ref="T91">T90</f>
        <v>1</v>
      </c>
      <c r="U91" s="91"/>
      <c r="V91" s="91"/>
      <c r="W91" s="91"/>
      <c r="X91" s="1075"/>
      <c r="Y91" s="91"/>
      <c r="Z91" s="1065"/>
      <c r="AA91" s="91"/>
      <c r="AB91" s="573" t="str">
        <f t="shared" si="5"/>
        <v>2033 год</v>
      </c>
      <c r="AC91" s="962"/>
      <c r="AD91" s="961">
        <f ca="1">IFERROR(SUMIFS(INDEX(Сценарии!$AE$25:$BF$109,,MATCH($K91&amp;"Принято органом регулирования",Сценарии!$AE$8:$BF$8,0)),Сценарии!$F$25:$F$109,$F91,Сценарии!$AC$25:$AC$109,"Индекс эффективности операционных расходов"),0)</f>
        <v>0</v>
      </c>
      <c r="AE91" s="962"/>
      <c r="AF91" s="962">
        <f ca="1">IFERROR(SUMIFS(INDEX(Баланс!$AE$25:$BB$300,,MATCH($K91&amp;"Принято органом регулирования",Баланс!$AE$8:$BB$8,0)),Баланс!$F$25:$F$300,$F91,Баланс!$AC$24:$AC$300,"Уровень потерь воды"),0)</f>
        <v>0</v>
      </c>
      <c r="AG91" s="961">
        <f ca="1">IFERROR(SUMIFS(INDEX(Electricity_LOAD_1,,MATCH($K91&amp;"Принято органом регулирования",ЭЭ!$AE$8:$BB$8,0)),ЭЭ!$F$25:$F$109,$F91,ЭЭ!$AC$25:$AC$109,"Удельный расход электроэнергии"),0)</f>
        <v>0</v>
      </c>
      <c r="AH91" s="961">
        <f ca="1">IFERROR(SUMIFS(INDEX(Electricity_LOAD_1,,MATCH($K91&amp;"Принято органом регулирования",ЭЭ!$AE$8:$BB$8,0)),ЭЭ!$F$25:$F$109,$F91,ЭЭ!$AC$25:$AC$109,"Удельный расход электроэнергии"),0)</f>
        <v>0</v>
      </c>
      <c r="AI91" s="961">
        <f ca="1">IFERROR(SUMIFS(INDEX(Electricity_LOAD_1,,MATCH($K91&amp;"Принято органом регулирования",ЭЭ!$AE$8:$BB$8,0)),ЭЭ!$F$25:$F$109,$F91,ЭЭ!$AC$25:$AC$109,"Удельный расход электроэнергии"),0)</f>
        <v>0</v>
      </c>
      <c r="AJ91" s="968"/>
      <c r="AK91" s="968"/>
      <c r="AL91" s="316"/>
      <c r="AM91" s="91" t="s">
        <v>2314</v>
      </c>
      <c r="AN91" s="91"/>
      <c r="AO91" s="705" cm="1">
        <f t="array" ref="AO91">K91</f>
        <v>2033</v>
      </c>
      <c r="AP91" s="91"/>
      <c r="AQ91" s="91"/>
    </row>
    <row r="92" spans="1:43" s="967" customFormat="1" ht="14.25" hidden="1" customHeight="1">
      <c r="A92" s="91"/>
      <c r="B92" s="353" t="b">
        <f t="shared" si="4"/>
        <v>0</v>
      </c>
      <c r="C92" s="91"/>
      <c r="D92" s="91"/>
      <c r="E92" s="518">
        <v>15</v>
      </c>
      <c r="F92" s="3" t="str" cm="1">
        <f t="array" aca="1" ref="F92" ca="1">OFFSET(E92,-1,1)</f>
        <v>1</v>
      </c>
      <c r="G92" s="91"/>
      <c r="H92" s="91"/>
      <c r="I92" s="91"/>
      <c r="J92" s="91"/>
      <c r="K92" s="91">
        <f>first_year+10</f>
        <v>2034</v>
      </c>
      <c r="L92" s="91"/>
      <c r="M92" s="91"/>
      <c r="N92" s="91"/>
      <c r="O92" s="91"/>
      <c r="P92" s="91"/>
      <c r="Q92" s="91"/>
      <c r="R92" s="91"/>
      <c r="S92" s="91"/>
      <c r="T92" s="365" t="b" cm="1">
        <f t="array" ref="T92">T91</f>
        <v>1</v>
      </c>
      <c r="U92" s="91"/>
      <c r="V92" s="91"/>
      <c r="W92" s="91"/>
      <c r="X92" s="1075"/>
      <c r="Y92" s="91"/>
      <c r="Z92" s="1065"/>
      <c r="AA92" s="91"/>
      <c r="AB92" s="573" t="str">
        <f t="shared" si="5"/>
        <v>2034 год</v>
      </c>
      <c r="AC92" s="962"/>
      <c r="AD92" s="961"/>
      <c r="AE92" s="962"/>
      <c r="AF92" s="962"/>
      <c r="AG92" s="961"/>
      <c r="AH92" s="961"/>
      <c r="AI92" s="961"/>
      <c r="AJ92" s="968"/>
      <c r="AK92" s="969"/>
      <c r="AL92" s="316"/>
      <c r="AM92" s="91"/>
      <c r="AN92" s="91"/>
      <c r="AO92" s="705" cm="1">
        <f t="array" ref="AO92">K92</f>
        <v>2034</v>
      </c>
      <c r="AP92" s="91"/>
      <c r="AQ92" s="91"/>
    </row>
    <row r="93" spans="1:43" s="967" customFormat="1" ht="14.25" hidden="1" customHeight="1">
      <c r="A93" s="91"/>
      <c r="B93" s="353" t="b">
        <f t="shared" si="4"/>
        <v>0</v>
      </c>
      <c r="C93" s="91"/>
      <c r="D93" s="91"/>
      <c r="E93" s="518">
        <v>15</v>
      </c>
      <c r="F93" s="3" t="str" cm="1">
        <f t="array" aca="1" ref="F93" ca="1">OFFSET(E93,-1,1)</f>
        <v>1</v>
      </c>
      <c r="G93" s="91"/>
      <c r="H93" s="91"/>
      <c r="I93" s="91"/>
      <c r="J93" s="91"/>
      <c r="K93" s="91">
        <f>first_year+11</f>
        <v>2035</v>
      </c>
      <c r="L93" s="91"/>
      <c r="M93" s="91"/>
      <c r="N93" s="91"/>
      <c r="O93" s="91"/>
      <c r="P93" s="91"/>
      <c r="Q93" s="91"/>
      <c r="R93" s="91"/>
      <c r="S93" s="91"/>
      <c r="T93" s="365" t="b" cm="1">
        <f t="array" ref="T93">T92</f>
        <v>1</v>
      </c>
      <c r="U93" s="91"/>
      <c r="V93" s="91"/>
      <c r="W93" s="91"/>
      <c r="X93" s="1075"/>
      <c r="Y93" s="91"/>
      <c r="Z93" s="1065"/>
      <c r="AA93" s="91"/>
      <c r="AB93" s="187" t="str">
        <f t="shared" si="5"/>
        <v>2035 год</v>
      </c>
      <c r="AC93" s="962"/>
      <c r="AD93" s="964"/>
      <c r="AE93" s="965"/>
      <c r="AF93" s="965"/>
      <c r="AG93" s="964"/>
      <c r="AH93" s="964"/>
      <c r="AI93" s="964"/>
      <c r="AJ93" s="970"/>
      <c r="AK93" s="971"/>
      <c r="AL93" s="316"/>
      <c r="AM93" s="91"/>
      <c r="AN93" s="91"/>
      <c r="AO93" s="705" cm="1">
        <f t="array" ref="AO93">K93</f>
        <v>2035</v>
      </c>
      <c r="AP93" s="91"/>
      <c r="AQ93" s="91"/>
    </row>
    <row r="94" spans="1:43" s="967" customFormat="1" ht="14.25" hidden="1" customHeight="1">
      <c r="A94" s="91"/>
      <c r="B94" s="353" t="b">
        <f t="shared" si="4"/>
        <v>0</v>
      </c>
      <c r="C94" s="91"/>
      <c r="D94" s="91"/>
      <c r="E94" s="518">
        <v>15</v>
      </c>
      <c r="F94" s="3" t="str" cm="1">
        <f t="array" aca="1" ref="F94" ca="1">OFFSET(E94,-1,1)</f>
        <v>1</v>
      </c>
      <c r="G94" s="91"/>
      <c r="H94" s="91"/>
      <c r="I94" s="91"/>
      <c r="J94" s="91"/>
      <c r="K94" s="91">
        <f>first_year+12</f>
        <v>2036</v>
      </c>
      <c r="L94" s="91"/>
      <c r="M94" s="91"/>
      <c r="N94" s="91"/>
      <c r="O94" s="91"/>
      <c r="P94" s="91"/>
      <c r="Q94" s="91"/>
      <c r="R94" s="91"/>
      <c r="S94" s="91"/>
      <c r="T94" s="365" t="b" cm="1">
        <f t="array" ref="T94">T93</f>
        <v>1</v>
      </c>
      <c r="U94" s="91"/>
      <c r="V94" s="91"/>
      <c r="W94" s="91"/>
      <c r="X94" s="1075"/>
      <c r="Y94" s="91"/>
      <c r="Z94" s="1065"/>
      <c r="AA94" s="91"/>
      <c r="AB94" s="187" t="str">
        <f t="shared" si="5"/>
        <v>2036 год</v>
      </c>
      <c r="AC94" s="962"/>
      <c r="AD94" s="964"/>
      <c r="AE94" s="965"/>
      <c r="AF94" s="965"/>
      <c r="AG94" s="964"/>
      <c r="AH94" s="964"/>
      <c r="AI94" s="964"/>
      <c r="AJ94" s="970"/>
      <c r="AK94" s="971"/>
      <c r="AL94" s="316"/>
      <c r="AM94" s="91"/>
      <c r="AN94" s="91"/>
      <c r="AO94" s="705" cm="1">
        <f t="array" ref="AO94">K94</f>
        <v>2036</v>
      </c>
      <c r="AP94" s="91"/>
      <c r="AQ94" s="91"/>
    </row>
    <row r="95" spans="1:43" s="967" customFormat="1" ht="14.25" hidden="1" customHeight="1">
      <c r="A95" s="91"/>
      <c r="B95" s="353" t="b">
        <f t="shared" si="4"/>
        <v>0</v>
      </c>
      <c r="C95" s="91"/>
      <c r="D95" s="91"/>
      <c r="E95" s="518">
        <v>15</v>
      </c>
      <c r="F95" s="3" t="str" cm="1">
        <f t="array" aca="1" ref="F95" ca="1">OFFSET(E95,-1,1)</f>
        <v>1</v>
      </c>
      <c r="G95" s="91"/>
      <c r="H95" s="91"/>
      <c r="I95" s="91"/>
      <c r="J95" s="91"/>
      <c r="K95" s="91">
        <f>first_year+13</f>
        <v>2037</v>
      </c>
      <c r="L95" s="91"/>
      <c r="M95" s="91"/>
      <c r="N95" s="91"/>
      <c r="O95" s="91"/>
      <c r="P95" s="91"/>
      <c r="Q95" s="91"/>
      <c r="R95" s="91"/>
      <c r="S95" s="91"/>
      <c r="T95" s="365" t="b" cm="1">
        <f t="array" ref="T95">T94</f>
        <v>1</v>
      </c>
      <c r="U95" s="91"/>
      <c r="V95" s="91"/>
      <c r="W95" s="91"/>
      <c r="X95" s="1075"/>
      <c r="Y95" s="91"/>
      <c r="Z95" s="1065"/>
      <c r="AA95" s="91"/>
      <c r="AB95" s="187" t="str">
        <f t="shared" si="5"/>
        <v>2037 год</v>
      </c>
      <c r="AC95" s="962"/>
      <c r="AD95" s="964"/>
      <c r="AE95" s="965"/>
      <c r="AF95" s="965"/>
      <c r="AG95" s="964"/>
      <c r="AH95" s="964"/>
      <c r="AI95" s="964"/>
      <c r="AJ95" s="970"/>
      <c r="AK95" s="971"/>
      <c r="AL95" s="316"/>
      <c r="AM95" s="91"/>
      <c r="AN95" s="91"/>
      <c r="AO95" s="705" cm="1">
        <f t="array" ref="AO95">K95</f>
        <v>2037</v>
      </c>
      <c r="AP95" s="91"/>
      <c r="AQ95" s="91"/>
    </row>
    <row r="96" spans="1:43" s="967" customFormat="1" ht="14.25" hidden="1" customHeight="1">
      <c r="A96" s="91"/>
      <c r="B96" s="353" t="b">
        <f t="shared" si="4"/>
        <v>0</v>
      </c>
      <c r="C96" s="91"/>
      <c r="D96" s="91"/>
      <c r="E96" s="518">
        <v>15</v>
      </c>
      <c r="F96" s="3" t="str" cm="1">
        <f t="array" aca="1" ref="F96" ca="1">OFFSET(E96,-1,1)</f>
        <v>1</v>
      </c>
      <c r="G96" s="91"/>
      <c r="H96" s="91"/>
      <c r="I96" s="91"/>
      <c r="J96" s="91"/>
      <c r="K96" s="91">
        <f>first_year+14</f>
        <v>2038</v>
      </c>
      <c r="L96" s="91"/>
      <c r="M96" s="91"/>
      <c r="N96" s="91"/>
      <c r="O96" s="91"/>
      <c r="P96" s="91"/>
      <c r="Q96" s="91"/>
      <c r="R96" s="91"/>
      <c r="S96" s="91"/>
      <c r="T96" s="365" t="b" cm="1">
        <f t="array" ref="T96">T95</f>
        <v>1</v>
      </c>
      <c r="U96" s="91"/>
      <c r="V96" s="91"/>
      <c r="W96" s="91"/>
      <c r="X96" s="1075"/>
      <c r="Y96" s="91"/>
      <c r="Z96" s="1065"/>
      <c r="AA96" s="91"/>
      <c r="AB96" s="187" t="str">
        <f t="shared" si="5"/>
        <v>2038 год</v>
      </c>
      <c r="AC96" s="962"/>
      <c r="AD96" s="964"/>
      <c r="AE96" s="965"/>
      <c r="AF96" s="965"/>
      <c r="AG96" s="964"/>
      <c r="AH96" s="964"/>
      <c r="AI96" s="964"/>
      <c r="AJ96" s="970"/>
      <c r="AK96" s="971"/>
      <c r="AL96" s="316"/>
      <c r="AM96" s="91"/>
      <c r="AN96" s="91"/>
      <c r="AO96" s="705" cm="1">
        <f t="array" ref="AO96">K96</f>
        <v>2038</v>
      </c>
      <c r="AP96" s="91"/>
      <c r="AQ96" s="91"/>
    </row>
    <row r="97" spans="1:43" s="967" customFormat="1" ht="14.25" hidden="1" customHeight="1">
      <c r="A97" s="91"/>
      <c r="B97" s="353" t="b">
        <f t="shared" si="4"/>
        <v>0</v>
      </c>
      <c r="C97" s="91"/>
      <c r="D97" s="91"/>
      <c r="E97" s="518">
        <v>15</v>
      </c>
      <c r="F97" s="3" t="str" cm="1">
        <f t="array" aca="1" ref="F97" ca="1">OFFSET(E97,-1,1)</f>
        <v>1</v>
      </c>
      <c r="G97" s="91"/>
      <c r="H97" s="91"/>
      <c r="I97" s="91"/>
      <c r="J97" s="91"/>
      <c r="K97" s="91">
        <f>first_year+15</f>
        <v>2039</v>
      </c>
      <c r="L97" s="91"/>
      <c r="M97" s="91"/>
      <c r="N97" s="91"/>
      <c r="O97" s="91"/>
      <c r="P97" s="91"/>
      <c r="Q97" s="91"/>
      <c r="R97" s="91"/>
      <c r="S97" s="91"/>
      <c r="T97" s="365" t="b" cm="1">
        <f t="array" ref="T97">T96</f>
        <v>1</v>
      </c>
      <c r="U97" s="91"/>
      <c r="V97" s="91"/>
      <c r="W97" s="91"/>
      <c r="X97" s="1075"/>
      <c r="Y97" s="91"/>
      <c r="Z97" s="1065"/>
      <c r="AA97" s="91"/>
      <c r="AB97" s="187" t="str">
        <f t="shared" si="5"/>
        <v>2039 год</v>
      </c>
      <c r="AC97" s="962"/>
      <c r="AD97" s="964"/>
      <c r="AE97" s="965"/>
      <c r="AF97" s="965"/>
      <c r="AG97" s="964"/>
      <c r="AH97" s="964"/>
      <c r="AI97" s="964"/>
      <c r="AJ97" s="970"/>
      <c r="AK97" s="971"/>
      <c r="AL97" s="316"/>
      <c r="AM97" s="91"/>
      <c r="AN97" s="91"/>
      <c r="AO97" s="705" cm="1">
        <f t="array" ref="AO97">K97</f>
        <v>2039</v>
      </c>
      <c r="AP97" s="91"/>
      <c r="AQ97" s="91"/>
    </row>
    <row r="98" spans="1:43" s="967" customFormat="1" ht="14.25" hidden="1" customHeight="1">
      <c r="A98" s="91"/>
      <c r="B98" s="353" t="b">
        <f t="shared" si="4"/>
        <v>0</v>
      </c>
      <c r="C98" s="91"/>
      <c r="D98" s="91"/>
      <c r="E98" s="518">
        <v>15</v>
      </c>
      <c r="F98" s="3" t="str" cm="1">
        <f t="array" aca="1" ref="F98" ca="1">OFFSET(E98,-1,1)</f>
        <v>1</v>
      </c>
      <c r="G98" s="91"/>
      <c r="H98" s="91"/>
      <c r="I98" s="91"/>
      <c r="J98" s="91"/>
      <c r="K98" s="91">
        <f>first_year+16</f>
        <v>2040</v>
      </c>
      <c r="L98" s="91"/>
      <c r="M98" s="91"/>
      <c r="N98" s="91"/>
      <c r="O98" s="91"/>
      <c r="P98" s="91"/>
      <c r="Q98" s="91"/>
      <c r="R98" s="91"/>
      <c r="S98" s="91"/>
      <c r="T98" s="365" t="b" cm="1">
        <f t="array" ref="T98">T97</f>
        <v>1</v>
      </c>
      <c r="U98" s="91"/>
      <c r="V98" s="91"/>
      <c r="W98" s="91"/>
      <c r="X98" s="1075"/>
      <c r="Y98" s="91"/>
      <c r="Z98" s="1065"/>
      <c r="AA98" s="91"/>
      <c r="AB98" s="187" t="str">
        <f t="shared" si="5"/>
        <v>2040 год</v>
      </c>
      <c r="AC98" s="962"/>
      <c r="AD98" s="964"/>
      <c r="AE98" s="965"/>
      <c r="AF98" s="965"/>
      <c r="AG98" s="964"/>
      <c r="AH98" s="964"/>
      <c r="AI98" s="964"/>
      <c r="AJ98" s="970"/>
      <c r="AK98" s="971"/>
      <c r="AL98" s="316"/>
      <c r="AM98" s="91"/>
      <c r="AN98" s="91"/>
      <c r="AO98" s="705" cm="1">
        <f t="array" ref="AO98">K98</f>
        <v>2040</v>
      </c>
      <c r="AP98" s="91"/>
      <c r="AQ98" s="91"/>
    </row>
    <row r="99" spans="1:43" s="967" customFormat="1" ht="14.25" hidden="1" customHeight="1">
      <c r="A99" s="91"/>
      <c r="B99" s="353" t="b">
        <f t="shared" si="4"/>
        <v>0</v>
      </c>
      <c r="C99" s="91"/>
      <c r="D99" s="91"/>
      <c r="E99" s="518">
        <v>15</v>
      </c>
      <c r="F99" s="3" t="str" cm="1">
        <f t="array" aca="1" ref="F99" ca="1">OFFSET(E99,-1,1)</f>
        <v>1</v>
      </c>
      <c r="G99" s="91"/>
      <c r="H99" s="91"/>
      <c r="I99" s="91"/>
      <c r="J99" s="91"/>
      <c r="K99" s="91">
        <f>first_year+17</f>
        <v>2041</v>
      </c>
      <c r="L99" s="91"/>
      <c r="M99" s="91"/>
      <c r="N99" s="91"/>
      <c r="O99" s="91"/>
      <c r="P99" s="91"/>
      <c r="Q99" s="91"/>
      <c r="R99" s="91"/>
      <c r="S99" s="91"/>
      <c r="T99" s="365" t="b" cm="1">
        <f t="array" ref="T99">T98</f>
        <v>1</v>
      </c>
      <c r="U99" s="91"/>
      <c r="V99" s="91"/>
      <c r="W99" s="91"/>
      <c r="X99" s="1075"/>
      <c r="Y99" s="91"/>
      <c r="Z99" s="1065"/>
      <c r="AA99" s="91"/>
      <c r="AB99" s="187" t="str">
        <f t="shared" si="5"/>
        <v>2041 год</v>
      </c>
      <c r="AC99" s="962"/>
      <c r="AD99" s="964"/>
      <c r="AE99" s="965"/>
      <c r="AF99" s="965"/>
      <c r="AG99" s="964"/>
      <c r="AH99" s="964"/>
      <c r="AI99" s="964"/>
      <c r="AJ99" s="970"/>
      <c r="AK99" s="971"/>
      <c r="AL99" s="316"/>
      <c r="AM99" s="91"/>
      <c r="AN99" s="91"/>
      <c r="AO99" s="705" cm="1">
        <f t="array" ref="AO99">K99</f>
        <v>2041</v>
      </c>
      <c r="AP99" s="91"/>
      <c r="AQ99" s="91"/>
    </row>
    <row r="100" spans="1:43" s="967" customFormat="1" ht="14.25" hidden="1" customHeight="1">
      <c r="A100" s="91"/>
      <c r="B100" s="353" t="b">
        <f t="shared" si="4"/>
        <v>0</v>
      </c>
      <c r="C100" s="91"/>
      <c r="D100" s="91"/>
      <c r="E100" s="518">
        <v>15</v>
      </c>
      <c r="F100" s="3" t="str" cm="1">
        <f t="array" aca="1" ref="F100" ca="1">OFFSET(E100,-1,1)</f>
        <v>1</v>
      </c>
      <c r="G100" s="91"/>
      <c r="H100" s="91"/>
      <c r="I100" s="91"/>
      <c r="J100" s="91"/>
      <c r="K100" s="91">
        <f>first_year+18</f>
        <v>2042</v>
      </c>
      <c r="L100" s="91"/>
      <c r="M100" s="91"/>
      <c r="N100" s="91"/>
      <c r="O100" s="91"/>
      <c r="P100" s="91"/>
      <c r="Q100" s="91"/>
      <c r="R100" s="91"/>
      <c r="S100" s="91"/>
      <c r="T100" s="365" t="b" cm="1">
        <f t="array" ref="T100">T99</f>
        <v>1</v>
      </c>
      <c r="U100" s="91"/>
      <c r="V100" s="91"/>
      <c r="W100" s="91"/>
      <c r="X100" s="1075"/>
      <c r="Y100" s="91"/>
      <c r="Z100" s="1065"/>
      <c r="AA100" s="91"/>
      <c r="AB100" s="187" t="str">
        <f t="shared" si="5"/>
        <v>2042 год</v>
      </c>
      <c r="AC100" s="962"/>
      <c r="AD100" s="964"/>
      <c r="AE100" s="965"/>
      <c r="AF100" s="965"/>
      <c r="AG100" s="964"/>
      <c r="AH100" s="964"/>
      <c r="AI100" s="964"/>
      <c r="AJ100" s="970"/>
      <c r="AK100" s="971"/>
      <c r="AL100" s="316"/>
      <c r="AM100" s="91"/>
      <c r="AN100" s="91"/>
      <c r="AO100" s="705" cm="1">
        <f t="array" ref="AO100">K100</f>
        <v>2042</v>
      </c>
      <c r="AP100" s="91"/>
      <c r="AQ100" s="91"/>
    </row>
    <row r="101" spans="1:43" s="967" customFormat="1" ht="14.25" hidden="1" customHeight="1">
      <c r="A101" s="91"/>
      <c r="B101" s="353" t="b">
        <f t="shared" si="4"/>
        <v>0</v>
      </c>
      <c r="C101" s="91"/>
      <c r="D101" s="91"/>
      <c r="E101" s="518">
        <v>15</v>
      </c>
      <c r="F101" s="3" t="str" cm="1">
        <f t="array" aca="1" ref="F101" ca="1">OFFSET(E101,-1,1)</f>
        <v>1</v>
      </c>
      <c r="G101" s="91"/>
      <c r="H101" s="91"/>
      <c r="I101" s="91"/>
      <c r="J101" s="91"/>
      <c r="K101" s="91">
        <f>first_year+19</f>
        <v>2043</v>
      </c>
      <c r="L101" s="91"/>
      <c r="M101" s="91"/>
      <c r="N101" s="91"/>
      <c r="O101" s="91"/>
      <c r="P101" s="91"/>
      <c r="Q101" s="91"/>
      <c r="R101" s="91"/>
      <c r="S101" s="91"/>
      <c r="T101" s="365" t="b" cm="1">
        <f t="array" ref="T101">T100</f>
        <v>1</v>
      </c>
      <c r="U101" s="91"/>
      <c r="V101" s="91"/>
      <c r="W101" s="91"/>
      <c r="X101" s="1075"/>
      <c r="Y101" s="91"/>
      <c r="Z101" s="1065"/>
      <c r="AA101" s="91"/>
      <c r="AB101" s="187" t="str">
        <f t="shared" si="5"/>
        <v>2043 год</v>
      </c>
      <c r="AC101" s="962"/>
      <c r="AD101" s="964"/>
      <c r="AE101" s="965"/>
      <c r="AF101" s="965"/>
      <c r="AG101" s="964"/>
      <c r="AH101" s="964"/>
      <c r="AI101" s="964"/>
      <c r="AJ101" s="970"/>
      <c r="AK101" s="971"/>
      <c r="AL101" s="316"/>
      <c r="AM101" s="91"/>
      <c r="AN101" s="91"/>
      <c r="AO101" s="705" cm="1">
        <f t="array" ref="AO101">K101</f>
        <v>2043</v>
      </c>
      <c r="AP101" s="91"/>
      <c r="AQ101" s="91"/>
    </row>
    <row r="102" spans="1:43" s="967" customFormat="1" ht="14.25" hidden="1" customHeight="1">
      <c r="A102" s="91"/>
      <c r="B102" s="353" t="b">
        <f t="shared" si="4"/>
        <v>0</v>
      </c>
      <c r="C102" s="91"/>
      <c r="D102" s="91"/>
      <c r="E102" s="518">
        <v>15</v>
      </c>
      <c r="F102" s="3" t="str" cm="1">
        <f t="array" aca="1" ref="F102" ca="1">OFFSET(E102,-1,1)</f>
        <v>1</v>
      </c>
      <c r="G102" s="91"/>
      <c r="H102" s="91"/>
      <c r="I102" s="91"/>
      <c r="J102" s="91"/>
      <c r="K102" s="91">
        <f>first_year+20</f>
        <v>2044</v>
      </c>
      <c r="L102" s="91"/>
      <c r="M102" s="91"/>
      <c r="N102" s="91"/>
      <c r="O102" s="91"/>
      <c r="P102" s="91"/>
      <c r="Q102" s="91"/>
      <c r="R102" s="91"/>
      <c r="S102" s="91"/>
      <c r="T102" s="365" t="b" cm="1">
        <f t="array" ref="T102">T101</f>
        <v>1</v>
      </c>
      <c r="U102" s="91"/>
      <c r="V102" s="91"/>
      <c r="W102" s="91"/>
      <c r="X102" s="1075"/>
      <c r="Y102" s="91"/>
      <c r="Z102" s="1065"/>
      <c r="AA102" s="91"/>
      <c r="AB102" s="187" t="str">
        <f t="shared" si="5"/>
        <v>2044 год</v>
      </c>
      <c r="AC102" s="962"/>
      <c r="AD102" s="964"/>
      <c r="AE102" s="965"/>
      <c r="AF102" s="965"/>
      <c r="AG102" s="964"/>
      <c r="AH102" s="964"/>
      <c r="AI102" s="964"/>
      <c r="AJ102" s="970"/>
      <c r="AK102" s="971"/>
      <c r="AL102" s="316"/>
      <c r="AM102" s="91"/>
      <c r="AN102" s="91"/>
      <c r="AO102" s="705" cm="1">
        <f t="array" ref="AO102">K102</f>
        <v>2044</v>
      </c>
      <c r="AP102" s="91"/>
      <c r="AQ102" s="91"/>
    </row>
    <row r="103" spans="1:43" s="967" customFormat="1" ht="14.25" hidden="1" customHeight="1">
      <c r="A103" s="91"/>
      <c r="B103" s="353" t="b">
        <f t="shared" si="4"/>
        <v>0</v>
      </c>
      <c r="C103" s="91"/>
      <c r="D103" s="91"/>
      <c r="E103" s="518">
        <v>15</v>
      </c>
      <c r="F103" s="3" t="str" cm="1">
        <f t="array" aca="1" ref="F103" ca="1">OFFSET(E103,-1,1)</f>
        <v>1</v>
      </c>
      <c r="G103" s="91"/>
      <c r="H103" s="91"/>
      <c r="I103" s="91"/>
      <c r="J103" s="91"/>
      <c r="K103" s="91">
        <f>first_year+21</f>
        <v>2045</v>
      </c>
      <c r="L103" s="91"/>
      <c r="M103" s="91"/>
      <c r="N103" s="91"/>
      <c r="O103" s="91"/>
      <c r="P103" s="91"/>
      <c r="Q103" s="91"/>
      <c r="R103" s="91"/>
      <c r="S103" s="91"/>
      <c r="T103" s="365" t="b" cm="1">
        <f t="array" ref="T103">T102</f>
        <v>1</v>
      </c>
      <c r="U103" s="91"/>
      <c r="V103" s="91"/>
      <c r="W103" s="91"/>
      <c r="X103" s="1075"/>
      <c r="Y103" s="91"/>
      <c r="Z103" s="1065"/>
      <c r="AA103" s="91"/>
      <c r="AB103" s="187" t="str">
        <f t="shared" si="5"/>
        <v>2045 год</v>
      </c>
      <c r="AC103" s="962"/>
      <c r="AD103" s="964"/>
      <c r="AE103" s="965"/>
      <c r="AF103" s="965"/>
      <c r="AG103" s="964"/>
      <c r="AH103" s="964"/>
      <c r="AI103" s="964"/>
      <c r="AJ103" s="970"/>
      <c r="AK103" s="971"/>
      <c r="AL103" s="316"/>
      <c r="AM103" s="91"/>
      <c r="AN103" s="91"/>
      <c r="AO103" s="705" cm="1">
        <f t="array" ref="AO103">K103</f>
        <v>2045</v>
      </c>
      <c r="AP103" s="91"/>
      <c r="AQ103" s="91"/>
    </row>
    <row r="104" spans="1:43" s="967" customFormat="1" ht="14.25" hidden="1" customHeight="1">
      <c r="A104" s="91"/>
      <c r="B104" s="353" t="b">
        <f t="shared" si="4"/>
        <v>0</v>
      </c>
      <c r="C104" s="91"/>
      <c r="D104" s="91"/>
      <c r="E104" s="518">
        <v>15</v>
      </c>
      <c r="F104" s="3" t="str" cm="1">
        <f t="array" aca="1" ref="F104" ca="1">OFFSET(E104,-1,1)</f>
        <v>1</v>
      </c>
      <c r="G104" s="91"/>
      <c r="H104" s="91"/>
      <c r="I104" s="91"/>
      <c r="J104" s="91"/>
      <c r="K104" s="91">
        <f>first_year+22</f>
        <v>2046</v>
      </c>
      <c r="L104" s="91"/>
      <c r="M104" s="91"/>
      <c r="N104" s="91"/>
      <c r="O104" s="91"/>
      <c r="P104" s="91"/>
      <c r="Q104" s="91"/>
      <c r="R104" s="91"/>
      <c r="S104" s="91"/>
      <c r="T104" s="365" t="b" cm="1">
        <f t="array" ref="T104">T103</f>
        <v>1</v>
      </c>
      <c r="U104" s="91"/>
      <c r="V104" s="91"/>
      <c r="W104" s="91"/>
      <c r="X104" s="1075"/>
      <c r="Y104" s="91"/>
      <c r="Z104" s="1065"/>
      <c r="AA104" s="91"/>
      <c r="AB104" s="187" t="str">
        <f t="shared" si="5"/>
        <v>2046 год</v>
      </c>
      <c r="AC104" s="962"/>
      <c r="AD104" s="964"/>
      <c r="AE104" s="965"/>
      <c r="AF104" s="965"/>
      <c r="AG104" s="964"/>
      <c r="AH104" s="964"/>
      <c r="AI104" s="964"/>
      <c r="AJ104" s="970"/>
      <c r="AK104" s="971"/>
      <c r="AL104" s="316"/>
      <c r="AM104" s="91"/>
      <c r="AN104" s="91"/>
      <c r="AO104" s="705" cm="1">
        <f t="array" ref="AO104">K104</f>
        <v>2046</v>
      </c>
      <c r="AP104" s="91"/>
      <c r="AQ104" s="91"/>
    </row>
    <row r="105" spans="1:43" s="967" customFormat="1" ht="14.25" hidden="1" customHeight="1">
      <c r="A105" s="91"/>
      <c r="B105" s="353" t="b">
        <f t="shared" si="4"/>
        <v>0</v>
      </c>
      <c r="C105" s="91"/>
      <c r="D105" s="91"/>
      <c r="E105" s="518">
        <v>15</v>
      </c>
      <c r="F105" s="3" t="str" cm="1">
        <f t="array" aca="1" ref="F105" ca="1">OFFSET(E105,-1,1)</f>
        <v>1</v>
      </c>
      <c r="G105" s="91"/>
      <c r="H105" s="91"/>
      <c r="I105" s="91"/>
      <c r="J105" s="91"/>
      <c r="K105" s="91">
        <f>first_year+23</f>
        <v>2047</v>
      </c>
      <c r="L105" s="91"/>
      <c r="M105" s="91"/>
      <c r="N105" s="91"/>
      <c r="O105" s="91"/>
      <c r="P105" s="91"/>
      <c r="Q105" s="91"/>
      <c r="R105" s="91"/>
      <c r="S105" s="91"/>
      <c r="T105" s="365" t="b" cm="1">
        <f t="array" ref="T105">T104</f>
        <v>1</v>
      </c>
      <c r="U105" s="91"/>
      <c r="V105" s="91"/>
      <c r="W105" s="91"/>
      <c r="X105" s="1075"/>
      <c r="Y105" s="91"/>
      <c r="Z105" s="1065"/>
      <c r="AA105" s="91"/>
      <c r="AB105" s="187" t="str">
        <f t="shared" si="5"/>
        <v>2047 год</v>
      </c>
      <c r="AC105" s="962"/>
      <c r="AD105" s="964"/>
      <c r="AE105" s="965"/>
      <c r="AF105" s="965"/>
      <c r="AG105" s="964"/>
      <c r="AH105" s="964"/>
      <c r="AI105" s="964"/>
      <c r="AJ105" s="970"/>
      <c r="AK105" s="971"/>
      <c r="AL105" s="316"/>
      <c r="AM105" s="91"/>
      <c r="AN105" s="91"/>
      <c r="AO105" s="705" cm="1">
        <f t="array" ref="AO105">K105</f>
        <v>2047</v>
      </c>
      <c r="AP105" s="91"/>
      <c r="AQ105" s="91"/>
    </row>
    <row r="106" spans="1:43" s="967" customFormat="1" ht="14.25" hidden="1" customHeight="1">
      <c r="A106" s="91"/>
      <c r="B106" s="353" t="b">
        <f t="shared" si="4"/>
        <v>0</v>
      </c>
      <c r="C106" s="91"/>
      <c r="D106" s="91"/>
      <c r="E106" s="518">
        <v>15</v>
      </c>
      <c r="F106" s="3" t="str" cm="1">
        <f t="array" aca="1" ref="F106" ca="1">OFFSET(E106,-1,1)</f>
        <v>1</v>
      </c>
      <c r="G106" s="91"/>
      <c r="H106" s="91"/>
      <c r="I106" s="91"/>
      <c r="J106" s="91"/>
      <c r="K106" s="91">
        <f>first_year+24</f>
        <v>2048</v>
      </c>
      <c r="L106" s="91"/>
      <c r="M106" s="91"/>
      <c r="N106" s="91"/>
      <c r="O106" s="91"/>
      <c r="P106" s="91"/>
      <c r="Q106" s="91"/>
      <c r="R106" s="91"/>
      <c r="S106" s="91"/>
      <c r="T106" s="365" t="b" cm="1">
        <f t="array" ref="T106">T105</f>
        <v>1</v>
      </c>
      <c r="U106" s="91"/>
      <c r="V106" s="91"/>
      <c r="W106" s="91"/>
      <c r="X106" s="1075"/>
      <c r="Y106" s="91"/>
      <c r="Z106" s="1065"/>
      <c r="AA106" s="91"/>
      <c r="AB106" s="187" t="str">
        <f t="shared" si="5"/>
        <v>2048 год</v>
      </c>
      <c r="AC106" s="962"/>
      <c r="AD106" s="964"/>
      <c r="AE106" s="965"/>
      <c r="AF106" s="965"/>
      <c r="AG106" s="964"/>
      <c r="AH106" s="964"/>
      <c r="AI106" s="964"/>
      <c r="AJ106" s="970"/>
      <c r="AK106" s="971"/>
      <c r="AL106" s="316"/>
      <c r="AM106" s="91"/>
      <c r="AN106" s="91"/>
      <c r="AO106" s="705" cm="1">
        <f t="array" ref="AO106">K106</f>
        <v>2048</v>
      </c>
      <c r="AP106" s="91"/>
      <c r="AQ106" s="91"/>
    </row>
    <row r="107" spans="1:43" s="967" customFormat="1" ht="14.25" hidden="1" customHeight="1">
      <c r="A107" s="91"/>
      <c r="B107" s="353" t="b">
        <f t="shared" si="4"/>
        <v>0</v>
      </c>
      <c r="C107" s="91"/>
      <c r="D107" s="91"/>
      <c r="E107" s="518">
        <v>15</v>
      </c>
      <c r="F107" s="3" t="str" cm="1">
        <f t="array" aca="1" ref="F107" ca="1">OFFSET(E107,-1,1)</f>
        <v>1</v>
      </c>
      <c r="G107" s="91"/>
      <c r="H107" s="91"/>
      <c r="I107" s="91"/>
      <c r="J107" s="91"/>
      <c r="K107" s="91">
        <f>first_year+25</f>
        <v>2049</v>
      </c>
      <c r="L107" s="91"/>
      <c r="M107" s="91"/>
      <c r="N107" s="91"/>
      <c r="O107" s="91"/>
      <c r="P107" s="91"/>
      <c r="Q107" s="91"/>
      <c r="R107" s="91"/>
      <c r="S107" s="91"/>
      <c r="T107" s="365" t="b" cm="1">
        <f t="array" ref="T107">T106</f>
        <v>1</v>
      </c>
      <c r="U107" s="91"/>
      <c r="V107" s="91"/>
      <c r="W107" s="91"/>
      <c r="X107" s="1075"/>
      <c r="Y107" s="91"/>
      <c r="Z107" s="1065"/>
      <c r="AA107" s="91"/>
      <c r="AB107" s="187" t="str">
        <f t="shared" si="5"/>
        <v>2049 год</v>
      </c>
      <c r="AC107" s="962"/>
      <c r="AD107" s="964"/>
      <c r="AE107" s="965"/>
      <c r="AF107" s="965"/>
      <c r="AG107" s="964"/>
      <c r="AH107" s="964"/>
      <c r="AI107" s="964"/>
      <c r="AJ107" s="970"/>
      <c r="AK107" s="971"/>
      <c r="AL107" s="316"/>
      <c r="AM107" s="91"/>
      <c r="AN107" s="91"/>
      <c r="AO107" s="705" cm="1">
        <f t="array" ref="AO107">K107</f>
        <v>2049</v>
      </c>
      <c r="AP107" s="91"/>
      <c r="AQ107" s="91"/>
    </row>
    <row r="108" spans="1:43" s="967" customFormat="1" ht="14.25" hidden="1" customHeight="1">
      <c r="A108" s="91"/>
      <c r="B108" s="353" t="b">
        <f t="shared" si="4"/>
        <v>0</v>
      </c>
      <c r="C108" s="91"/>
      <c r="D108" s="91"/>
      <c r="E108" s="518">
        <v>15</v>
      </c>
      <c r="F108" s="3" t="str" cm="1">
        <f t="array" aca="1" ref="F108" ca="1">OFFSET(E108,-1,1)</f>
        <v>1</v>
      </c>
      <c r="G108" s="91"/>
      <c r="H108" s="91"/>
      <c r="I108" s="91"/>
      <c r="J108" s="91"/>
      <c r="K108" s="91">
        <f>first_year+26</f>
        <v>2050</v>
      </c>
      <c r="L108" s="91"/>
      <c r="M108" s="91"/>
      <c r="N108" s="91"/>
      <c r="O108" s="91"/>
      <c r="P108" s="91"/>
      <c r="Q108" s="91"/>
      <c r="R108" s="91"/>
      <c r="S108" s="91"/>
      <c r="T108" s="365" t="b" cm="1">
        <f t="array" ref="T108">T107</f>
        <v>1</v>
      </c>
      <c r="U108" s="91"/>
      <c r="V108" s="91"/>
      <c r="W108" s="91"/>
      <c r="X108" s="1075"/>
      <c r="Y108" s="91"/>
      <c r="Z108" s="1065"/>
      <c r="AA108" s="91"/>
      <c r="AB108" s="187" t="str">
        <f t="shared" si="5"/>
        <v>2050 год</v>
      </c>
      <c r="AC108" s="962"/>
      <c r="AD108" s="964"/>
      <c r="AE108" s="965"/>
      <c r="AF108" s="965"/>
      <c r="AG108" s="964"/>
      <c r="AH108" s="964"/>
      <c r="AI108" s="964"/>
      <c r="AJ108" s="970"/>
      <c r="AK108" s="971"/>
      <c r="AL108" s="316"/>
      <c r="AM108" s="91"/>
      <c r="AN108" s="91"/>
      <c r="AO108" s="705" cm="1">
        <f t="array" ref="AO108">K108</f>
        <v>2050</v>
      </c>
      <c r="AP108" s="91"/>
      <c r="AQ108" s="91"/>
    </row>
    <row r="109" spans="1:43" s="967" customFormat="1" ht="14.25" hidden="1" customHeight="1">
      <c r="A109" s="91"/>
      <c r="B109" s="353" t="b">
        <f t="shared" si="4"/>
        <v>0</v>
      </c>
      <c r="C109" s="91"/>
      <c r="D109" s="91"/>
      <c r="E109" s="518">
        <v>15</v>
      </c>
      <c r="F109" s="3" t="str" cm="1">
        <f t="array" aca="1" ref="F109" ca="1">OFFSET(E109,-1,1)</f>
        <v>1</v>
      </c>
      <c r="G109" s="91"/>
      <c r="H109" s="91"/>
      <c r="I109" s="91"/>
      <c r="J109" s="91"/>
      <c r="K109" s="91">
        <f>first_year+27</f>
        <v>2051</v>
      </c>
      <c r="L109" s="91"/>
      <c r="M109" s="91"/>
      <c r="N109" s="91"/>
      <c r="O109" s="91"/>
      <c r="P109" s="91"/>
      <c r="Q109" s="91"/>
      <c r="R109" s="91"/>
      <c r="S109" s="91"/>
      <c r="T109" s="365" t="b" cm="1">
        <f t="array" ref="T109">T108</f>
        <v>1</v>
      </c>
      <c r="U109" s="91"/>
      <c r="V109" s="91"/>
      <c r="W109" s="91"/>
      <c r="X109" s="1075"/>
      <c r="Y109" s="91"/>
      <c r="Z109" s="1065"/>
      <c r="AA109" s="91"/>
      <c r="AB109" s="187" t="str">
        <f t="shared" si="5"/>
        <v>2051 год</v>
      </c>
      <c r="AC109" s="962"/>
      <c r="AD109" s="964"/>
      <c r="AE109" s="965"/>
      <c r="AF109" s="965"/>
      <c r="AG109" s="964"/>
      <c r="AH109" s="964"/>
      <c r="AI109" s="964"/>
      <c r="AJ109" s="970"/>
      <c r="AK109" s="971"/>
      <c r="AL109" s="316"/>
      <c r="AM109" s="91"/>
      <c r="AN109" s="91"/>
      <c r="AO109" s="705" cm="1">
        <f t="array" ref="AO109">K109</f>
        <v>2051</v>
      </c>
      <c r="AP109" s="91"/>
      <c r="AQ109" s="91"/>
    </row>
    <row r="110" spans="1:43" s="967" customFormat="1" ht="14.25" hidden="1" customHeight="1">
      <c r="A110" s="91"/>
      <c r="B110" s="353" t="b">
        <f t="shared" si="4"/>
        <v>0</v>
      </c>
      <c r="C110" s="91"/>
      <c r="D110" s="91"/>
      <c r="E110" s="518">
        <v>15</v>
      </c>
      <c r="F110" s="3" t="str" cm="1">
        <f t="array" aca="1" ref="F110" ca="1">OFFSET(E110,-1,1)</f>
        <v>1</v>
      </c>
      <c r="G110" s="91"/>
      <c r="H110" s="91"/>
      <c r="I110" s="91"/>
      <c r="J110" s="91"/>
      <c r="K110" s="91">
        <f>first_year+28</f>
        <v>2052</v>
      </c>
      <c r="L110" s="91"/>
      <c r="M110" s="91"/>
      <c r="N110" s="91"/>
      <c r="O110" s="91"/>
      <c r="P110" s="91"/>
      <c r="Q110" s="91"/>
      <c r="R110" s="91"/>
      <c r="S110" s="91"/>
      <c r="T110" s="365" t="b" cm="1">
        <f t="array" ref="T110">T109</f>
        <v>1</v>
      </c>
      <c r="U110" s="91"/>
      <c r="V110" s="91"/>
      <c r="W110" s="91"/>
      <c r="X110" s="1075"/>
      <c r="Y110" s="91"/>
      <c r="Z110" s="1065"/>
      <c r="AA110" s="91"/>
      <c r="AB110" s="187" t="str">
        <f t="shared" si="5"/>
        <v>2052 год</v>
      </c>
      <c r="AC110" s="962"/>
      <c r="AD110" s="964"/>
      <c r="AE110" s="965"/>
      <c r="AF110" s="965"/>
      <c r="AG110" s="964"/>
      <c r="AH110" s="964"/>
      <c r="AI110" s="964"/>
      <c r="AJ110" s="970"/>
      <c r="AK110" s="971"/>
      <c r="AL110" s="316"/>
      <c r="AM110" s="91"/>
      <c r="AN110" s="91"/>
      <c r="AO110" s="705" cm="1">
        <f t="array" ref="AO110">K110</f>
        <v>2052</v>
      </c>
      <c r="AP110" s="91"/>
      <c r="AQ110" s="91"/>
    </row>
    <row r="111" spans="1:43" s="967" customFormat="1" ht="14.25" hidden="1" customHeight="1">
      <c r="A111" s="91"/>
      <c r="B111" s="353" t="b">
        <f t="shared" si="4"/>
        <v>0</v>
      </c>
      <c r="C111" s="91"/>
      <c r="D111" s="91"/>
      <c r="E111" s="518">
        <v>15</v>
      </c>
      <c r="F111" s="3" t="str" cm="1">
        <f t="array" aca="1" ref="F111" ca="1">OFFSET(E111,-1,1)</f>
        <v>1</v>
      </c>
      <c r="G111" s="91"/>
      <c r="H111" s="91"/>
      <c r="I111" s="91"/>
      <c r="J111" s="91"/>
      <c r="K111" s="91">
        <f>first_year+29</f>
        <v>2053</v>
      </c>
      <c r="L111" s="91"/>
      <c r="M111" s="91"/>
      <c r="N111" s="91"/>
      <c r="O111" s="91"/>
      <c r="P111" s="91"/>
      <c r="Q111" s="91"/>
      <c r="R111" s="91"/>
      <c r="S111" s="91"/>
      <c r="T111" s="365" t="b" cm="1">
        <f t="array" ref="T111">T110</f>
        <v>1</v>
      </c>
      <c r="U111" s="91"/>
      <c r="V111" s="91"/>
      <c r="W111" s="91"/>
      <c r="X111" s="1075"/>
      <c r="Y111" s="91"/>
      <c r="Z111" s="1065"/>
      <c r="AA111" s="91"/>
      <c r="AB111" s="187" t="str">
        <f t="shared" si="5"/>
        <v>2053 год</v>
      </c>
      <c r="AC111" s="962"/>
      <c r="AD111" s="964"/>
      <c r="AE111" s="965"/>
      <c r="AF111" s="965"/>
      <c r="AG111" s="964"/>
      <c r="AH111" s="964"/>
      <c r="AI111" s="964"/>
      <c r="AJ111" s="970"/>
      <c r="AK111" s="971"/>
      <c r="AL111" s="316"/>
      <c r="AM111" s="91"/>
      <c r="AN111" s="91"/>
      <c r="AO111" s="705" cm="1">
        <f t="array" ref="AO111">K111</f>
        <v>2053</v>
      </c>
      <c r="AP111" s="91"/>
      <c r="AQ111" s="91"/>
    </row>
    <row r="112" spans="1:43" s="967" customFormat="1" ht="14.25" hidden="1" customHeight="1">
      <c r="A112" s="91"/>
      <c r="B112" s="353" t="b">
        <f t="shared" si="4"/>
        <v>0</v>
      </c>
      <c r="C112" s="91"/>
      <c r="D112" s="91"/>
      <c r="E112" s="518">
        <v>15</v>
      </c>
      <c r="F112" s="3" t="str" cm="1">
        <f t="array" aca="1" ref="F112" ca="1">OFFSET(E112,-1,1)</f>
        <v>1</v>
      </c>
      <c r="G112" s="91"/>
      <c r="H112" s="91"/>
      <c r="I112" s="91"/>
      <c r="J112" s="91"/>
      <c r="K112" s="91">
        <f>first_year+30</f>
        <v>2054</v>
      </c>
      <c r="L112" s="91"/>
      <c r="M112" s="91"/>
      <c r="N112" s="91"/>
      <c r="O112" s="91"/>
      <c r="P112" s="91"/>
      <c r="Q112" s="91"/>
      <c r="R112" s="91"/>
      <c r="S112" s="91"/>
      <c r="T112" s="365" t="b" cm="1">
        <f t="array" ref="T112">T111</f>
        <v>1</v>
      </c>
      <c r="U112" s="91"/>
      <c r="V112" s="91"/>
      <c r="W112" s="91"/>
      <c r="X112" s="1075"/>
      <c r="Y112" s="91"/>
      <c r="Z112" s="1065"/>
      <c r="AA112" s="91"/>
      <c r="AB112" s="187" t="str">
        <f t="shared" si="5"/>
        <v>2054 год</v>
      </c>
      <c r="AC112" s="962"/>
      <c r="AD112" s="964"/>
      <c r="AE112" s="965"/>
      <c r="AF112" s="965"/>
      <c r="AG112" s="964"/>
      <c r="AH112" s="964"/>
      <c r="AI112" s="964"/>
      <c r="AJ112" s="970"/>
      <c r="AK112" s="971"/>
      <c r="AL112" s="316"/>
      <c r="AM112" s="91"/>
      <c r="AN112" s="91"/>
      <c r="AO112" s="705" cm="1">
        <f t="array" ref="AO112">K112</f>
        <v>2054</v>
      </c>
      <c r="AP112" s="91"/>
      <c r="AQ112" s="91"/>
    </row>
    <row r="113" spans="1:43" s="967" customFormat="1" ht="14.25" hidden="1" customHeight="1">
      <c r="A113" s="91"/>
      <c r="B113" s="353" t="b">
        <f t="shared" si="4"/>
        <v>0</v>
      </c>
      <c r="C113" s="91"/>
      <c r="D113" s="91"/>
      <c r="E113" s="518">
        <v>15</v>
      </c>
      <c r="F113" s="3" t="str" cm="1">
        <f t="array" aca="1" ref="F113" ca="1">OFFSET(E113,-1,1)</f>
        <v>1</v>
      </c>
      <c r="G113" s="91"/>
      <c r="H113" s="91"/>
      <c r="I113" s="91"/>
      <c r="J113" s="91"/>
      <c r="K113" s="91">
        <f>first_year+31</f>
        <v>2055</v>
      </c>
      <c r="L113" s="91"/>
      <c r="M113" s="91"/>
      <c r="N113" s="91"/>
      <c r="O113" s="91"/>
      <c r="P113" s="91"/>
      <c r="Q113" s="91"/>
      <c r="R113" s="91"/>
      <c r="S113" s="91"/>
      <c r="T113" s="365" t="b" cm="1">
        <f t="array" ref="T113">T112</f>
        <v>1</v>
      </c>
      <c r="U113" s="91"/>
      <c r="V113" s="91"/>
      <c r="W113" s="91"/>
      <c r="X113" s="1075"/>
      <c r="Y113" s="91"/>
      <c r="Z113" s="1065"/>
      <c r="AA113" s="91"/>
      <c r="AB113" s="187" t="str">
        <f t="shared" si="5"/>
        <v>2055 год</v>
      </c>
      <c r="AC113" s="962"/>
      <c r="AD113" s="964"/>
      <c r="AE113" s="965"/>
      <c r="AF113" s="965"/>
      <c r="AG113" s="964"/>
      <c r="AH113" s="964"/>
      <c r="AI113" s="964"/>
      <c r="AJ113" s="970"/>
      <c r="AK113" s="971"/>
      <c r="AL113" s="316"/>
      <c r="AM113" s="91"/>
      <c r="AN113" s="91"/>
      <c r="AO113" s="705" cm="1">
        <f t="array" ref="AO113">K113</f>
        <v>2055</v>
      </c>
      <c r="AP113" s="91"/>
      <c r="AQ113" s="91"/>
    </row>
    <row r="114" spans="1:43" s="967" customFormat="1" ht="14.25" hidden="1" customHeight="1">
      <c r="A114" s="91"/>
      <c r="B114" s="353" t="b">
        <f t="shared" ref="B114:B131" si="6">K114&lt;first_year+PERIOD_LENGTH</f>
        <v>0</v>
      </c>
      <c r="C114" s="91"/>
      <c r="D114" s="91"/>
      <c r="E114" s="518">
        <v>15</v>
      </c>
      <c r="F114" s="3" t="str" cm="1">
        <f t="array" aca="1" ref="F114" ca="1">OFFSET(E114,-1,1)</f>
        <v>1</v>
      </c>
      <c r="G114" s="91"/>
      <c r="H114" s="91"/>
      <c r="I114" s="91"/>
      <c r="J114" s="91"/>
      <c r="K114" s="91">
        <f>first_year+32</f>
        <v>2056</v>
      </c>
      <c r="L114" s="91"/>
      <c r="M114" s="91"/>
      <c r="N114" s="91"/>
      <c r="O114" s="91"/>
      <c r="P114" s="91"/>
      <c r="Q114" s="91"/>
      <c r="R114" s="91"/>
      <c r="S114" s="91"/>
      <c r="T114" s="365" t="b" cm="1">
        <f t="array" ref="T114">T113</f>
        <v>1</v>
      </c>
      <c r="U114" s="91"/>
      <c r="V114" s="91"/>
      <c r="W114" s="91"/>
      <c r="X114" s="1075"/>
      <c r="Y114" s="91"/>
      <c r="Z114" s="1065"/>
      <c r="AA114" s="91"/>
      <c r="AB114" s="187" t="str">
        <f t="shared" ref="AB114:AB131" si="7">K114&amp;" год"</f>
        <v>2056 год</v>
      </c>
      <c r="AC114" s="962"/>
      <c r="AD114" s="964"/>
      <c r="AE114" s="965"/>
      <c r="AF114" s="965"/>
      <c r="AG114" s="964"/>
      <c r="AH114" s="964"/>
      <c r="AI114" s="964"/>
      <c r="AJ114" s="970"/>
      <c r="AK114" s="971"/>
      <c r="AL114" s="316"/>
      <c r="AM114" s="91"/>
      <c r="AN114" s="91"/>
      <c r="AO114" s="705" cm="1">
        <f t="array" ref="AO114">K114</f>
        <v>2056</v>
      </c>
      <c r="AP114" s="91"/>
      <c r="AQ114" s="91"/>
    </row>
    <row r="115" spans="1:43" s="967" customFormat="1" ht="14.25" hidden="1" customHeight="1">
      <c r="A115" s="91"/>
      <c r="B115" s="353" t="b">
        <f t="shared" si="6"/>
        <v>0</v>
      </c>
      <c r="C115" s="91"/>
      <c r="D115" s="91"/>
      <c r="E115" s="518">
        <v>15</v>
      </c>
      <c r="F115" s="3" t="str" cm="1">
        <f t="array" aca="1" ref="F115" ca="1">OFFSET(E115,-1,1)</f>
        <v>1</v>
      </c>
      <c r="G115" s="91"/>
      <c r="H115" s="91"/>
      <c r="I115" s="91"/>
      <c r="J115" s="91"/>
      <c r="K115" s="91">
        <f>first_year+33</f>
        <v>2057</v>
      </c>
      <c r="L115" s="91"/>
      <c r="M115" s="91"/>
      <c r="N115" s="91"/>
      <c r="O115" s="91"/>
      <c r="P115" s="91"/>
      <c r="Q115" s="91"/>
      <c r="R115" s="91"/>
      <c r="S115" s="91"/>
      <c r="T115" s="365" t="b" cm="1">
        <f t="array" ref="T115">T114</f>
        <v>1</v>
      </c>
      <c r="U115" s="91"/>
      <c r="V115" s="91"/>
      <c r="W115" s="91"/>
      <c r="X115" s="1075"/>
      <c r="Y115" s="91"/>
      <c r="Z115" s="1065"/>
      <c r="AA115" s="91"/>
      <c r="AB115" s="187" t="str">
        <f t="shared" si="7"/>
        <v>2057 год</v>
      </c>
      <c r="AC115" s="962"/>
      <c r="AD115" s="964"/>
      <c r="AE115" s="965"/>
      <c r="AF115" s="965"/>
      <c r="AG115" s="964"/>
      <c r="AH115" s="964"/>
      <c r="AI115" s="964"/>
      <c r="AJ115" s="970"/>
      <c r="AK115" s="971"/>
      <c r="AL115" s="316"/>
      <c r="AM115" s="91"/>
      <c r="AN115" s="91"/>
      <c r="AO115" s="705" cm="1">
        <f t="array" ref="AO115">K115</f>
        <v>2057</v>
      </c>
      <c r="AP115" s="91"/>
      <c r="AQ115" s="91"/>
    </row>
    <row r="116" spans="1:43" s="967" customFormat="1" ht="14.25" hidden="1" customHeight="1">
      <c r="A116" s="91"/>
      <c r="B116" s="353" t="b">
        <f t="shared" si="6"/>
        <v>0</v>
      </c>
      <c r="C116" s="91"/>
      <c r="D116" s="91"/>
      <c r="E116" s="518">
        <v>15</v>
      </c>
      <c r="F116" s="3" t="str" cm="1">
        <f t="array" aca="1" ref="F116" ca="1">OFFSET(E116,-1,1)</f>
        <v>1</v>
      </c>
      <c r="G116" s="91"/>
      <c r="H116" s="91"/>
      <c r="I116" s="91"/>
      <c r="J116" s="91"/>
      <c r="K116" s="91">
        <f>first_year+34</f>
        <v>2058</v>
      </c>
      <c r="L116" s="91"/>
      <c r="M116" s="91"/>
      <c r="N116" s="91"/>
      <c r="O116" s="91"/>
      <c r="P116" s="91"/>
      <c r="Q116" s="91"/>
      <c r="R116" s="91"/>
      <c r="S116" s="91"/>
      <c r="T116" s="365" t="b" cm="1">
        <f t="array" ref="T116">T115</f>
        <v>1</v>
      </c>
      <c r="U116" s="91"/>
      <c r="V116" s="91"/>
      <c r="W116" s="91"/>
      <c r="X116" s="1075"/>
      <c r="Y116" s="91"/>
      <c r="Z116" s="1065"/>
      <c r="AA116" s="91"/>
      <c r="AB116" s="187" t="str">
        <f t="shared" si="7"/>
        <v>2058 год</v>
      </c>
      <c r="AC116" s="962"/>
      <c r="AD116" s="964"/>
      <c r="AE116" s="965"/>
      <c r="AF116" s="965"/>
      <c r="AG116" s="964"/>
      <c r="AH116" s="964"/>
      <c r="AI116" s="964"/>
      <c r="AJ116" s="970"/>
      <c r="AK116" s="971"/>
      <c r="AL116" s="316"/>
      <c r="AM116" s="91"/>
      <c r="AN116" s="91"/>
      <c r="AO116" s="705" cm="1">
        <f t="array" ref="AO116">K116</f>
        <v>2058</v>
      </c>
      <c r="AP116" s="91"/>
      <c r="AQ116" s="91"/>
    </row>
    <row r="117" spans="1:43" s="967" customFormat="1" ht="14.25" hidden="1" customHeight="1">
      <c r="A117" s="91"/>
      <c r="B117" s="353" t="b">
        <f t="shared" si="6"/>
        <v>0</v>
      </c>
      <c r="C117" s="91"/>
      <c r="D117" s="91"/>
      <c r="E117" s="518">
        <v>15</v>
      </c>
      <c r="F117" s="3" t="str" cm="1">
        <f t="array" aca="1" ref="F117" ca="1">OFFSET(E117,-1,1)</f>
        <v>1</v>
      </c>
      <c r="G117" s="91"/>
      <c r="H117" s="91"/>
      <c r="I117" s="91"/>
      <c r="J117" s="91"/>
      <c r="K117" s="91">
        <f>first_year+35</f>
        <v>2059</v>
      </c>
      <c r="L117" s="91"/>
      <c r="M117" s="91"/>
      <c r="N117" s="91"/>
      <c r="O117" s="91"/>
      <c r="P117" s="91"/>
      <c r="Q117" s="91"/>
      <c r="R117" s="91"/>
      <c r="S117" s="91"/>
      <c r="T117" s="365" t="b" cm="1">
        <f t="array" ref="T117">T116</f>
        <v>1</v>
      </c>
      <c r="U117" s="91"/>
      <c r="V117" s="91"/>
      <c r="W117" s="91"/>
      <c r="X117" s="1075"/>
      <c r="Y117" s="91"/>
      <c r="Z117" s="1065"/>
      <c r="AA117" s="91"/>
      <c r="AB117" s="187" t="str">
        <f t="shared" si="7"/>
        <v>2059 год</v>
      </c>
      <c r="AC117" s="962"/>
      <c r="AD117" s="964"/>
      <c r="AE117" s="965"/>
      <c r="AF117" s="965"/>
      <c r="AG117" s="964"/>
      <c r="AH117" s="964"/>
      <c r="AI117" s="964"/>
      <c r="AJ117" s="970"/>
      <c r="AK117" s="971"/>
      <c r="AL117" s="316"/>
      <c r="AM117" s="91"/>
      <c r="AN117" s="91"/>
      <c r="AO117" s="705" cm="1">
        <f t="array" ref="AO117">K117</f>
        <v>2059</v>
      </c>
      <c r="AP117" s="91"/>
      <c r="AQ117" s="91"/>
    </row>
    <row r="118" spans="1:43" s="967" customFormat="1" ht="14.25" hidden="1" customHeight="1">
      <c r="A118" s="91"/>
      <c r="B118" s="353" t="b">
        <f t="shared" si="6"/>
        <v>0</v>
      </c>
      <c r="C118" s="91"/>
      <c r="D118" s="91"/>
      <c r="E118" s="518">
        <v>15</v>
      </c>
      <c r="F118" s="3" t="str" cm="1">
        <f t="array" aca="1" ref="F118" ca="1">OFFSET(E118,-1,1)</f>
        <v>1</v>
      </c>
      <c r="G118" s="91"/>
      <c r="H118" s="91"/>
      <c r="I118" s="91"/>
      <c r="J118" s="91"/>
      <c r="K118" s="91">
        <f>first_year+36</f>
        <v>2060</v>
      </c>
      <c r="L118" s="91"/>
      <c r="M118" s="91"/>
      <c r="N118" s="91"/>
      <c r="O118" s="91"/>
      <c r="P118" s="91"/>
      <c r="Q118" s="91"/>
      <c r="R118" s="91"/>
      <c r="S118" s="91"/>
      <c r="T118" s="365" t="b" cm="1">
        <f t="array" ref="T118">T117</f>
        <v>1</v>
      </c>
      <c r="U118" s="91"/>
      <c r="V118" s="91"/>
      <c r="W118" s="91"/>
      <c r="X118" s="1075"/>
      <c r="Y118" s="91"/>
      <c r="Z118" s="1065"/>
      <c r="AA118" s="91"/>
      <c r="AB118" s="187" t="str">
        <f t="shared" si="7"/>
        <v>2060 год</v>
      </c>
      <c r="AC118" s="962"/>
      <c r="AD118" s="964"/>
      <c r="AE118" s="965"/>
      <c r="AF118" s="965"/>
      <c r="AG118" s="964"/>
      <c r="AH118" s="964"/>
      <c r="AI118" s="964"/>
      <c r="AJ118" s="970"/>
      <c r="AK118" s="971"/>
      <c r="AL118" s="316"/>
      <c r="AM118" s="91"/>
      <c r="AN118" s="91"/>
      <c r="AO118" s="705" cm="1">
        <f t="array" ref="AO118">K118</f>
        <v>2060</v>
      </c>
      <c r="AP118" s="91"/>
      <c r="AQ118" s="91"/>
    </row>
    <row r="119" spans="1:43" s="967" customFormat="1" ht="14.25" hidden="1" customHeight="1">
      <c r="A119" s="91"/>
      <c r="B119" s="353" t="b">
        <f t="shared" si="6"/>
        <v>0</v>
      </c>
      <c r="C119" s="91"/>
      <c r="D119" s="91"/>
      <c r="E119" s="518">
        <v>15</v>
      </c>
      <c r="F119" s="3" t="str" cm="1">
        <f t="array" aca="1" ref="F119" ca="1">OFFSET(E119,-1,1)</f>
        <v>1</v>
      </c>
      <c r="G119" s="91"/>
      <c r="H119" s="91"/>
      <c r="I119" s="91"/>
      <c r="J119" s="91"/>
      <c r="K119" s="91">
        <f>first_year+37</f>
        <v>2061</v>
      </c>
      <c r="L119" s="91"/>
      <c r="M119" s="91"/>
      <c r="N119" s="91"/>
      <c r="O119" s="91"/>
      <c r="P119" s="91"/>
      <c r="Q119" s="91"/>
      <c r="R119" s="91"/>
      <c r="S119" s="91"/>
      <c r="T119" s="365" t="b" cm="1">
        <f t="array" ref="T119">T118</f>
        <v>1</v>
      </c>
      <c r="U119" s="91"/>
      <c r="V119" s="91"/>
      <c r="W119" s="91"/>
      <c r="X119" s="1075"/>
      <c r="Y119" s="91"/>
      <c r="Z119" s="1065"/>
      <c r="AA119" s="91"/>
      <c r="AB119" s="187" t="str">
        <f t="shared" si="7"/>
        <v>2061 год</v>
      </c>
      <c r="AC119" s="962"/>
      <c r="AD119" s="964"/>
      <c r="AE119" s="965"/>
      <c r="AF119" s="965"/>
      <c r="AG119" s="964"/>
      <c r="AH119" s="964"/>
      <c r="AI119" s="964"/>
      <c r="AJ119" s="970"/>
      <c r="AK119" s="971"/>
      <c r="AL119" s="316"/>
      <c r="AM119" s="91"/>
      <c r="AN119" s="91"/>
      <c r="AO119" s="705" cm="1">
        <f t="array" ref="AO119">K119</f>
        <v>2061</v>
      </c>
      <c r="AP119" s="91"/>
      <c r="AQ119" s="91"/>
    </row>
    <row r="120" spans="1:43" s="967" customFormat="1" ht="14.25" hidden="1" customHeight="1">
      <c r="A120" s="91"/>
      <c r="B120" s="353" t="b">
        <f t="shared" si="6"/>
        <v>0</v>
      </c>
      <c r="C120" s="91"/>
      <c r="D120" s="91"/>
      <c r="E120" s="518">
        <v>15</v>
      </c>
      <c r="F120" s="3" t="str" cm="1">
        <f t="array" aca="1" ref="F120" ca="1">OFFSET(E120,-1,1)</f>
        <v>1</v>
      </c>
      <c r="G120" s="91"/>
      <c r="H120" s="91"/>
      <c r="I120" s="91"/>
      <c r="J120" s="91"/>
      <c r="K120" s="91">
        <f>first_year+38</f>
        <v>2062</v>
      </c>
      <c r="L120" s="91"/>
      <c r="M120" s="91"/>
      <c r="N120" s="91"/>
      <c r="O120" s="91"/>
      <c r="P120" s="91"/>
      <c r="Q120" s="91"/>
      <c r="R120" s="91"/>
      <c r="S120" s="91"/>
      <c r="T120" s="365" t="b" cm="1">
        <f t="array" ref="T120">T119</f>
        <v>1</v>
      </c>
      <c r="U120" s="91"/>
      <c r="V120" s="91"/>
      <c r="W120" s="91"/>
      <c r="X120" s="1075"/>
      <c r="Y120" s="91"/>
      <c r="Z120" s="1065"/>
      <c r="AA120" s="91"/>
      <c r="AB120" s="187" t="str">
        <f t="shared" si="7"/>
        <v>2062 год</v>
      </c>
      <c r="AC120" s="962"/>
      <c r="AD120" s="964"/>
      <c r="AE120" s="965"/>
      <c r="AF120" s="965"/>
      <c r="AG120" s="964"/>
      <c r="AH120" s="964"/>
      <c r="AI120" s="964"/>
      <c r="AJ120" s="970"/>
      <c r="AK120" s="971"/>
      <c r="AL120" s="316"/>
      <c r="AM120" s="91"/>
      <c r="AN120" s="91"/>
      <c r="AO120" s="705" cm="1">
        <f t="array" ref="AO120">K120</f>
        <v>2062</v>
      </c>
      <c r="AP120" s="91"/>
      <c r="AQ120" s="91"/>
    </row>
    <row r="121" spans="1:43" s="967" customFormat="1" ht="14.25" hidden="1" customHeight="1">
      <c r="A121" s="91"/>
      <c r="B121" s="353" t="b">
        <f t="shared" si="6"/>
        <v>0</v>
      </c>
      <c r="C121" s="91"/>
      <c r="D121" s="91"/>
      <c r="E121" s="518">
        <v>15</v>
      </c>
      <c r="F121" s="3" t="str" cm="1">
        <f t="array" aca="1" ref="F121" ca="1">OFFSET(E121,-1,1)</f>
        <v>1</v>
      </c>
      <c r="G121" s="91"/>
      <c r="H121" s="91"/>
      <c r="I121" s="91"/>
      <c r="J121" s="91"/>
      <c r="K121" s="91">
        <f>first_year+39</f>
        <v>2063</v>
      </c>
      <c r="L121" s="91"/>
      <c r="M121" s="91"/>
      <c r="N121" s="91"/>
      <c r="O121" s="91"/>
      <c r="P121" s="91"/>
      <c r="Q121" s="91"/>
      <c r="R121" s="91"/>
      <c r="S121" s="91"/>
      <c r="T121" s="365" t="b" cm="1">
        <f t="array" ref="T121">T120</f>
        <v>1</v>
      </c>
      <c r="U121" s="91"/>
      <c r="V121" s="91"/>
      <c r="W121" s="91"/>
      <c r="X121" s="1075"/>
      <c r="Y121" s="91"/>
      <c r="Z121" s="1065"/>
      <c r="AA121" s="91"/>
      <c r="AB121" s="187" t="str">
        <f t="shared" si="7"/>
        <v>2063 год</v>
      </c>
      <c r="AC121" s="962"/>
      <c r="AD121" s="964"/>
      <c r="AE121" s="965"/>
      <c r="AF121" s="965"/>
      <c r="AG121" s="964"/>
      <c r="AH121" s="964"/>
      <c r="AI121" s="964"/>
      <c r="AJ121" s="970"/>
      <c r="AK121" s="971"/>
      <c r="AL121" s="316"/>
      <c r="AM121" s="91"/>
      <c r="AN121" s="91"/>
      <c r="AO121" s="705" cm="1">
        <f t="array" ref="AO121">K121</f>
        <v>2063</v>
      </c>
      <c r="AP121" s="91"/>
      <c r="AQ121" s="91"/>
    </row>
    <row r="122" spans="1:43" s="967" customFormat="1" ht="14.25" hidden="1" customHeight="1">
      <c r="A122" s="91"/>
      <c r="B122" s="353" t="b">
        <f t="shared" si="6"/>
        <v>0</v>
      </c>
      <c r="C122" s="91"/>
      <c r="D122" s="91"/>
      <c r="E122" s="518">
        <v>15</v>
      </c>
      <c r="F122" s="3" t="str" cm="1">
        <f t="array" aca="1" ref="F122" ca="1">OFFSET(E122,-1,1)</f>
        <v>1</v>
      </c>
      <c r="G122" s="91"/>
      <c r="H122" s="91"/>
      <c r="I122" s="91"/>
      <c r="J122" s="91"/>
      <c r="K122" s="91">
        <f>first_year+40</f>
        <v>2064</v>
      </c>
      <c r="L122" s="91"/>
      <c r="M122" s="91"/>
      <c r="N122" s="91"/>
      <c r="O122" s="91"/>
      <c r="P122" s="91"/>
      <c r="Q122" s="91"/>
      <c r="R122" s="91"/>
      <c r="S122" s="91"/>
      <c r="T122" s="365" t="b" cm="1">
        <f t="array" ref="T122">T121</f>
        <v>1</v>
      </c>
      <c r="U122" s="91"/>
      <c r="V122" s="91"/>
      <c r="W122" s="91"/>
      <c r="X122" s="1075"/>
      <c r="Y122" s="91"/>
      <c r="Z122" s="1065"/>
      <c r="AA122" s="91"/>
      <c r="AB122" s="187" t="str">
        <f t="shared" si="7"/>
        <v>2064 год</v>
      </c>
      <c r="AC122" s="962"/>
      <c r="AD122" s="964"/>
      <c r="AE122" s="965"/>
      <c r="AF122" s="965"/>
      <c r="AG122" s="964"/>
      <c r="AH122" s="964"/>
      <c r="AI122" s="964"/>
      <c r="AJ122" s="970"/>
      <c r="AK122" s="971"/>
      <c r="AL122" s="316"/>
      <c r="AM122" s="91"/>
      <c r="AN122" s="91"/>
      <c r="AO122" s="705" cm="1">
        <f t="array" ref="AO122">K122</f>
        <v>2064</v>
      </c>
      <c r="AP122" s="91"/>
      <c r="AQ122" s="91"/>
    </row>
    <row r="123" spans="1:43" s="967" customFormat="1" ht="14.25" hidden="1" customHeight="1">
      <c r="A123" s="91"/>
      <c r="B123" s="353" t="b">
        <f t="shared" si="6"/>
        <v>0</v>
      </c>
      <c r="C123" s="91"/>
      <c r="D123" s="91"/>
      <c r="E123" s="518">
        <v>15</v>
      </c>
      <c r="F123" s="3" t="str" cm="1">
        <f t="array" aca="1" ref="F123" ca="1">OFFSET(E123,-1,1)</f>
        <v>1</v>
      </c>
      <c r="G123" s="91"/>
      <c r="H123" s="91"/>
      <c r="I123" s="91"/>
      <c r="J123" s="91"/>
      <c r="K123" s="91">
        <f>first_year+41</f>
        <v>2065</v>
      </c>
      <c r="L123" s="91"/>
      <c r="M123" s="91"/>
      <c r="N123" s="91"/>
      <c r="O123" s="91"/>
      <c r="P123" s="91"/>
      <c r="Q123" s="91"/>
      <c r="R123" s="91"/>
      <c r="S123" s="91"/>
      <c r="T123" s="365" t="b" cm="1">
        <f t="array" ref="T123">T122</f>
        <v>1</v>
      </c>
      <c r="U123" s="91"/>
      <c r="V123" s="91"/>
      <c r="W123" s="91"/>
      <c r="X123" s="1075"/>
      <c r="Y123" s="91"/>
      <c r="Z123" s="1065"/>
      <c r="AA123" s="91"/>
      <c r="AB123" s="187" t="str">
        <f t="shared" si="7"/>
        <v>2065 год</v>
      </c>
      <c r="AC123" s="962"/>
      <c r="AD123" s="964"/>
      <c r="AE123" s="965"/>
      <c r="AF123" s="965"/>
      <c r="AG123" s="964"/>
      <c r="AH123" s="964"/>
      <c r="AI123" s="964"/>
      <c r="AJ123" s="970"/>
      <c r="AK123" s="971"/>
      <c r="AL123" s="316"/>
      <c r="AM123" s="91"/>
      <c r="AN123" s="91"/>
      <c r="AO123" s="705" cm="1">
        <f t="array" ref="AO123">K123</f>
        <v>2065</v>
      </c>
      <c r="AP123" s="91"/>
      <c r="AQ123" s="91"/>
    </row>
    <row r="124" spans="1:43" s="967" customFormat="1" ht="14.25" hidden="1" customHeight="1">
      <c r="A124" s="91"/>
      <c r="B124" s="353" t="b">
        <f t="shared" si="6"/>
        <v>0</v>
      </c>
      <c r="C124" s="91"/>
      <c r="D124" s="91"/>
      <c r="E124" s="518">
        <v>15</v>
      </c>
      <c r="F124" s="3" t="str" cm="1">
        <f t="array" aca="1" ref="F124" ca="1">OFFSET(E124,-1,1)</f>
        <v>1</v>
      </c>
      <c r="G124" s="91"/>
      <c r="H124" s="91"/>
      <c r="I124" s="91"/>
      <c r="J124" s="91"/>
      <c r="K124" s="91">
        <f>first_year+42</f>
        <v>2066</v>
      </c>
      <c r="L124" s="91"/>
      <c r="M124" s="91"/>
      <c r="N124" s="91"/>
      <c r="O124" s="91"/>
      <c r="P124" s="91"/>
      <c r="Q124" s="91"/>
      <c r="R124" s="91"/>
      <c r="S124" s="91"/>
      <c r="T124" s="365" t="b" cm="1">
        <f t="array" ref="T124">T123</f>
        <v>1</v>
      </c>
      <c r="U124" s="91"/>
      <c r="V124" s="91"/>
      <c r="W124" s="91"/>
      <c r="X124" s="1075"/>
      <c r="Y124" s="91"/>
      <c r="Z124" s="1065"/>
      <c r="AA124" s="91"/>
      <c r="AB124" s="187" t="str">
        <f t="shared" si="7"/>
        <v>2066 год</v>
      </c>
      <c r="AC124" s="962"/>
      <c r="AD124" s="964"/>
      <c r="AE124" s="965"/>
      <c r="AF124" s="965"/>
      <c r="AG124" s="964"/>
      <c r="AH124" s="964"/>
      <c r="AI124" s="964"/>
      <c r="AJ124" s="970"/>
      <c r="AK124" s="971"/>
      <c r="AL124" s="316"/>
      <c r="AM124" s="91"/>
      <c r="AN124" s="91"/>
      <c r="AO124" s="705" cm="1">
        <f t="array" ref="AO124">K124</f>
        <v>2066</v>
      </c>
      <c r="AP124" s="91"/>
      <c r="AQ124" s="91"/>
    </row>
    <row r="125" spans="1:43" s="967" customFormat="1" ht="14.25" hidden="1" customHeight="1">
      <c r="A125" s="91"/>
      <c r="B125" s="353" t="b">
        <f t="shared" si="6"/>
        <v>0</v>
      </c>
      <c r="C125" s="91"/>
      <c r="D125" s="91"/>
      <c r="E125" s="518">
        <v>15</v>
      </c>
      <c r="F125" s="3" t="str" cm="1">
        <f t="array" aca="1" ref="F125" ca="1">OFFSET(E125,-1,1)</f>
        <v>1</v>
      </c>
      <c r="G125" s="91"/>
      <c r="H125" s="91"/>
      <c r="I125" s="91"/>
      <c r="J125" s="91"/>
      <c r="K125" s="91">
        <f>first_year+43</f>
        <v>2067</v>
      </c>
      <c r="L125" s="91"/>
      <c r="M125" s="91"/>
      <c r="N125" s="91"/>
      <c r="O125" s="91"/>
      <c r="P125" s="91"/>
      <c r="Q125" s="91"/>
      <c r="R125" s="91"/>
      <c r="S125" s="91"/>
      <c r="T125" s="365" t="b" cm="1">
        <f t="array" ref="T125">T124</f>
        <v>1</v>
      </c>
      <c r="U125" s="91"/>
      <c r="V125" s="91"/>
      <c r="W125" s="91"/>
      <c r="X125" s="1075"/>
      <c r="Y125" s="91"/>
      <c r="Z125" s="1065"/>
      <c r="AA125" s="91"/>
      <c r="AB125" s="187" t="str">
        <f t="shared" si="7"/>
        <v>2067 год</v>
      </c>
      <c r="AC125" s="962"/>
      <c r="AD125" s="964"/>
      <c r="AE125" s="965"/>
      <c r="AF125" s="965"/>
      <c r="AG125" s="964"/>
      <c r="AH125" s="964"/>
      <c r="AI125" s="964"/>
      <c r="AJ125" s="970"/>
      <c r="AK125" s="971"/>
      <c r="AL125" s="316"/>
      <c r="AM125" s="91"/>
      <c r="AN125" s="91"/>
      <c r="AO125" s="705" cm="1">
        <f t="array" ref="AO125">K125</f>
        <v>2067</v>
      </c>
      <c r="AP125" s="91"/>
      <c r="AQ125" s="91"/>
    </row>
    <row r="126" spans="1:43" s="967" customFormat="1" ht="14.25" hidden="1" customHeight="1">
      <c r="A126" s="91"/>
      <c r="B126" s="353" t="b">
        <f t="shared" si="6"/>
        <v>0</v>
      </c>
      <c r="C126" s="91"/>
      <c r="D126" s="91"/>
      <c r="E126" s="518">
        <v>15</v>
      </c>
      <c r="F126" s="3" t="str" cm="1">
        <f t="array" aca="1" ref="F126" ca="1">OFFSET(E126,-1,1)</f>
        <v>1</v>
      </c>
      <c r="G126" s="91"/>
      <c r="H126" s="91"/>
      <c r="I126" s="91"/>
      <c r="J126" s="91"/>
      <c r="K126" s="91">
        <f>first_year+44</f>
        <v>2068</v>
      </c>
      <c r="L126" s="91"/>
      <c r="M126" s="91"/>
      <c r="N126" s="91"/>
      <c r="O126" s="91"/>
      <c r="P126" s="91"/>
      <c r="Q126" s="91"/>
      <c r="R126" s="91"/>
      <c r="S126" s="91"/>
      <c r="T126" s="365" t="b" cm="1">
        <f t="array" ref="T126">T125</f>
        <v>1</v>
      </c>
      <c r="U126" s="91"/>
      <c r="V126" s="91"/>
      <c r="W126" s="91"/>
      <c r="X126" s="1075"/>
      <c r="Y126" s="91"/>
      <c r="Z126" s="1065"/>
      <c r="AA126" s="91"/>
      <c r="AB126" s="187" t="str">
        <f t="shared" si="7"/>
        <v>2068 год</v>
      </c>
      <c r="AC126" s="962"/>
      <c r="AD126" s="964"/>
      <c r="AE126" s="965"/>
      <c r="AF126" s="965"/>
      <c r="AG126" s="964"/>
      <c r="AH126" s="964"/>
      <c r="AI126" s="964"/>
      <c r="AJ126" s="970"/>
      <c r="AK126" s="971"/>
      <c r="AL126" s="316"/>
      <c r="AM126" s="91"/>
      <c r="AN126" s="91"/>
      <c r="AO126" s="705" cm="1">
        <f t="array" ref="AO126">K126</f>
        <v>2068</v>
      </c>
      <c r="AP126" s="91"/>
      <c r="AQ126" s="91"/>
    </row>
    <row r="127" spans="1:43" s="967" customFormat="1" ht="14.25" hidden="1" customHeight="1">
      <c r="A127" s="91"/>
      <c r="B127" s="353" t="b">
        <f t="shared" si="6"/>
        <v>0</v>
      </c>
      <c r="C127" s="91"/>
      <c r="D127" s="91"/>
      <c r="E127" s="518">
        <v>15</v>
      </c>
      <c r="F127" s="3" t="str" cm="1">
        <f t="array" aca="1" ref="F127" ca="1">OFFSET(E127,-1,1)</f>
        <v>1</v>
      </c>
      <c r="G127" s="91"/>
      <c r="H127" s="91"/>
      <c r="I127" s="91"/>
      <c r="J127" s="91"/>
      <c r="K127" s="91">
        <f>first_year+45</f>
        <v>2069</v>
      </c>
      <c r="L127" s="91"/>
      <c r="M127" s="91"/>
      <c r="N127" s="91"/>
      <c r="O127" s="91"/>
      <c r="P127" s="91"/>
      <c r="Q127" s="91"/>
      <c r="R127" s="91"/>
      <c r="S127" s="91"/>
      <c r="T127" s="365" t="b" cm="1">
        <f t="array" ref="T127">T126</f>
        <v>1</v>
      </c>
      <c r="U127" s="91"/>
      <c r="V127" s="91"/>
      <c r="W127" s="91"/>
      <c r="X127" s="1075"/>
      <c r="Y127" s="91"/>
      <c r="Z127" s="1065"/>
      <c r="AA127" s="91"/>
      <c r="AB127" s="187" t="str">
        <f t="shared" si="7"/>
        <v>2069 год</v>
      </c>
      <c r="AC127" s="962"/>
      <c r="AD127" s="964"/>
      <c r="AE127" s="965"/>
      <c r="AF127" s="965"/>
      <c r="AG127" s="964"/>
      <c r="AH127" s="964"/>
      <c r="AI127" s="964"/>
      <c r="AJ127" s="970"/>
      <c r="AK127" s="971"/>
      <c r="AL127" s="316"/>
      <c r="AM127" s="91"/>
      <c r="AN127" s="91"/>
      <c r="AO127" s="705" cm="1">
        <f t="array" ref="AO127">K127</f>
        <v>2069</v>
      </c>
      <c r="AP127" s="91"/>
      <c r="AQ127" s="91"/>
    </row>
    <row r="128" spans="1:43" s="967" customFormat="1" ht="14.25" hidden="1" customHeight="1">
      <c r="A128" s="91"/>
      <c r="B128" s="353" t="b">
        <f t="shared" si="6"/>
        <v>0</v>
      </c>
      <c r="C128" s="91"/>
      <c r="D128" s="91"/>
      <c r="E128" s="518">
        <v>15</v>
      </c>
      <c r="F128" s="3" t="str" cm="1">
        <f t="array" aca="1" ref="F128" ca="1">OFFSET(E128,-1,1)</f>
        <v>1</v>
      </c>
      <c r="G128" s="91"/>
      <c r="H128" s="91"/>
      <c r="I128" s="91"/>
      <c r="J128" s="91"/>
      <c r="K128" s="91">
        <f>first_year+46</f>
        <v>2070</v>
      </c>
      <c r="L128" s="91"/>
      <c r="M128" s="91"/>
      <c r="N128" s="91"/>
      <c r="O128" s="91"/>
      <c r="P128" s="91"/>
      <c r="Q128" s="91"/>
      <c r="R128" s="91"/>
      <c r="S128" s="91"/>
      <c r="T128" s="365" t="b" cm="1">
        <f t="array" ref="T128">T127</f>
        <v>1</v>
      </c>
      <c r="U128" s="91"/>
      <c r="V128" s="91"/>
      <c r="W128" s="91"/>
      <c r="X128" s="1075"/>
      <c r="Y128" s="91"/>
      <c r="Z128" s="1065"/>
      <c r="AA128" s="91"/>
      <c r="AB128" s="187" t="str">
        <f t="shared" si="7"/>
        <v>2070 год</v>
      </c>
      <c r="AC128" s="962"/>
      <c r="AD128" s="964"/>
      <c r="AE128" s="965"/>
      <c r="AF128" s="965"/>
      <c r="AG128" s="964"/>
      <c r="AH128" s="964"/>
      <c r="AI128" s="964"/>
      <c r="AJ128" s="970"/>
      <c r="AK128" s="971"/>
      <c r="AL128" s="316"/>
      <c r="AM128" s="91"/>
      <c r="AN128" s="91"/>
      <c r="AO128" s="705" cm="1">
        <f t="array" ref="AO128">K128</f>
        <v>2070</v>
      </c>
      <c r="AP128" s="91"/>
      <c r="AQ128" s="91"/>
    </row>
    <row r="129" spans="1:43" s="967" customFormat="1" ht="14.25" hidden="1" customHeight="1">
      <c r="A129" s="91"/>
      <c r="B129" s="353" t="b">
        <f t="shared" si="6"/>
        <v>0</v>
      </c>
      <c r="C129" s="91"/>
      <c r="D129" s="91"/>
      <c r="E129" s="518">
        <v>15</v>
      </c>
      <c r="F129" s="3" t="str" cm="1">
        <f t="array" aca="1" ref="F129" ca="1">OFFSET(E129,-1,1)</f>
        <v>1</v>
      </c>
      <c r="G129" s="91"/>
      <c r="H129" s="91"/>
      <c r="I129" s="91"/>
      <c r="J129" s="91"/>
      <c r="K129" s="91">
        <f>first_year+47</f>
        <v>2071</v>
      </c>
      <c r="L129" s="91"/>
      <c r="M129" s="91"/>
      <c r="N129" s="91"/>
      <c r="O129" s="91"/>
      <c r="P129" s="91"/>
      <c r="Q129" s="91"/>
      <c r="R129" s="91"/>
      <c r="S129" s="91"/>
      <c r="T129" s="365" t="b" cm="1">
        <f t="array" ref="T129">T128</f>
        <v>1</v>
      </c>
      <c r="U129" s="91"/>
      <c r="V129" s="91"/>
      <c r="W129" s="91"/>
      <c r="X129" s="1075"/>
      <c r="Y129" s="91"/>
      <c r="Z129" s="1065"/>
      <c r="AA129" s="91"/>
      <c r="AB129" s="187" t="str">
        <f t="shared" si="7"/>
        <v>2071 год</v>
      </c>
      <c r="AC129" s="962"/>
      <c r="AD129" s="964"/>
      <c r="AE129" s="965"/>
      <c r="AF129" s="965"/>
      <c r="AG129" s="964"/>
      <c r="AH129" s="964"/>
      <c r="AI129" s="964"/>
      <c r="AJ129" s="970"/>
      <c r="AK129" s="971"/>
      <c r="AL129" s="316"/>
      <c r="AM129" s="91"/>
      <c r="AN129" s="91"/>
      <c r="AO129" s="705" cm="1">
        <f t="array" ref="AO129">K129</f>
        <v>2071</v>
      </c>
      <c r="AP129" s="91"/>
      <c r="AQ129" s="91"/>
    </row>
    <row r="130" spans="1:43" s="967" customFormat="1" ht="14.25" hidden="1" customHeight="1">
      <c r="A130" s="91"/>
      <c r="B130" s="353" t="b">
        <f t="shared" si="6"/>
        <v>0</v>
      </c>
      <c r="C130" s="91"/>
      <c r="D130" s="91"/>
      <c r="E130" s="518">
        <v>15</v>
      </c>
      <c r="F130" s="3" t="str" cm="1">
        <f t="array" aca="1" ref="F130" ca="1">OFFSET(E130,-1,1)</f>
        <v>1</v>
      </c>
      <c r="G130" s="91"/>
      <c r="H130" s="91"/>
      <c r="I130" s="91"/>
      <c r="J130" s="91"/>
      <c r="K130" s="91">
        <f>first_year+48</f>
        <v>2072</v>
      </c>
      <c r="L130" s="91"/>
      <c r="M130" s="91"/>
      <c r="N130" s="91"/>
      <c r="O130" s="91"/>
      <c r="P130" s="91"/>
      <c r="Q130" s="91"/>
      <c r="R130" s="91"/>
      <c r="S130" s="91"/>
      <c r="T130" s="365" t="b" cm="1">
        <f t="array" ref="T130">T129</f>
        <v>1</v>
      </c>
      <c r="U130" s="91"/>
      <c r="V130" s="91"/>
      <c r="W130" s="91"/>
      <c r="X130" s="1075"/>
      <c r="Y130" s="91"/>
      <c r="Z130" s="1065"/>
      <c r="AA130" s="91"/>
      <c r="AB130" s="187" t="str">
        <f t="shared" si="7"/>
        <v>2072 год</v>
      </c>
      <c r="AC130" s="962"/>
      <c r="AD130" s="964"/>
      <c r="AE130" s="965"/>
      <c r="AF130" s="965"/>
      <c r="AG130" s="964"/>
      <c r="AH130" s="964"/>
      <c r="AI130" s="964"/>
      <c r="AJ130" s="970"/>
      <c r="AK130" s="971"/>
      <c r="AL130" s="316"/>
      <c r="AM130" s="91"/>
      <c r="AN130" s="91"/>
      <c r="AO130" s="705" cm="1">
        <f t="array" ref="AO130">K130</f>
        <v>2072</v>
      </c>
      <c r="AP130" s="91"/>
      <c r="AQ130" s="91"/>
    </row>
    <row r="131" spans="1:43" s="967" customFormat="1" ht="14.25" hidden="1" customHeight="1">
      <c r="A131" s="91"/>
      <c r="B131" s="353" t="b">
        <f t="shared" si="6"/>
        <v>0</v>
      </c>
      <c r="C131" s="91"/>
      <c r="D131" s="91"/>
      <c r="E131" s="518">
        <v>15</v>
      </c>
      <c r="F131" s="3" t="str" cm="1">
        <f t="array" aca="1" ref="F131" ca="1">OFFSET(E131,-1,1)</f>
        <v>1</v>
      </c>
      <c r="G131" s="91"/>
      <c r="H131" s="91"/>
      <c r="I131" s="91"/>
      <c r="J131" s="91"/>
      <c r="K131" s="91">
        <f>first_year+49</f>
        <v>2073</v>
      </c>
      <c r="L131" s="91"/>
      <c r="M131" s="91"/>
      <c r="N131" s="91"/>
      <c r="O131" s="91"/>
      <c r="P131" s="91"/>
      <c r="Q131" s="91"/>
      <c r="R131" s="91"/>
      <c r="S131" s="91"/>
      <c r="T131" s="365" t="b" cm="1">
        <f t="array" ref="T131">T130</f>
        <v>1</v>
      </c>
      <c r="U131" s="91"/>
      <c r="V131" s="91"/>
      <c r="W131" s="91"/>
      <c r="X131" s="1075"/>
      <c r="Y131" s="91"/>
      <c r="Z131" s="1065"/>
      <c r="AA131" s="91"/>
      <c r="AB131" s="187" t="str">
        <f t="shared" si="7"/>
        <v>2073 год</v>
      </c>
      <c r="AC131" s="962"/>
      <c r="AD131" s="964"/>
      <c r="AE131" s="965"/>
      <c r="AF131" s="965"/>
      <c r="AG131" s="964"/>
      <c r="AH131" s="964"/>
      <c r="AI131" s="964"/>
      <c r="AJ131" s="970"/>
      <c r="AK131" s="971"/>
      <c r="AL131" s="316"/>
      <c r="AM131" s="91"/>
      <c r="AN131" s="91"/>
      <c r="AO131" s="705" cm="1">
        <f t="array" ref="AO131">K131</f>
        <v>2073</v>
      </c>
      <c r="AP131" s="91"/>
      <c r="AQ131" s="91"/>
    </row>
    <row r="132" spans="1:43" s="408" customFormat="1" ht="14.25" customHeight="1">
      <c r="A132" s="57"/>
      <c r="B132" s="62"/>
      <c r="C132" s="57"/>
      <c r="D132" s="57"/>
      <c r="E132" s="459">
        <v>15</v>
      </c>
      <c r="F132" s="36" t="str" cm="1">
        <f t="array" ref="F132">X132</f>
        <v>2</v>
      </c>
      <c r="G132" s="57"/>
      <c r="H132" s="57"/>
      <c r="I132" s="57"/>
      <c r="J132" s="57"/>
      <c r="K132" s="57"/>
      <c r="L132" s="57"/>
      <c r="M132" s="57"/>
      <c r="N132" s="57"/>
      <c r="O132" s="57"/>
      <c r="P132" s="57"/>
      <c r="Q132" s="57"/>
      <c r="R132" s="57"/>
      <c r="S132" s="57"/>
      <c r="T132" s="365" t="b">
        <f>X132&gt;0</f>
        <v>1</v>
      </c>
      <c r="U132" s="57"/>
      <c r="V132" s="57" t="str" cm="1">
        <f t="array" ref="V132">'Калькуляция (МИ корр)'!$AB$315</f>
        <v>Тариф 2 (Водоотведение) - тариф на водоотведение (Доп. признак не требуется)</v>
      </c>
      <c r="W132" s="57"/>
      <c r="X132" s="1075" t="s">
        <v>285</v>
      </c>
      <c r="Y132" s="57"/>
      <c r="Z132" s="1065"/>
      <c r="AA132" s="57"/>
      <c r="AB132" s="293" t="str" cm="1">
        <f t="array" ref="AB132">'Калькуляция (МИ корр)'!$AB$315</f>
        <v>Тариф 2 (Водоотведение) - тариф на водоотведение (Доп. признак не требуется)</v>
      </c>
      <c r="AC132" s="572"/>
      <c r="AD132" s="572"/>
      <c r="AE132" s="572"/>
      <c r="AF132" s="572"/>
      <c r="AG132" s="572"/>
      <c r="AH132" s="572"/>
      <c r="AI132" s="572"/>
      <c r="AJ132" s="572"/>
      <c r="AK132" s="572"/>
      <c r="AL132" s="315"/>
      <c r="AM132" s="57"/>
      <c r="AN132" s="57"/>
      <c r="AO132" s="665"/>
      <c r="AP132" s="57"/>
      <c r="AQ132" s="57"/>
    </row>
    <row r="133" spans="1:43" s="967" customFormat="1" ht="14.65" customHeight="1">
      <c r="A133" s="91"/>
      <c r="B133" s="353" t="b">
        <f t="shared" ref="B133:B164" si="8">K133&lt;first_year+PERIOD_LENGTH</f>
        <v>1</v>
      </c>
      <c r="C133" s="91"/>
      <c r="D133" s="91"/>
      <c r="E133" s="518">
        <v>15</v>
      </c>
      <c r="F133" s="3" t="str" cm="1">
        <f t="array" aca="1" ref="F133" ca="1">OFFSET(E133,-1,1)</f>
        <v>2</v>
      </c>
      <c r="G133" s="91"/>
      <c r="H133" s="91"/>
      <c r="I133" s="91"/>
      <c r="J133" s="91"/>
      <c r="K133" s="91" cm="1">
        <f t="array" ref="K133">first_year</f>
        <v>2024</v>
      </c>
      <c r="L133" s="91"/>
      <c r="M133" s="91"/>
      <c r="N133" s="91"/>
      <c r="O133" s="91"/>
      <c r="P133" s="91"/>
      <c r="Q133" s="91"/>
      <c r="R133" s="91"/>
      <c r="S133" s="91"/>
      <c r="T133" s="365" t="b" cm="1">
        <f t="array" ref="T133">T132</f>
        <v>1</v>
      </c>
      <c r="U133" s="91"/>
      <c r="V133" s="91"/>
      <c r="W133" s="91"/>
      <c r="X133" s="1075"/>
      <c r="Y133" s="91"/>
      <c r="Z133" s="1065"/>
      <c r="AA133" s="91"/>
      <c r="AB133" s="573" t="str">
        <f t="shared" ref="AB133:AB164" si="9">K133&amp;" год"</f>
        <v>2024 год</v>
      </c>
      <c r="AC133" s="619">
        <v>30616.182627900602</v>
      </c>
      <c r="AD133" s="575">
        <f ca="1">IFERROR(SUMIFS(INDEX(Сценарии!$AE$25:$BF$109,,MATCH($K133&amp;"Принято органом регулирования",Сценарии!$AE$8:$BF$8,0)),Сценарии!$F$25:$F$109,$F133,Сценарии!$AC$25:$AC$109,"Индекс эффективности операционных расходов"),0)</f>
        <v>0</v>
      </c>
      <c r="AE133" s="574"/>
      <c r="AF133" s="574">
        <f ca="1">IFERROR(SUMIFS(INDEX(Баланс!$AE$25:$BB$300,,MATCH($K133&amp;"Принято органом регулирования",Баланс!$AE$8:$BB$8,0)),Баланс!$F$25:$F$300,$F133,Баланс!$AC$24:$AC$300,"Уровень потерь воды"),0)</f>
        <v>0</v>
      </c>
      <c r="AG133" s="575">
        <v>0.51141119570000004</v>
      </c>
      <c r="AH133" s="968"/>
      <c r="AI133" s="968"/>
      <c r="AJ133" s="961">
        <f ca="1">IFERROR(SUMIFS(INDEX(Electricity_LOAD_1,,MATCH($K133&amp;"Принято органом регулирования",ЭЭ!$AE$8:$BB$8,0)),ЭЭ!$F$25:$F$109,$F133,ЭЭ!$AC$25:$AC$109,"Удельный расход электроэнергии"),0)</f>
        <v>0.51141119569958371</v>
      </c>
      <c r="AK133" s="961">
        <f ca="1">IFERROR(SUMIFS(INDEX(Electricity_LOAD_1,,MATCH($K133&amp;"Принято органом регулирования",ЭЭ!$AE$8:$BB$8,0)),ЭЭ!$F$25:$F$109,$F133,ЭЭ!$AC$25:$AC$109,"Удельный расход электроэнергии"),0)</f>
        <v>0.51141119569958371</v>
      </c>
      <c r="AL133" s="316"/>
      <c r="AM133" s="91" t="s">
        <v>2314</v>
      </c>
      <c r="AN133" s="91"/>
      <c r="AO133" s="705" cm="1">
        <f t="array" ref="AO133">K133</f>
        <v>2024</v>
      </c>
      <c r="AP133" s="91"/>
      <c r="AQ133" s="91"/>
    </row>
    <row r="134" spans="1:43" s="967" customFormat="1" ht="14.65" customHeight="1">
      <c r="A134" s="91"/>
      <c r="B134" s="353" t="b">
        <f t="shared" si="8"/>
        <v>1</v>
      </c>
      <c r="C134" s="91"/>
      <c r="D134" s="91"/>
      <c r="E134" s="518">
        <v>15</v>
      </c>
      <c r="F134" s="3" t="str" cm="1">
        <f t="array" aca="1" ref="F134" ca="1">OFFSET(E134,-1,1)</f>
        <v>2</v>
      </c>
      <c r="G134" s="91"/>
      <c r="H134" s="91"/>
      <c r="I134" s="91"/>
      <c r="J134" s="91"/>
      <c r="K134" s="91">
        <f>first_year+1</f>
        <v>2025</v>
      </c>
      <c r="L134" s="91"/>
      <c r="M134" s="91"/>
      <c r="N134" s="91"/>
      <c r="O134" s="91"/>
      <c r="P134" s="91"/>
      <c r="Q134" s="91"/>
      <c r="R134" s="91"/>
      <c r="S134" s="91"/>
      <c r="T134" s="365" t="b" cm="1">
        <f t="array" ref="T134">T133</f>
        <v>1</v>
      </c>
      <c r="U134" s="91"/>
      <c r="V134" s="91"/>
      <c r="W134" s="91"/>
      <c r="X134" s="1075"/>
      <c r="Y134" s="91"/>
      <c r="Z134" s="1065"/>
      <c r="AA134" s="91"/>
      <c r="AB134" s="573" t="str">
        <f t="shared" si="9"/>
        <v>2025 год</v>
      </c>
      <c r="AC134" s="574">
        <v>34763.199549616802</v>
      </c>
      <c r="AD134" s="575">
        <f ca="1">IFERROR(SUMIFS(INDEX(Сценарии!$AE$25:$BF$109,,MATCH($K134&amp;"Принято органом регулирования",Сценарии!$AE$8:$BF$8,0)),Сценарии!$F$25:$F$109,$F134,Сценарии!$AC$25:$AC$109,"Индекс эффективности операционных расходов"),0)</f>
        <v>0</v>
      </c>
      <c r="AE134" s="574"/>
      <c r="AF134" s="574">
        <f ca="1">IFERROR(SUMIFS(INDEX(Баланс!$AE$25:$BB$300,,MATCH($K134&amp;"Принято органом регулирования",Баланс!$AE$8:$BB$8,0)),Баланс!$F$25:$F$300,$F134,Баланс!$AC$24:$AC$300,"Уровень потерь воды"),0)</f>
        <v>0</v>
      </c>
      <c r="AG134" s="575">
        <v>0.51141119570000004</v>
      </c>
      <c r="AH134" s="968"/>
      <c r="AI134" s="968"/>
      <c r="AJ134" s="961">
        <f ca="1">IFERROR(SUMIFS(INDEX(Electricity_LOAD_1,,MATCH($K134&amp;"Принято органом регулирования",ЭЭ!$AE$8:$BB$8,0)),ЭЭ!$F$25:$F$109,$F134,ЭЭ!$AC$25:$AC$109,"Удельный расход электроэнергии"),0)</f>
        <v>0.51141119569964011</v>
      </c>
      <c r="AK134" s="961">
        <f ca="1">IFERROR(SUMIFS(INDEX(Electricity_LOAD_1,,MATCH($K134&amp;"Принято органом регулирования",ЭЭ!$AE$8:$BB$8,0)),ЭЭ!$F$25:$F$109,$F134,ЭЭ!$AC$25:$AC$109,"Удельный расход электроэнергии"),0)</f>
        <v>0.51141119569964011</v>
      </c>
      <c r="AL134" s="316"/>
      <c r="AM134" s="91" t="s">
        <v>2314</v>
      </c>
      <c r="AN134" s="91"/>
      <c r="AO134" s="705" cm="1">
        <f t="array" ref="AO134">K134</f>
        <v>2025</v>
      </c>
      <c r="AP134" s="91"/>
      <c r="AQ134" s="91"/>
    </row>
    <row r="135" spans="1:43" s="967" customFormat="1" ht="14.65" customHeight="1">
      <c r="A135" s="91"/>
      <c r="B135" s="353" t="b">
        <f t="shared" si="8"/>
        <v>1</v>
      </c>
      <c r="C135" s="91"/>
      <c r="D135" s="91"/>
      <c r="E135" s="518">
        <v>15</v>
      </c>
      <c r="F135" s="3" t="str" cm="1">
        <f t="array" aca="1" ref="F135" ca="1">OFFSET(E135,-1,1)</f>
        <v>2</v>
      </c>
      <c r="G135" s="91"/>
      <c r="H135" s="91"/>
      <c r="I135" s="91"/>
      <c r="J135" s="91"/>
      <c r="K135" s="91">
        <f>first_year+2</f>
        <v>2026</v>
      </c>
      <c r="L135" s="91"/>
      <c r="M135" s="91"/>
      <c r="N135" s="91"/>
      <c r="O135" s="91"/>
      <c r="P135" s="91"/>
      <c r="Q135" s="91"/>
      <c r="R135" s="91"/>
      <c r="S135" s="91"/>
      <c r="T135" s="365" t="b" cm="1">
        <f t="array" ref="T135">T134</f>
        <v>1</v>
      </c>
      <c r="U135" s="91"/>
      <c r="V135" s="91"/>
      <c r="W135" s="91"/>
      <c r="X135" s="1075"/>
      <c r="Y135" s="91"/>
      <c r="Z135" s="1065"/>
      <c r="AA135" s="91"/>
      <c r="AB135" s="573" t="str">
        <f t="shared" si="9"/>
        <v>2026 год</v>
      </c>
      <c r="AC135" s="574"/>
      <c r="AD135" s="575">
        <v>1</v>
      </c>
      <c r="AE135" s="574"/>
      <c r="AF135" s="574">
        <f ca="1">IFERROR(SUMIFS(INDEX(Баланс!$AE$25:$BB$300,,MATCH($K135&amp;"Принято органом регулирования",Баланс!$AE$8:$BB$8,0)),Баланс!$F$25:$F$300,$F135,Баланс!$AC$24:$AC$300,"Уровень потерь воды"),0)</f>
        <v>0</v>
      </c>
      <c r="AG135" s="575">
        <v>0.51141119570000004</v>
      </c>
      <c r="AH135" s="968"/>
      <c r="AI135" s="968"/>
      <c r="AJ135" s="961">
        <f ca="1">IFERROR(SUMIFS(INDEX(Electricity_LOAD_1,,MATCH($K135&amp;"Принято органом регулирования",ЭЭ!$AE$8:$BB$8,0)),ЭЭ!$F$25:$F$109,$F135,ЭЭ!$AC$25:$AC$109,"Удельный расход электроэнергии"),0)</f>
        <v>0.51141119569964011</v>
      </c>
      <c r="AK135" s="961">
        <f ca="1">IFERROR(SUMIFS(INDEX(Electricity_LOAD_1,,MATCH($K135&amp;"Принято органом регулирования",ЭЭ!$AE$8:$BB$8,0)),ЭЭ!$F$25:$F$109,$F135,ЭЭ!$AC$25:$AC$109,"Удельный расход электроэнергии"),0)</f>
        <v>0.51141119569964011</v>
      </c>
      <c r="AL135" s="316"/>
      <c r="AM135" s="91" t="s">
        <v>2314</v>
      </c>
      <c r="AN135" s="91"/>
      <c r="AO135" s="705" cm="1">
        <f t="array" ref="AO135">K135</f>
        <v>2026</v>
      </c>
      <c r="AP135" s="91"/>
      <c r="AQ135" s="91"/>
    </row>
    <row r="136" spans="1:43" s="967" customFormat="1" ht="14.65" customHeight="1">
      <c r="A136" s="91"/>
      <c r="B136" s="353" t="b">
        <f t="shared" si="8"/>
        <v>1</v>
      </c>
      <c r="C136" s="91"/>
      <c r="D136" s="91"/>
      <c r="E136" s="518">
        <v>15</v>
      </c>
      <c r="F136" s="3" t="str" cm="1">
        <f t="array" aca="1" ref="F136" ca="1">OFFSET(E136,-1,1)</f>
        <v>2</v>
      </c>
      <c r="G136" s="91"/>
      <c r="H136" s="91"/>
      <c r="I136" s="91"/>
      <c r="J136" s="91"/>
      <c r="K136" s="91">
        <f>first_year+3</f>
        <v>2027</v>
      </c>
      <c r="L136" s="91"/>
      <c r="M136" s="91"/>
      <c r="N136" s="91"/>
      <c r="O136" s="91"/>
      <c r="P136" s="91"/>
      <c r="Q136" s="91"/>
      <c r="R136" s="91"/>
      <c r="S136" s="91"/>
      <c r="T136" s="365" t="b" cm="1">
        <f t="array" ref="T136">T135</f>
        <v>1</v>
      </c>
      <c r="U136" s="91"/>
      <c r="V136" s="91"/>
      <c r="W136" s="91"/>
      <c r="X136" s="1075"/>
      <c r="Y136" s="91"/>
      <c r="Z136" s="1065"/>
      <c r="AA136" s="91"/>
      <c r="AB136" s="573" t="str">
        <f t="shared" si="9"/>
        <v>2027 год</v>
      </c>
      <c r="AC136" s="574"/>
      <c r="AD136" s="575">
        <v>1</v>
      </c>
      <c r="AE136" s="574"/>
      <c r="AF136" s="574">
        <f ca="1">IFERROR(SUMIFS(INDEX(Баланс!$AE$25:$BB$300,,MATCH($K136&amp;"Принято органом регулирования",Баланс!$AE$8:$BB$8,0)),Баланс!$F$25:$F$300,$F136,Баланс!$AC$24:$AC$300,"Уровень потерь воды"),0)</f>
        <v>0</v>
      </c>
      <c r="AG136" s="575">
        <v>0.51141119570000004</v>
      </c>
      <c r="AH136" s="968"/>
      <c r="AI136" s="968"/>
      <c r="AJ136" s="961">
        <f ca="1">IFERROR(SUMIFS(INDEX(Electricity_LOAD_1,,MATCH($K136&amp;"Принято органом регулирования",ЭЭ!$AE$8:$BB$8,0)),ЭЭ!$F$25:$F$109,$F136,ЭЭ!$AC$25:$AC$109,"Удельный расход электроэнергии"),0)</f>
        <v>0.51141119569964011</v>
      </c>
      <c r="AK136" s="961">
        <f ca="1">IFERROR(SUMIFS(INDEX(Electricity_LOAD_1,,MATCH($K136&amp;"Принято органом регулирования",ЭЭ!$AE$8:$BB$8,0)),ЭЭ!$F$25:$F$109,$F136,ЭЭ!$AC$25:$AC$109,"Удельный расход электроэнергии"),0)</f>
        <v>0.51141119569964011</v>
      </c>
      <c r="AL136" s="316"/>
      <c r="AM136" s="91" t="s">
        <v>2314</v>
      </c>
      <c r="AN136" s="91"/>
      <c r="AO136" s="705" cm="1">
        <f t="array" ref="AO136">K136</f>
        <v>2027</v>
      </c>
      <c r="AP136" s="91"/>
      <c r="AQ136" s="91"/>
    </row>
    <row r="137" spans="1:43" s="967" customFormat="1" ht="14.65" customHeight="1">
      <c r="A137" s="91"/>
      <c r="B137" s="353" t="b">
        <f t="shared" si="8"/>
        <v>1</v>
      </c>
      <c r="C137" s="91"/>
      <c r="D137" s="91"/>
      <c r="E137" s="518">
        <v>15</v>
      </c>
      <c r="F137" s="3" t="str" cm="1">
        <f t="array" aca="1" ref="F137" ca="1">OFFSET(E137,-1,1)</f>
        <v>2</v>
      </c>
      <c r="G137" s="91"/>
      <c r="H137" s="91"/>
      <c r="I137" s="91"/>
      <c r="J137" s="91"/>
      <c r="K137" s="91">
        <f>first_year+4</f>
        <v>2028</v>
      </c>
      <c r="L137" s="91"/>
      <c r="M137" s="91"/>
      <c r="N137" s="91"/>
      <c r="O137" s="91"/>
      <c r="P137" s="91"/>
      <c r="Q137" s="91"/>
      <c r="R137" s="91"/>
      <c r="S137" s="91"/>
      <c r="T137" s="365" t="b" cm="1">
        <f t="array" ref="T137">T136</f>
        <v>1</v>
      </c>
      <c r="U137" s="91"/>
      <c r="V137" s="91"/>
      <c r="W137" s="91"/>
      <c r="X137" s="1075"/>
      <c r="Y137" s="91"/>
      <c r="Z137" s="1065"/>
      <c r="AA137" s="91"/>
      <c r="AB137" s="573" t="str">
        <f t="shared" si="9"/>
        <v>2028 год</v>
      </c>
      <c r="AC137" s="574"/>
      <c r="AD137" s="575">
        <v>1</v>
      </c>
      <c r="AE137" s="574"/>
      <c r="AF137" s="574">
        <f ca="1">IFERROR(SUMIFS(INDEX(Баланс!$AE$25:$BB$300,,MATCH($K137&amp;"Принято органом регулирования",Баланс!$AE$8:$BB$8,0)),Баланс!$F$25:$F$300,$F137,Баланс!$AC$24:$AC$300,"Уровень потерь воды"),0)</f>
        <v>0</v>
      </c>
      <c r="AG137" s="575">
        <v>0.51141119570000004</v>
      </c>
      <c r="AH137" s="968"/>
      <c r="AI137" s="968"/>
      <c r="AJ137" s="961">
        <f ca="1">IFERROR(SUMIFS(INDEX(Electricity_LOAD_1,,MATCH($K137&amp;"Принято органом регулирования",ЭЭ!$AE$8:$BB$8,0)),ЭЭ!$F$25:$F$109,$F137,ЭЭ!$AC$25:$AC$109,"Удельный расход электроэнергии"),0)</f>
        <v>0.51141119569964011</v>
      </c>
      <c r="AK137" s="961">
        <f ca="1">IFERROR(SUMIFS(INDEX(Electricity_LOAD_1,,MATCH($K137&amp;"Принято органом регулирования",ЭЭ!$AE$8:$BB$8,0)),ЭЭ!$F$25:$F$109,$F137,ЭЭ!$AC$25:$AC$109,"Удельный расход электроэнергии"),0)</f>
        <v>0.51141119569964011</v>
      </c>
      <c r="AL137" s="316"/>
      <c r="AM137" s="91" t="s">
        <v>2314</v>
      </c>
      <c r="AN137" s="91"/>
      <c r="AO137" s="705" cm="1">
        <f t="array" ref="AO137">K137</f>
        <v>2028</v>
      </c>
      <c r="AP137" s="91"/>
      <c r="AQ137" s="91"/>
    </row>
    <row r="138" spans="1:43" s="967" customFormat="1" ht="14.25" hidden="1" customHeight="1">
      <c r="A138" s="91"/>
      <c r="B138" s="353" t="b">
        <f t="shared" si="8"/>
        <v>0</v>
      </c>
      <c r="C138" s="91"/>
      <c r="D138" s="91"/>
      <c r="E138" s="518">
        <v>15</v>
      </c>
      <c r="F138" s="3" t="str" cm="1">
        <f t="array" aca="1" ref="F138" ca="1">OFFSET(E138,-1,1)</f>
        <v>2</v>
      </c>
      <c r="G138" s="91"/>
      <c r="H138" s="91"/>
      <c r="I138" s="91"/>
      <c r="J138" s="91"/>
      <c r="K138" s="91">
        <f>first_year+5</f>
        <v>2029</v>
      </c>
      <c r="L138" s="91"/>
      <c r="M138" s="91"/>
      <c r="N138" s="91"/>
      <c r="O138" s="91"/>
      <c r="P138" s="91"/>
      <c r="Q138" s="91"/>
      <c r="R138" s="91"/>
      <c r="S138" s="91"/>
      <c r="T138" s="365" t="b" cm="1">
        <f t="array" ref="T138">T137</f>
        <v>1</v>
      </c>
      <c r="U138" s="91"/>
      <c r="V138" s="91"/>
      <c r="W138" s="91"/>
      <c r="X138" s="1075"/>
      <c r="Y138" s="91"/>
      <c r="Z138" s="1065"/>
      <c r="AA138" s="91"/>
      <c r="AB138" s="573" t="str">
        <f t="shared" si="9"/>
        <v>2029 год</v>
      </c>
      <c r="AC138" s="962"/>
      <c r="AD138" s="961">
        <f ca="1">IFERROR(SUMIFS(INDEX(Сценарии!$AE$25:$BF$109,,MATCH($K138&amp;"Принято органом регулирования",Сценарии!$AE$8:$BF$8,0)),Сценарии!$F$25:$F$109,$F138,Сценарии!$AC$25:$AC$109,"Индекс эффективности операционных расходов"),0)</f>
        <v>0</v>
      </c>
      <c r="AE138" s="962"/>
      <c r="AF138" s="962">
        <f ca="1">IFERROR(SUMIFS(INDEX(Баланс!$AE$25:$BB$300,,MATCH($K138&amp;"Принято органом регулирования",Баланс!$AE$8:$BB$8,0)),Баланс!$F$25:$F$300,$F138,Баланс!$AC$24:$AC$300,"Уровень потерь воды"),0)</f>
        <v>0</v>
      </c>
      <c r="AG138" s="961">
        <f ca="1">IFERROR(SUMIFS(INDEX(Electricity_LOAD_1,,MATCH($K138&amp;"Принято органом регулирования",ЭЭ!$AE$8:$BB$8,0)),ЭЭ!$F$25:$F$109,$F138,ЭЭ!$AC$25:$AC$109,"Удельный расход электроэнергии"),0)</f>
        <v>0</v>
      </c>
      <c r="AH138" s="968"/>
      <c r="AI138" s="968"/>
      <c r="AJ138" s="961">
        <f ca="1">IFERROR(SUMIFS(INDEX(Electricity_LOAD_1,,MATCH($K138&amp;"Принято органом регулирования",ЭЭ!$AE$8:$BB$8,0)),ЭЭ!$F$25:$F$109,$F138,ЭЭ!$AC$25:$AC$109,"Удельный расход электроэнергии"),0)</f>
        <v>0</v>
      </c>
      <c r="AK138" s="961">
        <f ca="1">IFERROR(SUMIFS(INDEX(Electricity_LOAD_1,,MATCH($K138&amp;"Принято органом регулирования",ЭЭ!$AE$8:$BB$8,0)),ЭЭ!$F$25:$F$109,$F138,ЭЭ!$AC$25:$AC$109,"Удельный расход электроэнергии"),0)</f>
        <v>0</v>
      </c>
      <c r="AL138" s="316"/>
      <c r="AM138" s="91" t="s">
        <v>2314</v>
      </c>
      <c r="AN138" s="91"/>
      <c r="AO138" s="705" cm="1">
        <f t="array" ref="AO138">K138</f>
        <v>2029</v>
      </c>
      <c r="AP138" s="91"/>
      <c r="AQ138" s="91"/>
    </row>
    <row r="139" spans="1:43" s="967" customFormat="1" ht="14.25" hidden="1" customHeight="1">
      <c r="A139" s="91"/>
      <c r="B139" s="353" t="b">
        <f t="shared" si="8"/>
        <v>0</v>
      </c>
      <c r="C139" s="91"/>
      <c r="D139" s="91"/>
      <c r="E139" s="518">
        <v>15</v>
      </c>
      <c r="F139" s="3" t="str" cm="1">
        <f t="array" aca="1" ref="F139" ca="1">OFFSET(E139,-1,1)</f>
        <v>2</v>
      </c>
      <c r="G139" s="91"/>
      <c r="H139" s="91"/>
      <c r="I139" s="91"/>
      <c r="J139" s="91"/>
      <c r="K139" s="91">
        <f>first_year+6</f>
        <v>2030</v>
      </c>
      <c r="L139" s="91"/>
      <c r="M139" s="91"/>
      <c r="N139" s="91"/>
      <c r="O139" s="91"/>
      <c r="P139" s="91"/>
      <c r="Q139" s="91"/>
      <c r="R139" s="91"/>
      <c r="S139" s="91"/>
      <c r="T139" s="365" t="b" cm="1">
        <f t="array" ref="T139">T138</f>
        <v>1</v>
      </c>
      <c r="U139" s="91"/>
      <c r="V139" s="91"/>
      <c r="W139" s="91"/>
      <c r="X139" s="1075"/>
      <c r="Y139" s="91"/>
      <c r="Z139" s="1065"/>
      <c r="AA139" s="91"/>
      <c r="AB139" s="573" t="str">
        <f t="shared" si="9"/>
        <v>2030 год</v>
      </c>
      <c r="AC139" s="962"/>
      <c r="AD139" s="961">
        <f ca="1">IFERROR(SUMIFS(INDEX(Сценарии!$AE$25:$BF$109,,MATCH($K139&amp;"Принято органом регулирования",Сценарии!$AE$8:$BF$8,0)),Сценарии!$F$25:$F$109,$F139,Сценарии!$AC$25:$AC$109,"Индекс эффективности операционных расходов"),0)</f>
        <v>0</v>
      </c>
      <c r="AE139" s="962"/>
      <c r="AF139" s="962">
        <f ca="1">IFERROR(SUMIFS(INDEX(Баланс!$AE$25:$BB$300,,MATCH($K139&amp;"Принято органом регулирования",Баланс!$AE$8:$BB$8,0)),Баланс!$F$25:$F$300,$F139,Баланс!$AC$24:$AC$300,"Уровень потерь воды"),0)</f>
        <v>0</v>
      </c>
      <c r="AG139" s="961">
        <f ca="1">IFERROR(SUMIFS(INDEX(Electricity_LOAD_1,,MATCH($K139&amp;"Принято органом регулирования",ЭЭ!$AE$8:$BB$8,0)),ЭЭ!$F$25:$F$109,$F139,ЭЭ!$AC$25:$AC$109,"Удельный расход электроэнергии"),0)</f>
        <v>0</v>
      </c>
      <c r="AH139" s="968"/>
      <c r="AI139" s="968"/>
      <c r="AJ139" s="961">
        <f ca="1">IFERROR(SUMIFS(INDEX(Electricity_LOAD_1,,MATCH($K139&amp;"Принято органом регулирования",ЭЭ!$AE$8:$BB$8,0)),ЭЭ!$F$25:$F$109,$F139,ЭЭ!$AC$25:$AC$109,"Удельный расход электроэнергии"),0)</f>
        <v>0</v>
      </c>
      <c r="AK139" s="961">
        <f ca="1">IFERROR(SUMIFS(INDEX(Electricity_LOAD_1,,MATCH($K139&amp;"Принято органом регулирования",ЭЭ!$AE$8:$BB$8,0)),ЭЭ!$F$25:$F$109,$F139,ЭЭ!$AC$25:$AC$109,"Удельный расход электроэнергии"),0)</f>
        <v>0</v>
      </c>
      <c r="AL139" s="316"/>
      <c r="AM139" s="91" t="s">
        <v>2314</v>
      </c>
      <c r="AN139" s="91"/>
      <c r="AO139" s="705" cm="1">
        <f t="array" ref="AO139">K139</f>
        <v>2030</v>
      </c>
      <c r="AP139" s="91"/>
      <c r="AQ139" s="91"/>
    </row>
    <row r="140" spans="1:43" s="967" customFormat="1" ht="14.25" hidden="1" customHeight="1">
      <c r="A140" s="91"/>
      <c r="B140" s="353" t="b">
        <f t="shared" si="8"/>
        <v>0</v>
      </c>
      <c r="C140" s="91"/>
      <c r="D140" s="91"/>
      <c r="E140" s="518">
        <v>15</v>
      </c>
      <c r="F140" s="3" t="str" cm="1">
        <f t="array" aca="1" ref="F140" ca="1">OFFSET(E140,-1,1)</f>
        <v>2</v>
      </c>
      <c r="G140" s="91"/>
      <c r="H140" s="91"/>
      <c r="I140" s="91"/>
      <c r="J140" s="91"/>
      <c r="K140" s="91">
        <f>first_year+7</f>
        <v>2031</v>
      </c>
      <c r="L140" s="91"/>
      <c r="M140" s="91"/>
      <c r="N140" s="91"/>
      <c r="O140" s="91"/>
      <c r="P140" s="91"/>
      <c r="Q140" s="91"/>
      <c r="R140" s="91"/>
      <c r="S140" s="91"/>
      <c r="T140" s="365" t="b" cm="1">
        <f t="array" ref="T140">T139</f>
        <v>1</v>
      </c>
      <c r="U140" s="91"/>
      <c r="V140" s="91"/>
      <c r="W140" s="91"/>
      <c r="X140" s="1075"/>
      <c r="Y140" s="91"/>
      <c r="Z140" s="1065"/>
      <c r="AA140" s="91"/>
      <c r="AB140" s="573" t="str">
        <f t="shared" si="9"/>
        <v>2031 год</v>
      </c>
      <c r="AC140" s="962"/>
      <c r="AD140" s="961">
        <f ca="1">IFERROR(SUMIFS(INDEX(Сценарии!$AE$25:$BF$109,,MATCH($K140&amp;"Принято органом регулирования",Сценарии!$AE$8:$BF$8,0)),Сценарии!$F$25:$F$109,$F140,Сценарии!$AC$25:$AC$109,"Индекс эффективности операционных расходов"),0)</f>
        <v>0</v>
      </c>
      <c r="AE140" s="962"/>
      <c r="AF140" s="962">
        <f ca="1">IFERROR(SUMIFS(INDEX(Баланс!$AE$25:$BB$300,,MATCH($K140&amp;"Принято органом регулирования",Баланс!$AE$8:$BB$8,0)),Баланс!$F$25:$F$300,$F140,Баланс!$AC$24:$AC$300,"Уровень потерь воды"),0)</f>
        <v>0</v>
      </c>
      <c r="AG140" s="961">
        <f ca="1">IFERROR(SUMIFS(INDEX(Electricity_LOAD_1,,MATCH($K140&amp;"Принято органом регулирования",ЭЭ!$AE$8:$BB$8,0)),ЭЭ!$F$25:$F$109,$F140,ЭЭ!$AC$25:$AC$109,"Удельный расход электроэнергии"),0)</f>
        <v>0</v>
      </c>
      <c r="AH140" s="968"/>
      <c r="AI140" s="968"/>
      <c r="AJ140" s="961">
        <f ca="1">IFERROR(SUMIFS(INDEX(Electricity_LOAD_1,,MATCH($K140&amp;"Принято органом регулирования",ЭЭ!$AE$8:$BB$8,0)),ЭЭ!$F$25:$F$109,$F140,ЭЭ!$AC$25:$AC$109,"Удельный расход электроэнергии"),0)</f>
        <v>0</v>
      </c>
      <c r="AK140" s="961">
        <f ca="1">IFERROR(SUMIFS(INDEX(Electricity_LOAD_1,,MATCH($K140&amp;"Принято органом регулирования",ЭЭ!$AE$8:$BB$8,0)),ЭЭ!$F$25:$F$109,$F140,ЭЭ!$AC$25:$AC$109,"Удельный расход электроэнергии"),0)</f>
        <v>0</v>
      </c>
      <c r="AL140" s="316"/>
      <c r="AM140" s="91" t="s">
        <v>2314</v>
      </c>
      <c r="AN140" s="91"/>
      <c r="AO140" s="705" cm="1">
        <f t="array" ref="AO140">K140</f>
        <v>2031</v>
      </c>
      <c r="AP140" s="91"/>
      <c r="AQ140" s="91"/>
    </row>
    <row r="141" spans="1:43" s="967" customFormat="1" ht="14.25" hidden="1" customHeight="1">
      <c r="A141" s="91"/>
      <c r="B141" s="353" t="b">
        <f t="shared" si="8"/>
        <v>0</v>
      </c>
      <c r="C141" s="91"/>
      <c r="D141" s="91"/>
      <c r="E141" s="518">
        <v>15</v>
      </c>
      <c r="F141" s="3" t="str" cm="1">
        <f t="array" aca="1" ref="F141" ca="1">OFFSET(E141,-1,1)</f>
        <v>2</v>
      </c>
      <c r="G141" s="91"/>
      <c r="H141" s="91"/>
      <c r="I141" s="91"/>
      <c r="J141" s="91"/>
      <c r="K141" s="91">
        <f>first_year+8</f>
        <v>2032</v>
      </c>
      <c r="L141" s="91"/>
      <c r="M141" s="91"/>
      <c r="N141" s="91"/>
      <c r="O141" s="91"/>
      <c r="P141" s="91"/>
      <c r="Q141" s="91"/>
      <c r="R141" s="91"/>
      <c r="S141" s="91"/>
      <c r="T141" s="365" t="b" cm="1">
        <f t="array" ref="T141">T140</f>
        <v>1</v>
      </c>
      <c r="U141" s="91"/>
      <c r="V141" s="91"/>
      <c r="W141" s="91"/>
      <c r="X141" s="1075"/>
      <c r="Y141" s="91"/>
      <c r="Z141" s="1065"/>
      <c r="AA141" s="91"/>
      <c r="AB141" s="573" t="str">
        <f t="shared" si="9"/>
        <v>2032 год</v>
      </c>
      <c r="AC141" s="962"/>
      <c r="AD141" s="961">
        <f ca="1">IFERROR(SUMIFS(INDEX(Сценарии!$AE$25:$BF$109,,MATCH($K141&amp;"Принято органом регулирования",Сценарии!$AE$8:$BF$8,0)),Сценарии!$F$25:$F$109,$F141,Сценарии!$AC$25:$AC$109,"Индекс эффективности операционных расходов"),0)</f>
        <v>0</v>
      </c>
      <c r="AE141" s="962"/>
      <c r="AF141" s="962">
        <f ca="1">IFERROR(SUMIFS(INDEX(Баланс!$AE$25:$BB$300,,MATCH($K141&amp;"Принято органом регулирования",Баланс!$AE$8:$BB$8,0)),Баланс!$F$25:$F$300,$F141,Баланс!$AC$24:$AC$300,"Уровень потерь воды"),0)</f>
        <v>0</v>
      </c>
      <c r="AG141" s="961">
        <f ca="1">IFERROR(SUMIFS(INDEX(Electricity_LOAD_1,,MATCH($K141&amp;"Принято органом регулирования",ЭЭ!$AE$8:$BB$8,0)),ЭЭ!$F$25:$F$109,$F141,ЭЭ!$AC$25:$AC$109,"Удельный расход электроэнергии"),0)</f>
        <v>0</v>
      </c>
      <c r="AH141" s="968"/>
      <c r="AI141" s="968"/>
      <c r="AJ141" s="961">
        <f ca="1">IFERROR(SUMIFS(INDEX(Electricity_LOAD_1,,MATCH($K141&amp;"Принято органом регулирования",ЭЭ!$AE$8:$BB$8,0)),ЭЭ!$F$25:$F$109,$F141,ЭЭ!$AC$25:$AC$109,"Удельный расход электроэнергии"),0)</f>
        <v>0</v>
      </c>
      <c r="AK141" s="961">
        <f ca="1">IFERROR(SUMIFS(INDEX(Electricity_LOAD_1,,MATCH($K141&amp;"Принято органом регулирования",ЭЭ!$AE$8:$BB$8,0)),ЭЭ!$F$25:$F$109,$F141,ЭЭ!$AC$25:$AC$109,"Удельный расход электроэнергии"),0)</f>
        <v>0</v>
      </c>
      <c r="AL141" s="316"/>
      <c r="AM141" s="91" t="s">
        <v>2314</v>
      </c>
      <c r="AN141" s="91"/>
      <c r="AO141" s="705" cm="1">
        <f t="array" ref="AO141">K141</f>
        <v>2032</v>
      </c>
      <c r="AP141" s="91"/>
      <c r="AQ141" s="91"/>
    </row>
    <row r="142" spans="1:43" s="967" customFormat="1" ht="14.25" hidden="1" customHeight="1">
      <c r="A142" s="91"/>
      <c r="B142" s="353" t="b">
        <f t="shared" si="8"/>
        <v>0</v>
      </c>
      <c r="C142" s="91"/>
      <c r="D142" s="91"/>
      <c r="E142" s="518">
        <v>15</v>
      </c>
      <c r="F142" s="3" t="str" cm="1">
        <f t="array" aca="1" ref="F142" ca="1">OFFSET(E142,-1,1)</f>
        <v>2</v>
      </c>
      <c r="G142" s="91"/>
      <c r="H142" s="91"/>
      <c r="I142" s="91"/>
      <c r="J142" s="91"/>
      <c r="K142" s="91">
        <f>first_year+9</f>
        <v>2033</v>
      </c>
      <c r="L142" s="91"/>
      <c r="M142" s="91"/>
      <c r="N142" s="91"/>
      <c r="O142" s="91"/>
      <c r="P142" s="91"/>
      <c r="Q142" s="91"/>
      <c r="R142" s="91"/>
      <c r="S142" s="91"/>
      <c r="T142" s="365" t="b" cm="1">
        <f t="array" ref="T142">T141</f>
        <v>1</v>
      </c>
      <c r="U142" s="91"/>
      <c r="V142" s="91"/>
      <c r="W142" s="91"/>
      <c r="X142" s="1075"/>
      <c r="Y142" s="91"/>
      <c r="Z142" s="1065"/>
      <c r="AA142" s="91"/>
      <c r="AB142" s="573" t="str">
        <f t="shared" si="9"/>
        <v>2033 год</v>
      </c>
      <c r="AC142" s="962"/>
      <c r="AD142" s="961">
        <f ca="1">IFERROR(SUMIFS(INDEX(Сценарии!$AE$25:$BF$109,,MATCH($K142&amp;"Принято органом регулирования",Сценарии!$AE$8:$BF$8,0)),Сценарии!$F$25:$F$109,$F142,Сценарии!$AC$25:$AC$109,"Индекс эффективности операционных расходов"),0)</f>
        <v>0</v>
      </c>
      <c r="AE142" s="962"/>
      <c r="AF142" s="962">
        <f ca="1">IFERROR(SUMIFS(INDEX(Баланс!$AE$25:$BB$300,,MATCH($K142&amp;"Принято органом регулирования",Баланс!$AE$8:$BB$8,0)),Баланс!$F$25:$F$300,$F142,Баланс!$AC$24:$AC$300,"Уровень потерь воды"),0)</f>
        <v>0</v>
      </c>
      <c r="AG142" s="961">
        <f ca="1">IFERROR(SUMIFS(INDEX(Electricity_LOAD_1,,MATCH($K142&amp;"Принято органом регулирования",ЭЭ!$AE$8:$BB$8,0)),ЭЭ!$F$25:$F$109,$F142,ЭЭ!$AC$25:$AC$109,"Удельный расход электроэнергии"),0)</f>
        <v>0</v>
      </c>
      <c r="AH142" s="968"/>
      <c r="AI142" s="968"/>
      <c r="AJ142" s="961">
        <f ca="1">IFERROR(SUMIFS(INDEX(Electricity_LOAD_1,,MATCH($K142&amp;"Принято органом регулирования",ЭЭ!$AE$8:$BB$8,0)),ЭЭ!$F$25:$F$109,$F142,ЭЭ!$AC$25:$AC$109,"Удельный расход электроэнергии"),0)</f>
        <v>0</v>
      </c>
      <c r="AK142" s="961">
        <f ca="1">IFERROR(SUMIFS(INDEX(Electricity_LOAD_1,,MATCH($K142&amp;"Принято органом регулирования",ЭЭ!$AE$8:$BB$8,0)),ЭЭ!$F$25:$F$109,$F142,ЭЭ!$AC$25:$AC$109,"Удельный расход электроэнергии"),0)</f>
        <v>0</v>
      </c>
      <c r="AL142" s="316"/>
      <c r="AM142" s="91" t="s">
        <v>2314</v>
      </c>
      <c r="AN142" s="91"/>
      <c r="AO142" s="705" cm="1">
        <f t="array" ref="AO142">K142</f>
        <v>2033</v>
      </c>
      <c r="AP142" s="91"/>
      <c r="AQ142" s="91"/>
    </row>
    <row r="143" spans="1:43" s="967" customFormat="1" ht="14.25" hidden="1" customHeight="1">
      <c r="A143" s="91"/>
      <c r="B143" s="353" t="b">
        <f t="shared" si="8"/>
        <v>0</v>
      </c>
      <c r="C143" s="91"/>
      <c r="D143" s="91"/>
      <c r="E143" s="518">
        <v>15</v>
      </c>
      <c r="F143" s="3" t="str" cm="1">
        <f t="array" aca="1" ref="F143" ca="1">OFFSET(E143,-1,1)</f>
        <v>2</v>
      </c>
      <c r="G143" s="91"/>
      <c r="H143" s="91"/>
      <c r="I143" s="91"/>
      <c r="J143" s="91"/>
      <c r="K143" s="91">
        <f>first_year+10</f>
        <v>2034</v>
      </c>
      <c r="L143" s="91"/>
      <c r="M143" s="91"/>
      <c r="N143" s="91"/>
      <c r="O143" s="91"/>
      <c r="P143" s="91"/>
      <c r="Q143" s="91"/>
      <c r="R143" s="91"/>
      <c r="S143" s="91"/>
      <c r="T143" s="365" t="b" cm="1">
        <f t="array" ref="T143">T142</f>
        <v>1</v>
      </c>
      <c r="U143" s="91"/>
      <c r="V143" s="91"/>
      <c r="W143" s="91"/>
      <c r="X143" s="1075"/>
      <c r="Y143" s="91"/>
      <c r="Z143" s="1065"/>
      <c r="AA143" s="91"/>
      <c r="AB143" s="573" t="str">
        <f t="shared" si="9"/>
        <v>2034 год</v>
      </c>
      <c r="AC143" s="962"/>
      <c r="AD143" s="961"/>
      <c r="AE143" s="962"/>
      <c r="AF143" s="962"/>
      <c r="AG143" s="961"/>
      <c r="AH143" s="968"/>
      <c r="AI143" s="968"/>
      <c r="AJ143" s="961"/>
      <c r="AK143" s="963"/>
      <c r="AL143" s="316"/>
      <c r="AM143" s="91"/>
      <c r="AN143" s="91"/>
      <c r="AO143" s="705" cm="1">
        <f t="array" ref="AO143">K143</f>
        <v>2034</v>
      </c>
      <c r="AP143" s="91"/>
      <c r="AQ143" s="91"/>
    </row>
    <row r="144" spans="1:43" s="967" customFormat="1" ht="14.25" hidden="1" customHeight="1">
      <c r="A144" s="91"/>
      <c r="B144" s="353" t="b">
        <f t="shared" si="8"/>
        <v>0</v>
      </c>
      <c r="C144" s="91"/>
      <c r="D144" s="91"/>
      <c r="E144" s="518">
        <v>15</v>
      </c>
      <c r="F144" s="3" t="str" cm="1">
        <f t="array" aca="1" ref="F144" ca="1">OFFSET(E144,-1,1)</f>
        <v>2</v>
      </c>
      <c r="G144" s="91"/>
      <c r="H144" s="91"/>
      <c r="I144" s="91"/>
      <c r="J144" s="91"/>
      <c r="K144" s="91">
        <f>first_year+11</f>
        <v>2035</v>
      </c>
      <c r="L144" s="91"/>
      <c r="M144" s="91"/>
      <c r="N144" s="91"/>
      <c r="O144" s="91"/>
      <c r="P144" s="91"/>
      <c r="Q144" s="91"/>
      <c r="R144" s="91"/>
      <c r="S144" s="91"/>
      <c r="T144" s="365" t="b" cm="1">
        <f t="array" ref="T144">T143</f>
        <v>1</v>
      </c>
      <c r="U144" s="91"/>
      <c r="V144" s="91"/>
      <c r="W144" s="91"/>
      <c r="X144" s="1075"/>
      <c r="Y144" s="91"/>
      <c r="Z144" s="1065"/>
      <c r="AA144" s="91"/>
      <c r="AB144" s="187" t="str">
        <f t="shared" si="9"/>
        <v>2035 год</v>
      </c>
      <c r="AC144" s="962"/>
      <c r="AD144" s="964"/>
      <c r="AE144" s="965"/>
      <c r="AF144" s="965"/>
      <c r="AG144" s="964"/>
      <c r="AH144" s="970"/>
      <c r="AI144" s="970"/>
      <c r="AJ144" s="964"/>
      <c r="AK144" s="966"/>
      <c r="AL144" s="316"/>
      <c r="AM144" s="91"/>
      <c r="AN144" s="91"/>
      <c r="AO144" s="705" cm="1">
        <f t="array" ref="AO144">K144</f>
        <v>2035</v>
      </c>
      <c r="AP144" s="91"/>
      <c r="AQ144" s="91"/>
    </row>
    <row r="145" spans="1:43" s="967" customFormat="1" ht="14.25" hidden="1" customHeight="1">
      <c r="A145" s="91"/>
      <c r="B145" s="353" t="b">
        <f t="shared" si="8"/>
        <v>0</v>
      </c>
      <c r="C145" s="91"/>
      <c r="D145" s="91"/>
      <c r="E145" s="518">
        <v>15</v>
      </c>
      <c r="F145" s="3" t="str" cm="1">
        <f t="array" aca="1" ref="F145" ca="1">OFFSET(E145,-1,1)</f>
        <v>2</v>
      </c>
      <c r="G145" s="91"/>
      <c r="H145" s="91"/>
      <c r="I145" s="91"/>
      <c r="J145" s="91"/>
      <c r="K145" s="91">
        <f>first_year+12</f>
        <v>2036</v>
      </c>
      <c r="L145" s="91"/>
      <c r="M145" s="91"/>
      <c r="N145" s="91"/>
      <c r="O145" s="91"/>
      <c r="P145" s="91"/>
      <c r="Q145" s="91"/>
      <c r="R145" s="91"/>
      <c r="S145" s="91"/>
      <c r="T145" s="365" t="b" cm="1">
        <f t="array" ref="T145">T144</f>
        <v>1</v>
      </c>
      <c r="U145" s="91"/>
      <c r="V145" s="91"/>
      <c r="W145" s="91"/>
      <c r="X145" s="1075"/>
      <c r="Y145" s="91"/>
      <c r="Z145" s="1065"/>
      <c r="AA145" s="91"/>
      <c r="AB145" s="187" t="str">
        <f t="shared" si="9"/>
        <v>2036 год</v>
      </c>
      <c r="AC145" s="962"/>
      <c r="AD145" s="964"/>
      <c r="AE145" s="965"/>
      <c r="AF145" s="965"/>
      <c r="AG145" s="964"/>
      <c r="AH145" s="970"/>
      <c r="AI145" s="970"/>
      <c r="AJ145" s="964"/>
      <c r="AK145" s="966"/>
      <c r="AL145" s="316"/>
      <c r="AM145" s="91"/>
      <c r="AN145" s="91"/>
      <c r="AO145" s="705" cm="1">
        <f t="array" ref="AO145">K145</f>
        <v>2036</v>
      </c>
      <c r="AP145" s="91"/>
      <c r="AQ145" s="91"/>
    </row>
    <row r="146" spans="1:43" s="967" customFormat="1" ht="14.25" hidden="1" customHeight="1">
      <c r="A146" s="91"/>
      <c r="B146" s="353" t="b">
        <f t="shared" si="8"/>
        <v>0</v>
      </c>
      <c r="C146" s="91"/>
      <c r="D146" s="91"/>
      <c r="E146" s="518">
        <v>15</v>
      </c>
      <c r="F146" s="3" t="str" cm="1">
        <f t="array" aca="1" ref="F146" ca="1">OFFSET(E146,-1,1)</f>
        <v>2</v>
      </c>
      <c r="G146" s="91"/>
      <c r="H146" s="91"/>
      <c r="I146" s="91"/>
      <c r="J146" s="91"/>
      <c r="K146" s="91">
        <f>first_year+13</f>
        <v>2037</v>
      </c>
      <c r="L146" s="91"/>
      <c r="M146" s="91"/>
      <c r="N146" s="91"/>
      <c r="O146" s="91"/>
      <c r="P146" s="91"/>
      <c r="Q146" s="91"/>
      <c r="R146" s="91"/>
      <c r="S146" s="91"/>
      <c r="T146" s="365" t="b" cm="1">
        <f t="array" ref="T146">T145</f>
        <v>1</v>
      </c>
      <c r="U146" s="91"/>
      <c r="V146" s="91"/>
      <c r="W146" s="91"/>
      <c r="X146" s="1075"/>
      <c r="Y146" s="91"/>
      <c r="Z146" s="1065"/>
      <c r="AA146" s="91"/>
      <c r="AB146" s="187" t="str">
        <f t="shared" si="9"/>
        <v>2037 год</v>
      </c>
      <c r="AC146" s="962"/>
      <c r="AD146" s="964"/>
      <c r="AE146" s="965"/>
      <c r="AF146" s="965"/>
      <c r="AG146" s="964"/>
      <c r="AH146" s="970"/>
      <c r="AI146" s="970"/>
      <c r="AJ146" s="964"/>
      <c r="AK146" s="966"/>
      <c r="AL146" s="316"/>
      <c r="AM146" s="91"/>
      <c r="AN146" s="91"/>
      <c r="AO146" s="705" cm="1">
        <f t="array" ref="AO146">K146</f>
        <v>2037</v>
      </c>
      <c r="AP146" s="91"/>
      <c r="AQ146" s="91"/>
    </row>
    <row r="147" spans="1:43" s="967" customFormat="1" ht="14.25" hidden="1" customHeight="1">
      <c r="A147" s="91"/>
      <c r="B147" s="353" t="b">
        <f t="shared" si="8"/>
        <v>0</v>
      </c>
      <c r="C147" s="91"/>
      <c r="D147" s="91"/>
      <c r="E147" s="518">
        <v>15</v>
      </c>
      <c r="F147" s="3" t="str" cm="1">
        <f t="array" aca="1" ref="F147" ca="1">OFFSET(E147,-1,1)</f>
        <v>2</v>
      </c>
      <c r="G147" s="91"/>
      <c r="H147" s="91"/>
      <c r="I147" s="91"/>
      <c r="J147" s="91"/>
      <c r="K147" s="91">
        <f>first_year+14</f>
        <v>2038</v>
      </c>
      <c r="L147" s="91"/>
      <c r="M147" s="91"/>
      <c r="N147" s="91"/>
      <c r="O147" s="91"/>
      <c r="P147" s="91"/>
      <c r="Q147" s="91"/>
      <c r="R147" s="91"/>
      <c r="S147" s="91"/>
      <c r="T147" s="365" t="b" cm="1">
        <f t="array" ref="T147">T146</f>
        <v>1</v>
      </c>
      <c r="U147" s="91"/>
      <c r="V147" s="91"/>
      <c r="W147" s="91"/>
      <c r="X147" s="1075"/>
      <c r="Y147" s="91"/>
      <c r="Z147" s="1065"/>
      <c r="AA147" s="91"/>
      <c r="AB147" s="187" t="str">
        <f t="shared" si="9"/>
        <v>2038 год</v>
      </c>
      <c r="AC147" s="962"/>
      <c r="AD147" s="964"/>
      <c r="AE147" s="965"/>
      <c r="AF147" s="965"/>
      <c r="AG147" s="964"/>
      <c r="AH147" s="970"/>
      <c r="AI147" s="970"/>
      <c r="AJ147" s="964"/>
      <c r="AK147" s="966"/>
      <c r="AL147" s="316"/>
      <c r="AM147" s="91"/>
      <c r="AN147" s="91"/>
      <c r="AO147" s="705" cm="1">
        <f t="array" ref="AO147">K147</f>
        <v>2038</v>
      </c>
      <c r="AP147" s="91"/>
      <c r="AQ147" s="91"/>
    </row>
    <row r="148" spans="1:43" s="967" customFormat="1" ht="14.25" hidden="1" customHeight="1">
      <c r="A148" s="91"/>
      <c r="B148" s="353" t="b">
        <f t="shared" si="8"/>
        <v>0</v>
      </c>
      <c r="C148" s="91"/>
      <c r="D148" s="91"/>
      <c r="E148" s="518">
        <v>15</v>
      </c>
      <c r="F148" s="3" t="str" cm="1">
        <f t="array" aca="1" ref="F148" ca="1">OFFSET(E148,-1,1)</f>
        <v>2</v>
      </c>
      <c r="G148" s="91"/>
      <c r="H148" s="91"/>
      <c r="I148" s="91"/>
      <c r="J148" s="91"/>
      <c r="K148" s="91">
        <f>first_year+15</f>
        <v>2039</v>
      </c>
      <c r="L148" s="91"/>
      <c r="M148" s="91"/>
      <c r="N148" s="91"/>
      <c r="O148" s="91"/>
      <c r="P148" s="91"/>
      <c r="Q148" s="91"/>
      <c r="R148" s="91"/>
      <c r="S148" s="91"/>
      <c r="T148" s="365" t="b" cm="1">
        <f t="array" ref="T148">T147</f>
        <v>1</v>
      </c>
      <c r="U148" s="91"/>
      <c r="V148" s="91"/>
      <c r="W148" s="91"/>
      <c r="X148" s="1075"/>
      <c r="Y148" s="91"/>
      <c r="Z148" s="1065"/>
      <c r="AA148" s="91"/>
      <c r="AB148" s="187" t="str">
        <f t="shared" si="9"/>
        <v>2039 год</v>
      </c>
      <c r="AC148" s="962"/>
      <c r="AD148" s="964"/>
      <c r="AE148" s="965"/>
      <c r="AF148" s="965"/>
      <c r="AG148" s="964"/>
      <c r="AH148" s="970"/>
      <c r="AI148" s="970"/>
      <c r="AJ148" s="964"/>
      <c r="AK148" s="966"/>
      <c r="AL148" s="316"/>
      <c r="AM148" s="91"/>
      <c r="AN148" s="91"/>
      <c r="AO148" s="705" cm="1">
        <f t="array" ref="AO148">K148</f>
        <v>2039</v>
      </c>
      <c r="AP148" s="91"/>
      <c r="AQ148" s="91"/>
    </row>
    <row r="149" spans="1:43" s="967" customFormat="1" ht="14.25" hidden="1" customHeight="1">
      <c r="A149" s="91"/>
      <c r="B149" s="353" t="b">
        <f t="shared" si="8"/>
        <v>0</v>
      </c>
      <c r="C149" s="91"/>
      <c r="D149" s="91"/>
      <c r="E149" s="518">
        <v>15</v>
      </c>
      <c r="F149" s="3" t="str" cm="1">
        <f t="array" aca="1" ref="F149" ca="1">OFFSET(E149,-1,1)</f>
        <v>2</v>
      </c>
      <c r="G149" s="91"/>
      <c r="H149" s="91"/>
      <c r="I149" s="91"/>
      <c r="J149" s="91"/>
      <c r="K149" s="91">
        <f>first_year+16</f>
        <v>2040</v>
      </c>
      <c r="L149" s="91"/>
      <c r="M149" s="91"/>
      <c r="N149" s="91"/>
      <c r="O149" s="91"/>
      <c r="P149" s="91"/>
      <c r="Q149" s="91"/>
      <c r="R149" s="91"/>
      <c r="S149" s="91"/>
      <c r="T149" s="365" t="b" cm="1">
        <f t="array" ref="T149">T148</f>
        <v>1</v>
      </c>
      <c r="U149" s="91"/>
      <c r="V149" s="91"/>
      <c r="W149" s="91"/>
      <c r="X149" s="1075"/>
      <c r="Y149" s="91"/>
      <c r="Z149" s="1065"/>
      <c r="AA149" s="91"/>
      <c r="AB149" s="187" t="str">
        <f t="shared" si="9"/>
        <v>2040 год</v>
      </c>
      <c r="AC149" s="962"/>
      <c r="AD149" s="964"/>
      <c r="AE149" s="965"/>
      <c r="AF149" s="965"/>
      <c r="AG149" s="964"/>
      <c r="AH149" s="970"/>
      <c r="AI149" s="970"/>
      <c r="AJ149" s="964"/>
      <c r="AK149" s="966"/>
      <c r="AL149" s="316"/>
      <c r="AM149" s="91"/>
      <c r="AN149" s="91"/>
      <c r="AO149" s="705" cm="1">
        <f t="array" ref="AO149">K149</f>
        <v>2040</v>
      </c>
      <c r="AP149" s="91"/>
      <c r="AQ149" s="91"/>
    </row>
    <row r="150" spans="1:43" s="967" customFormat="1" ht="14.25" hidden="1" customHeight="1">
      <c r="A150" s="91"/>
      <c r="B150" s="353" t="b">
        <f t="shared" si="8"/>
        <v>0</v>
      </c>
      <c r="C150" s="91"/>
      <c r="D150" s="91"/>
      <c r="E150" s="518">
        <v>15</v>
      </c>
      <c r="F150" s="3" t="str" cm="1">
        <f t="array" aca="1" ref="F150" ca="1">OFFSET(E150,-1,1)</f>
        <v>2</v>
      </c>
      <c r="G150" s="91"/>
      <c r="H150" s="91"/>
      <c r="I150" s="91"/>
      <c r="J150" s="91"/>
      <c r="K150" s="91">
        <f>first_year+17</f>
        <v>2041</v>
      </c>
      <c r="L150" s="91"/>
      <c r="M150" s="91"/>
      <c r="N150" s="91"/>
      <c r="O150" s="91"/>
      <c r="P150" s="91"/>
      <c r="Q150" s="91"/>
      <c r="R150" s="91"/>
      <c r="S150" s="91"/>
      <c r="T150" s="365" t="b" cm="1">
        <f t="array" ref="T150">T149</f>
        <v>1</v>
      </c>
      <c r="U150" s="91"/>
      <c r="V150" s="91"/>
      <c r="W150" s="91"/>
      <c r="X150" s="1075"/>
      <c r="Y150" s="91"/>
      <c r="Z150" s="1065"/>
      <c r="AA150" s="91"/>
      <c r="AB150" s="187" t="str">
        <f t="shared" si="9"/>
        <v>2041 год</v>
      </c>
      <c r="AC150" s="962"/>
      <c r="AD150" s="964"/>
      <c r="AE150" s="965"/>
      <c r="AF150" s="965"/>
      <c r="AG150" s="964"/>
      <c r="AH150" s="970"/>
      <c r="AI150" s="970"/>
      <c r="AJ150" s="964"/>
      <c r="AK150" s="966"/>
      <c r="AL150" s="316"/>
      <c r="AM150" s="91"/>
      <c r="AN150" s="91"/>
      <c r="AO150" s="705" cm="1">
        <f t="array" ref="AO150">K150</f>
        <v>2041</v>
      </c>
      <c r="AP150" s="91"/>
      <c r="AQ150" s="91"/>
    </row>
    <row r="151" spans="1:43" s="967" customFormat="1" ht="14.25" hidden="1" customHeight="1">
      <c r="A151" s="91"/>
      <c r="B151" s="353" t="b">
        <f t="shared" si="8"/>
        <v>0</v>
      </c>
      <c r="C151" s="91"/>
      <c r="D151" s="91"/>
      <c r="E151" s="518">
        <v>15</v>
      </c>
      <c r="F151" s="3" t="str" cm="1">
        <f t="array" aca="1" ref="F151" ca="1">OFFSET(E151,-1,1)</f>
        <v>2</v>
      </c>
      <c r="G151" s="91"/>
      <c r="H151" s="91"/>
      <c r="I151" s="91"/>
      <c r="J151" s="91"/>
      <c r="K151" s="91">
        <f>first_year+18</f>
        <v>2042</v>
      </c>
      <c r="L151" s="91"/>
      <c r="M151" s="91"/>
      <c r="N151" s="91"/>
      <c r="O151" s="91"/>
      <c r="P151" s="91"/>
      <c r="Q151" s="91"/>
      <c r="R151" s="91"/>
      <c r="S151" s="91"/>
      <c r="T151" s="365" t="b" cm="1">
        <f t="array" ref="T151">T150</f>
        <v>1</v>
      </c>
      <c r="U151" s="91"/>
      <c r="V151" s="91"/>
      <c r="W151" s="91"/>
      <c r="X151" s="1075"/>
      <c r="Y151" s="91"/>
      <c r="Z151" s="1065"/>
      <c r="AA151" s="91"/>
      <c r="AB151" s="187" t="str">
        <f t="shared" si="9"/>
        <v>2042 год</v>
      </c>
      <c r="AC151" s="962"/>
      <c r="AD151" s="964"/>
      <c r="AE151" s="965"/>
      <c r="AF151" s="965"/>
      <c r="AG151" s="964"/>
      <c r="AH151" s="970"/>
      <c r="AI151" s="970"/>
      <c r="AJ151" s="964"/>
      <c r="AK151" s="966"/>
      <c r="AL151" s="316"/>
      <c r="AM151" s="91"/>
      <c r="AN151" s="91"/>
      <c r="AO151" s="705" cm="1">
        <f t="array" ref="AO151">K151</f>
        <v>2042</v>
      </c>
      <c r="AP151" s="91"/>
      <c r="AQ151" s="91"/>
    </row>
    <row r="152" spans="1:43" s="967" customFormat="1" ht="14.25" hidden="1" customHeight="1">
      <c r="A152" s="91"/>
      <c r="B152" s="353" t="b">
        <f t="shared" si="8"/>
        <v>0</v>
      </c>
      <c r="C152" s="91"/>
      <c r="D152" s="91"/>
      <c r="E152" s="518">
        <v>15</v>
      </c>
      <c r="F152" s="3" t="str" cm="1">
        <f t="array" aca="1" ref="F152" ca="1">OFFSET(E152,-1,1)</f>
        <v>2</v>
      </c>
      <c r="G152" s="91"/>
      <c r="H152" s="91"/>
      <c r="I152" s="91"/>
      <c r="J152" s="91"/>
      <c r="K152" s="91">
        <f>first_year+19</f>
        <v>2043</v>
      </c>
      <c r="L152" s="91"/>
      <c r="M152" s="91"/>
      <c r="N152" s="91"/>
      <c r="O152" s="91"/>
      <c r="P152" s="91"/>
      <c r="Q152" s="91"/>
      <c r="R152" s="91"/>
      <c r="S152" s="91"/>
      <c r="T152" s="365" t="b" cm="1">
        <f t="array" ref="T152">T151</f>
        <v>1</v>
      </c>
      <c r="U152" s="91"/>
      <c r="V152" s="91"/>
      <c r="W152" s="91"/>
      <c r="X152" s="1075"/>
      <c r="Y152" s="91"/>
      <c r="Z152" s="1065"/>
      <c r="AA152" s="91"/>
      <c r="AB152" s="187" t="str">
        <f t="shared" si="9"/>
        <v>2043 год</v>
      </c>
      <c r="AC152" s="962"/>
      <c r="AD152" s="964"/>
      <c r="AE152" s="965"/>
      <c r="AF152" s="965"/>
      <c r="AG152" s="964"/>
      <c r="AH152" s="970"/>
      <c r="AI152" s="970"/>
      <c r="AJ152" s="964"/>
      <c r="AK152" s="966"/>
      <c r="AL152" s="316"/>
      <c r="AM152" s="91"/>
      <c r="AN152" s="91"/>
      <c r="AO152" s="705" cm="1">
        <f t="array" ref="AO152">K152</f>
        <v>2043</v>
      </c>
      <c r="AP152" s="91"/>
      <c r="AQ152" s="91"/>
    </row>
    <row r="153" spans="1:43" s="967" customFormat="1" ht="14.25" hidden="1" customHeight="1">
      <c r="A153" s="91"/>
      <c r="B153" s="353" t="b">
        <f t="shared" si="8"/>
        <v>0</v>
      </c>
      <c r="C153" s="91"/>
      <c r="D153" s="91"/>
      <c r="E153" s="518">
        <v>15</v>
      </c>
      <c r="F153" s="3" t="str" cm="1">
        <f t="array" aca="1" ref="F153" ca="1">OFFSET(E153,-1,1)</f>
        <v>2</v>
      </c>
      <c r="G153" s="91"/>
      <c r="H153" s="91"/>
      <c r="I153" s="91"/>
      <c r="J153" s="91"/>
      <c r="K153" s="91">
        <f>first_year+20</f>
        <v>2044</v>
      </c>
      <c r="L153" s="91"/>
      <c r="M153" s="91"/>
      <c r="N153" s="91"/>
      <c r="O153" s="91"/>
      <c r="P153" s="91"/>
      <c r="Q153" s="91"/>
      <c r="R153" s="91"/>
      <c r="S153" s="91"/>
      <c r="T153" s="365" t="b" cm="1">
        <f t="array" ref="T153">T152</f>
        <v>1</v>
      </c>
      <c r="U153" s="91"/>
      <c r="V153" s="91"/>
      <c r="W153" s="91"/>
      <c r="X153" s="1075"/>
      <c r="Y153" s="91"/>
      <c r="Z153" s="1065"/>
      <c r="AA153" s="91"/>
      <c r="AB153" s="187" t="str">
        <f t="shared" si="9"/>
        <v>2044 год</v>
      </c>
      <c r="AC153" s="962"/>
      <c r="AD153" s="964"/>
      <c r="AE153" s="965"/>
      <c r="AF153" s="965"/>
      <c r="AG153" s="964"/>
      <c r="AH153" s="970"/>
      <c r="AI153" s="970"/>
      <c r="AJ153" s="964"/>
      <c r="AK153" s="966"/>
      <c r="AL153" s="316"/>
      <c r="AM153" s="91"/>
      <c r="AN153" s="91"/>
      <c r="AO153" s="705" cm="1">
        <f t="array" ref="AO153">K153</f>
        <v>2044</v>
      </c>
      <c r="AP153" s="91"/>
      <c r="AQ153" s="91"/>
    </row>
    <row r="154" spans="1:43" s="967" customFormat="1" ht="14.25" hidden="1" customHeight="1">
      <c r="A154" s="91"/>
      <c r="B154" s="353" t="b">
        <f t="shared" si="8"/>
        <v>0</v>
      </c>
      <c r="C154" s="91"/>
      <c r="D154" s="91"/>
      <c r="E154" s="518">
        <v>15</v>
      </c>
      <c r="F154" s="3" t="str" cm="1">
        <f t="array" aca="1" ref="F154" ca="1">OFFSET(E154,-1,1)</f>
        <v>2</v>
      </c>
      <c r="G154" s="91"/>
      <c r="H154" s="91"/>
      <c r="I154" s="91"/>
      <c r="J154" s="91"/>
      <c r="K154" s="91">
        <f>first_year+21</f>
        <v>2045</v>
      </c>
      <c r="L154" s="91"/>
      <c r="M154" s="91"/>
      <c r="N154" s="91"/>
      <c r="O154" s="91"/>
      <c r="P154" s="91"/>
      <c r="Q154" s="91"/>
      <c r="R154" s="91"/>
      <c r="S154" s="91"/>
      <c r="T154" s="365" t="b" cm="1">
        <f t="array" ref="T154">T153</f>
        <v>1</v>
      </c>
      <c r="U154" s="91"/>
      <c r="V154" s="91"/>
      <c r="W154" s="91"/>
      <c r="X154" s="1075"/>
      <c r="Y154" s="91"/>
      <c r="Z154" s="1065"/>
      <c r="AA154" s="91"/>
      <c r="AB154" s="187" t="str">
        <f t="shared" si="9"/>
        <v>2045 год</v>
      </c>
      <c r="AC154" s="962"/>
      <c r="AD154" s="964"/>
      <c r="AE154" s="965"/>
      <c r="AF154" s="965"/>
      <c r="AG154" s="964"/>
      <c r="AH154" s="970"/>
      <c r="AI154" s="970"/>
      <c r="AJ154" s="964"/>
      <c r="AK154" s="966"/>
      <c r="AL154" s="316"/>
      <c r="AM154" s="91"/>
      <c r="AN154" s="91"/>
      <c r="AO154" s="705" cm="1">
        <f t="array" ref="AO154">K154</f>
        <v>2045</v>
      </c>
      <c r="AP154" s="91"/>
      <c r="AQ154" s="91"/>
    </row>
    <row r="155" spans="1:43" s="967" customFormat="1" ht="14.25" hidden="1" customHeight="1">
      <c r="A155" s="91"/>
      <c r="B155" s="353" t="b">
        <f t="shared" si="8"/>
        <v>0</v>
      </c>
      <c r="C155" s="91"/>
      <c r="D155" s="91"/>
      <c r="E155" s="518">
        <v>15</v>
      </c>
      <c r="F155" s="3" t="str" cm="1">
        <f t="array" aca="1" ref="F155" ca="1">OFFSET(E155,-1,1)</f>
        <v>2</v>
      </c>
      <c r="G155" s="91"/>
      <c r="H155" s="91"/>
      <c r="I155" s="91"/>
      <c r="J155" s="91"/>
      <c r="K155" s="91">
        <f>first_year+22</f>
        <v>2046</v>
      </c>
      <c r="L155" s="91"/>
      <c r="M155" s="91"/>
      <c r="N155" s="91"/>
      <c r="O155" s="91"/>
      <c r="P155" s="91"/>
      <c r="Q155" s="91"/>
      <c r="R155" s="91"/>
      <c r="S155" s="91"/>
      <c r="T155" s="365" t="b" cm="1">
        <f t="array" ref="T155">T154</f>
        <v>1</v>
      </c>
      <c r="U155" s="91"/>
      <c r="V155" s="91"/>
      <c r="W155" s="91"/>
      <c r="X155" s="1075"/>
      <c r="Y155" s="91"/>
      <c r="Z155" s="1065"/>
      <c r="AA155" s="91"/>
      <c r="AB155" s="187" t="str">
        <f t="shared" si="9"/>
        <v>2046 год</v>
      </c>
      <c r="AC155" s="962"/>
      <c r="AD155" s="964"/>
      <c r="AE155" s="965"/>
      <c r="AF155" s="965"/>
      <c r="AG155" s="964"/>
      <c r="AH155" s="970"/>
      <c r="AI155" s="970"/>
      <c r="AJ155" s="964"/>
      <c r="AK155" s="966"/>
      <c r="AL155" s="316"/>
      <c r="AM155" s="91"/>
      <c r="AN155" s="91"/>
      <c r="AO155" s="705" cm="1">
        <f t="array" ref="AO155">K155</f>
        <v>2046</v>
      </c>
      <c r="AP155" s="91"/>
      <c r="AQ155" s="91"/>
    </row>
    <row r="156" spans="1:43" s="967" customFormat="1" ht="14.25" hidden="1" customHeight="1">
      <c r="A156" s="91"/>
      <c r="B156" s="353" t="b">
        <f t="shared" si="8"/>
        <v>0</v>
      </c>
      <c r="C156" s="91"/>
      <c r="D156" s="91"/>
      <c r="E156" s="518">
        <v>15</v>
      </c>
      <c r="F156" s="3" t="str" cm="1">
        <f t="array" aca="1" ref="F156" ca="1">OFFSET(E156,-1,1)</f>
        <v>2</v>
      </c>
      <c r="G156" s="91"/>
      <c r="H156" s="91"/>
      <c r="I156" s="91"/>
      <c r="J156" s="91"/>
      <c r="K156" s="91">
        <f>first_year+23</f>
        <v>2047</v>
      </c>
      <c r="L156" s="91"/>
      <c r="M156" s="91"/>
      <c r="N156" s="91"/>
      <c r="O156" s="91"/>
      <c r="P156" s="91"/>
      <c r="Q156" s="91"/>
      <c r="R156" s="91"/>
      <c r="S156" s="91"/>
      <c r="T156" s="365" t="b" cm="1">
        <f t="array" ref="T156">T155</f>
        <v>1</v>
      </c>
      <c r="U156" s="91"/>
      <c r="V156" s="91"/>
      <c r="W156" s="91"/>
      <c r="X156" s="1075"/>
      <c r="Y156" s="91"/>
      <c r="Z156" s="1065"/>
      <c r="AA156" s="91"/>
      <c r="AB156" s="187" t="str">
        <f t="shared" si="9"/>
        <v>2047 год</v>
      </c>
      <c r="AC156" s="962"/>
      <c r="AD156" s="964"/>
      <c r="AE156" s="965"/>
      <c r="AF156" s="965"/>
      <c r="AG156" s="964"/>
      <c r="AH156" s="970"/>
      <c r="AI156" s="970"/>
      <c r="AJ156" s="964"/>
      <c r="AK156" s="966"/>
      <c r="AL156" s="316"/>
      <c r="AM156" s="91"/>
      <c r="AN156" s="91"/>
      <c r="AO156" s="705" cm="1">
        <f t="array" ref="AO156">K156</f>
        <v>2047</v>
      </c>
      <c r="AP156" s="91"/>
      <c r="AQ156" s="91"/>
    </row>
    <row r="157" spans="1:43" s="967" customFormat="1" ht="14.25" hidden="1" customHeight="1">
      <c r="A157" s="91"/>
      <c r="B157" s="353" t="b">
        <f t="shared" si="8"/>
        <v>0</v>
      </c>
      <c r="C157" s="91"/>
      <c r="D157" s="91"/>
      <c r="E157" s="518">
        <v>15</v>
      </c>
      <c r="F157" s="3" t="str" cm="1">
        <f t="array" aca="1" ref="F157" ca="1">OFFSET(E157,-1,1)</f>
        <v>2</v>
      </c>
      <c r="G157" s="91"/>
      <c r="H157" s="91"/>
      <c r="I157" s="91"/>
      <c r="J157" s="91"/>
      <c r="K157" s="91">
        <f>first_year+24</f>
        <v>2048</v>
      </c>
      <c r="L157" s="91"/>
      <c r="M157" s="91"/>
      <c r="N157" s="91"/>
      <c r="O157" s="91"/>
      <c r="P157" s="91"/>
      <c r="Q157" s="91"/>
      <c r="R157" s="91"/>
      <c r="S157" s="91"/>
      <c r="T157" s="365" t="b" cm="1">
        <f t="array" ref="T157">T156</f>
        <v>1</v>
      </c>
      <c r="U157" s="91"/>
      <c r="V157" s="91"/>
      <c r="W157" s="91"/>
      <c r="X157" s="1075"/>
      <c r="Y157" s="91"/>
      <c r="Z157" s="1065"/>
      <c r="AA157" s="91"/>
      <c r="AB157" s="187" t="str">
        <f t="shared" si="9"/>
        <v>2048 год</v>
      </c>
      <c r="AC157" s="962"/>
      <c r="AD157" s="964"/>
      <c r="AE157" s="965"/>
      <c r="AF157" s="965"/>
      <c r="AG157" s="964"/>
      <c r="AH157" s="970"/>
      <c r="AI157" s="970"/>
      <c r="AJ157" s="964"/>
      <c r="AK157" s="966"/>
      <c r="AL157" s="316"/>
      <c r="AM157" s="91"/>
      <c r="AN157" s="91"/>
      <c r="AO157" s="705" cm="1">
        <f t="array" ref="AO157">K157</f>
        <v>2048</v>
      </c>
      <c r="AP157" s="91"/>
      <c r="AQ157" s="91"/>
    </row>
    <row r="158" spans="1:43" s="967" customFormat="1" ht="14.25" hidden="1" customHeight="1">
      <c r="A158" s="91"/>
      <c r="B158" s="353" t="b">
        <f t="shared" si="8"/>
        <v>0</v>
      </c>
      <c r="C158" s="91"/>
      <c r="D158" s="91"/>
      <c r="E158" s="518">
        <v>15</v>
      </c>
      <c r="F158" s="3" t="str" cm="1">
        <f t="array" aca="1" ref="F158" ca="1">OFFSET(E158,-1,1)</f>
        <v>2</v>
      </c>
      <c r="G158" s="91"/>
      <c r="H158" s="91"/>
      <c r="I158" s="91"/>
      <c r="J158" s="91"/>
      <c r="K158" s="91">
        <f>first_year+25</f>
        <v>2049</v>
      </c>
      <c r="L158" s="91"/>
      <c r="M158" s="91"/>
      <c r="N158" s="91"/>
      <c r="O158" s="91"/>
      <c r="P158" s="91"/>
      <c r="Q158" s="91"/>
      <c r="R158" s="91"/>
      <c r="S158" s="91"/>
      <c r="T158" s="365" t="b" cm="1">
        <f t="array" ref="T158">T157</f>
        <v>1</v>
      </c>
      <c r="U158" s="91"/>
      <c r="V158" s="91"/>
      <c r="W158" s="91"/>
      <c r="X158" s="1075"/>
      <c r="Y158" s="91"/>
      <c r="Z158" s="1065"/>
      <c r="AA158" s="91"/>
      <c r="AB158" s="187" t="str">
        <f t="shared" si="9"/>
        <v>2049 год</v>
      </c>
      <c r="AC158" s="962"/>
      <c r="AD158" s="964"/>
      <c r="AE158" s="965"/>
      <c r="AF158" s="965"/>
      <c r="AG158" s="964"/>
      <c r="AH158" s="970"/>
      <c r="AI158" s="970"/>
      <c r="AJ158" s="964"/>
      <c r="AK158" s="966"/>
      <c r="AL158" s="316"/>
      <c r="AM158" s="91"/>
      <c r="AN158" s="91"/>
      <c r="AO158" s="705" cm="1">
        <f t="array" ref="AO158">K158</f>
        <v>2049</v>
      </c>
      <c r="AP158" s="91"/>
      <c r="AQ158" s="91"/>
    </row>
    <row r="159" spans="1:43" s="967" customFormat="1" ht="14.25" hidden="1" customHeight="1">
      <c r="A159" s="91"/>
      <c r="B159" s="353" t="b">
        <f t="shared" si="8"/>
        <v>0</v>
      </c>
      <c r="C159" s="91"/>
      <c r="D159" s="91"/>
      <c r="E159" s="518">
        <v>15</v>
      </c>
      <c r="F159" s="3" t="str" cm="1">
        <f t="array" aca="1" ref="F159" ca="1">OFFSET(E159,-1,1)</f>
        <v>2</v>
      </c>
      <c r="G159" s="91"/>
      <c r="H159" s="91"/>
      <c r="I159" s="91"/>
      <c r="J159" s="91"/>
      <c r="K159" s="91">
        <f>first_year+26</f>
        <v>2050</v>
      </c>
      <c r="L159" s="91"/>
      <c r="M159" s="91"/>
      <c r="N159" s="91"/>
      <c r="O159" s="91"/>
      <c r="P159" s="91"/>
      <c r="Q159" s="91"/>
      <c r="R159" s="91"/>
      <c r="S159" s="91"/>
      <c r="T159" s="365" t="b" cm="1">
        <f t="array" ref="T159">T158</f>
        <v>1</v>
      </c>
      <c r="U159" s="91"/>
      <c r="V159" s="91"/>
      <c r="W159" s="91"/>
      <c r="X159" s="1075"/>
      <c r="Y159" s="91"/>
      <c r="Z159" s="1065"/>
      <c r="AA159" s="91"/>
      <c r="AB159" s="187" t="str">
        <f t="shared" si="9"/>
        <v>2050 год</v>
      </c>
      <c r="AC159" s="962"/>
      <c r="AD159" s="964"/>
      <c r="AE159" s="965"/>
      <c r="AF159" s="965"/>
      <c r="AG159" s="964"/>
      <c r="AH159" s="970"/>
      <c r="AI159" s="970"/>
      <c r="AJ159" s="964"/>
      <c r="AK159" s="966"/>
      <c r="AL159" s="316"/>
      <c r="AM159" s="91"/>
      <c r="AN159" s="91"/>
      <c r="AO159" s="705" cm="1">
        <f t="array" ref="AO159">K159</f>
        <v>2050</v>
      </c>
      <c r="AP159" s="91"/>
      <c r="AQ159" s="91"/>
    </row>
    <row r="160" spans="1:43" s="967" customFormat="1" ht="14.25" hidden="1" customHeight="1">
      <c r="A160" s="91"/>
      <c r="B160" s="353" t="b">
        <f t="shared" si="8"/>
        <v>0</v>
      </c>
      <c r="C160" s="91"/>
      <c r="D160" s="91"/>
      <c r="E160" s="518">
        <v>15</v>
      </c>
      <c r="F160" s="3" t="str" cm="1">
        <f t="array" aca="1" ref="F160" ca="1">OFFSET(E160,-1,1)</f>
        <v>2</v>
      </c>
      <c r="G160" s="91"/>
      <c r="H160" s="91"/>
      <c r="I160" s="91"/>
      <c r="J160" s="91"/>
      <c r="K160" s="91">
        <f>first_year+27</f>
        <v>2051</v>
      </c>
      <c r="L160" s="91"/>
      <c r="M160" s="91"/>
      <c r="N160" s="91"/>
      <c r="O160" s="91"/>
      <c r="P160" s="91"/>
      <c r="Q160" s="91"/>
      <c r="R160" s="91"/>
      <c r="S160" s="91"/>
      <c r="T160" s="365" t="b" cm="1">
        <f t="array" ref="T160">T159</f>
        <v>1</v>
      </c>
      <c r="U160" s="91"/>
      <c r="V160" s="91"/>
      <c r="W160" s="91"/>
      <c r="X160" s="1075"/>
      <c r="Y160" s="91"/>
      <c r="Z160" s="1065"/>
      <c r="AA160" s="91"/>
      <c r="AB160" s="187" t="str">
        <f t="shared" si="9"/>
        <v>2051 год</v>
      </c>
      <c r="AC160" s="962"/>
      <c r="AD160" s="964"/>
      <c r="AE160" s="965"/>
      <c r="AF160" s="965"/>
      <c r="AG160" s="964"/>
      <c r="AH160" s="970"/>
      <c r="AI160" s="970"/>
      <c r="AJ160" s="964"/>
      <c r="AK160" s="966"/>
      <c r="AL160" s="316"/>
      <c r="AM160" s="91"/>
      <c r="AN160" s="91"/>
      <c r="AO160" s="705" cm="1">
        <f t="array" ref="AO160">K160</f>
        <v>2051</v>
      </c>
      <c r="AP160" s="91"/>
      <c r="AQ160" s="91"/>
    </row>
    <row r="161" spans="1:43" s="967" customFormat="1" ht="14.25" hidden="1" customHeight="1">
      <c r="A161" s="91"/>
      <c r="B161" s="353" t="b">
        <f t="shared" si="8"/>
        <v>0</v>
      </c>
      <c r="C161" s="91"/>
      <c r="D161" s="91"/>
      <c r="E161" s="518">
        <v>15</v>
      </c>
      <c r="F161" s="3" t="str" cm="1">
        <f t="array" aca="1" ref="F161" ca="1">OFFSET(E161,-1,1)</f>
        <v>2</v>
      </c>
      <c r="G161" s="91"/>
      <c r="H161" s="91"/>
      <c r="I161" s="91"/>
      <c r="J161" s="91"/>
      <c r="K161" s="91">
        <f>first_year+28</f>
        <v>2052</v>
      </c>
      <c r="L161" s="91"/>
      <c r="M161" s="91"/>
      <c r="N161" s="91"/>
      <c r="O161" s="91"/>
      <c r="P161" s="91"/>
      <c r="Q161" s="91"/>
      <c r="R161" s="91"/>
      <c r="S161" s="91"/>
      <c r="T161" s="365" t="b" cm="1">
        <f t="array" ref="T161">T160</f>
        <v>1</v>
      </c>
      <c r="U161" s="91"/>
      <c r="V161" s="91"/>
      <c r="W161" s="91"/>
      <c r="X161" s="1075"/>
      <c r="Y161" s="91"/>
      <c r="Z161" s="1065"/>
      <c r="AA161" s="91"/>
      <c r="AB161" s="187" t="str">
        <f t="shared" si="9"/>
        <v>2052 год</v>
      </c>
      <c r="AC161" s="962"/>
      <c r="AD161" s="964"/>
      <c r="AE161" s="965"/>
      <c r="AF161" s="965"/>
      <c r="AG161" s="964"/>
      <c r="AH161" s="970"/>
      <c r="AI161" s="970"/>
      <c r="AJ161" s="964"/>
      <c r="AK161" s="966"/>
      <c r="AL161" s="316"/>
      <c r="AM161" s="91"/>
      <c r="AN161" s="91"/>
      <c r="AO161" s="705" cm="1">
        <f t="array" ref="AO161">K161</f>
        <v>2052</v>
      </c>
      <c r="AP161" s="91"/>
      <c r="AQ161" s="91"/>
    </row>
    <row r="162" spans="1:43" s="967" customFormat="1" ht="14.25" hidden="1" customHeight="1">
      <c r="A162" s="91"/>
      <c r="B162" s="353" t="b">
        <f t="shared" si="8"/>
        <v>0</v>
      </c>
      <c r="C162" s="91"/>
      <c r="D162" s="91"/>
      <c r="E162" s="518">
        <v>15</v>
      </c>
      <c r="F162" s="3" t="str" cm="1">
        <f t="array" aca="1" ref="F162" ca="1">OFFSET(E162,-1,1)</f>
        <v>2</v>
      </c>
      <c r="G162" s="91"/>
      <c r="H162" s="91"/>
      <c r="I162" s="91"/>
      <c r="J162" s="91"/>
      <c r="K162" s="91">
        <f>first_year+29</f>
        <v>2053</v>
      </c>
      <c r="L162" s="91"/>
      <c r="M162" s="91"/>
      <c r="N162" s="91"/>
      <c r="O162" s="91"/>
      <c r="P162" s="91"/>
      <c r="Q162" s="91"/>
      <c r="R162" s="91"/>
      <c r="S162" s="91"/>
      <c r="T162" s="365" t="b" cm="1">
        <f t="array" ref="T162">T161</f>
        <v>1</v>
      </c>
      <c r="U162" s="91"/>
      <c r="V162" s="91"/>
      <c r="W162" s="91"/>
      <c r="X162" s="1075"/>
      <c r="Y162" s="91"/>
      <c r="Z162" s="1065"/>
      <c r="AA162" s="91"/>
      <c r="AB162" s="187" t="str">
        <f t="shared" si="9"/>
        <v>2053 год</v>
      </c>
      <c r="AC162" s="962"/>
      <c r="AD162" s="964"/>
      <c r="AE162" s="965"/>
      <c r="AF162" s="965"/>
      <c r="AG162" s="964"/>
      <c r="AH162" s="970"/>
      <c r="AI162" s="970"/>
      <c r="AJ162" s="964"/>
      <c r="AK162" s="966"/>
      <c r="AL162" s="316"/>
      <c r="AM162" s="91"/>
      <c r="AN162" s="91"/>
      <c r="AO162" s="705" cm="1">
        <f t="array" ref="AO162">K162</f>
        <v>2053</v>
      </c>
      <c r="AP162" s="91"/>
      <c r="AQ162" s="91"/>
    </row>
    <row r="163" spans="1:43" s="967" customFormat="1" ht="14.25" hidden="1" customHeight="1">
      <c r="A163" s="91"/>
      <c r="B163" s="353" t="b">
        <f t="shared" si="8"/>
        <v>0</v>
      </c>
      <c r="C163" s="91"/>
      <c r="D163" s="91"/>
      <c r="E163" s="518">
        <v>15</v>
      </c>
      <c r="F163" s="3" t="str" cm="1">
        <f t="array" aca="1" ref="F163" ca="1">OFFSET(E163,-1,1)</f>
        <v>2</v>
      </c>
      <c r="G163" s="91"/>
      <c r="H163" s="91"/>
      <c r="I163" s="91"/>
      <c r="J163" s="91"/>
      <c r="K163" s="91">
        <f>first_year+30</f>
        <v>2054</v>
      </c>
      <c r="L163" s="91"/>
      <c r="M163" s="91"/>
      <c r="N163" s="91"/>
      <c r="O163" s="91"/>
      <c r="P163" s="91"/>
      <c r="Q163" s="91"/>
      <c r="R163" s="91"/>
      <c r="S163" s="91"/>
      <c r="T163" s="365" t="b" cm="1">
        <f t="array" ref="T163">T162</f>
        <v>1</v>
      </c>
      <c r="U163" s="91"/>
      <c r="V163" s="91"/>
      <c r="W163" s="91"/>
      <c r="X163" s="1075"/>
      <c r="Y163" s="91"/>
      <c r="Z163" s="1065"/>
      <c r="AA163" s="91"/>
      <c r="AB163" s="187" t="str">
        <f t="shared" si="9"/>
        <v>2054 год</v>
      </c>
      <c r="AC163" s="962"/>
      <c r="AD163" s="964"/>
      <c r="AE163" s="965"/>
      <c r="AF163" s="965"/>
      <c r="AG163" s="964"/>
      <c r="AH163" s="970"/>
      <c r="AI163" s="970"/>
      <c r="AJ163" s="964"/>
      <c r="AK163" s="966"/>
      <c r="AL163" s="316"/>
      <c r="AM163" s="91"/>
      <c r="AN163" s="91"/>
      <c r="AO163" s="705" cm="1">
        <f t="array" ref="AO163">K163</f>
        <v>2054</v>
      </c>
      <c r="AP163" s="91"/>
      <c r="AQ163" s="91"/>
    </row>
    <row r="164" spans="1:43" s="967" customFormat="1" ht="14.25" hidden="1" customHeight="1">
      <c r="A164" s="91"/>
      <c r="B164" s="353" t="b">
        <f t="shared" si="8"/>
        <v>0</v>
      </c>
      <c r="C164" s="91"/>
      <c r="D164" s="91"/>
      <c r="E164" s="518">
        <v>15</v>
      </c>
      <c r="F164" s="3" t="str" cm="1">
        <f t="array" aca="1" ref="F164" ca="1">OFFSET(E164,-1,1)</f>
        <v>2</v>
      </c>
      <c r="G164" s="91"/>
      <c r="H164" s="91"/>
      <c r="I164" s="91"/>
      <c r="J164" s="91"/>
      <c r="K164" s="91">
        <f>first_year+31</f>
        <v>2055</v>
      </c>
      <c r="L164" s="91"/>
      <c r="M164" s="91"/>
      <c r="N164" s="91"/>
      <c r="O164" s="91"/>
      <c r="P164" s="91"/>
      <c r="Q164" s="91"/>
      <c r="R164" s="91"/>
      <c r="S164" s="91"/>
      <c r="T164" s="365" t="b" cm="1">
        <f t="array" ref="T164">T163</f>
        <v>1</v>
      </c>
      <c r="U164" s="91"/>
      <c r="V164" s="91"/>
      <c r="W164" s="91"/>
      <c r="X164" s="1075"/>
      <c r="Y164" s="91"/>
      <c r="Z164" s="1065"/>
      <c r="AA164" s="91"/>
      <c r="AB164" s="187" t="str">
        <f t="shared" si="9"/>
        <v>2055 год</v>
      </c>
      <c r="AC164" s="962"/>
      <c r="AD164" s="964"/>
      <c r="AE164" s="965"/>
      <c r="AF164" s="965"/>
      <c r="AG164" s="964"/>
      <c r="AH164" s="970"/>
      <c r="AI164" s="970"/>
      <c r="AJ164" s="964"/>
      <c r="AK164" s="966"/>
      <c r="AL164" s="316"/>
      <c r="AM164" s="91"/>
      <c r="AN164" s="91"/>
      <c r="AO164" s="705" cm="1">
        <f t="array" ref="AO164">K164</f>
        <v>2055</v>
      </c>
      <c r="AP164" s="91"/>
      <c r="AQ164" s="91"/>
    </row>
    <row r="165" spans="1:43" s="967" customFormat="1" ht="14.25" hidden="1" customHeight="1">
      <c r="A165" s="91"/>
      <c r="B165" s="353" t="b">
        <f t="shared" ref="B165:B182" si="10">K165&lt;first_year+PERIOD_LENGTH</f>
        <v>0</v>
      </c>
      <c r="C165" s="91"/>
      <c r="D165" s="91"/>
      <c r="E165" s="518">
        <v>15</v>
      </c>
      <c r="F165" s="3" t="str" cm="1">
        <f t="array" aca="1" ref="F165" ca="1">OFFSET(E165,-1,1)</f>
        <v>2</v>
      </c>
      <c r="G165" s="91"/>
      <c r="H165" s="91"/>
      <c r="I165" s="91"/>
      <c r="J165" s="91"/>
      <c r="K165" s="91">
        <f>first_year+32</f>
        <v>2056</v>
      </c>
      <c r="L165" s="91"/>
      <c r="M165" s="91"/>
      <c r="N165" s="91"/>
      <c r="O165" s="91"/>
      <c r="P165" s="91"/>
      <c r="Q165" s="91"/>
      <c r="R165" s="91"/>
      <c r="S165" s="91"/>
      <c r="T165" s="365" t="b" cm="1">
        <f t="array" ref="T165">T164</f>
        <v>1</v>
      </c>
      <c r="U165" s="91"/>
      <c r="V165" s="91"/>
      <c r="W165" s="91"/>
      <c r="X165" s="1075"/>
      <c r="Y165" s="91"/>
      <c r="Z165" s="1065"/>
      <c r="AA165" s="91"/>
      <c r="AB165" s="187" t="str">
        <f t="shared" ref="AB165:AB182" si="11">K165&amp;" год"</f>
        <v>2056 год</v>
      </c>
      <c r="AC165" s="962"/>
      <c r="AD165" s="964"/>
      <c r="AE165" s="965"/>
      <c r="AF165" s="965"/>
      <c r="AG165" s="964"/>
      <c r="AH165" s="970"/>
      <c r="AI165" s="970"/>
      <c r="AJ165" s="964"/>
      <c r="AK165" s="966"/>
      <c r="AL165" s="316"/>
      <c r="AM165" s="91"/>
      <c r="AN165" s="91"/>
      <c r="AO165" s="705" cm="1">
        <f t="array" ref="AO165">K165</f>
        <v>2056</v>
      </c>
      <c r="AP165" s="91"/>
      <c r="AQ165" s="91"/>
    </row>
    <row r="166" spans="1:43" s="967" customFormat="1" ht="14.25" hidden="1" customHeight="1">
      <c r="A166" s="91"/>
      <c r="B166" s="353" t="b">
        <f t="shared" si="10"/>
        <v>0</v>
      </c>
      <c r="C166" s="91"/>
      <c r="D166" s="91"/>
      <c r="E166" s="518">
        <v>15</v>
      </c>
      <c r="F166" s="3" t="str" cm="1">
        <f t="array" aca="1" ref="F166" ca="1">OFFSET(E166,-1,1)</f>
        <v>2</v>
      </c>
      <c r="G166" s="91"/>
      <c r="H166" s="91"/>
      <c r="I166" s="91"/>
      <c r="J166" s="91"/>
      <c r="K166" s="91">
        <f>first_year+33</f>
        <v>2057</v>
      </c>
      <c r="L166" s="91"/>
      <c r="M166" s="91"/>
      <c r="N166" s="91"/>
      <c r="O166" s="91"/>
      <c r="P166" s="91"/>
      <c r="Q166" s="91"/>
      <c r="R166" s="91"/>
      <c r="S166" s="91"/>
      <c r="T166" s="365" t="b" cm="1">
        <f t="array" ref="T166">T165</f>
        <v>1</v>
      </c>
      <c r="U166" s="91"/>
      <c r="V166" s="91"/>
      <c r="W166" s="91"/>
      <c r="X166" s="1075"/>
      <c r="Y166" s="91"/>
      <c r="Z166" s="1065"/>
      <c r="AA166" s="91"/>
      <c r="AB166" s="187" t="str">
        <f t="shared" si="11"/>
        <v>2057 год</v>
      </c>
      <c r="AC166" s="962"/>
      <c r="AD166" s="964"/>
      <c r="AE166" s="965"/>
      <c r="AF166" s="965"/>
      <c r="AG166" s="964"/>
      <c r="AH166" s="970"/>
      <c r="AI166" s="970"/>
      <c r="AJ166" s="964"/>
      <c r="AK166" s="966"/>
      <c r="AL166" s="316"/>
      <c r="AM166" s="91"/>
      <c r="AN166" s="91"/>
      <c r="AO166" s="705" cm="1">
        <f t="array" ref="AO166">K166</f>
        <v>2057</v>
      </c>
      <c r="AP166" s="91"/>
      <c r="AQ166" s="91"/>
    </row>
    <row r="167" spans="1:43" s="967" customFormat="1" ht="14.25" hidden="1" customHeight="1">
      <c r="A167" s="91"/>
      <c r="B167" s="353" t="b">
        <f t="shared" si="10"/>
        <v>0</v>
      </c>
      <c r="C167" s="91"/>
      <c r="D167" s="91"/>
      <c r="E167" s="518">
        <v>15</v>
      </c>
      <c r="F167" s="3" t="str" cm="1">
        <f t="array" aca="1" ref="F167" ca="1">OFFSET(E167,-1,1)</f>
        <v>2</v>
      </c>
      <c r="G167" s="91"/>
      <c r="H167" s="91"/>
      <c r="I167" s="91"/>
      <c r="J167" s="91"/>
      <c r="K167" s="91">
        <f>first_year+34</f>
        <v>2058</v>
      </c>
      <c r="L167" s="91"/>
      <c r="M167" s="91"/>
      <c r="N167" s="91"/>
      <c r="O167" s="91"/>
      <c r="P167" s="91"/>
      <c r="Q167" s="91"/>
      <c r="R167" s="91"/>
      <c r="S167" s="91"/>
      <c r="T167" s="365" t="b" cm="1">
        <f t="array" ref="T167">T166</f>
        <v>1</v>
      </c>
      <c r="U167" s="91"/>
      <c r="V167" s="91"/>
      <c r="W167" s="91"/>
      <c r="X167" s="1075"/>
      <c r="Y167" s="91"/>
      <c r="Z167" s="1065"/>
      <c r="AA167" s="91"/>
      <c r="AB167" s="187" t="str">
        <f t="shared" si="11"/>
        <v>2058 год</v>
      </c>
      <c r="AC167" s="962"/>
      <c r="AD167" s="964"/>
      <c r="AE167" s="965"/>
      <c r="AF167" s="965"/>
      <c r="AG167" s="964"/>
      <c r="AH167" s="970"/>
      <c r="AI167" s="970"/>
      <c r="AJ167" s="964"/>
      <c r="AK167" s="966"/>
      <c r="AL167" s="316"/>
      <c r="AM167" s="91"/>
      <c r="AN167" s="91"/>
      <c r="AO167" s="705" cm="1">
        <f t="array" ref="AO167">K167</f>
        <v>2058</v>
      </c>
      <c r="AP167" s="91"/>
      <c r="AQ167" s="91"/>
    </row>
    <row r="168" spans="1:43" s="967" customFormat="1" ht="14.25" hidden="1" customHeight="1">
      <c r="A168" s="91"/>
      <c r="B168" s="353" t="b">
        <f t="shared" si="10"/>
        <v>0</v>
      </c>
      <c r="C168" s="91"/>
      <c r="D168" s="91"/>
      <c r="E168" s="518">
        <v>15</v>
      </c>
      <c r="F168" s="3" t="str" cm="1">
        <f t="array" aca="1" ref="F168" ca="1">OFFSET(E168,-1,1)</f>
        <v>2</v>
      </c>
      <c r="G168" s="91"/>
      <c r="H168" s="91"/>
      <c r="I168" s="91"/>
      <c r="J168" s="91"/>
      <c r="K168" s="91">
        <f>first_year+35</f>
        <v>2059</v>
      </c>
      <c r="L168" s="91"/>
      <c r="M168" s="91"/>
      <c r="N168" s="91"/>
      <c r="O168" s="91"/>
      <c r="P168" s="91"/>
      <c r="Q168" s="91"/>
      <c r="R168" s="91"/>
      <c r="S168" s="91"/>
      <c r="T168" s="365" t="b" cm="1">
        <f t="array" ref="T168">T167</f>
        <v>1</v>
      </c>
      <c r="U168" s="91"/>
      <c r="V168" s="91"/>
      <c r="W168" s="91"/>
      <c r="X168" s="1075"/>
      <c r="Y168" s="91"/>
      <c r="Z168" s="1065"/>
      <c r="AA168" s="91"/>
      <c r="AB168" s="187" t="str">
        <f t="shared" si="11"/>
        <v>2059 год</v>
      </c>
      <c r="AC168" s="962"/>
      <c r="AD168" s="964"/>
      <c r="AE168" s="965"/>
      <c r="AF168" s="965"/>
      <c r="AG168" s="964"/>
      <c r="AH168" s="970"/>
      <c r="AI168" s="970"/>
      <c r="AJ168" s="964"/>
      <c r="AK168" s="966"/>
      <c r="AL168" s="316"/>
      <c r="AM168" s="91"/>
      <c r="AN168" s="91"/>
      <c r="AO168" s="705" cm="1">
        <f t="array" ref="AO168">K168</f>
        <v>2059</v>
      </c>
      <c r="AP168" s="91"/>
      <c r="AQ168" s="91"/>
    </row>
    <row r="169" spans="1:43" s="967" customFormat="1" ht="14.25" hidden="1" customHeight="1">
      <c r="A169" s="91"/>
      <c r="B169" s="353" t="b">
        <f t="shared" si="10"/>
        <v>0</v>
      </c>
      <c r="C169" s="91"/>
      <c r="D169" s="91"/>
      <c r="E169" s="518">
        <v>15</v>
      </c>
      <c r="F169" s="3" t="str" cm="1">
        <f t="array" aca="1" ref="F169" ca="1">OFFSET(E169,-1,1)</f>
        <v>2</v>
      </c>
      <c r="G169" s="91"/>
      <c r="H169" s="91"/>
      <c r="I169" s="91"/>
      <c r="J169" s="91"/>
      <c r="K169" s="91">
        <f>first_year+36</f>
        <v>2060</v>
      </c>
      <c r="L169" s="91"/>
      <c r="M169" s="91"/>
      <c r="N169" s="91"/>
      <c r="O169" s="91"/>
      <c r="P169" s="91"/>
      <c r="Q169" s="91"/>
      <c r="R169" s="91"/>
      <c r="S169" s="91"/>
      <c r="T169" s="365" t="b" cm="1">
        <f t="array" ref="T169">T168</f>
        <v>1</v>
      </c>
      <c r="U169" s="91"/>
      <c r="V169" s="91"/>
      <c r="W169" s="91"/>
      <c r="X169" s="1075"/>
      <c r="Y169" s="91"/>
      <c r="Z169" s="1065"/>
      <c r="AA169" s="91"/>
      <c r="AB169" s="187" t="str">
        <f t="shared" si="11"/>
        <v>2060 год</v>
      </c>
      <c r="AC169" s="962"/>
      <c r="AD169" s="964"/>
      <c r="AE169" s="965"/>
      <c r="AF169" s="965"/>
      <c r="AG169" s="964"/>
      <c r="AH169" s="970"/>
      <c r="AI169" s="970"/>
      <c r="AJ169" s="964"/>
      <c r="AK169" s="966"/>
      <c r="AL169" s="316"/>
      <c r="AM169" s="91"/>
      <c r="AN169" s="91"/>
      <c r="AO169" s="705" cm="1">
        <f t="array" ref="AO169">K169</f>
        <v>2060</v>
      </c>
      <c r="AP169" s="91"/>
      <c r="AQ169" s="91"/>
    </row>
    <row r="170" spans="1:43" s="967" customFormat="1" ht="14.25" hidden="1" customHeight="1">
      <c r="A170" s="91"/>
      <c r="B170" s="353" t="b">
        <f t="shared" si="10"/>
        <v>0</v>
      </c>
      <c r="C170" s="91"/>
      <c r="D170" s="91"/>
      <c r="E170" s="518">
        <v>15</v>
      </c>
      <c r="F170" s="3" t="str" cm="1">
        <f t="array" aca="1" ref="F170" ca="1">OFFSET(E170,-1,1)</f>
        <v>2</v>
      </c>
      <c r="G170" s="91"/>
      <c r="H170" s="91"/>
      <c r="I170" s="91"/>
      <c r="J170" s="91"/>
      <c r="K170" s="91">
        <f>first_year+37</f>
        <v>2061</v>
      </c>
      <c r="L170" s="91"/>
      <c r="M170" s="91"/>
      <c r="N170" s="91"/>
      <c r="O170" s="91"/>
      <c r="P170" s="91"/>
      <c r="Q170" s="91"/>
      <c r="R170" s="91"/>
      <c r="S170" s="91"/>
      <c r="T170" s="365" t="b" cm="1">
        <f t="array" ref="T170">T169</f>
        <v>1</v>
      </c>
      <c r="U170" s="91"/>
      <c r="V170" s="91"/>
      <c r="W170" s="91"/>
      <c r="X170" s="1075"/>
      <c r="Y170" s="91"/>
      <c r="Z170" s="1065"/>
      <c r="AA170" s="91"/>
      <c r="AB170" s="187" t="str">
        <f t="shared" si="11"/>
        <v>2061 год</v>
      </c>
      <c r="AC170" s="962"/>
      <c r="AD170" s="964"/>
      <c r="AE170" s="965"/>
      <c r="AF170" s="965"/>
      <c r="AG170" s="964"/>
      <c r="AH170" s="970"/>
      <c r="AI170" s="970"/>
      <c r="AJ170" s="964"/>
      <c r="AK170" s="966"/>
      <c r="AL170" s="316"/>
      <c r="AM170" s="91"/>
      <c r="AN170" s="91"/>
      <c r="AO170" s="705" cm="1">
        <f t="array" ref="AO170">K170</f>
        <v>2061</v>
      </c>
      <c r="AP170" s="91"/>
      <c r="AQ170" s="91"/>
    </row>
    <row r="171" spans="1:43" s="967" customFormat="1" ht="14.25" hidden="1" customHeight="1">
      <c r="A171" s="91"/>
      <c r="B171" s="353" t="b">
        <f t="shared" si="10"/>
        <v>0</v>
      </c>
      <c r="C171" s="91"/>
      <c r="D171" s="91"/>
      <c r="E171" s="518">
        <v>15</v>
      </c>
      <c r="F171" s="3" t="str" cm="1">
        <f t="array" aca="1" ref="F171" ca="1">OFFSET(E171,-1,1)</f>
        <v>2</v>
      </c>
      <c r="G171" s="91"/>
      <c r="H171" s="91"/>
      <c r="I171" s="91"/>
      <c r="J171" s="91"/>
      <c r="K171" s="91">
        <f>first_year+38</f>
        <v>2062</v>
      </c>
      <c r="L171" s="91"/>
      <c r="M171" s="91"/>
      <c r="N171" s="91"/>
      <c r="O171" s="91"/>
      <c r="P171" s="91"/>
      <c r="Q171" s="91"/>
      <c r="R171" s="91"/>
      <c r="S171" s="91"/>
      <c r="T171" s="365" t="b" cm="1">
        <f t="array" ref="T171">T170</f>
        <v>1</v>
      </c>
      <c r="U171" s="91"/>
      <c r="V171" s="91"/>
      <c r="W171" s="91"/>
      <c r="X171" s="1075"/>
      <c r="Y171" s="91"/>
      <c r="Z171" s="1065"/>
      <c r="AA171" s="91"/>
      <c r="AB171" s="187" t="str">
        <f t="shared" si="11"/>
        <v>2062 год</v>
      </c>
      <c r="AC171" s="962"/>
      <c r="AD171" s="964"/>
      <c r="AE171" s="965"/>
      <c r="AF171" s="965"/>
      <c r="AG171" s="964"/>
      <c r="AH171" s="970"/>
      <c r="AI171" s="970"/>
      <c r="AJ171" s="964"/>
      <c r="AK171" s="966"/>
      <c r="AL171" s="316"/>
      <c r="AM171" s="91"/>
      <c r="AN171" s="91"/>
      <c r="AO171" s="705" cm="1">
        <f t="array" ref="AO171">K171</f>
        <v>2062</v>
      </c>
      <c r="AP171" s="91"/>
      <c r="AQ171" s="91"/>
    </row>
    <row r="172" spans="1:43" s="967" customFormat="1" ht="14.25" hidden="1" customHeight="1">
      <c r="A172" s="91"/>
      <c r="B172" s="353" t="b">
        <f t="shared" si="10"/>
        <v>0</v>
      </c>
      <c r="C172" s="91"/>
      <c r="D172" s="91"/>
      <c r="E172" s="518">
        <v>15</v>
      </c>
      <c r="F172" s="3" t="str" cm="1">
        <f t="array" aca="1" ref="F172" ca="1">OFFSET(E172,-1,1)</f>
        <v>2</v>
      </c>
      <c r="G172" s="91"/>
      <c r="H172" s="91"/>
      <c r="I172" s="91"/>
      <c r="J172" s="91"/>
      <c r="K172" s="91">
        <f>first_year+39</f>
        <v>2063</v>
      </c>
      <c r="L172" s="91"/>
      <c r="M172" s="91"/>
      <c r="N172" s="91"/>
      <c r="O172" s="91"/>
      <c r="P172" s="91"/>
      <c r="Q172" s="91"/>
      <c r="R172" s="91"/>
      <c r="S172" s="91"/>
      <c r="T172" s="365" t="b" cm="1">
        <f t="array" ref="T172">T171</f>
        <v>1</v>
      </c>
      <c r="U172" s="91"/>
      <c r="V172" s="91"/>
      <c r="W172" s="91"/>
      <c r="X172" s="1075"/>
      <c r="Y172" s="91"/>
      <c r="Z172" s="1065"/>
      <c r="AA172" s="91"/>
      <c r="AB172" s="187" t="str">
        <f t="shared" si="11"/>
        <v>2063 год</v>
      </c>
      <c r="AC172" s="962"/>
      <c r="AD172" s="964"/>
      <c r="AE172" s="965"/>
      <c r="AF172" s="965"/>
      <c r="AG172" s="964"/>
      <c r="AH172" s="970"/>
      <c r="AI172" s="970"/>
      <c r="AJ172" s="964"/>
      <c r="AK172" s="966"/>
      <c r="AL172" s="316"/>
      <c r="AM172" s="91"/>
      <c r="AN172" s="91"/>
      <c r="AO172" s="705" cm="1">
        <f t="array" ref="AO172">K172</f>
        <v>2063</v>
      </c>
      <c r="AP172" s="91"/>
      <c r="AQ172" s="91"/>
    </row>
    <row r="173" spans="1:43" s="967" customFormat="1" ht="14.25" hidden="1" customHeight="1">
      <c r="A173" s="91"/>
      <c r="B173" s="353" t="b">
        <f t="shared" si="10"/>
        <v>0</v>
      </c>
      <c r="C173" s="91"/>
      <c r="D173" s="91"/>
      <c r="E173" s="518">
        <v>15</v>
      </c>
      <c r="F173" s="3" t="str" cm="1">
        <f t="array" aca="1" ref="F173" ca="1">OFFSET(E173,-1,1)</f>
        <v>2</v>
      </c>
      <c r="G173" s="91"/>
      <c r="H173" s="91"/>
      <c r="I173" s="91"/>
      <c r="J173" s="91"/>
      <c r="K173" s="91">
        <f>first_year+40</f>
        <v>2064</v>
      </c>
      <c r="L173" s="91"/>
      <c r="M173" s="91"/>
      <c r="N173" s="91"/>
      <c r="O173" s="91"/>
      <c r="P173" s="91"/>
      <c r="Q173" s="91"/>
      <c r="R173" s="91"/>
      <c r="S173" s="91"/>
      <c r="T173" s="365" t="b" cm="1">
        <f t="array" ref="T173">T172</f>
        <v>1</v>
      </c>
      <c r="U173" s="91"/>
      <c r="V173" s="91"/>
      <c r="W173" s="91"/>
      <c r="X173" s="1075"/>
      <c r="Y173" s="91"/>
      <c r="Z173" s="1065"/>
      <c r="AA173" s="91"/>
      <c r="AB173" s="187" t="str">
        <f t="shared" si="11"/>
        <v>2064 год</v>
      </c>
      <c r="AC173" s="962"/>
      <c r="AD173" s="964"/>
      <c r="AE173" s="965"/>
      <c r="AF173" s="965"/>
      <c r="AG173" s="964"/>
      <c r="AH173" s="970"/>
      <c r="AI173" s="970"/>
      <c r="AJ173" s="964"/>
      <c r="AK173" s="966"/>
      <c r="AL173" s="316"/>
      <c r="AM173" s="91"/>
      <c r="AN173" s="91"/>
      <c r="AO173" s="705" cm="1">
        <f t="array" ref="AO173">K173</f>
        <v>2064</v>
      </c>
      <c r="AP173" s="91"/>
      <c r="AQ173" s="91"/>
    </row>
    <row r="174" spans="1:43" s="967" customFormat="1" ht="14.25" hidden="1" customHeight="1">
      <c r="A174" s="91"/>
      <c r="B174" s="353" t="b">
        <f t="shared" si="10"/>
        <v>0</v>
      </c>
      <c r="C174" s="91"/>
      <c r="D174" s="91"/>
      <c r="E174" s="518">
        <v>15</v>
      </c>
      <c r="F174" s="3" t="str" cm="1">
        <f t="array" aca="1" ref="F174" ca="1">OFFSET(E174,-1,1)</f>
        <v>2</v>
      </c>
      <c r="G174" s="91"/>
      <c r="H174" s="91"/>
      <c r="I174" s="91"/>
      <c r="J174" s="91"/>
      <c r="K174" s="91">
        <f>first_year+41</f>
        <v>2065</v>
      </c>
      <c r="L174" s="91"/>
      <c r="M174" s="91"/>
      <c r="N174" s="91"/>
      <c r="O174" s="91"/>
      <c r="P174" s="91"/>
      <c r="Q174" s="91"/>
      <c r="R174" s="91"/>
      <c r="S174" s="91"/>
      <c r="T174" s="365" t="b" cm="1">
        <f t="array" ref="T174">T173</f>
        <v>1</v>
      </c>
      <c r="U174" s="91"/>
      <c r="V174" s="91"/>
      <c r="W174" s="91"/>
      <c r="X174" s="1075"/>
      <c r="Y174" s="91"/>
      <c r="Z174" s="1065"/>
      <c r="AA174" s="91"/>
      <c r="AB174" s="187" t="str">
        <f t="shared" si="11"/>
        <v>2065 год</v>
      </c>
      <c r="AC174" s="962"/>
      <c r="AD174" s="964"/>
      <c r="AE174" s="965"/>
      <c r="AF174" s="965"/>
      <c r="AG174" s="964"/>
      <c r="AH174" s="970"/>
      <c r="AI174" s="970"/>
      <c r="AJ174" s="964"/>
      <c r="AK174" s="966"/>
      <c r="AL174" s="316"/>
      <c r="AM174" s="91"/>
      <c r="AN174" s="91"/>
      <c r="AO174" s="705" cm="1">
        <f t="array" ref="AO174">K174</f>
        <v>2065</v>
      </c>
      <c r="AP174" s="91"/>
      <c r="AQ174" s="91"/>
    </row>
    <row r="175" spans="1:43" s="967" customFormat="1" ht="14.25" hidden="1" customHeight="1">
      <c r="A175" s="91"/>
      <c r="B175" s="353" t="b">
        <f t="shared" si="10"/>
        <v>0</v>
      </c>
      <c r="C175" s="91"/>
      <c r="D175" s="91"/>
      <c r="E175" s="518">
        <v>15</v>
      </c>
      <c r="F175" s="3" t="str" cm="1">
        <f t="array" aca="1" ref="F175" ca="1">OFFSET(E175,-1,1)</f>
        <v>2</v>
      </c>
      <c r="G175" s="91"/>
      <c r="H175" s="91"/>
      <c r="I175" s="91"/>
      <c r="J175" s="91"/>
      <c r="K175" s="91">
        <f>first_year+42</f>
        <v>2066</v>
      </c>
      <c r="L175" s="91"/>
      <c r="M175" s="91"/>
      <c r="N175" s="91"/>
      <c r="O175" s="91"/>
      <c r="P175" s="91"/>
      <c r="Q175" s="91"/>
      <c r="R175" s="91"/>
      <c r="S175" s="91"/>
      <c r="T175" s="365" t="b" cm="1">
        <f t="array" ref="T175">T174</f>
        <v>1</v>
      </c>
      <c r="U175" s="91"/>
      <c r="V175" s="91"/>
      <c r="W175" s="91"/>
      <c r="X175" s="1075"/>
      <c r="Y175" s="91"/>
      <c r="Z175" s="1065"/>
      <c r="AA175" s="91"/>
      <c r="AB175" s="187" t="str">
        <f t="shared" si="11"/>
        <v>2066 год</v>
      </c>
      <c r="AC175" s="962"/>
      <c r="AD175" s="964"/>
      <c r="AE175" s="965"/>
      <c r="AF175" s="965"/>
      <c r="AG175" s="964"/>
      <c r="AH175" s="970"/>
      <c r="AI175" s="970"/>
      <c r="AJ175" s="964"/>
      <c r="AK175" s="966"/>
      <c r="AL175" s="316"/>
      <c r="AM175" s="91"/>
      <c r="AN175" s="91"/>
      <c r="AO175" s="705" cm="1">
        <f t="array" ref="AO175">K175</f>
        <v>2066</v>
      </c>
      <c r="AP175" s="91"/>
      <c r="AQ175" s="91"/>
    </row>
    <row r="176" spans="1:43" s="967" customFormat="1" ht="14.25" hidden="1" customHeight="1">
      <c r="A176" s="91"/>
      <c r="B176" s="353" t="b">
        <f t="shared" si="10"/>
        <v>0</v>
      </c>
      <c r="C176" s="91"/>
      <c r="D176" s="91"/>
      <c r="E176" s="518">
        <v>15</v>
      </c>
      <c r="F176" s="3" t="str" cm="1">
        <f t="array" aca="1" ref="F176" ca="1">OFFSET(E176,-1,1)</f>
        <v>2</v>
      </c>
      <c r="G176" s="91"/>
      <c r="H176" s="91"/>
      <c r="I176" s="91"/>
      <c r="J176" s="91"/>
      <c r="K176" s="91">
        <f>first_year+43</f>
        <v>2067</v>
      </c>
      <c r="L176" s="91"/>
      <c r="M176" s="91"/>
      <c r="N176" s="91"/>
      <c r="O176" s="91"/>
      <c r="P176" s="91"/>
      <c r="Q176" s="91"/>
      <c r="R176" s="91"/>
      <c r="S176" s="91"/>
      <c r="T176" s="365" t="b" cm="1">
        <f t="array" ref="T176">T175</f>
        <v>1</v>
      </c>
      <c r="U176" s="91"/>
      <c r="V176" s="91"/>
      <c r="W176" s="91"/>
      <c r="X176" s="1075"/>
      <c r="Y176" s="91"/>
      <c r="Z176" s="1065"/>
      <c r="AA176" s="91"/>
      <c r="AB176" s="187" t="str">
        <f t="shared" si="11"/>
        <v>2067 год</v>
      </c>
      <c r="AC176" s="962"/>
      <c r="AD176" s="964"/>
      <c r="AE176" s="965"/>
      <c r="AF176" s="965"/>
      <c r="AG176" s="964"/>
      <c r="AH176" s="970"/>
      <c r="AI176" s="970"/>
      <c r="AJ176" s="964"/>
      <c r="AK176" s="966"/>
      <c r="AL176" s="316"/>
      <c r="AM176" s="91"/>
      <c r="AN176" s="91"/>
      <c r="AO176" s="705" cm="1">
        <f t="array" ref="AO176">K176</f>
        <v>2067</v>
      </c>
      <c r="AP176" s="91"/>
      <c r="AQ176" s="91"/>
    </row>
    <row r="177" spans="1:43" s="967" customFormat="1" ht="14.25" hidden="1" customHeight="1">
      <c r="A177" s="91"/>
      <c r="B177" s="353" t="b">
        <f t="shared" si="10"/>
        <v>0</v>
      </c>
      <c r="C177" s="91"/>
      <c r="D177" s="91"/>
      <c r="E177" s="518">
        <v>15</v>
      </c>
      <c r="F177" s="3" t="str" cm="1">
        <f t="array" aca="1" ref="F177" ca="1">OFFSET(E177,-1,1)</f>
        <v>2</v>
      </c>
      <c r="G177" s="91"/>
      <c r="H177" s="91"/>
      <c r="I177" s="91"/>
      <c r="J177" s="91"/>
      <c r="K177" s="91">
        <f>first_year+44</f>
        <v>2068</v>
      </c>
      <c r="L177" s="91"/>
      <c r="M177" s="91"/>
      <c r="N177" s="91"/>
      <c r="O177" s="91"/>
      <c r="P177" s="91"/>
      <c r="Q177" s="91"/>
      <c r="R177" s="91"/>
      <c r="S177" s="91"/>
      <c r="T177" s="365" t="b" cm="1">
        <f t="array" ref="T177">T176</f>
        <v>1</v>
      </c>
      <c r="U177" s="91"/>
      <c r="V177" s="91"/>
      <c r="W177" s="91"/>
      <c r="X177" s="1075"/>
      <c r="Y177" s="91"/>
      <c r="Z177" s="1065"/>
      <c r="AA177" s="91"/>
      <c r="AB177" s="187" t="str">
        <f t="shared" si="11"/>
        <v>2068 год</v>
      </c>
      <c r="AC177" s="962"/>
      <c r="AD177" s="964"/>
      <c r="AE177" s="965"/>
      <c r="AF177" s="965"/>
      <c r="AG177" s="964"/>
      <c r="AH177" s="970"/>
      <c r="AI177" s="970"/>
      <c r="AJ177" s="964"/>
      <c r="AK177" s="966"/>
      <c r="AL177" s="316"/>
      <c r="AM177" s="91"/>
      <c r="AN177" s="91"/>
      <c r="AO177" s="705" cm="1">
        <f t="array" ref="AO177">K177</f>
        <v>2068</v>
      </c>
      <c r="AP177" s="91"/>
      <c r="AQ177" s="91"/>
    </row>
    <row r="178" spans="1:43" s="967" customFormat="1" ht="14.25" hidden="1" customHeight="1">
      <c r="A178" s="91"/>
      <c r="B178" s="353" t="b">
        <f t="shared" si="10"/>
        <v>0</v>
      </c>
      <c r="C178" s="91"/>
      <c r="D178" s="91"/>
      <c r="E178" s="518">
        <v>15</v>
      </c>
      <c r="F178" s="3" t="str" cm="1">
        <f t="array" aca="1" ref="F178" ca="1">OFFSET(E178,-1,1)</f>
        <v>2</v>
      </c>
      <c r="G178" s="91"/>
      <c r="H178" s="91"/>
      <c r="I178" s="91"/>
      <c r="J178" s="91"/>
      <c r="K178" s="91">
        <f>first_year+45</f>
        <v>2069</v>
      </c>
      <c r="L178" s="91"/>
      <c r="M178" s="91"/>
      <c r="N178" s="91"/>
      <c r="O178" s="91"/>
      <c r="P178" s="91"/>
      <c r="Q178" s="91"/>
      <c r="R178" s="91"/>
      <c r="S178" s="91"/>
      <c r="T178" s="365" t="b" cm="1">
        <f t="array" ref="T178">T177</f>
        <v>1</v>
      </c>
      <c r="U178" s="91"/>
      <c r="V178" s="91"/>
      <c r="W178" s="91"/>
      <c r="X178" s="1075"/>
      <c r="Y178" s="91"/>
      <c r="Z178" s="1065"/>
      <c r="AA178" s="91"/>
      <c r="AB178" s="187" t="str">
        <f t="shared" si="11"/>
        <v>2069 год</v>
      </c>
      <c r="AC178" s="962"/>
      <c r="AD178" s="964"/>
      <c r="AE178" s="965"/>
      <c r="AF178" s="965"/>
      <c r="AG178" s="964"/>
      <c r="AH178" s="970"/>
      <c r="AI178" s="970"/>
      <c r="AJ178" s="964"/>
      <c r="AK178" s="966"/>
      <c r="AL178" s="316"/>
      <c r="AM178" s="91"/>
      <c r="AN178" s="91"/>
      <c r="AO178" s="705" cm="1">
        <f t="array" ref="AO178">K178</f>
        <v>2069</v>
      </c>
      <c r="AP178" s="91"/>
      <c r="AQ178" s="91"/>
    </row>
    <row r="179" spans="1:43" s="967" customFormat="1" ht="14.25" hidden="1" customHeight="1">
      <c r="A179" s="91"/>
      <c r="B179" s="353" t="b">
        <f t="shared" si="10"/>
        <v>0</v>
      </c>
      <c r="C179" s="91"/>
      <c r="D179" s="91"/>
      <c r="E179" s="518">
        <v>15</v>
      </c>
      <c r="F179" s="3" t="str" cm="1">
        <f t="array" aca="1" ref="F179" ca="1">OFFSET(E179,-1,1)</f>
        <v>2</v>
      </c>
      <c r="G179" s="91"/>
      <c r="H179" s="91"/>
      <c r="I179" s="91"/>
      <c r="J179" s="91"/>
      <c r="K179" s="91">
        <f>first_year+46</f>
        <v>2070</v>
      </c>
      <c r="L179" s="91"/>
      <c r="M179" s="91"/>
      <c r="N179" s="91"/>
      <c r="O179" s="91"/>
      <c r="P179" s="91"/>
      <c r="Q179" s="91"/>
      <c r="R179" s="91"/>
      <c r="S179" s="91"/>
      <c r="T179" s="365" t="b" cm="1">
        <f t="array" ref="T179">T178</f>
        <v>1</v>
      </c>
      <c r="U179" s="91"/>
      <c r="V179" s="91"/>
      <c r="W179" s="91"/>
      <c r="X179" s="1075"/>
      <c r="Y179" s="91"/>
      <c r="Z179" s="1065"/>
      <c r="AA179" s="91"/>
      <c r="AB179" s="187" t="str">
        <f t="shared" si="11"/>
        <v>2070 год</v>
      </c>
      <c r="AC179" s="962"/>
      <c r="AD179" s="964"/>
      <c r="AE179" s="965"/>
      <c r="AF179" s="965"/>
      <c r="AG179" s="964"/>
      <c r="AH179" s="970"/>
      <c r="AI179" s="970"/>
      <c r="AJ179" s="964"/>
      <c r="AK179" s="966"/>
      <c r="AL179" s="316"/>
      <c r="AM179" s="91"/>
      <c r="AN179" s="91"/>
      <c r="AO179" s="705" cm="1">
        <f t="array" ref="AO179">K179</f>
        <v>2070</v>
      </c>
      <c r="AP179" s="91"/>
      <c r="AQ179" s="91"/>
    </row>
    <row r="180" spans="1:43" s="967" customFormat="1" ht="14.25" hidden="1" customHeight="1">
      <c r="A180" s="91"/>
      <c r="B180" s="353" t="b">
        <f t="shared" si="10"/>
        <v>0</v>
      </c>
      <c r="C180" s="91"/>
      <c r="D180" s="91"/>
      <c r="E180" s="518">
        <v>15</v>
      </c>
      <c r="F180" s="3" t="str" cm="1">
        <f t="array" aca="1" ref="F180" ca="1">OFFSET(E180,-1,1)</f>
        <v>2</v>
      </c>
      <c r="G180" s="91"/>
      <c r="H180" s="91"/>
      <c r="I180" s="91"/>
      <c r="J180" s="91"/>
      <c r="K180" s="91">
        <f>first_year+47</f>
        <v>2071</v>
      </c>
      <c r="L180" s="91"/>
      <c r="M180" s="91"/>
      <c r="N180" s="91"/>
      <c r="O180" s="91"/>
      <c r="P180" s="91"/>
      <c r="Q180" s="91"/>
      <c r="R180" s="91"/>
      <c r="S180" s="91"/>
      <c r="T180" s="365" t="b" cm="1">
        <f t="array" ref="T180">T179</f>
        <v>1</v>
      </c>
      <c r="U180" s="91"/>
      <c r="V180" s="91"/>
      <c r="W180" s="91"/>
      <c r="X180" s="1075"/>
      <c r="Y180" s="91"/>
      <c r="Z180" s="1065"/>
      <c r="AA180" s="91"/>
      <c r="AB180" s="187" t="str">
        <f t="shared" si="11"/>
        <v>2071 год</v>
      </c>
      <c r="AC180" s="962"/>
      <c r="AD180" s="964"/>
      <c r="AE180" s="965"/>
      <c r="AF180" s="965"/>
      <c r="AG180" s="964"/>
      <c r="AH180" s="970"/>
      <c r="AI180" s="970"/>
      <c r="AJ180" s="964"/>
      <c r="AK180" s="966"/>
      <c r="AL180" s="316"/>
      <c r="AM180" s="91"/>
      <c r="AN180" s="91"/>
      <c r="AO180" s="705" cm="1">
        <f t="array" ref="AO180">K180</f>
        <v>2071</v>
      </c>
      <c r="AP180" s="91"/>
      <c r="AQ180" s="91"/>
    </row>
    <row r="181" spans="1:43" s="967" customFormat="1" ht="14.25" hidden="1" customHeight="1">
      <c r="A181" s="91"/>
      <c r="B181" s="353" t="b">
        <f t="shared" si="10"/>
        <v>0</v>
      </c>
      <c r="C181" s="91"/>
      <c r="D181" s="91"/>
      <c r="E181" s="518">
        <v>15</v>
      </c>
      <c r="F181" s="3" t="str" cm="1">
        <f t="array" aca="1" ref="F181" ca="1">OFFSET(E181,-1,1)</f>
        <v>2</v>
      </c>
      <c r="G181" s="91"/>
      <c r="H181" s="91"/>
      <c r="I181" s="91"/>
      <c r="J181" s="91"/>
      <c r="K181" s="91">
        <f>first_year+48</f>
        <v>2072</v>
      </c>
      <c r="L181" s="91"/>
      <c r="M181" s="91"/>
      <c r="N181" s="91"/>
      <c r="O181" s="91"/>
      <c r="P181" s="91"/>
      <c r="Q181" s="91"/>
      <c r="R181" s="91"/>
      <c r="S181" s="91"/>
      <c r="T181" s="365" t="b" cm="1">
        <f t="array" ref="T181">T180</f>
        <v>1</v>
      </c>
      <c r="U181" s="91"/>
      <c r="V181" s="91"/>
      <c r="W181" s="91"/>
      <c r="X181" s="1075"/>
      <c r="Y181" s="91"/>
      <c r="Z181" s="1065"/>
      <c r="AA181" s="91"/>
      <c r="AB181" s="187" t="str">
        <f t="shared" si="11"/>
        <v>2072 год</v>
      </c>
      <c r="AC181" s="962"/>
      <c r="AD181" s="964"/>
      <c r="AE181" s="965"/>
      <c r="AF181" s="965"/>
      <c r="AG181" s="964"/>
      <c r="AH181" s="970"/>
      <c r="AI181" s="970"/>
      <c r="AJ181" s="964"/>
      <c r="AK181" s="966"/>
      <c r="AL181" s="316"/>
      <c r="AM181" s="91"/>
      <c r="AN181" s="91"/>
      <c r="AO181" s="705" cm="1">
        <f t="array" ref="AO181">K181</f>
        <v>2072</v>
      </c>
      <c r="AP181" s="91"/>
      <c r="AQ181" s="91"/>
    </row>
    <row r="182" spans="1:43" s="967" customFormat="1" ht="14.25" hidden="1" customHeight="1">
      <c r="A182" s="91"/>
      <c r="B182" s="353" t="b">
        <f t="shared" si="10"/>
        <v>0</v>
      </c>
      <c r="C182" s="91"/>
      <c r="D182" s="91"/>
      <c r="E182" s="518">
        <v>15</v>
      </c>
      <c r="F182" s="3" t="str" cm="1">
        <f t="array" aca="1" ref="F182" ca="1">OFFSET(E182,-1,1)</f>
        <v>2</v>
      </c>
      <c r="G182" s="91"/>
      <c r="H182" s="91"/>
      <c r="I182" s="91"/>
      <c r="J182" s="91"/>
      <c r="K182" s="91">
        <f>first_year+49</f>
        <v>2073</v>
      </c>
      <c r="L182" s="91"/>
      <c r="M182" s="91"/>
      <c r="N182" s="91"/>
      <c r="O182" s="91"/>
      <c r="P182" s="91"/>
      <c r="Q182" s="91"/>
      <c r="R182" s="91"/>
      <c r="S182" s="91"/>
      <c r="T182" s="365" t="b" cm="1">
        <f t="array" ref="T182">T181</f>
        <v>1</v>
      </c>
      <c r="U182" s="91"/>
      <c r="V182" s="91"/>
      <c r="W182" s="91"/>
      <c r="X182" s="1075"/>
      <c r="Y182" s="91"/>
      <c r="Z182" s="1065"/>
      <c r="AA182" s="91"/>
      <c r="AB182" s="187" t="str">
        <f t="shared" si="11"/>
        <v>2073 год</v>
      </c>
      <c r="AC182" s="962"/>
      <c r="AD182" s="964"/>
      <c r="AE182" s="965"/>
      <c r="AF182" s="965"/>
      <c r="AG182" s="964"/>
      <c r="AH182" s="970"/>
      <c r="AI182" s="970"/>
      <c r="AJ182" s="964"/>
      <c r="AK182" s="966"/>
      <c r="AL182" s="316"/>
      <c r="AM182" s="91"/>
      <c r="AN182" s="91"/>
      <c r="AO182" s="705" cm="1">
        <f t="array" ref="AO182">K182</f>
        <v>2073</v>
      </c>
      <c r="AP182" s="91"/>
      <c r="AQ182" s="91"/>
    </row>
    <row r="183" spans="1:43" ht="10.7" customHeight="1">
      <c r="E183" s="518">
        <v>11</v>
      </c>
      <c r="U183" s="36" t="s">
        <v>177</v>
      </c>
      <c r="V183" s="524" t="s">
        <v>2315</v>
      </c>
      <c r="AO183" s="670"/>
    </row>
    <row r="184" spans="1:43" s="91" customFormat="1" ht="14.65" customHeight="1">
      <c r="A184" s="36"/>
      <c r="B184" s="65"/>
      <c r="C184" s="36"/>
      <c r="D184" s="36"/>
      <c r="E184" s="472">
        <v>15</v>
      </c>
      <c r="F184" s="36"/>
      <c r="G184" s="36"/>
      <c r="H184" s="36"/>
      <c r="I184" s="36"/>
      <c r="J184" s="36"/>
      <c r="K184" s="36"/>
      <c r="L184" s="36"/>
      <c r="M184" s="36"/>
      <c r="N184" s="36"/>
      <c r="O184" s="36"/>
      <c r="P184" s="36"/>
      <c r="Q184" s="36"/>
      <c r="R184" s="36"/>
      <c r="S184" s="36"/>
      <c r="T184" s="36"/>
      <c r="U184" s="36"/>
      <c r="V184" s="36"/>
      <c r="W184" s="36"/>
      <c r="X184" s="36"/>
      <c r="Y184" s="36"/>
      <c r="Z184" s="36"/>
      <c r="AA184" s="36"/>
      <c r="AB184" s="1078" t="s">
        <v>398</v>
      </c>
      <c r="AC184" s="1078"/>
      <c r="AD184" s="1078"/>
      <c r="AE184" s="1078"/>
      <c r="AF184" s="1078"/>
      <c r="AG184" s="1078"/>
      <c r="AH184" s="1078"/>
      <c r="AI184" s="1078"/>
      <c r="AJ184" s="1078"/>
      <c r="AK184" s="1078"/>
      <c r="AL184" s="36"/>
      <c r="AO184" s="705"/>
    </row>
    <row r="185" spans="1:43" s="91" customFormat="1" ht="14.65" customHeight="1">
      <c r="A185" s="36"/>
      <c r="B185" s="65"/>
      <c r="C185" s="36"/>
      <c r="D185" s="36"/>
      <c r="E185" s="472">
        <v>15</v>
      </c>
      <c r="F185" s="36"/>
      <c r="G185" s="36"/>
      <c r="H185" s="36"/>
      <c r="I185" s="36"/>
      <c r="J185" s="36"/>
      <c r="K185" s="36"/>
      <c r="L185" s="36"/>
      <c r="M185" s="36"/>
      <c r="N185" s="36"/>
      <c r="O185" s="36"/>
      <c r="P185" s="36"/>
      <c r="Q185" s="36"/>
      <c r="R185" s="36"/>
      <c r="S185" s="36"/>
      <c r="T185" s="36"/>
      <c r="U185" s="36"/>
      <c r="V185" s="36"/>
      <c r="W185" s="36"/>
      <c r="X185" s="36"/>
      <c r="Y185" s="36"/>
      <c r="Z185" s="36"/>
      <c r="AA185" s="106"/>
      <c r="AB185" s="1187"/>
      <c r="AC185" s="1187"/>
      <c r="AD185" s="1187"/>
      <c r="AE185" s="1187"/>
      <c r="AF185" s="1187"/>
      <c r="AG185" s="1187"/>
      <c r="AH185" s="1186"/>
      <c r="AI185" s="1186"/>
      <c r="AJ185" s="1186"/>
      <c r="AK185" s="1186"/>
      <c r="AL185" s="36"/>
      <c r="AO185" s="705"/>
    </row>
    <row r="186" spans="1:43" ht="14.65" hidden="1" customHeight="1">
      <c r="E186" s="472">
        <v>15</v>
      </c>
      <c r="T186" s="36" t="b">
        <f>ROW(W186)&gt;ROW(W$186)</f>
        <v>0</v>
      </c>
      <c r="W186" s="91" t="s">
        <v>173</v>
      </c>
      <c r="AA186" s="332" t="s">
        <v>174</v>
      </c>
      <c r="AB186" s="1186" t="s">
        <v>225</v>
      </c>
      <c r="AC186" s="1186"/>
      <c r="AD186" s="1186"/>
      <c r="AE186" s="1186"/>
      <c r="AF186" s="1186"/>
      <c r="AG186" s="1186"/>
      <c r="AH186" s="1186"/>
      <c r="AI186" s="1186"/>
      <c r="AJ186" s="1186"/>
      <c r="AK186" s="1186"/>
      <c r="AM186"/>
      <c r="AN186"/>
      <c r="AO186" s="670"/>
      <c r="AP186"/>
      <c r="AQ186" s="38"/>
    </row>
    <row r="187" spans="1:43" ht="14.65" customHeight="1">
      <c r="E187" s="472">
        <v>15</v>
      </c>
      <c r="W187" s="517" t="s">
        <v>399</v>
      </c>
      <c r="AB187" s="485"/>
      <c r="AC187" s="394" t="s">
        <v>400</v>
      </c>
      <c r="AD187" s="234"/>
      <c r="AE187" s="234"/>
      <c r="AF187" s="234"/>
      <c r="AG187" s="234"/>
      <c r="AH187" s="234"/>
      <c r="AI187" s="234"/>
      <c r="AJ187" s="234"/>
      <c r="AK187" s="235"/>
      <c r="AM187"/>
      <c r="AN187"/>
      <c r="AO187" s="670"/>
      <c r="AP187"/>
      <c r="AQ187" s="38"/>
    </row>
    <row r="188" spans="1:43" ht="10.7" customHeight="1">
      <c r="E188" s="472">
        <v>11</v>
      </c>
      <c r="AL188" s="41"/>
      <c r="AM188"/>
      <c r="AN188"/>
      <c r="AO188" s="670"/>
      <c r="AP188"/>
      <c r="AQ188" s="38"/>
    </row>
    <row r="189" spans="1:43" ht="11.25" hidden="1" customHeight="1">
      <c r="A189"/>
      <c r="B189" s="339"/>
      <c r="C189"/>
      <c r="D189"/>
      <c r="E189" s="465"/>
      <c r="F189"/>
      <c r="G189"/>
      <c r="H189"/>
      <c r="I189"/>
      <c r="J189"/>
      <c r="K189"/>
      <c r="L189"/>
      <c r="M189"/>
      <c r="N189"/>
      <c r="O189"/>
      <c r="P189"/>
      <c r="Q189"/>
      <c r="R189"/>
      <c r="S189"/>
      <c r="T189"/>
      <c r="U189"/>
      <c r="V189"/>
      <c r="W189"/>
      <c r="X189"/>
      <c r="Y189"/>
      <c r="Z189"/>
      <c r="AA189"/>
      <c r="AB189"/>
      <c r="AC189" s="37"/>
      <c r="AD189" s="37"/>
      <c r="AE189" s="37"/>
      <c r="AF189" s="37"/>
      <c r="AG189"/>
      <c r="AH189"/>
      <c r="AI189"/>
      <c r="AJ189"/>
      <c r="AK189"/>
      <c r="AL189"/>
      <c r="AM189"/>
      <c r="AN189"/>
      <c r="AO189" s="670"/>
      <c r="AP189"/>
      <c r="AQ189" s="38"/>
    </row>
  </sheetData>
  <sheetProtection formatColumns="0" formatRows="0" insertRows="0" deleteColumns="0" deleteRows="0" sort="0" autoFilter="0"/>
  <mergeCells count="15">
    <mergeCell ref="AB186:AK186"/>
    <mergeCell ref="X30:X80"/>
    <mergeCell ref="Z30:Z80"/>
    <mergeCell ref="AB24:AE24"/>
    <mergeCell ref="AB184:AK184"/>
    <mergeCell ref="AB185:AK185"/>
    <mergeCell ref="AB26:AB28"/>
    <mergeCell ref="AC26:AC27"/>
    <mergeCell ref="AD26:AD27"/>
    <mergeCell ref="AE26:AE27"/>
    <mergeCell ref="AF26:AK26"/>
    <mergeCell ref="X81:X131"/>
    <mergeCell ref="Z81:Z131"/>
    <mergeCell ref="X132:X182"/>
    <mergeCell ref="Z132:Z182"/>
  </mergeCells>
  <dataValidations count="2">
    <dataValidation type="list" allowBlank="1" showInputMessage="1" showErrorMessage="1" errorTitle="Внимание" error="Пожалуйста, выберите значение из списка!" sqref="AF24" xr:uid="{00000000-0002-0000-1F00-000000000000}">
      <formula1>YES_NO</formula1>
    </dataValidation>
    <dataValidation type="decimal" allowBlank="1" showErrorMessage="1" errorTitle="Ошибка" error="Допускается ввод только неотрицательных чисел!" sqref="AE31:AE80 AE82:AE131 AE133:AE182" xr:uid="{00000000-0002-0000-1F00-000001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35058-D9E8-4326-3AE3-ACDC1A554EA8}">
  <sheetPr>
    <tabColor rgb="FF002060"/>
    <outlinePr summaryBelow="0" summaryRight="0"/>
  </sheetPr>
  <dimension ref="A1:AR192"/>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cols>
    <col min="1" max="1" width="3.5703125" style="36" hidden="1" customWidth="1"/>
    <col min="2" max="2" width="8.5703125" style="65" hidden="1" customWidth="1"/>
    <col min="3" max="4" width="3.5703125" style="36" hidden="1" customWidth="1"/>
    <col min="5" max="5" width="3.5703125" style="472" hidden="1" customWidth="1"/>
    <col min="6" max="10" width="3.5703125" style="36" hidden="1" customWidth="1"/>
    <col min="11" max="11" width="7.140625" style="36" hidden="1" customWidth="1"/>
    <col min="12" max="19" width="3.5703125" style="36" hidden="1" customWidth="1"/>
    <col min="20" max="20" width="9.140625" style="36" hidden="1"/>
    <col min="21" max="26" width="3.5703125" style="36" hidden="1" customWidth="1"/>
    <col min="27" max="27" width="3" style="36" customWidth="1"/>
    <col min="28" max="28" width="14.7109375" style="139" customWidth="1"/>
    <col min="29" max="33" width="17" style="36" customWidth="1"/>
    <col min="34" max="36" width="23" style="36" hidden="1" customWidth="1"/>
    <col min="37" max="37" width="25" style="36" hidden="1" customWidth="1"/>
    <col min="38" max="38" width="3" style="36" customWidth="1"/>
    <col min="39" max="39" width="9.140625" style="36" hidden="1"/>
    <col min="40" max="42" width="9.140625" style="680" hidden="1"/>
    <col min="43" max="44" width="9.140625" style="472" hidden="1"/>
  </cols>
  <sheetData>
    <row r="1" spans="1:44" ht="11.25" hidden="1" customHeight="1">
      <c r="E1" s="36"/>
      <c r="F1" s="36" t="s">
        <v>315</v>
      </c>
      <c r="G1" s="36" t="s">
        <v>350</v>
      </c>
      <c r="K1" s="36" t="s">
        <v>353</v>
      </c>
      <c r="T1" s="365" t="s">
        <v>93</v>
      </c>
      <c r="U1" s="365" t="s">
        <v>98</v>
      </c>
      <c r="V1" s="365" t="s">
        <v>94</v>
      </c>
      <c r="W1" s="365" t="s">
        <v>95</v>
      </c>
      <c r="X1" s="365" t="s">
        <v>96</v>
      </c>
      <c r="Y1" s="367" t="s">
        <v>317</v>
      </c>
      <c r="Z1" s="365" t="s">
        <v>100</v>
      </c>
      <c r="AA1" s="366" t="s">
        <v>97</v>
      </c>
      <c r="AB1" s="365" t="s">
        <v>99</v>
      </c>
      <c r="AC1" s="366" t="s">
        <v>99</v>
      </c>
      <c r="AN1" s="680" t="s">
        <v>358</v>
      </c>
      <c r="AO1" s="680" t="s">
        <v>319</v>
      </c>
      <c r="AP1" s="680" t="s">
        <v>320</v>
      </c>
      <c r="AQ1" s="472" t="s">
        <v>323</v>
      </c>
      <c r="AR1" s="472" t="s">
        <v>324</v>
      </c>
    </row>
    <row r="2" spans="1:44" s="65" customFormat="1" ht="11.25" hidden="1" customHeight="1">
      <c r="B2" s="353" t="s">
        <v>19</v>
      </c>
      <c r="AB2" s="338"/>
      <c r="AG2" s="353" t="b">
        <f>DPR_ee_divide="нет"</f>
        <v>1</v>
      </c>
      <c r="AH2" s="353" t="b">
        <f>DPR_ee_divide="да"</f>
        <v>0</v>
      </c>
      <c r="AI2" s="353" t="b">
        <f>DPR_ee_divide="да"</f>
        <v>0</v>
      </c>
      <c r="AJ2" s="353" t="b">
        <f>DPR_ee_divide="да"</f>
        <v>0</v>
      </c>
      <c r="AK2" s="353" t="b">
        <f>DPR_ee_divide="да"</f>
        <v>0</v>
      </c>
      <c r="AN2" s="681"/>
      <c r="AO2" s="681"/>
      <c r="AP2" s="681"/>
      <c r="AQ2" s="686"/>
      <c r="AR2" s="686"/>
    </row>
    <row r="3" spans="1:44" ht="11.25" hidden="1" customHeight="1">
      <c r="E3" s="36"/>
    </row>
    <row r="4" spans="1:44" ht="11.25" hidden="1" customHeight="1">
      <c r="E4" s="36"/>
    </row>
    <row r="5" spans="1:44" s="472" customFormat="1" ht="11.25" hidden="1" customHeight="1">
      <c r="A5" s="36"/>
      <c r="B5" s="65"/>
      <c r="C5" s="36"/>
      <c r="D5" s="36"/>
      <c r="E5" s="472" t="s">
        <v>20</v>
      </c>
      <c r="AA5" s="472">
        <v>3</v>
      </c>
      <c r="AB5" s="514">
        <v>14.71</v>
      </c>
      <c r="AC5" s="472">
        <v>17</v>
      </c>
      <c r="AD5" s="472">
        <v>17</v>
      </c>
      <c r="AE5" s="472">
        <v>17</v>
      </c>
      <c r="AF5" s="472">
        <v>17</v>
      </c>
      <c r="AG5" s="472">
        <v>17</v>
      </c>
      <c r="AH5" s="472">
        <v>23</v>
      </c>
      <c r="AI5" s="472">
        <v>23</v>
      </c>
      <c r="AJ5" s="472">
        <v>23</v>
      </c>
      <c r="AK5" s="472">
        <v>25</v>
      </c>
      <c r="AL5" s="472">
        <v>3</v>
      </c>
      <c r="AN5" s="680"/>
      <c r="AO5" s="680"/>
      <c r="AP5" s="680"/>
    </row>
    <row r="6" spans="1:44" ht="11.25" hidden="1" customHeight="1">
      <c r="A6" s="36" t="s">
        <v>326</v>
      </c>
      <c r="AC6" s="36" t="s">
        <v>327</v>
      </c>
      <c r="AD6" s="36" t="s">
        <v>328</v>
      </c>
      <c r="AE6" s="36" t="s">
        <v>329</v>
      </c>
      <c r="AF6" s="36" t="s">
        <v>536</v>
      </c>
      <c r="AG6" s="36" t="s">
        <v>540</v>
      </c>
      <c r="AH6" s="36" t="s">
        <v>2290</v>
      </c>
      <c r="AI6" s="36" t="s">
        <v>2291</v>
      </c>
      <c r="AJ6" s="36" t="s">
        <v>2292</v>
      </c>
      <c r="AK6" s="36" t="s">
        <v>2293</v>
      </c>
    </row>
    <row r="7" spans="1:44" ht="11.25" hidden="1" customHeight="1"/>
    <row r="8" spans="1:44" ht="11.25" hidden="1" customHeight="1"/>
    <row r="9" spans="1:44" s="680" customFormat="1" ht="11.25" hidden="1" customHeight="1">
      <c r="A9" s="680" t="s">
        <v>318</v>
      </c>
      <c r="B9" s="681"/>
      <c r="AB9" s="699"/>
      <c r="AC9" s="714" t="s">
        <v>2294</v>
      </c>
      <c r="AD9" s="714" t="s">
        <v>2295</v>
      </c>
      <c r="AE9" s="714" t="s">
        <v>2296</v>
      </c>
      <c r="AF9" s="714" t="s">
        <v>2297</v>
      </c>
      <c r="AG9" s="714" t="s">
        <v>2298</v>
      </c>
      <c r="AH9" s="714" t="s">
        <v>2299</v>
      </c>
      <c r="AI9" s="714" t="s">
        <v>2300</v>
      </c>
      <c r="AJ9" s="714" t="s">
        <v>2301</v>
      </c>
      <c r="AK9" s="680" t="s">
        <v>2302</v>
      </c>
      <c r="AQ9" s="472"/>
      <c r="AR9" s="472"/>
    </row>
    <row r="10" spans="1:44" s="680" customFormat="1" ht="11.25" hidden="1" customHeight="1">
      <c r="A10" s="680" t="s">
        <v>333</v>
      </c>
      <c r="B10" s="681"/>
      <c r="AB10" s="699" t="s">
        <v>320</v>
      </c>
      <c r="AQ10" s="472"/>
      <c r="AR10" s="472"/>
    </row>
    <row r="11" spans="1:44" ht="11.25" hidden="1" customHeight="1"/>
    <row r="12" spans="1:44" ht="11.25" hidden="1" customHeight="1"/>
    <row r="13" spans="1:44" ht="11.25" hidden="1" customHeight="1"/>
    <row r="14" spans="1:44" ht="11.25" hidden="1" customHeight="1"/>
    <row r="15" spans="1:44" ht="11.25" hidden="1" customHeight="1"/>
    <row r="16" spans="1:44" ht="11.25" hidden="1" customHeight="1"/>
    <row r="17" spans="1:44" ht="11.25" hidden="1" customHeight="1"/>
    <row r="18" spans="1:44" ht="11.25" hidden="1" customHeight="1">
      <c r="A18" s="36" t="s">
        <v>361</v>
      </c>
      <c r="AB18" s="139" t="s">
        <v>194</v>
      </c>
    </row>
    <row r="19" spans="1:44" ht="11.25" hidden="1" customHeight="1"/>
    <row r="20" spans="1:44" ht="11.25" hidden="1" customHeight="1"/>
    <row r="21" spans="1:44" ht="14.65" customHeight="1">
      <c r="E21" s="472">
        <v>15</v>
      </c>
      <c r="AA21" s="78"/>
      <c r="AB21" s="281" t="str" cm="1">
        <f t="array" ref="AB21">tpl_title</f>
        <v>Кемеровская область / 2026 / ООО "Энергосервис г. Гурьевска" (ИНН:4202049045, КПП:420201001) / ДПР: 2024-2028</v>
      </c>
    </row>
    <row r="22" spans="1:44" s="78" customFormat="1" ht="23.45" customHeight="1">
      <c r="B22" s="65"/>
      <c r="E22" s="473">
        <v>24</v>
      </c>
      <c r="AB22" s="239" t="s">
        <v>87</v>
      </c>
      <c r="AC22" s="138"/>
      <c r="AD22" s="138"/>
      <c r="AE22" s="138"/>
      <c r="AF22" s="138"/>
      <c r="AG22" s="138"/>
      <c r="AH22" s="138"/>
      <c r="AI22" s="138"/>
      <c r="AJ22" s="138"/>
      <c r="AK22" s="138"/>
      <c r="AN22" s="683"/>
      <c r="AO22" s="683"/>
      <c r="AP22" s="683"/>
      <c r="AQ22" s="473"/>
      <c r="AR22" s="473"/>
    </row>
    <row r="23" spans="1:44" ht="10.9" customHeight="1">
      <c r="E23" s="472">
        <v>11.25</v>
      </c>
      <c r="AB23" s="79"/>
      <c r="AC23" s="79"/>
    </row>
    <row r="24" spans="1:44" s="79" customFormat="1" ht="38.1" customHeight="1">
      <c r="B24" s="338"/>
      <c r="E24" s="470">
        <v>39</v>
      </c>
      <c r="AB24" s="1194" t="s">
        <v>2304</v>
      </c>
      <c r="AC24" s="1197" t="s">
        <v>2305</v>
      </c>
      <c r="AD24" s="1197" t="s">
        <v>462</v>
      </c>
      <c r="AE24" s="1197" t="s">
        <v>2306</v>
      </c>
      <c r="AF24" s="1197" t="s">
        <v>2307</v>
      </c>
      <c r="AG24" s="1197"/>
      <c r="AH24" s="1197"/>
      <c r="AI24" s="1197"/>
      <c r="AJ24" s="1197"/>
      <c r="AK24" s="1198"/>
      <c r="AN24" s="678"/>
      <c r="AO24" s="678"/>
      <c r="AP24" s="678"/>
      <c r="AQ24" s="470"/>
      <c r="AR24" s="470"/>
    </row>
    <row r="25" spans="1:44" s="79" customFormat="1" ht="35.1" customHeight="1">
      <c r="B25" s="338"/>
      <c r="E25" s="470">
        <v>36</v>
      </c>
      <c r="AB25" s="1195"/>
      <c r="AC25" s="1197"/>
      <c r="AD25" s="1197"/>
      <c r="AE25" s="1197"/>
      <c r="AF25" s="186" t="s">
        <v>583</v>
      </c>
      <c r="AG25" s="186" t="s">
        <v>2308</v>
      </c>
      <c r="AH25" s="186" t="s">
        <v>2309</v>
      </c>
      <c r="AI25" s="186" t="s">
        <v>2310</v>
      </c>
      <c r="AJ25" s="186" t="s">
        <v>2311</v>
      </c>
      <c r="AK25" s="187" t="s">
        <v>2312</v>
      </c>
      <c r="AN25" s="678"/>
      <c r="AO25" s="678"/>
      <c r="AP25" s="678"/>
      <c r="AQ25" s="470"/>
      <c r="AR25" s="470"/>
    </row>
    <row r="26" spans="1:44" s="81" customFormat="1" ht="10.9" customHeight="1">
      <c r="B26" s="338"/>
      <c r="E26" s="198">
        <v>11.25</v>
      </c>
      <c r="AB26" s="1196"/>
      <c r="AC26" s="186" t="s">
        <v>804</v>
      </c>
      <c r="AD26" s="186" t="s">
        <v>456</v>
      </c>
      <c r="AE26" s="29" t="s">
        <v>456</v>
      </c>
      <c r="AF26" s="186" t="s">
        <v>456</v>
      </c>
      <c r="AG26" s="186" t="s">
        <v>2313</v>
      </c>
      <c r="AH26" s="186" t="s">
        <v>2313</v>
      </c>
      <c r="AI26" s="186" t="s">
        <v>2313</v>
      </c>
      <c r="AJ26" s="186" t="s">
        <v>2313</v>
      </c>
      <c r="AK26" s="187" t="s">
        <v>2313</v>
      </c>
      <c r="AN26" s="687"/>
      <c r="AO26" s="687"/>
      <c r="AP26" s="687"/>
      <c r="AQ26" s="198"/>
      <c r="AR26" s="198"/>
    </row>
    <row r="27" spans="1:44" ht="11.25" hidden="1" customHeight="1">
      <c r="A27" s="327"/>
      <c r="B27" s="490"/>
      <c r="C27" s="327"/>
      <c r="D27" s="327"/>
      <c r="E27" s="491">
        <v>0</v>
      </c>
      <c r="F27" s="23"/>
      <c r="G27" s="327"/>
      <c r="H27" s="327"/>
      <c r="I27" s="327"/>
      <c r="J27" s="327"/>
      <c r="K27" s="327"/>
      <c r="L27" s="327"/>
      <c r="M27" s="327"/>
      <c r="N27" s="327"/>
      <c r="O27" s="327"/>
      <c r="P27" s="327"/>
      <c r="Q27" s="327"/>
      <c r="R27" s="327"/>
      <c r="S27" s="327"/>
      <c r="T27" s="327"/>
      <c r="U27" s="327"/>
      <c r="V27" s="327"/>
      <c r="W27" s="327"/>
      <c r="X27" s="327"/>
      <c r="Y27" s="327"/>
      <c r="Z27" s="327"/>
      <c r="AA27" s="327"/>
      <c r="AB27"/>
      <c r="AC27" s="37"/>
      <c r="AD27" s="37"/>
      <c r="AE27" s="37"/>
      <c r="AF27" s="37"/>
      <c r="AG27"/>
      <c r="AH27"/>
      <c r="AI27"/>
      <c r="AJ27"/>
      <c r="AK27"/>
      <c r="AL27"/>
      <c r="AM27"/>
      <c r="AN27" s="670"/>
      <c r="AO27" s="670"/>
      <c r="AP27" s="670"/>
      <c r="AQ27" s="672"/>
      <c r="AR27" s="465"/>
    </row>
    <row r="28" spans="1:44" s="57" customFormat="1" ht="14.65" hidden="1" customHeight="1">
      <c r="B28" s="62"/>
      <c r="E28" s="459">
        <v>15</v>
      </c>
      <c r="F28" s="36" cm="1">
        <f t="array" ref="F28">X28</f>
        <v>0</v>
      </c>
      <c r="T28" s="365" t="b">
        <f>X28&gt;0</f>
        <v>0</v>
      </c>
      <c r="V28" s="57" t="s">
        <v>264</v>
      </c>
      <c r="X28" s="1075">
        <v>0</v>
      </c>
      <c r="Z28" s="1065"/>
      <c r="AB28" s="293" t="str" cm="1">
        <f t="array" ref="AB28">INDEX('Общие сведения'!$AG$179:$AG$222,MATCH($X28,'Общие сведения'!$Z$179:$Z$222,0))</f>
        <v xml:space="preserve">Тариф 0 () - </v>
      </c>
      <c r="AC28" s="175"/>
      <c r="AD28" s="175"/>
      <c r="AE28" s="175"/>
      <c r="AF28" s="175"/>
      <c r="AG28" s="175"/>
      <c r="AH28" s="175"/>
      <c r="AI28" s="175"/>
      <c r="AJ28" s="175"/>
      <c r="AK28" s="175"/>
      <c r="AL28" s="315"/>
      <c r="AN28" s="665"/>
      <c r="AO28" s="665"/>
      <c r="AP28" s="665"/>
      <c r="AQ28" s="459"/>
      <c r="AR28" s="459"/>
    </row>
    <row r="29" spans="1:44" s="57" customFormat="1" ht="14.65" hidden="1" customHeight="1">
      <c r="B29" s="62"/>
      <c r="E29" s="459">
        <v>15</v>
      </c>
      <c r="F29" s="3" cm="1">
        <f t="array" aca="1" ref="F29" ca="1">OFFSET(E29,-1,1)</f>
        <v>0</v>
      </c>
      <c r="G29" s="57" cm="1">
        <f t="array" ref="G29">AB29</f>
        <v>0</v>
      </c>
      <c r="T29" s="365" t="b">
        <f ca="1">AND(F29&gt;0,Y29&gt;0)</f>
        <v>0</v>
      </c>
      <c r="W29" s="57" t="s">
        <v>173</v>
      </c>
      <c r="X29" s="1075"/>
      <c r="Y29" s="1075">
        <v>0</v>
      </c>
      <c r="Z29" s="1065"/>
      <c r="AA29" s="1124" t="s">
        <v>174</v>
      </c>
      <c r="AB29" s="1191"/>
      <c r="AC29" s="1191"/>
      <c r="AD29" s="1191"/>
      <c r="AE29" s="1191"/>
      <c r="AF29" s="1191"/>
      <c r="AG29" s="1191"/>
      <c r="AH29" s="1191"/>
      <c r="AI29" s="1191"/>
      <c r="AJ29" s="1191"/>
      <c r="AK29" s="1192"/>
      <c r="AL29" s="315"/>
      <c r="AN29" s="665"/>
      <c r="AO29" s="705" t="s">
        <v>2316</v>
      </c>
      <c r="AP29" s="696" cm="1">
        <f t="array" ref="AP29">AB29</f>
        <v>0</v>
      </c>
      <c r="AQ29" s="459"/>
      <c r="AR29" s="459" t="b">
        <v>1</v>
      </c>
    </row>
    <row r="30" spans="1:44" s="91" customFormat="1" ht="14.65" hidden="1" customHeight="1">
      <c r="B30" s="353" t="b">
        <f t="shared" ref="B30:B61" si="0">K30&lt;first_year+PERIOD_LENGTH</f>
        <v>1</v>
      </c>
      <c r="E30" s="518">
        <v>15</v>
      </c>
      <c r="F30" s="3" cm="1">
        <f t="array" aca="1" ref="F30" ca="1">OFFSET(E30,-1,1)</f>
        <v>0</v>
      </c>
      <c r="G30" s="36" cm="1">
        <f t="array" ref="G30">G29</f>
        <v>0</v>
      </c>
      <c r="K30" s="91" cm="1">
        <f t="array" ref="K30">first_year</f>
        <v>2024</v>
      </c>
      <c r="T30" s="365" t="b" cm="1">
        <f t="array" aca="1" ref="T30" ca="1">T29</f>
        <v>0</v>
      </c>
      <c r="X30" s="1075"/>
      <c r="Y30" s="1075"/>
      <c r="Z30" s="1065"/>
      <c r="AA30" s="1124"/>
      <c r="AB30" s="224" t="str">
        <f t="shared" ref="AB30:AB61" si="1">K30&amp;" год"</f>
        <v>2024 год</v>
      </c>
      <c r="AC30" s="972"/>
      <c r="AD30" s="973"/>
      <c r="AE30" s="972"/>
      <c r="AF30" s="972"/>
      <c r="AG30" s="973"/>
      <c r="AH30" s="972"/>
      <c r="AI30" s="973"/>
      <c r="AJ30" s="972"/>
      <c r="AK30" s="974"/>
      <c r="AL30" s="316"/>
      <c r="AN30" s="705" cm="1">
        <f t="array" ref="AN30">K30</f>
        <v>2024</v>
      </c>
      <c r="AO30" s="705" t="s">
        <v>2316</v>
      </c>
      <c r="AP30" s="715" cm="1">
        <f t="array" ref="AP30">AP29</f>
        <v>0</v>
      </c>
      <c r="AQ30" s="518"/>
      <c r="AR30" s="518"/>
    </row>
    <row r="31" spans="1:44" s="91" customFormat="1" ht="14.65" hidden="1" customHeight="1">
      <c r="B31" s="353" t="b">
        <f t="shared" si="0"/>
        <v>1</v>
      </c>
      <c r="E31" s="518">
        <v>15</v>
      </c>
      <c r="F31" s="3" cm="1">
        <f t="array" aca="1" ref="F31" ca="1">OFFSET(E31,-1,1)</f>
        <v>0</v>
      </c>
      <c r="G31" s="36" cm="1">
        <f t="array" ref="G31">G30</f>
        <v>0</v>
      </c>
      <c r="K31" s="91">
        <f>first_year+1</f>
        <v>2025</v>
      </c>
      <c r="T31" s="365" t="b" cm="1">
        <f t="array" aca="1" ref="T31" ca="1">T30</f>
        <v>0</v>
      </c>
      <c r="X31" s="1075"/>
      <c r="Y31" s="1075"/>
      <c r="Z31" s="1065"/>
      <c r="AA31" s="1124"/>
      <c r="AB31" s="187" t="str">
        <f t="shared" si="1"/>
        <v>2025 год</v>
      </c>
      <c r="AC31" s="320"/>
      <c r="AD31" s="973"/>
      <c r="AE31" s="972"/>
      <c r="AF31" s="972"/>
      <c r="AG31" s="973"/>
      <c r="AH31" s="972"/>
      <c r="AI31" s="973"/>
      <c r="AJ31" s="972"/>
      <c r="AK31" s="974"/>
      <c r="AL31" s="316"/>
      <c r="AN31" s="705" cm="1">
        <f t="array" ref="AN31">K31</f>
        <v>2025</v>
      </c>
      <c r="AO31" s="705" t="s">
        <v>2316</v>
      </c>
      <c r="AP31" s="715" cm="1">
        <f t="array" ref="AP31">AP30</f>
        <v>0</v>
      </c>
      <c r="AQ31" s="518"/>
      <c r="AR31" s="518"/>
    </row>
    <row r="32" spans="1:44" s="91" customFormat="1" ht="14.65" hidden="1" customHeight="1">
      <c r="B32" s="353" t="b">
        <f t="shared" si="0"/>
        <v>1</v>
      </c>
      <c r="E32" s="518">
        <v>15</v>
      </c>
      <c r="F32" s="3" cm="1">
        <f t="array" aca="1" ref="F32" ca="1">OFFSET(E32,-1,1)</f>
        <v>0</v>
      </c>
      <c r="G32" s="36" cm="1">
        <f t="array" ref="G32">G31</f>
        <v>0</v>
      </c>
      <c r="K32" s="91">
        <f>first_year+2</f>
        <v>2026</v>
      </c>
      <c r="T32" s="365" t="b" cm="1">
        <f t="array" aca="1" ref="T32" ca="1">T31</f>
        <v>0</v>
      </c>
      <c r="X32" s="1075"/>
      <c r="Y32" s="1075"/>
      <c r="Z32" s="1065"/>
      <c r="AA32" s="1124"/>
      <c r="AB32" s="187" t="str">
        <f t="shared" si="1"/>
        <v>2026 год</v>
      </c>
      <c r="AC32" s="320"/>
      <c r="AD32" s="973"/>
      <c r="AE32" s="972"/>
      <c r="AF32" s="972"/>
      <c r="AG32" s="973"/>
      <c r="AH32" s="972"/>
      <c r="AI32" s="973"/>
      <c r="AJ32" s="972"/>
      <c r="AK32" s="974"/>
      <c r="AL32" s="316"/>
      <c r="AN32" s="705" cm="1">
        <f t="array" ref="AN32">K32</f>
        <v>2026</v>
      </c>
      <c r="AO32" s="705" t="s">
        <v>2316</v>
      </c>
      <c r="AP32" s="715" cm="1">
        <f t="array" ref="AP32">AP31</f>
        <v>0</v>
      </c>
      <c r="AQ32" s="518"/>
      <c r="AR32" s="518"/>
    </row>
    <row r="33" spans="2:44" s="91" customFormat="1" ht="14.65" hidden="1" customHeight="1">
      <c r="B33" s="353" t="b">
        <f t="shared" si="0"/>
        <v>1</v>
      </c>
      <c r="E33" s="518">
        <v>15</v>
      </c>
      <c r="F33" s="3" cm="1">
        <f t="array" aca="1" ref="F33" ca="1">OFFSET(E33,-1,1)</f>
        <v>0</v>
      </c>
      <c r="G33" s="36" cm="1">
        <f t="array" ref="G33">G32</f>
        <v>0</v>
      </c>
      <c r="K33" s="91">
        <f>first_year+3</f>
        <v>2027</v>
      </c>
      <c r="T33" s="365" t="b" cm="1">
        <f t="array" aca="1" ref="T33" ca="1">T32</f>
        <v>0</v>
      </c>
      <c r="X33" s="1075"/>
      <c r="Y33" s="1075"/>
      <c r="Z33" s="1065"/>
      <c r="AA33" s="1124"/>
      <c r="AB33" s="187" t="str">
        <f t="shared" si="1"/>
        <v>2027 год</v>
      </c>
      <c r="AC33" s="320"/>
      <c r="AD33" s="973"/>
      <c r="AE33" s="972"/>
      <c r="AF33" s="972"/>
      <c r="AG33" s="973"/>
      <c r="AH33" s="972"/>
      <c r="AI33" s="973"/>
      <c r="AJ33" s="972"/>
      <c r="AK33" s="974"/>
      <c r="AL33" s="316"/>
      <c r="AN33" s="705" cm="1">
        <f t="array" ref="AN33">K33</f>
        <v>2027</v>
      </c>
      <c r="AO33" s="705" t="s">
        <v>2316</v>
      </c>
      <c r="AP33" s="715" cm="1">
        <f t="array" ref="AP33">AP32</f>
        <v>0</v>
      </c>
      <c r="AQ33" s="518"/>
      <c r="AR33" s="518"/>
    </row>
    <row r="34" spans="2:44" s="91" customFormat="1" ht="14.65" hidden="1" customHeight="1">
      <c r="B34" s="353" t="b">
        <f t="shared" si="0"/>
        <v>1</v>
      </c>
      <c r="E34" s="518">
        <v>15</v>
      </c>
      <c r="F34" s="3" cm="1">
        <f t="array" aca="1" ref="F34" ca="1">OFFSET(E34,-1,1)</f>
        <v>0</v>
      </c>
      <c r="G34" s="36" cm="1">
        <f t="array" ref="G34">G33</f>
        <v>0</v>
      </c>
      <c r="K34" s="91">
        <f>first_year+4</f>
        <v>2028</v>
      </c>
      <c r="T34" s="365" t="b" cm="1">
        <f t="array" aca="1" ref="T34" ca="1">T33</f>
        <v>0</v>
      </c>
      <c r="X34" s="1075"/>
      <c r="Y34" s="1075"/>
      <c r="Z34" s="1065"/>
      <c r="AA34" s="1124"/>
      <c r="AB34" s="187" t="str">
        <f t="shared" si="1"/>
        <v>2028 год</v>
      </c>
      <c r="AC34" s="320"/>
      <c r="AD34" s="973"/>
      <c r="AE34" s="972"/>
      <c r="AF34" s="972"/>
      <c r="AG34" s="973"/>
      <c r="AH34" s="972"/>
      <c r="AI34" s="973"/>
      <c r="AJ34" s="972"/>
      <c r="AK34" s="974"/>
      <c r="AL34" s="316"/>
      <c r="AN34" s="705" cm="1">
        <f t="array" ref="AN34">K34</f>
        <v>2028</v>
      </c>
      <c r="AO34" s="705" t="s">
        <v>2316</v>
      </c>
      <c r="AP34" s="715" cm="1">
        <f t="array" ref="AP34">AP33</f>
        <v>0</v>
      </c>
      <c r="AQ34" s="518"/>
      <c r="AR34" s="518"/>
    </row>
    <row r="35" spans="2:44" s="91" customFormat="1" ht="14.65" hidden="1" customHeight="1">
      <c r="B35" s="353" t="b">
        <f t="shared" si="0"/>
        <v>0</v>
      </c>
      <c r="E35" s="518">
        <v>15</v>
      </c>
      <c r="F35" s="3" cm="1">
        <f t="array" aca="1" ref="F35" ca="1">OFFSET(E35,-1,1)</f>
        <v>0</v>
      </c>
      <c r="G35" s="36" cm="1">
        <f t="array" ref="G35">G34</f>
        <v>0</v>
      </c>
      <c r="K35" s="91">
        <f>first_year+5</f>
        <v>2029</v>
      </c>
      <c r="T35" s="365" t="b" cm="1">
        <f t="array" aca="1" ref="T35" ca="1">T34</f>
        <v>0</v>
      </c>
      <c r="X35" s="1075"/>
      <c r="Y35" s="1075"/>
      <c r="Z35" s="1065"/>
      <c r="AA35" s="1124"/>
      <c r="AB35" s="187" t="str">
        <f t="shared" si="1"/>
        <v>2029 год</v>
      </c>
      <c r="AC35" s="320"/>
      <c r="AD35" s="973"/>
      <c r="AE35" s="972"/>
      <c r="AF35" s="972"/>
      <c r="AG35" s="973"/>
      <c r="AH35" s="972"/>
      <c r="AI35" s="973"/>
      <c r="AJ35" s="972"/>
      <c r="AK35" s="974"/>
      <c r="AL35" s="316"/>
      <c r="AN35" s="705" cm="1">
        <f t="array" ref="AN35">K35</f>
        <v>2029</v>
      </c>
      <c r="AO35" s="705" t="s">
        <v>2316</v>
      </c>
      <c r="AP35" s="715" cm="1">
        <f t="array" ref="AP35">AP34</f>
        <v>0</v>
      </c>
      <c r="AQ35" s="518"/>
      <c r="AR35" s="518"/>
    </row>
    <row r="36" spans="2:44" s="91" customFormat="1" ht="14.65" hidden="1" customHeight="1">
      <c r="B36" s="353" t="b">
        <f t="shared" si="0"/>
        <v>0</v>
      </c>
      <c r="E36" s="518">
        <v>15</v>
      </c>
      <c r="F36" s="3" cm="1">
        <f t="array" aca="1" ref="F36" ca="1">OFFSET(E36,-1,1)</f>
        <v>0</v>
      </c>
      <c r="G36" s="36" cm="1">
        <f t="array" ref="G36">G35</f>
        <v>0</v>
      </c>
      <c r="K36" s="91">
        <f>first_year+6</f>
        <v>2030</v>
      </c>
      <c r="T36" s="365" t="b" cm="1">
        <f t="array" aca="1" ref="T36" ca="1">T35</f>
        <v>0</v>
      </c>
      <c r="X36" s="1075"/>
      <c r="Y36" s="1075"/>
      <c r="Z36" s="1065"/>
      <c r="AA36" s="1124"/>
      <c r="AB36" s="187" t="str">
        <f t="shared" si="1"/>
        <v>2030 год</v>
      </c>
      <c r="AC36" s="320"/>
      <c r="AD36" s="973"/>
      <c r="AE36" s="972"/>
      <c r="AF36" s="972"/>
      <c r="AG36" s="973"/>
      <c r="AH36" s="972"/>
      <c r="AI36" s="973"/>
      <c r="AJ36" s="972"/>
      <c r="AK36" s="974"/>
      <c r="AL36" s="316"/>
      <c r="AN36" s="705" cm="1">
        <f t="array" ref="AN36">K36</f>
        <v>2030</v>
      </c>
      <c r="AO36" s="705" t="s">
        <v>2316</v>
      </c>
      <c r="AP36" s="715" cm="1">
        <f t="array" ref="AP36">AP35</f>
        <v>0</v>
      </c>
      <c r="AQ36" s="518"/>
      <c r="AR36" s="518"/>
    </row>
    <row r="37" spans="2:44" s="91" customFormat="1" ht="14.65" hidden="1" customHeight="1">
      <c r="B37" s="353" t="b">
        <f t="shared" si="0"/>
        <v>0</v>
      </c>
      <c r="E37" s="518">
        <v>15</v>
      </c>
      <c r="F37" s="3" cm="1">
        <f t="array" aca="1" ref="F37" ca="1">OFFSET(E37,-1,1)</f>
        <v>0</v>
      </c>
      <c r="G37" s="36" cm="1">
        <f t="array" ref="G37">G36</f>
        <v>0</v>
      </c>
      <c r="K37" s="91">
        <f>first_year+7</f>
        <v>2031</v>
      </c>
      <c r="T37" s="365" t="b" cm="1">
        <f t="array" aca="1" ref="T37" ca="1">T36</f>
        <v>0</v>
      </c>
      <c r="X37" s="1075"/>
      <c r="Y37" s="1075"/>
      <c r="Z37" s="1065"/>
      <c r="AA37" s="1124"/>
      <c r="AB37" s="187" t="str">
        <f t="shared" si="1"/>
        <v>2031 год</v>
      </c>
      <c r="AC37" s="320"/>
      <c r="AD37" s="973"/>
      <c r="AE37" s="972"/>
      <c r="AF37" s="972"/>
      <c r="AG37" s="973"/>
      <c r="AH37" s="972"/>
      <c r="AI37" s="973"/>
      <c r="AJ37" s="972"/>
      <c r="AK37" s="974"/>
      <c r="AL37" s="316"/>
      <c r="AN37" s="705" cm="1">
        <f t="array" ref="AN37">K37</f>
        <v>2031</v>
      </c>
      <c r="AO37" s="705" t="s">
        <v>2316</v>
      </c>
      <c r="AP37" s="715" cm="1">
        <f t="array" ref="AP37">AP36</f>
        <v>0</v>
      </c>
      <c r="AQ37" s="518"/>
      <c r="AR37" s="518"/>
    </row>
    <row r="38" spans="2:44" s="91" customFormat="1" ht="14.65" hidden="1" customHeight="1">
      <c r="B38" s="353" t="b">
        <f t="shared" si="0"/>
        <v>0</v>
      </c>
      <c r="E38" s="518">
        <v>15</v>
      </c>
      <c r="F38" s="3" cm="1">
        <f t="array" aca="1" ref="F38" ca="1">OFFSET(E38,-1,1)</f>
        <v>0</v>
      </c>
      <c r="G38" s="36" cm="1">
        <f t="array" ref="G38">G37</f>
        <v>0</v>
      </c>
      <c r="K38" s="91">
        <f>first_year+8</f>
        <v>2032</v>
      </c>
      <c r="T38" s="365" t="b" cm="1">
        <f t="array" aca="1" ref="T38" ca="1">T37</f>
        <v>0</v>
      </c>
      <c r="X38" s="1075"/>
      <c r="Y38" s="1075"/>
      <c r="Z38" s="1065"/>
      <c r="AA38" s="1124"/>
      <c r="AB38" s="187" t="str">
        <f t="shared" si="1"/>
        <v>2032 год</v>
      </c>
      <c r="AC38" s="320"/>
      <c r="AD38" s="973"/>
      <c r="AE38" s="972"/>
      <c r="AF38" s="972"/>
      <c r="AG38" s="973"/>
      <c r="AH38" s="972"/>
      <c r="AI38" s="973"/>
      <c r="AJ38" s="972"/>
      <c r="AK38" s="974"/>
      <c r="AL38" s="316"/>
      <c r="AN38" s="705" cm="1">
        <f t="array" ref="AN38">K38</f>
        <v>2032</v>
      </c>
      <c r="AO38" s="705" t="s">
        <v>2316</v>
      </c>
      <c r="AP38" s="715" cm="1">
        <f t="array" ref="AP38">AP37</f>
        <v>0</v>
      </c>
      <c r="AQ38" s="518"/>
      <c r="AR38" s="518"/>
    </row>
    <row r="39" spans="2:44" s="91" customFormat="1" ht="14.65" hidden="1" customHeight="1">
      <c r="B39" s="353" t="b">
        <f t="shared" si="0"/>
        <v>0</v>
      </c>
      <c r="E39" s="518">
        <v>15</v>
      </c>
      <c r="F39" s="3" cm="1">
        <f t="array" aca="1" ref="F39" ca="1">OFFSET(E39,-1,1)</f>
        <v>0</v>
      </c>
      <c r="G39" s="36" cm="1">
        <f t="array" ref="G39">G38</f>
        <v>0</v>
      </c>
      <c r="K39" s="91">
        <f>first_year+9</f>
        <v>2033</v>
      </c>
      <c r="T39" s="365" t="b" cm="1">
        <f t="array" aca="1" ref="T39" ca="1">T38</f>
        <v>0</v>
      </c>
      <c r="X39" s="1075"/>
      <c r="Y39" s="1075"/>
      <c r="Z39" s="1065"/>
      <c r="AA39" s="1124"/>
      <c r="AB39" s="187" t="str">
        <f t="shared" si="1"/>
        <v>2033 год</v>
      </c>
      <c r="AC39" s="320"/>
      <c r="AD39" s="973"/>
      <c r="AE39" s="972"/>
      <c r="AF39" s="972"/>
      <c r="AG39" s="973"/>
      <c r="AH39" s="972"/>
      <c r="AI39" s="973"/>
      <c r="AJ39" s="972"/>
      <c r="AK39" s="974"/>
      <c r="AL39" s="316"/>
      <c r="AN39" s="705" cm="1">
        <f t="array" ref="AN39">K39</f>
        <v>2033</v>
      </c>
      <c r="AO39" s="705" t="s">
        <v>2316</v>
      </c>
      <c r="AP39" s="715" cm="1">
        <f t="array" ref="AP39">AP38</f>
        <v>0</v>
      </c>
      <c r="AQ39" s="518"/>
      <c r="AR39" s="518"/>
    </row>
    <row r="40" spans="2:44" s="91" customFormat="1" ht="14.65" hidden="1" customHeight="1">
      <c r="B40" s="353" t="b">
        <f t="shared" si="0"/>
        <v>0</v>
      </c>
      <c r="E40" s="518">
        <v>15</v>
      </c>
      <c r="F40" s="3" cm="1">
        <f t="array" aca="1" ref="F40" ca="1">OFFSET(E40,-1,1)</f>
        <v>0</v>
      </c>
      <c r="G40" s="36" cm="1">
        <f t="array" ref="G40">G39</f>
        <v>0</v>
      </c>
      <c r="K40" s="91">
        <f>first_year+10</f>
        <v>2034</v>
      </c>
      <c r="T40" s="365" t="b" cm="1">
        <f t="array" aca="1" ref="T40" ca="1">T39</f>
        <v>0</v>
      </c>
      <c r="X40" s="1075"/>
      <c r="Y40" s="1075"/>
      <c r="Z40" s="1065"/>
      <c r="AA40" s="1124"/>
      <c r="AB40" s="187" t="str">
        <f t="shared" si="1"/>
        <v>2034 год</v>
      </c>
      <c r="AC40" s="320"/>
      <c r="AD40" s="973"/>
      <c r="AE40" s="972"/>
      <c r="AF40" s="972"/>
      <c r="AG40" s="973"/>
      <c r="AH40" s="972"/>
      <c r="AI40" s="973"/>
      <c r="AJ40" s="972"/>
      <c r="AK40" s="974"/>
      <c r="AL40" s="316"/>
      <c r="AN40" s="705" cm="1">
        <f t="array" ref="AN40">K40</f>
        <v>2034</v>
      </c>
      <c r="AO40" s="705" t="s">
        <v>2316</v>
      </c>
      <c r="AP40" s="715" cm="1">
        <f t="array" ref="AP40">AP39</f>
        <v>0</v>
      </c>
      <c r="AQ40" s="518"/>
      <c r="AR40" s="518"/>
    </row>
    <row r="41" spans="2:44" s="91" customFormat="1" ht="14.65" hidden="1" customHeight="1">
      <c r="B41" s="353" t="b">
        <f t="shared" si="0"/>
        <v>0</v>
      </c>
      <c r="E41" s="518">
        <v>15</v>
      </c>
      <c r="F41" s="3" cm="1">
        <f t="array" aca="1" ref="F41" ca="1">OFFSET(E41,-1,1)</f>
        <v>0</v>
      </c>
      <c r="G41" s="36" cm="1">
        <f t="array" ref="G41">G40</f>
        <v>0</v>
      </c>
      <c r="K41" s="91">
        <f>first_year+11</f>
        <v>2035</v>
      </c>
      <c r="T41" s="365" t="b" cm="1">
        <f t="array" aca="1" ref="T41" ca="1">T40</f>
        <v>0</v>
      </c>
      <c r="X41" s="1075"/>
      <c r="Y41" s="1075"/>
      <c r="Z41" s="1065"/>
      <c r="AA41" s="1124"/>
      <c r="AB41" s="187" t="str">
        <f t="shared" si="1"/>
        <v>2035 год</v>
      </c>
      <c r="AC41" s="320"/>
      <c r="AD41" s="973"/>
      <c r="AE41" s="972"/>
      <c r="AF41" s="972"/>
      <c r="AG41" s="973"/>
      <c r="AH41" s="972"/>
      <c r="AI41" s="973"/>
      <c r="AJ41" s="972"/>
      <c r="AK41" s="974"/>
      <c r="AL41" s="316"/>
      <c r="AN41" s="705" cm="1">
        <f t="array" ref="AN41">K41</f>
        <v>2035</v>
      </c>
      <c r="AO41" s="705" t="s">
        <v>2316</v>
      </c>
      <c r="AP41" s="715" cm="1">
        <f t="array" ref="AP41">AP40</f>
        <v>0</v>
      </c>
      <c r="AQ41" s="518"/>
      <c r="AR41" s="518"/>
    </row>
    <row r="42" spans="2:44" s="91" customFormat="1" ht="14.65" hidden="1" customHeight="1">
      <c r="B42" s="353" t="b">
        <f t="shared" si="0"/>
        <v>0</v>
      </c>
      <c r="E42" s="518">
        <v>15</v>
      </c>
      <c r="F42" s="3" cm="1">
        <f t="array" aca="1" ref="F42" ca="1">OFFSET(E42,-1,1)</f>
        <v>0</v>
      </c>
      <c r="G42" s="36" cm="1">
        <f t="array" ref="G42">G41</f>
        <v>0</v>
      </c>
      <c r="K42" s="91">
        <f>first_year+12</f>
        <v>2036</v>
      </c>
      <c r="T42" s="365" t="b" cm="1">
        <f t="array" aca="1" ref="T42" ca="1">T41</f>
        <v>0</v>
      </c>
      <c r="X42" s="1075"/>
      <c r="Y42" s="1075"/>
      <c r="Z42" s="1065"/>
      <c r="AA42" s="1124"/>
      <c r="AB42" s="187" t="str">
        <f t="shared" si="1"/>
        <v>2036 год</v>
      </c>
      <c r="AC42" s="320"/>
      <c r="AD42" s="973"/>
      <c r="AE42" s="972"/>
      <c r="AF42" s="972"/>
      <c r="AG42" s="973"/>
      <c r="AH42" s="972"/>
      <c r="AI42" s="973"/>
      <c r="AJ42" s="972"/>
      <c r="AK42" s="974"/>
      <c r="AL42" s="316"/>
      <c r="AN42" s="705" cm="1">
        <f t="array" ref="AN42">K42</f>
        <v>2036</v>
      </c>
      <c r="AO42" s="705" t="s">
        <v>2316</v>
      </c>
      <c r="AP42" s="715" cm="1">
        <f t="array" ref="AP42">AP41</f>
        <v>0</v>
      </c>
      <c r="AQ42" s="518"/>
      <c r="AR42" s="518"/>
    </row>
    <row r="43" spans="2:44" s="91" customFormat="1" ht="14.65" hidden="1" customHeight="1">
      <c r="B43" s="353" t="b">
        <f t="shared" si="0"/>
        <v>0</v>
      </c>
      <c r="E43" s="518">
        <v>15</v>
      </c>
      <c r="F43" s="3" cm="1">
        <f t="array" aca="1" ref="F43" ca="1">OFFSET(E43,-1,1)</f>
        <v>0</v>
      </c>
      <c r="G43" s="36" cm="1">
        <f t="array" ref="G43">G42</f>
        <v>0</v>
      </c>
      <c r="K43" s="91">
        <f>first_year+13</f>
        <v>2037</v>
      </c>
      <c r="T43" s="365" t="b" cm="1">
        <f t="array" aca="1" ref="T43" ca="1">T42</f>
        <v>0</v>
      </c>
      <c r="X43" s="1075"/>
      <c r="Y43" s="1075"/>
      <c r="Z43" s="1065"/>
      <c r="AA43" s="1124"/>
      <c r="AB43" s="187" t="str">
        <f t="shared" si="1"/>
        <v>2037 год</v>
      </c>
      <c r="AC43" s="320"/>
      <c r="AD43" s="973"/>
      <c r="AE43" s="972"/>
      <c r="AF43" s="972"/>
      <c r="AG43" s="973"/>
      <c r="AH43" s="972"/>
      <c r="AI43" s="973"/>
      <c r="AJ43" s="972"/>
      <c r="AK43" s="974"/>
      <c r="AL43" s="316"/>
      <c r="AN43" s="705" cm="1">
        <f t="array" ref="AN43">K43</f>
        <v>2037</v>
      </c>
      <c r="AO43" s="705" t="s">
        <v>2316</v>
      </c>
      <c r="AP43" s="715" cm="1">
        <f t="array" ref="AP43">AP42</f>
        <v>0</v>
      </c>
      <c r="AQ43" s="518"/>
      <c r="AR43" s="518"/>
    </row>
    <row r="44" spans="2:44" s="91" customFormat="1" ht="14.65" hidden="1" customHeight="1">
      <c r="B44" s="353" t="b">
        <f t="shared" si="0"/>
        <v>0</v>
      </c>
      <c r="E44" s="518">
        <v>15</v>
      </c>
      <c r="F44" s="3" cm="1">
        <f t="array" aca="1" ref="F44" ca="1">OFFSET(E44,-1,1)</f>
        <v>0</v>
      </c>
      <c r="G44" s="36" cm="1">
        <f t="array" ref="G44">G43</f>
        <v>0</v>
      </c>
      <c r="K44" s="91">
        <f>first_year+14</f>
        <v>2038</v>
      </c>
      <c r="T44" s="365" t="b" cm="1">
        <f t="array" aca="1" ref="T44" ca="1">T43</f>
        <v>0</v>
      </c>
      <c r="X44" s="1075"/>
      <c r="Y44" s="1075"/>
      <c r="Z44" s="1065"/>
      <c r="AA44" s="1124"/>
      <c r="AB44" s="187" t="str">
        <f t="shared" si="1"/>
        <v>2038 год</v>
      </c>
      <c r="AC44" s="320"/>
      <c r="AD44" s="973"/>
      <c r="AE44" s="972"/>
      <c r="AF44" s="972"/>
      <c r="AG44" s="973"/>
      <c r="AH44" s="972"/>
      <c r="AI44" s="973"/>
      <c r="AJ44" s="972"/>
      <c r="AK44" s="974"/>
      <c r="AL44" s="316"/>
      <c r="AN44" s="705" cm="1">
        <f t="array" ref="AN44">K44</f>
        <v>2038</v>
      </c>
      <c r="AO44" s="705" t="s">
        <v>2316</v>
      </c>
      <c r="AP44" s="715" cm="1">
        <f t="array" ref="AP44">AP43</f>
        <v>0</v>
      </c>
      <c r="AQ44" s="518"/>
      <c r="AR44" s="518"/>
    </row>
    <row r="45" spans="2:44" s="91" customFormat="1" ht="14.65" hidden="1" customHeight="1">
      <c r="B45" s="353" t="b">
        <f t="shared" si="0"/>
        <v>0</v>
      </c>
      <c r="E45" s="518">
        <v>15</v>
      </c>
      <c r="F45" s="3" cm="1">
        <f t="array" aca="1" ref="F45" ca="1">OFFSET(E45,-1,1)</f>
        <v>0</v>
      </c>
      <c r="G45" s="36" cm="1">
        <f t="array" ref="G45">G44</f>
        <v>0</v>
      </c>
      <c r="K45" s="91">
        <f>first_year+15</f>
        <v>2039</v>
      </c>
      <c r="T45" s="365" t="b" cm="1">
        <f t="array" aca="1" ref="T45" ca="1">T44</f>
        <v>0</v>
      </c>
      <c r="X45" s="1075"/>
      <c r="Y45" s="1075"/>
      <c r="Z45" s="1065"/>
      <c r="AA45" s="1124"/>
      <c r="AB45" s="187" t="str">
        <f t="shared" si="1"/>
        <v>2039 год</v>
      </c>
      <c r="AC45" s="320"/>
      <c r="AD45" s="973"/>
      <c r="AE45" s="972"/>
      <c r="AF45" s="972"/>
      <c r="AG45" s="973"/>
      <c r="AH45" s="972"/>
      <c r="AI45" s="973"/>
      <c r="AJ45" s="972"/>
      <c r="AK45" s="974"/>
      <c r="AL45" s="316"/>
      <c r="AN45" s="705" cm="1">
        <f t="array" ref="AN45">K45</f>
        <v>2039</v>
      </c>
      <c r="AO45" s="705" t="s">
        <v>2316</v>
      </c>
      <c r="AP45" s="715" cm="1">
        <f t="array" ref="AP45">AP44</f>
        <v>0</v>
      </c>
      <c r="AQ45" s="518"/>
      <c r="AR45" s="518"/>
    </row>
    <row r="46" spans="2:44" s="91" customFormat="1" ht="14.65" hidden="1" customHeight="1">
      <c r="B46" s="353" t="b">
        <f t="shared" si="0"/>
        <v>0</v>
      </c>
      <c r="E46" s="518">
        <v>15</v>
      </c>
      <c r="F46" s="3" cm="1">
        <f t="array" aca="1" ref="F46" ca="1">OFFSET(E46,-1,1)</f>
        <v>0</v>
      </c>
      <c r="G46" s="36" cm="1">
        <f t="array" ref="G46">G45</f>
        <v>0</v>
      </c>
      <c r="K46" s="91">
        <f>first_year+16</f>
        <v>2040</v>
      </c>
      <c r="T46" s="365" t="b" cm="1">
        <f t="array" aca="1" ref="T46" ca="1">T45</f>
        <v>0</v>
      </c>
      <c r="X46" s="1075"/>
      <c r="Y46" s="1075"/>
      <c r="Z46" s="1065"/>
      <c r="AA46" s="1124"/>
      <c r="AB46" s="187" t="str">
        <f t="shared" si="1"/>
        <v>2040 год</v>
      </c>
      <c r="AC46" s="320"/>
      <c r="AD46" s="973"/>
      <c r="AE46" s="972"/>
      <c r="AF46" s="972"/>
      <c r="AG46" s="973"/>
      <c r="AH46" s="972"/>
      <c r="AI46" s="973"/>
      <c r="AJ46" s="972"/>
      <c r="AK46" s="974"/>
      <c r="AL46" s="316"/>
      <c r="AN46" s="705" cm="1">
        <f t="array" ref="AN46">K46</f>
        <v>2040</v>
      </c>
      <c r="AO46" s="705" t="s">
        <v>2316</v>
      </c>
      <c r="AP46" s="715" cm="1">
        <f t="array" ref="AP46">AP45</f>
        <v>0</v>
      </c>
      <c r="AQ46" s="518"/>
      <c r="AR46" s="518"/>
    </row>
    <row r="47" spans="2:44" s="91" customFormat="1" ht="14.65" hidden="1" customHeight="1">
      <c r="B47" s="353" t="b">
        <f t="shared" si="0"/>
        <v>0</v>
      </c>
      <c r="E47" s="518">
        <v>15</v>
      </c>
      <c r="F47" s="3" cm="1">
        <f t="array" aca="1" ref="F47" ca="1">OFFSET(E47,-1,1)</f>
        <v>0</v>
      </c>
      <c r="G47" s="36" cm="1">
        <f t="array" ref="G47">G46</f>
        <v>0</v>
      </c>
      <c r="K47" s="91">
        <f>first_year+17</f>
        <v>2041</v>
      </c>
      <c r="T47" s="365" t="b" cm="1">
        <f t="array" aca="1" ref="T47" ca="1">T46</f>
        <v>0</v>
      </c>
      <c r="X47" s="1075"/>
      <c r="Y47" s="1075"/>
      <c r="Z47" s="1065"/>
      <c r="AA47" s="1124"/>
      <c r="AB47" s="187" t="str">
        <f t="shared" si="1"/>
        <v>2041 год</v>
      </c>
      <c r="AC47" s="320"/>
      <c r="AD47" s="973"/>
      <c r="AE47" s="972"/>
      <c r="AF47" s="972"/>
      <c r="AG47" s="973"/>
      <c r="AH47" s="972"/>
      <c r="AI47" s="973"/>
      <c r="AJ47" s="972"/>
      <c r="AK47" s="974"/>
      <c r="AL47" s="316"/>
      <c r="AN47" s="705" cm="1">
        <f t="array" ref="AN47">K47</f>
        <v>2041</v>
      </c>
      <c r="AO47" s="705" t="s">
        <v>2316</v>
      </c>
      <c r="AP47" s="715" cm="1">
        <f t="array" ref="AP47">AP46</f>
        <v>0</v>
      </c>
      <c r="AQ47" s="518"/>
      <c r="AR47" s="518"/>
    </row>
    <row r="48" spans="2:44" s="91" customFormat="1" ht="14.65" hidden="1" customHeight="1">
      <c r="B48" s="353" t="b">
        <f t="shared" si="0"/>
        <v>0</v>
      </c>
      <c r="E48" s="518">
        <v>15</v>
      </c>
      <c r="F48" s="3" cm="1">
        <f t="array" aca="1" ref="F48" ca="1">OFFSET(E48,-1,1)</f>
        <v>0</v>
      </c>
      <c r="G48" s="36" cm="1">
        <f t="array" ref="G48">G47</f>
        <v>0</v>
      </c>
      <c r="K48" s="91">
        <f>first_year+18</f>
        <v>2042</v>
      </c>
      <c r="T48" s="365" t="b" cm="1">
        <f t="array" aca="1" ref="T48" ca="1">T47</f>
        <v>0</v>
      </c>
      <c r="X48" s="1075"/>
      <c r="Y48" s="1075"/>
      <c r="Z48" s="1065"/>
      <c r="AA48" s="1124"/>
      <c r="AB48" s="187" t="str">
        <f t="shared" si="1"/>
        <v>2042 год</v>
      </c>
      <c r="AC48" s="320"/>
      <c r="AD48" s="973"/>
      <c r="AE48" s="972"/>
      <c r="AF48" s="972"/>
      <c r="AG48" s="973"/>
      <c r="AH48" s="972"/>
      <c r="AI48" s="973"/>
      <c r="AJ48" s="972"/>
      <c r="AK48" s="974"/>
      <c r="AL48" s="316"/>
      <c r="AN48" s="705" cm="1">
        <f t="array" ref="AN48">K48</f>
        <v>2042</v>
      </c>
      <c r="AO48" s="705" t="s">
        <v>2316</v>
      </c>
      <c r="AP48" s="715" cm="1">
        <f t="array" ref="AP48">AP47</f>
        <v>0</v>
      </c>
      <c r="AQ48" s="518"/>
      <c r="AR48" s="518"/>
    </row>
    <row r="49" spans="2:44" s="91" customFormat="1" ht="14.65" hidden="1" customHeight="1">
      <c r="B49" s="353" t="b">
        <f t="shared" si="0"/>
        <v>0</v>
      </c>
      <c r="E49" s="518">
        <v>15</v>
      </c>
      <c r="F49" s="3" cm="1">
        <f t="array" aca="1" ref="F49" ca="1">OFFSET(E49,-1,1)</f>
        <v>0</v>
      </c>
      <c r="G49" s="36" cm="1">
        <f t="array" ref="G49">G48</f>
        <v>0</v>
      </c>
      <c r="K49" s="91">
        <f>first_year+19</f>
        <v>2043</v>
      </c>
      <c r="T49" s="365" t="b" cm="1">
        <f t="array" aca="1" ref="T49" ca="1">T48</f>
        <v>0</v>
      </c>
      <c r="X49" s="1075"/>
      <c r="Y49" s="1075"/>
      <c r="Z49" s="1065"/>
      <c r="AA49" s="1124"/>
      <c r="AB49" s="187" t="str">
        <f t="shared" si="1"/>
        <v>2043 год</v>
      </c>
      <c r="AC49" s="320"/>
      <c r="AD49" s="973"/>
      <c r="AE49" s="972"/>
      <c r="AF49" s="972"/>
      <c r="AG49" s="973"/>
      <c r="AH49" s="972"/>
      <c r="AI49" s="973"/>
      <c r="AJ49" s="972"/>
      <c r="AK49" s="974"/>
      <c r="AL49" s="316"/>
      <c r="AN49" s="705" cm="1">
        <f t="array" ref="AN49">K49</f>
        <v>2043</v>
      </c>
      <c r="AO49" s="705" t="s">
        <v>2316</v>
      </c>
      <c r="AP49" s="715" cm="1">
        <f t="array" ref="AP49">AP48</f>
        <v>0</v>
      </c>
      <c r="AQ49" s="518"/>
      <c r="AR49" s="518"/>
    </row>
    <row r="50" spans="2:44" s="91" customFormat="1" ht="14.65" hidden="1" customHeight="1">
      <c r="B50" s="353" t="b">
        <f t="shared" si="0"/>
        <v>0</v>
      </c>
      <c r="E50" s="518">
        <v>15</v>
      </c>
      <c r="F50" s="3" cm="1">
        <f t="array" aca="1" ref="F50" ca="1">OFFSET(E50,-1,1)</f>
        <v>0</v>
      </c>
      <c r="G50" s="36" cm="1">
        <f t="array" ref="G50">G49</f>
        <v>0</v>
      </c>
      <c r="K50" s="91">
        <f>first_year+20</f>
        <v>2044</v>
      </c>
      <c r="T50" s="365" t="b" cm="1">
        <f t="array" aca="1" ref="T50" ca="1">T49</f>
        <v>0</v>
      </c>
      <c r="X50" s="1075"/>
      <c r="Y50" s="1075"/>
      <c r="Z50" s="1065"/>
      <c r="AA50" s="1124"/>
      <c r="AB50" s="187" t="str">
        <f t="shared" si="1"/>
        <v>2044 год</v>
      </c>
      <c r="AC50" s="320"/>
      <c r="AD50" s="973"/>
      <c r="AE50" s="972"/>
      <c r="AF50" s="972"/>
      <c r="AG50" s="973"/>
      <c r="AH50" s="972"/>
      <c r="AI50" s="973"/>
      <c r="AJ50" s="972"/>
      <c r="AK50" s="974"/>
      <c r="AL50" s="316"/>
      <c r="AN50" s="705" cm="1">
        <f t="array" ref="AN50">K50</f>
        <v>2044</v>
      </c>
      <c r="AO50" s="705" t="s">
        <v>2316</v>
      </c>
      <c r="AP50" s="715" cm="1">
        <f t="array" ref="AP50">AP49</f>
        <v>0</v>
      </c>
      <c r="AQ50" s="518"/>
      <c r="AR50" s="518"/>
    </row>
    <row r="51" spans="2:44" s="91" customFormat="1" ht="14.65" hidden="1" customHeight="1">
      <c r="B51" s="353" t="b">
        <f t="shared" si="0"/>
        <v>0</v>
      </c>
      <c r="E51" s="518">
        <v>15</v>
      </c>
      <c r="F51" s="3" cm="1">
        <f t="array" aca="1" ref="F51" ca="1">OFFSET(E51,-1,1)</f>
        <v>0</v>
      </c>
      <c r="G51" s="36" cm="1">
        <f t="array" ref="G51">G50</f>
        <v>0</v>
      </c>
      <c r="K51" s="91">
        <f>first_year+21</f>
        <v>2045</v>
      </c>
      <c r="T51" s="365" t="b" cm="1">
        <f t="array" aca="1" ref="T51" ca="1">T50</f>
        <v>0</v>
      </c>
      <c r="X51" s="1075"/>
      <c r="Y51" s="1075"/>
      <c r="Z51" s="1065"/>
      <c r="AA51" s="1124"/>
      <c r="AB51" s="187" t="str">
        <f t="shared" si="1"/>
        <v>2045 год</v>
      </c>
      <c r="AC51" s="320"/>
      <c r="AD51" s="973"/>
      <c r="AE51" s="972"/>
      <c r="AF51" s="972"/>
      <c r="AG51" s="973"/>
      <c r="AH51" s="972"/>
      <c r="AI51" s="973"/>
      <c r="AJ51" s="972"/>
      <c r="AK51" s="974"/>
      <c r="AL51" s="316"/>
      <c r="AN51" s="705" cm="1">
        <f t="array" ref="AN51">K51</f>
        <v>2045</v>
      </c>
      <c r="AO51" s="705" t="s">
        <v>2316</v>
      </c>
      <c r="AP51" s="715" cm="1">
        <f t="array" ref="AP51">AP50</f>
        <v>0</v>
      </c>
      <c r="AQ51" s="518"/>
      <c r="AR51" s="518"/>
    </row>
    <row r="52" spans="2:44" s="91" customFormat="1" ht="14.65" hidden="1" customHeight="1">
      <c r="B52" s="353" t="b">
        <f t="shared" si="0"/>
        <v>0</v>
      </c>
      <c r="E52" s="518">
        <v>15</v>
      </c>
      <c r="F52" s="3" cm="1">
        <f t="array" aca="1" ref="F52" ca="1">OFFSET(E52,-1,1)</f>
        <v>0</v>
      </c>
      <c r="G52" s="36" cm="1">
        <f t="array" ref="G52">G51</f>
        <v>0</v>
      </c>
      <c r="K52" s="91">
        <f>first_year+22</f>
        <v>2046</v>
      </c>
      <c r="T52" s="365" t="b" cm="1">
        <f t="array" aca="1" ref="T52" ca="1">T51</f>
        <v>0</v>
      </c>
      <c r="X52" s="1075"/>
      <c r="Y52" s="1075"/>
      <c r="Z52" s="1065"/>
      <c r="AA52" s="1124"/>
      <c r="AB52" s="187" t="str">
        <f t="shared" si="1"/>
        <v>2046 год</v>
      </c>
      <c r="AC52" s="320"/>
      <c r="AD52" s="973"/>
      <c r="AE52" s="972"/>
      <c r="AF52" s="972"/>
      <c r="AG52" s="973"/>
      <c r="AH52" s="972"/>
      <c r="AI52" s="973"/>
      <c r="AJ52" s="972"/>
      <c r="AK52" s="974"/>
      <c r="AL52" s="316"/>
      <c r="AN52" s="705" cm="1">
        <f t="array" ref="AN52">K52</f>
        <v>2046</v>
      </c>
      <c r="AO52" s="705" t="s">
        <v>2316</v>
      </c>
      <c r="AP52" s="715" cm="1">
        <f t="array" ref="AP52">AP51</f>
        <v>0</v>
      </c>
      <c r="AQ52" s="518"/>
      <c r="AR52" s="518"/>
    </row>
    <row r="53" spans="2:44" s="91" customFormat="1" ht="14.65" hidden="1" customHeight="1">
      <c r="B53" s="353" t="b">
        <f t="shared" si="0"/>
        <v>0</v>
      </c>
      <c r="E53" s="518">
        <v>15</v>
      </c>
      <c r="F53" s="3" cm="1">
        <f t="array" aca="1" ref="F53" ca="1">OFFSET(E53,-1,1)</f>
        <v>0</v>
      </c>
      <c r="G53" s="36" cm="1">
        <f t="array" ref="G53">G52</f>
        <v>0</v>
      </c>
      <c r="K53" s="91">
        <f>first_year+23</f>
        <v>2047</v>
      </c>
      <c r="T53" s="365" t="b" cm="1">
        <f t="array" aca="1" ref="T53" ca="1">T52</f>
        <v>0</v>
      </c>
      <c r="X53" s="1075"/>
      <c r="Y53" s="1075"/>
      <c r="Z53" s="1065"/>
      <c r="AA53" s="1124"/>
      <c r="AB53" s="187" t="str">
        <f t="shared" si="1"/>
        <v>2047 год</v>
      </c>
      <c r="AC53" s="320"/>
      <c r="AD53" s="973"/>
      <c r="AE53" s="972"/>
      <c r="AF53" s="972"/>
      <c r="AG53" s="973"/>
      <c r="AH53" s="972"/>
      <c r="AI53" s="973"/>
      <c r="AJ53" s="972"/>
      <c r="AK53" s="974"/>
      <c r="AL53" s="316"/>
      <c r="AN53" s="705" cm="1">
        <f t="array" ref="AN53">K53</f>
        <v>2047</v>
      </c>
      <c r="AO53" s="705" t="s">
        <v>2316</v>
      </c>
      <c r="AP53" s="715" cm="1">
        <f t="array" ref="AP53">AP52</f>
        <v>0</v>
      </c>
      <c r="AQ53" s="518"/>
      <c r="AR53" s="518"/>
    </row>
    <row r="54" spans="2:44" s="91" customFormat="1" ht="14.65" hidden="1" customHeight="1">
      <c r="B54" s="353" t="b">
        <f t="shared" si="0"/>
        <v>0</v>
      </c>
      <c r="E54" s="518">
        <v>15</v>
      </c>
      <c r="F54" s="3" cm="1">
        <f t="array" aca="1" ref="F54" ca="1">OFFSET(E54,-1,1)</f>
        <v>0</v>
      </c>
      <c r="G54" s="36" cm="1">
        <f t="array" ref="G54">G53</f>
        <v>0</v>
      </c>
      <c r="K54" s="91">
        <f>first_year+24</f>
        <v>2048</v>
      </c>
      <c r="T54" s="365" t="b" cm="1">
        <f t="array" aca="1" ref="T54" ca="1">T53</f>
        <v>0</v>
      </c>
      <c r="X54" s="1075"/>
      <c r="Y54" s="1075"/>
      <c r="Z54" s="1065"/>
      <c r="AA54" s="1124"/>
      <c r="AB54" s="187" t="str">
        <f t="shared" si="1"/>
        <v>2048 год</v>
      </c>
      <c r="AC54" s="320"/>
      <c r="AD54" s="973"/>
      <c r="AE54" s="972"/>
      <c r="AF54" s="972"/>
      <c r="AG54" s="973"/>
      <c r="AH54" s="972"/>
      <c r="AI54" s="973"/>
      <c r="AJ54" s="972"/>
      <c r="AK54" s="974"/>
      <c r="AL54" s="316"/>
      <c r="AN54" s="705" cm="1">
        <f t="array" ref="AN54">K54</f>
        <v>2048</v>
      </c>
      <c r="AO54" s="705" t="s">
        <v>2316</v>
      </c>
      <c r="AP54" s="715" cm="1">
        <f t="array" ref="AP54">AP53</f>
        <v>0</v>
      </c>
      <c r="AQ54" s="518"/>
      <c r="AR54" s="518"/>
    </row>
    <row r="55" spans="2:44" s="91" customFormat="1" ht="14.65" hidden="1" customHeight="1">
      <c r="B55" s="353" t="b">
        <f t="shared" si="0"/>
        <v>0</v>
      </c>
      <c r="E55" s="518">
        <v>15</v>
      </c>
      <c r="F55" s="3" cm="1">
        <f t="array" aca="1" ref="F55" ca="1">OFFSET(E55,-1,1)</f>
        <v>0</v>
      </c>
      <c r="G55" s="36" cm="1">
        <f t="array" ref="G55">G54</f>
        <v>0</v>
      </c>
      <c r="K55" s="91">
        <f>first_year+25</f>
        <v>2049</v>
      </c>
      <c r="T55" s="365" t="b" cm="1">
        <f t="array" aca="1" ref="T55" ca="1">T54</f>
        <v>0</v>
      </c>
      <c r="X55" s="1075"/>
      <c r="Y55" s="1075"/>
      <c r="Z55" s="1065"/>
      <c r="AA55" s="1124"/>
      <c r="AB55" s="187" t="str">
        <f t="shared" si="1"/>
        <v>2049 год</v>
      </c>
      <c r="AC55" s="320"/>
      <c r="AD55" s="973"/>
      <c r="AE55" s="972"/>
      <c r="AF55" s="972"/>
      <c r="AG55" s="973"/>
      <c r="AH55" s="972"/>
      <c r="AI55" s="973"/>
      <c r="AJ55" s="972"/>
      <c r="AK55" s="974"/>
      <c r="AL55" s="316"/>
      <c r="AN55" s="705" cm="1">
        <f t="array" ref="AN55">K55</f>
        <v>2049</v>
      </c>
      <c r="AO55" s="705" t="s">
        <v>2316</v>
      </c>
      <c r="AP55" s="715" cm="1">
        <f t="array" ref="AP55">AP54</f>
        <v>0</v>
      </c>
      <c r="AQ55" s="518"/>
      <c r="AR55" s="518"/>
    </row>
    <row r="56" spans="2:44" s="91" customFormat="1" ht="14.65" hidden="1" customHeight="1">
      <c r="B56" s="353" t="b">
        <f t="shared" si="0"/>
        <v>0</v>
      </c>
      <c r="E56" s="518">
        <v>15</v>
      </c>
      <c r="F56" s="3" cm="1">
        <f t="array" aca="1" ref="F56" ca="1">OFFSET(E56,-1,1)</f>
        <v>0</v>
      </c>
      <c r="G56" s="36" cm="1">
        <f t="array" ref="G56">G55</f>
        <v>0</v>
      </c>
      <c r="K56" s="91">
        <f>first_year+26</f>
        <v>2050</v>
      </c>
      <c r="T56" s="365" t="b" cm="1">
        <f t="array" aca="1" ref="T56" ca="1">T55</f>
        <v>0</v>
      </c>
      <c r="X56" s="1075"/>
      <c r="Y56" s="1075"/>
      <c r="Z56" s="1065"/>
      <c r="AA56" s="1124"/>
      <c r="AB56" s="187" t="str">
        <f t="shared" si="1"/>
        <v>2050 год</v>
      </c>
      <c r="AC56" s="320"/>
      <c r="AD56" s="973"/>
      <c r="AE56" s="972"/>
      <c r="AF56" s="972"/>
      <c r="AG56" s="973"/>
      <c r="AH56" s="972"/>
      <c r="AI56" s="973"/>
      <c r="AJ56" s="972"/>
      <c r="AK56" s="974"/>
      <c r="AL56" s="316"/>
      <c r="AN56" s="705" cm="1">
        <f t="array" ref="AN56">K56</f>
        <v>2050</v>
      </c>
      <c r="AO56" s="705" t="s">
        <v>2316</v>
      </c>
      <c r="AP56" s="715" cm="1">
        <f t="array" ref="AP56">AP55</f>
        <v>0</v>
      </c>
      <c r="AQ56" s="518"/>
      <c r="AR56" s="518"/>
    </row>
    <row r="57" spans="2:44" s="91" customFormat="1" ht="14.65" hidden="1" customHeight="1">
      <c r="B57" s="353" t="b">
        <f t="shared" si="0"/>
        <v>0</v>
      </c>
      <c r="E57" s="518">
        <v>15</v>
      </c>
      <c r="F57" s="3" cm="1">
        <f t="array" aca="1" ref="F57" ca="1">OFFSET(E57,-1,1)</f>
        <v>0</v>
      </c>
      <c r="G57" s="36" cm="1">
        <f t="array" ref="G57">G56</f>
        <v>0</v>
      </c>
      <c r="K57" s="91">
        <f>first_year+27</f>
        <v>2051</v>
      </c>
      <c r="T57" s="365" t="b" cm="1">
        <f t="array" aca="1" ref="T57" ca="1">T56</f>
        <v>0</v>
      </c>
      <c r="X57" s="1075"/>
      <c r="Y57" s="1075"/>
      <c r="Z57" s="1065"/>
      <c r="AA57" s="1124"/>
      <c r="AB57" s="187" t="str">
        <f t="shared" si="1"/>
        <v>2051 год</v>
      </c>
      <c r="AC57" s="320"/>
      <c r="AD57" s="973"/>
      <c r="AE57" s="972"/>
      <c r="AF57" s="972"/>
      <c r="AG57" s="973"/>
      <c r="AH57" s="972"/>
      <c r="AI57" s="973"/>
      <c r="AJ57" s="972"/>
      <c r="AK57" s="974"/>
      <c r="AL57" s="316"/>
      <c r="AN57" s="705" cm="1">
        <f t="array" ref="AN57">K57</f>
        <v>2051</v>
      </c>
      <c r="AO57" s="705" t="s">
        <v>2316</v>
      </c>
      <c r="AP57" s="715" cm="1">
        <f t="array" ref="AP57">AP56</f>
        <v>0</v>
      </c>
      <c r="AQ57" s="518"/>
      <c r="AR57" s="518"/>
    </row>
    <row r="58" spans="2:44" s="91" customFormat="1" ht="14.65" hidden="1" customHeight="1">
      <c r="B58" s="353" t="b">
        <f t="shared" si="0"/>
        <v>0</v>
      </c>
      <c r="E58" s="518">
        <v>15</v>
      </c>
      <c r="F58" s="3" cm="1">
        <f t="array" aca="1" ref="F58" ca="1">OFFSET(E58,-1,1)</f>
        <v>0</v>
      </c>
      <c r="G58" s="36" cm="1">
        <f t="array" ref="G58">G57</f>
        <v>0</v>
      </c>
      <c r="K58" s="91">
        <f>first_year+28</f>
        <v>2052</v>
      </c>
      <c r="T58" s="365" t="b" cm="1">
        <f t="array" aca="1" ref="T58" ca="1">T57</f>
        <v>0</v>
      </c>
      <c r="X58" s="1075"/>
      <c r="Y58" s="1075"/>
      <c r="Z58" s="1065"/>
      <c r="AA58" s="1124"/>
      <c r="AB58" s="187" t="str">
        <f t="shared" si="1"/>
        <v>2052 год</v>
      </c>
      <c r="AC58" s="320"/>
      <c r="AD58" s="973"/>
      <c r="AE58" s="972"/>
      <c r="AF58" s="972"/>
      <c r="AG58" s="973"/>
      <c r="AH58" s="972"/>
      <c r="AI58" s="973"/>
      <c r="AJ58" s="972"/>
      <c r="AK58" s="974"/>
      <c r="AL58" s="316"/>
      <c r="AN58" s="705" cm="1">
        <f t="array" ref="AN58">K58</f>
        <v>2052</v>
      </c>
      <c r="AO58" s="705" t="s">
        <v>2316</v>
      </c>
      <c r="AP58" s="715" cm="1">
        <f t="array" ref="AP58">AP57</f>
        <v>0</v>
      </c>
      <c r="AQ58" s="518"/>
      <c r="AR58" s="518"/>
    </row>
    <row r="59" spans="2:44" s="91" customFormat="1" ht="14.65" hidden="1" customHeight="1">
      <c r="B59" s="353" t="b">
        <f t="shared" si="0"/>
        <v>0</v>
      </c>
      <c r="E59" s="518">
        <v>15</v>
      </c>
      <c r="F59" s="3" cm="1">
        <f t="array" aca="1" ref="F59" ca="1">OFFSET(E59,-1,1)</f>
        <v>0</v>
      </c>
      <c r="G59" s="36" cm="1">
        <f t="array" ref="G59">G58</f>
        <v>0</v>
      </c>
      <c r="K59" s="91">
        <f>first_year+29</f>
        <v>2053</v>
      </c>
      <c r="T59" s="365" t="b" cm="1">
        <f t="array" aca="1" ref="T59" ca="1">T58</f>
        <v>0</v>
      </c>
      <c r="X59" s="1075"/>
      <c r="Y59" s="1075"/>
      <c r="Z59" s="1065"/>
      <c r="AA59" s="1124"/>
      <c r="AB59" s="187" t="str">
        <f t="shared" si="1"/>
        <v>2053 год</v>
      </c>
      <c r="AC59" s="320"/>
      <c r="AD59" s="973"/>
      <c r="AE59" s="972"/>
      <c r="AF59" s="972"/>
      <c r="AG59" s="973"/>
      <c r="AH59" s="972"/>
      <c r="AI59" s="973"/>
      <c r="AJ59" s="972"/>
      <c r="AK59" s="974"/>
      <c r="AL59" s="316"/>
      <c r="AN59" s="705" cm="1">
        <f t="array" ref="AN59">K59</f>
        <v>2053</v>
      </c>
      <c r="AO59" s="705" t="s">
        <v>2316</v>
      </c>
      <c r="AP59" s="715" cm="1">
        <f t="array" ref="AP59">AP58</f>
        <v>0</v>
      </c>
      <c r="AQ59" s="518"/>
      <c r="AR59" s="518"/>
    </row>
    <row r="60" spans="2:44" s="91" customFormat="1" ht="14.65" hidden="1" customHeight="1">
      <c r="B60" s="353" t="b">
        <f t="shared" si="0"/>
        <v>0</v>
      </c>
      <c r="E60" s="518">
        <v>15</v>
      </c>
      <c r="F60" s="3" cm="1">
        <f t="array" aca="1" ref="F60" ca="1">OFFSET(E60,-1,1)</f>
        <v>0</v>
      </c>
      <c r="G60" s="36" cm="1">
        <f t="array" ref="G60">G59</f>
        <v>0</v>
      </c>
      <c r="K60" s="91">
        <f>first_year+30</f>
        <v>2054</v>
      </c>
      <c r="T60" s="365" t="b" cm="1">
        <f t="array" aca="1" ref="T60" ca="1">T59</f>
        <v>0</v>
      </c>
      <c r="X60" s="1075"/>
      <c r="Y60" s="1075"/>
      <c r="Z60" s="1065"/>
      <c r="AA60" s="1124"/>
      <c r="AB60" s="187" t="str">
        <f t="shared" si="1"/>
        <v>2054 год</v>
      </c>
      <c r="AC60" s="320"/>
      <c r="AD60" s="973"/>
      <c r="AE60" s="972"/>
      <c r="AF60" s="972"/>
      <c r="AG60" s="973"/>
      <c r="AH60" s="972"/>
      <c r="AI60" s="973"/>
      <c r="AJ60" s="972"/>
      <c r="AK60" s="974"/>
      <c r="AL60" s="316"/>
      <c r="AN60" s="705" cm="1">
        <f t="array" ref="AN60">K60</f>
        <v>2054</v>
      </c>
      <c r="AO60" s="705" t="s">
        <v>2316</v>
      </c>
      <c r="AP60" s="715" cm="1">
        <f t="array" ref="AP60">AP59</f>
        <v>0</v>
      </c>
      <c r="AQ60" s="518"/>
      <c r="AR60" s="518"/>
    </row>
    <row r="61" spans="2:44" s="91" customFormat="1" ht="14.65" hidden="1" customHeight="1">
      <c r="B61" s="353" t="b">
        <f t="shared" si="0"/>
        <v>0</v>
      </c>
      <c r="E61" s="518">
        <v>15</v>
      </c>
      <c r="F61" s="3" cm="1">
        <f t="array" aca="1" ref="F61" ca="1">OFFSET(E61,-1,1)</f>
        <v>0</v>
      </c>
      <c r="G61" s="36" cm="1">
        <f t="array" ref="G61">G60</f>
        <v>0</v>
      </c>
      <c r="K61" s="91">
        <f>first_year+31</f>
        <v>2055</v>
      </c>
      <c r="T61" s="365" t="b" cm="1">
        <f t="array" aca="1" ref="T61" ca="1">T60</f>
        <v>0</v>
      </c>
      <c r="X61" s="1075"/>
      <c r="Y61" s="1075"/>
      <c r="Z61" s="1065"/>
      <c r="AA61" s="1124"/>
      <c r="AB61" s="187" t="str">
        <f t="shared" si="1"/>
        <v>2055 год</v>
      </c>
      <c r="AC61" s="320"/>
      <c r="AD61" s="973"/>
      <c r="AE61" s="972"/>
      <c r="AF61" s="972"/>
      <c r="AG61" s="973"/>
      <c r="AH61" s="972"/>
      <c r="AI61" s="973"/>
      <c r="AJ61" s="972"/>
      <c r="AK61" s="974"/>
      <c r="AL61" s="316"/>
      <c r="AN61" s="705" cm="1">
        <f t="array" ref="AN61">K61</f>
        <v>2055</v>
      </c>
      <c r="AO61" s="705" t="s">
        <v>2316</v>
      </c>
      <c r="AP61" s="715" cm="1">
        <f t="array" ref="AP61">AP60</f>
        <v>0</v>
      </c>
      <c r="AQ61" s="518"/>
      <c r="AR61" s="518"/>
    </row>
    <row r="62" spans="2:44" s="91" customFormat="1" ht="14.65" hidden="1" customHeight="1">
      <c r="B62" s="353" t="b">
        <f t="shared" ref="B62:B79" si="2">K62&lt;first_year+PERIOD_LENGTH</f>
        <v>0</v>
      </c>
      <c r="E62" s="518">
        <v>15</v>
      </c>
      <c r="F62" s="3" cm="1">
        <f t="array" aca="1" ref="F62" ca="1">OFFSET(E62,-1,1)</f>
        <v>0</v>
      </c>
      <c r="G62" s="36" cm="1">
        <f t="array" ref="G62">G61</f>
        <v>0</v>
      </c>
      <c r="K62" s="91">
        <f>first_year+32</f>
        <v>2056</v>
      </c>
      <c r="T62" s="365" t="b" cm="1">
        <f t="array" aca="1" ref="T62" ca="1">T61</f>
        <v>0</v>
      </c>
      <c r="X62" s="1075"/>
      <c r="Y62" s="1075"/>
      <c r="Z62" s="1065"/>
      <c r="AA62" s="1124"/>
      <c r="AB62" s="187" t="str">
        <f t="shared" ref="AB62:AB79" si="3">K62&amp;" год"</f>
        <v>2056 год</v>
      </c>
      <c r="AC62" s="320"/>
      <c r="AD62" s="973"/>
      <c r="AE62" s="972"/>
      <c r="AF62" s="972"/>
      <c r="AG62" s="973"/>
      <c r="AH62" s="972"/>
      <c r="AI62" s="973"/>
      <c r="AJ62" s="972"/>
      <c r="AK62" s="974"/>
      <c r="AL62" s="316"/>
      <c r="AN62" s="705" cm="1">
        <f t="array" ref="AN62">K62</f>
        <v>2056</v>
      </c>
      <c r="AO62" s="705" t="s">
        <v>2316</v>
      </c>
      <c r="AP62" s="715" cm="1">
        <f t="array" ref="AP62">AP61</f>
        <v>0</v>
      </c>
      <c r="AQ62" s="518"/>
      <c r="AR62" s="518"/>
    </row>
    <row r="63" spans="2:44" s="91" customFormat="1" ht="14.65" hidden="1" customHeight="1">
      <c r="B63" s="353" t="b">
        <f t="shared" si="2"/>
        <v>0</v>
      </c>
      <c r="E63" s="518">
        <v>15</v>
      </c>
      <c r="F63" s="3" cm="1">
        <f t="array" aca="1" ref="F63" ca="1">OFFSET(E63,-1,1)</f>
        <v>0</v>
      </c>
      <c r="G63" s="36" cm="1">
        <f t="array" ref="G63">G62</f>
        <v>0</v>
      </c>
      <c r="K63" s="91">
        <f>first_year+33</f>
        <v>2057</v>
      </c>
      <c r="T63" s="365" t="b" cm="1">
        <f t="array" aca="1" ref="T63" ca="1">T62</f>
        <v>0</v>
      </c>
      <c r="X63" s="1075"/>
      <c r="Y63" s="1075"/>
      <c r="Z63" s="1065"/>
      <c r="AA63" s="1124"/>
      <c r="AB63" s="187" t="str">
        <f t="shared" si="3"/>
        <v>2057 год</v>
      </c>
      <c r="AC63" s="320"/>
      <c r="AD63" s="973"/>
      <c r="AE63" s="972"/>
      <c r="AF63" s="972"/>
      <c r="AG63" s="973"/>
      <c r="AH63" s="972"/>
      <c r="AI63" s="973"/>
      <c r="AJ63" s="972"/>
      <c r="AK63" s="974"/>
      <c r="AL63" s="316"/>
      <c r="AN63" s="705" cm="1">
        <f t="array" ref="AN63">K63</f>
        <v>2057</v>
      </c>
      <c r="AO63" s="705" t="s">
        <v>2316</v>
      </c>
      <c r="AP63" s="715" cm="1">
        <f t="array" ref="AP63">AP62</f>
        <v>0</v>
      </c>
      <c r="AQ63" s="518"/>
      <c r="AR63" s="518"/>
    </row>
    <row r="64" spans="2:44" s="91" customFormat="1" ht="14.65" hidden="1" customHeight="1">
      <c r="B64" s="353" t="b">
        <f t="shared" si="2"/>
        <v>0</v>
      </c>
      <c r="E64" s="518">
        <v>15</v>
      </c>
      <c r="F64" s="3" cm="1">
        <f t="array" aca="1" ref="F64" ca="1">OFFSET(E64,-1,1)</f>
        <v>0</v>
      </c>
      <c r="G64" s="36" cm="1">
        <f t="array" ref="G64">G63</f>
        <v>0</v>
      </c>
      <c r="K64" s="91">
        <f>first_year+34</f>
        <v>2058</v>
      </c>
      <c r="T64" s="365" t="b" cm="1">
        <f t="array" aca="1" ref="T64" ca="1">T63</f>
        <v>0</v>
      </c>
      <c r="X64" s="1075"/>
      <c r="Y64" s="1075"/>
      <c r="Z64" s="1065"/>
      <c r="AA64" s="1124"/>
      <c r="AB64" s="187" t="str">
        <f t="shared" si="3"/>
        <v>2058 год</v>
      </c>
      <c r="AC64" s="320"/>
      <c r="AD64" s="973"/>
      <c r="AE64" s="972"/>
      <c r="AF64" s="972"/>
      <c r="AG64" s="973"/>
      <c r="AH64" s="972"/>
      <c r="AI64" s="973"/>
      <c r="AJ64" s="972"/>
      <c r="AK64" s="974"/>
      <c r="AL64" s="316"/>
      <c r="AN64" s="705" cm="1">
        <f t="array" ref="AN64">K64</f>
        <v>2058</v>
      </c>
      <c r="AO64" s="705" t="s">
        <v>2316</v>
      </c>
      <c r="AP64" s="715" cm="1">
        <f t="array" ref="AP64">AP63</f>
        <v>0</v>
      </c>
      <c r="AQ64" s="518"/>
      <c r="AR64" s="518"/>
    </row>
    <row r="65" spans="1:44" s="91" customFormat="1" ht="14.65" hidden="1" customHeight="1">
      <c r="B65" s="353" t="b">
        <f t="shared" si="2"/>
        <v>0</v>
      </c>
      <c r="E65" s="518">
        <v>15</v>
      </c>
      <c r="F65" s="3" cm="1">
        <f t="array" aca="1" ref="F65" ca="1">OFFSET(E65,-1,1)</f>
        <v>0</v>
      </c>
      <c r="G65" s="36" cm="1">
        <f t="array" ref="G65">G64</f>
        <v>0</v>
      </c>
      <c r="K65" s="91">
        <f>first_year+35</f>
        <v>2059</v>
      </c>
      <c r="T65" s="365" t="b" cm="1">
        <f t="array" aca="1" ref="T65" ca="1">T64</f>
        <v>0</v>
      </c>
      <c r="X65" s="1075"/>
      <c r="Y65" s="1075"/>
      <c r="Z65" s="1065"/>
      <c r="AA65" s="1124"/>
      <c r="AB65" s="187" t="str">
        <f t="shared" si="3"/>
        <v>2059 год</v>
      </c>
      <c r="AC65" s="320"/>
      <c r="AD65" s="973"/>
      <c r="AE65" s="972"/>
      <c r="AF65" s="972"/>
      <c r="AG65" s="973"/>
      <c r="AH65" s="972"/>
      <c r="AI65" s="973"/>
      <c r="AJ65" s="972"/>
      <c r="AK65" s="974"/>
      <c r="AL65" s="316"/>
      <c r="AN65" s="705" cm="1">
        <f t="array" ref="AN65">K65</f>
        <v>2059</v>
      </c>
      <c r="AO65" s="705" t="s">
        <v>2316</v>
      </c>
      <c r="AP65" s="715" cm="1">
        <f t="array" ref="AP65">AP64</f>
        <v>0</v>
      </c>
      <c r="AQ65" s="518"/>
      <c r="AR65" s="518"/>
    </row>
    <row r="66" spans="1:44" s="91" customFormat="1" ht="14.65" hidden="1" customHeight="1">
      <c r="B66" s="353" t="b">
        <f t="shared" si="2"/>
        <v>0</v>
      </c>
      <c r="E66" s="518">
        <v>15</v>
      </c>
      <c r="F66" s="3" cm="1">
        <f t="array" aca="1" ref="F66" ca="1">OFFSET(E66,-1,1)</f>
        <v>0</v>
      </c>
      <c r="G66" s="36" cm="1">
        <f t="array" ref="G66">G65</f>
        <v>0</v>
      </c>
      <c r="K66" s="91">
        <f>first_year+36</f>
        <v>2060</v>
      </c>
      <c r="T66" s="365" t="b" cm="1">
        <f t="array" aca="1" ref="T66" ca="1">T65</f>
        <v>0</v>
      </c>
      <c r="X66" s="1075"/>
      <c r="Y66" s="1075"/>
      <c r="Z66" s="1065"/>
      <c r="AA66" s="1124"/>
      <c r="AB66" s="187" t="str">
        <f t="shared" si="3"/>
        <v>2060 год</v>
      </c>
      <c r="AC66" s="320"/>
      <c r="AD66" s="973"/>
      <c r="AE66" s="972"/>
      <c r="AF66" s="972"/>
      <c r="AG66" s="973"/>
      <c r="AH66" s="972"/>
      <c r="AI66" s="973"/>
      <c r="AJ66" s="972"/>
      <c r="AK66" s="974"/>
      <c r="AL66" s="316"/>
      <c r="AN66" s="705" cm="1">
        <f t="array" ref="AN66">K66</f>
        <v>2060</v>
      </c>
      <c r="AO66" s="705" t="s">
        <v>2316</v>
      </c>
      <c r="AP66" s="715" cm="1">
        <f t="array" ref="AP66">AP65</f>
        <v>0</v>
      </c>
      <c r="AQ66" s="518"/>
      <c r="AR66" s="518"/>
    </row>
    <row r="67" spans="1:44" s="91" customFormat="1" ht="14.65" hidden="1" customHeight="1">
      <c r="B67" s="353" t="b">
        <f t="shared" si="2"/>
        <v>0</v>
      </c>
      <c r="E67" s="518">
        <v>15</v>
      </c>
      <c r="F67" s="3" cm="1">
        <f t="array" aca="1" ref="F67" ca="1">OFFSET(E67,-1,1)</f>
        <v>0</v>
      </c>
      <c r="G67" s="36" cm="1">
        <f t="array" ref="G67">G66</f>
        <v>0</v>
      </c>
      <c r="K67" s="91">
        <f>first_year+37</f>
        <v>2061</v>
      </c>
      <c r="T67" s="365" t="b" cm="1">
        <f t="array" aca="1" ref="T67" ca="1">T66</f>
        <v>0</v>
      </c>
      <c r="X67" s="1075"/>
      <c r="Y67" s="1075"/>
      <c r="Z67" s="1065"/>
      <c r="AA67" s="1124"/>
      <c r="AB67" s="187" t="str">
        <f t="shared" si="3"/>
        <v>2061 год</v>
      </c>
      <c r="AC67" s="320"/>
      <c r="AD67" s="973"/>
      <c r="AE67" s="972"/>
      <c r="AF67" s="972"/>
      <c r="AG67" s="973"/>
      <c r="AH67" s="972"/>
      <c r="AI67" s="973"/>
      <c r="AJ67" s="972"/>
      <c r="AK67" s="974"/>
      <c r="AL67" s="316"/>
      <c r="AN67" s="705" cm="1">
        <f t="array" ref="AN67">K67</f>
        <v>2061</v>
      </c>
      <c r="AO67" s="705" t="s">
        <v>2316</v>
      </c>
      <c r="AP67" s="715" cm="1">
        <f t="array" ref="AP67">AP66</f>
        <v>0</v>
      </c>
      <c r="AQ67" s="518"/>
      <c r="AR67" s="518"/>
    </row>
    <row r="68" spans="1:44" s="91" customFormat="1" ht="14.65" hidden="1" customHeight="1">
      <c r="B68" s="353" t="b">
        <f t="shared" si="2"/>
        <v>0</v>
      </c>
      <c r="E68" s="518">
        <v>15</v>
      </c>
      <c r="F68" s="3" cm="1">
        <f t="array" aca="1" ref="F68" ca="1">OFFSET(E68,-1,1)</f>
        <v>0</v>
      </c>
      <c r="G68" s="36" cm="1">
        <f t="array" ref="G68">G67</f>
        <v>0</v>
      </c>
      <c r="K68" s="91">
        <f>first_year+38</f>
        <v>2062</v>
      </c>
      <c r="T68" s="365" t="b" cm="1">
        <f t="array" aca="1" ref="T68" ca="1">T67</f>
        <v>0</v>
      </c>
      <c r="X68" s="1075"/>
      <c r="Y68" s="1075"/>
      <c r="Z68" s="1065"/>
      <c r="AA68" s="1124"/>
      <c r="AB68" s="187" t="str">
        <f t="shared" si="3"/>
        <v>2062 год</v>
      </c>
      <c r="AC68" s="320"/>
      <c r="AD68" s="973"/>
      <c r="AE68" s="972"/>
      <c r="AF68" s="972"/>
      <c r="AG68" s="973"/>
      <c r="AH68" s="972"/>
      <c r="AI68" s="973"/>
      <c r="AJ68" s="972"/>
      <c r="AK68" s="974"/>
      <c r="AL68" s="316"/>
      <c r="AN68" s="705" cm="1">
        <f t="array" ref="AN68">K68</f>
        <v>2062</v>
      </c>
      <c r="AO68" s="705" t="s">
        <v>2316</v>
      </c>
      <c r="AP68" s="715" cm="1">
        <f t="array" ref="AP68">AP67</f>
        <v>0</v>
      </c>
      <c r="AQ68" s="518"/>
      <c r="AR68" s="518"/>
    </row>
    <row r="69" spans="1:44" s="91" customFormat="1" ht="14.65" hidden="1" customHeight="1">
      <c r="B69" s="353" t="b">
        <f t="shared" si="2"/>
        <v>0</v>
      </c>
      <c r="E69" s="518">
        <v>15</v>
      </c>
      <c r="F69" s="3" cm="1">
        <f t="array" aca="1" ref="F69" ca="1">OFFSET(E69,-1,1)</f>
        <v>0</v>
      </c>
      <c r="G69" s="36" cm="1">
        <f t="array" ref="G69">G68</f>
        <v>0</v>
      </c>
      <c r="K69" s="91">
        <f>first_year+39</f>
        <v>2063</v>
      </c>
      <c r="T69" s="365" t="b" cm="1">
        <f t="array" aca="1" ref="T69" ca="1">T68</f>
        <v>0</v>
      </c>
      <c r="X69" s="1075"/>
      <c r="Y69" s="1075"/>
      <c r="Z69" s="1065"/>
      <c r="AA69" s="1124"/>
      <c r="AB69" s="187" t="str">
        <f t="shared" si="3"/>
        <v>2063 год</v>
      </c>
      <c r="AC69" s="320"/>
      <c r="AD69" s="973"/>
      <c r="AE69" s="972"/>
      <c r="AF69" s="972"/>
      <c r="AG69" s="973"/>
      <c r="AH69" s="972"/>
      <c r="AI69" s="973"/>
      <c r="AJ69" s="972"/>
      <c r="AK69" s="974"/>
      <c r="AL69" s="316"/>
      <c r="AN69" s="705" cm="1">
        <f t="array" ref="AN69">K69</f>
        <v>2063</v>
      </c>
      <c r="AO69" s="705" t="s">
        <v>2316</v>
      </c>
      <c r="AP69" s="715" cm="1">
        <f t="array" ref="AP69">AP68</f>
        <v>0</v>
      </c>
      <c r="AQ69" s="518"/>
      <c r="AR69" s="518"/>
    </row>
    <row r="70" spans="1:44" s="91" customFormat="1" ht="14.65" hidden="1" customHeight="1">
      <c r="B70" s="353" t="b">
        <f t="shared" si="2"/>
        <v>0</v>
      </c>
      <c r="E70" s="518">
        <v>15</v>
      </c>
      <c r="F70" s="3" cm="1">
        <f t="array" aca="1" ref="F70" ca="1">OFFSET(E70,-1,1)</f>
        <v>0</v>
      </c>
      <c r="G70" s="36" cm="1">
        <f t="array" ref="G70">G69</f>
        <v>0</v>
      </c>
      <c r="K70" s="91">
        <f>first_year+40</f>
        <v>2064</v>
      </c>
      <c r="T70" s="365" t="b" cm="1">
        <f t="array" aca="1" ref="T70" ca="1">T69</f>
        <v>0</v>
      </c>
      <c r="X70" s="1075"/>
      <c r="Y70" s="1075"/>
      <c r="Z70" s="1065"/>
      <c r="AA70" s="1124"/>
      <c r="AB70" s="187" t="str">
        <f t="shared" si="3"/>
        <v>2064 год</v>
      </c>
      <c r="AC70" s="320"/>
      <c r="AD70" s="973"/>
      <c r="AE70" s="972"/>
      <c r="AF70" s="972"/>
      <c r="AG70" s="973"/>
      <c r="AH70" s="972"/>
      <c r="AI70" s="973"/>
      <c r="AJ70" s="972"/>
      <c r="AK70" s="974"/>
      <c r="AL70" s="316"/>
      <c r="AN70" s="705" cm="1">
        <f t="array" ref="AN70">K70</f>
        <v>2064</v>
      </c>
      <c r="AO70" s="705" t="s">
        <v>2316</v>
      </c>
      <c r="AP70" s="715" cm="1">
        <f t="array" ref="AP70">AP69</f>
        <v>0</v>
      </c>
      <c r="AQ70" s="518"/>
      <c r="AR70" s="518"/>
    </row>
    <row r="71" spans="1:44" s="91" customFormat="1" ht="14.65" hidden="1" customHeight="1">
      <c r="B71" s="353" t="b">
        <f t="shared" si="2"/>
        <v>0</v>
      </c>
      <c r="E71" s="518">
        <v>15</v>
      </c>
      <c r="F71" s="3" cm="1">
        <f t="array" aca="1" ref="F71" ca="1">OFFSET(E71,-1,1)</f>
        <v>0</v>
      </c>
      <c r="G71" s="36" cm="1">
        <f t="array" ref="G71">G70</f>
        <v>0</v>
      </c>
      <c r="K71" s="91">
        <f>first_year+41</f>
        <v>2065</v>
      </c>
      <c r="T71" s="365" t="b" cm="1">
        <f t="array" aca="1" ref="T71" ca="1">T70</f>
        <v>0</v>
      </c>
      <c r="X71" s="1075"/>
      <c r="Y71" s="1075"/>
      <c r="Z71" s="1065"/>
      <c r="AA71" s="1124"/>
      <c r="AB71" s="187" t="str">
        <f t="shared" si="3"/>
        <v>2065 год</v>
      </c>
      <c r="AC71" s="320"/>
      <c r="AD71" s="973"/>
      <c r="AE71" s="972"/>
      <c r="AF71" s="972"/>
      <c r="AG71" s="973"/>
      <c r="AH71" s="972"/>
      <c r="AI71" s="973"/>
      <c r="AJ71" s="972"/>
      <c r="AK71" s="974"/>
      <c r="AL71" s="316"/>
      <c r="AN71" s="705" cm="1">
        <f t="array" ref="AN71">K71</f>
        <v>2065</v>
      </c>
      <c r="AO71" s="705" t="s">
        <v>2316</v>
      </c>
      <c r="AP71" s="715" cm="1">
        <f t="array" ref="AP71">AP70</f>
        <v>0</v>
      </c>
      <c r="AQ71" s="518"/>
      <c r="AR71" s="518"/>
    </row>
    <row r="72" spans="1:44" s="91" customFormat="1" ht="14.65" hidden="1" customHeight="1">
      <c r="B72" s="353" t="b">
        <f t="shared" si="2"/>
        <v>0</v>
      </c>
      <c r="E72" s="518">
        <v>15</v>
      </c>
      <c r="F72" s="3" cm="1">
        <f t="array" aca="1" ref="F72" ca="1">OFFSET(E72,-1,1)</f>
        <v>0</v>
      </c>
      <c r="G72" s="36" cm="1">
        <f t="array" ref="G72">G71</f>
        <v>0</v>
      </c>
      <c r="K72" s="91">
        <f>first_year+42</f>
        <v>2066</v>
      </c>
      <c r="T72" s="365" t="b" cm="1">
        <f t="array" aca="1" ref="T72" ca="1">T71</f>
        <v>0</v>
      </c>
      <c r="X72" s="1075"/>
      <c r="Y72" s="1075"/>
      <c r="Z72" s="1065"/>
      <c r="AA72" s="1124"/>
      <c r="AB72" s="187" t="str">
        <f t="shared" si="3"/>
        <v>2066 год</v>
      </c>
      <c r="AC72" s="320"/>
      <c r="AD72" s="973"/>
      <c r="AE72" s="972"/>
      <c r="AF72" s="972"/>
      <c r="AG72" s="973"/>
      <c r="AH72" s="972"/>
      <c r="AI72" s="973"/>
      <c r="AJ72" s="972"/>
      <c r="AK72" s="974"/>
      <c r="AL72" s="316"/>
      <c r="AN72" s="705" cm="1">
        <f t="array" ref="AN72">K72</f>
        <v>2066</v>
      </c>
      <c r="AO72" s="705" t="s">
        <v>2316</v>
      </c>
      <c r="AP72" s="715" cm="1">
        <f t="array" ref="AP72">AP71</f>
        <v>0</v>
      </c>
      <c r="AQ72" s="518"/>
      <c r="AR72" s="518"/>
    </row>
    <row r="73" spans="1:44" s="91" customFormat="1" ht="14.65" hidden="1" customHeight="1">
      <c r="B73" s="353" t="b">
        <f t="shared" si="2"/>
        <v>0</v>
      </c>
      <c r="E73" s="518">
        <v>15</v>
      </c>
      <c r="F73" s="3" cm="1">
        <f t="array" aca="1" ref="F73" ca="1">OFFSET(E73,-1,1)</f>
        <v>0</v>
      </c>
      <c r="G73" s="36" cm="1">
        <f t="array" ref="G73">G72</f>
        <v>0</v>
      </c>
      <c r="K73" s="91">
        <f>first_year+43</f>
        <v>2067</v>
      </c>
      <c r="T73" s="365" t="b" cm="1">
        <f t="array" aca="1" ref="T73" ca="1">T72</f>
        <v>0</v>
      </c>
      <c r="X73" s="1075"/>
      <c r="Y73" s="1075"/>
      <c r="Z73" s="1065"/>
      <c r="AA73" s="1124"/>
      <c r="AB73" s="187" t="str">
        <f t="shared" si="3"/>
        <v>2067 год</v>
      </c>
      <c r="AC73" s="320"/>
      <c r="AD73" s="973"/>
      <c r="AE73" s="972"/>
      <c r="AF73" s="972"/>
      <c r="AG73" s="973"/>
      <c r="AH73" s="972"/>
      <c r="AI73" s="973"/>
      <c r="AJ73" s="972"/>
      <c r="AK73" s="974"/>
      <c r="AL73" s="316"/>
      <c r="AN73" s="705" cm="1">
        <f t="array" ref="AN73">K73</f>
        <v>2067</v>
      </c>
      <c r="AO73" s="705" t="s">
        <v>2316</v>
      </c>
      <c r="AP73" s="715" cm="1">
        <f t="array" ref="AP73">AP72</f>
        <v>0</v>
      </c>
      <c r="AQ73" s="518"/>
      <c r="AR73" s="518"/>
    </row>
    <row r="74" spans="1:44" s="91" customFormat="1" ht="14.65" hidden="1" customHeight="1">
      <c r="B74" s="353" t="b">
        <f t="shared" si="2"/>
        <v>0</v>
      </c>
      <c r="E74" s="518">
        <v>15</v>
      </c>
      <c r="F74" s="3" cm="1">
        <f t="array" aca="1" ref="F74" ca="1">OFFSET(E74,-1,1)</f>
        <v>0</v>
      </c>
      <c r="G74" s="36" cm="1">
        <f t="array" ref="G74">G73</f>
        <v>0</v>
      </c>
      <c r="K74" s="91">
        <f>first_year+44</f>
        <v>2068</v>
      </c>
      <c r="T74" s="365" t="b" cm="1">
        <f t="array" aca="1" ref="T74" ca="1">T73</f>
        <v>0</v>
      </c>
      <c r="X74" s="1075"/>
      <c r="Y74" s="1075"/>
      <c r="Z74" s="1065"/>
      <c r="AA74" s="1124"/>
      <c r="AB74" s="187" t="str">
        <f t="shared" si="3"/>
        <v>2068 год</v>
      </c>
      <c r="AC74" s="320"/>
      <c r="AD74" s="973"/>
      <c r="AE74" s="972"/>
      <c r="AF74" s="972"/>
      <c r="AG74" s="973"/>
      <c r="AH74" s="972"/>
      <c r="AI74" s="973"/>
      <c r="AJ74" s="972"/>
      <c r="AK74" s="974"/>
      <c r="AL74" s="316"/>
      <c r="AN74" s="705" cm="1">
        <f t="array" ref="AN74">K74</f>
        <v>2068</v>
      </c>
      <c r="AO74" s="705" t="s">
        <v>2316</v>
      </c>
      <c r="AP74" s="715" cm="1">
        <f t="array" ref="AP74">AP73</f>
        <v>0</v>
      </c>
      <c r="AQ74" s="518"/>
      <c r="AR74" s="518"/>
    </row>
    <row r="75" spans="1:44" s="91" customFormat="1" ht="14.65" hidden="1" customHeight="1">
      <c r="B75" s="353" t="b">
        <f t="shared" si="2"/>
        <v>0</v>
      </c>
      <c r="E75" s="518">
        <v>15</v>
      </c>
      <c r="F75" s="3" cm="1">
        <f t="array" aca="1" ref="F75" ca="1">OFFSET(E75,-1,1)</f>
        <v>0</v>
      </c>
      <c r="G75" s="36" cm="1">
        <f t="array" ref="G75">G74</f>
        <v>0</v>
      </c>
      <c r="K75" s="91">
        <f>first_year+45</f>
        <v>2069</v>
      </c>
      <c r="T75" s="365" t="b" cm="1">
        <f t="array" aca="1" ref="T75" ca="1">T74</f>
        <v>0</v>
      </c>
      <c r="X75" s="1075"/>
      <c r="Y75" s="1075"/>
      <c r="Z75" s="1065"/>
      <c r="AA75" s="1124"/>
      <c r="AB75" s="187" t="str">
        <f t="shared" si="3"/>
        <v>2069 год</v>
      </c>
      <c r="AC75" s="320"/>
      <c r="AD75" s="973"/>
      <c r="AE75" s="972"/>
      <c r="AF75" s="972"/>
      <c r="AG75" s="973"/>
      <c r="AH75" s="972"/>
      <c r="AI75" s="973"/>
      <c r="AJ75" s="972"/>
      <c r="AK75" s="974"/>
      <c r="AL75" s="316"/>
      <c r="AN75" s="705" cm="1">
        <f t="array" ref="AN75">K75</f>
        <v>2069</v>
      </c>
      <c r="AO75" s="705" t="s">
        <v>2316</v>
      </c>
      <c r="AP75" s="715" cm="1">
        <f t="array" ref="AP75">AP74</f>
        <v>0</v>
      </c>
      <c r="AQ75" s="518"/>
      <c r="AR75" s="518"/>
    </row>
    <row r="76" spans="1:44" s="91" customFormat="1" ht="14.65" hidden="1" customHeight="1">
      <c r="B76" s="353" t="b">
        <f t="shared" si="2"/>
        <v>0</v>
      </c>
      <c r="E76" s="518">
        <v>15</v>
      </c>
      <c r="F76" s="3" cm="1">
        <f t="array" aca="1" ref="F76" ca="1">OFFSET(E76,-1,1)</f>
        <v>0</v>
      </c>
      <c r="G76" s="36" cm="1">
        <f t="array" ref="G76">G75</f>
        <v>0</v>
      </c>
      <c r="K76" s="91">
        <f>first_year+46</f>
        <v>2070</v>
      </c>
      <c r="T76" s="365" t="b" cm="1">
        <f t="array" aca="1" ref="T76" ca="1">T75</f>
        <v>0</v>
      </c>
      <c r="X76" s="1075"/>
      <c r="Y76" s="1075"/>
      <c r="Z76" s="1065"/>
      <c r="AA76" s="1124"/>
      <c r="AB76" s="187" t="str">
        <f t="shared" si="3"/>
        <v>2070 год</v>
      </c>
      <c r="AC76" s="320"/>
      <c r="AD76" s="973"/>
      <c r="AE76" s="972"/>
      <c r="AF76" s="972"/>
      <c r="AG76" s="973"/>
      <c r="AH76" s="972"/>
      <c r="AI76" s="973"/>
      <c r="AJ76" s="972"/>
      <c r="AK76" s="974"/>
      <c r="AL76" s="316"/>
      <c r="AN76" s="705" cm="1">
        <f t="array" ref="AN76">K76</f>
        <v>2070</v>
      </c>
      <c r="AO76" s="705" t="s">
        <v>2316</v>
      </c>
      <c r="AP76" s="715" cm="1">
        <f t="array" ref="AP76">AP75</f>
        <v>0</v>
      </c>
      <c r="AQ76" s="518"/>
      <c r="AR76" s="518"/>
    </row>
    <row r="77" spans="1:44" s="91" customFormat="1" ht="14.65" hidden="1" customHeight="1">
      <c r="B77" s="353" t="b">
        <f t="shared" si="2"/>
        <v>0</v>
      </c>
      <c r="E77" s="518">
        <v>15</v>
      </c>
      <c r="F77" s="3" cm="1">
        <f t="array" aca="1" ref="F77" ca="1">OFFSET(E77,-1,1)</f>
        <v>0</v>
      </c>
      <c r="G77" s="36" cm="1">
        <f t="array" ref="G77">G76</f>
        <v>0</v>
      </c>
      <c r="K77" s="91">
        <f>first_year+47</f>
        <v>2071</v>
      </c>
      <c r="T77" s="365" t="b" cm="1">
        <f t="array" aca="1" ref="T77" ca="1">T76</f>
        <v>0</v>
      </c>
      <c r="X77" s="1075"/>
      <c r="Y77" s="1075"/>
      <c r="Z77" s="1065"/>
      <c r="AA77" s="1124"/>
      <c r="AB77" s="187" t="str">
        <f t="shared" si="3"/>
        <v>2071 год</v>
      </c>
      <c r="AC77" s="320"/>
      <c r="AD77" s="973"/>
      <c r="AE77" s="972"/>
      <c r="AF77" s="972"/>
      <c r="AG77" s="973"/>
      <c r="AH77" s="972"/>
      <c r="AI77" s="973"/>
      <c r="AJ77" s="972"/>
      <c r="AK77" s="974"/>
      <c r="AL77" s="316"/>
      <c r="AN77" s="705" cm="1">
        <f t="array" ref="AN77">K77</f>
        <v>2071</v>
      </c>
      <c r="AO77" s="705" t="s">
        <v>2316</v>
      </c>
      <c r="AP77" s="715" cm="1">
        <f t="array" ref="AP77">AP76</f>
        <v>0</v>
      </c>
      <c r="AQ77" s="518"/>
      <c r="AR77" s="518"/>
    </row>
    <row r="78" spans="1:44" s="91" customFormat="1" ht="14.65" hidden="1" customHeight="1">
      <c r="B78" s="353" t="b">
        <f t="shared" si="2"/>
        <v>0</v>
      </c>
      <c r="E78" s="518">
        <v>15</v>
      </c>
      <c r="F78" s="3" cm="1">
        <f t="array" aca="1" ref="F78" ca="1">OFFSET(E78,-1,1)</f>
        <v>0</v>
      </c>
      <c r="G78" s="36" cm="1">
        <f t="array" ref="G78">G77</f>
        <v>0</v>
      </c>
      <c r="K78" s="91">
        <f>first_year+48</f>
        <v>2072</v>
      </c>
      <c r="T78" s="365" t="b" cm="1">
        <f t="array" aca="1" ref="T78" ca="1">T77</f>
        <v>0</v>
      </c>
      <c r="X78" s="1075"/>
      <c r="Y78" s="1075"/>
      <c r="Z78" s="1065"/>
      <c r="AA78" s="1124"/>
      <c r="AB78" s="187" t="str">
        <f t="shared" si="3"/>
        <v>2072 год</v>
      </c>
      <c r="AC78" s="320"/>
      <c r="AD78" s="973"/>
      <c r="AE78" s="972"/>
      <c r="AF78" s="972"/>
      <c r="AG78" s="973"/>
      <c r="AH78" s="972"/>
      <c r="AI78" s="973"/>
      <c r="AJ78" s="972"/>
      <c r="AK78" s="974"/>
      <c r="AL78" s="316"/>
      <c r="AN78" s="705" cm="1">
        <f t="array" ref="AN78">K78</f>
        <v>2072</v>
      </c>
      <c r="AO78" s="705" t="s">
        <v>2316</v>
      </c>
      <c r="AP78" s="715" cm="1">
        <f t="array" ref="AP78">AP77</f>
        <v>0</v>
      </c>
      <c r="AQ78" s="518"/>
      <c r="AR78" s="518"/>
    </row>
    <row r="79" spans="1:44" s="91" customFormat="1" ht="14.65" hidden="1" customHeight="1">
      <c r="B79" s="353" t="b">
        <f t="shared" si="2"/>
        <v>0</v>
      </c>
      <c r="E79" s="518">
        <v>15</v>
      </c>
      <c r="F79" s="3" cm="1">
        <f t="array" aca="1" ref="F79" ca="1">OFFSET(E79,-1,1)</f>
        <v>0</v>
      </c>
      <c r="G79" s="36" cm="1">
        <f t="array" ref="G79">G78</f>
        <v>0</v>
      </c>
      <c r="K79" s="91">
        <f>first_year+49</f>
        <v>2073</v>
      </c>
      <c r="T79" s="365" t="b" cm="1">
        <f t="array" aca="1" ref="T79" ca="1">T78</f>
        <v>0</v>
      </c>
      <c r="X79" s="1075"/>
      <c r="Y79" s="1075"/>
      <c r="Z79" s="1065"/>
      <c r="AA79" s="1124"/>
      <c r="AB79" s="187" t="str">
        <f t="shared" si="3"/>
        <v>2073 год</v>
      </c>
      <c r="AC79" s="320"/>
      <c r="AD79" s="973"/>
      <c r="AE79" s="972"/>
      <c r="AF79" s="972"/>
      <c r="AG79" s="973"/>
      <c r="AH79" s="972"/>
      <c r="AI79" s="973"/>
      <c r="AJ79" s="972"/>
      <c r="AK79" s="974"/>
      <c r="AL79" s="316"/>
      <c r="AN79" s="705" cm="1">
        <f t="array" ref="AN79">K79</f>
        <v>2073</v>
      </c>
      <c r="AO79" s="705" t="s">
        <v>2316</v>
      </c>
      <c r="AP79" s="715" cm="1">
        <f t="array" ref="AP79">AP78</f>
        <v>0</v>
      </c>
      <c r="AQ79" s="518"/>
      <c r="AR79" s="518"/>
    </row>
    <row r="80" spans="1:44" ht="14.65" hidden="1" customHeight="1">
      <c r="A80" s="91"/>
      <c r="B80" s="341"/>
      <c r="C80" s="91"/>
      <c r="D80" s="91"/>
      <c r="E80" s="518">
        <v>15</v>
      </c>
      <c r="F80" s="774" cm="1">
        <f t="array" aca="1" ref="F80" ca="1">OFFSET(E80,-1,1)</f>
        <v>0</v>
      </c>
      <c r="G80" s="91" t="str">
        <f>"!== 'не определено'"</f>
        <v>!== 'не определено'</v>
      </c>
      <c r="H80" s="91"/>
      <c r="I80" s="91"/>
      <c r="J80" s="91"/>
      <c r="K80" s="91"/>
      <c r="L80" s="91"/>
      <c r="M80" s="91"/>
      <c r="N80" s="91"/>
      <c r="O80" s="91"/>
      <c r="P80" s="91"/>
      <c r="Q80" s="91"/>
      <c r="R80" s="91"/>
      <c r="S80" s="91"/>
      <c r="T80" s="365" t="b">
        <f ca="1">F80&gt;0</f>
        <v>0</v>
      </c>
      <c r="U80" s="91"/>
      <c r="V80" s="91"/>
      <c r="W80" s="517" t="s">
        <v>2317</v>
      </c>
      <c r="X80" s="1075"/>
      <c r="Y80" s="91"/>
      <c r="Z80" s="1065"/>
      <c r="AA80" s="91"/>
      <c r="AB80" s="632" t="s">
        <v>177</v>
      </c>
      <c r="AC80" s="225"/>
      <c r="AD80" s="225"/>
      <c r="AE80" s="225"/>
      <c r="AF80" s="225"/>
      <c r="AG80" s="225"/>
      <c r="AH80" s="225"/>
      <c r="AI80" s="225"/>
      <c r="AJ80" s="225"/>
      <c r="AK80" s="225"/>
      <c r="AL80" s="316"/>
      <c r="AM80"/>
      <c r="AN80" s="670"/>
      <c r="AO80" s="670"/>
      <c r="AP80" s="670"/>
      <c r="AQ80" s="672" t="s">
        <v>2316</v>
      </c>
      <c r="AR80" s="465"/>
    </row>
    <row r="81" spans="1:44" s="408" customFormat="1" ht="14.25" customHeight="1">
      <c r="A81" s="57"/>
      <c r="B81" s="62"/>
      <c r="C81" s="57"/>
      <c r="D81" s="57"/>
      <c r="E81" s="459">
        <v>15</v>
      </c>
      <c r="F81" s="36" t="str" cm="1">
        <f t="array" ref="F81">X81</f>
        <v>1</v>
      </c>
      <c r="G81" s="57"/>
      <c r="H81" s="57"/>
      <c r="I81" s="57"/>
      <c r="J81" s="57"/>
      <c r="K81" s="57"/>
      <c r="L81" s="57"/>
      <c r="M81" s="57"/>
      <c r="N81" s="57"/>
      <c r="O81" s="57"/>
      <c r="P81" s="57"/>
      <c r="Q81" s="57"/>
      <c r="R81" s="57"/>
      <c r="S81" s="57"/>
      <c r="T81" s="365" t="b">
        <f>X81&gt;0</f>
        <v>1</v>
      </c>
      <c r="U81" s="57"/>
      <c r="V81" s="57" t="str" cm="1">
        <f t="array" ref="V81">ДПР!$AB$81</f>
        <v>Тариф 1 (Водоснабжение) - тариф на питьевую воду (Доп. признак не требуется)</v>
      </c>
      <c r="W81" s="57"/>
      <c r="X81" s="1075" t="s">
        <v>275</v>
      </c>
      <c r="Y81" s="57"/>
      <c r="Z81" s="1065"/>
      <c r="AA81" s="57"/>
      <c r="AB81" s="293" t="str" cm="1">
        <f t="array" ref="AB81">ДПР!$AB$81</f>
        <v>Тариф 1 (Водоснабжение) - тариф на питьевую воду (Доп. признак не требуется)</v>
      </c>
      <c r="AC81" s="175"/>
      <c r="AD81" s="175"/>
      <c r="AE81" s="175"/>
      <c r="AF81" s="175"/>
      <c r="AG81" s="175"/>
      <c r="AH81" s="175"/>
      <c r="AI81" s="175"/>
      <c r="AJ81" s="175"/>
      <c r="AK81" s="175"/>
      <c r="AL81" s="315"/>
      <c r="AM81" s="57"/>
      <c r="AN81" s="665"/>
      <c r="AO81" s="665"/>
      <c r="AP81" s="665"/>
      <c r="AQ81" s="459"/>
      <c r="AR81" s="459"/>
    </row>
    <row r="82" spans="1:44" s="408" customFormat="1" ht="14.25" hidden="1" customHeight="1">
      <c r="A82" s="57"/>
      <c r="B82" s="62"/>
      <c r="C82" s="57"/>
      <c r="D82" s="57"/>
      <c r="E82" s="459">
        <v>15</v>
      </c>
      <c r="F82" s="3" t="str" cm="1">
        <f t="array" aca="1" ref="F82" ca="1">OFFSET(E82,-1,1)</f>
        <v>1</v>
      </c>
      <c r="G82" s="57" cm="1">
        <f t="array" ref="G82">AB82</f>
        <v>0</v>
      </c>
      <c r="H82" s="57"/>
      <c r="I82" s="57"/>
      <c r="J82" s="57"/>
      <c r="K82" s="57"/>
      <c r="L82" s="57"/>
      <c r="M82" s="57"/>
      <c r="N82" s="57"/>
      <c r="O82" s="57"/>
      <c r="P82" s="57"/>
      <c r="Q82" s="57"/>
      <c r="R82" s="57"/>
      <c r="S82" s="57"/>
      <c r="T82" s="365" t="b">
        <f ca="1">AND(F82&gt;0,Y82&gt;0)</f>
        <v>0</v>
      </c>
      <c r="U82" s="57"/>
      <c r="V82" s="57"/>
      <c r="W82" s="57" t="s">
        <v>173</v>
      </c>
      <c r="X82" s="1075"/>
      <c r="Y82" s="1075">
        <v>0</v>
      </c>
      <c r="Z82" s="1065"/>
      <c r="AA82" s="1124" t="s">
        <v>174</v>
      </c>
      <c r="AB82" s="1191"/>
      <c r="AC82" s="1191"/>
      <c r="AD82" s="1191"/>
      <c r="AE82" s="1191"/>
      <c r="AF82" s="1191"/>
      <c r="AG82" s="1191"/>
      <c r="AH82" s="1191"/>
      <c r="AI82" s="1191"/>
      <c r="AJ82" s="1191"/>
      <c r="AK82" s="1192"/>
      <c r="AL82" s="315"/>
      <c r="AM82" s="57"/>
      <c r="AN82" s="665"/>
      <c r="AO82" s="705" t="s">
        <v>2316</v>
      </c>
      <c r="AP82" s="696" cm="1">
        <f t="array" ref="AP82">AB82</f>
        <v>0</v>
      </c>
      <c r="AQ82" s="459"/>
      <c r="AR82" s="459" t="b">
        <v>1</v>
      </c>
    </row>
    <row r="83" spans="1:44" s="967" customFormat="1" ht="14.25" hidden="1" customHeight="1">
      <c r="A83" s="91"/>
      <c r="B83" s="353" t="b">
        <f t="shared" ref="B83:B114" si="4">K83&lt;first_year+PERIOD_LENGTH</f>
        <v>1</v>
      </c>
      <c r="C83" s="91"/>
      <c r="D83" s="91"/>
      <c r="E83" s="518">
        <v>15</v>
      </c>
      <c r="F83" s="3" t="str" cm="1">
        <f t="array" aca="1" ref="F83" ca="1">OFFSET(E83,-1,1)</f>
        <v>1</v>
      </c>
      <c r="G83" s="36" cm="1">
        <f t="array" ref="G83">G82</f>
        <v>0</v>
      </c>
      <c r="H83" s="91"/>
      <c r="I83" s="91"/>
      <c r="J83" s="91"/>
      <c r="K83" s="91" cm="1">
        <f t="array" ref="K83">first_year</f>
        <v>2024</v>
      </c>
      <c r="L83" s="91"/>
      <c r="M83" s="91"/>
      <c r="N83" s="91"/>
      <c r="O83" s="91"/>
      <c r="P83" s="91"/>
      <c r="Q83" s="91"/>
      <c r="R83" s="91"/>
      <c r="S83" s="91"/>
      <c r="T83" s="365" t="b" cm="1">
        <f t="array" aca="1" ref="T83" ca="1">T82</f>
        <v>0</v>
      </c>
      <c r="U83" s="91"/>
      <c r="V83" s="91"/>
      <c r="W83" s="91"/>
      <c r="X83" s="1075"/>
      <c r="Y83" s="1075"/>
      <c r="Z83" s="1065"/>
      <c r="AA83" s="1124"/>
      <c r="AB83" s="224" t="str">
        <f t="shared" ref="AB83:AB114" si="5">K83&amp;" год"</f>
        <v>2024 год</v>
      </c>
      <c r="AC83" s="972"/>
      <c r="AD83" s="973"/>
      <c r="AE83" s="972"/>
      <c r="AF83" s="972"/>
      <c r="AG83" s="973"/>
      <c r="AH83" s="972"/>
      <c r="AI83" s="973"/>
      <c r="AJ83" s="972"/>
      <c r="AK83" s="974"/>
      <c r="AL83" s="316"/>
      <c r="AM83" s="91"/>
      <c r="AN83" s="705" cm="1">
        <f t="array" ref="AN83">K83</f>
        <v>2024</v>
      </c>
      <c r="AO83" s="705" t="s">
        <v>2316</v>
      </c>
      <c r="AP83" s="715" cm="1">
        <f t="array" ref="AP83">AP82</f>
        <v>0</v>
      </c>
      <c r="AQ83" s="518"/>
      <c r="AR83" s="518"/>
    </row>
    <row r="84" spans="1:44" s="967" customFormat="1" ht="14.25" hidden="1" customHeight="1">
      <c r="A84" s="91"/>
      <c r="B84" s="353" t="b">
        <f t="shared" si="4"/>
        <v>1</v>
      </c>
      <c r="C84" s="91"/>
      <c r="D84" s="91"/>
      <c r="E84" s="518">
        <v>15</v>
      </c>
      <c r="F84" s="3" t="str" cm="1">
        <f t="array" aca="1" ref="F84" ca="1">OFFSET(E84,-1,1)</f>
        <v>1</v>
      </c>
      <c r="G84" s="36" cm="1">
        <f t="array" ref="G84">G83</f>
        <v>0</v>
      </c>
      <c r="H84" s="91"/>
      <c r="I84" s="91"/>
      <c r="J84" s="91"/>
      <c r="K84" s="91">
        <f>first_year+1</f>
        <v>2025</v>
      </c>
      <c r="L84" s="91"/>
      <c r="M84" s="91"/>
      <c r="N84" s="91"/>
      <c r="O84" s="91"/>
      <c r="P84" s="91"/>
      <c r="Q84" s="91"/>
      <c r="R84" s="91"/>
      <c r="S84" s="91"/>
      <c r="T84" s="365" t="b" cm="1">
        <f t="array" aca="1" ref="T84" ca="1">T83</f>
        <v>0</v>
      </c>
      <c r="U84" s="91"/>
      <c r="V84" s="91"/>
      <c r="W84" s="91"/>
      <c r="X84" s="1075"/>
      <c r="Y84" s="1075"/>
      <c r="Z84" s="1065"/>
      <c r="AA84" s="1124"/>
      <c r="AB84" s="187" t="str">
        <f t="shared" si="5"/>
        <v>2025 год</v>
      </c>
      <c r="AC84" s="320"/>
      <c r="AD84" s="973"/>
      <c r="AE84" s="972"/>
      <c r="AF84" s="972"/>
      <c r="AG84" s="973"/>
      <c r="AH84" s="972"/>
      <c r="AI84" s="973"/>
      <c r="AJ84" s="972"/>
      <c r="AK84" s="974"/>
      <c r="AL84" s="316"/>
      <c r="AM84" s="91"/>
      <c r="AN84" s="705" cm="1">
        <f t="array" ref="AN84">K84</f>
        <v>2025</v>
      </c>
      <c r="AO84" s="705" t="s">
        <v>2316</v>
      </c>
      <c r="AP84" s="715" cm="1">
        <f t="array" ref="AP84">AP83</f>
        <v>0</v>
      </c>
      <c r="AQ84" s="518"/>
      <c r="AR84" s="518"/>
    </row>
    <row r="85" spans="1:44" s="967" customFormat="1" ht="14.25" hidden="1" customHeight="1">
      <c r="A85" s="91"/>
      <c r="B85" s="353" t="b">
        <f t="shared" si="4"/>
        <v>1</v>
      </c>
      <c r="C85" s="91"/>
      <c r="D85" s="91"/>
      <c r="E85" s="518">
        <v>15</v>
      </c>
      <c r="F85" s="3" t="str" cm="1">
        <f t="array" aca="1" ref="F85" ca="1">OFFSET(E85,-1,1)</f>
        <v>1</v>
      </c>
      <c r="G85" s="36" cm="1">
        <f t="array" ref="G85">G84</f>
        <v>0</v>
      </c>
      <c r="H85" s="91"/>
      <c r="I85" s="91"/>
      <c r="J85" s="91"/>
      <c r="K85" s="91">
        <f>first_year+2</f>
        <v>2026</v>
      </c>
      <c r="L85" s="91"/>
      <c r="M85" s="91"/>
      <c r="N85" s="91"/>
      <c r="O85" s="91"/>
      <c r="P85" s="91"/>
      <c r="Q85" s="91"/>
      <c r="R85" s="91"/>
      <c r="S85" s="91"/>
      <c r="T85" s="365" t="b" cm="1">
        <f t="array" aca="1" ref="T85" ca="1">T84</f>
        <v>0</v>
      </c>
      <c r="U85" s="91"/>
      <c r="V85" s="91"/>
      <c r="W85" s="91"/>
      <c r="X85" s="1075"/>
      <c r="Y85" s="1075"/>
      <c r="Z85" s="1065"/>
      <c r="AA85" s="1124"/>
      <c r="AB85" s="187" t="str">
        <f t="shared" si="5"/>
        <v>2026 год</v>
      </c>
      <c r="AC85" s="320"/>
      <c r="AD85" s="973"/>
      <c r="AE85" s="972"/>
      <c r="AF85" s="972"/>
      <c r="AG85" s="973"/>
      <c r="AH85" s="972"/>
      <c r="AI85" s="973"/>
      <c r="AJ85" s="972"/>
      <c r="AK85" s="974"/>
      <c r="AL85" s="316"/>
      <c r="AM85" s="91"/>
      <c r="AN85" s="705" cm="1">
        <f t="array" ref="AN85">K85</f>
        <v>2026</v>
      </c>
      <c r="AO85" s="705" t="s">
        <v>2316</v>
      </c>
      <c r="AP85" s="715" cm="1">
        <f t="array" ref="AP85">AP84</f>
        <v>0</v>
      </c>
      <c r="AQ85" s="518"/>
      <c r="AR85" s="518"/>
    </row>
    <row r="86" spans="1:44" s="967" customFormat="1" ht="14.25" hidden="1" customHeight="1">
      <c r="A86" s="91"/>
      <c r="B86" s="353" t="b">
        <f t="shared" si="4"/>
        <v>1</v>
      </c>
      <c r="C86" s="91"/>
      <c r="D86" s="91"/>
      <c r="E86" s="518">
        <v>15</v>
      </c>
      <c r="F86" s="3" t="str" cm="1">
        <f t="array" aca="1" ref="F86" ca="1">OFFSET(E86,-1,1)</f>
        <v>1</v>
      </c>
      <c r="G86" s="36" cm="1">
        <f t="array" ref="G86">G85</f>
        <v>0</v>
      </c>
      <c r="H86" s="91"/>
      <c r="I86" s="91"/>
      <c r="J86" s="91"/>
      <c r="K86" s="91">
        <f>first_year+3</f>
        <v>2027</v>
      </c>
      <c r="L86" s="91"/>
      <c r="M86" s="91"/>
      <c r="N86" s="91"/>
      <c r="O86" s="91"/>
      <c r="P86" s="91"/>
      <c r="Q86" s="91"/>
      <c r="R86" s="91"/>
      <c r="S86" s="91"/>
      <c r="T86" s="365" t="b" cm="1">
        <f t="array" aca="1" ref="T86" ca="1">T85</f>
        <v>0</v>
      </c>
      <c r="U86" s="91"/>
      <c r="V86" s="91"/>
      <c r="W86" s="91"/>
      <c r="X86" s="1075"/>
      <c r="Y86" s="1075"/>
      <c r="Z86" s="1065"/>
      <c r="AA86" s="1124"/>
      <c r="AB86" s="187" t="str">
        <f t="shared" si="5"/>
        <v>2027 год</v>
      </c>
      <c r="AC86" s="320"/>
      <c r="AD86" s="973"/>
      <c r="AE86" s="972"/>
      <c r="AF86" s="972"/>
      <c r="AG86" s="973"/>
      <c r="AH86" s="972"/>
      <c r="AI86" s="973"/>
      <c r="AJ86" s="972"/>
      <c r="AK86" s="974"/>
      <c r="AL86" s="316"/>
      <c r="AM86" s="91"/>
      <c r="AN86" s="705" cm="1">
        <f t="array" ref="AN86">K86</f>
        <v>2027</v>
      </c>
      <c r="AO86" s="705" t="s">
        <v>2316</v>
      </c>
      <c r="AP86" s="715" cm="1">
        <f t="array" ref="AP86">AP85</f>
        <v>0</v>
      </c>
      <c r="AQ86" s="518"/>
      <c r="AR86" s="518"/>
    </row>
    <row r="87" spans="1:44" s="967" customFormat="1" ht="14.25" hidden="1" customHeight="1">
      <c r="A87" s="91"/>
      <c r="B87" s="353" t="b">
        <f t="shared" si="4"/>
        <v>1</v>
      </c>
      <c r="C87" s="91"/>
      <c r="D87" s="91"/>
      <c r="E87" s="518">
        <v>15</v>
      </c>
      <c r="F87" s="3" t="str" cm="1">
        <f t="array" aca="1" ref="F87" ca="1">OFFSET(E87,-1,1)</f>
        <v>1</v>
      </c>
      <c r="G87" s="36" cm="1">
        <f t="array" ref="G87">G86</f>
        <v>0</v>
      </c>
      <c r="H87" s="91"/>
      <c r="I87" s="91"/>
      <c r="J87" s="91"/>
      <c r="K87" s="91">
        <f>first_year+4</f>
        <v>2028</v>
      </c>
      <c r="L87" s="91"/>
      <c r="M87" s="91"/>
      <c r="N87" s="91"/>
      <c r="O87" s="91"/>
      <c r="P87" s="91"/>
      <c r="Q87" s="91"/>
      <c r="R87" s="91"/>
      <c r="S87" s="91"/>
      <c r="T87" s="365" t="b" cm="1">
        <f t="array" aca="1" ref="T87" ca="1">T86</f>
        <v>0</v>
      </c>
      <c r="U87" s="91"/>
      <c r="V87" s="91"/>
      <c r="W87" s="91"/>
      <c r="X87" s="1075"/>
      <c r="Y87" s="1075"/>
      <c r="Z87" s="1065"/>
      <c r="AA87" s="1124"/>
      <c r="AB87" s="187" t="str">
        <f t="shared" si="5"/>
        <v>2028 год</v>
      </c>
      <c r="AC87" s="320"/>
      <c r="AD87" s="973"/>
      <c r="AE87" s="972"/>
      <c r="AF87" s="972"/>
      <c r="AG87" s="973"/>
      <c r="AH87" s="972"/>
      <c r="AI87" s="973"/>
      <c r="AJ87" s="972"/>
      <c r="AK87" s="974"/>
      <c r="AL87" s="316"/>
      <c r="AM87" s="91"/>
      <c r="AN87" s="705" cm="1">
        <f t="array" ref="AN87">K87</f>
        <v>2028</v>
      </c>
      <c r="AO87" s="705" t="s">
        <v>2316</v>
      </c>
      <c r="AP87" s="715" cm="1">
        <f t="array" ref="AP87">AP86</f>
        <v>0</v>
      </c>
      <c r="AQ87" s="518"/>
      <c r="AR87" s="518"/>
    </row>
    <row r="88" spans="1:44" s="967" customFormat="1" ht="14.25" hidden="1" customHeight="1">
      <c r="A88" s="91"/>
      <c r="B88" s="353" t="b">
        <f t="shared" si="4"/>
        <v>0</v>
      </c>
      <c r="C88" s="91"/>
      <c r="D88" s="91"/>
      <c r="E88" s="518">
        <v>15</v>
      </c>
      <c r="F88" s="3" t="str" cm="1">
        <f t="array" aca="1" ref="F88" ca="1">OFFSET(E88,-1,1)</f>
        <v>1</v>
      </c>
      <c r="G88" s="36" cm="1">
        <f t="array" ref="G88">G87</f>
        <v>0</v>
      </c>
      <c r="H88" s="91"/>
      <c r="I88" s="91"/>
      <c r="J88" s="91"/>
      <c r="K88" s="91">
        <f>first_year+5</f>
        <v>2029</v>
      </c>
      <c r="L88" s="91"/>
      <c r="M88" s="91"/>
      <c r="N88" s="91"/>
      <c r="O88" s="91"/>
      <c r="P88" s="91"/>
      <c r="Q88" s="91"/>
      <c r="R88" s="91"/>
      <c r="S88" s="91"/>
      <c r="T88" s="365" t="b" cm="1">
        <f t="array" aca="1" ref="T88" ca="1">T87</f>
        <v>0</v>
      </c>
      <c r="U88" s="91"/>
      <c r="V88" s="91"/>
      <c r="W88" s="91"/>
      <c r="X88" s="1075"/>
      <c r="Y88" s="1075"/>
      <c r="Z88" s="1065"/>
      <c r="AA88" s="1124"/>
      <c r="AB88" s="187" t="str">
        <f t="shared" si="5"/>
        <v>2029 год</v>
      </c>
      <c r="AC88" s="320"/>
      <c r="AD88" s="973"/>
      <c r="AE88" s="972"/>
      <c r="AF88" s="972"/>
      <c r="AG88" s="973"/>
      <c r="AH88" s="972"/>
      <c r="AI88" s="973"/>
      <c r="AJ88" s="972"/>
      <c r="AK88" s="974"/>
      <c r="AL88" s="316"/>
      <c r="AM88" s="91"/>
      <c r="AN88" s="705" cm="1">
        <f t="array" ref="AN88">K88</f>
        <v>2029</v>
      </c>
      <c r="AO88" s="705" t="s">
        <v>2316</v>
      </c>
      <c r="AP88" s="715" cm="1">
        <f t="array" ref="AP88">AP87</f>
        <v>0</v>
      </c>
      <c r="AQ88" s="518"/>
      <c r="AR88" s="518"/>
    </row>
    <row r="89" spans="1:44" s="967" customFormat="1" ht="14.25" hidden="1" customHeight="1">
      <c r="A89" s="91"/>
      <c r="B89" s="353" t="b">
        <f t="shared" si="4"/>
        <v>0</v>
      </c>
      <c r="C89" s="91"/>
      <c r="D89" s="91"/>
      <c r="E89" s="518">
        <v>15</v>
      </c>
      <c r="F89" s="3" t="str" cm="1">
        <f t="array" aca="1" ref="F89" ca="1">OFFSET(E89,-1,1)</f>
        <v>1</v>
      </c>
      <c r="G89" s="36" cm="1">
        <f t="array" ref="G89">G88</f>
        <v>0</v>
      </c>
      <c r="H89" s="91"/>
      <c r="I89" s="91"/>
      <c r="J89" s="91"/>
      <c r="K89" s="91">
        <f>first_year+6</f>
        <v>2030</v>
      </c>
      <c r="L89" s="91"/>
      <c r="M89" s="91"/>
      <c r="N89" s="91"/>
      <c r="O89" s="91"/>
      <c r="P89" s="91"/>
      <c r="Q89" s="91"/>
      <c r="R89" s="91"/>
      <c r="S89" s="91"/>
      <c r="T89" s="365" t="b" cm="1">
        <f t="array" aca="1" ref="T89" ca="1">T88</f>
        <v>0</v>
      </c>
      <c r="U89" s="91"/>
      <c r="V89" s="91"/>
      <c r="W89" s="91"/>
      <c r="X89" s="1075"/>
      <c r="Y89" s="1075"/>
      <c r="Z89" s="1065"/>
      <c r="AA89" s="1124"/>
      <c r="AB89" s="187" t="str">
        <f t="shared" si="5"/>
        <v>2030 год</v>
      </c>
      <c r="AC89" s="320"/>
      <c r="AD89" s="973"/>
      <c r="AE89" s="972"/>
      <c r="AF89" s="972"/>
      <c r="AG89" s="973"/>
      <c r="AH89" s="972"/>
      <c r="AI89" s="973"/>
      <c r="AJ89" s="972"/>
      <c r="AK89" s="974"/>
      <c r="AL89" s="316"/>
      <c r="AM89" s="91"/>
      <c r="AN89" s="705" cm="1">
        <f t="array" ref="AN89">K89</f>
        <v>2030</v>
      </c>
      <c r="AO89" s="705" t="s">
        <v>2316</v>
      </c>
      <c r="AP89" s="715" cm="1">
        <f t="array" ref="AP89">AP88</f>
        <v>0</v>
      </c>
      <c r="AQ89" s="518"/>
      <c r="AR89" s="518"/>
    </row>
    <row r="90" spans="1:44" s="967" customFormat="1" ht="14.25" hidden="1" customHeight="1">
      <c r="A90" s="91"/>
      <c r="B90" s="353" t="b">
        <f t="shared" si="4"/>
        <v>0</v>
      </c>
      <c r="C90" s="91"/>
      <c r="D90" s="91"/>
      <c r="E90" s="518">
        <v>15</v>
      </c>
      <c r="F90" s="3" t="str" cm="1">
        <f t="array" aca="1" ref="F90" ca="1">OFFSET(E90,-1,1)</f>
        <v>1</v>
      </c>
      <c r="G90" s="36" cm="1">
        <f t="array" ref="G90">G89</f>
        <v>0</v>
      </c>
      <c r="H90" s="91"/>
      <c r="I90" s="91"/>
      <c r="J90" s="91"/>
      <c r="K90" s="91">
        <f>first_year+7</f>
        <v>2031</v>
      </c>
      <c r="L90" s="91"/>
      <c r="M90" s="91"/>
      <c r="N90" s="91"/>
      <c r="O90" s="91"/>
      <c r="P90" s="91"/>
      <c r="Q90" s="91"/>
      <c r="R90" s="91"/>
      <c r="S90" s="91"/>
      <c r="T90" s="365" t="b" cm="1">
        <f t="array" aca="1" ref="T90" ca="1">T89</f>
        <v>0</v>
      </c>
      <c r="U90" s="91"/>
      <c r="V90" s="91"/>
      <c r="W90" s="91"/>
      <c r="X90" s="1075"/>
      <c r="Y90" s="1075"/>
      <c r="Z90" s="1065"/>
      <c r="AA90" s="1124"/>
      <c r="AB90" s="187" t="str">
        <f t="shared" si="5"/>
        <v>2031 год</v>
      </c>
      <c r="AC90" s="320"/>
      <c r="AD90" s="973"/>
      <c r="AE90" s="972"/>
      <c r="AF90" s="972"/>
      <c r="AG90" s="973"/>
      <c r="AH90" s="972"/>
      <c r="AI90" s="973"/>
      <c r="AJ90" s="972"/>
      <c r="AK90" s="974"/>
      <c r="AL90" s="316"/>
      <c r="AM90" s="91"/>
      <c r="AN90" s="705" cm="1">
        <f t="array" ref="AN90">K90</f>
        <v>2031</v>
      </c>
      <c r="AO90" s="705" t="s">
        <v>2316</v>
      </c>
      <c r="AP90" s="715" cm="1">
        <f t="array" ref="AP90">AP89</f>
        <v>0</v>
      </c>
      <c r="AQ90" s="518"/>
      <c r="AR90" s="518"/>
    </row>
    <row r="91" spans="1:44" s="967" customFormat="1" ht="14.25" hidden="1" customHeight="1">
      <c r="A91" s="91"/>
      <c r="B91" s="353" t="b">
        <f t="shared" si="4"/>
        <v>0</v>
      </c>
      <c r="C91" s="91"/>
      <c r="D91" s="91"/>
      <c r="E91" s="518">
        <v>15</v>
      </c>
      <c r="F91" s="3" t="str" cm="1">
        <f t="array" aca="1" ref="F91" ca="1">OFFSET(E91,-1,1)</f>
        <v>1</v>
      </c>
      <c r="G91" s="36" cm="1">
        <f t="array" ref="G91">G90</f>
        <v>0</v>
      </c>
      <c r="H91" s="91"/>
      <c r="I91" s="91"/>
      <c r="J91" s="91"/>
      <c r="K91" s="91">
        <f>first_year+8</f>
        <v>2032</v>
      </c>
      <c r="L91" s="91"/>
      <c r="M91" s="91"/>
      <c r="N91" s="91"/>
      <c r="O91" s="91"/>
      <c r="P91" s="91"/>
      <c r="Q91" s="91"/>
      <c r="R91" s="91"/>
      <c r="S91" s="91"/>
      <c r="T91" s="365" t="b" cm="1">
        <f t="array" aca="1" ref="T91" ca="1">T90</f>
        <v>0</v>
      </c>
      <c r="U91" s="91"/>
      <c r="V91" s="91"/>
      <c r="W91" s="91"/>
      <c r="X91" s="1075"/>
      <c r="Y91" s="1075"/>
      <c r="Z91" s="1065"/>
      <c r="AA91" s="1124"/>
      <c r="AB91" s="187" t="str">
        <f t="shared" si="5"/>
        <v>2032 год</v>
      </c>
      <c r="AC91" s="320"/>
      <c r="AD91" s="973"/>
      <c r="AE91" s="972"/>
      <c r="AF91" s="972"/>
      <c r="AG91" s="973"/>
      <c r="AH91" s="972"/>
      <c r="AI91" s="973"/>
      <c r="AJ91" s="972"/>
      <c r="AK91" s="974"/>
      <c r="AL91" s="316"/>
      <c r="AM91" s="91"/>
      <c r="AN91" s="705" cm="1">
        <f t="array" ref="AN91">K91</f>
        <v>2032</v>
      </c>
      <c r="AO91" s="705" t="s">
        <v>2316</v>
      </c>
      <c r="AP91" s="715" cm="1">
        <f t="array" ref="AP91">AP90</f>
        <v>0</v>
      </c>
      <c r="AQ91" s="518"/>
      <c r="AR91" s="518"/>
    </row>
    <row r="92" spans="1:44" s="967" customFormat="1" ht="14.25" hidden="1" customHeight="1">
      <c r="A92" s="91"/>
      <c r="B92" s="353" t="b">
        <f t="shared" si="4"/>
        <v>0</v>
      </c>
      <c r="C92" s="91"/>
      <c r="D92" s="91"/>
      <c r="E92" s="518">
        <v>15</v>
      </c>
      <c r="F92" s="3" t="str" cm="1">
        <f t="array" aca="1" ref="F92" ca="1">OFFSET(E92,-1,1)</f>
        <v>1</v>
      </c>
      <c r="G92" s="36" cm="1">
        <f t="array" ref="G92">G91</f>
        <v>0</v>
      </c>
      <c r="H92" s="91"/>
      <c r="I92" s="91"/>
      <c r="J92" s="91"/>
      <c r="K92" s="91">
        <f>first_year+9</f>
        <v>2033</v>
      </c>
      <c r="L92" s="91"/>
      <c r="M92" s="91"/>
      <c r="N92" s="91"/>
      <c r="O92" s="91"/>
      <c r="P92" s="91"/>
      <c r="Q92" s="91"/>
      <c r="R92" s="91"/>
      <c r="S92" s="91"/>
      <c r="T92" s="365" t="b" cm="1">
        <f t="array" aca="1" ref="T92" ca="1">T91</f>
        <v>0</v>
      </c>
      <c r="U92" s="91"/>
      <c r="V92" s="91"/>
      <c r="W92" s="91"/>
      <c r="X92" s="1075"/>
      <c r="Y92" s="1075"/>
      <c r="Z92" s="1065"/>
      <c r="AA92" s="1124"/>
      <c r="AB92" s="187" t="str">
        <f t="shared" si="5"/>
        <v>2033 год</v>
      </c>
      <c r="AC92" s="320"/>
      <c r="AD92" s="973"/>
      <c r="AE92" s="972"/>
      <c r="AF92" s="972"/>
      <c r="AG92" s="973"/>
      <c r="AH92" s="972"/>
      <c r="AI92" s="973"/>
      <c r="AJ92" s="972"/>
      <c r="AK92" s="974"/>
      <c r="AL92" s="316"/>
      <c r="AM92" s="91"/>
      <c r="AN92" s="705" cm="1">
        <f t="array" ref="AN92">K92</f>
        <v>2033</v>
      </c>
      <c r="AO92" s="705" t="s">
        <v>2316</v>
      </c>
      <c r="AP92" s="715" cm="1">
        <f t="array" ref="AP92">AP91</f>
        <v>0</v>
      </c>
      <c r="AQ92" s="518"/>
      <c r="AR92" s="518"/>
    </row>
    <row r="93" spans="1:44" s="967" customFormat="1" ht="14.25" hidden="1" customHeight="1">
      <c r="A93" s="91"/>
      <c r="B93" s="353" t="b">
        <f t="shared" si="4"/>
        <v>0</v>
      </c>
      <c r="C93" s="91"/>
      <c r="D93" s="91"/>
      <c r="E93" s="518">
        <v>15</v>
      </c>
      <c r="F93" s="3" t="str" cm="1">
        <f t="array" aca="1" ref="F93" ca="1">OFFSET(E93,-1,1)</f>
        <v>1</v>
      </c>
      <c r="G93" s="36" cm="1">
        <f t="array" ref="G93">G92</f>
        <v>0</v>
      </c>
      <c r="H93" s="91"/>
      <c r="I93" s="91"/>
      <c r="J93" s="91"/>
      <c r="K93" s="91">
        <f>first_year+10</f>
        <v>2034</v>
      </c>
      <c r="L93" s="91"/>
      <c r="M93" s="91"/>
      <c r="N93" s="91"/>
      <c r="O93" s="91"/>
      <c r="P93" s="91"/>
      <c r="Q93" s="91"/>
      <c r="R93" s="91"/>
      <c r="S93" s="91"/>
      <c r="T93" s="365" t="b" cm="1">
        <f t="array" aca="1" ref="T93" ca="1">T92</f>
        <v>0</v>
      </c>
      <c r="U93" s="91"/>
      <c r="V93" s="91"/>
      <c r="W93" s="91"/>
      <c r="X93" s="1075"/>
      <c r="Y93" s="1075"/>
      <c r="Z93" s="1065"/>
      <c r="AA93" s="1124"/>
      <c r="AB93" s="187" t="str">
        <f t="shared" si="5"/>
        <v>2034 год</v>
      </c>
      <c r="AC93" s="320"/>
      <c r="AD93" s="973"/>
      <c r="AE93" s="972"/>
      <c r="AF93" s="972"/>
      <c r="AG93" s="973"/>
      <c r="AH93" s="972"/>
      <c r="AI93" s="973"/>
      <c r="AJ93" s="972"/>
      <c r="AK93" s="974"/>
      <c r="AL93" s="316"/>
      <c r="AM93" s="91"/>
      <c r="AN93" s="705" cm="1">
        <f t="array" ref="AN93">K93</f>
        <v>2034</v>
      </c>
      <c r="AO93" s="705" t="s">
        <v>2316</v>
      </c>
      <c r="AP93" s="715" cm="1">
        <f t="array" ref="AP93">AP92</f>
        <v>0</v>
      </c>
      <c r="AQ93" s="518"/>
      <c r="AR93" s="518"/>
    </row>
    <row r="94" spans="1:44" s="967" customFormat="1" ht="14.25" hidden="1" customHeight="1">
      <c r="A94" s="91"/>
      <c r="B94" s="353" t="b">
        <f t="shared" si="4"/>
        <v>0</v>
      </c>
      <c r="C94" s="91"/>
      <c r="D94" s="91"/>
      <c r="E94" s="518">
        <v>15</v>
      </c>
      <c r="F94" s="3" t="str" cm="1">
        <f t="array" aca="1" ref="F94" ca="1">OFFSET(E94,-1,1)</f>
        <v>1</v>
      </c>
      <c r="G94" s="36" cm="1">
        <f t="array" ref="G94">G93</f>
        <v>0</v>
      </c>
      <c r="H94" s="91"/>
      <c r="I94" s="91"/>
      <c r="J94" s="91"/>
      <c r="K94" s="91">
        <f>first_year+11</f>
        <v>2035</v>
      </c>
      <c r="L94" s="91"/>
      <c r="M94" s="91"/>
      <c r="N94" s="91"/>
      <c r="O94" s="91"/>
      <c r="P94" s="91"/>
      <c r="Q94" s="91"/>
      <c r="R94" s="91"/>
      <c r="S94" s="91"/>
      <c r="T94" s="365" t="b" cm="1">
        <f t="array" aca="1" ref="T94" ca="1">T93</f>
        <v>0</v>
      </c>
      <c r="U94" s="91"/>
      <c r="V94" s="91"/>
      <c r="W94" s="91"/>
      <c r="X94" s="1075"/>
      <c r="Y94" s="1075"/>
      <c r="Z94" s="1065"/>
      <c r="AA94" s="1124"/>
      <c r="AB94" s="187" t="str">
        <f t="shared" si="5"/>
        <v>2035 год</v>
      </c>
      <c r="AC94" s="320"/>
      <c r="AD94" s="973"/>
      <c r="AE94" s="972"/>
      <c r="AF94" s="972"/>
      <c r="AG94" s="973"/>
      <c r="AH94" s="972"/>
      <c r="AI94" s="973"/>
      <c r="AJ94" s="972"/>
      <c r="AK94" s="974"/>
      <c r="AL94" s="316"/>
      <c r="AM94" s="91"/>
      <c r="AN94" s="705" cm="1">
        <f t="array" ref="AN94">K94</f>
        <v>2035</v>
      </c>
      <c r="AO94" s="705" t="s">
        <v>2316</v>
      </c>
      <c r="AP94" s="715" cm="1">
        <f t="array" ref="AP94">AP93</f>
        <v>0</v>
      </c>
      <c r="AQ94" s="518"/>
      <c r="AR94" s="518"/>
    </row>
    <row r="95" spans="1:44" s="967" customFormat="1" ht="14.25" hidden="1" customHeight="1">
      <c r="A95" s="91"/>
      <c r="B95" s="353" t="b">
        <f t="shared" si="4"/>
        <v>0</v>
      </c>
      <c r="C95" s="91"/>
      <c r="D95" s="91"/>
      <c r="E95" s="518">
        <v>15</v>
      </c>
      <c r="F95" s="3" t="str" cm="1">
        <f t="array" aca="1" ref="F95" ca="1">OFFSET(E95,-1,1)</f>
        <v>1</v>
      </c>
      <c r="G95" s="36" cm="1">
        <f t="array" ref="G95">G94</f>
        <v>0</v>
      </c>
      <c r="H95" s="91"/>
      <c r="I95" s="91"/>
      <c r="J95" s="91"/>
      <c r="K95" s="91">
        <f>first_year+12</f>
        <v>2036</v>
      </c>
      <c r="L95" s="91"/>
      <c r="M95" s="91"/>
      <c r="N95" s="91"/>
      <c r="O95" s="91"/>
      <c r="P95" s="91"/>
      <c r="Q95" s="91"/>
      <c r="R95" s="91"/>
      <c r="S95" s="91"/>
      <c r="T95" s="365" t="b" cm="1">
        <f t="array" aca="1" ref="T95" ca="1">T94</f>
        <v>0</v>
      </c>
      <c r="U95" s="91"/>
      <c r="V95" s="91"/>
      <c r="W95" s="91"/>
      <c r="X95" s="1075"/>
      <c r="Y95" s="1075"/>
      <c r="Z95" s="1065"/>
      <c r="AA95" s="1124"/>
      <c r="AB95" s="187" t="str">
        <f t="shared" si="5"/>
        <v>2036 год</v>
      </c>
      <c r="AC95" s="320"/>
      <c r="AD95" s="973"/>
      <c r="AE95" s="972"/>
      <c r="AF95" s="972"/>
      <c r="AG95" s="973"/>
      <c r="AH95" s="972"/>
      <c r="AI95" s="973"/>
      <c r="AJ95" s="972"/>
      <c r="AK95" s="974"/>
      <c r="AL95" s="316"/>
      <c r="AM95" s="91"/>
      <c r="AN95" s="705" cm="1">
        <f t="array" ref="AN95">K95</f>
        <v>2036</v>
      </c>
      <c r="AO95" s="705" t="s">
        <v>2316</v>
      </c>
      <c r="AP95" s="715" cm="1">
        <f t="array" ref="AP95">AP94</f>
        <v>0</v>
      </c>
      <c r="AQ95" s="518"/>
      <c r="AR95" s="518"/>
    </row>
    <row r="96" spans="1:44" s="967" customFormat="1" ht="14.25" hidden="1" customHeight="1">
      <c r="A96" s="91"/>
      <c r="B96" s="353" t="b">
        <f t="shared" si="4"/>
        <v>0</v>
      </c>
      <c r="C96" s="91"/>
      <c r="D96" s="91"/>
      <c r="E96" s="518">
        <v>15</v>
      </c>
      <c r="F96" s="3" t="str" cm="1">
        <f t="array" aca="1" ref="F96" ca="1">OFFSET(E96,-1,1)</f>
        <v>1</v>
      </c>
      <c r="G96" s="36" cm="1">
        <f t="array" ref="G96">G95</f>
        <v>0</v>
      </c>
      <c r="H96" s="91"/>
      <c r="I96" s="91"/>
      <c r="J96" s="91"/>
      <c r="K96" s="91">
        <f>first_year+13</f>
        <v>2037</v>
      </c>
      <c r="L96" s="91"/>
      <c r="M96" s="91"/>
      <c r="N96" s="91"/>
      <c r="O96" s="91"/>
      <c r="P96" s="91"/>
      <c r="Q96" s="91"/>
      <c r="R96" s="91"/>
      <c r="S96" s="91"/>
      <c r="T96" s="365" t="b" cm="1">
        <f t="array" aca="1" ref="T96" ca="1">T95</f>
        <v>0</v>
      </c>
      <c r="U96" s="91"/>
      <c r="V96" s="91"/>
      <c r="W96" s="91"/>
      <c r="X96" s="1075"/>
      <c r="Y96" s="1075"/>
      <c r="Z96" s="1065"/>
      <c r="AA96" s="1124"/>
      <c r="AB96" s="187" t="str">
        <f t="shared" si="5"/>
        <v>2037 год</v>
      </c>
      <c r="AC96" s="320"/>
      <c r="AD96" s="973"/>
      <c r="AE96" s="972"/>
      <c r="AF96" s="972"/>
      <c r="AG96" s="973"/>
      <c r="AH96" s="972"/>
      <c r="AI96" s="973"/>
      <c r="AJ96" s="972"/>
      <c r="AK96" s="974"/>
      <c r="AL96" s="316"/>
      <c r="AM96" s="91"/>
      <c r="AN96" s="705" cm="1">
        <f t="array" ref="AN96">K96</f>
        <v>2037</v>
      </c>
      <c r="AO96" s="705" t="s">
        <v>2316</v>
      </c>
      <c r="AP96" s="715" cm="1">
        <f t="array" ref="AP96">AP95</f>
        <v>0</v>
      </c>
      <c r="AQ96" s="518"/>
      <c r="AR96" s="518"/>
    </row>
    <row r="97" spans="1:44" s="967" customFormat="1" ht="14.25" hidden="1" customHeight="1">
      <c r="A97" s="91"/>
      <c r="B97" s="353" t="b">
        <f t="shared" si="4"/>
        <v>0</v>
      </c>
      <c r="C97" s="91"/>
      <c r="D97" s="91"/>
      <c r="E97" s="518">
        <v>15</v>
      </c>
      <c r="F97" s="3" t="str" cm="1">
        <f t="array" aca="1" ref="F97" ca="1">OFFSET(E97,-1,1)</f>
        <v>1</v>
      </c>
      <c r="G97" s="36" cm="1">
        <f t="array" ref="G97">G96</f>
        <v>0</v>
      </c>
      <c r="H97" s="91"/>
      <c r="I97" s="91"/>
      <c r="J97" s="91"/>
      <c r="K97" s="91">
        <f>first_year+14</f>
        <v>2038</v>
      </c>
      <c r="L97" s="91"/>
      <c r="M97" s="91"/>
      <c r="N97" s="91"/>
      <c r="O97" s="91"/>
      <c r="P97" s="91"/>
      <c r="Q97" s="91"/>
      <c r="R97" s="91"/>
      <c r="S97" s="91"/>
      <c r="T97" s="365" t="b" cm="1">
        <f t="array" aca="1" ref="T97" ca="1">T96</f>
        <v>0</v>
      </c>
      <c r="U97" s="91"/>
      <c r="V97" s="91"/>
      <c r="W97" s="91"/>
      <c r="X97" s="1075"/>
      <c r="Y97" s="1075"/>
      <c r="Z97" s="1065"/>
      <c r="AA97" s="1124"/>
      <c r="AB97" s="187" t="str">
        <f t="shared" si="5"/>
        <v>2038 год</v>
      </c>
      <c r="AC97" s="320"/>
      <c r="AD97" s="973"/>
      <c r="AE97" s="972"/>
      <c r="AF97" s="972"/>
      <c r="AG97" s="973"/>
      <c r="AH97" s="972"/>
      <c r="AI97" s="973"/>
      <c r="AJ97" s="972"/>
      <c r="AK97" s="974"/>
      <c r="AL97" s="316"/>
      <c r="AM97" s="91"/>
      <c r="AN97" s="705" cm="1">
        <f t="array" ref="AN97">K97</f>
        <v>2038</v>
      </c>
      <c r="AO97" s="705" t="s">
        <v>2316</v>
      </c>
      <c r="AP97" s="715" cm="1">
        <f t="array" ref="AP97">AP96</f>
        <v>0</v>
      </c>
      <c r="AQ97" s="518"/>
      <c r="AR97" s="518"/>
    </row>
    <row r="98" spans="1:44" s="967" customFormat="1" ht="14.25" hidden="1" customHeight="1">
      <c r="A98" s="91"/>
      <c r="B98" s="353" t="b">
        <f t="shared" si="4"/>
        <v>0</v>
      </c>
      <c r="C98" s="91"/>
      <c r="D98" s="91"/>
      <c r="E98" s="518">
        <v>15</v>
      </c>
      <c r="F98" s="3" t="str" cm="1">
        <f t="array" aca="1" ref="F98" ca="1">OFFSET(E98,-1,1)</f>
        <v>1</v>
      </c>
      <c r="G98" s="36" cm="1">
        <f t="array" ref="G98">G97</f>
        <v>0</v>
      </c>
      <c r="H98" s="91"/>
      <c r="I98" s="91"/>
      <c r="J98" s="91"/>
      <c r="K98" s="91">
        <f>first_year+15</f>
        <v>2039</v>
      </c>
      <c r="L98" s="91"/>
      <c r="M98" s="91"/>
      <c r="N98" s="91"/>
      <c r="O98" s="91"/>
      <c r="P98" s="91"/>
      <c r="Q98" s="91"/>
      <c r="R98" s="91"/>
      <c r="S98" s="91"/>
      <c r="T98" s="365" t="b" cm="1">
        <f t="array" aca="1" ref="T98" ca="1">T97</f>
        <v>0</v>
      </c>
      <c r="U98" s="91"/>
      <c r="V98" s="91"/>
      <c r="W98" s="91"/>
      <c r="X98" s="1075"/>
      <c r="Y98" s="1075"/>
      <c r="Z98" s="1065"/>
      <c r="AA98" s="1124"/>
      <c r="AB98" s="187" t="str">
        <f t="shared" si="5"/>
        <v>2039 год</v>
      </c>
      <c r="AC98" s="320"/>
      <c r="AD98" s="973"/>
      <c r="AE98" s="972"/>
      <c r="AF98" s="972"/>
      <c r="AG98" s="973"/>
      <c r="AH98" s="972"/>
      <c r="AI98" s="973"/>
      <c r="AJ98" s="972"/>
      <c r="AK98" s="974"/>
      <c r="AL98" s="316"/>
      <c r="AM98" s="91"/>
      <c r="AN98" s="705" cm="1">
        <f t="array" ref="AN98">K98</f>
        <v>2039</v>
      </c>
      <c r="AO98" s="705" t="s">
        <v>2316</v>
      </c>
      <c r="AP98" s="715" cm="1">
        <f t="array" ref="AP98">AP97</f>
        <v>0</v>
      </c>
      <c r="AQ98" s="518"/>
      <c r="AR98" s="518"/>
    </row>
    <row r="99" spans="1:44" s="967" customFormat="1" ht="14.25" hidden="1" customHeight="1">
      <c r="A99" s="91"/>
      <c r="B99" s="353" t="b">
        <f t="shared" si="4"/>
        <v>0</v>
      </c>
      <c r="C99" s="91"/>
      <c r="D99" s="91"/>
      <c r="E99" s="518">
        <v>15</v>
      </c>
      <c r="F99" s="3" t="str" cm="1">
        <f t="array" aca="1" ref="F99" ca="1">OFFSET(E99,-1,1)</f>
        <v>1</v>
      </c>
      <c r="G99" s="36" cm="1">
        <f t="array" ref="G99">G98</f>
        <v>0</v>
      </c>
      <c r="H99" s="91"/>
      <c r="I99" s="91"/>
      <c r="J99" s="91"/>
      <c r="K99" s="91">
        <f>first_year+16</f>
        <v>2040</v>
      </c>
      <c r="L99" s="91"/>
      <c r="M99" s="91"/>
      <c r="N99" s="91"/>
      <c r="O99" s="91"/>
      <c r="P99" s="91"/>
      <c r="Q99" s="91"/>
      <c r="R99" s="91"/>
      <c r="S99" s="91"/>
      <c r="T99" s="365" t="b" cm="1">
        <f t="array" aca="1" ref="T99" ca="1">T98</f>
        <v>0</v>
      </c>
      <c r="U99" s="91"/>
      <c r="V99" s="91"/>
      <c r="W99" s="91"/>
      <c r="X99" s="1075"/>
      <c r="Y99" s="1075"/>
      <c r="Z99" s="1065"/>
      <c r="AA99" s="1124"/>
      <c r="AB99" s="187" t="str">
        <f t="shared" si="5"/>
        <v>2040 год</v>
      </c>
      <c r="AC99" s="320"/>
      <c r="AD99" s="973"/>
      <c r="AE99" s="972"/>
      <c r="AF99" s="972"/>
      <c r="AG99" s="973"/>
      <c r="AH99" s="972"/>
      <c r="AI99" s="973"/>
      <c r="AJ99" s="972"/>
      <c r="AK99" s="974"/>
      <c r="AL99" s="316"/>
      <c r="AM99" s="91"/>
      <c r="AN99" s="705" cm="1">
        <f t="array" ref="AN99">K99</f>
        <v>2040</v>
      </c>
      <c r="AO99" s="705" t="s">
        <v>2316</v>
      </c>
      <c r="AP99" s="715" cm="1">
        <f t="array" ref="AP99">AP98</f>
        <v>0</v>
      </c>
      <c r="AQ99" s="518"/>
      <c r="AR99" s="518"/>
    </row>
    <row r="100" spans="1:44" s="967" customFormat="1" ht="14.25" hidden="1" customHeight="1">
      <c r="A100" s="91"/>
      <c r="B100" s="353" t="b">
        <f t="shared" si="4"/>
        <v>0</v>
      </c>
      <c r="C100" s="91"/>
      <c r="D100" s="91"/>
      <c r="E100" s="518">
        <v>15</v>
      </c>
      <c r="F100" s="3" t="str" cm="1">
        <f t="array" aca="1" ref="F100" ca="1">OFFSET(E100,-1,1)</f>
        <v>1</v>
      </c>
      <c r="G100" s="36" cm="1">
        <f t="array" ref="G100">G99</f>
        <v>0</v>
      </c>
      <c r="H100" s="91"/>
      <c r="I100" s="91"/>
      <c r="J100" s="91"/>
      <c r="K100" s="91">
        <f>first_year+17</f>
        <v>2041</v>
      </c>
      <c r="L100" s="91"/>
      <c r="M100" s="91"/>
      <c r="N100" s="91"/>
      <c r="O100" s="91"/>
      <c r="P100" s="91"/>
      <c r="Q100" s="91"/>
      <c r="R100" s="91"/>
      <c r="S100" s="91"/>
      <c r="T100" s="365" t="b" cm="1">
        <f t="array" aca="1" ref="T100" ca="1">T99</f>
        <v>0</v>
      </c>
      <c r="U100" s="91"/>
      <c r="V100" s="91"/>
      <c r="W100" s="91"/>
      <c r="X100" s="1075"/>
      <c r="Y100" s="1075"/>
      <c r="Z100" s="1065"/>
      <c r="AA100" s="1124"/>
      <c r="AB100" s="187" t="str">
        <f t="shared" si="5"/>
        <v>2041 год</v>
      </c>
      <c r="AC100" s="320"/>
      <c r="AD100" s="973"/>
      <c r="AE100" s="972"/>
      <c r="AF100" s="972"/>
      <c r="AG100" s="973"/>
      <c r="AH100" s="972"/>
      <c r="AI100" s="973"/>
      <c r="AJ100" s="972"/>
      <c r="AK100" s="974"/>
      <c r="AL100" s="316"/>
      <c r="AM100" s="91"/>
      <c r="AN100" s="705" cm="1">
        <f t="array" ref="AN100">K100</f>
        <v>2041</v>
      </c>
      <c r="AO100" s="705" t="s">
        <v>2316</v>
      </c>
      <c r="AP100" s="715" cm="1">
        <f t="array" ref="AP100">AP99</f>
        <v>0</v>
      </c>
      <c r="AQ100" s="518"/>
      <c r="AR100" s="518"/>
    </row>
    <row r="101" spans="1:44" s="967" customFormat="1" ht="14.25" hidden="1" customHeight="1">
      <c r="A101" s="91"/>
      <c r="B101" s="353" t="b">
        <f t="shared" si="4"/>
        <v>0</v>
      </c>
      <c r="C101" s="91"/>
      <c r="D101" s="91"/>
      <c r="E101" s="518">
        <v>15</v>
      </c>
      <c r="F101" s="3" t="str" cm="1">
        <f t="array" aca="1" ref="F101" ca="1">OFFSET(E101,-1,1)</f>
        <v>1</v>
      </c>
      <c r="G101" s="36" cm="1">
        <f t="array" ref="G101">G100</f>
        <v>0</v>
      </c>
      <c r="H101" s="91"/>
      <c r="I101" s="91"/>
      <c r="J101" s="91"/>
      <c r="K101" s="91">
        <f>first_year+18</f>
        <v>2042</v>
      </c>
      <c r="L101" s="91"/>
      <c r="M101" s="91"/>
      <c r="N101" s="91"/>
      <c r="O101" s="91"/>
      <c r="P101" s="91"/>
      <c r="Q101" s="91"/>
      <c r="R101" s="91"/>
      <c r="S101" s="91"/>
      <c r="T101" s="365" t="b" cm="1">
        <f t="array" aca="1" ref="T101" ca="1">T100</f>
        <v>0</v>
      </c>
      <c r="U101" s="91"/>
      <c r="V101" s="91"/>
      <c r="W101" s="91"/>
      <c r="X101" s="1075"/>
      <c r="Y101" s="1075"/>
      <c r="Z101" s="1065"/>
      <c r="AA101" s="1124"/>
      <c r="AB101" s="187" t="str">
        <f t="shared" si="5"/>
        <v>2042 год</v>
      </c>
      <c r="AC101" s="320"/>
      <c r="AD101" s="973"/>
      <c r="AE101" s="972"/>
      <c r="AF101" s="972"/>
      <c r="AG101" s="973"/>
      <c r="AH101" s="972"/>
      <c r="AI101" s="973"/>
      <c r="AJ101" s="972"/>
      <c r="AK101" s="974"/>
      <c r="AL101" s="316"/>
      <c r="AM101" s="91"/>
      <c r="AN101" s="705" cm="1">
        <f t="array" ref="AN101">K101</f>
        <v>2042</v>
      </c>
      <c r="AO101" s="705" t="s">
        <v>2316</v>
      </c>
      <c r="AP101" s="715" cm="1">
        <f t="array" ref="AP101">AP100</f>
        <v>0</v>
      </c>
      <c r="AQ101" s="518"/>
      <c r="AR101" s="518"/>
    </row>
    <row r="102" spans="1:44" s="967" customFormat="1" ht="14.25" hidden="1" customHeight="1">
      <c r="A102" s="91"/>
      <c r="B102" s="353" t="b">
        <f t="shared" si="4"/>
        <v>0</v>
      </c>
      <c r="C102" s="91"/>
      <c r="D102" s="91"/>
      <c r="E102" s="518">
        <v>15</v>
      </c>
      <c r="F102" s="3" t="str" cm="1">
        <f t="array" aca="1" ref="F102" ca="1">OFFSET(E102,-1,1)</f>
        <v>1</v>
      </c>
      <c r="G102" s="36" cm="1">
        <f t="array" ref="G102">G101</f>
        <v>0</v>
      </c>
      <c r="H102" s="91"/>
      <c r="I102" s="91"/>
      <c r="J102" s="91"/>
      <c r="K102" s="91">
        <f>first_year+19</f>
        <v>2043</v>
      </c>
      <c r="L102" s="91"/>
      <c r="M102" s="91"/>
      <c r="N102" s="91"/>
      <c r="O102" s="91"/>
      <c r="P102" s="91"/>
      <c r="Q102" s="91"/>
      <c r="R102" s="91"/>
      <c r="S102" s="91"/>
      <c r="T102" s="365" t="b" cm="1">
        <f t="array" aca="1" ref="T102" ca="1">T101</f>
        <v>0</v>
      </c>
      <c r="U102" s="91"/>
      <c r="V102" s="91"/>
      <c r="W102" s="91"/>
      <c r="X102" s="1075"/>
      <c r="Y102" s="1075"/>
      <c r="Z102" s="1065"/>
      <c r="AA102" s="1124"/>
      <c r="AB102" s="187" t="str">
        <f t="shared" si="5"/>
        <v>2043 год</v>
      </c>
      <c r="AC102" s="320"/>
      <c r="AD102" s="973"/>
      <c r="AE102" s="972"/>
      <c r="AF102" s="972"/>
      <c r="AG102" s="973"/>
      <c r="AH102" s="972"/>
      <c r="AI102" s="973"/>
      <c r="AJ102" s="972"/>
      <c r="AK102" s="974"/>
      <c r="AL102" s="316"/>
      <c r="AM102" s="91"/>
      <c r="AN102" s="705" cm="1">
        <f t="array" ref="AN102">K102</f>
        <v>2043</v>
      </c>
      <c r="AO102" s="705" t="s">
        <v>2316</v>
      </c>
      <c r="AP102" s="715" cm="1">
        <f t="array" ref="AP102">AP101</f>
        <v>0</v>
      </c>
      <c r="AQ102" s="518"/>
      <c r="AR102" s="518"/>
    </row>
    <row r="103" spans="1:44" s="967" customFormat="1" ht="14.25" hidden="1" customHeight="1">
      <c r="A103" s="91"/>
      <c r="B103" s="353" t="b">
        <f t="shared" si="4"/>
        <v>0</v>
      </c>
      <c r="C103" s="91"/>
      <c r="D103" s="91"/>
      <c r="E103" s="518">
        <v>15</v>
      </c>
      <c r="F103" s="3" t="str" cm="1">
        <f t="array" aca="1" ref="F103" ca="1">OFFSET(E103,-1,1)</f>
        <v>1</v>
      </c>
      <c r="G103" s="36" cm="1">
        <f t="array" ref="G103">G102</f>
        <v>0</v>
      </c>
      <c r="H103" s="91"/>
      <c r="I103" s="91"/>
      <c r="J103" s="91"/>
      <c r="K103" s="91">
        <f>first_year+20</f>
        <v>2044</v>
      </c>
      <c r="L103" s="91"/>
      <c r="M103" s="91"/>
      <c r="N103" s="91"/>
      <c r="O103" s="91"/>
      <c r="P103" s="91"/>
      <c r="Q103" s="91"/>
      <c r="R103" s="91"/>
      <c r="S103" s="91"/>
      <c r="T103" s="365" t="b" cm="1">
        <f t="array" aca="1" ref="T103" ca="1">T102</f>
        <v>0</v>
      </c>
      <c r="U103" s="91"/>
      <c r="V103" s="91"/>
      <c r="W103" s="91"/>
      <c r="X103" s="1075"/>
      <c r="Y103" s="1075"/>
      <c r="Z103" s="1065"/>
      <c r="AA103" s="1124"/>
      <c r="AB103" s="187" t="str">
        <f t="shared" si="5"/>
        <v>2044 год</v>
      </c>
      <c r="AC103" s="320"/>
      <c r="AD103" s="973"/>
      <c r="AE103" s="972"/>
      <c r="AF103" s="972"/>
      <c r="AG103" s="973"/>
      <c r="AH103" s="972"/>
      <c r="AI103" s="973"/>
      <c r="AJ103" s="972"/>
      <c r="AK103" s="974"/>
      <c r="AL103" s="316"/>
      <c r="AM103" s="91"/>
      <c r="AN103" s="705" cm="1">
        <f t="array" ref="AN103">K103</f>
        <v>2044</v>
      </c>
      <c r="AO103" s="705" t="s">
        <v>2316</v>
      </c>
      <c r="AP103" s="715" cm="1">
        <f t="array" ref="AP103">AP102</f>
        <v>0</v>
      </c>
      <c r="AQ103" s="518"/>
      <c r="AR103" s="518"/>
    </row>
    <row r="104" spans="1:44" s="967" customFormat="1" ht="14.25" hidden="1" customHeight="1">
      <c r="A104" s="91"/>
      <c r="B104" s="353" t="b">
        <f t="shared" si="4"/>
        <v>0</v>
      </c>
      <c r="C104" s="91"/>
      <c r="D104" s="91"/>
      <c r="E104" s="518">
        <v>15</v>
      </c>
      <c r="F104" s="3" t="str" cm="1">
        <f t="array" aca="1" ref="F104" ca="1">OFFSET(E104,-1,1)</f>
        <v>1</v>
      </c>
      <c r="G104" s="36" cm="1">
        <f t="array" ref="G104">G103</f>
        <v>0</v>
      </c>
      <c r="H104" s="91"/>
      <c r="I104" s="91"/>
      <c r="J104" s="91"/>
      <c r="K104" s="91">
        <f>first_year+21</f>
        <v>2045</v>
      </c>
      <c r="L104" s="91"/>
      <c r="M104" s="91"/>
      <c r="N104" s="91"/>
      <c r="O104" s="91"/>
      <c r="P104" s="91"/>
      <c r="Q104" s="91"/>
      <c r="R104" s="91"/>
      <c r="S104" s="91"/>
      <c r="T104" s="365" t="b" cm="1">
        <f t="array" aca="1" ref="T104" ca="1">T103</f>
        <v>0</v>
      </c>
      <c r="U104" s="91"/>
      <c r="V104" s="91"/>
      <c r="W104" s="91"/>
      <c r="X104" s="1075"/>
      <c r="Y104" s="1075"/>
      <c r="Z104" s="1065"/>
      <c r="AA104" s="1124"/>
      <c r="AB104" s="187" t="str">
        <f t="shared" si="5"/>
        <v>2045 год</v>
      </c>
      <c r="AC104" s="320"/>
      <c r="AD104" s="973"/>
      <c r="AE104" s="972"/>
      <c r="AF104" s="972"/>
      <c r="AG104" s="973"/>
      <c r="AH104" s="972"/>
      <c r="AI104" s="973"/>
      <c r="AJ104" s="972"/>
      <c r="AK104" s="974"/>
      <c r="AL104" s="316"/>
      <c r="AM104" s="91"/>
      <c r="AN104" s="705" cm="1">
        <f t="array" ref="AN104">K104</f>
        <v>2045</v>
      </c>
      <c r="AO104" s="705" t="s">
        <v>2316</v>
      </c>
      <c r="AP104" s="715" cm="1">
        <f t="array" ref="AP104">AP103</f>
        <v>0</v>
      </c>
      <c r="AQ104" s="518"/>
      <c r="AR104" s="518"/>
    </row>
    <row r="105" spans="1:44" s="967" customFormat="1" ht="14.25" hidden="1" customHeight="1">
      <c r="A105" s="91"/>
      <c r="B105" s="353" t="b">
        <f t="shared" si="4"/>
        <v>0</v>
      </c>
      <c r="C105" s="91"/>
      <c r="D105" s="91"/>
      <c r="E105" s="518">
        <v>15</v>
      </c>
      <c r="F105" s="3" t="str" cm="1">
        <f t="array" aca="1" ref="F105" ca="1">OFFSET(E105,-1,1)</f>
        <v>1</v>
      </c>
      <c r="G105" s="36" cm="1">
        <f t="array" ref="G105">G104</f>
        <v>0</v>
      </c>
      <c r="H105" s="91"/>
      <c r="I105" s="91"/>
      <c r="J105" s="91"/>
      <c r="K105" s="91">
        <f>first_year+22</f>
        <v>2046</v>
      </c>
      <c r="L105" s="91"/>
      <c r="M105" s="91"/>
      <c r="N105" s="91"/>
      <c r="O105" s="91"/>
      <c r="P105" s="91"/>
      <c r="Q105" s="91"/>
      <c r="R105" s="91"/>
      <c r="S105" s="91"/>
      <c r="T105" s="365" t="b" cm="1">
        <f t="array" aca="1" ref="T105" ca="1">T104</f>
        <v>0</v>
      </c>
      <c r="U105" s="91"/>
      <c r="V105" s="91"/>
      <c r="W105" s="91"/>
      <c r="X105" s="1075"/>
      <c r="Y105" s="1075"/>
      <c r="Z105" s="1065"/>
      <c r="AA105" s="1124"/>
      <c r="AB105" s="187" t="str">
        <f t="shared" si="5"/>
        <v>2046 год</v>
      </c>
      <c r="AC105" s="320"/>
      <c r="AD105" s="973"/>
      <c r="AE105" s="972"/>
      <c r="AF105" s="972"/>
      <c r="AG105" s="973"/>
      <c r="AH105" s="972"/>
      <c r="AI105" s="973"/>
      <c r="AJ105" s="972"/>
      <c r="AK105" s="974"/>
      <c r="AL105" s="316"/>
      <c r="AM105" s="91"/>
      <c r="AN105" s="705" cm="1">
        <f t="array" ref="AN105">K105</f>
        <v>2046</v>
      </c>
      <c r="AO105" s="705" t="s">
        <v>2316</v>
      </c>
      <c r="AP105" s="715" cm="1">
        <f t="array" ref="AP105">AP104</f>
        <v>0</v>
      </c>
      <c r="AQ105" s="518"/>
      <c r="AR105" s="518"/>
    </row>
    <row r="106" spans="1:44" s="967" customFormat="1" ht="14.25" hidden="1" customHeight="1">
      <c r="A106" s="91"/>
      <c r="B106" s="353" t="b">
        <f t="shared" si="4"/>
        <v>0</v>
      </c>
      <c r="C106" s="91"/>
      <c r="D106" s="91"/>
      <c r="E106" s="518">
        <v>15</v>
      </c>
      <c r="F106" s="3" t="str" cm="1">
        <f t="array" aca="1" ref="F106" ca="1">OFFSET(E106,-1,1)</f>
        <v>1</v>
      </c>
      <c r="G106" s="36" cm="1">
        <f t="array" ref="G106">G105</f>
        <v>0</v>
      </c>
      <c r="H106" s="91"/>
      <c r="I106" s="91"/>
      <c r="J106" s="91"/>
      <c r="K106" s="91">
        <f>first_year+23</f>
        <v>2047</v>
      </c>
      <c r="L106" s="91"/>
      <c r="M106" s="91"/>
      <c r="N106" s="91"/>
      <c r="O106" s="91"/>
      <c r="P106" s="91"/>
      <c r="Q106" s="91"/>
      <c r="R106" s="91"/>
      <c r="S106" s="91"/>
      <c r="T106" s="365" t="b" cm="1">
        <f t="array" aca="1" ref="T106" ca="1">T105</f>
        <v>0</v>
      </c>
      <c r="U106" s="91"/>
      <c r="V106" s="91"/>
      <c r="W106" s="91"/>
      <c r="X106" s="1075"/>
      <c r="Y106" s="1075"/>
      <c r="Z106" s="1065"/>
      <c r="AA106" s="1124"/>
      <c r="AB106" s="187" t="str">
        <f t="shared" si="5"/>
        <v>2047 год</v>
      </c>
      <c r="AC106" s="320"/>
      <c r="AD106" s="973"/>
      <c r="AE106" s="972"/>
      <c r="AF106" s="972"/>
      <c r="AG106" s="973"/>
      <c r="AH106" s="972"/>
      <c r="AI106" s="973"/>
      <c r="AJ106" s="972"/>
      <c r="AK106" s="974"/>
      <c r="AL106" s="316"/>
      <c r="AM106" s="91"/>
      <c r="AN106" s="705" cm="1">
        <f t="array" ref="AN106">K106</f>
        <v>2047</v>
      </c>
      <c r="AO106" s="705" t="s">
        <v>2316</v>
      </c>
      <c r="AP106" s="715" cm="1">
        <f t="array" ref="AP106">AP105</f>
        <v>0</v>
      </c>
      <c r="AQ106" s="518"/>
      <c r="AR106" s="518"/>
    </row>
    <row r="107" spans="1:44" s="967" customFormat="1" ht="14.25" hidden="1" customHeight="1">
      <c r="A107" s="91"/>
      <c r="B107" s="353" t="b">
        <f t="shared" si="4"/>
        <v>0</v>
      </c>
      <c r="C107" s="91"/>
      <c r="D107" s="91"/>
      <c r="E107" s="518">
        <v>15</v>
      </c>
      <c r="F107" s="3" t="str" cm="1">
        <f t="array" aca="1" ref="F107" ca="1">OFFSET(E107,-1,1)</f>
        <v>1</v>
      </c>
      <c r="G107" s="36" cm="1">
        <f t="array" ref="G107">G106</f>
        <v>0</v>
      </c>
      <c r="H107" s="91"/>
      <c r="I107" s="91"/>
      <c r="J107" s="91"/>
      <c r="K107" s="91">
        <f>first_year+24</f>
        <v>2048</v>
      </c>
      <c r="L107" s="91"/>
      <c r="M107" s="91"/>
      <c r="N107" s="91"/>
      <c r="O107" s="91"/>
      <c r="P107" s="91"/>
      <c r="Q107" s="91"/>
      <c r="R107" s="91"/>
      <c r="S107" s="91"/>
      <c r="T107" s="365" t="b" cm="1">
        <f t="array" aca="1" ref="T107" ca="1">T106</f>
        <v>0</v>
      </c>
      <c r="U107" s="91"/>
      <c r="V107" s="91"/>
      <c r="W107" s="91"/>
      <c r="X107" s="1075"/>
      <c r="Y107" s="1075"/>
      <c r="Z107" s="1065"/>
      <c r="AA107" s="1124"/>
      <c r="AB107" s="187" t="str">
        <f t="shared" si="5"/>
        <v>2048 год</v>
      </c>
      <c r="AC107" s="320"/>
      <c r="AD107" s="973"/>
      <c r="AE107" s="972"/>
      <c r="AF107" s="972"/>
      <c r="AG107" s="973"/>
      <c r="AH107" s="972"/>
      <c r="AI107" s="973"/>
      <c r="AJ107" s="972"/>
      <c r="AK107" s="974"/>
      <c r="AL107" s="316"/>
      <c r="AM107" s="91"/>
      <c r="AN107" s="705" cm="1">
        <f t="array" ref="AN107">K107</f>
        <v>2048</v>
      </c>
      <c r="AO107" s="705" t="s">
        <v>2316</v>
      </c>
      <c r="AP107" s="715" cm="1">
        <f t="array" ref="AP107">AP106</f>
        <v>0</v>
      </c>
      <c r="AQ107" s="518"/>
      <c r="AR107" s="518"/>
    </row>
    <row r="108" spans="1:44" s="967" customFormat="1" ht="14.25" hidden="1" customHeight="1">
      <c r="A108" s="91"/>
      <c r="B108" s="353" t="b">
        <f t="shared" si="4"/>
        <v>0</v>
      </c>
      <c r="C108" s="91"/>
      <c r="D108" s="91"/>
      <c r="E108" s="518">
        <v>15</v>
      </c>
      <c r="F108" s="3" t="str" cm="1">
        <f t="array" aca="1" ref="F108" ca="1">OFFSET(E108,-1,1)</f>
        <v>1</v>
      </c>
      <c r="G108" s="36" cm="1">
        <f t="array" ref="G108">G107</f>
        <v>0</v>
      </c>
      <c r="H108" s="91"/>
      <c r="I108" s="91"/>
      <c r="J108" s="91"/>
      <c r="K108" s="91">
        <f>first_year+25</f>
        <v>2049</v>
      </c>
      <c r="L108" s="91"/>
      <c r="M108" s="91"/>
      <c r="N108" s="91"/>
      <c r="O108" s="91"/>
      <c r="P108" s="91"/>
      <c r="Q108" s="91"/>
      <c r="R108" s="91"/>
      <c r="S108" s="91"/>
      <c r="T108" s="365" t="b" cm="1">
        <f t="array" aca="1" ref="T108" ca="1">T107</f>
        <v>0</v>
      </c>
      <c r="U108" s="91"/>
      <c r="V108" s="91"/>
      <c r="W108" s="91"/>
      <c r="X108" s="1075"/>
      <c r="Y108" s="1075"/>
      <c r="Z108" s="1065"/>
      <c r="AA108" s="1124"/>
      <c r="AB108" s="187" t="str">
        <f t="shared" si="5"/>
        <v>2049 год</v>
      </c>
      <c r="AC108" s="320"/>
      <c r="AD108" s="973"/>
      <c r="AE108" s="972"/>
      <c r="AF108" s="972"/>
      <c r="AG108" s="973"/>
      <c r="AH108" s="972"/>
      <c r="AI108" s="973"/>
      <c r="AJ108" s="972"/>
      <c r="AK108" s="974"/>
      <c r="AL108" s="316"/>
      <c r="AM108" s="91"/>
      <c r="AN108" s="705" cm="1">
        <f t="array" ref="AN108">K108</f>
        <v>2049</v>
      </c>
      <c r="AO108" s="705" t="s">
        <v>2316</v>
      </c>
      <c r="AP108" s="715" cm="1">
        <f t="array" ref="AP108">AP107</f>
        <v>0</v>
      </c>
      <c r="AQ108" s="518"/>
      <c r="AR108" s="518"/>
    </row>
    <row r="109" spans="1:44" s="967" customFormat="1" ht="14.25" hidden="1" customHeight="1">
      <c r="A109" s="91"/>
      <c r="B109" s="353" t="b">
        <f t="shared" si="4"/>
        <v>0</v>
      </c>
      <c r="C109" s="91"/>
      <c r="D109" s="91"/>
      <c r="E109" s="518">
        <v>15</v>
      </c>
      <c r="F109" s="3" t="str" cm="1">
        <f t="array" aca="1" ref="F109" ca="1">OFFSET(E109,-1,1)</f>
        <v>1</v>
      </c>
      <c r="G109" s="36" cm="1">
        <f t="array" ref="G109">G108</f>
        <v>0</v>
      </c>
      <c r="H109" s="91"/>
      <c r="I109" s="91"/>
      <c r="J109" s="91"/>
      <c r="K109" s="91">
        <f>first_year+26</f>
        <v>2050</v>
      </c>
      <c r="L109" s="91"/>
      <c r="M109" s="91"/>
      <c r="N109" s="91"/>
      <c r="O109" s="91"/>
      <c r="P109" s="91"/>
      <c r="Q109" s="91"/>
      <c r="R109" s="91"/>
      <c r="S109" s="91"/>
      <c r="T109" s="365" t="b" cm="1">
        <f t="array" aca="1" ref="T109" ca="1">T108</f>
        <v>0</v>
      </c>
      <c r="U109" s="91"/>
      <c r="V109" s="91"/>
      <c r="W109" s="91"/>
      <c r="X109" s="1075"/>
      <c r="Y109" s="1075"/>
      <c r="Z109" s="1065"/>
      <c r="AA109" s="1124"/>
      <c r="AB109" s="187" t="str">
        <f t="shared" si="5"/>
        <v>2050 год</v>
      </c>
      <c r="AC109" s="320"/>
      <c r="AD109" s="973"/>
      <c r="AE109" s="972"/>
      <c r="AF109" s="972"/>
      <c r="AG109" s="973"/>
      <c r="AH109" s="972"/>
      <c r="AI109" s="973"/>
      <c r="AJ109" s="972"/>
      <c r="AK109" s="974"/>
      <c r="AL109" s="316"/>
      <c r="AM109" s="91"/>
      <c r="AN109" s="705" cm="1">
        <f t="array" ref="AN109">K109</f>
        <v>2050</v>
      </c>
      <c r="AO109" s="705" t="s">
        <v>2316</v>
      </c>
      <c r="AP109" s="715" cm="1">
        <f t="array" ref="AP109">AP108</f>
        <v>0</v>
      </c>
      <c r="AQ109" s="518"/>
      <c r="AR109" s="518"/>
    </row>
    <row r="110" spans="1:44" s="967" customFormat="1" ht="14.25" hidden="1" customHeight="1">
      <c r="A110" s="91"/>
      <c r="B110" s="353" t="b">
        <f t="shared" si="4"/>
        <v>0</v>
      </c>
      <c r="C110" s="91"/>
      <c r="D110" s="91"/>
      <c r="E110" s="518">
        <v>15</v>
      </c>
      <c r="F110" s="3" t="str" cm="1">
        <f t="array" aca="1" ref="F110" ca="1">OFFSET(E110,-1,1)</f>
        <v>1</v>
      </c>
      <c r="G110" s="36" cm="1">
        <f t="array" ref="G110">G109</f>
        <v>0</v>
      </c>
      <c r="H110" s="91"/>
      <c r="I110" s="91"/>
      <c r="J110" s="91"/>
      <c r="K110" s="91">
        <f>first_year+27</f>
        <v>2051</v>
      </c>
      <c r="L110" s="91"/>
      <c r="M110" s="91"/>
      <c r="N110" s="91"/>
      <c r="O110" s="91"/>
      <c r="P110" s="91"/>
      <c r="Q110" s="91"/>
      <c r="R110" s="91"/>
      <c r="S110" s="91"/>
      <c r="T110" s="365" t="b" cm="1">
        <f t="array" aca="1" ref="T110" ca="1">T109</f>
        <v>0</v>
      </c>
      <c r="U110" s="91"/>
      <c r="V110" s="91"/>
      <c r="W110" s="91"/>
      <c r="X110" s="1075"/>
      <c r="Y110" s="1075"/>
      <c r="Z110" s="1065"/>
      <c r="AA110" s="1124"/>
      <c r="AB110" s="187" t="str">
        <f t="shared" si="5"/>
        <v>2051 год</v>
      </c>
      <c r="AC110" s="320"/>
      <c r="AD110" s="973"/>
      <c r="AE110" s="972"/>
      <c r="AF110" s="972"/>
      <c r="AG110" s="973"/>
      <c r="AH110" s="972"/>
      <c r="AI110" s="973"/>
      <c r="AJ110" s="972"/>
      <c r="AK110" s="974"/>
      <c r="AL110" s="316"/>
      <c r="AM110" s="91"/>
      <c r="AN110" s="705" cm="1">
        <f t="array" ref="AN110">K110</f>
        <v>2051</v>
      </c>
      <c r="AO110" s="705" t="s">
        <v>2316</v>
      </c>
      <c r="AP110" s="715" cm="1">
        <f t="array" ref="AP110">AP109</f>
        <v>0</v>
      </c>
      <c r="AQ110" s="518"/>
      <c r="AR110" s="518"/>
    </row>
    <row r="111" spans="1:44" s="967" customFormat="1" ht="14.25" hidden="1" customHeight="1">
      <c r="A111" s="91"/>
      <c r="B111" s="353" t="b">
        <f t="shared" si="4"/>
        <v>0</v>
      </c>
      <c r="C111" s="91"/>
      <c r="D111" s="91"/>
      <c r="E111" s="518">
        <v>15</v>
      </c>
      <c r="F111" s="3" t="str" cm="1">
        <f t="array" aca="1" ref="F111" ca="1">OFFSET(E111,-1,1)</f>
        <v>1</v>
      </c>
      <c r="G111" s="36" cm="1">
        <f t="array" ref="G111">G110</f>
        <v>0</v>
      </c>
      <c r="H111" s="91"/>
      <c r="I111" s="91"/>
      <c r="J111" s="91"/>
      <c r="K111" s="91">
        <f>first_year+28</f>
        <v>2052</v>
      </c>
      <c r="L111" s="91"/>
      <c r="M111" s="91"/>
      <c r="N111" s="91"/>
      <c r="O111" s="91"/>
      <c r="P111" s="91"/>
      <c r="Q111" s="91"/>
      <c r="R111" s="91"/>
      <c r="S111" s="91"/>
      <c r="T111" s="365" t="b" cm="1">
        <f t="array" aca="1" ref="T111" ca="1">T110</f>
        <v>0</v>
      </c>
      <c r="U111" s="91"/>
      <c r="V111" s="91"/>
      <c r="W111" s="91"/>
      <c r="X111" s="1075"/>
      <c r="Y111" s="1075"/>
      <c r="Z111" s="1065"/>
      <c r="AA111" s="1124"/>
      <c r="AB111" s="187" t="str">
        <f t="shared" si="5"/>
        <v>2052 год</v>
      </c>
      <c r="AC111" s="320"/>
      <c r="AD111" s="973"/>
      <c r="AE111" s="972"/>
      <c r="AF111" s="972"/>
      <c r="AG111" s="973"/>
      <c r="AH111" s="972"/>
      <c r="AI111" s="973"/>
      <c r="AJ111" s="972"/>
      <c r="AK111" s="974"/>
      <c r="AL111" s="316"/>
      <c r="AM111" s="91"/>
      <c r="AN111" s="705" cm="1">
        <f t="array" ref="AN111">K111</f>
        <v>2052</v>
      </c>
      <c r="AO111" s="705" t="s">
        <v>2316</v>
      </c>
      <c r="AP111" s="715" cm="1">
        <f t="array" ref="AP111">AP110</f>
        <v>0</v>
      </c>
      <c r="AQ111" s="518"/>
      <c r="AR111" s="518"/>
    </row>
    <row r="112" spans="1:44" s="967" customFormat="1" ht="14.25" hidden="1" customHeight="1">
      <c r="A112" s="91"/>
      <c r="B112" s="353" t="b">
        <f t="shared" si="4"/>
        <v>0</v>
      </c>
      <c r="C112" s="91"/>
      <c r="D112" s="91"/>
      <c r="E112" s="518">
        <v>15</v>
      </c>
      <c r="F112" s="3" t="str" cm="1">
        <f t="array" aca="1" ref="F112" ca="1">OFFSET(E112,-1,1)</f>
        <v>1</v>
      </c>
      <c r="G112" s="36" cm="1">
        <f t="array" ref="G112">G111</f>
        <v>0</v>
      </c>
      <c r="H112" s="91"/>
      <c r="I112" s="91"/>
      <c r="J112" s="91"/>
      <c r="K112" s="91">
        <f>first_year+29</f>
        <v>2053</v>
      </c>
      <c r="L112" s="91"/>
      <c r="M112" s="91"/>
      <c r="N112" s="91"/>
      <c r="O112" s="91"/>
      <c r="P112" s="91"/>
      <c r="Q112" s="91"/>
      <c r="R112" s="91"/>
      <c r="S112" s="91"/>
      <c r="T112" s="365" t="b" cm="1">
        <f t="array" aca="1" ref="T112" ca="1">T111</f>
        <v>0</v>
      </c>
      <c r="U112" s="91"/>
      <c r="V112" s="91"/>
      <c r="W112" s="91"/>
      <c r="X112" s="1075"/>
      <c r="Y112" s="1075"/>
      <c r="Z112" s="1065"/>
      <c r="AA112" s="1124"/>
      <c r="AB112" s="187" t="str">
        <f t="shared" si="5"/>
        <v>2053 год</v>
      </c>
      <c r="AC112" s="320"/>
      <c r="AD112" s="973"/>
      <c r="AE112" s="972"/>
      <c r="AF112" s="972"/>
      <c r="AG112" s="973"/>
      <c r="AH112" s="972"/>
      <c r="AI112" s="973"/>
      <c r="AJ112" s="972"/>
      <c r="AK112" s="974"/>
      <c r="AL112" s="316"/>
      <c r="AM112" s="91"/>
      <c r="AN112" s="705" cm="1">
        <f t="array" ref="AN112">K112</f>
        <v>2053</v>
      </c>
      <c r="AO112" s="705" t="s">
        <v>2316</v>
      </c>
      <c r="AP112" s="715" cm="1">
        <f t="array" ref="AP112">AP111</f>
        <v>0</v>
      </c>
      <c r="AQ112" s="518"/>
      <c r="AR112" s="518"/>
    </row>
    <row r="113" spans="1:44" s="967" customFormat="1" ht="14.25" hidden="1" customHeight="1">
      <c r="A113" s="91"/>
      <c r="B113" s="353" t="b">
        <f t="shared" si="4"/>
        <v>0</v>
      </c>
      <c r="C113" s="91"/>
      <c r="D113" s="91"/>
      <c r="E113" s="518">
        <v>15</v>
      </c>
      <c r="F113" s="3" t="str" cm="1">
        <f t="array" aca="1" ref="F113" ca="1">OFFSET(E113,-1,1)</f>
        <v>1</v>
      </c>
      <c r="G113" s="36" cm="1">
        <f t="array" ref="G113">G112</f>
        <v>0</v>
      </c>
      <c r="H113" s="91"/>
      <c r="I113" s="91"/>
      <c r="J113" s="91"/>
      <c r="K113" s="91">
        <f>first_year+30</f>
        <v>2054</v>
      </c>
      <c r="L113" s="91"/>
      <c r="M113" s="91"/>
      <c r="N113" s="91"/>
      <c r="O113" s="91"/>
      <c r="P113" s="91"/>
      <c r="Q113" s="91"/>
      <c r="R113" s="91"/>
      <c r="S113" s="91"/>
      <c r="T113" s="365" t="b" cm="1">
        <f t="array" aca="1" ref="T113" ca="1">T112</f>
        <v>0</v>
      </c>
      <c r="U113" s="91"/>
      <c r="V113" s="91"/>
      <c r="W113" s="91"/>
      <c r="X113" s="1075"/>
      <c r="Y113" s="1075"/>
      <c r="Z113" s="1065"/>
      <c r="AA113" s="1124"/>
      <c r="AB113" s="187" t="str">
        <f t="shared" si="5"/>
        <v>2054 год</v>
      </c>
      <c r="AC113" s="320"/>
      <c r="AD113" s="973"/>
      <c r="AE113" s="972"/>
      <c r="AF113" s="972"/>
      <c r="AG113" s="973"/>
      <c r="AH113" s="972"/>
      <c r="AI113" s="973"/>
      <c r="AJ113" s="972"/>
      <c r="AK113" s="974"/>
      <c r="AL113" s="316"/>
      <c r="AM113" s="91"/>
      <c r="AN113" s="705" cm="1">
        <f t="array" ref="AN113">K113</f>
        <v>2054</v>
      </c>
      <c r="AO113" s="705" t="s">
        <v>2316</v>
      </c>
      <c r="AP113" s="715" cm="1">
        <f t="array" ref="AP113">AP112</f>
        <v>0</v>
      </c>
      <c r="AQ113" s="518"/>
      <c r="AR113" s="518"/>
    </row>
    <row r="114" spans="1:44" s="967" customFormat="1" ht="14.25" hidden="1" customHeight="1">
      <c r="A114" s="91"/>
      <c r="B114" s="353" t="b">
        <f t="shared" si="4"/>
        <v>0</v>
      </c>
      <c r="C114" s="91"/>
      <c r="D114" s="91"/>
      <c r="E114" s="518">
        <v>15</v>
      </c>
      <c r="F114" s="3" t="str" cm="1">
        <f t="array" aca="1" ref="F114" ca="1">OFFSET(E114,-1,1)</f>
        <v>1</v>
      </c>
      <c r="G114" s="36" cm="1">
        <f t="array" ref="G114">G113</f>
        <v>0</v>
      </c>
      <c r="H114" s="91"/>
      <c r="I114" s="91"/>
      <c r="J114" s="91"/>
      <c r="K114" s="91">
        <f>first_year+31</f>
        <v>2055</v>
      </c>
      <c r="L114" s="91"/>
      <c r="M114" s="91"/>
      <c r="N114" s="91"/>
      <c r="O114" s="91"/>
      <c r="P114" s="91"/>
      <c r="Q114" s="91"/>
      <c r="R114" s="91"/>
      <c r="S114" s="91"/>
      <c r="T114" s="365" t="b" cm="1">
        <f t="array" aca="1" ref="T114" ca="1">T113</f>
        <v>0</v>
      </c>
      <c r="U114" s="91"/>
      <c r="V114" s="91"/>
      <c r="W114" s="91"/>
      <c r="X114" s="1075"/>
      <c r="Y114" s="1075"/>
      <c r="Z114" s="1065"/>
      <c r="AA114" s="1124"/>
      <c r="AB114" s="187" t="str">
        <f t="shared" si="5"/>
        <v>2055 год</v>
      </c>
      <c r="AC114" s="320"/>
      <c r="AD114" s="973"/>
      <c r="AE114" s="972"/>
      <c r="AF114" s="972"/>
      <c r="AG114" s="973"/>
      <c r="AH114" s="972"/>
      <c r="AI114" s="973"/>
      <c r="AJ114" s="972"/>
      <c r="AK114" s="974"/>
      <c r="AL114" s="316"/>
      <c r="AM114" s="91"/>
      <c r="AN114" s="705" cm="1">
        <f t="array" ref="AN114">K114</f>
        <v>2055</v>
      </c>
      <c r="AO114" s="705" t="s">
        <v>2316</v>
      </c>
      <c r="AP114" s="715" cm="1">
        <f t="array" ref="AP114">AP113</f>
        <v>0</v>
      </c>
      <c r="AQ114" s="518"/>
      <c r="AR114" s="518"/>
    </row>
    <row r="115" spans="1:44" s="967" customFormat="1" ht="14.25" hidden="1" customHeight="1">
      <c r="A115" s="91"/>
      <c r="B115" s="353" t="b">
        <f t="shared" ref="B115:B132" si="6">K115&lt;first_year+PERIOD_LENGTH</f>
        <v>0</v>
      </c>
      <c r="C115" s="91"/>
      <c r="D115" s="91"/>
      <c r="E115" s="518">
        <v>15</v>
      </c>
      <c r="F115" s="3" t="str" cm="1">
        <f t="array" aca="1" ref="F115" ca="1">OFFSET(E115,-1,1)</f>
        <v>1</v>
      </c>
      <c r="G115" s="36" cm="1">
        <f t="array" ref="G115">G114</f>
        <v>0</v>
      </c>
      <c r="H115" s="91"/>
      <c r="I115" s="91"/>
      <c r="J115" s="91"/>
      <c r="K115" s="91">
        <f>first_year+32</f>
        <v>2056</v>
      </c>
      <c r="L115" s="91"/>
      <c r="M115" s="91"/>
      <c r="N115" s="91"/>
      <c r="O115" s="91"/>
      <c r="P115" s="91"/>
      <c r="Q115" s="91"/>
      <c r="R115" s="91"/>
      <c r="S115" s="91"/>
      <c r="T115" s="365" t="b" cm="1">
        <f t="array" aca="1" ref="T115" ca="1">T114</f>
        <v>0</v>
      </c>
      <c r="U115" s="91"/>
      <c r="V115" s="91"/>
      <c r="W115" s="91"/>
      <c r="X115" s="1075"/>
      <c r="Y115" s="1075"/>
      <c r="Z115" s="1065"/>
      <c r="AA115" s="1124"/>
      <c r="AB115" s="187" t="str">
        <f t="shared" ref="AB115:AB132" si="7">K115&amp;" год"</f>
        <v>2056 год</v>
      </c>
      <c r="AC115" s="320"/>
      <c r="AD115" s="973"/>
      <c r="AE115" s="972"/>
      <c r="AF115" s="972"/>
      <c r="AG115" s="973"/>
      <c r="AH115" s="972"/>
      <c r="AI115" s="973"/>
      <c r="AJ115" s="972"/>
      <c r="AK115" s="974"/>
      <c r="AL115" s="316"/>
      <c r="AM115" s="91"/>
      <c r="AN115" s="705" cm="1">
        <f t="array" ref="AN115">K115</f>
        <v>2056</v>
      </c>
      <c r="AO115" s="705" t="s">
        <v>2316</v>
      </c>
      <c r="AP115" s="715" cm="1">
        <f t="array" ref="AP115">AP114</f>
        <v>0</v>
      </c>
      <c r="AQ115" s="518"/>
      <c r="AR115" s="518"/>
    </row>
    <row r="116" spans="1:44" s="967" customFormat="1" ht="14.25" hidden="1" customHeight="1">
      <c r="A116" s="91"/>
      <c r="B116" s="353" t="b">
        <f t="shared" si="6"/>
        <v>0</v>
      </c>
      <c r="C116" s="91"/>
      <c r="D116" s="91"/>
      <c r="E116" s="518">
        <v>15</v>
      </c>
      <c r="F116" s="3" t="str" cm="1">
        <f t="array" aca="1" ref="F116" ca="1">OFFSET(E116,-1,1)</f>
        <v>1</v>
      </c>
      <c r="G116" s="36" cm="1">
        <f t="array" ref="G116">G115</f>
        <v>0</v>
      </c>
      <c r="H116" s="91"/>
      <c r="I116" s="91"/>
      <c r="J116" s="91"/>
      <c r="K116" s="91">
        <f>first_year+33</f>
        <v>2057</v>
      </c>
      <c r="L116" s="91"/>
      <c r="M116" s="91"/>
      <c r="N116" s="91"/>
      <c r="O116" s="91"/>
      <c r="P116" s="91"/>
      <c r="Q116" s="91"/>
      <c r="R116" s="91"/>
      <c r="S116" s="91"/>
      <c r="T116" s="365" t="b" cm="1">
        <f t="array" aca="1" ref="T116" ca="1">T115</f>
        <v>0</v>
      </c>
      <c r="U116" s="91"/>
      <c r="V116" s="91"/>
      <c r="W116" s="91"/>
      <c r="X116" s="1075"/>
      <c r="Y116" s="1075"/>
      <c r="Z116" s="1065"/>
      <c r="AA116" s="1124"/>
      <c r="AB116" s="187" t="str">
        <f t="shared" si="7"/>
        <v>2057 год</v>
      </c>
      <c r="AC116" s="320"/>
      <c r="AD116" s="973"/>
      <c r="AE116" s="972"/>
      <c r="AF116" s="972"/>
      <c r="AG116" s="973"/>
      <c r="AH116" s="972"/>
      <c r="AI116" s="973"/>
      <c r="AJ116" s="972"/>
      <c r="AK116" s="974"/>
      <c r="AL116" s="316"/>
      <c r="AM116" s="91"/>
      <c r="AN116" s="705" cm="1">
        <f t="array" ref="AN116">K116</f>
        <v>2057</v>
      </c>
      <c r="AO116" s="705" t="s">
        <v>2316</v>
      </c>
      <c r="AP116" s="715" cm="1">
        <f t="array" ref="AP116">AP115</f>
        <v>0</v>
      </c>
      <c r="AQ116" s="518"/>
      <c r="AR116" s="518"/>
    </row>
    <row r="117" spans="1:44" s="967" customFormat="1" ht="14.25" hidden="1" customHeight="1">
      <c r="A117" s="91"/>
      <c r="B117" s="353" t="b">
        <f t="shared" si="6"/>
        <v>0</v>
      </c>
      <c r="C117" s="91"/>
      <c r="D117" s="91"/>
      <c r="E117" s="518">
        <v>15</v>
      </c>
      <c r="F117" s="3" t="str" cm="1">
        <f t="array" aca="1" ref="F117" ca="1">OFFSET(E117,-1,1)</f>
        <v>1</v>
      </c>
      <c r="G117" s="36" cm="1">
        <f t="array" ref="G117">G116</f>
        <v>0</v>
      </c>
      <c r="H117" s="91"/>
      <c r="I117" s="91"/>
      <c r="J117" s="91"/>
      <c r="K117" s="91">
        <f>first_year+34</f>
        <v>2058</v>
      </c>
      <c r="L117" s="91"/>
      <c r="M117" s="91"/>
      <c r="N117" s="91"/>
      <c r="O117" s="91"/>
      <c r="P117" s="91"/>
      <c r="Q117" s="91"/>
      <c r="R117" s="91"/>
      <c r="S117" s="91"/>
      <c r="T117" s="365" t="b" cm="1">
        <f t="array" aca="1" ref="T117" ca="1">T116</f>
        <v>0</v>
      </c>
      <c r="U117" s="91"/>
      <c r="V117" s="91"/>
      <c r="W117" s="91"/>
      <c r="X117" s="1075"/>
      <c r="Y117" s="1075"/>
      <c r="Z117" s="1065"/>
      <c r="AA117" s="1124"/>
      <c r="AB117" s="187" t="str">
        <f t="shared" si="7"/>
        <v>2058 год</v>
      </c>
      <c r="AC117" s="320"/>
      <c r="AD117" s="973"/>
      <c r="AE117" s="972"/>
      <c r="AF117" s="972"/>
      <c r="AG117" s="973"/>
      <c r="AH117" s="972"/>
      <c r="AI117" s="973"/>
      <c r="AJ117" s="972"/>
      <c r="AK117" s="974"/>
      <c r="AL117" s="316"/>
      <c r="AM117" s="91"/>
      <c r="AN117" s="705" cm="1">
        <f t="array" ref="AN117">K117</f>
        <v>2058</v>
      </c>
      <c r="AO117" s="705" t="s">
        <v>2316</v>
      </c>
      <c r="AP117" s="715" cm="1">
        <f t="array" ref="AP117">AP116</f>
        <v>0</v>
      </c>
      <c r="AQ117" s="518"/>
      <c r="AR117" s="518"/>
    </row>
    <row r="118" spans="1:44" s="967" customFormat="1" ht="14.25" hidden="1" customHeight="1">
      <c r="A118" s="91"/>
      <c r="B118" s="353" t="b">
        <f t="shared" si="6"/>
        <v>0</v>
      </c>
      <c r="C118" s="91"/>
      <c r="D118" s="91"/>
      <c r="E118" s="518">
        <v>15</v>
      </c>
      <c r="F118" s="3" t="str" cm="1">
        <f t="array" aca="1" ref="F118" ca="1">OFFSET(E118,-1,1)</f>
        <v>1</v>
      </c>
      <c r="G118" s="36" cm="1">
        <f t="array" ref="G118">G117</f>
        <v>0</v>
      </c>
      <c r="H118" s="91"/>
      <c r="I118" s="91"/>
      <c r="J118" s="91"/>
      <c r="K118" s="91">
        <f>first_year+35</f>
        <v>2059</v>
      </c>
      <c r="L118" s="91"/>
      <c r="M118" s="91"/>
      <c r="N118" s="91"/>
      <c r="O118" s="91"/>
      <c r="P118" s="91"/>
      <c r="Q118" s="91"/>
      <c r="R118" s="91"/>
      <c r="S118" s="91"/>
      <c r="T118" s="365" t="b" cm="1">
        <f t="array" aca="1" ref="T118" ca="1">T117</f>
        <v>0</v>
      </c>
      <c r="U118" s="91"/>
      <c r="V118" s="91"/>
      <c r="W118" s="91"/>
      <c r="X118" s="1075"/>
      <c r="Y118" s="1075"/>
      <c r="Z118" s="1065"/>
      <c r="AA118" s="1124"/>
      <c r="AB118" s="187" t="str">
        <f t="shared" si="7"/>
        <v>2059 год</v>
      </c>
      <c r="AC118" s="320"/>
      <c r="AD118" s="973"/>
      <c r="AE118" s="972"/>
      <c r="AF118" s="972"/>
      <c r="AG118" s="973"/>
      <c r="AH118" s="972"/>
      <c r="AI118" s="973"/>
      <c r="AJ118" s="972"/>
      <c r="AK118" s="974"/>
      <c r="AL118" s="316"/>
      <c r="AM118" s="91"/>
      <c r="AN118" s="705" cm="1">
        <f t="array" ref="AN118">K118</f>
        <v>2059</v>
      </c>
      <c r="AO118" s="705" t="s">
        <v>2316</v>
      </c>
      <c r="AP118" s="715" cm="1">
        <f t="array" ref="AP118">AP117</f>
        <v>0</v>
      </c>
      <c r="AQ118" s="518"/>
      <c r="AR118" s="518"/>
    </row>
    <row r="119" spans="1:44" s="967" customFormat="1" ht="14.25" hidden="1" customHeight="1">
      <c r="A119" s="91"/>
      <c r="B119" s="353" t="b">
        <f t="shared" si="6"/>
        <v>0</v>
      </c>
      <c r="C119" s="91"/>
      <c r="D119" s="91"/>
      <c r="E119" s="518">
        <v>15</v>
      </c>
      <c r="F119" s="3" t="str" cm="1">
        <f t="array" aca="1" ref="F119" ca="1">OFFSET(E119,-1,1)</f>
        <v>1</v>
      </c>
      <c r="G119" s="36" cm="1">
        <f t="array" ref="G119">G118</f>
        <v>0</v>
      </c>
      <c r="H119" s="91"/>
      <c r="I119" s="91"/>
      <c r="J119" s="91"/>
      <c r="K119" s="91">
        <f>first_year+36</f>
        <v>2060</v>
      </c>
      <c r="L119" s="91"/>
      <c r="M119" s="91"/>
      <c r="N119" s="91"/>
      <c r="O119" s="91"/>
      <c r="P119" s="91"/>
      <c r="Q119" s="91"/>
      <c r="R119" s="91"/>
      <c r="S119" s="91"/>
      <c r="T119" s="365" t="b" cm="1">
        <f t="array" aca="1" ref="T119" ca="1">T118</f>
        <v>0</v>
      </c>
      <c r="U119" s="91"/>
      <c r="V119" s="91"/>
      <c r="W119" s="91"/>
      <c r="X119" s="1075"/>
      <c r="Y119" s="1075"/>
      <c r="Z119" s="1065"/>
      <c r="AA119" s="1124"/>
      <c r="AB119" s="187" t="str">
        <f t="shared" si="7"/>
        <v>2060 год</v>
      </c>
      <c r="AC119" s="320"/>
      <c r="AD119" s="973"/>
      <c r="AE119" s="972"/>
      <c r="AF119" s="972"/>
      <c r="AG119" s="973"/>
      <c r="AH119" s="972"/>
      <c r="AI119" s="973"/>
      <c r="AJ119" s="972"/>
      <c r="AK119" s="974"/>
      <c r="AL119" s="316"/>
      <c r="AM119" s="91"/>
      <c r="AN119" s="705" cm="1">
        <f t="array" ref="AN119">K119</f>
        <v>2060</v>
      </c>
      <c r="AO119" s="705" t="s">
        <v>2316</v>
      </c>
      <c r="AP119" s="715" cm="1">
        <f t="array" ref="AP119">AP118</f>
        <v>0</v>
      </c>
      <c r="AQ119" s="518"/>
      <c r="AR119" s="518"/>
    </row>
    <row r="120" spans="1:44" s="967" customFormat="1" ht="14.25" hidden="1" customHeight="1">
      <c r="A120" s="91"/>
      <c r="B120" s="353" t="b">
        <f t="shared" si="6"/>
        <v>0</v>
      </c>
      <c r="C120" s="91"/>
      <c r="D120" s="91"/>
      <c r="E120" s="518">
        <v>15</v>
      </c>
      <c r="F120" s="3" t="str" cm="1">
        <f t="array" aca="1" ref="F120" ca="1">OFFSET(E120,-1,1)</f>
        <v>1</v>
      </c>
      <c r="G120" s="36" cm="1">
        <f t="array" ref="G120">G119</f>
        <v>0</v>
      </c>
      <c r="H120" s="91"/>
      <c r="I120" s="91"/>
      <c r="J120" s="91"/>
      <c r="K120" s="91">
        <f>first_year+37</f>
        <v>2061</v>
      </c>
      <c r="L120" s="91"/>
      <c r="M120" s="91"/>
      <c r="N120" s="91"/>
      <c r="O120" s="91"/>
      <c r="P120" s="91"/>
      <c r="Q120" s="91"/>
      <c r="R120" s="91"/>
      <c r="S120" s="91"/>
      <c r="T120" s="365" t="b" cm="1">
        <f t="array" aca="1" ref="T120" ca="1">T119</f>
        <v>0</v>
      </c>
      <c r="U120" s="91"/>
      <c r="V120" s="91"/>
      <c r="W120" s="91"/>
      <c r="X120" s="1075"/>
      <c r="Y120" s="1075"/>
      <c r="Z120" s="1065"/>
      <c r="AA120" s="1124"/>
      <c r="AB120" s="187" t="str">
        <f t="shared" si="7"/>
        <v>2061 год</v>
      </c>
      <c r="AC120" s="320"/>
      <c r="AD120" s="973"/>
      <c r="AE120" s="972"/>
      <c r="AF120" s="972"/>
      <c r="AG120" s="973"/>
      <c r="AH120" s="972"/>
      <c r="AI120" s="973"/>
      <c r="AJ120" s="972"/>
      <c r="AK120" s="974"/>
      <c r="AL120" s="316"/>
      <c r="AM120" s="91"/>
      <c r="AN120" s="705" cm="1">
        <f t="array" ref="AN120">K120</f>
        <v>2061</v>
      </c>
      <c r="AO120" s="705" t="s">
        <v>2316</v>
      </c>
      <c r="AP120" s="715" cm="1">
        <f t="array" ref="AP120">AP119</f>
        <v>0</v>
      </c>
      <c r="AQ120" s="518"/>
      <c r="AR120" s="518"/>
    </row>
    <row r="121" spans="1:44" s="967" customFormat="1" ht="14.25" hidden="1" customHeight="1">
      <c r="A121" s="91"/>
      <c r="B121" s="353" t="b">
        <f t="shared" si="6"/>
        <v>0</v>
      </c>
      <c r="C121" s="91"/>
      <c r="D121" s="91"/>
      <c r="E121" s="518">
        <v>15</v>
      </c>
      <c r="F121" s="3" t="str" cm="1">
        <f t="array" aca="1" ref="F121" ca="1">OFFSET(E121,-1,1)</f>
        <v>1</v>
      </c>
      <c r="G121" s="36" cm="1">
        <f t="array" ref="G121">G120</f>
        <v>0</v>
      </c>
      <c r="H121" s="91"/>
      <c r="I121" s="91"/>
      <c r="J121" s="91"/>
      <c r="K121" s="91">
        <f>first_year+38</f>
        <v>2062</v>
      </c>
      <c r="L121" s="91"/>
      <c r="M121" s="91"/>
      <c r="N121" s="91"/>
      <c r="O121" s="91"/>
      <c r="P121" s="91"/>
      <c r="Q121" s="91"/>
      <c r="R121" s="91"/>
      <c r="S121" s="91"/>
      <c r="T121" s="365" t="b" cm="1">
        <f t="array" aca="1" ref="T121" ca="1">T120</f>
        <v>0</v>
      </c>
      <c r="U121" s="91"/>
      <c r="V121" s="91"/>
      <c r="W121" s="91"/>
      <c r="X121" s="1075"/>
      <c r="Y121" s="1075"/>
      <c r="Z121" s="1065"/>
      <c r="AA121" s="1124"/>
      <c r="AB121" s="187" t="str">
        <f t="shared" si="7"/>
        <v>2062 год</v>
      </c>
      <c r="AC121" s="320"/>
      <c r="AD121" s="973"/>
      <c r="AE121" s="972"/>
      <c r="AF121" s="972"/>
      <c r="AG121" s="973"/>
      <c r="AH121" s="972"/>
      <c r="AI121" s="973"/>
      <c r="AJ121" s="972"/>
      <c r="AK121" s="974"/>
      <c r="AL121" s="316"/>
      <c r="AM121" s="91"/>
      <c r="AN121" s="705" cm="1">
        <f t="array" ref="AN121">K121</f>
        <v>2062</v>
      </c>
      <c r="AO121" s="705" t="s">
        <v>2316</v>
      </c>
      <c r="AP121" s="715" cm="1">
        <f t="array" ref="AP121">AP120</f>
        <v>0</v>
      </c>
      <c r="AQ121" s="518"/>
      <c r="AR121" s="518"/>
    </row>
    <row r="122" spans="1:44" s="967" customFormat="1" ht="14.25" hidden="1" customHeight="1">
      <c r="A122" s="91"/>
      <c r="B122" s="353" t="b">
        <f t="shared" si="6"/>
        <v>0</v>
      </c>
      <c r="C122" s="91"/>
      <c r="D122" s="91"/>
      <c r="E122" s="518">
        <v>15</v>
      </c>
      <c r="F122" s="3" t="str" cm="1">
        <f t="array" aca="1" ref="F122" ca="1">OFFSET(E122,-1,1)</f>
        <v>1</v>
      </c>
      <c r="G122" s="36" cm="1">
        <f t="array" ref="G122">G121</f>
        <v>0</v>
      </c>
      <c r="H122" s="91"/>
      <c r="I122" s="91"/>
      <c r="J122" s="91"/>
      <c r="K122" s="91">
        <f>first_year+39</f>
        <v>2063</v>
      </c>
      <c r="L122" s="91"/>
      <c r="M122" s="91"/>
      <c r="N122" s="91"/>
      <c r="O122" s="91"/>
      <c r="P122" s="91"/>
      <c r="Q122" s="91"/>
      <c r="R122" s="91"/>
      <c r="S122" s="91"/>
      <c r="T122" s="365" t="b" cm="1">
        <f t="array" aca="1" ref="T122" ca="1">T121</f>
        <v>0</v>
      </c>
      <c r="U122" s="91"/>
      <c r="V122" s="91"/>
      <c r="W122" s="91"/>
      <c r="X122" s="1075"/>
      <c r="Y122" s="1075"/>
      <c r="Z122" s="1065"/>
      <c r="AA122" s="1124"/>
      <c r="AB122" s="187" t="str">
        <f t="shared" si="7"/>
        <v>2063 год</v>
      </c>
      <c r="AC122" s="320"/>
      <c r="AD122" s="973"/>
      <c r="AE122" s="972"/>
      <c r="AF122" s="972"/>
      <c r="AG122" s="973"/>
      <c r="AH122" s="972"/>
      <c r="AI122" s="973"/>
      <c r="AJ122" s="972"/>
      <c r="AK122" s="974"/>
      <c r="AL122" s="316"/>
      <c r="AM122" s="91"/>
      <c r="AN122" s="705" cm="1">
        <f t="array" ref="AN122">K122</f>
        <v>2063</v>
      </c>
      <c r="AO122" s="705" t="s">
        <v>2316</v>
      </c>
      <c r="AP122" s="715" cm="1">
        <f t="array" ref="AP122">AP121</f>
        <v>0</v>
      </c>
      <c r="AQ122" s="518"/>
      <c r="AR122" s="518"/>
    </row>
    <row r="123" spans="1:44" s="967" customFormat="1" ht="14.25" hidden="1" customHeight="1">
      <c r="A123" s="91"/>
      <c r="B123" s="353" t="b">
        <f t="shared" si="6"/>
        <v>0</v>
      </c>
      <c r="C123" s="91"/>
      <c r="D123" s="91"/>
      <c r="E123" s="518">
        <v>15</v>
      </c>
      <c r="F123" s="3" t="str" cm="1">
        <f t="array" aca="1" ref="F123" ca="1">OFFSET(E123,-1,1)</f>
        <v>1</v>
      </c>
      <c r="G123" s="36" cm="1">
        <f t="array" ref="G123">G122</f>
        <v>0</v>
      </c>
      <c r="H123" s="91"/>
      <c r="I123" s="91"/>
      <c r="J123" s="91"/>
      <c r="K123" s="91">
        <f>first_year+40</f>
        <v>2064</v>
      </c>
      <c r="L123" s="91"/>
      <c r="M123" s="91"/>
      <c r="N123" s="91"/>
      <c r="O123" s="91"/>
      <c r="P123" s="91"/>
      <c r="Q123" s="91"/>
      <c r="R123" s="91"/>
      <c r="S123" s="91"/>
      <c r="T123" s="365" t="b" cm="1">
        <f t="array" aca="1" ref="T123" ca="1">T122</f>
        <v>0</v>
      </c>
      <c r="U123" s="91"/>
      <c r="V123" s="91"/>
      <c r="W123" s="91"/>
      <c r="X123" s="1075"/>
      <c r="Y123" s="1075"/>
      <c r="Z123" s="1065"/>
      <c r="AA123" s="1124"/>
      <c r="AB123" s="187" t="str">
        <f t="shared" si="7"/>
        <v>2064 год</v>
      </c>
      <c r="AC123" s="320"/>
      <c r="AD123" s="973"/>
      <c r="AE123" s="972"/>
      <c r="AF123" s="972"/>
      <c r="AG123" s="973"/>
      <c r="AH123" s="972"/>
      <c r="AI123" s="973"/>
      <c r="AJ123" s="972"/>
      <c r="AK123" s="974"/>
      <c r="AL123" s="316"/>
      <c r="AM123" s="91"/>
      <c r="AN123" s="705" cm="1">
        <f t="array" ref="AN123">K123</f>
        <v>2064</v>
      </c>
      <c r="AO123" s="705" t="s">
        <v>2316</v>
      </c>
      <c r="AP123" s="715" cm="1">
        <f t="array" ref="AP123">AP122</f>
        <v>0</v>
      </c>
      <c r="AQ123" s="518"/>
      <c r="AR123" s="518"/>
    </row>
    <row r="124" spans="1:44" s="967" customFormat="1" ht="14.25" hidden="1" customHeight="1">
      <c r="A124" s="91"/>
      <c r="B124" s="353" t="b">
        <f t="shared" si="6"/>
        <v>0</v>
      </c>
      <c r="C124" s="91"/>
      <c r="D124" s="91"/>
      <c r="E124" s="518">
        <v>15</v>
      </c>
      <c r="F124" s="3" t="str" cm="1">
        <f t="array" aca="1" ref="F124" ca="1">OFFSET(E124,-1,1)</f>
        <v>1</v>
      </c>
      <c r="G124" s="36" cm="1">
        <f t="array" ref="G124">G123</f>
        <v>0</v>
      </c>
      <c r="H124" s="91"/>
      <c r="I124" s="91"/>
      <c r="J124" s="91"/>
      <c r="K124" s="91">
        <f>first_year+41</f>
        <v>2065</v>
      </c>
      <c r="L124" s="91"/>
      <c r="M124" s="91"/>
      <c r="N124" s="91"/>
      <c r="O124" s="91"/>
      <c r="P124" s="91"/>
      <c r="Q124" s="91"/>
      <c r="R124" s="91"/>
      <c r="S124" s="91"/>
      <c r="T124" s="365" t="b" cm="1">
        <f t="array" aca="1" ref="T124" ca="1">T123</f>
        <v>0</v>
      </c>
      <c r="U124" s="91"/>
      <c r="V124" s="91"/>
      <c r="W124" s="91"/>
      <c r="X124" s="1075"/>
      <c r="Y124" s="1075"/>
      <c r="Z124" s="1065"/>
      <c r="AA124" s="1124"/>
      <c r="AB124" s="187" t="str">
        <f t="shared" si="7"/>
        <v>2065 год</v>
      </c>
      <c r="AC124" s="320"/>
      <c r="AD124" s="973"/>
      <c r="AE124" s="972"/>
      <c r="AF124" s="972"/>
      <c r="AG124" s="973"/>
      <c r="AH124" s="972"/>
      <c r="AI124" s="973"/>
      <c r="AJ124" s="972"/>
      <c r="AK124" s="974"/>
      <c r="AL124" s="316"/>
      <c r="AM124" s="91"/>
      <c r="AN124" s="705" cm="1">
        <f t="array" ref="AN124">K124</f>
        <v>2065</v>
      </c>
      <c r="AO124" s="705" t="s">
        <v>2316</v>
      </c>
      <c r="AP124" s="715" cm="1">
        <f t="array" ref="AP124">AP123</f>
        <v>0</v>
      </c>
      <c r="AQ124" s="518"/>
      <c r="AR124" s="518"/>
    </row>
    <row r="125" spans="1:44" s="967" customFormat="1" ht="14.25" hidden="1" customHeight="1">
      <c r="A125" s="91"/>
      <c r="B125" s="353" t="b">
        <f t="shared" si="6"/>
        <v>0</v>
      </c>
      <c r="C125" s="91"/>
      <c r="D125" s="91"/>
      <c r="E125" s="518">
        <v>15</v>
      </c>
      <c r="F125" s="3" t="str" cm="1">
        <f t="array" aca="1" ref="F125" ca="1">OFFSET(E125,-1,1)</f>
        <v>1</v>
      </c>
      <c r="G125" s="36" cm="1">
        <f t="array" ref="G125">G124</f>
        <v>0</v>
      </c>
      <c r="H125" s="91"/>
      <c r="I125" s="91"/>
      <c r="J125" s="91"/>
      <c r="K125" s="91">
        <f>first_year+42</f>
        <v>2066</v>
      </c>
      <c r="L125" s="91"/>
      <c r="M125" s="91"/>
      <c r="N125" s="91"/>
      <c r="O125" s="91"/>
      <c r="P125" s="91"/>
      <c r="Q125" s="91"/>
      <c r="R125" s="91"/>
      <c r="S125" s="91"/>
      <c r="T125" s="365" t="b" cm="1">
        <f t="array" aca="1" ref="T125" ca="1">T124</f>
        <v>0</v>
      </c>
      <c r="U125" s="91"/>
      <c r="V125" s="91"/>
      <c r="W125" s="91"/>
      <c r="X125" s="1075"/>
      <c r="Y125" s="1075"/>
      <c r="Z125" s="1065"/>
      <c r="AA125" s="1124"/>
      <c r="AB125" s="187" t="str">
        <f t="shared" si="7"/>
        <v>2066 год</v>
      </c>
      <c r="AC125" s="320"/>
      <c r="AD125" s="973"/>
      <c r="AE125" s="972"/>
      <c r="AF125" s="972"/>
      <c r="AG125" s="973"/>
      <c r="AH125" s="972"/>
      <c r="AI125" s="973"/>
      <c r="AJ125" s="972"/>
      <c r="AK125" s="974"/>
      <c r="AL125" s="316"/>
      <c r="AM125" s="91"/>
      <c r="AN125" s="705" cm="1">
        <f t="array" ref="AN125">K125</f>
        <v>2066</v>
      </c>
      <c r="AO125" s="705" t="s">
        <v>2316</v>
      </c>
      <c r="AP125" s="715" cm="1">
        <f t="array" ref="AP125">AP124</f>
        <v>0</v>
      </c>
      <c r="AQ125" s="518"/>
      <c r="AR125" s="518"/>
    </row>
    <row r="126" spans="1:44" s="967" customFormat="1" ht="14.25" hidden="1" customHeight="1">
      <c r="A126" s="91"/>
      <c r="B126" s="353" t="b">
        <f t="shared" si="6"/>
        <v>0</v>
      </c>
      <c r="C126" s="91"/>
      <c r="D126" s="91"/>
      <c r="E126" s="518">
        <v>15</v>
      </c>
      <c r="F126" s="3" t="str" cm="1">
        <f t="array" aca="1" ref="F126" ca="1">OFFSET(E126,-1,1)</f>
        <v>1</v>
      </c>
      <c r="G126" s="36" cm="1">
        <f t="array" ref="G126">G125</f>
        <v>0</v>
      </c>
      <c r="H126" s="91"/>
      <c r="I126" s="91"/>
      <c r="J126" s="91"/>
      <c r="K126" s="91">
        <f>first_year+43</f>
        <v>2067</v>
      </c>
      <c r="L126" s="91"/>
      <c r="M126" s="91"/>
      <c r="N126" s="91"/>
      <c r="O126" s="91"/>
      <c r="P126" s="91"/>
      <c r="Q126" s="91"/>
      <c r="R126" s="91"/>
      <c r="S126" s="91"/>
      <c r="T126" s="365" t="b" cm="1">
        <f t="array" aca="1" ref="T126" ca="1">T125</f>
        <v>0</v>
      </c>
      <c r="U126" s="91"/>
      <c r="V126" s="91"/>
      <c r="W126" s="91"/>
      <c r="X126" s="1075"/>
      <c r="Y126" s="1075"/>
      <c r="Z126" s="1065"/>
      <c r="AA126" s="1124"/>
      <c r="AB126" s="187" t="str">
        <f t="shared" si="7"/>
        <v>2067 год</v>
      </c>
      <c r="AC126" s="320"/>
      <c r="AD126" s="973"/>
      <c r="AE126" s="972"/>
      <c r="AF126" s="972"/>
      <c r="AG126" s="973"/>
      <c r="AH126" s="972"/>
      <c r="AI126" s="973"/>
      <c r="AJ126" s="972"/>
      <c r="AK126" s="974"/>
      <c r="AL126" s="316"/>
      <c r="AM126" s="91"/>
      <c r="AN126" s="705" cm="1">
        <f t="array" ref="AN126">K126</f>
        <v>2067</v>
      </c>
      <c r="AO126" s="705" t="s">
        <v>2316</v>
      </c>
      <c r="AP126" s="715" cm="1">
        <f t="array" ref="AP126">AP125</f>
        <v>0</v>
      </c>
      <c r="AQ126" s="518"/>
      <c r="AR126" s="518"/>
    </row>
    <row r="127" spans="1:44" s="967" customFormat="1" ht="14.25" hidden="1" customHeight="1">
      <c r="A127" s="91"/>
      <c r="B127" s="353" t="b">
        <f t="shared" si="6"/>
        <v>0</v>
      </c>
      <c r="C127" s="91"/>
      <c r="D127" s="91"/>
      <c r="E127" s="518">
        <v>15</v>
      </c>
      <c r="F127" s="3" t="str" cm="1">
        <f t="array" aca="1" ref="F127" ca="1">OFFSET(E127,-1,1)</f>
        <v>1</v>
      </c>
      <c r="G127" s="36" cm="1">
        <f t="array" ref="G127">G126</f>
        <v>0</v>
      </c>
      <c r="H127" s="91"/>
      <c r="I127" s="91"/>
      <c r="J127" s="91"/>
      <c r="K127" s="91">
        <f>first_year+44</f>
        <v>2068</v>
      </c>
      <c r="L127" s="91"/>
      <c r="M127" s="91"/>
      <c r="N127" s="91"/>
      <c r="O127" s="91"/>
      <c r="P127" s="91"/>
      <c r="Q127" s="91"/>
      <c r="R127" s="91"/>
      <c r="S127" s="91"/>
      <c r="T127" s="365" t="b" cm="1">
        <f t="array" aca="1" ref="T127" ca="1">T126</f>
        <v>0</v>
      </c>
      <c r="U127" s="91"/>
      <c r="V127" s="91"/>
      <c r="W127" s="91"/>
      <c r="X127" s="1075"/>
      <c r="Y127" s="1075"/>
      <c r="Z127" s="1065"/>
      <c r="AA127" s="1124"/>
      <c r="AB127" s="187" t="str">
        <f t="shared" si="7"/>
        <v>2068 год</v>
      </c>
      <c r="AC127" s="320"/>
      <c r="AD127" s="973"/>
      <c r="AE127" s="972"/>
      <c r="AF127" s="972"/>
      <c r="AG127" s="973"/>
      <c r="AH127" s="972"/>
      <c r="AI127" s="973"/>
      <c r="AJ127" s="972"/>
      <c r="AK127" s="974"/>
      <c r="AL127" s="316"/>
      <c r="AM127" s="91"/>
      <c r="AN127" s="705" cm="1">
        <f t="array" ref="AN127">K127</f>
        <v>2068</v>
      </c>
      <c r="AO127" s="705" t="s">
        <v>2316</v>
      </c>
      <c r="AP127" s="715" cm="1">
        <f t="array" ref="AP127">AP126</f>
        <v>0</v>
      </c>
      <c r="AQ127" s="518"/>
      <c r="AR127" s="518"/>
    </row>
    <row r="128" spans="1:44" s="967" customFormat="1" ht="14.25" hidden="1" customHeight="1">
      <c r="A128" s="91"/>
      <c r="B128" s="353" t="b">
        <f t="shared" si="6"/>
        <v>0</v>
      </c>
      <c r="C128" s="91"/>
      <c r="D128" s="91"/>
      <c r="E128" s="518">
        <v>15</v>
      </c>
      <c r="F128" s="3" t="str" cm="1">
        <f t="array" aca="1" ref="F128" ca="1">OFFSET(E128,-1,1)</f>
        <v>1</v>
      </c>
      <c r="G128" s="36" cm="1">
        <f t="array" ref="G128">G127</f>
        <v>0</v>
      </c>
      <c r="H128" s="91"/>
      <c r="I128" s="91"/>
      <c r="J128" s="91"/>
      <c r="K128" s="91">
        <f>first_year+45</f>
        <v>2069</v>
      </c>
      <c r="L128" s="91"/>
      <c r="M128" s="91"/>
      <c r="N128" s="91"/>
      <c r="O128" s="91"/>
      <c r="P128" s="91"/>
      <c r="Q128" s="91"/>
      <c r="R128" s="91"/>
      <c r="S128" s="91"/>
      <c r="T128" s="365" t="b" cm="1">
        <f t="array" aca="1" ref="T128" ca="1">T127</f>
        <v>0</v>
      </c>
      <c r="U128" s="91"/>
      <c r="V128" s="91"/>
      <c r="W128" s="91"/>
      <c r="X128" s="1075"/>
      <c r="Y128" s="1075"/>
      <c r="Z128" s="1065"/>
      <c r="AA128" s="1124"/>
      <c r="AB128" s="187" t="str">
        <f t="shared" si="7"/>
        <v>2069 год</v>
      </c>
      <c r="AC128" s="320"/>
      <c r="AD128" s="973"/>
      <c r="AE128" s="972"/>
      <c r="AF128" s="972"/>
      <c r="AG128" s="973"/>
      <c r="AH128" s="972"/>
      <c r="AI128" s="973"/>
      <c r="AJ128" s="972"/>
      <c r="AK128" s="974"/>
      <c r="AL128" s="316"/>
      <c r="AM128" s="91"/>
      <c r="AN128" s="705" cm="1">
        <f t="array" ref="AN128">K128</f>
        <v>2069</v>
      </c>
      <c r="AO128" s="705" t="s">
        <v>2316</v>
      </c>
      <c r="AP128" s="715" cm="1">
        <f t="array" ref="AP128">AP127</f>
        <v>0</v>
      </c>
      <c r="AQ128" s="518"/>
      <c r="AR128" s="518"/>
    </row>
    <row r="129" spans="1:44" s="967" customFormat="1" ht="14.25" hidden="1" customHeight="1">
      <c r="A129" s="91"/>
      <c r="B129" s="353" t="b">
        <f t="shared" si="6"/>
        <v>0</v>
      </c>
      <c r="C129" s="91"/>
      <c r="D129" s="91"/>
      <c r="E129" s="518">
        <v>15</v>
      </c>
      <c r="F129" s="3" t="str" cm="1">
        <f t="array" aca="1" ref="F129" ca="1">OFFSET(E129,-1,1)</f>
        <v>1</v>
      </c>
      <c r="G129" s="36" cm="1">
        <f t="array" ref="G129">G128</f>
        <v>0</v>
      </c>
      <c r="H129" s="91"/>
      <c r="I129" s="91"/>
      <c r="J129" s="91"/>
      <c r="K129" s="91">
        <f>first_year+46</f>
        <v>2070</v>
      </c>
      <c r="L129" s="91"/>
      <c r="M129" s="91"/>
      <c r="N129" s="91"/>
      <c r="O129" s="91"/>
      <c r="P129" s="91"/>
      <c r="Q129" s="91"/>
      <c r="R129" s="91"/>
      <c r="S129" s="91"/>
      <c r="T129" s="365" t="b" cm="1">
        <f t="array" aca="1" ref="T129" ca="1">T128</f>
        <v>0</v>
      </c>
      <c r="U129" s="91"/>
      <c r="V129" s="91"/>
      <c r="W129" s="91"/>
      <c r="X129" s="1075"/>
      <c r="Y129" s="1075"/>
      <c r="Z129" s="1065"/>
      <c r="AA129" s="1124"/>
      <c r="AB129" s="187" t="str">
        <f t="shared" si="7"/>
        <v>2070 год</v>
      </c>
      <c r="AC129" s="320"/>
      <c r="AD129" s="973"/>
      <c r="AE129" s="972"/>
      <c r="AF129" s="972"/>
      <c r="AG129" s="973"/>
      <c r="AH129" s="972"/>
      <c r="AI129" s="973"/>
      <c r="AJ129" s="972"/>
      <c r="AK129" s="974"/>
      <c r="AL129" s="316"/>
      <c r="AM129" s="91"/>
      <c r="AN129" s="705" cm="1">
        <f t="array" ref="AN129">K129</f>
        <v>2070</v>
      </c>
      <c r="AO129" s="705" t="s">
        <v>2316</v>
      </c>
      <c r="AP129" s="715" cm="1">
        <f t="array" ref="AP129">AP128</f>
        <v>0</v>
      </c>
      <c r="AQ129" s="518"/>
      <c r="AR129" s="518"/>
    </row>
    <row r="130" spans="1:44" s="967" customFormat="1" ht="14.25" hidden="1" customHeight="1">
      <c r="A130" s="91"/>
      <c r="B130" s="353" t="b">
        <f t="shared" si="6"/>
        <v>0</v>
      </c>
      <c r="C130" s="91"/>
      <c r="D130" s="91"/>
      <c r="E130" s="518">
        <v>15</v>
      </c>
      <c r="F130" s="3" t="str" cm="1">
        <f t="array" aca="1" ref="F130" ca="1">OFFSET(E130,-1,1)</f>
        <v>1</v>
      </c>
      <c r="G130" s="36" cm="1">
        <f t="array" ref="G130">G129</f>
        <v>0</v>
      </c>
      <c r="H130" s="91"/>
      <c r="I130" s="91"/>
      <c r="J130" s="91"/>
      <c r="K130" s="91">
        <f>first_year+47</f>
        <v>2071</v>
      </c>
      <c r="L130" s="91"/>
      <c r="M130" s="91"/>
      <c r="N130" s="91"/>
      <c r="O130" s="91"/>
      <c r="P130" s="91"/>
      <c r="Q130" s="91"/>
      <c r="R130" s="91"/>
      <c r="S130" s="91"/>
      <c r="T130" s="365" t="b" cm="1">
        <f t="array" aca="1" ref="T130" ca="1">T129</f>
        <v>0</v>
      </c>
      <c r="U130" s="91"/>
      <c r="V130" s="91"/>
      <c r="W130" s="91"/>
      <c r="X130" s="1075"/>
      <c r="Y130" s="1075"/>
      <c r="Z130" s="1065"/>
      <c r="AA130" s="1124"/>
      <c r="AB130" s="187" t="str">
        <f t="shared" si="7"/>
        <v>2071 год</v>
      </c>
      <c r="AC130" s="320"/>
      <c r="AD130" s="973"/>
      <c r="AE130" s="972"/>
      <c r="AF130" s="972"/>
      <c r="AG130" s="973"/>
      <c r="AH130" s="972"/>
      <c r="AI130" s="973"/>
      <c r="AJ130" s="972"/>
      <c r="AK130" s="974"/>
      <c r="AL130" s="316"/>
      <c r="AM130" s="91"/>
      <c r="AN130" s="705" cm="1">
        <f t="array" ref="AN130">K130</f>
        <v>2071</v>
      </c>
      <c r="AO130" s="705" t="s">
        <v>2316</v>
      </c>
      <c r="AP130" s="715" cm="1">
        <f t="array" ref="AP130">AP129</f>
        <v>0</v>
      </c>
      <c r="AQ130" s="518"/>
      <c r="AR130" s="518"/>
    </row>
    <row r="131" spans="1:44" s="967" customFormat="1" ht="14.25" hidden="1" customHeight="1">
      <c r="A131" s="91"/>
      <c r="B131" s="353" t="b">
        <f t="shared" si="6"/>
        <v>0</v>
      </c>
      <c r="C131" s="91"/>
      <c r="D131" s="91"/>
      <c r="E131" s="518">
        <v>15</v>
      </c>
      <c r="F131" s="3" t="str" cm="1">
        <f t="array" aca="1" ref="F131" ca="1">OFFSET(E131,-1,1)</f>
        <v>1</v>
      </c>
      <c r="G131" s="36" cm="1">
        <f t="array" ref="G131">G130</f>
        <v>0</v>
      </c>
      <c r="H131" s="91"/>
      <c r="I131" s="91"/>
      <c r="J131" s="91"/>
      <c r="K131" s="91">
        <f>first_year+48</f>
        <v>2072</v>
      </c>
      <c r="L131" s="91"/>
      <c r="M131" s="91"/>
      <c r="N131" s="91"/>
      <c r="O131" s="91"/>
      <c r="P131" s="91"/>
      <c r="Q131" s="91"/>
      <c r="R131" s="91"/>
      <c r="S131" s="91"/>
      <c r="T131" s="365" t="b" cm="1">
        <f t="array" aca="1" ref="T131" ca="1">T130</f>
        <v>0</v>
      </c>
      <c r="U131" s="91"/>
      <c r="V131" s="91"/>
      <c r="W131" s="91"/>
      <c r="X131" s="1075"/>
      <c r="Y131" s="1075"/>
      <c r="Z131" s="1065"/>
      <c r="AA131" s="1124"/>
      <c r="AB131" s="187" t="str">
        <f t="shared" si="7"/>
        <v>2072 год</v>
      </c>
      <c r="AC131" s="320"/>
      <c r="AD131" s="973"/>
      <c r="AE131" s="972"/>
      <c r="AF131" s="972"/>
      <c r="AG131" s="973"/>
      <c r="AH131" s="972"/>
      <c r="AI131" s="973"/>
      <c r="AJ131" s="972"/>
      <c r="AK131" s="974"/>
      <c r="AL131" s="316"/>
      <c r="AM131" s="91"/>
      <c r="AN131" s="705" cm="1">
        <f t="array" ref="AN131">K131</f>
        <v>2072</v>
      </c>
      <c r="AO131" s="705" t="s">
        <v>2316</v>
      </c>
      <c r="AP131" s="715" cm="1">
        <f t="array" ref="AP131">AP130</f>
        <v>0</v>
      </c>
      <c r="AQ131" s="518"/>
      <c r="AR131" s="518"/>
    </row>
    <row r="132" spans="1:44" s="967" customFormat="1" ht="14.25" hidden="1" customHeight="1">
      <c r="A132" s="91"/>
      <c r="B132" s="353" t="b">
        <f t="shared" si="6"/>
        <v>0</v>
      </c>
      <c r="C132" s="91"/>
      <c r="D132" s="91"/>
      <c r="E132" s="518">
        <v>15</v>
      </c>
      <c r="F132" s="3" t="str" cm="1">
        <f t="array" aca="1" ref="F132" ca="1">OFFSET(E132,-1,1)</f>
        <v>1</v>
      </c>
      <c r="G132" s="36" cm="1">
        <f t="array" ref="G132">G131</f>
        <v>0</v>
      </c>
      <c r="H132" s="91"/>
      <c r="I132" s="91"/>
      <c r="J132" s="91"/>
      <c r="K132" s="91">
        <f>first_year+49</f>
        <v>2073</v>
      </c>
      <c r="L132" s="91"/>
      <c r="M132" s="91"/>
      <c r="N132" s="91"/>
      <c r="O132" s="91"/>
      <c r="P132" s="91"/>
      <c r="Q132" s="91"/>
      <c r="R132" s="91"/>
      <c r="S132" s="91"/>
      <c r="T132" s="365" t="b" cm="1">
        <f t="array" aca="1" ref="T132" ca="1">T131</f>
        <v>0</v>
      </c>
      <c r="U132" s="91"/>
      <c r="V132" s="91"/>
      <c r="W132" s="91"/>
      <c r="X132" s="1075"/>
      <c r="Y132" s="1075"/>
      <c r="Z132" s="1065"/>
      <c r="AA132" s="1124"/>
      <c r="AB132" s="187" t="str">
        <f t="shared" si="7"/>
        <v>2073 год</v>
      </c>
      <c r="AC132" s="320"/>
      <c r="AD132" s="973"/>
      <c r="AE132" s="972"/>
      <c r="AF132" s="972"/>
      <c r="AG132" s="973"/>
      <c r="AH132" s="972"/>
      <c r="AI132" s="973"/>
      <c r="AJ132" s="972"/>
      <c r="AK132" s="974"/>
      <c r="AL132" s="316"/>
      <c r="AM132" s="91"/>
      <c r="AN132" s="705" cm="1">
        <f t="array" ref="AN132">K132</f>
        <v>2073</v>
      </c>
      <c r="AO132" s="705" t="s">
        <v>2316</v>
      </c>
      <c r="AP132" s="715" cm="1">
        <f t="array" ref="AP132">AP131</f>
        <v>0</v>
      </c>
      <c r="AQ132" s="518"/>
      <c r="AR132" s="518"/>
    </row>
    <row r="133" spans="1:44" ht="14.25" customHeight="1">
      <c r="A133" s="91"/>
      <c r="B133" s="341"/>
      <c r="C133" s="91"/>
      <c r="D133" s="91"/>
      <c r="E133" s="518">
        <v>15</v>
      </c>
      <c r="F133" s="774" t="str" cm="1">
        <f t="array" aca="1" ref="F133" ca="1">OFFSET(E133,-1,1)</f>
        <v>1</v>
      </c>
      <c r="G133" s="91" t="str">
        <f>"!== 'не определено'"</f>
        <v>!== 'не определено'</v>
      </c>
      <c r="H133" s="91"/>
      <c r="I133" s="91"/>
      <c r="J133" s="91"/>
      <c r="K133" s="91"/>
      <c r="L133" s="91"/>
      <c r="M133" s="91"/>
      <c r="N133" s="91"/>
      <c r="O133" s="91"/>
      <c r="P133" s="91"/>
      <c r="Q133" s="91"/>
      <c r="R133" s="91"/>
      <c r="S133" s="91"/>
      <c r="T133" s="365" t="b">
        <f ca="1">F133&gt;0</f>
        <v>1</v>
      </c>
      <c r="U133" s="91"/>
      <c r="V133" s="91"/>
      <c r="W133" s="517" t="s">
        <v>2317</v>
      </c>
      <c r="X133" s="1075"/>
      <c r="Y133" s="91"/>
      <c r="Z133" s="1065"/>
      <c r="AA133" s="91"/>
      <c r="AB133" s="632" t="s">
        <v>177</v>
      </c>
      <c r="AC133" s="225"/>
      <c r="AD133" s="225"/>
      <c r="AE133" s="225"/>
      <c r="AF133" s="225"/>
      <c r="AG133" s="225"/>
      <c r="AH133" s="225"/>
      <c r="AI133" s="225"/>
      <c r="AJ133" s="225"/>
      <c r="AK133" s="225"/>
      <c r="AL133" s="316"/>
      <c r="AM133"/>
      <c r="AN133" s="670"/>
      <c r="AO133" s="670"/>
      <c r="AP133" s="670"/>
      <c r="AQ133" s="672" t="s">
        <v>2316</v>
      </c>
      <c r="AR133" s="465"/>
    </row>
    <row r="134" spans="1:44" s="408" customFormat="1" ht="14.25" customHeight="1">
      <c r="A134" s="57"/>
      <c r="B134" s="62"/>
      <c r="C134" s="57"/>
      <c r="D134" s="57"/>
      <c r="E134" s="459">
        <v>15</v>
      </c>
      <c r="F134" s="36" t="str" cm="1">
        <f t="array" ref="F134">X134</f>
        <v>2</v>
      </c>
      <c r="G134" s="57"/>
      <c r="H134" s="57"/>
      <c r="I134" s="57"/>
      <c r="J134" s="57"/>
      <c r="K134" s="57"/>
      <c r="L134" s="57"/>
      <c r="M134" s="57"/>
      <c r="N134" s="57"/>
      <c r="O134" s="57"/>
      <c r="P134" s="57"/>
      <c r="Q134" s="57"/>
      <c r="R134" s="57"/>
      <c r="S134" s="57"/>
      <c r="T134" s="365" t="b">
        <f>X134&gt;0</f>
        <v>1</v>
      </c>
      <c r="U134" s="57"/>
      <c r="V134" s="57" t="str" cm="1">
        <f t="array" ref="V134">ДПР!$AB$132</f>
        <v>Тариф 2 (Водоотведение) - тариф на водоотведение (Доп. признак не требуется)</v>
      </c>
      <c r="W134" s="57"/>
      <c r="X134" s="1075" t="s">
        <v>285</v>
      </c>
      <c r="Y134" s="57"/>
      <c r="Z134" s="1065"/>
      <c r="AA134" s="57"/>
      <c r="AB134" s="293" t="str" cm="1">
        <f t="array" ref="AB134">ДПР!$AB$132</f>
        <v>Тариф 2 (Водоотведение) - тариф на водоотведение (Доп. признак не требуется)</v>
      </c>
      <c r="AC134" s="175"/>
      <c r="AD134" s="175"/>
      <c r="AE134" s="175"/>
      <c r="AF134" s="175"/>
      <c r="AG134" s="175"/>
      <c r="AH134" s="175"/>
      <c r="AI134" s="175"/>
      <c r="AJ134" s="175"/>
      <c r="AK134" s="175"/>
      <c r="AL134" s="315"/>
      <c r="AM134" s="57"/>
      <c r="AN134" s="665"/>
      <c r="AO134" s="665"/>
      <c r="AP134" s="665"/>
      <c r="AQ134" s="459"/>
      <c r="AR134" s="459"/>
    </row>
    <row r="135" spans="1:44" s="408" customFormat="1" ht="14.25" hidden="1" customHeight="1">
      <c r="A135" s="57"/>
      <c r="B135" s="62"/>
      <c r="C135" s="57"/>
      <c r="D135" s="57"/>
      <c r="E135" s="459">
        <v>15</v>
      </c>
      <c r="F135" s="3" t="str" cm="1">
        <f t="array" aca="1" ref="F135" ca="1">OFFSET(E135,-1,1)</f>
        <v>2</v>
      </c>
      <c r="G135" s="57" cm="1">
        <f t="array" ref="G135">AB135</f>
        <v>0</v>
      </c>
      <c r="H135" s="57"/>
      <c r="I135" s="57"/>
      <c r="J135" s="57"/>
      <c r="K135" s="57"/>
      <c r="L135" s="57"/>
      <c r="M135" s="57"/>
      <c r="N135" s="57"/>
      <c r="O135" s="57"/>
      <c r="P135" s="57"/>
      <c r="Q135" s="57"/>
      <c r="R135" s="57"/>
      <c r="S135" s="57"/>
      <c r="T135" s="365" t="b">
        <f ca="1">AND(F135&gt;0,Y135&gt;0)</f>
        <v>0</v>
      </c>
      <c r="U135" s="57"/>
      <c r="V135" s="57"/>
      <c r="W135" s="57" t="s">
        <v>173</v>
      </c>
      <c r="X135" s="1075"/>
      <c r="Y135" s="1075">
        <v>0</v>
      </c>
      <c r="Z135" s="1065"/>
      <c r="AA135" s="1124" t="s">
        <v>174</v>
      </c>
      <c r="AB135" s="1191"/>
      <c r="AC135" s="1191"/>
      <c r="AD135" s="1191"/>
      <c r="AE135" s="1191"/>
      <c r="AF135" s="1191"/>
      <c r="AG135" s="1191"/>
      <c r="AH135" s="1191"/>
      <c r="AI135" s="1191"/>
      <c r="AJ135" s="1191"/>
      <c r="AK135" s="1192"/>
      <c r="AL135" s="315"/>
      <c r="AM135" s="57"/>
      <c r="AN135" s="665"/>
      <c r="AO135" s="705" t="s">
        <v>2316</v>
      </c>
      <c r="AP135" s="696" cm="1">
        <f t="array" ref="AP135">AB135</f>
        <v>0</v>
      </c>
      <c r="AQ135" s="459"/>
      <c r="AR135" s="459" t="b">
        <v>1</v>
      </c>
    </row>
    <row r="136" spans="1:44" s="967" customFormat="1" ht="14.25" hidden="1" customHeight="1">
      <c r="A136" s="91"/>
      <c r="B136" s="353" t="b">
        <f t="shared" ref="B136:B167" si="8">K136&lt;first_year+PERIOD_LENGTH</f>
        <v>1</v>
      </c>
      <c r="C136" s="91"/>
      <c r="D136" s="91"/>
      <c r="E136" s="518">
        <v>15</v>
      </c>
      <c r="F136" s="3" t="str" cm="1">
        <f t="array" aca="1" ref="F136" ca="1">OFFSET(E136,-1,1)</f>
        <v>2</v>
      </c>
      <c r="G136" s="36" cm="1">
        <f t="array" ref="G136">G135</f>
        <v>0</v>
      </c>
      <c r="H136" s="91"/>
      <c r="I136" s="91"/>
      <c r="J136" s="91"/>
      <c r="K136" s="91" cm="1">
        <f t="array" ref="K136">first_year</f>
        <v>2024</v>
      </c>
      <c r="L136" s="91"/>
      <c r="M136" s="91"/>
      <c r="N136" s="91"/>
      <c r="O136" s="91"/>
      <c r="P136" s="91"/>
      <c r="Q136" s="91"/>
      <c r="R136" s="91"/>
      <c r="S136" s="91"/>
      <c r="T136" s="365" t="b" cm="1">
        <f t="array" aca="1" ref="T136" ca="1">T135</f>
        <v>0</v>
      </c>
      <c r="U136" s="91"/>
      <c r="V136" s="91"/>
      <c r="W136" s="91"/>
      <c r="X136" s="1075"/>
      <c r="Y136" s="1075"/>
      <c r="Z136" s="1065"/>
      <c r="AA136" s="1124"/>
      <c r="AB136" s="224" t="str">
        <f t="shared" ref="AB136:AB167" si="9">K136&amp;" год"</f>
        <v>2024 год</v>
      </c>
      <c r="AC136" s="972"/>
      <c r="AD136" s="973"/>
      <c r="AE136" s="972"/>
      <c r="AF136" s="972"/>
      <c r="AG136" s="973"/>
      <c r="AH136" s="972"/>
      <c r="AI136" s="973"/>
      <c r="AJ136" s="972"/>
      <c r="AK136" s="974"/>
      <c r="AL136" s="316"/>
      <c r="AM136" s="91"/>
      <c r="AN136" s="705" cm="1">
        <f t="array" ref="AN136">K136</f>
        <v>2024</v>
      </c>
      <c r="AO136" s="705" t="s">
        <v>2316</v>
      </c>
      <c r="AP136" s="715" cm="1">
        <f t="array" ref="AP136">AP135</f>
        <v>0</v>
      </c>
      <c r="AQ136" s="518"/>
      <c r="AR136" s="518"/>
    </row>
    <row r="137" spans="1:44" s="967" customFormat="1" ht="14.25" hidden="1" customHeight="1">
      <c r="A137" s="91"/>
      <c r="B137" s="353" t="b">
        <f t="shared" si="8"/>
        <v>1</v>
      </c>
      <c r="C137" s="91"/>
      <c r="D137" s="91"/>
      <c r="E137" s="518">
        <v>15</v>
      </c>
      <c r="F137" s="3" t="str" cm="1">
        <f t="array" aca="1" ref="F137" ca="1">OFFSET(E137,-1,1)</f>
        <v>2</v>
      </c>
      <c r="G137" s="36" cm="1">
        <f t="array" ref="G137">G136</f>
        <v>0</v>
      </c>
      <c r="H137" s="91"/>
      <c r="I137" s="91"/>
      <c r="J137" s="91"/>
      <c r="K137" s="91">
        <f>first_year+1</f>
        <v>2025</v>
      </c>
      <c r="L137" s="91"/>
      <c r="M137" s="91"/>
      <c r="N137" s="91"/>
      <c r="O137" s="91"/>
      <c r="P137" s="91"/>
      <c r="Q137" s="91"/>
      <c r="R137" s="91"/>
      <c r="S137" s="91"/>
      <c r="T137" s="365" t="b" cm="1">
        <f t="array" aca="1" ref="T137" ca="1">T136</f>
        <v>0</v>
      </c>
      <c r="U137" s="91"/>
      <c r="V137" s="91"/>
      <c r="W137" s="91"/>
      <c r="X137" s="1075"/>
      <c r="Y137" s="1075"/>
      <c r="Z137" s="1065"/>
      <c r="AA137" s="1124"/>
      <c r="AB137" s="187" t="str">
        <f t="shared" si="9"/>
        <v>2025 год</v>
      </c>
      <c r="AC137" s="320"/>
      <c r="AD137" s="973"/>
      <c r="AE137" s="972"/>
      <c r="AF137" s="972"/>
      <c r="AG137" s="973"/>
      <c r="AH137" s="972"/>
      <c r="AI137" s="973"/>
      <c r="AJ137" s="972"/>
      <c r="AK137" s="974"/>
      <c r="AL137" s="316"/>
      <c r="AM137" s="91"/>
      <c r="AN137" s="705" cm="1">
        <f t="array" ref="AN137">K137</f>
        <v>2025</v>
      </c>
      <c r="AO137" s="705" t="s">
        <v>2316</v>
      </c>
      <c r="AP137" s="715" cm="1">
        <f t="array" ref="AP137">AP136</f>
        <v>0</v>
      </c>
      <c r="AQ137" s="518"/>
      <c r="AR137" s="518"/>
    </row>
    <row r="138" spans="1:44" s="967" customFormat="1" ht="14.25" hidden="1" customHeight="1">
      <c r="A138" s="91"/>
      <c r="B138" s="353" t="b">
        <f t="shared" si="8"/>
        <v>1</v>
      </c>
      <c r="C138" s="91"/>
      <c r="D138" s="91"/>
      <c r="E138" s="518">
        <v>15</v>
      </c>
      <c r="F138" s="3" t="str" cm="1">
        <f t="array" aca="1" ref="F138" ca="1">OFFSET(E138,-1,1)</f>
        <v>2</v>
      </c>
      <c r="G138" s="36" cm="1">
        <f t="array" ref="G138">G137</f>
        <v>0</v>
      </c>
      <c r="H138" s="91"/>
      <c r="I138" s="91"/>
      <c r="J138" s="91"/>
      <c r="K138" s="91">
        <f>first_year+2</f>
        <v>2026</v>
      </c>
      <c r="L138" s="91"/>
      <c r="M138" s="91"/>
      <c r="N138" s="91"/>
      <c r="O138" s="91"/>
      <c r="P138" s="91"/>
      <c r="Q138" s="91"/>
      <c r="R138" s="91"/>
      <c r="S138" s="91"/>
      <c r="T138" s="365" t="b" cm="1">
        <f t="array" aca="1" ref="T138" ca="1">T137</f>
        <v>0</v>
      </c>
      <c r="U138" s="91"/>
      <c r="V138" s="91"/>
      <c r="W138" s="91"/>
      <c r="X138" s="1075"/>
      <c r="Y138" s="1075"/>
      <c r="Z138" s="1065"/>
      <c r="AA138" s="1124"/>
      <c r="AB138" s="187" t="str">
        <f t="shared" si="9"/>
        <v>2026 год</v>
      </c>
      <c r="AC138" s="320"/>
      <c r="AD138" s="973"/>
      <c r="AE138" s="972"/>
      <c r="AF138" s="972"/>
      <c r="AG138" s="973"/>
      <c r="AH138" s="972"/>
      <c r="AI138" s="973"/>
      <c r="AJ138" s="972"/>
      <c r="AK138" s="974"/>
      <c r="AL138" s="316"/>
      <c r="AM138" s="91"/>
      <c r="AN138" s="705" cm="1">
        <f t="array" ref="AN138">K138</f>
        <v>2026</v>
      </c>
      <c r="AO138" s="705" t="s">
        <v>2316</v>
      </c>
      <c r="AP138" s="715" cm="1">
        <f t="array" ref="AP138">AP137</f>
        <v>0</v>
      </c>
      <c r="AQ138" s="518"/>
      <c r="AR138" s="518"/>
    </row>
    <row r="139" spans="1:44" s="967" customFormat="1" ht="14.25" hidden="1" customHeight="1">
      <c r="A139" s="91"/>
      <c r="B139" s="353" t="b">
        <f t="shared" si="8"/>
        <v>1</v>
      </c>
      <c r="C139" s="91"/>
      <c r="D139" s="91"/>
      <c r="E139" s="518">
        <v>15</v>
      </c>
      <c r="F139" s="3" t="str" cm="1">
        <f t="array" aca="1" ref="F139" ca="1">OFFSET(E139,-1,1)</f>
        <v>2</v>
      </c>
      <c r="G139" s="36" cm="1">
        <f t="array" ref="G139">G138</f>
        <v>0</v>
      </c>
      <c r="H139" s="91"/>
      <c r="I139" s="91"/>
      <c r="J139" s="91"/>
      <c r="K139" s="91">
        <f>first_year+3</f>
        <v>2027</v>
      </c>
      <c r="L139" s="91"/>
      <c r="M139" s="91"/>
      <c r="N139" s="91"/>
      <c r="O139" s="91"/>
      <c r="P139" s="91"/>
      <c r="Q139" s="91"/>
      <c r="R139" s="91"/>
      <c r="S139" s="91"/>
      <c r="T139" s="365" t="b" cm="1">
        <f t="array" aca="1" ref="T139" ca="1">T138</f>
        <v>0</v>
      </c>
      <c r="U139" s="91"/>
      <c r="V139" s="91"/>
      <c r="W139" s="91"/>
      <c r="X139" s="1075"/>
      <c r="Y139" s="1075"/>
      <c r="Z139" s="1065"/>
      <c r="AA139" s="1124"/>
      <c r="AB139" s="187" t="str">
        <f t="shared" si="9"/>
        <v>2027 год</v>
      </c>
      <c r="AC139" s="320"/>
      <c r="AD139" s="973"/>
      <c r="AE139" s="972"/>
      <c r="AF139" s="972"/>
      <c r="AG139" s="973"/>
      <c r="AH139" s="972"/>
      <c r="AI139" s="973"/>
      <c r="AJ139" s="972"/>
      <c r="AK139" s="974"/>
      <c r="AL139" s="316"/>
      <c r="AM139" s="91"/>
      <c r="AN139" s="705" cm="1">
        <f t="array" ref="AN139">K139</f>
        <v>2027</v>
      </c>
      <c r="AO139" s="705" t="s">
        <v>2316</v>
      </c>
      <c r="AP139" s="715" cm="1">
        <f t="array" ref="AP139">AP138</f>
        <v>0</v>
      </c>
      <c r="AQ139" s="518"/>
      <c r="AR139" s="518"/>
    </row>
    <row r="140" spans="1:44" s="967" customFormat="1" ht="14.25" hidden="1" customHeight="1">
      <c r="A140" s="91"/>
      <c r="B140" s="353" t="b">
        <f t="shared" si="8"/>
        <v>1</v>
      </c>
      <c r="C140" s="91"/>
      <c r="D140" s="91"/>
      <c r="E140" s="518">
        <v>15</v>
      </c>
      <c r="F140" s="3" t="str" cm="1">
        <f t="array" aca="1" ref="F140" ca="1">OFFSET(E140,-1,1)</f>
        <v>2</v>
      </c>
      <c r="G140" s="36" cm="1">
        <f t="array" ref="G140">G139</f>
        <v>0</v>
      </c>
      <c r="H140" s="91"/>
      <c r="I140" s="91"/>
      <c r="J140" s="91"/>
      <c r="K140" s="91">
        <f>first_year+4</f>
        <v>2028</v>
      </c>
      <c r="L140" s="91"/>
      <c r="M140" s="91"/>
      <c r="N140" s="91"/>
      <c r="O140" s="91"/>
      <c r="P140" s="91"/>
      <c r="Q140" s="91"/>
      <c r="R140" s="91"/>
      <c r="S140" s="91"/>
      <c r="T140" s="365" t="b" cm="1">
        <f t="array" aca="1" ref="T140" ca="1">T139</f>
        <v>0</v>
      </c>
      <c r="U140" s="91"/>
      <c r="V140" s="91"/>
      <c r="W140" s="91"/>
      <c r="X140" s="1075"/>
      <c r="Y140" s="1075"/>
      <c r="Z140" s="1065"/>
      <c r="AA140" s="1124"/>
      <c r="AB140" s="187" t="str">
        <f t="shared" si="9"/>
        <v>2028 год</v>
      </c>
      <c r="AC140" s="320"/>
      <c r="AD140" s="973"/>
      <c r="AE140" s="972"/>
      <c r="AF140" s="972"/>
      <c r="AG140" s="973"/>
      <c r="AH140" s="972"/>
      <c r="AI140" s="973"/>
      <c r="AJ140" s="972"/>
      <c r="AK140" s="974"/>
      <c r="AL140" s="316"/>
      <c r="AM140" s="91"/>
      <c r="AN140" s="705" cm="1">
        <f t="array" ref="AN140">K140</f>
        <v>2028</v>
      </c>
      <c r="AO140" s="705" t="s">
        <v>2316</v>
      </c>
      <c r="AP140" s="715" cm="1">
        <f t="array" ref="AP140">AP139</f>
        <v>0</v>
      </c>
      <c r="AQ140" s="518"/>
      <c r="AR140" s="518"/>
    </row>
    <row r="141" spans="1:44" s="967" customFormat="1" ht="14.25" hidden="1" customHeight="1">
      <c r="A141" s="91"/>
      <c r="B141" s="353" t="b">
        <f t="shared" si="8"/>
        <v>0</v>
      </c>
      <c r="C141" s="91"/>
      <c r="D141" s="91"/>
      <c r="E141" s="518">
        <v>15</v>
      </c>
      <c r="F141" s="3" t="str" cm="1">
        <f t="array" aca="1" ref="F141" ca="1">OFFSET(E141,-1,1)</f>
        <v>2</v>
      </c>
      <c r="G141" s="36" cm="1">
        <f t="array" ref="G141">G140</f>
        <v>0</v>
      </c>
      <c r="H141" s="91"/>
      <c r="I141" s="91"/>
      <c r="J141" s="91"/>
      <c r="K141" s="91">
        <f>first_year+5</f>
        <v>2029</v>
      </c>
      <c r="L141" s="91"/>
      <c r="M141" s="91"/>
      <c r="N141" s="91"/>
      <c r="O141" s="91"/>
      <c r="P141" s="91"/>
      <c r="Q141" s="91"/>
      <c r="R141" s="91"/>
      <c r="S141" s="91"/>
      <c r="T141" s="365" t="b" cm="1">
        <f t="array" aca="1" ref="T141" ca="1">T140</f>
        <v>0</v>
      </c>
      <c r="U141" s="91"/>
      <c r="V141" s="91"/>
      <c r="W141" s="91"/>
      <c r="X141" s="1075"/>
      <c r="Y141" s="1075"/>
      <c r="Z141" s="1065"/>
      <c r="AA141" s="1124"/>
      <c r="AB141" s="187" t="str">
        <f t="shared" si="9"/>
        <v>2029 год</v>
      </c>
      <c r="AC141" s="320"/>
      <c r="AD141" s="973"/>
      <c r="AE141" s="972"/>
      <c r="AF141" s="972"/>
      <c r="AG141" s="973"/>
      <c r="AH141" s="972"/>
      <c r="AI141" s="973"/>
      <c r="AJ141" s="972"/>
      <c r="AK141" s="974"/>
      <c r="AL141" s="316"/>
      <c r="AM141" s="91"/>
      <c r="AN141" s="705" cm="1">
        <f t="array" ref="AN141">K141</f>
        <v>2029</v>
      </c>
      <c r="AO141" s="705" t="s">
        <v>2316</v>
      </c>
      <c r="AP141" s="715" cm="1">
        <f t="array" ref="AP141">AP140</f>
        <v>0</v>
      </c>
      <c r="AQ141" s="518"/>
      <c r="AR141" s="518"/>
    </row>
    <row r="142" spans="1:44" s="967" customFormat="1" ht="14.25" hidden="1" customHeight="1">
      <c r="A142" s="91"/>
      <c r="B142" s="353" t="b">
        <f t="shared" si="8"/>
        <v>0</v>
      </c>
      <c r="C142" s="91"/>
      <c r="D142" s="91"/>
      <c r="E142" s="518">
        <v>15</v>
      </c>
      <c r="F142" s="3" t="str" cm="1">
        <f t="array" aca="1" ref="F142" ca="1">OFFSET(E142,-1,1)</f>
        <v>2</v>
      </c>
      <c r="G142" s="36" cm="1">
        <f t="array" ref="G142">G141</f>
        <v>0</v>
      </c>
      <c r="H142" s="91"/>
      <c r="I142" s="91"/>
      <c r="J142" s="91"/>
      <c r="K142" s="91">
        <f>first_year+6</f>
        <v>2030</v>
      </c>
      <c r="L142" s="91"/>
      <c r="M142" s="91"/>
      <c r="N142" s="91"/>
      <c r="O142" s="91"/>
      <c r="P142" s="91"/>
      <c r="Q142" s="91"/>
      <c r="R142" s="91"/>
      <c r="S142" s="91"/>
      <c r="T142" s="365" t="b" cm="1">
        <f t="array" aca="1" ref="T142" ca="1">T141</f>
        <v>0</v>
      </c>
      <c r="U142" s="91"/>
      <c r="V142" s="91"/>
      <c r="W142" s="91"/>
      <c r="X142" s="1075"/>
      <c r="Y142" s="1075"/>
      <c r="Z142" s="1065"/>
      <c r="AA142" s="1124"/>
      <c r="AB142" s="187" t="str">
        <f t="shared" si="9"/>
        <v>2030 год</v>
      </c>
      <c r="AC142" s="320"/>
      <c r="AD142" s="973"/>
      <c r="AE142" s="972"/>
      <c r="AF142" s="972"/>
      <c r="AG142" s="973"/>
      <c r="AH142" s="972"/>
      <c r="AI142" s="973"/>
      <c r="AJ142" s="972"/>
      <c r="AK142" s="974"/>
      <c r="AL142" s="316"/>
      <c r="AM142" s="91"/>
      <c r="AN142" s="705" cm="1">
        <f t="array" ref="AN142">K142</f>
        <v>2030</v>
      </c>
      <c r="AO142" s="705" t="s">
        <v>2316</v>
      </c>
      <c r="AP142" s="715" cm="1">
        <f t="array" ref="AP142">AP141</f>
        <v>0</v>
      </c>
      <c r="AQ142" s="518"/>
      <c r="AR142" s="518"/>
    </row>
    <row r="143" spans="1:44" s="967" customFormat="1" ht="14.25" hidden="1" customHeight="1">
      <c r="A143" s="91"/>
      <c r="B143" s="353" t="b">
        <f t="shared" si="8"/>
        <v>0</v>
      </c>
      <c r="C143" s="91"/>
      <c r="D143" s="91"/>
      <c r="E143" s="518">
        <v>15</v>
      </c>
      <c r="F143" s="3" t="str" cm="1">
        <f t="array" aca="1" ref="F143" ca="1">OFFSET(E143,-1,1)</f>
        <v>2</v>
      </c>
      <c r="G143" s="36" cm="1">
        <f t="array" ref="G143">G142</f>
        <v>0</v>
      </c>
      <c r="H143" s="91"/>
      <c r="I143" s="91"/>
      <c r="J143" s="91"/>
      <c r="K143" s="91">
        <f>first_year+7</f>
        <v>2031</v>
      </c>
      <c r="L143" s="91"/>
      <c r="M143" s="91"/>
      <c r="N143" s="91"/>
      <c r="O143" s="91"/>
      <c r="P143" s="91"/>
      <c r="Q143" s="91"/>
      <c r="R143" s="91"/>
      <c r="S143" s="91"/>
      <c r="T143" s="365" t="b" cm="1">
        <f t="array" aca="1" ref="T143" ca="1">T142</f>
        <v>0</v>
      </c>
      <c r="U143" s="91"/>
      <c r="V143" s="91"/>
      <c r="W143" s="91"/>
      <c r="X143" s="1075"/>
      <c r="Y143" s="1075"/>
      <c r="Z143" s="1065"/>
      <c r="AA143" s="1124"/>
      <c r="AB143" s="187" t="str">
        <f t="shared" si="9"/>
        <v>2031 год</v>
      </c>
      <c r="AC143" s="320"/>
      <c r="AD143" s="973"/>
      <c r="AE143" s="972"/>
      <c r="AF143" s="972"/>
      <c r="AG143" s="973"/>
      <c r="AH143" s="972"/>
      <c r="AI143" s="973"/>
      <c r="AJ143" s="972"/>
      <c r="AK143" s="974"/>
      <c r="AL143" s="316"/>
      <c r="AM143" s="91"/>
      <c r="AN143" s="705" cm="1">
        <f t="array" ref="AN143">K143</f>
        <v>2031</v>
      </c>
      <c r="AO143" s="705" t="s">
        <v>2316</v>
      </c>
      <c r="AP143" s="715" cm="1">
        <f t="array" ref="AP143">AP142</f>
        <v>0</v>
      </c>
      <c r="AQ143" s="518"/>
      <c r="AR143" s="518"/>
    </row>
    <row r="144" spans="1:44" s="967" customFormat="1" ht="14.25" hidden="1" customHeight="1">
      <c r="A144" s="91"/>
      <c r="B144" s="353" t="b">
        <f t="shared" si="8"/>
        <v>0</v>
      </c>
      <c r="C144" s="91"/>
      <c r="D144" s="91"/>
      <c r="E144" s="518">
        <v>15</v>
      </c>
      <c r="F144" s="3" t="str" cm="1">
        <f t="array" aca="1" ref="F144" ca="1">OFFSET(E144,-1,1)</f>
        <v>2</v>
      </c>
      <c r="G144" s="36" cm="1">
        <f t="array" ref="G144">G143</f>
        <v>0</v>
      </c>
      <c r="H144" s="91"/>
      <c r="I144" s="91"/>
      <c r="J144" s="91"/>
      <c r="K144" s="91">
        <f>first_year+8</f>
        <v>2032</v>
      </c>
      <c r="L144" s="91"/>
      <c r="M144" s="91"/>
      <c r="N144" s="91"/>
      <c r="O144" s="91"/>
      <c r="P144" s="91"/>
      <c r="Q144" s="91"/>
      <c r="R144" s="91"/>
      <c r="S144" s="91"/>
      <c r="T144" s="365" t="b" cm="1">
        <f t="array" aca="1" ref="T144" ca="1">T143</f>
        <v>0</v>
      </c>
      <c r="U144" s="91"/>
      <c r="V144" s="91"/>
      <c r="W144" s="91"/>
      <c r="X144" s="1075"/>
      <c r="Y144" s="1075"/>
      <c r="Z144" s="1065"/>
      <c r="AA144" s="1124"/>
      <c r="AB144" s="187" t="str">
        <f t="shared" si="9"/>
        <v>2032 год</v>
      </c>
      <c r="AC144" s="320"/>
      <c r="AD144" s="973"/>
      <c r="AE144" s="972"/>
      <c r="AF144" s="972"/>
      <c r="AG144" s="973"/>
      <c r="AH144" s="972"/>
      <c r="AI144" s="973"/>
      <c r="AJ144" s="972"/>
      <c r="AK144" s="974"/>
      <c r="AL144" s="316"/>
      <c r="AM144" s="91"/>
      <c r="AN144" s="705" cm="1">
        <f t="array" ref="AN144">K144</f>
        <v>2032</v>
      </c>
      <c r="AO144" s="705" t="s">
        <v>2316</v>
      </c>
      <c r="AP144" s="715" cm="1">
        <f t="array" ref="AP144">AP143</f>
        <v>0</v>
      </c>
      <c r="AQ144" s="518"/>
      <c r="AR144" s="518"/>
    </row>
    <row r="145" spans="1:44" s="967" customFormat="1" ht="14.25" hidden="1" customHeight="1">
      <c r="A145" s="91"/>
      <c r="B145" s="353" t="b">
        <f t="shared" si="8"/>
        <v>0</v>
      </c>
      <c r="C145" s="91"/>
      <c r="D145" s="91"/>
      <c r="E145" s="518">
        <v>15</v>
      </c>
      <c r="F145" s="3" t="str" cm="1">
        <f t="array" aca="1" ref="F145" ca="1">OFFSET(E145,-1,1)</f>
        <v>2</v>
      </c>
      <c r="G145" s="36" cm="1">
        <f t="array" ref="G145">G144</f>
        <v>0</v>
      </c>
      <c r="H145" s="91"/>
      <c r="I145" s="91"/>
      <c r="J145" s="91"/>
      <c r="K145" s="91">
        <f>first_year+9</f>
        <v>2033</v>
      </c>
      <c r="L145" s="91"/>
      <c r="M145" s="91"/>
      <c r="N145" s="91"/>
      <c r="O145" s="91"/>
      <c r="P145" s="91"/>
      <c r="Q145" s="91"/>
      <c r="R145" s="91"/>
      <c r="S145" s="91"/>
      <c r="T145" s="365" t="b" cm="1">
        <f t="array" aca="1" ref="T145" ca="1">T144</f>
        <v>0</v>
      </c>
      <c r="U145" s="91"/>
      <c r="V145" s="91"/>
      <c r="W145" s="91"/>
      <c r="X145" s="1075"/>
      <c r="Y145" s="1075"/>
      <c r="Z145" s="1065"/>
      <c r="AA145" s="1124"/>
      <c r="AB145" s="187" t="str">
        <f t="shared" si="9"/>
        <v>2033 год</v>
      </c>
      <c r="AC145" s="320"/>
      <c r="AD145" s="973"/>
      <c r="AE145" s="972"/>
      <c r="AF145" s="972"/>
      <c r="AG145" s="973"/>
      <c r="AH145" s="972"/>
      <c r="AI145" s="973"/>
      <c r="AJ145" s="972"/>
      <c r="AK145" s="974"/>
      <c r="AL145" s="316"/>
      <c r="AM145" s="91"/>
      <c r="AN145" s="705" cm="1">
        <f t="array" ref="AN145">K145</f>
        <v>2033</v>
      </c>
      <c r="AO145" s="705" t="s">
        <v>2316</v>
      </c>
      <c r="AP145" s="715" cm="1">
        <f t="array" ref="AP145">AP144</f>
        <v>0</v>
      </c>
      <c r="AQ145" s="518"/>
      <c r="AR145" s="518"/>
    </row>
    <row r="146" spans="1:44" s="967" customFormat="1" ht="14.25" hidden="1" customHeight="1">
      <c r="A146" s="91"/>
      <c r="B146" s="353" t="b">
        <f t="shared" si="8"/>
        <v>0</v>
      </c>
      <c r="C146" s="91"/>
      <c r="D146" s="91"/>
      <c r="E146" s="518">
        <v>15</v>
      </c>
      <c r="F146" s="3" t="str" cm="1">
        <f t="array" aca="1" ref="F146" ca="1">OFFSET(E146,-1,1)</f>
        <v>2</v>
      </c>
      <c r="G146" s="36" cm="1">
        <f t="array" ref="G146">G145</f>
        <v>0</v>
      </c>
      <c r="H146" s="91"/>
      <c r="I146" s="91"/>
      <c r="J146" s="91"/>
      <c r="K146" s="91">
        <f>first_year+10</f>
        <v>2034</v>
      </c>
      <c r="L146" s="91"/>
      <c r="M146" s="91"/>
      <c r="N146" s="91"/>
      <c r="O146" s="91"/>
      <c r="P146" s="91"/>
      <c r="Q146" s="91"/>
      <c r="R146" s="91"/>
      <c r="S146" s="91"/>
      <c r="T146" s="365" t="b" cm="1">
        <f t="array" aca="1" ref="T146" ca="1">T145</f>
        <v>0</v>
      </c>
      <c r="U146" s="91"/>
      <c r="V146" s="91"/>
      <c r="W146" s="91"/>
      <c r="X146" s="1075"/>
      <c r="Y146" s="1075"/>
      <c r="Z146" s="1065"/>
      <c r="AA146" s="1124"/>
      <c r="AB146" s="187" t="str">
        <f t="shared" si="9"/>
        <v>2034 год</v>
      </c>
      <c r="AC146" s="320"/>
      <c r="AD146" s="973"/>
      <c r="AE146" s="972"/>
      <c r="AF146" s="972"/>
      <c r="AG146" s="973"/>
      <c r="AH146" s="972"/>
      <c r="AI146" s="973"/>
      <c r="AJ146" s="972"/>
      <c r="AK146" s="974"/>
      <c r="AL146" s="316"/>
      <c r="AM146" s="91"/>
      <c r="AN146" s="705" cm="1">
        <f t="array" ref="AN146">K146</f>
        <v>2034</v>
      </c>
      <c r="AO146" s="705" t="s">
        <v>2316</v>
      </c>
      <c r="AP146" s="715" cm="1">
        <f t="array" ref="AP146">AP145</f>
        <v>0</v>
      </c>
      <c r="AQ146" s="518"/>
      <c r="AR146" s="518"/>
    </row>
    <row r="147" spans="1:44" s="967" customFormat="1" ht="14.25" hidden="1" customHeight="1">
      <c r="A147" s="91"/>
      <c r="B147" s="353" t="b">
        <f t="shared" si="8"/>
        <v>0</v>
      </c>
      <c r="C147" s="91"/>
      <c r="D147" s="91"/>
      <c r="E147" s="518">
        <v>15</v>
      </c>
      <c r="F147" s="3" t="str" cm="1">
        <f t="array" aca="1" ref="F147" ca="1">OFFSET(E147,-1,1)</f>
        <v>2</v>
      </c>
      <c r="G147" s="36" cm="1">
        <f t="array" ref="G147">G146</f>
        <v>0</v>
      </c>
      <c r="H147" s="91"/>
      <c r="I147" s="91"/>
      <c r="J147" s="91"/>
      <c r="K147" s="91">
        <f>first_year+11</f>
        <v>2035</v>
      </c>
      <c r="L147" s="91"/>
      <c r="M147" s="91"/>
      <c r="N147" s="91"/>
      <c r="O147" s="91"/>
      <c r="P147" s="91"/>
      <c r="Q147" s="91"/>
      <c r="R147" s="91"/>
      <c r="S147" s="91"/>
      <c r="T147" s="365" t="b" cm="1">
        <f t="array" aca="1" ref="T147" ca="1">T146</f>
        <v>0</v>
      </c>
      <c r="U147" s="91"/>
      <c r="V147" s="91"/>
      <c r="W147" s="91"/>
      <c r="X147" s="1075"/>
      <c r="Y147" s="1075"/>
      <c r="Z147" s="1065"/>
      <c r="AA147" s="1124"/>
      <c r="AB147" s="187" t="str">
        <f t="shared" si="9"/>
        <v>2035 год</v>
      </c>
      <c r="AC147" s="320"/>
      <c r="AD147" s="973"/>
      <c r="AE147" s="972"/>
      <c r="AF147" s="972"/>
      <c r="AG147" s="973"/>
      <c r="AH147" s="972"/>
      <c r="AI147" s="973"/>
      <c r="AJ147" s="972"/>
      <c r="AK147" s="974"/>
      <c r="AL147" s="316"/>
      <c r="AM147" s="91"/>
      <c r="AN147" s="705" cm="1">
        <f t="array" ref="AN147">K147</f>
        <v>2035</v>
      </c>
      <c r="AO147" s="705" t="s">
        <v>2316</v>
      </c>
      <c r="AP147" s="715" cm="1">
        <f t="array" ref="AP147">AP146</f>
        <v>0</v>
      </c>
      <c r="AQ147" s="518"/>
      <c r="AR147" s="518"/>
    </row>
    <row r="148" spans="1:44" s="967" customFormat="1" ht="14.25" hidden="1" customHeight="1">
      <c r="A148" s="91"/>
      <c r="B148" s="353" t="b">
        <f t="shared" si="8"/>
        <v>0</v>
      </c>
      <c r="C148" s="91"/>
      <c r="D148" s="91"/>
      <c r="E148" s="518">
        <v>15</v>
      </c>
      <c r="F148" s="3" t="str" cm="1">
        <f t="array" aca="1" ref="F148" ca="1">OFFSET(E148,-1,1)</f>
        <v>2</v>
      </c>
      <c r="G148" s="36" cm="1">
        <f t="array" ref="G148">G147</f>
        <v>0</v>
      </c>
      <c r="H148" s="91"/>
      <c r="I148" s="91"/>
      <c r="J148" s="91"/>
      <c r="K148" s="91">
        <f>first_year+12</f>
        <v>2036</v>
      </c>
      <c r="L148" s="91"/>
      <c r="M148" s="91"/>
      <c r="N148" s="91"/>
      <c r="O148" s="91"/>
      <c r="P148" s="91"/>
      <c r="Q148" s="91"/>
      <c r="R148" s="91"/>
      <c r="S148" s="91"/>
      <c r="T148" s="365" t="b" cm="1">
        <f t="array" aca="1" ref="T148" ca="1">T147</f>
        <v>0</v>
      </c>
      <c r="U148" s="91"/>
      <c r="V148" s="91"/>
      <c r="W148" s="91"/>
      <c r="X148" s="1075"/>
      <c r="Y148" s="1075"/>
      <c r="Z148" s="1065"/>
      <c r="AA148" s="1124"/>
      <c r="AB148" s="187" t="str">
        <f t="shared" si="9"/>
        <v>2036 год</v>
      </c>
      <c r="AC148" s="320"/>
      <c r="AD148" s="973"/>
      <c r="AE148" s="972"/>
      <c r="AF148" s="972"/>
      <c r="AG148" s="973"/>
      <c r="AH148" s="972"/>
      <c r="AI148" s="973"/>
      <c r="AJ148" s="972"/>
      <c r="AK148" s="974"/>
      <c r="AL148" s="316"/>
      <c r="AM148" s="91"/>
      <c r="AN148" s="705" cm="1">
        <f t="array" ref="AN148">K148</f>
        <v>2036</v>
      </c>
      <c r="AO148" s="705" t="s">
        <v>2316</v>
      </c>
      <c r="AP148" s="715" cm="1">
        <f t="array" ref="AP148">AP147</f>
        <v>0</v>
      </c>
      <c r="AQ148" s="518"/>
      <c r="AR148" s="518"/>
    </row>
    <row r="149" spans="1:44" s="967" customFormat="1" ht="14.25" hidden="1" customHeight="1">
      <c r="A149" s="91"/>
      <c r="B149" s="353" t="b">
        <f t="shared" si="8"/>
        <v>0</v>
      </c>
      <c r="C149" s="91"/>
      <c r="D149" s="91"/>
      <c r="E149" s="518">
        <v>15</v>
      </c>
      <c r="F149" s="3" t="str" cm="1">
        <f t="array" aca="1" ref="F149" ca="1">OFFSET(E149,-1,1)</f>
        <v>2</v>
      </c>
      <c r="G149" s="36" cm="1">
        <f t="array" ref="G149">G148</f>
        <v>0</v>
      </c>
      <c r="H149" s="91"/>
      <c r="I149" s="91"/>
      <c r="J149" s="91"/>
      <c r="K149" s="91">
        <f>first_year+13</f>
        <v>2037</v>
      </c>
      <c r="L149" s="91"/>
      <c r="M149" s="91"/>
      <c r="N149" s="91"/>
      <c r="O149" s="91"/>
      <c r="P149" s="91"/>
      <c r="Q149" s="91"/>
      <c r="R149" s="91"/>
      <c r="S149" s="91"/>
      <c r="T149" s="365" t="b" cm="1">
        <f t="array" aca="1" ref="T149" ca="1">T148</f>
        <v>0</v>
      </c>
      <c r="U149" s="91"/>
      <c r="V149" s="91"/>
      <c r="W149" s="91"/>
      <c r="X149" s="1075"/>
      <c r="Y149" s="1075"/>
      <c r="Z149" s="1065"/>
      <c r="AA149" s="1124"/>
      <c r="AB149" s="187" t="str">
        <f t="shared" si="9"/>
        <v>2037 год</v>
      </c>
      <c r="AC149" s="320"/>
      <c r="AD149" s="973"/>
      <c r="AE149" s="972"/>
      <c r="AF149" s="972"/>
      <c r="AG149" s="973"/>
      <c r="AH149" s="972"/>
      <c r="AI149" s="973"/>
      <c r="AJ149" s="972"/>
      <c r="AK149" s="974"/>
      <c r="AL149" s="316"/>
      <c r="AM149" s="91"/>
      <c r="AN149" s="705" cm="1">
        <f t="array" ref="AN149">K149</f>
        <v>2037</v>
      </c>
      <c r="AO149" s="705" t="s">
        <v>2316</v>
      </c>
      <c r="AP149" s="715" cm="1">
        <f t="array" ref="AP149">AP148</f>
        <v>0</v>
      </c>
      <c r="AQ149" s="518"/>
      <c r="AR149" s="518"/>
    </row>
    <row r="150" spans="1:44" s="967" customFormat="1" ht="14.25" hidden="1" customHeight="1">
      <c r="A150" s="91"/>
      <c r="B150" s="353" t="b">
        <f t="shared" si="8"/>
        <v>0</v>
      </c>
      <c r="C150" s="91"/>
      <c r="D150" s="91"/>
      <c r="E150" s="518">
        <v>15</v>
      </c>
      <c r="F150" s="3" t="str" cm="1">
        <f t="array" aca="1" ref="F150" ca="1">OFFSET(E150,-1,1)</f>
        <v>2</v>
      </c>
      <c r="G150" s="36" cm="1">
        <f t="array" ref="G150">G149</f>
        <v>0</v>
      </c>
      <c r="H150" s="91"/>
      <c r="I150" s="91"/>
      <c r="J150" s="91"/>
      <c r="K150" s="91">
        <f>first_year+14</f>
        <v>2038</v>
      </c>
      <c r="L150" s="91"/>
      <c r="M150" s="91"/>
      <c r="N150" s="91"/>
      <c r="O150" s="91"/>
      <c r="P150" s="91"/>
      <c r="Q150" s="91"/>
      <c r="R150" s="91"/>
      <c r="S150" s="91"/>
      <c r="T150" s="365" t="b" cm="1">
        <f t="array" aca="1" ref="T150" ca="1">T149</f>
        <v>0</v>
      </c>
      <c r="U150" s="91"/>
      <c r="V150" s="91"/>
      <c r="W150" s="91"/>
      <c r="X150" s="1075"/>
      <c r="Y150" s="1075"/>
      <c r="Z150" s="1065"/>
      <c r="AA150" s="1124"/>
      <c r="AB150" s="187" t="str">
        <f t="shared" si="9"/>
        <v>2038 год</v>
      </c>
      <c r="AC150" s="320"/>
      <c r="AD150" s="973"/>
      <c r="AE150" s="972"/>
      <c r="AF150" s="972"/>
      <c r="AG150" s="973"/>
      <c r="AH150" s="972"/>
      <c r="AI150" s="973"/>
      <c r="AJ150" s="972"/>
      <c r="AK150" s="974"/>
      <c r="AL150" s="316"/>
      <c r="AM150" s="91"/>
      <c r="AN150" s="705" cm="1">
        <f t="array" ref="AN150">K150</f>
        <v>2038</v>
      </c>
      <c r="AO150" s="705" t="s">
        <v>2316</v>
      </c>
      <c r="AP150" s="715" cm="1">
        <f t="array" ref="AP150">AP149</f>
        <v>0</v>
      </c>
      <c r="AQ150" s="518"/>
      <c r="AR150" s="518"/>
    </row>
    <row r="151" spans="1:44" s="967" customFormat="1" ht="14.25" hidden="1" customHeight="1">
      <c r="A151" s="91"/>
      <c r="B151" s="353" t="b">
        <f t="shared" si="8"/>
        <v>0</v>
      </c>
      <c r="C151" s="91"/>
      <c r="D151" s="91"/>
      <c r="E151" s="518">
        <v>15</v>
      </c>
      <c r="F151" s="3" t="str" cm="1">
        <f t="array" aca="1" ref="F151" ca="1">OFFSET(E151,-1,1)</f>
        <v>2</v>
      </c>
      <c r="G151" s="36" cm="1">
        <f t="array" ref="G151">G150</f>
        <v>0</v>
      </c>
      <c r="H151" s="91"/>
      <c r="I151" s="91"/>
      <c r="J151" s="91"/>
      <c r="K151" s="91">
        <f>first_year+15</f>
        <v>2039</v>
      </c>
      <c r="L151" s="91"/>
      <c r="M151" s="91"/>
      <c r="N151" s="91"/>
      <c r="O151" s="91"/>
      <c r="P151" s="91"/>
      <c r="Q151" s="91"/>
      <c r="R151" s="91"/>
      <c r="S151" s="91"/>
      <c r="T151" s="365" t="b" cm="1">
        <f t="array" aca="1" ref="T151" ca="1">T150</f>
        <v>0</v>
      </c>
      <c r="U151" s="91"/>
      <c r="V151" s="91"/>
      <c r="W151" s="91"/>
      <c r="X151" s="1075"/>
      <c r="Y151" s="1075"/>
      <c r="Z151" s="1065"/>
      <c r="AA151" s="1124"/>
      <c r="AB151" s="187" t="str">
        <f t="shared" si="9"/>
        <v>2039 год</v>
      </c>
      <c r="AC151" s="320"/>
      <c r="AD151" s="973"/>
      <c r="AE151" s="972"/>
      <c r="AF151" s="972"/>
      <c r="AG151" s="973"/>
      <c r="AH151" s="972"/>
      <c r="AI151" s="973"/>
      <c r="AJ151" s="972"/>
      <c r="AK151" s="974"/>
      <c r="AL151" s="316"/>
      <c r="AM151" s="91"/>
      <c r="AN151" s="705" cm="1">
        <f t="array" ref="AN151">K151</f>
        <v>2039</v>
      </c>
      <c r="AO151" s="705" t="s">
        <v>2316</v>
      </c>
      <c r="AP151" s="715" cm="1">
        <f t="array" ref="AP151">AP150</f>
        <v>0</v>
      </c>
      <c r="AQ151" s="518"/>
      <c r="AR151" s="518"/>
    </row>
    <row r="152" spans="1:44" s="967" customFormat="1" ht="14.25" hidden="1" customHeight="1">
      <c r="A152" s="91"/>
      <c r="B152" s="353" t="b">
        <f t="shared" si="8"/>
        <v>0</v>
      </c>
      <c r="C152" s="91"/>
      <c r="D152" s="91"/>
      <c r="E152" s="518">
        <v>15</v>
      </c>
      <c r="F152" s="3" t="str" cm="1">
        <f t="array" aca="1" ref="F152" ca="1">OFFSET(E152,-1,1)</f>
        <v>2</v>
      </c>
      <c r="G152" s="36" cm="1">
        <f t="array" ref="G152">G151</f>
        <v>0</v>
      </c>
      <c r="H152" s="91"/>
      <c r="I152" s="91"/>
      <c r="J152" s="91"/>
      <c r="K152" s="91">
        <f>first_year+16</f>
        <v>2040</v>
      </c>
      <c r="L152" s="91"/>
      <c r="M152" s="91"/>
      <c r="N152" s="91"/>
      <c r="O152" s="91"/>
      <c r="P152" s="91"/>
      <c r="Q152" s="91"/>
      <c r="R152" s="91"/>
      <c r="S152" s="91"/>
      <c r="T152" s="365" t="b" cm="1">
        <f t="array" aca="1" ref="T152" ca="1">T151</f>
        <v>0</v>
      </c>
      <c r="U152" s="91"/>
      <c r="V152" s="91"/>
      <c r="W152" s="91"/>
      <c r="X152" s="1075"/>
      <c r="Y152" s="1075"/>
      <c r="Z152" s="1065"/>
      <c r="AA152" s="1124"/>
      <c r="AB152" s="187" t="str">
        <f t="shared" si="9"/>
        <v>2040 год</v>
      </c>
      <c r="AC152" s="320"/>
      <c r="AD152" s="973"/>
      <c r="AE152" s="972"/>
      <c r="AF152" s="972"/>
      <c r="AG152" s="973"/>
      <c r="AH152" s="972"/>
      <c r="AI152" s="973"/>
      <c r="AJ152" s="972"/>
      <c r="AK152" s="974"/>
      <c r="AL152" s="316"/>
      <c r="AM152" s="91"/>
      <c r="AN152" s="705" cm="1">
        <f t="array" ref="AN152">K152</f>
        <v>2040</v>
      </c>
      <c r="AO152" s="705" t="s">
        <v>2316</v>
      </c>
      <c r="AP152" s="715" cm="1">
        <f t="array" ref="AP152">AP151</f>
        <v>0</v>
      </c>
      <c r="AQ152" s="518"/>
      <c r="AR152" s="518"/>
    </row>
    <row r="153" spans="1:44" s="967" customFormat="1" ht="14.25" hidden="1" customHeight="1">
      <c r="A153" s="91"/>
      <c r="B153" s="353" t="b">
        <f t="shared" si="8"/>
        <v>0</v>
      </c>
      <c r="C153" s="91"/>
      <c r="D153" s="91"/>
      <c r="E153" s="518">
        <v>15</v>
      </c>
      <c r="F153" s="3" t="str" cm="1">
        <f t="array" aca="1" ref="F153" ca="1">OFFSET(E153,-1,1)</f>
        <v>2</v>
      </c>
      <c r="G153" s="36" cm="1">
        <f t="array" ref="G153">G152</f>
        <v>0</v>
      </c>
      <c r="H153" s="91"/>
      <c r="I153" s="91"/>
      <c r="J153" s="91"/>
      <c r="K153" s="91">
        <f>first_year+17</f>
        <v>2041</v>
      </c>
      <c r="L153" s="91"/>
      <c r="M153" s="91"/>
      <c r="N153" s="91"/>
      <c r="O153" s="91"/>
      <c r="P153" s="91"/>
      <c r="Q153" s="91"/>
      <c r="R153" s="91"/>
      <c r="S153" s="91"/>
      <c r="T153" s="365" t="b" cm="1">
        <f t="array" aca="1" ref="T153" ca="1">T152</f>
        <v>0</v>
      </c>
      <c r="U153" s="91"/>
      <c r="V153" s="91"/>
      <c r="W153" s="91"/>
      <c r="X153" s="1075"/>
      <c r="Y153" s="1075"/>
      <c r="Z153" s="1065"/>
      <c r="AA153" s="1124"/>
      <c r="AB153" s="187" t="str">
        <f t="shared" si="9"/>
        <v>2041 год</v>
      </c>
      <c r="AC153" s="320"/>
      <c r="AD153" s="973"/>
      <c r="AE153" s="972"/>
      <c r="AF153" s="972"/>
      <c r="AG153" s="973"/>
      <c r="AH153" s="972"/>
      <c r="AI153" s="973"/>
      <c r="AJ153" s="972"/>
      <c r="AK153" s="974"/>
      <c r="AL153" s="316"/>
      <c r="AM153" s="91"/>
      <c r="AN153" s="705" cm="1">
        <f t="array" ref="AN153">K153</f>
        <v>2041</v>
      </c>
      <c r="AO153" s="705" t="s">
        <v>2316</v>
      </c>
      <c r="AP153" s="715" cm="1">
        <f t="array" ref="AP153">AP152</f>
        <v>0</v>
      </c>
      <c r="AQ153" s="518"/>
      <c r="AR153" s="518"/>
    </row>
    <row r="154" spans="1:44" s="967" customFormat="1" ht="14.25" hidden="1" customHeight="1">
      <c r="A154" s="91"/>
      <c r="B154" s="353" t="b">
        <f t="shared" si="8"/>
        <v>0</v>
      </c>
      <c r="C154" s="91"/>
      <c r="D154" s="91"/>
      <c r="E154" s="518">
        <v>15</v>
      </c>
      <c r="F154" s="3" t="str" cm="1">
        <f t="array" aca="1" ref="F154" ca="1">OFFSET(E154,-1,1)</f>
        <v>2</v>
      </c>
      <c r="G154" s="36" cm="1">
        <f t="array" ref="G154">G153</f>
        <v>0</v>
      </c>
      <c r="H154" s="91"/>
      <c r="I154" s="91"/>
      <c r="J154" s="91"/>
      <c r="K154" s="91">
        <f>first_year+18</f>
        <v>2042</v>
      </c>
      <c r="L154" s="91"/>
      <c r="M154" s="91"/>
      <c r="N154" s="91"/>
      <c r="O154" s="91"/>
      <c r="P154" s="91"/>
      <c r="Q154" s="91"/>
      <c r="R154" s="91"/>
      <c r="S154" s="91"/>
      <c r="T154" s="365" t="b" cm="1">
        <f t="array" aca="1" ref="T154" ca="1">T153</f>
        <v>0</v>
      </c>
      <c r="U154" s="91"/>
      <c r="V154" s="91"/>
      <c r="W154" s="91"/>
      <c r="X154" s="1075"/>
      <c r="Y154" s="1075"/>
      <c r="Z154" s="1065"/>
      <c r="AA154" s="1124"/>
      <c r="AB154" s="187" t="str">
        <f t="shared" si="9"/>
        <v>2042 год</v>
      </c>
      <c r="AC154" s="320"/>
      <c r="AD154" s="973"/>
      <c r="AE154" s="972"/>
      <c r="AF154" s="972"/>
      <c r="AG154" s="973"/>
      <c r="AH154" s="972"/>
      <c r="AI154" s="973"/>
      <c r="AJ154" s="972"/>
      <c r="AK154" s="974"/>
      <c r="AL154" s="316"/>
      <c r="AM154" s="91"/>
      <c r="AN154" s="705" cm="1">
        <f t="array" ref="AN154">K154</f>
        <v>2042</v>
      </c>
      <c r="AO154" s="705" t="s">
        <v>2316</v>
      </c>
      <c r="AP154" s="715" cm="1">
        <f t="array" ref="AP154">AP153</f>
        <v>0</v>
      </c>
      <c r="AQ154" s="518"/>
      <c r="AR154" s="518"/>
    </row>
    <row r="155" spans="1:44" s="967" customFormat="1" ht="14.25" hidden="1" customHeight="1">
      <c r="A155" s="91"/>
      <c r="B155" s="353" t="b">
        <f t="shared" si="8"/>
        <v>0</v>
      </c>
      <c r="C155" s="91"/>
      <c r="D155" s="91"/>
      <c r="E155" s="518">
        <v>15</v>
      </c>
      <c r="F155" s="3" t="str" cm="1">
        <f t="array" aca="1" ref="F155" ca="1">OFFSET(E155,-1,1)</f>
        <v>2</v>
      </c>
      <c r="G155" s="36" cm="1">
        <f t="array" ref="G155">G154</f>
        <v>0</v>
      </c>
      <c r="H155" s="91"/>
      <c r="I155" s="91"/>
      <c r="J155" s="91"/>
      <c r="K155" s="91">
        <f>first_year+19</f>
        <v>2043</v>
      </c>
      <c r="L155" s="91"/>
      <c r="M155" s="91"/>
      <c r="N155" s="91"/>
      <c r="O155" s="91"/>
      <c r="P155" s="91"/>
      <c r="Q155" s="91"/>
      <c r="R155" s="91"/>
      <c r="S155" s="91"/>
      <c r="T155" s="365" t="b" cm="1">
        <f t="array" aca="1" ref="T155" ca="1">T154</f>
        <v>0</v>
      </c>
      <c r="U155" s="91"/>
      <c r="V155" s="91"/>
      <c r="W155" s="91"/>
      <c r="X155" s="1075"/>
      <c r="Y155" s="1075"/>
      <c r="Z155" s="1065"/>
      <c r="AA155" s="1124"/>
      <c r="AB155" s="187" t="str">
        <f t="shared" si="9"/>
        <v>2043 год</v>
      </c>
      <c r="AC155" s="320"/>
      <c r="AD155" s="973"/>
      <c r="AE155" s="972"/>
      <c r="AF155" s="972"/>
      <c r="AG155" s="973"/>
      <c r="AH155" s="972"/>
      <c r="AI155" s="973"/>
      <c r="AJ155" s="972"/>
      <c r="AK155" s="974"/>
      <c r="AL155" s="316"/>
      <c r="AM155" s="91"/>
      <c r="AN155" s="705" cm="1">
        <f t="array" ref="AN155">K155</f>
        <v>2043</v>
      </c>
      <c r="AO155" s="705" t="s">
        <v>2316</v>
      </c>
      <c r="AP155" s="715" cm="1">
        <f t="array" ref="AP155">AP154</f>
        <v>0</v>
      </c>
      <c r="AQ155" s="518"/>
      <c r="AR155" s="518"/>
    </row>
    <row r="156" spans="1:44" s="967" customFormat="1" ht="14.25" hidden="1" customHeight="1">
      <c r="A156" s="91"/>
      <c r="B156" s="353" t="b">
        <f t="shared" si="8"/>
        <v>0</v>
      </c>
      <c r="C156" s="91"/>
      <c r="D156" s="91"/>
      <c r="E156" s="518">
        <v>15</v>
      </c>
      <c r="F156" s="3" t="str" cm="1">
        <f t="array" aca="1" ref="F156" ca="1">OFFSET(E156,-1,1)</f>
        <v>2</v>
      </c>
      <c r="G156" s="36" cm="1">
        <f t="array" ref="G156">G155</f>
        <v>0</v>
      </c>
      <c r="H156" s="91"/>
      <c r="I156" s="91"/>
      <c r="J156" s="91"/>
      <c r="K156" s="91">
        <f>first_year+20</f>
        <v>2044</v>
      </c>
      <c r="L156" s="91"/>
      <c r="M156" s="91"/>
      <c r="N156" s="91"/>
      <c r="O156" s="91"/>
      <c r="P156" s="91"/>
      <c r="Q156" s="91"/>
      <c r="R156" s="91"/>
      <c r="S156" s="91"/>
      <c r="T156" s="365" t="b" cm="1">
        <f t="array" aca="1" ref="T156" ca="1">T155</f>
        <v>0</v>
      </c>
      <c r="U156" s="91"/>
      <c r="V156" s="91"/>
      <c r="W156" s="91"/>
      <c r="X156" s="1075"/>
      <c r="Y156" s="1075"/>
      <c r="Z156" s="1065"/>
      <c r="AA156" s="1124"/>
      <c r="AB156" s="187" t="str">
        <f t="shared" si="9"/>
        <v>2044 год</v>
      </c>
      <c r="AC156" s="320"/>
      <c r="AD156" s="973"/>
      <c r="AE156" s="972"/>
      <c r="AF156" s="972"/>
      <c r="AG156" s="973"/>
      <c r="AH156" s="972"/>
      <c r="AI156" s="973"/>
      <c r="AJ156" s="972"/>
      <c r="AK156" s="974"/>
      <c r="AL156" s="316"/>
      <c r="AM156" s="91"/>
      <c r="AN156" s="705" cm="1">
        <f t="array" ref="AN156">K156</f>
        <v>2044</v>
      </c>
      <c r="AO156" s="705" t="s">
        <v>2316</v>
      </c>
      <c r="AP156" s="715" cm="1">
        <f t="array" ref="AP156">AP155</f>
        <v>0</v>
      </c>
      <c r="AQ156" s="518"/>
      <c r="AR156" s="518"/>
    </row>
    <row r="157" spans="1:44" s="967" customFormat="1" ht="14.25" hidden="1" customHeight="1">
      <c r="A157" s="91"/>
      <c r="B157" s="353" t="b">
        <f t="shared" si="8"/>
        <v>0</v>
      </c>
      <c r="C157" s="91"/>
      <c r="D157" s="91"/>
      <c r="E157" s="518">
        <v>15</v>
      </c>
      <c r="F157" s="3" t="str" cm="1">
        <f t="array" aca="1" ref="F157" ca="1">OFFSET(E157,-1,1)</f>
        <v>2</v>
      </c>
      <c r="G157" s="36" cm="1">
        <f t="array" ref="G157">G156</f>
        <v>0</v>
      </c>
      <c r="H157" s="91"/>
      <c r="I157" s="91"/>
      <c r="J157" s="91"/>
      <c r="K157" s="91">
        <f>first_year+21</f>
        <v>2045</v>
      </c>
      <c r="L157" s="91"/>
      <c r="M157" s="91"/>
      <c r="N157" s="91"/>
      <c r="O157" s="91"/>
      <c r="P157" s="91"/>
      <c r="Q157" s="91"/>
      <c r="R157" s="91"/>
      <c r="S157" s="91"/>
      <c r="T157" s="365" t="b" cm="1">
        <f t="array" aca="1" ref="T157" ca="1">T156</f>
        <v>0</v>
      </c>
      <c r="U157" s="91"/>
      <c r="V157" s="91"/>
      <c r="W157" s="91"/>
      <c r="X157" s="1075"/>
      <c r="Y157" s="1075"/>
      <c r="Z157" s="1065"/>
      <c r="AA157" s="1124"/>
      <c r="AB157" s="187" t="str">
        <f t="shared" si="9"/>
        <v>2045 год</v>
      </c>
      <c r="AC157" s="320"/>
      <c r="AD157" s="973"/>
      <c r="AE157" s="972"/>
      <c r="AF157" s="972"/>
      <c r="AG157" s="973"/>
      <c r="AH157" s="972"/>
      <c r="AI157" s="973"/>
      <c r="AJ157" s="972"/>
      <c r="AK157" s="974"/>
      <c r="AL157" s="316"/>
      <c r="AM157" s="91"/>
      <c r="AN157" s="705" cm="1">
        <f t="array" ref="AN157">K157</f>
        <v>2045</v>
      </c>
      <c r="AO157" s="705" t="s">
        <v>2316</v>
      </c>
      <c r="AP157" s="715" cm="1">
        <f t="array" ref="AP157">AP156</f>
        <v>0</v>
      </c>
      <c r="AQ157" s="518"/>
      <c r="AR157" s="518"/>
    </row>
    <row r="158" spans="1:44" s="967" customFormat="1" ht="14.25" hidden="1" customHeight="1">
      <c r="A158" s="91"/>
      <c r="B158" s="353" t="b">
        <f t="shared" si="8"/>
        <v>0</v>
      </c>
      <c r="C158" s="91"/>
      <c r="D158" s="91"/>
      <c r="E158" s="518">
        <v>15</v>
      </c>
      <c r="F158" s="3" t="str" cm="1">
        <f t="array" aca="1" ref="F158" ca="1">OFFSET(E158,-1,1)</f>
        <v>2</v>
      </c>
      <c r="G158" s="36" cm="1">
        <f t="array" ref="G158">G157</f>
        <v>0</v>
      </c>
      <c r="H158" s="91"/>
      <c r="I158" s="91"/>
      <c r="J158" s="91"/>
      <c r="K158" s="91">
        <f>first_year+22</f>
        <v>2046</v>
      </c>
      <c r="L158" s="91"/>
      <c r="M158" s="91"/>
      <c r="N158" s="91"/>
      <c r="O158" s="91"/>
      <c r="P158" s="91"/>
      <c r="Q158" s="91"/>
      <c r="R158" s="91"/>
      <c r="S158" s="91"/>
      <c r="T158" s="365" t="b" cm="1">
        <f t="array" aca="1" ref="T158" ca="1">T157</f>
        <v>0</v>
      </c>
      <c r="U158" s="91"/>
      <c r="V158" s="91"/>
      <c r="W158" s="91"/>
      <c r="X158" s="1075"/>
      <c r="Y158" s="1075"/>
      <c r="Z158" s="1065"/>
      <c r="AA158" s="1124"/>
      <c r="AB158" s="187" t="str">
        <f t="shared" si="9"/>
        <v>2046 год</v>
      </c>
      <c r="AC158" s="320"/>
      <c r="AD158" s="973"/>
      <c r="AE158" s="972"/>
      <c r="AF158" s="972"/>
      <c r="AG158" s="973"/>
      <c r="AH158" s="972"/>
      <c r="AI158" s="973"/>
      <c r="AJ158" s="972"/>
      <c r="AK158" s="974"/>
      <c r="AL158" s="316"/>
      <c r="AM158" s="91"/>
      <c r="AN158" s="705" cm="1">
        <f t="array" ref="AN158">K158</f>
        <v>2046</v>
      </c>
      <c r="AO158" s="705" t="s">
        <v>2316</v>
      </c>
      <c r="AP158" s="715" cm="1">
        <f t="array" ref="AP158">AP157</f>
        <v>0</v>
      </c>
      <c r="AQ158" s="518"/>
      <c r="AR158" s="518"/>
    </row>
    <row r="159" spans="1:44" s="967" customFormat="1" ht="14.25" hidden="1" customHeight="1">
      <c r="A159" s="91"/>
      <c r="B159" s="353" t="b">
        <f t="shared" si="8"/>
        <v>0</v>
      </c>
      <c r="C159" s="91"/>
      <c r="D159" s="91"/>
      <c r="E159" s="518">
        <v>15</v>
      </c>
      <c r="F159" s="3" t="str" cm="1">
        <f t="array" aca="1" ref="F159" ca="1">OFFSET(E159,-1,1)</f>
        <v>2</v>
      </c>
      <c r="G159" s="36" cm="1">
        <f t="array" ref="G159">G158</f>
        <v>0</v>
      </c>
      <c r="H159" s="91"/>
      <c r="I159" s="91"/>
      <c r="J159" s="91"/>
      <c r="K159" s="91">
        <f>first_year+23</f>
        <v>2047</v>
      </c>
      <c r="L159" s="91"/>
      <c r="M159" s="91"/>
      <c r="N159" s="91"/>
      <c r="O159" s="91"/>
      <c r="P159" s="91"/>
      <c r="Q159" s="91"/>
      <c r="R159" s="91"/>
      <c r="S159" s="91"/>
      <c r="T159" s="365" t="b" cm="1">
        <f t="array" aca="1" ref="T159" ca="1">T158</f>
        <v>0</v>
      </c>
      <c r="U159" s="91"/>
      <c r="V159" s="91"/>
      <c r="W159" s="91"/>
      <c r="X159" s="1075"/>
      <c r="Y159" s="1075"/>
      <c r="Z159" s="1065"/>
      <c r="AA159" s="1124"/>
      <c r="AB159" s="187" t="str">
        <f t="shared" si="9"/>
        <v>2047 год</v>
      </c>
      <c r="AC159" s="320"/>
      <c r="AD159" s="973"/>
      <c r="AE159" s="972"/>
      <c r="AF159" s="972"/>
      <c r="AG159" s="973"/>
      <c r="AH159" s="972"/>
      <c r="AI159" s="973"/>
      <c r="AJ159" s="972"/>
      <c r="AK159" s="974"/>
      <c r="AL159" s="316"/>
      <c r="AM159" s="91"/>
      <c r="AN159" s="705" cm="1">
        <f t="array" ref="AN159">K159</f>
        <v>2047</v>
      </c>
      <c r="AO159" s="705" t="s">
        <v>2316</v>
      </c>
      <c r="AP159" s="715" cm="1">
        <f t="array" ref="AP159">AP158</f>
        <v>0</v>
      </c>
      <c r="AQ159" s="518"/>
      <c r="AR159" s="518"/>
    </row>
    <row r="160" spans="1:44" s="967" customFormat="1" ht="14.25" hidden="1" customHeight="1">
      <c r="A160" s="91"/>
      <c r="B160" s="353" t="b">
        <f t="shared" si="8"/>
        <v>0</v>
      </c>
      <c r="C160" s="91"/>
      <c r="D160" s="91"/>
      <c r="E160" s="518">
        <v>15</v>
      </c>
      <c r="F160" s="3" t="str" cm="1">
        <f t="array" aca="1" ref="F160" ca="1">OFFSET(E160,-1,1)</f>
        <v>2</v>
      </c>
      <c r="G160" s="36" cm="1">
        <f t="array" ref="G160">G159</f>
        <v>0</v>
      </c>
      <c r="H160" s="91"/>
      <c r="I160" s="91"/>
      <c r="J160" s="91"/>
      <c r="K160" s="91">
        <f>first_year+24</f>
        <v>2048</v>
      </c>
      <c r="L160" s="91"/>
      <c r="M160" s="91"/>
      <c r="N160" s="91"/>
      <c r="O160" s="91"/>
      <c r="P160" s="91"/>
      <c r="Q160" s="91"/>
      <c r="R160" s="91"/>
      <c r="S160" s="91"/>
      <c r="T160" s="365" t="b" cm="1">
        <f t="array" aca="1" ref="T160" ca="1">T159</f>
        <v>0</v>
      </c>
      <c r="U160" s="91"/>
      <c r="V160" s="91"/>
      <c r="W160" s="91"/>
      <c r="X160" s="1075"/>
      <c r="Y160" s="1075"/>
      <c r="Z160" s="1065"/>
      <c r="AA160" s="1124"/>
      <c r="AB160" s="187" t="str">
        <f t="shared" si="9"/>
        <v>2048 год</v>
      </c>
      <c r="AC160" s="320"/>
      <c r="AD160" s="973"/>
      <c r="AE160" s="972"/>
      <c r="AF160" s="972"/>
      <c r="AG160" s="973"/>
      <c r="AH160" s="972"/>
      <c r="AI160" s="973"/>
      <c r="AJ160" s="972"/>
      <c r="AK160" s="974"/>
      <c r="AL160" s="316"/>
      <c r="AM160" s="91"/>
      <c r="AN160" s="705" cm="1">
        <f t="array" ref="AN160">K160</f>
        <v>2048</v>
      </c>
      <c r="AO160" s="705" t="s">
        <v>2316</v>
      </c>
      <c r="AP160" s="715" cm="1">
        <f t="array" ref="AP160">AP159</f>
        <v>0</v>
      </c>
      <c r="AQ160" s="518"/>
      <c r="AR160" s="518"/>
    </row>
    <row r="161" spans="1:44" s="967" customFormat="1" ht="14.25" hidden="1" customHeight="1">
      <c r="A161" s="91"/>
      <c r="B161" s="353" t="b">
        <f t="shared" si="8"/>
        <v>0</v>
      </c>
      <c r="C161" s="91"/>
      <c r="D161" s="91"/>
      <c r="E161" s="518">
        <v>15</v>
      </c>
      <c r="F161" s="3" t="str" cm="1">
        <f t="array" aca="1" ref="F161" ca="1">OFFSET(E161,-1,1)</f>
        <v>2</v>
      </c>
      <c r="G161" s="36" cm="1">
        <f t="array" ref="G161">G160</f>
        <v>0</v>
      </c>
      <c r="H161" s="91"/>
      <c r="I161" s="91"/>
      <c r="J161" s="91"/>
      <c r="K161" s="91">
        <f>first_year+25</f>
        <v>2049</v>
      </c>
      <c r="L161" s="91"/>
      <c r="M161" s="91"/>
      <c r="N161" s="91"/>
      <c r="O161" s="91"/>
      <c r="P161" s="91"/>
      <c r="Q161" s="91"/>
      <c r="R161" s="91"/>
      <c r="S161" s="91"/>
      <c r="T161" s="365" t="b" cm="1">
        <f t="array" aca="1" ref="T161" ca="1">T160</f>
        <v>0</v>
      </c>
      <c r="U161" s="91"/>
      <c r="V161" s="91"/>
      <c r="W161" s="91"/>
      <c r="X161" s="1075"/>
      <c r="Y161" s="1075"/>
      <c r="Z161" s="1065"/>
      <c r="AA161" s="1124"/>
      <c r="AB161" s="187" t="str">
        <f t="shared" si="9"/>
        <v>2049 год</v>
      </c>
      <c r="AC161" s="320"/>
      <c r="AD161" s="973"/>
      <c r="AE161" s="972"/>
      <c r="AF161" s="972"/>
      <c r="AG161" s="973"/>
      <c r="AH161" s="972"/>
      <c r="AI161" s="973"/>
      <c r="AJ161" s="972"/>
      <c r="AK161" s="974"/>
      <c r="AL161" s="316"/>
      <c r="AM161" s="91"/>
      <c r="AN161" s="705" cm="1">
        <f t="array" ref="AN161">K161</f>
        <v>2049</v>
      </c>
      <c r="AO161" s="705" t="s">
        <v>2316</v>
      </c>
      <c r="AP161" s="715" cm="1">
        <f t="array" ref="AP161">AP160</f>
        <v>0</v>
      </c>
      <c r="AQ161" s="518"/>
      <c r="AR161" s="518"/>
    </row>
    <row r="162" spans="1:44" s="967" customFormat="1" ht="14.25" hidden="1" customHeight="1">
      <c r="A162" s="91"/>
      <c r="B162" s="353" t="b">
        <f t="shared" si="8"/>
        <v>0</v>
      </c>
      <c r="C162" s="91"/>
      <c r="D162" s="91"/>
      <c r="E162" s="518">
        <v>15</v>
      </c>
      <c r="F162" s="3" t="str" cm="1">
        <f t="array" aca="1" ref="F162" ca="1">OFFSET(E162,-1,1)</f>
        <v>2</v>
      </c>
      <c r="G162" s="36" cm="1">
        <f t="array" ref="G162">G161</f>
        <v>0</v>
      </c>
      <c r="H162" s="91"/>
      <c r="I162" s="91"/>
      <c r="J162" s="91"/>
      <c r="K162" s="91">
        <f>first_year+26</f>
        <v>2050</v>
      </c>
      <c r="L162" s="91"/>
      <c r="M162" s="91"/>
      <c r="N162" s="91"/>
      <c r="O162" s="91"/>
      <c r="P162" s="91"/>
      <c r="Q162" s="91"/>
      <c r="R162" s="91"/>
      <c r="S162" s="91"/>
      <c r="T162" s="365" t="b" cm="1">
        <f t="array" aca="1" ref="T162" ca="1">T161</f>
        <v>0</v>
      </c>
      <c r="U162" s="91"/>
      <c r="V162" s="91"/>
      <c r="W162" s="91"/>
      <c r="X162" s="1075"/>
      <c r="Y162" s="1075"/>
      <c r="Z162" s="1065"/>
      <c r="AA162" s="1124"/>
      <c r="AB162" s="187" t="str">
        <f t="shared" si="9"/>
        <v>2050 год</v>
      </c>
      <c r="AC162" s="320"/>
      <c r="AD162" s="973"/>
      <c r="AE162" s="972"/>
      <c r="AF162" s="972"/>
      <c r="AG162" s="973"/>
      <c r="AH162" s="972"/>
      <c r="AI162" s="973"/>
      <c r="AJ162" s="972"/>
      <c r="AK162" s="974"/>
      <c r="AL162" s="316"/>
      <c r="AM162" s="91"/>
      <c r="AN162" s="705" cm="1">
        <f t="array" ref="AN162">K162</f>
        <v>2050</v>
      </c>
      <c r="AO162" s="705" t="s">
        <v>2316</v>
      </c>
      <c r="AP162" s="715" cm="1">
        <f t="array" ref="AP162">AP161</f>
        <v>0</v>
      </c>
      <c r="AQ162" s="518"/>
      <c r="AR162" s="518"/>
    </row>
    <row r="163" spans="1:44" s="967" customFormat="1" ht="14.25" hidden="1" customHeight="1">
      <c r="A163" s="91"/>
      <c r="B163" s="353" t="b">
        <f t="shared" si="8"/>
        <v>0</v>
      </c>
      <c r="C163" s="91"/>
      <c r="D163" s="91"/>
      <c r="E163" s="518">
        <v>15</v>
      </c>
      <c r="F163" s="3" t="str" cm="1">
        <f t="array" aca="1" ref="F163" ca="1">OFFSET(E163,-1,1)</f>
        <v>2</v>
      </c>
      <c r="G163" s="36" cm="1">
        <f t="array" ref="G163">G162</f>
        <v>0</v>
      </c>
      <c r="H163" s="91"/>
      <c r="I163" s="91"/>
      <c r="J163" s="91"/>
      <c r="K163" s="91">
        <f>first_year+27</f>
        <v>2051</v>
      </c>
      <c r="L163" s="91"/>
      <c r="M163" s="91"/>
      <c r="N163" s="91"/>
      <c r="O163" s="91"/>
      <c r="P163" s="91"/>
      <c r="Q163" s="91"/>
      <c r="R163" s="91"/>
      <c r="S163" s="91"/>
      <c r="T163" s="365" t="b" cm="1">
        <f t="array" aca="1" ref="T163" ca="1">T162</f>
        <v>0</v>
      </c>
      <c r="U163" s="91"/>
      <c r="V163" s="91"/>
      <c r="W163" s="91"/>
      <c r="X163" s="1075"/>
      <c r="Y163" s="1075"/>
      <c r="Z163" s="1065"/>
      <c r="AA163" s="1124"/>
      <c r="AB163" s="187" t="str">
        <f t="shared" si="9"/>
        <v>2051 год</v>
      </c>
      <c r="AC163" s="320"/>
      <c r="AD163" s="973"/>
      <c r="AE163" s="972"/>
      <c r="AF163" s="972"/>
      <c r="AG163" s="973"/>
      <c r="AH163" s="972"/>
      <c r="AI163" s="973"/>
      <c r="AJ163" s="972"/>
      <c r="AK163" s="974"/>
      <c r="AL163" s="316"/>
      <c r="AM163" s="91"/>
      <c r="AN163" s="705" cm="1">
        <f t="array" ref="AN163">K163</f>
        <v>2051</v>
      </c>
      <c r="AO163" s="705" t="s">
        <v>2316</v>
      </c>
      <c r="AP163" s="715" cm="1">
        <f t="array" ref="AP163">AP162</f>
        <v>0</v>
      </c>
      <c r="AQ163" s="518"/>
      <c r="AR163" s="518"/>
    </row>
    <row r="164" spans="1:44" s="967" customFormat="1" ht="14.25" hidden="1" customHeight="1">
      <c r="A164" s="91"/>
      <c r="B164" s="353" t="b">
        <f t="shared" si="8"/>
        <v>0</v>
      </c>
      <c r="C164" s="91"/>
      <c r="D164" s="91"/>
      <c r="E164" s="518">
        <v>15</v>
      </c>
      <c r="F164" s="3" t="str" cm="1">
        <f t="array" aca="1" ref="F164" ca="1">OFFSET(E164,-1,1)</f>
        <v>2</v>
      </c>
      <c r="G164" s="36" cm="1">
        <f t="array" ref="G164">G163</f>
        <v>0</v>
      </c>
      <c r="H164" s="91"/>
      <c r="I164" s="91"/>
      <c r="J164" s="91"/>
      <c r="K164" s="91">
        <f>first_year+28</f>
        <v>2052</v>
      </c>
      <c r="L164" s="91"/>
      <c r="M164" s="91"/>
      <c r="N164" s="91"/>
      <c r="O164" s="91"/>
      <c r="P164" s="91"/>
      <c r="Q164" s="91"/>
      <c r="R164" s="91"/>
      <c r="S164" s="91"/>
      <c r="T164" s="365" t="b" cm="1">
        <f t="array" aca="1" ref="T164" ca="1">T163</f>
        <v>0</v>
      </c>
      <c r="U164" s="91"/>
      <c r="V164" s="91"/>
      <c r="W164" s="91"/>
      <c r="X164" s="1075"/>
      <c r="Y164" s="1075"/>
      <c r="Z164" s="1065"/>
      <c r="AA164" s="1124"/>
      <c r="AB164" s="187" t="str">
        <f t="shared" si="9"/>
        <v>2052 год</v>
      </c>
      <c r="AC164" s="320"/>
      <c r="AD164" s="973"/>
      <c r="AE164" s="972"/>
      <c r="AF164" s="972"/>
      <c r="AG164" s="973"/>
      <c r="AH164" s="972"/>
      <c r="AI164" s="973"/>
      <c r="AJ164" s="972"/>
      <c r="AK164" s="974"/>
      <c r="AL164" s="316"/>
      <c r="AM164" s="91"/>
      <c r="AN164" s="705" cm="1">
        <f t="array" ref="AN164">K164</f>
        <v>2052</v>
      </c>
      <c r="AO164" s="705" t="s">
        <v>2316</v>
      </c>
      <c r="AP164" s="715" cm="1">
        <f t="array" ref="AP164">AP163</f>
        <v>0</v>
      </c>
      <c r="AQ164" s="518"/>
      <c r="AR164" s="518"/>
    </row>
    <row r="165" spans="1:44" s="967" customFormat="1" ht="14.25" hidden="1" customHeight="1">
      <c r="A165" s="91"/>
      <c r="B165" s="353" t="b">
        <f t="shared" si="8"/>
        <v>0</v>
      </c>
      <c r="C165" s="91"/>
      <c r="D165" s="91"/>
      <c r="E165" s="518">
        <v>15</v>
      </c>
      <c r="F165" s="3" t="str" cm="1">
        <f t="array" aca="1" ref="F165" ca="1">OFFSET(E165,-1,1)</f>
        <v>2</v>
      </c>
      <c r="G165" s="36" cm="1">
        <f t="array" ref="G165">G164</f>
        <v>0</v>
      </c>
      <c r="H165" s="91"/>
      <c r="I165" s="91"/>
      <c r="J165" s="91"/>
      <c r="K165" s="91">
        <f>first_year+29</f>
        <v>2053</v>
      </c>
      <c r="L165" s="91"/>
      <c r="M165" s="91"/>
      <c r="N165" s="91"/>
      <c r="O165" s="91"/>
      <c r="P165" s="91"/>
      <c r="Q165" s="91"/>
      <c r="R165" s="91"/>
      <c r="S165" s="91"/>
      <c r="T165" s="365" t="b" cm="1">
        <f t="array" aca="1" ref="T165" ca="1">T164</f>
        <v>0</v>
      </c>
      <c r="U165" s="91"/>
      <c r="V165" s="91"/>
      <c r="W165" s="91"/>
      <c r="X165" s="1075"/>
      <c r="Y165" s="1075"/>
      <c r="Z165" s="1065"/>
      <c r="AA165" s="1124"/>
      <c r="AB165" s="187" t="str">
        <f t="shared" si="9"/>
        <v>2053 год</v>
      </c>
      <c r="AC165" s="320"/>
      <c r="AD165" s="973"/>
      <c r="AE165" s="972"/>
      <c r="AF165" s="972"/>
      <c r="AG165" s="973"/>
      <c r="AH165" s="972"/>
      <c r="AI165" s="973"/>
      <c r="AJ165" s="972"/>
      <c r="AK165" s="974"/>
      <c r="AL165" s="316"/>
      <c r="AM165" s="91"/>
      <c r="AN165" s="705" cm="1">
        <f t="array" ref="AN165">K165</f>
        <v>2053</v>
      </c>
      <c r="AO165" s="705" t="s">
        <v>2316</v>
      </c>
      <c r="AP165" s="715" cm="1">
        <f t="array" ref="AP165">AP164</f>
        <v>0</v>
      </c>
      <c r="AQ165" s="518"/>
      <c r="AR165" s="518"/>
    </row>
    <row r="166" spans="1:44" s="967" customFormat="1" ht="14.25" hidden="1" customHeight="1">
      <c r="A166" s="91"/>
      <c r="B166" s="353" t="b">
        <f t="shared" si="8"/>
        <v>0</v>
      </c>
      <c r="C166" s="91"/>
      <c r="D166" s="91"/>
      <c r="E166" s="518">
        <v>15</v>
      </c>
      <c r="F166" s="3" t="str" cm="1">
        <f t="array" aca="1" ref="F166" ca="1">OFFSET(E166,-1,1)</f>
        <v>2</v>
      </c>
      <c r="G166" s="36" cm="1">
        <f t="array" ref="G166">G165</f>
        <v>0</v>
      </c>
      <c r="H166" s="91"/>
      <c r="I166" s="91"/>
      <c r="J166" s="91"/>
      <c r="K166" s="91">
        <f>first_year+30</f>
        <v>2054</v>
      </c>
      <c r="L166" s="91"/>
      <c r="M166" s="91"/>
      <c r="N166" s="91"/>
      <c r="O166" s="91"/>
      <c r="P166" s="91"/>
      <c r="Q166" s="91"/>
      <c r="R166" s="91"/>
      <c r="S166" s="91"/>
      <c r="T166" s="365" t="b" cm="1">
        <f t="array" aca="1" ref="T166" ca="1">T165</f>
        <v>0</v>
      </c>
      <c r="U166" s="91"/>
      <c r="V166" s="91"/>
      <c r="W166" s="91"/>
      <c r="X166" s="1075"/>
      <c r="Y166" s="1075"/>
      <c r="Z166" s="1065"/>
      <c r="AA166" s="1124"/>
      <c r="AB166" s="187" t="str">
        <f t="shared" si="9"/>
        <v>2054 год</v>
      </c>
      <c r="AC166" s="320"/>
      <c r="AD166" s="973"/>
      <c r="AE166" s="972"/>
      <c r="AF166" s="972"/>
      <c r="AG166" s="973"/>
      <c r="AH166" s="972"/>
      <c r="AI166" s="973"/>
      <c r="AJ166" s="972"/>
      <c r="AK166" s="974"/>
      <c r="AL166" s="316"/>
      <c r="AM166" s="91"/>
      <c r="AN166" s="705" cm="1">
        <f t="array" ref="AN166">K166</f>
        <v>2054</v>
      </c>
      <c r="AO166" s="705" t="s">
        <v>2316</v>
      </c>
      <c r="AP166" s="715" cm="1">
        <f t="array" ref="AP166">AP165</f>
        <v>0</v>
      </c>
      <c r="AQ166" s="518"/>
      <c r="AR166" s="518"/>
    </row>
    <row r="167" spans="1:44" s="967" customFormat="1" ht="14.25" hidden="1" customHeight="1">
      <c r="A167" s="91"/>
      <c r="B167" s="353" t="b">
        <f t="shared" si="8"/>
        <v>0</v>
      </c>
      <c r="C167" s="91"/>
      <c r="D167" s="91"/>
      <c r="E167" s="518">
        <v>15</v>
      </c>
      <c r="F167" s="3" t="str" cm="1">
        <f t="array" aca="1" ref="F167" ca="1">OFFSET(E167,-1,1)</f>
        <v>2</v>
      </c>
      <c r="G167" s="36" cm="1">
        <f t="array" ref="G167">G166</f>
        <v>0</v>
      </c>
      <c r="H167" s="91"/>
      <c r="I167" s="91"/>
      <c r="J167" s="91"/>
      <c r="K167" s="91">
        <f>first_year+31</f>
        <v>2055</v>
      </c>
      <c r="L167" s="91"/>
      <c r="M167" s="91"/>
      <c r="N167" s="91"/>
      <c r="O167" s="91"/>
      <c r="P167" s="91"/>
      <c r="Q167" s="91"/>
      <c r="R167" s="91"/>
      <c r="S167" s="91"/>
      <c r="T167" s="365" t="b" cm="1">
        <f t="array" aca="1" ref="T167" ca="1">T166</f>
        <v>0</v>
      </c>
      <c r="U167" s="91"/>
      <c r="V167" s="91"/>
      <c r="W167" s="91"/>
      <c r="X167" s="1075"/>
      <c r="Y167" s="1075"/>
      <c r="Z167" s="1065"/>
      <c r="AA167" s="1124"/>
      <c r="AB167" s="187" t="str">
        <f t="shared" si="9"/>
        <v>2055 год</v>
      </c>
      <c r="AC167" s="320"/>
      <c r="AD167" s="973"/>
      <c r="AE167" s="972"/>
      <c r="AF167" s="972"/>
      <c r="AG167" s="973"/>
      <c r="AH167" s="972"/>
      <c r="AI167" s="973"/>
      <c r="AJ167" s="972"/>
      <c r="AK167" s="974"/>
      <c r="AL167" s="316"/>
      <c r="AM167" s="91"/>
      <c r="AN167" s="705" cm="1">
        <f t="array" ref="AN167">K167</f>
        <v>2055</v>
      </c>
      <c r="AO167" s="705" t="s">
        <v>2316</v>
      </c>
      <c r="AP167" s="715" cm="1">
        <f t="array" ref="AP167">AP166</f>
        <v>0</v>
      </c>
      <c r="AQ167" s="518"/>
      <c r="AR167" s="518"/>
    </row>
    <row r="168" spans="1:44" s="967" customFormat="1" ht="14.25" hidden="1" customHeight="1">
      <c r="A168" s="91"/>
      <c r="B168" s="353" t="b">
        <f t="shared" ref="B168:B185" si="10">K168&lt;first_year+PERIOD_LENGTH</f>
        <v>0</v>
      </c>
      <c r="C168" s="91"/>
      <c r="D168" s="91"/>
      <c r="E168" s="518">
        <v>15</v>
      </c>
      <c r="F168" s="3" t="str" cm="1">
        <f t="array" aca="1" ref="F168" ca="1">OFFSET(E168,-1,1)</f>
        <v>2</v>
      </c>
      <c r="G168" s="36" cm="1">
        <f t="array" ref="G168">G167</f>
        <v>0</v>
      </c>
      <c r="H168" s="91"/>
      <c r="I168" s="91"/>
      <c r="J168" s="91"/>
      <c r="K168" s="91">
        <f>first_year+32</f>
        <v>2056</v>
      </c>
      <c r="L168" s="91"/>
      <c r="M168" s="91"/>
      <c r="N168" s="91"/>
      <c r="O168" s="91"/>
      <c r="P168" s="91"/>
      <c r="Q168" s="91"/>
      <c r="R168" s="91"/>
      <c r="S168" s="91"/>
      <c r="T168" s="365" t="b" cm="1">
        <f t="array" aca="1" ref="T168" ca="1">T167</f>
        <v>0</v>
      </c>
      <c r="U168" s="91"/>
      <c r="V168" s="91"/>
      <c r="W168" s="91"/>
      <c r="X168" s="1075"/>
      <c r="Y168" s="1075"/>
      <c r="Z168" s="1065"/>
      <c r="AA168" s="1124"/>
      <c r="AB168" s="187" t="str">
        <f t="shared" ref="AB168:AB185" si="11">K168&amp;" год"</f>
        <v>2056 год</v>
      </c>
      <c r="AC168" s="320"/>
      <c r="AD168" s="973"/>
      <c r="AE168" s="972"/>
      <c r="AF168" s="972"/>
      <c r="AG168" s="973"/>
      <c r="AH168" s="972"/>
      <c r="AI168" s="973"/>
      <c r="AJ168" s="972"/>
      <c r="AK168" s="974"/>
      <c r="AL168" s="316"/>
      <c r="AM168" s="91"/>
      <c r="AN168" s="705" cm="1">
        <f t="array" ref="AN168">K168</f>
        <v>2056</v>
      </c>
      <c r="AO168" s="705" t="s">
        <v>2316</v>
      </c>
      <c r="AP168" s="715" cm="1">
        <f t="array" ref="AP168">AP167</f>
        <v>0</v>
      </c>
      <c r="AQ168" s="518"/>
      <c r="AR168" s="518"/>
    </row>
    <row r="169" spans="1:44" s="967" customFormat="1" ht="14.25" hidden="1" customHeight="1">
      <c r="A169" s="91"/>
      <c r="B169" s="353" t="b">
        <f t="shared" si="10"/>
        <v>0</v>
      </c>
      <c r="C169" s="91"/>
      <c r="D169" s="91"/>
      <c r="E169" s="518">
        <v>15</v>
      </c>
      <c r="F169" s="3" t="str" cm="1">
        <f t="array" aca="1" ref="F169" ca="1">OFFSET(E169,-1,1)</f>
        <v>2</v>
      </c>
      <c r="G169" s="36" cm="1">
        <f t="array" ref="G169">G168</f>
        <v>0</v>
      </c>
      <c r="H169" s="91"/>
      <c r="I169" s="91"/>
      <c r="J169" s="91"/>
      <c r="K169" s="91">
        <f>first_year+33</f>
        <v>2057</v>
      </c>
      <c r="L169" s="91"/>
      <c r="M169" s="91"/>
      <c r="N169" s="91"/>
      <c r="O169" s="91"/>
      <c r="P169" s="91"/>
      <c r="Q169" s="91"/>
      <c r="R169" s="91"/>
      <c r="S169" s="91"/>
      <c r="T169" s="365" t="b" cm="1">
        <f t="array" aca="1" ref="T169" ca="1">T168</f>
        <v>0</v>
      </c>
      <c r="U169" s="91"/>
      <c r="V169" s="91"/>
      <c r="W169" s="91"/>
      <c r="X169" s="1075"/>
      <c r="Y169" s="1075"/>
      <c r="Z169" s="1065"/>
      <c r="AA169" s="1124"/>
      <c r="AB169" s="187" t="str">
        <f t="shared" si="11"/>
        <v>2057 год</v>
      </c>
      <c r="AC169" s="320"/>
      <c r="AD169" s="973"/>
      <c r="AE169" s="972"/>
      <c r="AF169" s="972"/>
      <c r="AG169" s="973"/>
      <c r="AH169" s="972"/>
      <c r="AI169" s="973"/>
      <c r="AJ169" s="972"/>
      <c r="AK169" s="974"/>
      <c r="AL169" s="316"/>
      <c r="AM169" s="91"/>
      <c r="AN169" s="705" cm="1">
        <f t="array" ref="AN169">K169</f>
        <v>2057</v>
      </c>
      <c r="AO169" s="705" t="s">
        <v>2316</v>
      </c>
      <c r="AP169" s="715" cm="1">
        <f t="array" ref="AP169">AP168</f>
        <v>0</v>
      </c>
      <c r="AQ169" s="518"/>
      <c r="AR169" s="518"/>
    </row>
    <row r="170" spans="1:44" s="967" customFormat="1" ht="14.25" hidden="1" customHeight="1">
      <c r="A170" s="91"/>
      <c r="B170" s="353" t="b">
        <f t="shared" si="10"/>
        <v>0</v>
      </c>
      <c r="C170" s="91"/>
      <c r="D170" s="91"/>
      <c r="E170" s="518">
        <v>15</v>
      </c>
      <c r="F170" s="3" t="str" cm="1">
        <f t="array" aca="1" ref="F170" ca="1">OFFSET(E170,-1,1)</f>
        <v>2</v>
      </c>
      <c r="G170" s="36" cm="1">
        <f t="array" ref="G170">G169</f>
        <v>0</v>
      </c>
      <c r="H170" s="91"/>
      <c r="I170" s="91"/>
      <c r="J170" s="91"/>
      <c r="K170" s="91">
        <f>first_year+34</f>
        <v>2058</v>
      </c>
      <c r="L170" s="91"/>
      <c r="M170" s="91"/>
      <c r="N170" s="91"/>
      <c r="O170" s="91"/>
      <c r="P170" s="91"/>
      <c r="Q170" s="91"/>
      <c r="R170" s="91"/>
      <c r="S170" s="91"/>
      <c r="T170" s="365" t="b" cm="1">
        <f t="array" aca="1" ref="T170" ca="1">T169</f>
        <v>0</v>
      </c>
      <c r="U170" s="91"/>
      <c r="V170" s="91"/>
      <c r="W170" s="91"/>
      <c r="X170" s="1075"/>
      <c r="Y170" s="1075"/>
      <c r="Z170" s="1065"/>
      <c r="AA170" s="1124"/>
      <c r="AB170" s="187" t="str">
        <f t="shared" si="11"/>
        <v>2058 год</v>
      </c>
      <c r="AC170" s="320"/>
      <c r="AD170" s="973"/>
      <c r="AE170" s="972"/>
      <c r="AF170" s="972"/>
      <c r="AG170" s="973"/>
      <c r="AH170" s="972"/>
      <c r="AI170" s="973"/>
      <c r="AJ170" s="972"/>
      <c r="AK170" s="974"/>
      <c r="AL170" s="316"/>
      <c r="AM170" s="91"/>
      <c r="AN170" s="705" cm="1">
        <f t="array" ref="AN170">K170</f>
        <v>2058</v>
      </c>
      <c r="AO170" s="705" t="s">
        <v>2316</v>
      </c>
      <c r="AP170" s="715" cm="1">
        <f t="array" ref="AP170">AP169</f>
        <v>0</v>
      </c>
      <c r="AQ170" s="518"/>
      <c r="AR170" s="518"/>
    </row>
    <row r="171" spans="1:44" s="967" customFormat="1" ht="14.25" hidden="1" customHeight="1">
      <c r="A171" s="91"/>
      <c r="B171" s="353" t="b">
        <f t="shared" si="10"/>
        <v>0</v>
      </c>
      <c r="C171" s="91"/>
      <c r="D171" s="91"/>
      <c r="E171" s="518">
        <v>15</v>
      </c>
      <c r="F171" s="3" t="str" cm="1">
        <f t="array" aca="1" ref="F171" ca="1">OFFSET(E171,-1,1)</f>
        <v>2</v>
      </c>
      <c r="G171" s="36" cm="1">
        <f t="array" ref="G171">G170</f>
        <v>0</v>
      </c>
      <c r="H171" s="91"/>
      <c r="I171" s="91"/>
      <c r="J171" s="91"/>
      <c r="K171" s="91">
        <f>first_year+35</f>
        <v>2059</v>
      </c>
      <c r="L171" s="91"/>
      <c r="M171" s="91"/>
      <c r="N171" s="91"/>
      <c r="O171" s="91"/>
      <c r="P171" s="91"/>
      <c r="Q171" s="91"/>
      <c r="R171" s="91"/>
      <c r="S171" s="91"/>
      <c r="T171" s="365" t="b" cm="1">
        <f t="array" aca="1" ref="T171" ca="1">T170</f>
        <v>0</v>
      </c>
      <c r="U171" s="91"/>
      <c r="V171" s="91"/>
      <c r="W171" s="91"/>
      <c r="X171" s="1075"/>
      <c r="Y171" s="1075"/>
      <c r="Z171" s="1065"/>
      <c r="AA171" s="1124"/>
      <c r="AB171" s="187" t="str">
        <f t="shared" si="11"/>
        <v>2059 год</v>
      </c>
      <c r="AC171" s="320"/>
      <c r="AD171" s="973"/>
      <c r="AE171" s="972"/>
      <c r="AF171" s="972"/>
      <c r="AG171" s="973"/>
      <c r="AH171" s="972"/>
      <c r="AI171" s="973"/>
      <c r="AJ171" s="972"/>
      <c r="AK171" s="974"/>
      <c r="AL171" s="316"/>
      <c r="AM171" s="91"/>
      <c r="AN171" s="705" cm="1">
        <f t="array" ref="AN171">K171</f>
        <v>2059</v>
      </c>
      <c r="AO171" s="705" t="s">
        <v>2316</v>
      </c>
      <c r="AP171" s="715" cm="1">
        <f t="array" ref="AP171">AP170</f>
        <v>0</v>
      </c>
      <c r="AQ171" s="518"/>
      <c r="AR171" s="518"/>
    </row>
    <row r="172" spans="1:44" s="967" customFormat="1" ht="14.25" hidden="1" customHeight="1">
      <c r="A172" s="91"/>
      <c r="B172" s="353" t="b">
        <f t="shared" si="10"/>
        <v>0</v>
      </c>
      <c r="C172" s="91"/>
      <c r="D172" s="91"/>
      <c r="E172" s="518">
        <v>15</v>
      </c>
      <c r="F172" s="3" t="str" cm="1">
        <f t="array" aca="1" ref="F172" ca="1">OFFSET(E172,-1,1)</f>
        <v>2</v>
      </c>
      <c r="G172" s="36" cm="1">
        <f t="array" ref="G172">G171</f>
        <v>0</v>
      </c>
      <c r="H172" s="91"/>
      <c r="I172" s="91"/>
      <c r="J172" s="91"/>
      <c r="K172" s="91">
        <f>first_year+36</f>
        <v>2060</v>
      </c>
      <c r="L172" s="91"/>
      <c r="M172" s="91"/>
      <c r="N172" s="91"/>
      <c r="O172" s="91"/>
      <c r="P172" s="91"/>
      <c r="Q172" s="91"/>
      <c r="R172" s="91"/>
      <c r="S172" s="91"/>
      <c r="T172" s="365" t="b" cm="1">
        <f t="array" aca="1" ref="T172" ca="1">T171</f>
        <v>0</v>
      </c>
      <c r="U172" s="91"/>
      <c r="V172" s="91"/>
      <c r="W172" s="91"/>
      <c r="X172" s="1075"/>
      <c r="Y172" s="1075"/>
      <c r="Z172" s="1065"/>
      <c r="AA172" s="1124"/>
      <c r="AB172" s="187" t="str">
        <f t="shared" si="11"/>
        <v>2060 год</v>
      </c>
      <c r="AC172" s="320"/>
      <c r="AD172" s="973"/>
      <c r="AE172" s="972"/>
      <c r="AF172" s="972"/>
      <c r="AG172" s="973"/>
      <c r="AH172" s="972"/>
      <c r="AI172" s="973"/>
      <c r="AJ172" s="972"/>
      <c r="AK172" s="974"/>
      <c r="AL172" s="316"/>
      <c r="AM172" s="91"/>
      <c r="AN172" s="705" cm="1">
        <f t="array" ref="AN172">K172</f>
        <v>2060</v>
      </c>
      <c r="AO172" s="705" t="s">
        <v>2316</v>
      </c>
      <c r="AP172" s="715" cm="1">
        <f t="array" ref="AP172">AP171</f>
        <v>0</v>
      </c>
      <c r="AQ172" s="518"/>
      <c r="AR172" s="518"/>
    </row>
    <row r="173" spans="1:44" s="967" customFormat="1" ht="14.25" hidden="1" customHeight="1">
      <c r="A173" s="91"/>
      <c r="B173" s="353" t="b">
        <f t="shared" si="10"/>
        <v>0</v>
      </c>
      <c r="C173" s="91"/>
      <c r="D173" s="91"/>
      <c r="E173" s="518">
        <v>15</v>
      </c>
      <c r="F173" s="3" t="str" cm="1">
        <f t="array" aca="1" ref="F173" ca="1">OFFSET(E173,-1,1)</f>
        <v>2</v>
      </c>
      <c r="G173" s="36" cm="1">
        <f t="array" ref="G173">G172</f>
        <v>0</v>
      </c>
      <c r="H173" s="91"/>
      <c r="I173" s="91"/>
      <c r="J173" s="91"/>
      <c r="K173" s="91">
        <f>first_year+37</f>
        <v>2061</v>
      </c>
      <c r="L173" s="91"/>
      <c r="M173" s="91"/>
      <c r="N173" s="91"/>
      <c r="O173" s="91"/>
      <c r="P173" s="91"/>
      <c r="Q173" s="91"/>
      <c r="R173" s="91"/>
      <c r="S173" s="91"/>
      <c r="T173" s="365" t="b" cm="1">
        <f t="array" aca="1" ref="T173" ca="1">T172</f>
        <v>0</v>
      </c>
      <c r="U173" s="91"/>
      <c r="V173" s="91"/>
      <c r="W173" s="91"/>
      <c r="X173" s="1075"/>
      <c r="Y173" s="1075"/>
      <c r="Z173" s="1065"/>
      <c r="AA173" s="1124"/>
      <c r="AB173" s="187" t="str">
        <f t="shared" si="11"/>
        <v>2061 год</v>
      </c>
      <c r="AC173" s="320"/>
      <c r="AD173" s="973"/>
      <c r="AE173" s="972"/>
      <c r="AF173" s="972"/>
      <c r="AG173" s="973"/>
      <c r="AH173" s="972"/>
      <c r="AI173" s="973"/>
      <c r="AJ173" s="972"/>
      <c r="AK173" s="974"/>
      <c r="AL173" s="316"/>
      <c r="AM173" s="91"/>
      <c r="AN173" s="705" cm="1">
        <f t="array" ref="AN173">K173</f>
        <v>2061</v>
      </c>
      <c r="AO173" s="705" t="s">
        <v>2316</v>
      </c>
      <c r="AP173" s="715" cm="1">
        <f t="array" ref="AP173">AP172</f>
        <v>0</v>
      </c>
      <c r="AQ173" s="518"/>
      <c r="AR173" s="518"/>
    </row>
    <row r="174" spans="1:44" s="967" customFormat="1" ht="14.25" hidden="1" customHeight="1">
      <c r="A174" s="91"/>
      <c r="B174" s="353" t="b">
        <f t="shared" si="10"/>
        <v>0</v>
      </c>
      <c r="C174" s="91"/>
      <c r="D174" s="91"/>
      <c r="E174" s="518">
        <v>15</v>
      </c>
      <c r="F174" s="3" t="str" cm="1">
        <f t="array" aca="1" ref="F174" ca="1">OFFSET(E174,-1,1)</f>
        <v>2</v>
      </c>
      <c r="G174" s="36" cm="1">
        <f t="array" ref="G174">G173</f>
        <v>0</v>
      </c>
      <c r="H174" s="91"/>
      <c r="I174" s="91"/>
      <c r="J174" s="91"/>
      <c r="K174" s="91">
        <f>first_year+38</f>
        <v>2062</v>
      </c>
      <c r="L174" s="91"/>
      <c r="M174" s="91"/>
      <c r="N174" s="91"/>
      <c r="O174" s="91"/>
      <c r="P174" s="91"/>
      <c r="Q174" s="91"/>
      <c r="R174" s="91"/>
      <c r="S174" s="91"/>
      <c r="T174" s="365" t="b" cm="1">
        <f t="array" aca="1" ref="T174" ca="1">T173</f>
        <v>0</v>
      </c>
      <c r="U174" s="91"/>
      <c r="V174" s="91"/>
      <c r="W174" s="91"/>
      <c r="X174" s="1075"/>
      <c r="Y174" s="1075"/>
      <c r="Z174" s="1065"/>
      <c r="AA174" s="1124"/>
      <c r="AB174" s="187" t="str">
        <f t="shared" si="11"/>
        <v>2062 год</v>
      </c>
      <c r="AC174" s="320"/>
      <c r="AD174" s="973"/>
      <c r="AE174" s="972"/>
      <c r="AF174" s="972"/>
      <c r="AG174" s="973"/>
      <c r="AH174" s="972"/>
      <c r="AI174" s="973"/>
      <c r="AJ174" s="972"/>
      <c r="AK174" s="974"/>
      <c r="AL174" s="316"/>
      <c r="AM174" s="91"/>
      <c r="AN174" s="705" cm="1">
        <f t="array" ref="AN174">K174</f>
        <v>2062</v>
      </c>
      <c r="AO174" s="705" t="s">
        <v>2316</v>
      </c>
      <c r="AP174" s="715" cm="1">
        <f t="array" ref="AP174">AP173</f>
        <v>0</v>
      </c>
      <c r="AQ174" s="518"/>
      <c r="AR174" s="518"/>
    </row>
    <row r="175" spans="1:44" s="967" customFormat="1" ht="14.25" hidden="1" customHeight="1">
      <c r="A175" s="91"/>
      <c r="B175" s="353" t="b">
        <f t="shared" si="10"/>
        <v>0</v>
      </c>
      <c r="C175" s="91"/>
      <c r="D175" s="91"/>
      <c r="E175" s="518">
        <v>15</v>
      </c>
      <c r="F175" s="3" t="str" cm="1">
        <f t="array" aca="1" ref="F175" ca="1">OFFSET(E175,-1,1)</f>
        <v>2</v>
      </c>
      <c r="G175" s="36" cm="1">
        <f t="array" ref="G175">G174</f>
        <v>0</v>
      </c>
      <c r="H175" s="91"/>
      <c r="I175" s="91"/>
      <c r="J175" s="91"/>
      <c r="K175" s="91">
        <f>first_year+39</f>
        <v>2063</v>
      </c>
      <c r="L175" s="91"/>
      <c r="M175" s="91"/>
      <c r="N175" s="91"/>
      <c r="O175" s="91"/>
      <c r="P175" s="91"/>
      <c r="Q175" s="91"/>
      <c r="R175" s="91"/>
      <c r="S175" s="91"/>
      <c r="T175" s="365" t="b" cm="1">
        <f t="array" aca="1" ref="T175" ca="1">T174</f>
        <v>0</v>
      </c>
      <c r="U175" s="91"/>
      <c r="V175" s="91"/>
      <c r="W175" s="91"/>
      <c r="X175" s="1075"/>
      <c r="Y175" s="1075"/>
      <c r="Z175" s="1065"/>
      <c r="AA175" s="1124"/>
      <c r="AB175" s="187" t="str">
        <f t="shared" si="11"/>
        <v>2063 год</v>
      </c>
      <c r="AC175" s="320"/>
      <c r="AD175" s="973"/>
      <c r="AE175" s="972"/>
      <c r="AF175" s="972"/>
      <c r="AG175" s="973"/>
      <c r="AH175" s="972"/>
      <c r="AI175" s="973"/>
      <c r="AJ175" s="972"/>
      <c r="AK175" s="974"/>
      <c r="AL175" s="316"/>
      <c r="AM175" s="91"/>
      <c r="AN175" s="705" cm="1">
        <f t="array" ref="AN175">K175</f>
        <v>2063</v>
      </c>
      <c r="AO175" s="705" t="s">
        <v>2316</v>
      </c>
      <c r="AP175" s="715" cm="1">
        <f t="array" ref="AP175">AP174</f>
        <v>0</v>
      </c>
      <c r="AQ175" s="518"/>
      <c r="AR175" s="518"/>
    </row>
    <row r="176" spans="1:44" s="967" customFormat="1" ht="14.25" hidden="1" customHeight="1">
      <c r="A176" s="91"/>
      <c r="B176" s="353" t="b">
        <f t="shared" si="10"/>
        <v>0</v>
      </c>
      <c r="C176" s="91"/>
      <c r="D176" s="91"/>
      <c r="E176" s="518">
        <v>15</v>
      </c>
      <c r="F176" s="3" t="str" cm="1">
        <f t="array" aca="1" ref="F176" ca="1">OFFSET(E176,-1,1)</f>
        <v>2</v>
      </c>
      <c r="G176" s="36" cm="1">
        <f t="array" ref="G176">G175</f>
        <v>0</v>
      </c>
      <c r="H176" s="91"/>
      <c r="I176" s="91"/>
      <c r="J176" s="91"/>
      <c r="K176" s="91">
        <f>first_year+40</f>
        <v>2064</v>
      </c>
      <c r="L176" s="91"/>
      <c r="M176" s="91"/>
      <c r="N176" s="91"/>
      <c r="O176" s="91"/>
      <c r="P176" s="91"/>
      <c r="Q176" s="91"/>
      <c r="R176" s="91"/>
      <c r="S176" s="91"/>
      <c r="T176" s="365" t="b" cm="1">
        <f t="array" aca="1" ref="T176" ca="1">T175</f>
        <v>0</v>
      </c>
      <c r="U176" s="91"/>
      <c r="V176" s="91"/>
      <c r="W176" s="91"/>
      <c r="X176" s="1075"/>
      <c r="Y176" s="1075"/>
      <c r="Z176" s="1065"/>
      <c r="AA176" s="1124"/>
      <c r="AB176" s="187" t="str">
        <f t="shared" si="11"/>
        <v>2064 год</v>
      </c>
      <c r="AC176" s="320"/>
      <c r="AD176" s="973"/>
      <c r="AE176" s="972"/>
      <c r="AF176" s="972"/>
      <c r="AG176" s="973"/>
      <c r="AH176" s="972"/>
      <c r="AI176" s="973"/>
      <c r="AJ176" s="972"/>
      <c r="AK176" s="974"/>
      <c r="AL176" s="316"/>
      <c r="AM176" s="91"/>
      <c r="AN176" s="705" cm="1">
        <f t="array" ref="AN176">K176</f>
        <v>2064</v>
      </c>
      <c r="AO176" s="705" t="s">
        <v>2316</v>
      </c>
      <c r="AP176" s="715" cm="1">
        <f t="array" ref="AP176">AP175</f>
        <v>0</v>
      </c>
      <c r="AQ176" s="518"/>
      <c r="AR176" s="518"/>
    </row>
    <row r="177" spans="1:44" s="967" customFormat="1" ht="14.25" hidden="1" customHeight="1">
      <c r="A177" s="91"/>
      <c r="B177" s="353" t="b">
        <f t="shared" si="10"/>
        <v>0</v>
      </c>
      <c r="C177" s="91"/>
      <c r="D177" s="91"/>
      <c r="E177" s="518">
        <v>15</v>
      </c>
      <c r="F177" s="3" t="str" cm="1">
        <f t="array" aca="1" ref="F177" ca="1">OFFSET(E177,-1,1)</f>
        <v>2</v>
      </c>
      <c r="G177" s="36" cm="1">
        <f t="array" ref="G177">G176</f>
        <v>0</v>
      </c>
      <c r="H177" s="91"/>
      <c r="I177" s="91"/>
      <c r="J177" s="91"/>
      <c r="K177" s="91">
        <f>first_year+41</f>
        <v>2065</v>
      </c>
      <c r="L177" s="91"/>
      <c r="M177" s="91"/>
      <c r="N177" s="91"/>
      <c r="O177" s="91"/>
      <c r="P177" s="91"/>
      <c r="Q177" s="91"/>
      <c r="R177" s="91"/>
      <c r="S177" s="91"/>
      <c r="T177" s="365" t="b" cm="1">
        <f t="array" aca="1" ref="T177" ca="1">T176</f>
        <v>0</v>
      </c>
      <c r="U177" s="91"/>
      <c r="V177" s="91"/>
      <c r="W177" s="91"/>
      <c r="X177" s="1075"/>
      <c r="Y177" s="1075"/>
      <c r="Z177" s="1065"/>
      <c r="AA177" s="1124"/>
      <c r="AB177" s="187" t="str">
        <f t="shared" si="11"/>
        <v>2065 год</v>
      </c>
      <c r="AC177" s="320"/>
      <c r="AD177" s="973"/>
      <c r="AE177" s="972"/>
      <c r="AF177" s="972"/>
      <c r="AG177" s="973"/>
      <c r="AH177" s="972"/>
      <c r="AI177" s="973"/>
      <c r="AJ177" s="972"/>
      <c r="AK177" s="974"/>
      <c r="AL177" s="316"/>
      <c r="AM177" s="91"/>
      <c r="AN177" s="705" cm="1">
        <f t="array" ref="AN177">K177</f>
        <v>2065</v>
      </c>
      <c r="AO177" s="705" t="s">
        <v>2316</v>
      </c>
      <c r="AP177" s="715" cm="1">
        <f t="array" ref="AP177">AP176</f>
        <v>0</v>
      </c>
      <c r="AQ177" s="518"/>
      <c r="AR177" s="518"/>
    </row>
    <row r="178" spans="1:44" s="967" customFormat="1" ht="14.25" hidden="1" customHeight="1">
      <c r="A178" s="91"/>
      <c r="B178" s="353" t="b">
        <f t="shared" si="10"/>
        <v>0</v>
      </c>
      <c r="C178" s="91"/>
      <c r="D178" s="91"/>
      <c r="E178" s="518">
        <v>15</v>
      </c>
      <c r="F178" s="3" t="str" cm="1">
        <f t="array" aca="1" ref="F178" ca="1">OFFSET(E178,-1,1)</f>
        <v>2</v>
      </c>
      <c r="G178" s="36" cm="1">
        <f t="array" ref="G178">G177</f>
        <v>0</v>
      </c>
      <c r="H178" s="91"/>
      <c r="I178" s="91"/>
      <c r="J178" s="91"/>
      <c r="K178" s="91">
        <f>first_year+42</f>
        <v>2066</v>
      </c>
      <c r="L178" s="91"/>
      <c r="M178" s="91"/>
      <c r="N178" s="91"/>
      <c r="O178" s="91"/>
      <c r="P178" s="91"/>
      <c r="Q178" s="91"/>
      <c r="R178" s="91"/>
      <c r="S178" s="91"/>
      <c r="T178" s="365" t="b" cm="1">
        <f t="array" aca="1" ref="T178" ca="1">T177</f>
        <v>0</v>
      </c>
      <c r="U178" s="91"/>
      <c r="V178" s="91"/>
      <c r="W178" s="91"/>
      <c r="X178" s="1075"/>
      <c r="Y178" s="1075"/>
      <c r="Z178" s="1065"/>
      <c r="AA178" s="1124"/>
      <c r="AB178" s="187" t="str">
        <f t="shared" si="11"/>
        <v>2066 год</v>
      </c>
      <c r="AC178" s="320"/>
      <c r="AD178" s="973"/>
      <c r="AE178" s="972"/>
      <c r="AF178" s="972"/>
      <c r="AG178" s="973"/>
      <c r="AH178" s="972"/>
      <c r="AI178" s="973"/>
      <c r="AJ178" s="972"/>
      <c r="AK178" s="974"/>
      <c r="AL178" s="316"/>
      <c r="AM178" s="91"/>
      <c r="AN178" s="705" cm="1">
        <f t="array" ref="AN178">K178</f>
        <v>2066</v>
      </c>
      <c r="AO178" s="705" t="s">
        <v>2316</v>
      </c>
      <c r="AP178" s="715" cm="1">
        <f t="array" ref="AP178">AP177</f>
        <v>0</v>
      </c>
      <c r="AQ178" s="518"/>
      <c r="AR178" s="518"/>
    </row>
    <row r="179" spans="1:44" s="967" customFormat="1" ht="14.25" hidden="1" customHeight="1">
      <c r="A179" s="91"/>
      <c r="B179" s="353" t="b">
        <f t="shared" si="10"/>
        <v>0</v>
      </c>
      <c r="C179" s="91"/>
      <c r="D179" s="91"/>
      <c r="E179" s="518">
        <v>15</v>
      </c>
      <c r="F179" s="3" t="str" cm="1">
        <f t="array" aca="1" ref="F179" ca="1">OFFSET(E179,-1,1)</f>
        <v>2</v>
      </c>
      <c r="G179" s="36" cm="1">
        <f t="array" ref="G179">G178</f>
        <v>0</v>
      </c>
      <c r="H179" s="91"/>
      <c r="I179" s="91"/>
      <c r="J179" s="91"/>
      <c r="K179" s="91">
        <f>first_year+43</f>
        <v>2067</v>
      </c>
      <c r="L179" s="91"/>
      <c r="M179" s="91"/>
      <c r="N179" s="91"/>
      <c r="O179" s="91"/>
      <c r="P179" s="91"/>
      <c r="Q179" s="91"/>
      <c r="R179" s="91"/>
      <c r="S179" s="91"/>
      <c r="T179" s="365" t="b" cm="1">
        <f t="array" aca="1" ref="T179" ca="1">T178</f>
        <v>0</v>
      </c>
      <c r="U179" s="91"/>
      <c r="V179" s="91"/>
      <c r="W179" s="91"/>
      <c r="X179" s="1075"/>
      <c r="Y179" s="1075"/>
      <c r="Z179" s="1065"/>
      <c r="AA179" s="1124"/>
      <c r="AB179" s="187" t="str">
        <f t="shared" si="11"/>
        <v>2067 год</v>
      </c>
      <c r="AC179" s="320"/>
      <c r="AD179" s="973"/>
      <c r="AE179" s="972"/>
      <c r="AF179" s="972"/>
      <c r="AG179" s="973"/>
      <c r="AH179" s="972"/>
      <c r="AI179" s="973"/>
      <c r="AJ179" s="972"/>
      <c r="AK179" s="974"/>
      <c r="AL179" s="316"/>
      <c r="AM179" s="91"/>
      <c r="AN179" s="705" cm="1">
        <f t="array" ref="AN179">K179</f>
        <v>2067</v>
      </c>
      <c r="AO179" s="705" t="s">
        <v>2316</v>
      </c>
      <c r="AP179" s="715" cm="1">
        <f t="array" ref="AP179">AP178</f>
        <v>0</v>
      </c>
      <c r="AQ179" s="518"/>
      <c r="AR179" s="518"/>
    </row>
    <row r="180" spans="1:44" s="967" customFormat="1" ht="14.25" hidden="1" customHeight="1">
      <c r="A180" s="91"/>
      <c r="B180" s="353" t="b">
        <f t="shared" si="10"/>
        <v>0</v>
      </c>
      <c r="C180" s="91"/>
      <c r="D180" s="91"/>
      <c r="E180" s="518">
        <v>15</v>
      </c>
      <c r="F180" s="3" t="str" cm="1">
        <f t="array" aca="1" ref="F180" ca="1">OFFSET(E180,-1,1)</f>
        <v>2</v>
      </c>
      <c r="G180" s="36" cm="1">
        <f t="array" ref="G180">G179</f>
        <v>0</v>
      </c>
      <c r="H180" s="91"/>
      <c r="I180" s="91"/>
      <c r="J180" s="91"/>
      <c r="K180" s="91">
        <f>first_year+44</f>
        <v>2068</v>
      </c>
      <c r="L180" s="91"/>
      <c r="M180" s="91"/>
      <c r="N180" s="91"/>
      <c r="O180" s="91"/>
      <c r="P180" s="91"/>
      <c r="Q180" s="91"/>
      <c r="R180" s="91"/>
      <c r="S180" s="91"/>
      <c r="T180" s="365" t="b" cm="1">
        <f t="array" aca="1" ref="T180" ca="1">T179</f>
        <v>0</v>
      </c>
      <c r="U180" s="91"/>
      <c r="V180" s="91"/>
      <c r="W180" s="91"/>
      <c r="X180" s="1075"/>
      <c r="Y180" s="1075"/>
      <c r="Z180" s="1065"/>
      <c r="AA180" s="1124"/>
      <c r="AB180" s="187" t="str">
        <f t="shared" si="11"/>
        <v>2068 год</v>
      </c>
      <c r="AC180" s="320"/>
      <c r="AD180" s="973"/>
      <c r="AE180" s="972"/>
      <c r="AF180" s="972"/>
      <c r="AG180" s="973"/>
      <c r="AH180" s="972"/>
      <c r="AI180" s="973"/>
      <c r="AJ180" s="972"/>
      <c r="AK180" s="974"/>
      <c r="AL180" s="316"/>
      <c r="AM180" s="91"/>
      <c r="AN180" s="705" cm="1">
        <f t="array" ref="AN180">K180</f>
        <v>2068</v>
      </c>
      <c r="AO180" s="705" t="s">
        <v>2316</v>
      </c>
      <c r="AP180" s="715" cm="1">
        <f t="array" ref="AP180">AP179</f>
        <v>0</v>
      </c>
      <c r="AQ180" s="518"/>
      <c r="AR180" s="518"/>
    </row>
    <row r="181" spans="1:44" s="967" customFormat="1" ht="14.25" hidden="1" customHeight="1">
      <c r="A181" s="91"/>
      <c r="B181" s="353" t="b">
        <f t="shared" si="10"/>
        <v>0</v>
      </c>
      <c r="C181" s="91"/>
      <c r="D181" s="91"/>
      <c r="E181" s="518">
        <v>15</v>
      </c>
      <c r="F181" s="3" t="str" cm="1">
        <f t="array" aca="1" ref="F181" ca="1">OFFSET(E181,-1,1)</f>
        <v>2</v>
      </c>
      <c r="G181" s="36" cm="1">
        <f t="array" ref="G181">G180</f>
        <v>0</v>
      </c>
      <c r="H181" s="91"/>
      <c r="I181" s="91"/>
      <c r="J181" s="91"/>
      <c r="K181" s="91">
        <f>first_year+45</f>
        <v>2069</v>
      </c>
      <c r="L181" s="91"/>
      <c r="M181" s="91"/>
      <c r="N181" s="91"/>
      <c r="O181" s="91"/>
      <c r="P181" s="91"/>
      <c r="Q181" s="91"/>
      <c r="R181" s="91"/>
      <c r="S181" s="91"/>
      <c r="T181" s="365" t="b" cm="1">
        <f t="array" aca="1" ref="T181" ca="1">T180</f>
        <v>0</v>
      </c>
      <c r="U181" s="91"/>
      <c r="V181" s="91"/>
      <c r="W181" s="91"/>
      <c r="X181" s="1075"/>
      <c r="Y181" s="1075"/>
      <c r="Z181" s="1065"/>
      <c r="AA181" s="1124"/>
      <c r="AB181" s="187" t="str">
        <f t="shared" si="11"/>
        <v>2069 год</v>
      </c>
      <c r="AC181" s="320"/>
      <c r="AD181" s="973"/>
      <c r="AE181" s="972"/>
      <c r="AF181" s="972"/>
      <c r="AG181" s="973"/>
      <c r="AH181" s="972"/>
      <c r="AI181" s="973"/>
      <c r="AJ181" s="972"/>
      <c r="AK181" s="974"/>
      <c r="AL181" s="316"/>
      <c r="AM181" s="91"/>
      <c r="AN181" s="705" cm="1">
        <f t="array" ref="AN181">K181</f>
        <v>2069</v>
      </c>
      <c r="AO181" s="705" t="s">
        <v>2316</v>
      </c>
      <c r="AP181" s="715" cm="1">
        <f t="array" ref="AP181">AP180</f>
        <v>0</v>
      </c>
      <c r="AQ181" s="518"/>
      <c r="AR181" s="518"/>
    </row>
    <row r="182" spans="1:44" s="967" customFormat="1" ht="14.25" hidden="1" customHeight="1">
      <c r="A182" s="91"/>
      <c r="B182" s="353" t="b">
        <f t="shared" si="10"/>
        <v>0</v>
      </c>
      <c r="C182" s="91"/>
      <c r="D182" s="91"/>
      <c r="E182" s="518">
        <v>15</v>
      </c>
      <c r="F182" s="3" t="str" cm="1">
        <f t="array" aca="1" ref="F182" ca="1">OFFSET(E182,-1,1)</f>
        <v>2</v>
      </c>
      <c r="G182" s="36" cm="1">
        <f t="array" ref="G182">G181</f>
        <v>0</v>
      </c>
      <c r="H182" s="91"/>
      <c r="I182" s="91"/>
      <c r="J182" s="91"/>
      <c r="K182" s="91">
        <f>first_year+46</f>
        <v>2070</v>
      </c>
      <c r="L182" s="91"/>
      <c r="M182" s="91"/>
      <c r="N182" s="91"/>
      <c r="O182" s="91"/>
      <c r="P182" s="91"/>
      <c r="Q182" s="91"/>
      <c r="R182" s="91"/>
      <c r="S182" s="91"/>
      <c r="T182" s="365" t="b" cm="1">
        <f t="array" aca="1" ref="T182" ca="1">T181</f>
        <v>0</v>
      </c>
      <c r="U182" s="91"/>
      <c r="V182" s="91"/>
      <c r="W182" s="91"/>
      <c r="X182" s="1075"/>
      <c r="Y182" s="1075"/>
      <c r="Z182" s="1065"/>
      <c r="AA182" s="1124"/>
      <c r="AB182" s="187" t="str">
        <f t="shared" si="11"/>
        <v>2070 год</v>
      </c>
      <c r="AC182" s="320"/>
      <c r="AD182" s="973"/>
      <c r="AE182" s="972"/>
      <c r="AF182" s="972"/>
      <c r="AG182" s="973"/>
      <c r="AH182" s="972"/>
      <c r="AI182" s="973"/>
      <c r="AJ182" s="972"/>
      <c r="AK182" s="974"/>
      <c r="AL182" s="316"/>
      <c r="AM182" s="91"/>
      <c r="AN182" s="705" cm="1">
        <f t="array" ref="AN182">K182</f>
        <v>2070</v>
      </c>
      <c r="AO182" s="705" t="s">
        <v>2316</v>
      </c>
      <c r="AP182" s="715" cm="1">
        <f t="array" ref="AP182">AP181</f>
        <v>0</v>
      </c>
      <c r="AQ182" s="518"/>
      <c r="AR182" s="518"/>
    </row>
    <row r="183" spans="1:44" s="967" customFormat="1" ht="14.25" hidden="1" customHeight="1">
      <c r="A183" s="91"/>
      <c r="B183" s="353" t="b">
        <f t="shared" si="10"/>
        <v>0</v>
      </c>
      <c r="C183" s="91"/>
      <c r="D183" s="91"/>
      <c r="E183" s="518">
        <v>15</v>
      </c>
      <c r="F183" s="3" t="str" cm="1">
        <f t="array" aca="1" ref="F183" ca="1">OFFSET(E183,-1,1)</f>
        <v>2</v>
      </c>
      <c r="G183" s="36" cm="1">
        <f t="array" ref="G183">G182</f>
        <v>0</v>
      </c>
      <c r="H183" s="91"/>
      <c r="I183" s="91"/>
      <c r="J183" s="91"/>
      <c r="K183" s="91">
        <f>first_year+47</f>
        <v>2071</v>
      </c>
      <c r="L183" s="91"/>
      <c r="M183" s="91"/>
      <c r="N183" s="91"/>
      <c r="O183" s="91"/>
      <c r="P183" s="91"/>
      <c r="Q183" s="91"/>
      <c r="R183" s="91"/>
      <c r="S183" s="91"/>
      <c r="T183" s="365" t="b" cm="1">
        <f t="array" aca="1" ref="T183" ca="1">T182</f>
        <v>0</v>
      </c>
      <c r="U183" s="91"/>
      <c r="V183" s="91"/>
      <c r="W183" s="91"/>
      <c r="X183" s="1075"/>
      <c r="Y183" s="1075"/>
      <c r="Z183" s="1065"/>
      <c r="AA183" s="1124"/>
      <c r="AB183" s="187" t="str">
        <f t="shared" si="11"/>
        <v>2071 год</v>
      </c>
      <c r="AC183" s="320"/>
      <c r="AD183" s="973"/>
      <c r="AE183" s="972"/>
      <c r="AF183" s="972"/>
      <c r="AG183" s="973"/>
      <c r="AH183" s="972"/>
      <c r="AI183" s="973"/>
      <c r="AJ183" s="972"/>
      <c r="AK183" s="974"/>
      <c r="AL183" s="316"/>
      <c r="AM183" s="91"/>
      <c r="AN183" s="705" cm="1">
        <f t="array" ref="AN183">K183</f>
        <v>2071</v>
      </c>
      <c r="AO183" s="705" t="s">
        <v>2316</v>
      </c>
      <c r="AP183" s="715" cm="1">
        <f t="array" ref="AP183">AP182</f>
        <v>0</v>
      </c>
      <c r="AQ183" s="518"/>
      <c r="AR183" s="518"/>
    </row>
    <row r="184" spans="1:44" s="967" customFormat="1" ht="14.25" hidden="1" customHeight="1">
      <c r="A184" s="91"/>
      <c r="B184" s="353" t="b">
        <f t="shared" si="10"/>
        <v>0</v>
      </c>
      <c r="C184" s="91"/>
      <c r="D184" s="91"/>
      <c r="E184" s="518">
        <v>15</v>
      </c>
      <c r="F184" s="3" t="str" cm="1">
        <f t="array" aca="1" ref="F184" ca="1">OFFSET(E184,-1,1)</f>
        <v>2</v>
      </c>
      <c r="G184" s="36" cm="1">
        <f t="array" ref="G184">G183</f>
        <v>0</v>
      </c>
      <c r="H184" s="91"/>
      <c r="I184" s="91"/>
      <c r="J184" s="91"/>
      <c r="K184" s="91">
        <f>first_year+48</f>
        <v>2072</v>
      </c>
      <c r="L184" s="91"/>
      <c r="M184" s="91"/>
      <c r="N184" s="91"/>
      <c r="O184" s="91"/>
      <c r="P184" s="91"/>
      <c r="Q184" s="91"/>
      <c r="R184" s="91"/>
      <c r="S184" s="91"/>
      <c r="T184" s="365" t="b" cm="1">
        <f t="array" aca="1" ref="T184" ca="1">T183</f>
        <v>0</v>
      </c>
      <c r="U184" s="91"/>
      <c r="V184" s="91"/>
      <c r="W184" s="91"/>
      <c r="X184" s="1075"/>
      <c r="Y184" s="1075"/>
      <c r="Z184" s="1065"/>
      <c r="AA184" s="1124"/>
      <c r="AB184" s="187" t="str">
        <f t="shared" si="11"/>
        <v>2072 год</v>
      </c>
      <c r="AC184" s="320"/>
      <c r="AD184" s="973"/>
      <c r="AE184" s="972"/>
      <c r="AF184" s="972"/>
      <c r="AG184" s="973"/>
      <c r="AH184" s="972"/>
      <c r="AI184" s="973"/>
      <c r="AJ184" s="972"/>
      <c r="AK184" s="974"/>
      <c r="AL184" s="316"/>
      <c r="AM184" s="91"/>
      <c r="AN184" s="705" cm="1">
        <f t="array" ref="AN184">K184</f>
        <v>2072</v>
      </c>
      <c r="AO184" s="705" t="s">
        <v>2316</v>
      </c>
      <c r="AP184" s="715" cm="1">
        <f t="array" ref="AP184">AP183</f>
        <v>0</v>
      </c>
      <c r="AQ184" s="518"/>
      <c r="AR184" s="518"/>
    </row>
    <row r="185" spans="1:44" s="967" customFormat="1" ht="14.25" hidden="1" customHeight="1">
      <c r="A185" s="91"/>
      <c r="B185" s="353" t="b">
        <f t="shared" si="10"/>
        <v>0</v>
      </c>
      <c r="C185" s="91"/>
      <c r="D185" s="91"/>
      <c r="E185" s="518">
        <v>15</v>
      </c>
      <c r="F185" s="3" t="str" cm="1">
        <f t="array" aca="1" ref="F185" ca="1">OFFSET(E185,-1,1)</f>
        <v>2</v>
      </c>
      <c r="G185" s="36" cm="1">
        <f t="array" ref="G185">G184</f>
        <v>0</v>
      </c>
      <c r="H185" s="91"/>
      <c r="I185" s="91"/>
      <c r="J185" s="91"/>
      <c r="K185" s="91">
        <f>first_year+49</f>
        <v>2073</v>
      </c>
      <c r="L185" s="91"/>
      <c r="M185" s="91"/>
      <c r="N185" s="91"/>
      <c r="O185" s="91"/>
      <c r="P185" s="91"/>
      <c r="Q185" s="91"/>
      <c r="R185" s="91"/>
      <c r="S185" s="91"/>
      <c r="T185" s="365" t="b" cm="1">
        <f t="array" aca="1" ref="T185" ca="1">T184</f>
        <v>0</v>
      </c>
      <c r="U185" s="91"/>
      <c r="V185" s="91"/>
      <c r="W185" s="91"/>
      <c r="X185" s="1075"/>
      <c r="Y185" s="1075"/>
      <c r="Z185" s="1065"/>
      <c r="AA185" s="1124"/>
      <c r="AB185" s="187" t="str">
        <f t="shared" si="11"/>
        <v>2073 год</v>
      </c>
      <c r="AC185" s="320"/>
      <c r="AD185" s="973"/>
      <c r="AE185" s="972"/>
      <c r="AF185" s="972"/>
      <c r="AG185" s="973"/>
      <c r="AH185" s="972"/>
      <c r="AI185" s="973"/>
      <c r="AJ185" s="972"/>
      <c r="AK185" s="974"/>
      <c r="AL185" s="316"/>
      <c r="AM185" s="91"/>
      <c r="AN185" s="705" cm="1">
        <f t="array" ref="AN185">K185</f>
        <v>2073</v>
      </c>
      <c r="AO185" s="705" t="s">
        <v>2316</v>
      </c>
      <c r="AP185" s="715" cm="1">
        <f t="array" ref="AP185">AP184</f>
        <v>0</v>
      </c>
      <c r="AQ185" s="518"/>
      <c r="AR185" s="518"/>
    </row>
    <row r="186" spans="1:44" ht="14.25" customHeight="1">
      <c r="A186" s="91"/>
      <c r="B186" s="341"/>
      <c r="C186" s="91"/>
      <c r="D186" s="91"/>
      <c r="E186" s="518">
        <v>15</v>
      </c>
      <c r="F186" s="774" t="str" cm="1">
        <f t="array" aca="1" ref="F186" ca="1">OFFSET(E186,-1,1)</f>
        <v>2</v>
      </c>
      <c r="G186" s="91" t="str">
        <f>"!== 'не определено'"</f>
        <v>!== 'не определено'</v>
      </c>
      <c r="H186" s="91"/>
      <c r="I186" s="91"/>
      <c r="J186" s="91"/>
      <c r="K186" s="91"/>
      <c r="L186" s="91"/>
      <c r="M186" s="91"/>
      <c r="N186" s="91"/>
      <c r="O186" s="91"/>
      <c r="P186" s="91"/>
      <c r="Q186" s="91"/>
      <c r="R186" s="91"/>
      <c r="S186" s="91"/>
      <c r="T186" s="365" t="b">
        <f ca="1">F186&gt;0</f>
        <v>1</v>
      </c>
      <c r="U186" s="91"/>
      <c r="V186" s="91"/>
      <c r="W186" s="517" t="s">
        <v>2317</v>
      </c>
      <c r="X186" s="1075"/>
      <c r="Y186" s="91"/>
      <c r="Z186" s="1065"/>
      <c r="AA186" s="91"/>
      <c r="AB186" s="632" t="s">
        <v>177</v>
      </c>
      <c r="AC186" s="225"/>
      <c r="AD186" s="225"/>
      <c r="AE186" s="225"/>
      <c r="AF186" s="225"/>
      <c r="AG186" s="225"/>
      <c r="AH186" s="225"/>
      <c r="AI186" s="225"/>
      <c r="AJ186" s="225"/>
      <c r="AK186" s="225"/>
      <c r="AL186" s="316"/>
      <c r="AM186"/>
      <c r="AN186" s="670"/>
      <c r="AO186" s="670"/>
      <c r="AP186" s="670"/>
      <c r="AQ186" s="672" t="s">
        <v>2316</v>
      </c>
      <c r="AR186" s="465"/>
    </row>
    <row r="187" spans="1:44" ht="10.9" customHeight="1">
      <c r="E187" s="518">
        <v>11.25</v>
      </c>
      <c r="U187" s="36" t="s">
        <v>177</v>
      </c>
      <c r="V187" s="524" t="s">
        <v>2318</v>
      </c>
      <c r="AN187" s="670"/>
      <c r="AO187" s="670"/>
      <c r="AP187" s="670"/>
      <c r="AQ187" s="465"/>
      <c r="AR187" s="465"/>
    </row>
    <row r="188" spans="1:44" ht="14.65" customHeight="1">
      <c r="E188" s="472">
        <v>15</v>
      </c>
      <c r="AB188" s="1078" t="s">
        <v>398</v>
      </c>
      <c r="AC188" s="1078"/>
      <c r="AD188" s="1078"/>
      <c r="AE188" s="1078"/>
      <c r="AF188" s="1078"/>
      <c r="AG188" s="1078"/>
      <c r="AH188" s="1078"/>
      <c r="AI188" s="1078"/>
      <c r="AJ188" s="1078"/>
      <c r="AK188" s="1078"/>
    </row>
    <row r="189" spans="1:44" ht="14.65" customHeight="1">
      <c r="E189" s="472">
        <v>15</v>
      </c>
      <c r="AA189" s="492"/>
      <c r="AB189" s="1187"/>
      <c r="AC189" s="1187"/>
      <c r="AD189" s="1187"/>
      <c r="AE189" s="1187"/>
      <c r="AF189" s="1187"/>
      <c r="AG189" s="1187"/>
      <c r="AH189" s="1186"/>
      <c r="AI189" s="1186"/>
      <c r="AJ189" s="1186"/>
      <c r="AK189" s="1186"/>
    </row>
    <row r="190" spans="1:44" ht="14.65" hidden="1" customHeight="1">
      <c r="E190" s="472">
        <v>15</v>
      </c>
      <c r="T190" s="36" t="b">
        <f>ROW(W190)&gt;ROW(W$190)</f>
        <v>0</v>
      </c>
      <c r="W190" s="36" t="s">
        <v>173</v>
      </c>
      <c r="AA190" s="332" t="s">
        <v>174</v>
      </c>
      <c r="AB190" s="1186" t="s">
        <v>225</v>
      </c>
      <c r="AC190" s="1186"/>
      <c r="AD190" s="1186"/>
      <c r="AE190" s="1186"/>
      <c r="AF190" s="1186"/>
      <c r="AG190" s="1186"/>
      <c r="AH190" s="1186"/>
      <c r="AI190" s="1186"/>
      <c r="AJ190" s="1186"/>
      <c r="AK190" s="1193"/>
    </row>
    <row r="191" spans="1:44" ht="14.65" customHeight="1">
      <c r="E191" s="472">
        <v>15</v>
      </c>
      <c r="W191" s="517" t="s">
        <v>399</v>
      </c>
      <c r="AB191" s="485"/>
      <c r="AC191" s="394" t="s">
        <v>400</v>
      </c>
      <c r="AD191" s="234"/>
      <c r="AE191" s="234"/>
      <c r="AF191" s="234"/>
      <c r="AG191" s="234"/>
      <c r="AH191" s="234"/>
      <c r="AI191" s="234"/>
      <c r="AJ191" s="234"/>
      <c r="AK191" s="525"/>
    </row>
    <row r="192" spans="1:44" ht="10.7" customHeight="1">
      <c r="E192" s="472">
        <v>11</v>
      </c>
      <c r="AL192" s="41"/>
    </row>
  </sheetData>
  <sheetProtection formatColumns="0" formatRows="0" insertRows="0" deleteColumns="0" deleteRows="0" sort="0" autoFilter="0"/>
  <mergeCells count="23">
    <mergeCell ref="X28:X80"/>
    <mergeCell ref="Z28:Z80"/>
    <mergeCell ref="Y29:Y79"/>
    <mergeCell ref="AA29:AA79"/>
    <mergeCell ref="AB29:AK29"/>
    <mergeCell ref="AB189:AK189"/>
    <mergeCell ref="AB188:AK188"/>
    <mergeCell ref="AB190:AK190"/>
    <mergeCell ref="AB24:AB26"/>
    <mergeCell ref="AC24:AC25"/>
    <mergeCell ref="AD24:AD25"/>
    <mergeCell ref="AE24:AE25"/>
    <mergeCell ref="AF24:AK24"/>
    <mergeCell ref="X81:X133"/>
    <mergeCell ref="Z81:Z133"/>
    <mergeCell ref="Y82:Y132"/>
    <mergeCell ref="AA82:AA132"/>
    <mergeCell ref="AB82:AK82"/>
    <mergeCell ref="X134:X186"/>
    <mergeCell ref="Z134:Z186"/>
    <mergeCell ref="Y135:Y185"/>
    <mergeCell ref="AA135:AA185"/>
    <mergeCell ref="AB135:AK135"/>
  </mergeCells>
  <dataValidations count="1">
    <dataValidation type="decimal" allowBlank="1" showErrorMessage="1" errorTitle="Ошибка" error="Допускается ввод только неотрицательных чисел!" sqref="AK30:AK80 AK83:AK133 AK136:AK186 AJ30:AJ80 AJ83:AJ133 AJ136:AJ186 AI30:AI80 AI83:AI133 AI136:AI186 AH30:AH80 AH83:AH133 AH136:AH186 AG30:AG80 AG83:AG133 AG136:AG186 AF30:AF80 AF83:AF133 AF136:AF186 AE30:AE80 AE83:AE133 AE136:AE186 AD30:AD80 AD83:AD133 AD136:AD186 AC30:AC80 AC83:AC133 AC136:AC186" xr:uid="{00000000-0002-0000-20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AF568-DBD8-1568-8428-1B0F45A13F68}">
  <sheetPr>
    <tabColor rgb="FF002060"/>
    <outlinePr summaryBelow="0" summaryRight="0"/>
    <pageSetUpPr fitToPage="1"/>
  </sheetPr>
  <dimension ref="A1:AP31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1" width="5.140625" style="498" hidden="1" customWidth="1"/>
    <col min="2" max="2" width="9.28515625" style="41" hidden="1" customWidth="1"/>
    <col min="3" max="3" width="5.140625" style="41" hidden="1" customWidth="1"/>
    <col min="4" max="4" width="2.7109375" style="41" hidden="1" customWidth="1"/>
    <col min="5" max="5" width="5.7109375" style="460" hidden="1" customWidth="1"/>
    <col min="6" max="6" width="2.7109375" style="41" hidden="1" customWidth="1"/>
    <col min="7" max="7" width="7.5703125" style="41" hidden="1" customWidth="1"/>
    <col min="8" max="9" width="2.7109375" style="41" hidden="1" customWidth="1"/>
    <col min="10" max="10" width="8.140625" style="41" hidden="1" customWidth="1"/>
    <col min="11" max="18" width="2.7109375" style="41" hidden="1" customWidth="1"/>
    <col min="19" max="19" width="4.42578125" style="41" hidden="1" customWidth="1"/>
    <col min="20" max="20" width="9.140625" style="41" hidden="1" customWidth="1"/>
    <col min="21" max="21" width="5.85546875" style="41" hidden="1" customWidth="1"/>
    <col min="22" max="23" width="6.140625" style="41" hidden="1" customWidth="1"/>
    <col min="24" max="25" width="5.5703125" style="41" hidden="1" customWidth="1"/>
    <col min="26" max="26" width="5.28515625" style="41" hidden="1" customWidth="1"/>
    <col min="27" max="27" width="3" style="41" customWidth="1"/>
    <col min="28" max="28" width="11" style="41" customWidth="1"/>
    <col min="29" max="29" width="58" style="41" customWidth="1"/>
    <col min="30" max="30" width="11" style="63" customWidth="1"/>
    <col min="31" max="31" width="18.28515625" style="63" customWidth="1"/>
    <col min="32" max="32" width="8.7109375" style="327"/>
    <col min="33" max="33" width="8.7109375" style="327" hidden="1"/>
    <col min="34" max="36" width="8.7109375" style="664" hidden="1"/>
    <col min="37" max="38" width="8.7109375" style="491" hidden="1"/>
    <col min="39" max="42" width="8.7109375" hidden="1"/>
  </cols>
  <sheetData>
    <row r="1" spans="1:42" ht="11.25" hidden="1" customHeight="1">
      <c r="E1" s="41"/>
      <c r="F1" s="41" t="s">
        <v>315</v>
      </c>
      <c r="H1" s="41" t="s">
        <v>326</v>
      </c>
      <c r="I1" s="41" t="s">
        <v>350</v>
      </c>
      <c r="T1" s="365" t="s">
        <v>93</v>
      </c>
      <c r="U1" s="365" t="s">
        <v>98</v>
      </c>
      <c r="V1" s="365" t="s">
        <v>94</v>
      </c>
      <c r="W1" s="365" t="s">
        <v>95</v>
      </c>
      <c r="X1" s="365" t="s">
        <v>96</v>
      </c>
      <c r="Y1" s="367" t="s">
        <v>317</v>
      </c>
      <c r="Z1" s="365" t="s">
        <v>100</v>
      </c>
      <c r="AA1" s="367" t="s">
        <v>97</v>
      </c>
      <c r="AB1" s="327"/>
      <c r="AC1" s="366" t="s">
        <v>99</v>
      </c>
      <c r="AH1" s="664" t="s">
        <v>318</v>
      </c>
      <c r="AI1" s="664" t="s">
        <v>319</v>
      </c>
      <c r="AJ1" s="664" t="s">
        <v>320</v>
      </c>
      <c r="AK1" s="491" t="s">
        <v>323</v>
      </c>
      <c r="AL1" s="491" t="s">
        <v>324</v>
      </c>
    </row>
    <row r="2" spans="1:42" ht="11.25" hidden="1" customHeight="1">
      <c r="B2" s="353" t="s">
        <v>19</v>
      </c>
      <c r="E2" s="41"/>
    </row>
    <row r="3" spans="1:42" ht="11.25" hidden="1" customHeight="1">
      <c r="E3" s="41"/>
    </row>
    <row r="4" spans="1:42" ht="11.25" hidden="1" customHeight="1">
      <c r="E4" s="41"/>
    </row>
    <row r="5" spans="1:42" s="460" customFormat="1" ht="11.25" hidden="1" customHeight="1">
      <c r="A5" s="498"/>
      <c r="B5" s="41"/>
      <c r="C5" s="41"/>
      <c r="D5" s="41"/>
      <c r="E5" s="460" t="s">
        <v>20</v>
      </c>
      <c r="AA5" s="460">
        <v>3</v>
      </c>
      <c r="AB5" s="460">
        <v>11</v>
      </c>
      <c r="AC5" s="460">
        <v>58</v>
      </c>
      <c r="AD5" s="486">
        <v>11</v>
      </c>
      <c r="AE5" s="486">
        <v>18.29</v>
      </c>
      <c r="AF5" s="491" t="s">
        <v>325</v>
      </c>
      <c r="AG5" s="491"/>
      <c r="AH5" s="664"/>
      <c r="AI5" s="664"/>
      <c r="AJ5" s="664"/>
      <c r="AK5" s="491"/>
      <c r="AL5" s="491"/>
      <c r="AM5" s="465"/>
      <c r="AN5" s="465"/>
      <c r="AO5" s="465"/>
      <c r="AP5" s="465"/>
    </row>
    <row r="6" spans="1:42" ht="13.5" hidden="1" customHeight="1">
      <c r="A6" s="498" t="s">
        <v>353</v>
      </c>
      <c r="AE6" s="36">
        <f>god-2</f>
        <v>2024</v>
      </c>
    </row>
    <row r="7" spans="1:42" ht="11.25" hidden="1" customHeight="1">
      <c r="AE7" s="36"/>
    </row>
    <row r="8" spans="1:42" ht="11.25" hidden="1" customHeight="1">
      <c r="AE8" s="36"/>
    </row>
    <row r="9" spans="1:42" ht="11.25" hidden="1" customHeight="1">
      <c r="AE9" s="36" cm="1">
        <f t="array" ref="AE9">god</f>
        <v>2026</v>
      </c>
    </row>
    <row r="10" spans="1:42" s="667" customFormat="1" ht="11.25" hidden="1" customHeight="1">
      <c r="A10" s="716" t="s">
        <v>333</v>
      </c>
      <c r="AC10" s="667" t="s">
        <v>320</v>
      </c>
      <c r="AD10" s="684"/>
      <c r="AE10" s="680"/>
      <c r="AF10" s="664"/>
      <c r="AG10" s="664"/>
      <c r="AH10" s="664"/>
      <c r="AI10" s="664"/>
      <c r="AJ10" s="664"/>
      <c r="AK10" s="491"/>
      <c r="AL10" s="491"/>
      <c r="AM10" s="670"/>
      <c r="AN10" s="670"/>
      <c r="AO10" s="670"/>
      <c r="AP10" s="670"/>
    </row>
    <row r="11" spans="1:42" ht="11.25" hidden="1" customHeight="1">
      <c r="AE11" s="36"/>
    </row>
    <row r="12" spans="1:42" ht="11.25" hidden="1" customHeight="1">
      <c r="AE12" s="36"/>
    </row>
    <row r="13" spans="1:42" ht="11.25" hidden="1" customHeight="1">
      <c r="AE13" s="36"/>
    </row>
    <row r="14" spans="1:42" ht="11.25" hidden="1" customHeight="1">
      <c r="AE14" s="36"/>
    </row>
    <row r="15" spans="1:42" ht="11.25" hidden="1" customHeight="1">
      <c r="AE15" s="36"/>
    </row>
    <row r="16" spans="1:42" ht="11.25" hidden="1" customHeight="1">
      <c r="AE16" s="36"/>
    </row>
    <row r="17" spans="1:34" ht="11.25" hidden="1" customHeight="1">
      <c r="AE17" s="57"/>
    </row>
    <row r="18" spans="1:34" ht="11.25" hidden="1" customHeight="1">
      <c r="A18" s="498" t="s">
        <v>361</v>
      </c>
      <c r="AC18" s="41" t="s">
        <v>194</v>
      </c>
    </row>
    <row r="19" spans="1:34" ht="11.25" hidden="1" customHeight="1"/>
    <row r="20" spans="1:34" ht="11.25" hidden="1" customHeight="1"/>
    <row r="21" spans="1:34" ht="14.65" customHeight="1">
      <c r="E21" s="460">
        <v>15</v>
      </c>
      <c r="AC21" s="280" t="str" cm="1">
        <f t="array" ref="AC21">tpl_title</f>
        <v>Кемеровская область / 2026 / ООО "Энергосервис г. Гурьевска" (ИНН:4202049045, КПП:420201001) / ДПР: 2024-2028</v>
      </c>
    </row>
    <row r="22" spans="1:34" ht="43.9" customHeight="1">
      <c r="E22" s="460">
        <v>45</v>
      </c>
      <c r="AB22" s="1199"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20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20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20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c r="E23" s="460">
        <v>11.25</v>
      </c>
      <c r="AB23" s="1103"/>
      <c r="AC23" s="1103"/>
      <c r="AD23" s="1103"/>
      <c r="AE23" s="1103"/>
    </row>
    <row r="24" spans="1:34" ht="14.65" customHeight="1">
      <c r="E24" s="460">
        <v>15</v>
      </c>
      <c r="AB24" s="1088" t="s">
        <v>786</v>
      </c>
      <c r="AC24" s="1128" t="s">
        <v>194</v>
      </c>
      <c r="AD24" s="1088" t="s">
        <v>363</v>
      </c>
      <c r="AE24" s="32" t="str">
        <f>god-2&amp;" год"</f>
        <v>2024 год</v>
      </c>
    </row>
    <row r="25" spans="1:34" ht="48.75" customHeight="1">
      <c r="E25" s="460">
        <v>50</v>
      </c>
      <c r="AB25" s="1088"/>
      <c r="AC25" s="1128"/>
      <c r="AD25" s="1125"/>
      <c r="AE25" s="29" t="s">
        <v>2319</v>
      </c>
    </row>
    <row r="26" spans="1:34" ht="11.25" hidden="1" customHeight="1">
      <c r="E26" s="460">
        <v>0</v>
      </c>
      <c r="AB26" s="532"/>
      <c r="AC26" s="531"/>
      <c r="AD26" s="532"/>
      <c r="AE26" s="529"/>
    </row>
    <row r="27" spans="1:34" ht="14.65" hidden="1" customHeight="1">
      <c r="E27" s="460">
        <v>15</v>
      </c>
      <c r="F27" s="280" cm="1">
        <f t="array" ref="F27">X27</f>
        <v>0</v>
      </c>
      <c r="G27" s="41" t="s">
        <v>797</v>
      </c>
      <c r="T27" s="365" t="b">
        <f>X27&gt;0</f>
        <v>0</v>
      </c>
      <c r="V27" s="41" t="s">
        <v>264</v>
      </c>
      <c r="X27" s="1094">
        <v>0</v>
      </c>
      <c r="Z27" s="1095"/>
      <c r="AB27" s="154" t="str" cm="1">
        <f t="array" ref="AB27">INDEX('Общие сведения'!$AG$179:$AG$222,MATCH($X27,'Общие сведения'!$Z$179:$Z$222,0))</f>
        <v xml:space="preserve">Тариф 0 () - </v>
      </c>
      <c r="AC27" s="113"/>
      <c r="AD27" s="107"/>
      <c r="AE27" s="791">
        <f>AE28+AE78+AE115</f>
        <v>0</v>
      </c>
    </row>
    <row r="28" spans="1:34" ht="14.65" hidden="1" customHeight="1">
      <c r="E28" s="460">
        <v>15</v>
      </c>
      <c r="F28" s="3" cm="1">
        <f t="array" aca="1" ref="F28" ca="1">OFFSET(E28,-1,1)</f>
        <v>0</v>
      </c>
      <c r="H28" s="41" t="s">
        <v>327</v>
      </c>
      <c r="T28" s="365" t="b" cm="1">
        <f t="array" ref="T28">T27</f>
        <v>0</v>
      </c>
      <c r="X28" s="1094"/>
      <c r="Z28" s="1095"/>
      <c r="AB28" s="526" t="s">
        <v>275</v>
      </c>
      <c r="AC28" s="411" t="s">
        <v>1931</v>
      </c>
      <c r="AD28" s="412" t="s">
        <v>804</v>
      </c>
      <c r="AE28" s="418">
        <f>AE29+AE47+AE55+AE75</f>
        <v>0</v>
      </c>
      <c r="AH28" s="664" t="s">
        <v>526</v>
      </c>
    </row>
    <row r="29" spans="1:34" ht="14.65" hidden="1" customHeight="1">
      <c r="E29" s="460">
        <v>15</v>
      </c>
      <c r="F29" s="3" cm="1">
        <f t="array" aca="1" ref="F29" ca="1">OFFSET(E29,-1,1)</f>
        <v>0</v>
      </c>
      <c r="H29" s="41" t="s">
        <v>461</v>
      </c>
      <c r="T29" s="365" t="b" cm="1">
        <f t="array" ref="T29">T28</f>
        <v>0</v>
      </c>
      <c r="X29" s="1094"/>
      <c r="Z29" s="1095"/>
      <c r="AB29" s="527" t="s">
        <v>897</v>
      </c>
      <c r="AC29" s="413" t="s">
        <v>1721</v>
      </c>
      <c r="AD29" s="414" t="s">
        <v>804</v>
      </c>
      <c r="AE29" s="418">
        <f>AE30+AE31+AE32+AE37+AE38+AE39</f>
        <v>0</v>
      </c>
      <c r="AH29" s="664" t="s">
        <v>1158</v>
      </c>
    </row>
    <row r="30" spans="1:34" ht="14.65" hidden="1" customHeight="1">
      <c r="E30" s="460">
        <v>15</v>
      </c>
      <c r="F30" s="3" cm="1">
        <f t="array" aca="1" ref="F30" ca="1">OFFSET(E30,-1,1)</f>
        <v>0</v>
      </c>
      <c r="H30" s="41" t="s">
        <v>1004</v>
      </c>
      <c r="T30" s="365" t="b" cm="1">
        <f t="array" ref="T30">T29</f>
        <v>0</v>
      </c>
      <c r="X30" s="1094"/>
      <c r="Z30" s="1095"/>
      <c r="AB30" s="527" t="s">
        <v>1005</v>
      </c>
      <c r="AC30" s="415" t="s">
        <v>2320</v>
      </c>
      <c r="AD30" s="414" t="s">
        <v>804</v>
      </c>
      <c r="AE30" s="929"/>
      <c r="AH30" s="664" t="s">
        <v>1254</v>
      </c>
    </row>
    <row r="31" spans="1:34" ht="21.95" hidden="1" customHeight="1">
      <c r="E31" s="460">
        <v>22.5</v>
      </c>
      <c r="F31" s="3" cm="1">
        <f t="array" aca="1" ref="F31" ca="1">OFFSET(E31,-1,1)</f>
        <v>0</v>
      </c>
      <c r="H31" s="41" t="s">
        <v>1008</v>
      </c>
      <c r="T31" s="365" t="b" cm="1">
        <f t="array" ref="T31">T30</f>
        <v>0</v>
      </c>
      <c r="X31" s="1094"/>
      <c r="Z31" s="1095"/>
      <c r="AB31" s="527" t="s">
        <v>1009</v>
      </c>
      <c r="AC31" s="415" t="s">
        <v>1939</v>
      </c>
      <c r="AD31" s="414" t="s">
        <v>804</v>
      </c>
      <c r="AE31" s="929"/>
      <c r="AH31" s="664" t="s">
        <v>1754</v>
      </c>
    </row>
    <row r="32" spans="1:34" ht="32.85" hidden="1" customHeight="1">
      <c r="E32" s="460">
        <v>33.75</v>
      </c>
      <c r="F32" s="3" cm="1">
        <f t="array" aca="1" ref="F32" ca="1">OFFSET(E32,-1,1)</f>
        <v>0</v>
      </c>
      <c r="H32" s="41" t="s">
        <v>1311</v>
      </c>
      <c r="T32" s="365" t="b" cm="1">
        <f t="array" ref="T32">T31</f>
        <v>0</v>
      </c>
      <c r="X32" s="1094"/>
      <c r="Z32" s="1095"/>
      <c r="AB32" s="527" t="s">
        <v>1312</v>
      </c>
      <c r="AC32" s="415" t="s">
        <v>2321</v>
      </c>
      <c r="AD32" s="414" t="s">
        <v>804</v>
      </c>
      <c r="AE32" s="418">
        <f>AE33+AE36</f>
        <v>0</v>
      </c>
      <c r="AH32" s="664" t="s">
        <v>1756</v>
      </c>
    </row>
    <row r="33" spans="5:34" ht="21.95" hidden="1" customHeight="1">
      <c r="E33" s="460">
        <v>22.5</v>
      </c>
      <c r="F33" s="3" cm="1">
        <f t="array" aca="1" ref="F33" ca="1">OFFSET(E33,-1,1)</f>
        <v>0</v>
      </c>
      <c r="H33" s="41" t="s">
        <v>2322</v>
      </c>
      <c r="T33" s="365" t="b" cm="1">
        <f t="array" ref="T33">T32</f>
        <v>0</v>
      </c>
      <c r="X33" s="1094"/>
      <c r="Z33" s="1095"/>
      <c r="AB33" s="527" t="s">
        <v>2323</v>
      </c>
      <c r="AC33" s="416" t="s">
        <v>2324</v>
      </c>
      <c r="AD33" s="414" t="s">
        <v>804</v>
      </c>
      <c r="AE33" s="929"/>
      <c r="AH33" s="664" t="s">
        <v>1758</v>
      </c>
    </row>
    <row r="34" spans="5:34" ht="21.95" hidden="1" customHeight="1">
      <c r="E34" s="460">
        <v>22.5</v>
      </c>
      <c r="F34" s="3" cm="1">
        <f t="array" aca="1" ref="F34" ca="1">OFFSET(E34,-1,1)</f>
        <v>0</v>
      </c>
      <c r="H34" s="41" t="s">
        <v>2325</v>
      </c>
      <c r="T34" s="365" t="b" cm="1">
        <f t="array" ref="T34">T33</f>
        <v>0</v>
      </c>
      <c r="X34" s="1094"/>
      <c r="Z34" s="1095"/>
      <c r="AB34" s="527" t="s">
        <v>2326</v>
      </c>
      <c r="AC34" s="417" t="s">
        <v>2327</v>
      </c>
      <c r="AD34" s="414" t="s">
        <v>2328</v>
      </c>
      <c r="AE34" s="929"/>
      <c r="AH34" s="664" t="s">
        <v>2329</v>
      </c>
    </row>
    <row r="35" spans="5:34" ht="21.95" hidden="1" customHeight="1">
      <c r="E35" s="460">
        <v>22.5</v>
      </c>
      <c r="F35" s="3" cm="1">
        <f t="array" aca="1" ref="F35" ca="1">OFFSET(E35,-1,1)</f>
        <v>0</v>
      </c>
      <c r="H35" s="41" t="s">
        <v>2330</v>
      </c>
      <c r="T35" s="365" t="b" cm="1">
        <f t="array" ref="T35">T34</f>
        <v>0</v>
      </c>
      <c r="X35" s="1094"/>
      <c r="Z35" s="1095"/>
      <c r="AB35" s="527" t="s">
        <v>2331</v>
      </c>
      <c r="AC35" s="417" t="s">
        <v>2332</v>
      </c>
      <c r="AD35" s="414" t="s">
        <v>2333</v>
      </c>
      <c r="AE35" s="929"/>
      <c r="AH35" s="664" t="s">
        <v>2334</v>
      </c>
    </row>
    <row r="36" spans="5:34" ht="21.95" hidden="1" customHeight="1">
      <c r="E36" s="460">
        <v>22.5</v>
      </c>
      <c r="F36" s="3" cm="1">
        <f t="array" aca="1" ref="F36" ca="1">OFFSET(E36,-1,1)</f>
        <v>0</v>
      </c>
      <c r="H36" s="41" t="s">
        <v>2335</v>
      </c>
      <c r="T36" s="365" t="b" cm="1">
        <f t="array" ref="T36">T35</f>
        <v>0</v>
      </c>
      <c r="X36" s="1094"/>
      <c r="Z36" s="1095"/>
      <c r="AB36" s="527" t="s">
        <v>2336</v>
      </c>
      <c r="AC36" s="416" t="s">
        <v>2337</v>
      </c>
      <c r="AD36" s="414" t="s">
        <v>804</v>
      </c>
      <c r="AE36" s="929"/>
      <c r="AH36" s="664" t="s">
        <v>1760</v>
      </c>
    </row>
    <row r="37" spans="5:34" ht="14.65" hidden="1" customHeight="1">
      <c r="E37" s="460">
        <v>15</v>
      </c>
      <c r="F37" s="3" cm="1">
        <f t="array" aca="1" ref="F37" ca="1">OFFSET(E37,-1,1)</f>
        <v>0</v>
      </c>
      <c r="H37" s="41" t="s">
        <v>1315</v>
      </c>
      <c r="T37" s="365" t="b" cm="1">
        <f t="array" ref="T37">T36</f>
        <v>0</v>
      </c>
      <c r="X37" s="1094"/>
      <c r="Z37" s="1095"/>
      <c r="AB37" s="527" t="s">
        <v>1316</v>
      </c>
      <c r="AC37" s="415" t="s">
        <v>2338</v>
      </c>
      <c r="AD37" s="414" t="s">
        <v>804</v>
      </c>
      <c r="AE37" s="929"/>
      <c r="AH37" s="664" t="s">
        <v>2120</v>
      </c>
    </row>
    <row r="38" spans="5:34" ht="14.65" hidden="1" customHeight="1">
      <c r="E38" s="460">
        <v>15</v>
      </c>
      <c r="F38" s="3" cm="1">
        <f t="array" aca="1" ref="F38" ca="1">OFFSET(E38,-1,1)</f>
        <v>0</v>
      </c>
      <c r="H38" s="41" t="s">
        <v>2339</v>
      </c>
      <c r="T38" s="365" t="b" cm="1">
        <f t="array" ref="T38">T37</f>
        <v>0</v>
      </c>
      <c r="X38" s="1094"/>
      <c r="Z38" s="1095"/>
      <c r="AB38" s="527" t="s">
        <v>1319</v>
      </c>
      <c r="AC38" s="415" t="s">
        <v>1945</v>
      </c>
      <c r="AD38" s="414" t="s">
        <v>804</v>
      </c>
      <c r="AE38" s="929"/>
      <c r="AH38" s="664" t="s">
        <v>1765</v>
      </c>
    </row>
    <row r="39" spans="5:34" ht="14.65" hidden="1" customHeight="1">
      <c r="E39" s="460">
        <v>15</v>
      </c>
      <c r="F39" s="3" cm="1">
        <f t="array" aca="1" ref="F39" ca="1">OFFSET(E39,-1,1)</f>
        <v>0</v>
      </c>
      <c r="H39" s="41" t="s">
        <v>2340</v>
      </c>
      <c r="T39" s="365" t="b" cm="1">
        <f t="array" ref="T39">T38</f>
        <v>0</v>
      </c>
      <c r="X39" s="1094"/>
      <c r="Z39" s="1095"/>
      <c r="AB39" s="527" t="s">
        <v>2341</v>
      </c>
      <c r="AC39" s="415" t="s">
        <v>2342</v>
      </c>
      <c r="AD39" s="414" t="s">
        <v>804</v>
      </c>
      <c r="AE39" s="418">
        <f>SUM(AE40:AE46)</f>
        <v>0</v>
      </c>
      <c r="AH39" s="664" t="s">
        <v>1769</v>
      </c>
    </row>
    <row r="40" spans="5:34" ht="14.65" hidden="1" customHeight="1">
      <c r="E40" s="460">
        <v>15</v>
      </c>
      <c r="F40" s="3" cm="1">
        <f t="array" aca="1" ref="F40" ca="1">OFFSET(E40,-1,1)</f>
        <v>0</v>
      </c>
      <c r="H40" s="41" t="s">
        <v>2343</v>
      </c>
      <c r="T40" s="365" t="b" cm="1">
        <f t="array" ref="T40">T39</f>
        <v>0</v>
      </c>
      <c r="X40" s="1094"/>
      <c r="Z40" s="1095"/>
      <c r="AB40" s="527" t="s">
        <v>2344</v>
      </c>
      <c r="AC40" s="416" t="s">
        <v>1776</v>
      </c>
      <c r="AD40" s="414" t="s">
        <v>804</v>
      </c>
      <c r="AE40" s="929"/>
      <c r="AH40" s="664" t="s">
        <v>2345</v>
      </c>
    </row>
    <row r="41" spans="5:34" ht="21.95" hidden="1" customHeight="1">
      <c r="E41" s="460">
        <v>22.5</v>
      </c>
      <c r="F41" s="3" cm="1">
        <f t="array" aca="1" ref="F41" ca="1">OFFSET(E41,-1,1)</f>
        <v>0</v>
      </c>
      <c r="H41" s="41" t="s">
        <v>2346</v>
      </c>
      <c r="T41" s="365" t="b" cm="1">
        <f t="array" ref="T41">T40</f>
        <v>0</v>
      </c>
      <c r="X41" s="1094"/>
      <c r="Z41" s="1095"/>
      <c r="AB41" s="527" t="s">
        <v>2347</v>
      </c>
      <c r="AC41" s="416" t="s">
        <v>1953</v>
      </c>
      <c r="AD41" s="414" t="s">
        <v>804</v>
      </c>
      <c r="AE41" s="929"/>
      <c r="AH41" s="705" t="s">
        <v>1954</v>
      </c>
    </row>
    <row r="42" spans="5:34" ht="21.95" hidden="1" customHeight="1">
      <c r="E42" s="460">
        <v>22.5</v>
      </c>
      <c r="F42" s="3" cm="1">
        <f t="array" aca="1" ref="F42" ca="1">OFFSET(E42,-1,1)</f>
        <v>0</v>
      </c>
      <c r="H42" s="41" t="s">
        <v>2348</v>
      </c>
      <c r="T42" s="365" t="b" cm="1">
        <f t="array" ref="T42">T41</f>
        <v>0</v>
      </c>
      <c r="X42" s="1094"/>
      <c r="Z42" s="1095"/>
      <c r="AB42" s="527" t="s">
        <v>2349</v>
      </c>
      <c r="AC42" s="416" t="s">
        <v>1957</v>
      </c>
      <c r="AD42" s="414" t="s">
        <v>804</v>
      </c>
      <c r="AE42" s="929"/>
      <c r="AH42" s="705" t="s">
        <v>1958</v>
      </c>
    </row>
    <row r="43" spans="5:34" ht="21.95" hidden="1" customHeight="1">
      <c r="E43" s="460">
        <v>22.5</v>
      </c>
      <c r="F43" s="3" cm="1">
        <f t="array" aca="1" ref="F43" ca="1">OFFSET(E43,-1,1)</f>
        <v>0</v>
      </c>
      <c r="H43" s="41" t="s">
        <v>2350</v>
      </c>
      <c r="T43" s="365" t="b" cm="1">
        <f t="array" ref="T43">T42</f>
        <v>0</v>
      </c>
      <c r="X43" s="1094"/>
      <c r="Z43" s="1095"/>
      <c r="AB43" s="527" t="s">
        <v>2351</v>
      </c>
      <c r="AC43" s="416" t="s">
        <v>2352</v>
      </c>
      <c r="AD43" s="414" t="s">
        <v>804</v>
      </c>
      <c r="AE43" s="929"/>
      <c r="AH43" s="705" t="s">
        <v>1962</v>
      </c>
    </row>
    <row r="44" spans="5:34" ht="54.75" hidden="1" customHeight="1">
      <c r="E44" s="460">
        <v>56.25</v>
      </c>
      <c r="F44" s="3" cm="1">
        <f t="array" aca="1" ref="F44" ca="1">OFFSET(E44,-1,1)</f>
        <v>0</v>
      </c>
      <c r="H44" s="41" t="s">
        <v>2353</v>
      </c>
      <c r="T44" s="365" t="b" cm="1">
        <f t="array" ref="T44">T43</f>
        <v>0</v>
      </c>
      <c r="X44" s="1094"/>
      <c r="Z44" s="1095"/>
      <c r="AB44" s="527" t="s">
        <v>2354</v>
      </c>
      <c r="AC44" s="416" t="s">
        <v>1965</v>
      </c>
      <c r="AD44" s="414" t="s">
        <v>804</v>
      </c>
      <c r="AE44" s="929"/>
      <c r="AH44" s="705" t="s">
        <v>1781</v>
      </c>
    </row>
    <row r="45" spans="5:34" ht="14.65" hidden="1" customHeight="1">
      <c r="E45" s="460">
        <v>15</v>
      </c>
      <c r="F45" s="3" cm="1">
        <f t="array" aca="1" ref="F45" ca="1">OFFSET(E45,-1,1)</f>
        <v>0</v>
      </c>
      <c r="H45" s="41" t="s">
        <v>2355</v>
      </c>
      <c r="T45" s="365" t="b" cm="1">
        <f t="array" ref="T45">T44</f>
        <v>0</v>
      </c>
      <c r="X45" s="1094"/>
      <c r="Z45" s="1095"/>
      <c r="AB45" s="527" t="s">
        <v>2356</v>
      </c>
      <c r="AC45" s="416" t="s">
        <v>1784</v>
      </c>
      <c r="AD45" s="414" t="s">
        <v>804</v>
      </c>
      <c r="AE45" s="929"/>
      <c r="AH45" s="705" t="s">
        <v>1785</v>
      </c>
    </row>
    <row r="46" spans="5:34" ht="14.65" hidden="1" customHeight="1">
      <c r="E46" s="460">
        <v>15</v>
      </c>
      <c r="F46" s="3" cm="1">
        <f t="array" aca="1" ref="F46" ca="1">OFFSET(E46,-1,1)</f>
        <v>0</v>
      </c>
      <c r="H46" s="41" t="s">
        <v>2357</v>
      </c>
      <c r="T46" s="365" t="b" cm="1">
        <f t="array" ref="T46">T45</f>
        <v>0</v>
      </c>
      <c r="X46" s="1094"/>
      <c r="Z46" s="1095"/>
      <c r="AB46" s="527" t="s">
        <v>2358</v>
      </c>
      <c r="AC46" s="416" t="s">
        <v>1246</v>
      </c>
      <c r="AD46" s="414" t="s">
        <v>804</v>
      </c>
      <c r="AE46" s="929"/>
      <c r="AH46" s="705" t="s">
        <v>1769</v>
      </c>
    </row>
    <row r="47" spans="5:34" ht="14.65" hidden="1" customHeight="1">
      <c r="E47" s="460">
        <v>15</v>
      </c>
      <c r="F47" s="3" cm="1">
        <f t="array" aca="1" ref="F47" ca="1">OFFSET(E47,-1,1)</f>
        <v>0</v>
      </c>
      <c r="H47" s="41" t="s">
        <v>465</v>
      </c>
      <c r="T47" s="365" t="b" cm="1">
        <f t="array" ref="T47">T46</f>
        <v>0</v>
      </c>
      <c r="X47" s="1094"/>
      <c r="Z47" s="1095"/>
      <c r="AB47" s="527" t="s">
        <v>900</v>
      </c>
      <c r="AC47" s="413" t="s">
        <v>2359</v>
      </c>
      <c r="AD47" s="414" t="s">
        <v>804</v>
      </c>
      <c r="AE47" s="418">
        <f>AE48+AE49+AE50</f>
        <v>0</v>
      </c>
      <c r="AH47" s="704" t="s">
        <v>1789</v>
      </c>
    </row>
    <row r="48" spans="5:34" ht="14.65" hidden="1" customHeight="1">
      <c r="E48" s="460">
        <v>15</v>
      </c>
      <c r="F48" s="3" cm="1">
        <f t="array" aca="1" ref="F48" ca="1">OFFSET(E48,-1,1)</f>
        <v>0</v>
      </c>
      <c r="H48" s="41" t="s">
        <v>1336</v>
      </c>
      <c r="T48" s="365" t="b" cm="1">
        <f t="array" ref="T48">T47</f>
        <v>0</v>
      </c>
      <c r="X48" s="1094"/>
      <c r="Z48" s="1095"/>
      <c r="AB48" s="527" t="s">
        <v>1337</v>
      </c>
      <c r="AC48" s="415" t="s">
        <v>2360</v>
      </c>
      <c r="AD48" s="414" t="s">
        <v>804</v>
      </c>
      <c r="AE48" s="929"/>
      <c r="AH48" s="703" t="s">
        <v>1791</v>
      </c>
    </row>
    <row r="49" spans="5:34" ht="14.65" hidden="1" customHeight="1">
      <c r="E49" s="460">
        <v>15</v>
      </c>
      <c r="F49" s="3" cm="1">
        <f t="array" aca="1" ref="F49" ca="1">OFFSET(E49,-1,1)</f>
        <v>0</v>
      </c>
      <c r="H49" s="41" t="s">
        <v>1339</v>
      </c>
      <c r="T49" s="365" t="b" cm="1">
        <f t="array" ref="T49">T48</f>
        <v>0</v>
      </c>
      <c r="X49" s="1094"/>
      <c r="Z49" s="1095"/>
      <c r="AB49" s="527" t="s">
        <v>1340</v>
      </c>
      <c r="AC49" s="415" t="s">
        <v>2361</v>
      </c>
      <c r="AD49" s="414" t="s">
        <v>804</v>
      </c>
      <c r="AE49" s="929"/>
      <c r="AH49" s="705" t="s">
        <v>1973</v>
      </c>
    </row>
    <row r="50" spans="5:34" ht="21.95" hidden="1" customHeight="1">
      <c r="E50" s="460">
        <v>22.5</v>
      </c>
      <c r="F50" s="3" cm="1">
        <f t="array" aca="1" ref="F50" ca="1">OFFSET(E50,-1,1)</f>
        <v>0</v>
      </c>
      <c r="H50" s="41" t="s">
        <v>1343</v>
      </c>
      <c r="T50" s="365" t="b" cm="1">
        <f t="array" ref="T50">T49</f>
        <v>0</v>
      </c>
      <c r="X50" s="1094"/>
      <c r="Z50" s="1095"/>
      <c r="AB50" s="527" t="s">
        <v>1344</v>
      </c>
      <c r="AC50" s="415" t="s">
        <v>2362</v>
      </c>
      <c r="AD50" s="414" t="s">
        <v>804</v>
      </c>
      <c r="AE50" s="418">
        <f>AE51+AE54</f>
        <v>0</v>
      </c>
      <c r="AH50" s="703" t="s">
        <v>1793</v>
      </c>
    </row>
    <row r="51" spans="5:34" ht="14.65" hidden="1" customHeight="1">
      <c r="E51" s="460">
        <v>15</v>
      </c>
      <c r="F51" s="3" cm="1">
        <f t="array" aca="1" ref="F51" ca="1">OFFSET(E51,-1,1)</f>
        <v>0</v>
      </c>
      <c r="H51" s="41" t="s">
        <v>1487</v>
      </c>
      <c r="T51" s="365" t="b" cm="1">
        <f t="array" ref="T51">T50</f>
        <v>0</v>
      </c>
      <c r="X51" s="1094"/>
      <c r="Z51" s="1095"/>
      <c r="AB51" s="527" t="s">
        <v>1942</v>
      </c>
      <c r="AC51" s="416" t="s">
        <v>1795</v>
      </c>
      <c r="AD51" s="414" t="s">
        <v>804</v>
      </c>
      <c r="AE51" s="929"/>
      <c r="AH51" s="703" t="s">
        <v>1796</v>
      </c>
    </row>
    <row r="52" spans="5:34" ht="14.65" hidden="1" customHeight="1">
      <c r="E52" s="460">
        <v>15</v>
      </c>
      <c r="F52" s="3" cm="1">
        <f t="array" aca="1" ref="F52" ca="1">OFFSET(E52,-1,1)</f>
        <v>0</v>
      </c>
      <c r="H52" s="41" t="s">
        <v>2363</v>
      </c>
      <c r="T52" s="365" t="b" cm="1">
        <f t="array" ref="T52">T51</f>
        <v>0</v>
      </c>
      <c r="X52" s="1094"/>
      <c r="Z52" s="1095"/>
      <c r="AB52" s="527" t="s">
        <v>2364</v>
      </c>
      <c r="AC52" s="417" t="s">
        <v>2365</v>
      </c>
      <c r="AD52" s="414" t="s">
        <v>2328</v>
      </c>
      <c r="AE52" s="929"/>
      <c r="AH52" s="664" t="s">
        <v>2366</v>
      </c>
    </row>
    <row r="53" spans="5:34" ht="14.65" hidden="1" customHeight="1">
      <c r="E53" s="460">
        <v>15</v>
      </c>
      <c r="F53" s="3" cm="1">
        <f t="array" aca="1" ref="F53" ca="1">OFFSET(E53,-1,1)</f>
        <v>0</v>
      </c>
      <c r="H53" s="41" t="s">
        <v>2367</v>
      </c>
      <c r="T53" s="365" t="b" cm="1">
        <f t="array" ref="T53">T52</f>
        <v>0</v>
      </c>
      <c r="X53" s="1094"/>
      <c r="Z53" s="1095"/>
      <c r="AB53" s="527" t="s">
        <v>2368</v>
      </c>
      <c r="AC53" s="417" t="s">
        <v>2369</v>
      </c>
      <c r="AD53" s="414" t="s">
        <v>2333</v>
      </c>
      <c r="AE53" s="929"/>
      <c r="AH53" s="664" t="s">
        <v>2370</v>
      </c>
    </row>
    <row r="54" spans="5:34" ht="21.95" hidden="1" customHeight="1">
      <c r="E54" s="460">
        <v>22.5</v>
      </c>
      <c r="F54" s="3" cm="1">
        <f t="array" aca="1" ref="F54" ca="1">OFFSET(E54,-1,1)</f>
        <v>0</v>
      </c>
      <c r="H54" s="41" t="s">
        <v>1491</v>
      </c>
      <c r="T54" s="365" t="b" cm="1">
        <f t="array" ref="T54">T53</f>
        <v>0</v>
      </c>
      <c r="X54" s="1094"/>
      <c r="Z54" s="1095"/>
      <c r="AB54" s="527" t="s">
        <v>1943</v>
      </c>
      <c r="AC54" s="416" t="s">
        <v>1979</v>
      </c>
      <c r="AD54" s="414" t="s">
        <v>804</v>
      </c>
      <c r="AE54" s="929"/>
      <c r="AH54" s="703" t="s">
        <v>1799</v>
      </c>
    </row>
    <row r="55" spans="5:34" ht="14.65" hidden="1" customHeight="1">
      <c r="E55" s="460">
        <v>15</v>
      </c>
      <c r="F55" s="3" cm="1">
        <f t="array" aca="1" ref="F55" ca="1">OFFSET(E55,-1,1)</f>
        <v>0</v>
      </c>
      <c r="H55" s="41" t="s">
        <v>468</v>
      </c>
      <c r="T55" s="365" t="b" cm="1">
        <f t="array" ref="T55">T54</f>
        <v>0</v>
      </c>
      <c r="X55" s="1094"/>
      <c r="Z55" s="1095"/>
      <c r="AB55" s="527" t="s">
        <v>903</v>
      </c>
      <c r="AC55" s="413" t="s">
        <v>1980</v>
      </c>
      <c r="AD55" s="414" t="s">
        <v>804</v>
      </c>
      <c r="AE55" s="418">
        <f>AE56+AE62+AE67+AE68+AE69+AE70+AE71</f>
        <v>0</v>
      </c>
      <c r="AH55" s="704" t="s">
        <v>1801</v>
      </c>
    </row>
    <row r="56" spans="5:34" ht="21.95" hidden="1" customHeight="1">
      <c r="E56" s="460">
        <v>22.5</v>
      </c>
      <c r="F56" s="3" cm="1">
        <f t="array" aca="1" ref="F56" ca="1">OFFSET(E56,-1,1)</f>
        <v>0</v>
      </c>
      <c r="H56" s="41" t="s">
        <v>1349</v>
      </c>
      <c r="T56" s="365" t="b" cm="1">
        <f t="array" ref="T56">T55</f>
        <v>0</v>
      </c>
      <c r="X56" s="1094"/>
      <c r="Z56" s="1095"/>
      <c r="AB56" s="527" t="s">
        <v>1350</v>
      </c>
      <c r="AC56" s="415" t="s">
        <v>1802</v>
      </c>
      <c r="AD56" s="414" t="s">
        <v>804</v>
      </c>
      <c r="AE56" s="418">
        <f>SUM(AE57:AE61)</f>
        <v>0</v>
      </c>
      <c r="AH56" s="703" t="s">
        <v>1199</v>
      </c>
    </row>
    <row r="57" spans="5:34" ht="14.65" hidden="1" customHeight="1">
      <c r="E57" s="460">
        <v>15</v>
      </c>
      <c r="F57" s="3" cm="1">
        <f t="array" aca="1" ref="F57" ca="1">OFFSET(E57,-1,1)</f>
        <v>0</v>
      </c>
      <c r="H57" s="41" t="s">
        <v>2371</v>
      </c>
      <c r="T57" s="365" t="b" cm="1">
        <f t="array" ref="T57">T56</f>
        <v>0</v>
      </c>
      <c r="X57" s="1094"/>
      <c r="Z57" s="1095"/>
      <c r="AB57" s="527" t="s">
        <v>2372</v>
      </c>
      <c r="AC57" s="416" t="s">
        <v>1201</v>
      </c>
      <c r="AD57" s="414" t="s">
        <v>804</v>
      </c>
      <c r="AE57" s="929"/>
      <c r="AH57" s="705" t="s">
        <v>1202</v>
      </c>
    </row>
    <row r="58" spans="5:34" ht="14.65" hidden="1" customHeight="1">
      <c r="E58" s="460">
        <v>15</v>
      </c>
      <c r="F58" s="3" cm="1">
        <f t="array" aca="1" ref="F58" ca="1">OFFSET(E58,-1,1)</f>
        <v>0</v>
      </c>
      <c r="H58" s="41" t="s">
        <v>2373</v>
      </c>
      <c r="T58" s="365" t="b" cm="1">
        <f t="array" ref="T58">T57</f>
        <v>0</v>
      </c>
      <c r="X58" s="1094"/>
      <c r="Z58" s="1095"/>
      <c r="AB58" s="527" t="s">
        <v>2374</v>
      </c>
      <c r="AC58" s="416" t="s">
        <v>1204</v>
      </c>
      <c r="AD58" s="414" t="s">
        <v>804</v>
      </c>
      <c r="AE58" s="929"/>
      <c r="AH58" s="705" t="s">
        <v>1205</v>
      </c>
    </row>
    <row r="59" spans="5:34" ht="14.65" hidden="1" customHeight="1">
      <c r="E59" s="460">
        <v>15</v>
      </c>
      <c r="F59" s="3" cm="1">
        <f t="array" aca="1" ref="F59" ca="1">OFFSET(E59,-1,1)</f>
        <v>0</v>
      </c>
      <c r="H59" s="41" t="s">
        <v>2375</v>
      </c>
      <c r="T59" s="365" t="b" cm="1">
        <f t="array" ref="T59">T58</f>
        <v>0</v>
      </c>
      <c r="X59" s="1094"/>
      <c r="Z59" s="1095"/>
      <c r="AB59" s="527" t="s">
        <v>2376</v>
      </c>
      <c r="AC59" s="416" t="s">
        <v>1207</v>
      </c>
      <c r="AD59" s="414" t="s">
        <v>804</v>
      </c>
      <c r="AE59" s="929"/>
      <c r="AH59" s="705" t="s">
        <v>1208</v>
      </c>
    </row>
    <row r="60" spans="5:34" ht="14.65" hidden="1" customHeight="1">
      <c r="E60" s="460">
        <v>15</v>
      </c>
      <c r="F60" s="3" cm="1">
        <f t="array" aca="1" ref="F60" ca="1">OFFSET(E60,-1,1)</f>
        <v>0</v>
      </c>
      <c r="H60" s="41" t="s">
        <v>2377</v>
      </c>
      <c r="T60" s="365" t="b" cm="1">
        <f t="array" ref="T60">T59</f>
        <v>0</v>
      </c>
      <c r="X60" s="1094"/>
      <c r="Z60" s="1095"/>
      <c r="AB60" s="527" t="s">
        <v>2378</v>
      </c>
      <c r="AC60" s="416" t="s">
        <v>1210</v>
      </c>
      <c r="AD60" s="414" t="s">
        <v>804</v>
      </c>
      <c r="AE60" s="929"/>
      <c r="AH60" s="705" t="s">
        <v>1211</v>
      </c>
    </row>
    <row r="61" spans="5:34" ht="14.65" hidden="1" customHeight="1">
      <c r="E61" s="460">
        <v>15</v>
      </c>
      <c r="F61" s="3" cm="1">
        <f t="array" aca="1" ref="F61" ca="1">OFFSET(E61,-1,1)</f>
        <v>0</v>
      </c>
      <c r="H61" s="41" t="s">
        <v>2379</v>
      </c>
      <c r="T61" s="365" t="b" cm="1">
        <f t="array" ref="T61">T60</f>
        <v>0</v>
      </c>
      <c r="X61" s="1094"/>
      <c r="Z61" s="1095"/>
      <c r="AB61" s="527" t="s">
        <v>2380</v>
      </c>
      <c r="AC61" s="416" t="s">
        <v>1218</v>
      </c>
      <c r="AD61" s="414" t="s">
        <v>804</v>
      </c>
      <c r="AE61" s="929"/>
      <c r="AH61" s="705" t="s">
        <v>1219</v>
      </c>
    </row>
    <row r="62" spans="5:34" ht="32.85" hidden="1" customHeight="1">
      <c r="E62" s="460">
        <v>33.75</v>
      </c>
      <c r="F62" s="3" cm="1">
        <f t="array" aca="1" ref="F62" ca="1">OFFSET(E62,-1,1)</f>
        <v>0</v>
      </c>
      <c r="H62" s="41" t="s">
        <v>1353</v>
      </c>
      <c r="T62" s="365" t="b" cm="1">
        <f t="array" ref="T62">T61</f>
        <v>0</v>
      </c>
      <c r="X62" s="1094"/>
      <c r="Z62" s="1095"/>
      <c r="AB62" s="527" t="s">
        <v>1354</v>
      </c>
      <c r="AC62" s="415" t="s">
        <v>2381</v>
      </c>
      <c r="AD62" s="414" t="s">
        <v>804</v>
      </c>
      <c r="AE62" s="418">
        <f>AE63+AE66</f>
        <v>0</v>
      </c>
      <c r="AH62" s="703" t="s">
        <v>1804</v>
      </c>
    </row>
    <row r="63" spans="5:34" ht="21.95" hidden="1" customHeight="1">
      <c r="E63" s="460">
        <v>22.5</v>
      </c>
      <c r="F63" s="3" cm="1">
        <f t="array" aca="1" ref="F63" ca="1">OFFSET(E63,-1,1)</f>
        <v>0</v>
      </c>
      <c r="H63" s="41" t="s">
        <v>2382</v>
      </c>
      <c r="T63" s="365" t="b" cm="1">
        <f t="array" ref="T63">T62</f>
        <v>0</v>
      </c>
      <c r="X63" s="1094"/>
      <c r="Z63" s="1095"/>
      <c r="AB63" s="527" t="s">
        <v>2383</v>
      </c>
      <c r="AC63" s="416" t="s">
        <v>1805</v>
      </c>
      <c r="AD63" s="414" t="s">
        <v>804</v>
      </c>
      <c r="AE63" s="929"/>
      <c r="AH63" s="703" t="s">
        <v>1196</v>
      </c>
    </row>
    <row r="64" spans="5:34" ht="14.65" hidden="1" customHeight="1">
      <c r="E64" s="460">
        <v>15</v>
      </c>
      <c r="F64" s="3" cm="1">
        <f t="array" aca="1" ref="F64" ca="1">OFFSET(E64,-1,1)</f>
        <v>0</v>
      </c>
      <c r="H64" s="41" t="s">
        <v>2384</v>
      </c>
      <c r="T64" s="365" t="b" cm="1">
        <f t="array" ref="T64">T63</f>
        <v>0</v>
      </c>
      <c r="X64" s="1094"/>
      <c r="Z64" s="1095"/>
      <c r="AB64" s="527" t="s">
        <v>2385</v>
      </c>
      <c r="AC64" s="417" t="s">
        <v>2386</v>
      </c>
      <c r="AD64" s="414" t="s">
        <v>2328</v>
      </c>
      <c r="AE64" s="929"/>
      <c r="AH64" s="664" t="s">
        <v>2387</v>
      </c>
    </row>
    <row r="65" spans="1:38" ht="21.95" hidden="1" customHeight="1">
      <c r="E65" s="460">
        <v>22.5</v>
      </c>
      <c r="F65" s="3" cm="1">
        <f t="array" aca="1" ref="F65" ca="1">OFFSET(E65,-1,1)</f>
        <v>0</v>
      </c>
      <c r="H65" s="41" t="s">
        <v>2388</v>
      </c>
      <c r="T65" s="365" t="b" cm="1">
        <f t="array" ref="T65">T64</f>
        <v>0</v>
      </c>
      <c r="X65" s="1094"/>
      <c r="Z65" s="1095"/>
      <c r="AB65" s="527" t="s">
        <v>2389</v>
      </c>
      <c r="AC65" s="417" t="s">
        <v>2390</v>
      </c>
      <c r="AD65" s="414" t="s">
        <v>2333</v>
      </c>
      <c r="AE65" s="929"/>
      <c r="AH65" s="664" t="s">
        <v>2391</v>
      </c>
    </row>
    <row r="66" spans="1:38" ht="21.95" hidden="1" customHeight="1">
      <c r="E66" s="460">
        <v>22.5</v>
      </c>
      <c r="F66" s="3" cm="1">
        <f t="array" aca="1" ref="F66" ca="1">OFFSET(E66,-1,1)</f>
        <v>0</v>
      </c>
      <c r="H66" s="41" t="s">
        <v>2392</v>
      </c>
      <c r="T66" s="365" t="b" cm="1">
        <f t="array" ref="T66">T65</f>
        <v>0</v>
      </c>
      <c r="X66" s="1094"/>
      <c r="Z66" s="1095"/>
      <c r="AB66" s="527" t="s">
        <v>2393</v>
      </c>
      <c r="AC66" s="416" t="s">
        <v>2003</v>
      </c>
      <c r="AD66" s="414" t="s">
        <v>804</v>
      </c>
      <c r="AE66" s="929"/>
      <c r="AH66" s="703" t="s">
        <v>1807</v>
      </c>
    </row>
    <row r="67" spans="1:38" ht="21.95" hidden="1" customHeight="1">
      <c r="E67" s="460">
        <v>22.5</v>
      </c>
      <c r="F67" s="3" cm="1">
        <f t="array" aca="1" ref="F67" ca="1">OFFSET(E67,-1,1)</f>
        <v>0</v>
      </c>
      <c r="H67" s="41" t="s">
        <v>1357</v>
      </c>
      <c r="T67" s="365" t="b" cm="1">
        <f t="array" ref="T67">T66</f>
        <v>0</v>
      </c>
      <c r="X67" s="1094"/>
      <c r="Z67" s="1095"/>
      <c r="AB67" s="527" t="s">
        <v>1358</v>
      </c>
      <c r="AC67" s="415" t="s">
        <v>2394</v>
      </c>
      <c r="AD67" s="414" t="s">
        <v>804</v>
      </c>
      <c r="AE67" s="929"/>
      <c r="AH67" s="703" t="s">
        <v>1227</v>
      </c>
    </row>
    <row r="68" spans="1:38" ht="14.65" hidden="1" customHeight="1">
      <c r="E68" s="460">
        <v>15</v>
      </c>
      <c r="F68" s="3" cm="1">
        <f t="array" aca="1" ref="F68" ca="1">OFFSET(E68,-1,1)</f>
        <v>0</v>
      </c>
      <c r="H68" s="41" t="s">
        <v>2395</v>
      </c>
      <c r="T68" s="365" t="b" cm="1">
        <f t="array" ref="T68">T67</f>
        <v>0</v>
      </c>
      <c r="X68" s="1094"/>
      <c r="Z68" s="1095"/>
      <c r="AB68" s="527" t="s">
        <v>2396</v>
      </c>
      <c r="AC68" s="415" t="s">
        <v>1229</v>
      </c>
      <c r="AD68" s="414" t="s">
        <v>804</v>
      </c>
      <c r="AE68" s="929"/>
      <c r="AH68" s="703" t="s">
        <v>1230</v>
      </c>
    </row>
    <row r="69" spans="1:38" ht="14.65" hidden="1" customHeight="1">
      <c r="E69" s="460">
        <v>15</v>
      </c>
      <c r="F69" s="3" cm="1">
        <f t="array" aca="1" ref="F69" ca="1">OFFSET(E69,-1,1)</f>
        <v>0</v>
      </c>
      <c r="H69" s="41" t="s">
        <v>2397</v>
      </c>
      <c r="T69" s="365" t="b" cm="1">
        <f t="array" ref="T69">T68</f>
        <v>0</v>
      </c>
      <c r="X69" s="1094"/>
      <c r="Z69" s="1095"/>
      <c r="AB69" s="527" t="s">
        <v>2398</v>
      </c>
      <c r="AC69" s="415" t="s">
        <v>1232</v>
      </c>
      <c r="AD69" s="414" t="s">
        <v>804</v>
      </c>
      <c r="AE69" s="929"/>
      <c r="AH69" s="703" t="s">
        <v>1233</v>
      </c>
    </row>
    <row r="70" spans="1:38" ht="21.95" hidden="1" customHeight="1">
      <c r="E70" s="460">
        <v>22.5</v>
      </c>
      <c r="F70" s="3" cm="1">
        <f t="array" aca="1" ref="F70" ca="1">OFFSET(E70,-1,1)</f>
        <v>0</v>
      </c>
      <c r="H70" s="41" t="s">
        <v>2399</v>
      </c>
      <c r="T70" s="365" t="b" cm="1">
        <f t="array" ref="T70">T69</f>
        <v>0</v>
      </c>
      <c r="X70" s="1094"/>
      <c r="Z70" s="1095"/>
      <c r="AB70" s="527" t="s">
        <v>2400</v>
      </c>
      <c r="AC70" s="415" t="s">
        <v>2401</v>
      </c>
      <c r="AD70" s="414" t="s">
        <v>804</v>
      </c>
      <c r="AE70" s="929"/>
      <c r="AH70" s="703" t="s">
        <v>1809</v>
      </c>
    </row>
    <row r="71" spans="1:38" ht="14.65" hidden="1" customHeight="1">
      <c r="E71" s="460">
        <v>15</v>
      </c>
      <c r="F71" s="3" cm="1">
        <f t="array" aca="1" ref="F71" ca="1">OFFSET(E71,-1,1)</f>
        <v>0</v>
      </c>
      <c r="H71" s="41" t="s">
        <v>2402</v>
      </c>
      <c r="T71" s="365" t="b" cm="1">
        <f t="array" ref="T71">T70</f>
        <v>0</v>
      </c>
      <c r="X71" s="1094"/>
      <c r="Z71" s="1095"/>
      <c r="AB71" s="527" t="s">
        <v>2403</v>
      </c>
      <c r="AC71" s="415" t="s">
        <v>2404</v>
      </c>
      <c r="AD71" s="414" t="s">
        <v>804</v>
      </c>
      <c r="AE71" s="418">
        <f>AE72+AE73+AE74</f>
        <v>0</v>
      </c>
      <c r="AH71" s="703" t="s">
        <v>1811</v>
      </c>
    </row>
    <row r="72" spans="1:38" ht="14.65" hidden="1" customHeight="1">
      <c r="E72" s="460">
        <v>15</v>
      </c>
      <c r="F72" s="3" cm="1">
        <f t="array" aca="1" ref="F72" ca="1">OFFSET(E72,-1,1)</f>
        <v>0</v>
      </c>
      <c r="H72" s="41" t="s">
        <v>2405</v>
      </c>
      <c r="T72" s="365" t="b" cm="1">
        <f t="array" ref="T72">T71</f>
        <v>0</v>
      </c>
      <c r="X72" s="1094"/>
      <c r="Z72" s="1095"/>
      <c r="AB72" s="527" t="s">
        <v>2406</v>
      </c>
      <c r="AC72" s="416" t="s">
        <v>2407</v>
      </c>
      <c r="AD72" s="414" t="s">
        <v>804</v>
      </c>
      <c r="AE72" s="929"/>
      <c r="AH72" s="703" t="s">
        <v>1815</v>
      </c>
    </row>
    <row r="73" spans="1:38" ht="14.65" hidden="1" customHeight="1">
      <c r="E73" s="460">
        <v>15</v>
      </c>
      <c r="F73" s="3" cm="1">
        <f t="array" aca="1" ref="F73" ca="1">OFFSET(E73,-1,1)</f>
        <v>0</v>
      </c>
      <c r="H73" s="41" t="s">
        <v>2408</v>
      </c>
      <c r="T73" s="365" t="b" cm="1">
        <f t="array" ref="T73">T72</f>
        <v>0</v>
      </c>
      <c r="X73" s="1094"/>
      <c r="Z73" s="1095"/>
      <c r="AB73" s="527" t="s">
        <v>2409</v>
      </c>
      <c r="AC73" s="416" t="s">
        <v>2410</v>
      </c>
      <c r="AD73" s="414" t="s">
        <v>804</v>
      </c>
      <c r="AE73" s="929"/>
      <c r="AH73" s="703" t="s">
        <v>1818</v>
      </c>
    </row>
    <row r="74" spans="1:38" ht="14.65" hidden="1" customHeight="1">
      <c r="E74" s="460">
        <v>15</v>
      </c>
      <c r="F74" s="3" cm="1">
        <f t="array" aca="1" ref="F74" ca="1">OFFSET(E74,-1,1)</f>
        <v>0</v>
      </c>
      <c r="H74" s="41" t="s">
        <v>2411</v>
      </c>
      <c r="T74" s="365" t="b" cm="1">
        <f t="array" ref="T74">T73</f>
        <v>0</v>
      </c>
      <c r="X74" s="1094"/>
      <c r="Z74" s="1095"/>
      <c r="AB74" s="527" t="s">
        <v>2412</v>
      </c>
      <c r="AC74" s="416" t="s">
        <v>1246</v>
      </c>
      <c r="AD74" s="414" t="s">
        <v>804</v>
      </c>
      <c r="AE74" s="929"/>
      <c r="AH74" s="703" t="s">
        <v>1821</v>
      </c>
    </row>
    <row r="75" spans="1:38" ht="14.65" hidden="1" customHeight="1">
      <c r="E75" s="460">
        <v>15</v>
      </c>
      <c r="F75" s="3" cm="1">
        <f t="array" aca="1" ref="F75" ca="1">OFFSET(E75,-1,1)</f>
        <v>0</v>
      </c>
      <c r="H75" s="41" t="s">
        <v>472</v>
      </c>
      <c r="T75" s="365" t="b" cm="1">
        <f t="array" ref="T75">T74</f>
        <v>0</v>
      </c>
      <c r="X75" s="1094"/>
      <c r="Z75" s="1095"/>
      <c r="AB75" s="527" t="s">
        <v>906</v>
      </c>
      <c r="AC75" s="413" t="s">
        <v>2413</v>
      </c>
      <c r="AD75" s="414" t="s">
        <v>804</v>
      </c>
      <c r="AE75" s="418">
        <f>SUM(AE76:AE77)</f>
        <v>0</v>
      </c>
      <c r="AH75" s="705" t="s">
        <v>2414</v>
      </c>
    </row>
    <row r="76" spans="1:38" ht="14.65" hidden="1" customHeight="1">
      <c r="E76" s="460">
        <v>15</v>
      </c>
      <c r="F76" s="3" cm="1">
        <f t="array" aca="1" ref="F76" ca="1">OFFSET(E76,-1,1)</f>
        <v>0</v>
      </c>
      <c r="H76" s="41" t="s">
        <v>472</v>
      </c>
      <c r="I76" s="422" cm="1">
        <f t="array" ref="I76">AC76</f>
        <v>0</v>
      </c>
      <c r="T76" s="365" t="b">
        <f ca="1">AND(F76&gt;0,Y76&gt;0)</f>
        <v>0</v>
      </c>
      <c r="W76" s="36" t="s">
        <v>173</v>
      </c>
      <c r="X76" s="1094"/>
      <c r="Y76" s="41">
        <v>0</v>
      </c>
      <c r="Z76" s="1095"/>
      <c r="AA76" s="493" t="s">
        <v>174</v>
      </c>
      <c r="AB76" s="527" t="str">
        <f>"1.4."&amp;Y76</f>
        <v>1.4.0</v>
      </c>
      <c r="AC76" s="975"/>
      <c r="AD76" s="414" t="s">
        <v>804</v>
      </c>
      <c r="AE76" s="929"/>
      <c r="AH76" s="705" t="s">
        <v>2414</v>
      </c>
      <c r="AI76" s="664" t="s">
        <v>2415</v>
      </c>
      <c r="AJ76" s="664" cm="1">
        <f t="array" ref="AJ76">AC76</f>
        <v>0</v>
      </c>
      <c r="AL76" s="491" t="b">
        <v>1</v>
      </c>
    </row>
    <row r="77" spans="1:38" ht="14.65" hidden="1" customHeight="1">
      <c r="E77" s="460">
        <v>15</v>
      </c>
      <c r="F77" s="3" cm="1">
        <f t="array" aca="1" ref="F77" ca="1">OFFSET(E77,-1,1)</f>
        <v>0</v>
      </c>
      <c r="I77" s="91" t="str">
        <f>"!== 'не определено' &amp;&amp; row.l1_4 !== null"</f>
        <v>!== 'не определено' &amp;&amp; row.l1_4 !== null</v>
      </c>
      <c r="T77" s="365" t="b">
        <f ca="1">F77&gt;0</f>
        <v>0</v>
      </c>
      <c r="W77" s="517" t="s">
        <v>392</v>
      </c>
      <c r="X77" s="1094"/>
      <c r="Z77" s="1095"/>
      <c r="AB77" s="792"/>
      <c r="AC77" s="793" t="s">
        <v>177</v>
      </c>
      <c r="AD77" s="794"/>
      <c r="AE77" s="804"/>
      <c r="AK77" s="491" t="s">
        <v>2415</v>
      </c>
    </row>
    <row r="78" spans="1:38" ht="14.65" hidden="1" customHeight="1">
      <c r="E78" s="460">
        <v>15</v>
      </c>
      <c r="F78" s="3" cm="1">
        <f t="array" aca="1" ref="F78" ca="1">OFFSET(E78,-1,1)</f>
        <v>0</v>
      </c>
      <c r="H78" s="41" t="s">
        <v>328</v>
      </c>
      <c r="T78" s="365" t="b" cm="1">
        <f t="array" aca="1" ref="T78" ca="1">T77</f>
        <v>0</v>
      </c>
      <c r="X78" s="1094"/>
      <c r="Z78" s="1095"/>
      <c r="AB78" s="526" t="s">
        <v>285</v>
      </c>
      <c r="AC78" s="411" t="s">
        <v>2028</v>
      </c>
      <c r="AD78" s="412" t="s">
        <v>804</v>
      </c>
      <c r="AE78" s="418">
        <f>AE79+AE91+AE92+AE102+AE103+AE104+AE107+AE108+AE109+AE110+AE111+AE112</f>
        <v>0</v>
      </c>
      <c r="AH78" s="664" t="s">
        <v>2416</v>
      </c>
    </row>
    <row r="79" spans="1:38" s="23" customFormat="1" ht="26.25" hidden="1" customHeight="1">
      <c r="A79" s="498"/>
      <c r="B79" s="41"/>
      <c r="C79" s="41"/>
      <c r="D79" s="41"/>
      <c r="E79" s="460">
        <v>27</v>
      </c>
      <c r="F79" s="280" cm="1">
        <f t="array" aca="1" ref="F79" ca="1">OFFSET(E79,-1,1)</f>
        <v>0</v>
      </c>
      <c r="G79" s="41"/>
      <c r="H79" s="41"/>
      <c r="I79" s="41"/>
      <c r="J79" s="41"/>
      <c r="K79" s="41"/>
      <c r="L79" s="41"/>
      <c r="M79" s="41"/>
      <c r="N79" s="41"/>
      <c r="O79" s="41"/>
      <c r="P79" s="41"/>
      <c r="Q79" s="41"/>
      <c r="R79" s="41"/>
      <c r="S79" s="41"/>
      <c r="T79" s="365" t="b" cm="1">
        <f t="array" aca="1" ref="T79" ca="1">T78</f>
        <v>0</v>
      </c>
      <c r="U79" s="41"/>
      <c r="V79" s="41"/>
      <c r="W79" s="41"/>
      <c r="X79" s="1094"/>
      <c r="Y79" s="41"/>
      <c r="Z79" s="1095"/>
      <c r="AA79" s="41"/>
      <c r="AB79" s="527" t="s">
        <v>537</v>
      </c>
      <c r="AC79" s="795" t="s">
        <v>2030</v>
      </c>
      <c r="AD79" s="412" t="s">
        <v>804</v>
      </c>
      <c r="AE79" s="418">
        <f>SUM(AE80:AE90)</f>
        <v>0</v>
      </c>
      <c r="AF79" s="327"/>
      <c r="AG79" s="327"/>
      <c r="AH79" s="705" t="s">
        <v>1247</v>
      </c>
      <c r="AI79" s="664"/>
      <c r="AJ79" s="664"/>
      <c r="AK79" s="491"/>
      <c r="AL79" s="491"/>
    </row>
    <row r="80" spans="1:38" s="23" customFormat="1" ht="14.65" hidden="1" customHeight="1">
      <c r="A80" s="498"/>
      <c r="B80" s="41"/>
      <c r="C80" s="41"/>
      <c r="D80" s="41"/>
      <c r="E80" s="460">
        <v>15</v>
      </c>
      <c r="F80" s="280" cm="1">
        <f t="array" aca="1" ref="F80" ca="1">OFFSET(E80,-1,1)</f>
        <v>0</v>
      </c>
      <c r="G80" s="41"/>
      <c r="H80" s="41"/>
      <c r="I80" s="41"/>
      <c r="J80" s="41"/>
      <c r="K80" s="41"/>
      <c r="L80" s="41"/>
      <c r="M80" s="41"/>
      <c r="N80" s="41"/>
      <c r="O80" s="41"/>
      <c r="P80" s="41"/>
      <c r="Q80" s="41"/>
      <c r="R80" s="41"/>
      <c r="S80" s="41"/>
      <c r="T80" s="365" t="b" cm="1">
        <f t="array" aca="1" ref="T80" ca="1">T79</f>
        <v>0</v>
      </c>
      <c r="U80" s="41"/>
      <c r="V80" s="41"/>
      <c r="W80" s="41"/>
      <c r="X80" s="1094"/>
      <c r="Y80" s="41"/>
      <c r="Z80" s="1095"/>
      <c r="AA80" s="41"/>
      <c r="AB80" s="527" t="s">
        <v>487</v>
      </c>
      <c r="AC80" s="415" t="s">
        <v>2032</v>
      </c>
      <c r="AD80" s="414" t="s">
        <v>804</v>
      </c>
      <c r="AE80" s="929"/>
      <c r="AF80" s="327"/>
      <c r="AG80" s="327"/>
      <c r="AH80" s="705" t="s">
        <v>2417</v>
      </c>
      <c r="AI80" s="664"/>
      <c r="AJ80" s="664"/>
      <c r="AK80" s="491"/>
      <c r="AL80" s="491"/>
    </row>
    <row r="81" spans="1:38" s="23" customFormat="1" ht="14.65" hidden="1" customHeight="1">
      <c r="A81" s="498"/>
      <c r="B81" s="41"/>
      <c r="C81" s="41"/>
      <c r="D81" s="41"/>
      <c r="E81" s="460">
        <v>15</v>
      </c>
      <c r="F81" s="280" cm="1">
        <f t="array" aca="1" ref="F81" ca="1">OFFSET(E81,-1,1)</f>
        <v>0</v>
      </c>
      <c r="G81" s="41"/>
      <c r="H81" s="41"/>
      <c r="I81" s="41"/>
      <c r="J81" s="41"/>
      <c r="K81" s="41"/>
      <c r="L81" s="41"/>
      <c r="M81" s="41"/>
      <c r="N81" s="41"/>
      <c r="O81" s="41"/>
      <c r="P81" s="41"/>
      <c r="Q81" s="41"/>
      <c r="R81" s="41"/>
      <c r="S81" s="41"/>
      <c r="T81" s="365" t="b" cm="1">
        <f t="array" aca="1" ref="T81" ca="1">T80</f>
        <v>0</v>
      </c>
      <c r="U81" s="41"/>
      <c r="V81" s="41"/>
      <c r="W81" s="41"/>
      <c r="X81" s="1094"/>
      <c r="Y81" s="41"/>
      <c r="Z81" s="1095"/>
      <c r="AA81" s="41"/>
      <c r="AB81" s="527" t="s">
        <v>2033</v>
      </c>
      <c r="AC81" s="415" t="s">
        <v>2034</v>
      </c>
      <c r="AD81" s="414" t="s">
        <v>804</v>
      </c>
      <c r="AE81" s="929"/>
      <c r="AF81" s="327"/>
      <c r="AG81" s="327"/>
      <c r="AH81" s="705" t="s">
        <v>2418</v>
      </c>
      <c r="AI81" s="664"/>
      <c r="AJ81" s="664"/>
      <c r="AK81" s="491"/>
      <c r="AL81" s="491"/>
    </row>
    <row r="82" spans="1:38" s="23" customFormat="1" ht="14.65" hidden="1" customHeight="1">
      <c r="A82" s="498"/>
      <c r="B82" s="41"/>
      <c r="C82" s="41"/>
      <c r="D82" s="41"/>
      <c r="E82" s="460">
        <v>15</v>
      </c>
      <c r="F82" s="280" cm="1">
        <f t="array" aca="1" ref="F82" ca="1">OFFSET(E82,-1,1)</f>
        <v>0</v>
      </c>
      <c r="G82" s="41"/>
      <c r="H82" s="41"/>
      <c r="I82" s="41"/>
      <c r="J82" s="41"/>
      <c r="K82" s="41"/>
      <c r="L82" s="41"/>
      <c r="M82" s="41"/>
      <c r="N82" s="41"/>
      <c r="O82" s="41"/>
      <c r="P82" s="41"/>
      <c r="Q82" s="41"/>
      <c r="R82" s="41"/>
      <c r="S82" s="41"/>
      <c r="T82" s="365" t="b" cm="1">
        <f t="array" aca="1" ref="T82" ca="1">T81</f>
        <v>0</v>
      </c>
      <c r="U82" s="41"/>
      <c r="V82" s="41"/>
      <c r="W82" s="41"/>
      <c r="X82" s="1094"/>
      <c r="Y82" s="41"/>
      <c r="Z82" s="1095"/>
      <c r="AA82" s="41"/>
      <c r="AB82" s="527" t="s">
        <v>2035</v>
      </c>
      <c r="AC82" s="415" t="s">
        <v>2036</v>
      </c>
      <c r="AD82" s="414" t="s">
        <v>804</v>
      </c>
      <c r="AE82" s="929"/>
      <c r="AF82" s="327"/>
      <c r="AG82" s="327"/>
      <c r="AH82" s="705" t="s">
        <v>2419</v>
      </c>
      <c r="AI82" s="664"/>
      <c r="AJ82" s="664"/>
      <c r="AK82" s="491"/>
      <c r="AL82" s="491"/>
    </row>
    <row r="83" spans="1:38" s="23" customFormat="1" ht="14.65" hidden="1" customHeight="1">
      <c r="A83" s="498"/>
      <c r="B83" s="41"/>
      <c r="C83" s="41"/>
      <c r="D83" s="41"/>
      <c r="E83" s="460">
        <v>15</v>
      </c>
      <c r="F83" s="280" cm="1">
        <f t="array" aca="1" ref="F83" ca="1">OFFSET(E83,-1,1)</f>
        <v>0</v>
      </c>
      <c r="G83" s="41"/>
      <c r="H83" s="41"/>
      <c r="I83" s="41"/>
      <c r="J83" s="41"/>
      <c r="K83" s="41"/>
      <c r="L83" s="41"/>
      <c r="M83" s="41"/>
      <c r="N83" s="41"/>
      <c r="O83" s="41"/>
      <c r="P83" s="41"/>
      <c r="Q83" s="41"/>
      <c r="R83" s="41"/>
      <c r="S83" s="41"/>
      <c r="T83" s="365" t="b" cm="1">
        <f t="array" aca="1" ref="T83" ca="1">T82</f>
        <v>0</v>
      </c>
      <c r="U83" s="41"/>
      <c r="V83" s="41"/>
      <c r="W83" s="41"/>
      <c r="X83" s="1094"/>
      <c r="Y83" s="41"/>
      <c r="Z83" s="1095"/>
      <c r="AA83" s="41"/>
      <c r="AB83" s="527" t="s">
        <v>2038</v>
      </c>
      <c r="AC83" s="415" t="s">
        <v>2039</v>
      </c>
      <c r="AD83" s="414" t="s">
        <v>804</v>
      </c>
      <c r="AE83" s="929"/>
      <c r="AF83" s="327"/>
      <c r="AG83" s="327"/>
      <c r="AH83" s="705" t="s">
        <v>2420</v>
      </c>
      <c r="AI83" s="664"/>
      <c r="AJ83" s="664"/>
      <c r="AK83" s="491"/>
      <c r="AL83" s="491"/>
    </row>
    <row r="84" spans="1:38" s="23" customFormat="1" ht="14.65" hidden="1" customHeight="1">
      <c r="A84" s="498"/>
      <c r="B84" s="41"/>
      <c r="C84" s="41"/>
      <c r="D84" s="41"/>
      <c r="E84" s="460">
        <v>15</v>
      </c>
      <c r="F84" s="280" cm="1">
        <f t="array" aca="1" ref="F84" ca="1">OFFSET(E84,-1,1)</f>
        <v>0</v>
      </c>
      <c r="G84" s="41"/>
      <c r="H84" s="41"/>
      <c r="I84" s="41"/>
      <c r="J84" s="41"/>
      <c r="K84" s="41"/>
      <c r="L84" s="41"/>
      <c r="M84" s="41"/>
      <c r="N84" s="41"/>
      <c r="O84" s="41"/>
      <c r="P84" s="41"/>
      <c r="Q84" s="41"/>
      <c r="R84" s="41"/>
      <c r="S84" s="41"/>
      <c r="T84" s="365" t="b" cm="1">
        <f t="array" aca="1" ref="T84" ca="1">T83</f>
        <v>0</v>
      </c>
      <c r="U84" s="41"/>
      <c r="V84" s="41"/>
      <c r="W84" s="41"/>
      <c r="X84" s="1094"/>
      <c r="Y84" s="41"/>
      <c r="Z84" s="1095"/>
      <c r="AA84" s="41"/>
      <c r="AB84" s="527" t="s">
        <v>2041</v>
      </c>
      <c r="AC84" s="415" t="s">
        <v>2042</v>
      </c>
      <c r="AD84" s="414" t="s">
        <v>804</v>
      </c>
      <c r="AE84" s="929"/>
      <c r="AF84" s="327"/>
      <c r="AG84" s="327"/>
      <c r="AH84" s="705" t="s">
        <v>2421</v>
      </c>
      <c r="AI84" s="664"/>
      <c r="AJ84" s="664"/>
      <c r="AK84" s="491"/>
      <c r="AL84" s="491"/>
    </row>
    <row r="85" spans="1:38" s="23" customFormat="1" ht="26.25" hidden="1" customHeight="1">
      <c r="A85" s="498"/>
      <c r="B85" s="41"/>
      <c r="C85" s="41"/>
      <c r="D85" s="41"/>
      <c r="E85" s="460">
        <v>27</v>
      </c>
      <c r="F85" s="280" cm="1">
        <f t="array" aca="1" ref="F85" ca="1">OFFSET(E85,-1,1)</f>
        <v>0</v>
      </c>
      <c r="G85" s="41"/>
      <c r="H85" s="41"/>
      <c r="I85" s="41"/>
      <c r="J85" s="41"/>
      <c r="K85" s="41"/>
      <c r="L85" s="41"/>
      <c r="M85" s="41"/>
      <c r="N85" s="41"/>
      <c r="O85" s="41"/>
      <c r="P85" s="41"/>
      <c r="Q85" s="41"/>
      <c r="R85" s="41"/>
      <c r="S85" s="41"/>
      <c r="T85" s="365" t="b" cm="1">
        <f t="array" aca="1" ref="T85" ca="1">T84</f>
        <v>0</v>
      </c>
      <c r="U85" s="41"/>
      <c r="V85" s="41"/>
      <c r="W85" s="41"/>
      <c r="X85" s="1094"/>
      <c r="Y85" s="41"/>
      <c r="Z85" s="1095"/>
      <c r="AA85" s="41"/>
      <c r="AB85" s="527" t="s">
        <v>2044</v>
      </c>
      <c r="AC85" s="415" t="s">
        <v>2045</v>
      </c>
      <c r="AD85" s="414" t="s">
        <v>804</v>
      </c>
      <c r="AE85" s="929"/>
      <c r="AF85" s="327"/>
      <c r="AG85" s="327"/>
      <c r="AH85" s="705" t="s">
        <v>2422</v>
      </c>
      <c r="AI85" s="664"/>
      <c r="AJ85" s="664"/>
      <c r="AK85" s="491"/>
      <c r="AL85" s="491"/>
    </row>
    <row r="86" spans="1:38" s="23" customFormat="1" ht="14.65" hidden="1" customHeight="1">
      <c r="A86" s="498"/>
      <c r="B86" s="41"/>
      <c r="C86" s="41"/>
      <c r="D86" s="41"/>
      <c r="E86" s="460">
        <v>15</v>
      </c>
      <c r="F86" s="280" cm="1">
        <f t="array" aca="1" ref="F86" ca="1">OFFSET(E86,-1,1)</f>
        <v>0</v>
      </c>
      <c r="G86" s="41"/>
      <c r="H86" s="41"/>
      <c r="I86" s="41"/>
      <c r="J86" s="41"/>
      <c r="K86" s="41"/>
      <c r="L86" s="41"/>
      <c r="M86" s="41"/>
      <c r="N86" s="41"/>
      <c r="O86" s="41"/>
      <c r="P86" s="41"/>
      <c r="Q86" s="41"/>
      <c r="R86" s="41"/>
      <c r="S86" s="41"/>
      <c r="T86" s="365" t="b" cm="1">
        <f t="array" aca="1" ref="T86" ca="1">T85</f>
        <v>0</v>
      </c>
      <c r="U86" s="41"/>
      <c r="V86" s="41"/>
      <c r="W86" s="41"/>
      <c r="X86" s="1094"/>
      <c r="Y86" s="41"/>
      <c r="Z86" s="1095"/>
      <c r="AA86" s="41"/>
      <c r="AB86" s="527" t="s">
        <v>2048</v>
      </c>
      <c r="AC86" s="415" t="s">
        <v>2049</v>
      </c>
      <c r="AD86" s="414" t="s">
        <v>804</v>
      </c>
      <c r="AE86" s="929"/>
      <c r="AF86" s="327"/>
      <c r="AG86" s="327"/>
      <c r="AH86" s="705" t="s">
        <v>2423</v>
      </c>
      <c r="AI86" s="664"/>
      <c r="AJ86" s="664"/>
      <c r="AK86" s="491"/>
      <c r="AL86" s="491"/>
    </row>
    <row r="87" spans="1:38" s="23" customFormat="1" ht="14.65" hidden="1" customHeight="1">
      <c r="A87" s="498"/>
      <c r="B87" s="41"/>
      <c r="C87" s="41"/>
      <c r="D87" s="41"/>
      <c r="E87" s="460">
        <v>15</v>
      </c>
      <c r="F87" s="280" cm="1">
        <f t="array" aca="1" ref="F87" ca="1">OFFSET(E87,-1,1)</f>
        <v>0</v>
      </c>
      <c r="G87" s="41"/>
      <c r="H87" s="41"/>
      <c r="I87" s="41"/>
      <c r="J87" s="41"/>
      <c r="K87" s="41"/>
      <c r="L87" s="41"/>
      <c r="M87" s="41"/>
      <c r="N87" s="41"/>
      <c r="O87" s="41"/>
      <c r="P87" s="41"/>
      <c r="Q87" s="41"/>
      <c r="R87" s="41"/>
      <c r="S87" s="41"/>
      <c r="T87" s="365" t="b" cm="1">
        <f t="array" aca="1" ref="T87" ca="1">T86</f>
        <v>0</v>
      </c>
      <c r="U87" s="41"/>
      <c r="V87" s="41"/>
      <c r="W87" s="41"/>
      <c r="X87" s="1094"/>
      <c r="Y87" s="41"/>
      <c r="Z87" s="1095"/>
      <c r="AA87" s="41"/>
      <c r="AB87" s="527" t="s">
        <v>2052</v>
      </c>
      <c r="AC87" s="415" t="s">
        <v>2053</v>
      </c>
      <c r="AD87" s="414" t="s">
        <v>804</v>
      </c>
      <c r="AE87" s="929"/>
      <c r="AF87" s="327"/>
      <c r="AG87" s="327"/>
      <c r="AH87" s="705" t="s">
        <v>2424</v>
      </c>
      <c r="AI87" s="664"/>
      <c r="AJ87" s="664"/>
      <c r="AK87" s="491"/>
      <c r="AL87" s="491"/>
    </row>
    <row r="88" spans="1:38" s="23" customFormat="1" ht="14.65" hidden="1" customHeight="1">
      <c r="A88" s="498"/>
      <c r="B88" s="41"/>
      <c r="C88" s="41"/>
      <c r="D88" s="41"/>
      <c r="E88" s="460">
        <v>15</v>
      </c>
      <c r="F88" s="280" cm="1">
        <f t="array" aca="1" ref="F88" ca="1">OFFSET(E88,-1,1)</f>
        <v>0</v>
      </c>
      <c r="G88" s="41"/>
      <c r="H88" s="41"/>
      <c r="I88" s="41"/>
      <c r="J88" s="41"/>
      <c r="K88" s="41"/>
      <c r="L88" s="41"/>
      <c r="M88" s="41"/>
      <c r="N88" s="41"/>
      <c r="O88" s="41"/>
      <c r="P88" s="41"/>
      <c r="Q88" s="41"/>
      <c r="R88" s="41"/>
      <c r="S88" s="41"/>
      <c r="T88" s="365" t="b" cm="1">
        <f t="array" aca="1" ref="T88" ca="1">T87</f>
        <v>0</v>
      </c>
      <c r="U88" s="41"/>
      <c r="V88" s="41"/>
      <c r="W88" s="41"/>
      <c r="X88" s="1094"/>
      <c r="Y88" s="41"/>
      <c r="Z88" s="1095"/>
      <c r="AA88" s="41"/>
      <c r="AB88" s="527" t="s">
        <v>2055</v>
      </c>
      <c r="AC88" s="415" t="s">
        <v>2056</v>
      </c>
      <c r="AD88" s="414" t="s">
        <v>804</v>
      </c>
      <c r="AE88" s="929"/>
      <c r="AF88" s="327"/>
      <c r="AG88" s="327"/>
      <c r="AH88" s="705" t="s">
        <v>2425</v>
      </c>
      <c r="AI88" s="664"/>
      <c r="AJ88" s="664"/>
      <c r="AK88" s="491"/>
      <c r="AL88" s="491"/>
    </row>
    <row r="89" spans="1:38" s="23" customFormat="1" ht="14.65" hidden="1" customHeight="1">
      <c r="A89" s="498"/>
      <c r="B89" s="41"/>
      <c r="C89" s="41"/>
      <c r="D89" s="41"/>
      <c r="E89" s="460">
        <v>15</v>
      </c>
      <c r="F89" s="280" cm="1">
        <f t="array" aca="1" ref="F89" ca="1">OFFSET(E89,-1,1)</f>
        <v>0</v>
      </c>
      <c r="G89" s="41"/>
      <c r="H89" s="41"/>
      <c r="I89" s="41"/>
      <c r="J89" s="41"/>
      <c r="K89" s="41"/>
      <c r="L89" s="41"/>
      <c r="M89" s="41"/>
      <c r="N89" s="41"/>
      <c r="O89" s="41"/>
      <c r="P89" s="41"/>
      <c r="Q89" s="41"/>
      <c r="R89" s="41"/>
      <c r="S89" s="41"/>
      <c r="T89" s="365" t="b" cm="1">
        <f t="array" aca="1" ref="T89" ca="1">T88</f>
        <v>0</v>
      </c>
      <c r="U89" s="41"/>
      <c r="V89" s="41"/>
      <c r="W89" s="41"/>
      <c r="X89" s="1094"/>
      <c r="Y89" s="41"/>
      <c r="Z89" s="1095"/>
      <c r="AA89" s="41"/>
      <c r="AB89" s="527" t="s">
        <v>2058</v>
      </c>
      <c r="AC89" s="415" t="s">
        <v>2059</v>
      </c>
      <c r="AD89" s="414" t="s">
        <v>804</v>
      </c>
      <c r="AE89" s="929"/>
      <c r="AF89" s="327"/>
      <c r="AG89" s="327"/>
      <c r="AH89" s="705" t="s">
        <v>2426</v>
      </c>
      <c r="AI89" s="664"/>
      <c r="AJ89" s="664"/>
      <c r="AK89" s="491"/>
      <c r="AL89" s="491"/>
    </row>
    <row r="90" spans="1:38" s="23" customFormat="1" ht="14.65" hidden="1" customHeight="1">
      <c r="A90" s="498"/>
      <c r="B90" s="41"/>
      <c r="C90" s="41"/>
      <c r="D90" s="41"/>
      <c r="E90" s="460">
        <v>15</v>
      </c>
      <c r="F90" s="280" cm="1">
        <f t="array" aca="1" ref="F90" ca="1">OFFSET(E90,-1,1)</f>
        <v>0</v>
      </c>
      <c r="G90" s="41"/>
      <c r="H90" s="41"/>
      <c r="I90" s="41"/>
      <c r="J90" s="41"/>
      <c r="K90" s="41"/>
      <c r="L90" s="41"/>
      <c r="M90" s="41"/>
      <c r="N90" s="41"/>
      <c r="O90" s="41"/>
      <c r="P90" s="41"/>
      <c r="Q90" s="41"/>
      <c r="R90" s="41"/>
      <c r="S90" s="41"/>
      <c r="T90" s="365" t="b" cm="1">
        <f t="array" aca="1" ref="T90" ca="1">T89</f>
        <v>0</v>
      </c>
      <c r="U90" s="41"/>
      <c r="V90" s="41"/>
      <c r="W90" s="41"/>
      <c r="X90" s="1094"/>
      <c r="Y90" s="41"/>
      <c r="Z90" s="1095"/>
      <c r="AA90" s="41"/>
      <c r="AB90" s="527" t="s">
        <v>2060</v>
      </c>
      <c r="AC90" s="415" t="s">
        <v>2061</v>
      </c>
      <c r="AD90" s="414" t="s">
        <v>804</v>
      </c>
      <c r="AE90" s="929"/>
      <c r="AF90" s="327"/>
      <c r="AG90" s="327"/>
      <c r="AH90" s="705" t="s">
        <v>2427</v>
      </c>
      <c r="AI90" s="664"/>
      <c r="AJ90" s="664"/>
      <c r="AK90" s="491"/>
      <c r="AL90" s="491"/>
    </row>
    <row r="91" spans="1:38" s="23" customFormat="1" ht="14.65" hidden="1" customHeight="1">
      <c r="A91" s="498"/>
      <c r="B91" s="41"/>
      <c r="C91" s="41"/>
      <c r="D91" s="41"/>
      <c r="E91" s="460">
        <v>15</v>
      </c>
      <c r="F91" s="280" cm="1">
        <f t="array" aca="1" ref="F91" ca="1">OFFSET(E91,-1,1)</f>
        <v>0</v>
      </c>
      <c r="G91" s="41"/>
      <c r="H91" s="41"/>
      <c r="I91" s="41"/>
      <c r="J91" s="41"/>
      <c r="K91" s="41"/>
      <c r="L91" s="41"/>
      <c r="M91" s="41"/>
      <c r="N91" s="41"/>
      <c r="O91" s="41"/>
      <c r="P91" s="41"/>
      <c r="Q91" s="41"/>
      <c r="R91" s="41"/>
      <c r="S91" s="41"/>
      <c r="T91" s="365" t="b" cm="1">
        <f t="array" aca="1" ref="T91" ca="1">T90</f>
        <v>0</v>
      </c>
      <c r="U91" s="41"/>
      <c r="V91" s="41"/>
      <c r="W91" s="41"/>
      <c r="X91" s="1094"/>
      <c r="Y91" s="41"/>
      <c r="Z91" s="1095"/>
      <c r="AA91" s="41"/>
      <c r="AB91" s="527" t="s">
        <v>541</v>
      </c>
      <c r="AC91" s="413" t="s">
        <v>2062</v>
      </c>
      <c r="AD91" s="414" t="s">
        <v>804</v>
      </c>
      <c r="AE91" s="929"/>
      <c r="AF91" s="327"/>
      <c r="AG91" s="327"/>
      <c r="AH91" s="705" t="s">
        <v>2428</v>
      </c>
      <c r="AI91" s="664"/>
      <c r="AJ91" s="664"/>
      <c r="AK91" s="491"/>
      <c r="AL91" s="491"/>
    </row>
    <row r="92" spans="1:38" ht="14.65" hidden="1" customHeight="1">
      <c r="E92" s="460">
        <v>15</v>
      </c>
      <c r="F92" s="3" cm="1">
        <f t="array" aca="1" ref="F92" ca="1">OFFSET(E92,-1,1)</f>
        <v>0</v>
      </c>
      <c r="H92" s="41" t="s">
        <v>482</v>
      </c>
      <c r="T92" s="365" t="b" cm="1">
        <f t="array" aca="1" ref="T92" ca="1">T78</f>
        <v>0</v>
      </c>
      <c r="X92" s="1094"/>
      <c r="Z92" s="1095"/>
      <c r="AB92" s="527" t="s">
        <v>545</v>
      </c>
      <c r="AC92" s="413" t="s">
        <v>2429</v>
      </c>
      <c r="AD92" s="414" t="s">
        <v>804</v>
      </c>
      <c r="AE92" s="418">
        <f>SUM(AE93:AE101)</f>
        <v>0</v>
      </c>
      <c r="AH92" s="711" t="s">
        <v>1270</v>
      </c>
    </row>
    <row r="93" spans="1:38" ht="14.65" hidden="1" customHeight="1">
      <c r="E93" s="460">
        <v>15</v>
      </c>
      <c r="F93" s="3" cm="1">
        <f t="array" aca="1" ref="F93" ca="1">OFFSET(E93,-1,1)</f>
        <v>0</v>
      </c>
      <c r="H93" s="41" t="s">
        <v>1794</v>
      </c>
      <c r="T93" s="365" t="b" cm="1">
        <f t="array" aca="1" ref="T93" ca="1">T92</f>
        <v>0</v>
      </c>
      <c r="X93" s="1094"/>
      <c r="Z93" s="1095"/>
      <c r="AB93" s="527" t="s">
        <v>498</v>
      </c>
      <c r="AC93" s="415" t="s">
        <v>1285</v>
      </c>
      <c r="AD93" s="414" t="s">
        <v>804</v>
      </c>
      <c r="AE93" s="929"/>
      <c r="AH93" s="705" t="s">
        <v>2065</v>
      </c>
    </row>
    <row r="94" spans="1:38" ht="14.65" hidden="1" customHeight="1">
      <c r="E94" s="460">
        <v>15</v>
      </c>
      <c r="F94" s="3" cm="1">
        <f t="array" aca="1" ref="F94" ca="1">OFFSET(E94,-1,1)</f>
        <v>0</v>
      </c>
      <c r="H94" s="41" t="s">
        <v>1797</v>
      </c>
      <c r="T94" s="365" t="b" cm="1">
        <f t="array" aca="1" ref="T94" ca="1">T93</f>
        <v>0</v>
      </c>
      <c r="X94" s="1094"/>
      <c r="Z94" s="1095"/>
      <c r="AB94" s="527" t="s">
        <v>1492</v>
      </c>
      <c r="AC94" s="415" t="s">
        <v>2430</v>
      </c>
      <c r="AD94" s="414" t="s">
        <v>804</v>
      </c>
      <c r="AE94" s="929"/>
      <c r="AH94" s="705" t="s">
        <v>2068</v>
      </c>
    </row>
    <row r="95" spans="1:38" ht="14.65" hidden="1" customHeight="1">
      <c r="E95" s="460">
        <v>15</v>
      </c>
      <c r="F95" s="3" cm="1">
        <f t="array" aca="1" ref="F95" ca="1">OFFSET(E95,-1,1)</f>
        <v>0</v>
      </c>
      <c r="H95" s="41" t="s">
        <v>2431</v>
      </c>
      <c r="T95" s="365" t="b" cm="1">
        <f t="array" aca="1" ref="T95" ca="1">T94</f>
        <v>0</v>
      </c>
      <c r="X95" s="1094"/>
      <c r="Z95" s="1095"/>
      <c r="AB95" s="527" t="s">
        <v>1497</v>
      </c>
      <c r="AC95" s="415" t="s">
        <v>2432</v>
      </c>
      <c r="AD95" s="414" t="s">
        <v>804</v>
      </c>
      <c r="AE95" s="929"/>
      <c r="AH95" s="705" t="s">
        <v>2071</v>
      </c>
    </row>
    <row r="96" spans="1:38" ht="14.65" hidden="1" customHeight="1">
      <c r="E96" s="460">
        <v>15</v>
      </c>
      <c r="F96" s="3" cm="1">
        <f t="array" aca="1" ref="F96" ca="1">OFFSET(E96,-1,1)</f>
        <v>0</v>
      </c>
      <c r="H96" s="41" t="s">
        <v>2433</v>
      </c>
      <c r="T96" s="365" t="b" cm="1">
        <f t="array" aca="1" ref="T96" ca="1">T95</f>
        <v>0</v>
      </c>
      <c r="X96" s="1094"/>
      <c r="Z96" s="1095"/>
      <c r="AB96" s="527" t="s">
        <v>2073</v>
      </c>
      <c r="AC96" s="415" t="s">
        <v>1278</v>
      </c>
      <c r="AD96" s="414" t="s">
        <v>804</v>
      </c>
      <c r="AE96" s="929"/>
      <c r="AH96" s="705" t="s">
        <v>2075</v>
      </c>
    </row>
    <row r="97" spans="1:38" ht="14.65" hidden="1" customHeight="1">
      <c r="E97" s="460">
        <v>15</v>
      </c>
      <c r="F97" s="3" cm="1">
        <f t="array" aca="1" ref="F97" ca="1">OFFSET(E97,-1,1)</f>
        <v>0</v>
      </c>
      <c r="H97" s="41" t="s">
        <v>2434</v>
      </c>
      <c r="T97" s="365" t="b" cm="1">
        <f t="array" aca="1" ref="T97" ca="1">T96</f>
        <v>0</v>
      </c>
      <c r="X97" s="1094"/>
      <c r="Z97" s="1095"/>
      <c r="AB97" s="527" t="s">
        <v>2077</v>
      </c>
      <c r="AC97" s="415" t="s">
        <v>1280</v>
      </c>
      <c r="AD97" s="414" t="s">
        <v>804</v>
      </c>
      <c r="AE97" s="929"/>
      <c r="AH97" s="705" t="s">
        <v>2079</v>
      </c>
    </row>
    <row r="98" spans="1:38" ht="14.65" hidden="1" customHeight="1">
      <c r="E98" s="460">
        <v>15</v>
      </c>
      <c r="F98" s="3" cm="1">
        <f t="array" aca="1" ref="F98" ca="1">OFFSET(E98,-1,1)</f>
        <v>0</v>
      </c>
      <c r="H98" s="41" t="s">
        <v>2435</v>
      </c>
      <c r="T98" s="365" t="b" cm="1">
        <f t="array" aca="1" ref="T98" ca="1">T97</f>
        <v>0</v>
      </c>
      <c r="X98" s="1094"/>
      <c r="Z98" s="1095"/>
      <c r="AB98" s="527" t="s">
        <v>2081</v>
      </c>
      <c r="AC98" s="415" t="s">
        <v>1271</v>
      </c>
      <c r="AD98" s="414" t="s">
        <v>804</v>
      </c>
      <c r="AE98" s="929"/>
      <c r="AH98" s="705" t="s">
        <v>2083</v>
      </c>
    </row>
    <row r="99" spans="1:38" s="23" customFormat="1" ht="14.65" hidden="1" customHeight="1">
      <c r="A99" s="498"/>
      <c r="B99" s="41"/>
      <c r="C99" s="41"/>
      <c r="D99" s="41"/>
      <c r="E99" s="460">
        <v>15</v>
      </c>
      <c r="F99" s="280" cm="1">
        <f t="array" aca="1" ref="F99" ca="1">OFFSET(E99,-1,1)</f>
        <v>0</v>
      </c>
      <c r="G99" s="41"/>
      <c r="H99" s="41"/>
      <c r="I99" s="41"/>
      <c r="J99" s="41"/>
      <c r="K99" s="41"/>
      <c r="L99" s="41"/>
      <c r="M99" s="41"/>
      <c r="N99" s="41"/>
      <c r="O99" s="41"/>
      <c r="P99" s="41"/>
      <c r="Q99" s="41"/>
      <c r="R99" s="41"/>
      <c r="S99" s="41"/>
      <c r="T99" s="365" t="b" cm="1">
        <f t="array" aca="1" ref="T99" ca="1">T98</f>
        <v>0</v>
      </c>
      <c r="U99" s="41"/>
      <c r="V99" s="41"/>
      <c r="W99" s="41"/>
      <c r="X99" s="1094"/>
      <c r="Y99" s="41"/>
      <c r="Z99" s="1095"/>
      <c r="AA99" s="41"/>
      <c r="AB99" s="527" t="s">
        <v>2085</v>
      </c>
      <c r="AC99" s="415" t="s">
        <v>2436</v>
      </c>
      <c r="AD99" s="414" t="s">
        <v>804</v>
      </c>
      <c r="AE99" s="929"/>
      <c r="AF99" s="327"/>
      <c r="AG99" s="327"/>
      <c r="AH99" s="705" t="s">
        <v>1288</v>
      </c>
      <c r="AI99" s="664"/>
      <c r="AJ99" s="664"/>
      <c r="AK99" s="491"/>
      <c r="AL99" s="491"/>
    </row>
    <row r="100" spans="1:38" s="23" customFormat="1" ht="14.65" hidden="1" customHeight="1">
      <c r="A100" s="498"/>
      <c r="B100" s="41"/>
      <c r="C100" s="41"/>
      <c r="D100" s="41"/>
      <c r="E100" s="460">
        <v>15</v>
      </c>
      <c r="F100" s="280" cm="1">
        <f t="array" aca="1" ref="F100" ca="1">OFFSET(E100,-1,1)</f>
        <v>0</v>
      </c>
      <c r="G100" s="41"/>
      <c r="H100" s="41"/>
      <c r="I100" s="41"/>
      <c r="J100" s="41"/>
      <c r="K100" s="41"/>
      <c r="L100" s="41"/>
      <c r="M100" s="41"/>
      <c r="N100" s="41"/>
      <c r="O100" s="41"/>
      <c r="P100" s="41"/>
      <c r="Q100" s="41"/>
      <c r="R100" s="41"/>
      <c r="S100" s="41"/>
      <c r="T100" s="365" t="b" cm="1">
        <f t="array" aca="1" ref="T100" ca="1">T99</f>
        <v>0</v>
      </c>
      <c r="U100" s="41"/>
      <c r="V100" s="41"/>
      <c r="W100" s="41"/>
      <c r="X100" s="1094"/>
      <c r="Y100" s="41"/>
      <c r="Z100" s="1095"/>
      <c r="AA100" s="41"/>
      <c r="AB100" s="527" t="s">
        <v>2089</v>
      </c>
      <c r="AC100" s="415" t="s">
        <v>1289</v>
      </c>
      <c r="AD100" s="414" t="s">
        <v>804</v>
      </c>
      <c r="AE100" s="929"/>
      <c r="AF100" s="327"/>
      <c r="AG100" s="327"/>
      <c r="AH100" s="705" t="s">
        <v>2437</v>
      </c>
      <c r="AI100" s="664"/>
      <c r="AJ100" s="664"/>
      <c r="AK100" s="491"/>
      <c r="AL100" s="491"/>
    </row>
    <row r="101" spans="1:38" ht="14.65" hidden="1" customHeight="1">
      <c r="E101" s="460">
        <v>15</v>
      </c>
      <c r="F101" s="3" cm="1">
        <f t="array" aca="1" ref="F101" ca="1">OFFSET(E101,-1,1)</f>
        <v>0</v>
      </c>
      <c r="H101" s="41" t="s">
        <v>2438</v>
      </c>
      <c r="T101" s="365" t="b" cm="1">
        <f t="array" aca="1" ref="T101" ca="1">T98</f>
        <v>0</v>
      </c>
      <c r="X101" s="1094"/>
      <c r="Z101" s="1095"/>
      <c r="AB101" s="527" t="s">
        <v>2091</v>
      </c>
      <c r="AC101" s="415" t="s">
        <v>1291</v>
      </c>
      <c r="AD101" s="414" t="s">
        <v>804</v>
      </c>
      <c r="AE101" s="929"/>
      <c r="AH101" s="705" t="s">
        <v>2097</v>
      </c>
    </row>
    <row r="102" spans="1:38" ht="14.65" hidden="1" customHeight="1">
      <c r="E102" s="460">
        <v>15</v>
      </c>
      <c r="F102" s="3" cm="1">
        <f t="array" aca="1" ref="F102" ca="1">OFFSET(E102,-1,1)</f>
        <v>0</v>
      </c>
      <c r="H102" s="41" t="s">
        <v>917</v>
      </c>
      <c r="T102" s="365" t="b" cm="1">
        <f t="array" aca="1" ref="T102" ca="1">T101</f>
        <v>0</v>
      </c>
      <c r="X102" s="1094"/>
      <c r="Z102" s="1095"/>
      <c r="AB102" s="527" t="s">
        <v>920</v>
      </c>
      <c r="AC102" s="415" t="s">
        <v>1019</v>
      </c>
      <c r="AD102" s="414" t="s">
        <v>804</v>
      </c>
      <c r="AE102" s="929"/>
      <c r="AH102" s="705" t="s">
        <v>1227</v>
      </c>
    </row>
    <row r="103" spans="1:38" ht="14.65" hidden="1" customHeight="1">
      <c r="E103" s="460">
        <v>15</v>
      </c>
      <c r="F103" s="3" cm="1">
        <f t="array" aca="1" ref="F103" ca="1">OFFSET(E103,-1,1)</f>
        <v>0</v>
      </c>
      <c r="H103" s="41" t="s">
        <v>2100</v>
      </c>
      <c r="T103" s="365" t="b" cm="1">
        <f t="array" aca="1" ref="T103" ca="1">T102</f>
        <v>0</v>
      </c>
      <c r="X103" s="1094"/>
      <c r="Z103" s="1095"/>
      <c r="AB103" s="527" t="s">
        <v>923</v>
      </c>
      <c r="AC103" s="413" t="s">
        <v>1464</v>
      </c>
      <c r="AD103" s="414" t="s">
        <v>804</v>
      </c>
      <c r="AE103" s="929"/>
      <c r="AH103" s="712" t="s">
        <v>1838</v>
      </c>
    </row>
    <row r="104" spans="1:38" ht="14.65" hidden="1" customHeight="1">
      <c r="E104" s="460">
        <v>15</v>
      </c>
      <c r="F104" s="3" cm="1">
        <f t="array" aca="1" ref="F104" ca="1">OFFSET(E104,-1,1)</f>
        <v>0</v>
      </c>
      <c r="H104" s="41" t="s">
        <v>2108</v>
      </c>
      <c r="T104" s="365" t="b" cm="1">
        <f t="array" aca="1" ref="T104" ca="1">T103</f>
        <v>0</v>
      </c>
      <c r="X104" s="1094"/>
      <c r="Z104" s="1095"/>
      <c r="AB104" s="527" t="s">
        <v>1512</v>
      </c>
      <c r="AC104" s="413" t="s">
        <v>1474</v>
      </c>
      <c r="AD104" s="414" t="s">
        <v>804</v>
      </c>
      <c r="AE104" s="418">
        <f>AE105+AE106</f>
        <v>0</v>
      </c>
      <c r="AH104" s="705" t="s">
        <v>2113</v>
      </c>
    </row>
    <row r="105" spans="1:38" ht="14.65" hidden="1" customHeight="1">
      <c r="E105" s="460">
        <v>15</v>
      </c>
      <c r="F105" s="3" cm="1">
        <f t="array" aca="1" ref="F105" ca="1">OFFSET(E105,-1,1)</f>
        <v>0</v>
      </c>
      <c r="H105" s="41" t="s">
        <v>2439</v>
      </c>
      <c r="T105" s="365" t="b" cm="1">
        <f t="array" aca="1" ref="T105" ca="1">T104</f>
        <v>0</v>
      </c>
      <c r="X105" s="1094"/>
      <c r="Z105" s="1095"/>
      <c r="AB105" s="527" t="s">
        <v>2104</v>
      </c>
      <c r="AC105" s="415" t="s">
        <v>2440</v>
      </c>
      <c r="AD105" s="414" t="s">
        <v>804</v>
      </c>
      <c r="AE105" s="929"/>
      <c r="AH105" s="705" t="s">
        <v>1262</v>
      </c>
    </row>
    <row r="106" spans="1:38" ht="21.95" hidden="1" customHeight="1">
      <c r="E106" s="460">
        <v>22.5</v>
      </c>
      <c r="F106" s="3" cm="1">
        <f t="array" aca="1" ref="F106" ca="1">OFFSET(E106,-1,1)</f>
        <v>0</v>
      </c>
      <c r="H106" s="41" t="s">
        <v>2441</v>
      </c>
      <c r="T106" s="365" t="b" cm="1">
        <f t="array" aca="1" ref="T106" ca="1">T105</f>
        <v>0</v>
      </c>
      <c r="X106" s="1094"/>
      <c r="Z106" s="1095"/>
      <c r="AB106" s="527" t="s">
        <v>2442</v>
      </c>
      <c r="AC106" s="415" t="s">
        <v>2443</v>
      </c>
      <c r="AD106" s="414" t="s">
        <v>804</v>
      </c>
      <c r="AE106" s="929"/>
      <c r="AH106" s="705" t="s">
        <v>2120</v>
      </c>
    </row>
    <row r="107" spans="1:38" ht="76.7" hidden="1" customHeight="1">
      <c r="E107" s="460">
        <v>78.75</v>
      </c>
      <c r="F107" s="3" cm="1">
        <f t="array" aca="1" ref="F107" ca="1">OFFSET(E107,-1,1)</f>
        <v>0</v>
      </c>
      <c r="H107" s="41" t="s">
        <v>2112</v>
      </c>
      <c r="T107" s="365" t="b" cm="1">
        <f t="array" aca="1" ref="T107" ca="1">T106</f>
        <v>0</v>
      </c>
      <c r="X107" s="1094"/>
      <c r="Z107" s="1095"/>
      <c r="AB107" s="527" t="s">
        <v>1517</v>
      </c>
      <c r="AC107" s="421" t="s">
        <v>1448</v>
      </c>
      <c r="AD107" s="414" t="s">
        <v>804</v>
      </c>
      <c r="AE107" s="929"/>
      <c r="AH107" s="705" t="s">
        <v>2098</v>
      </c>
    </row>
    <row r="108" spans="1:38" s="23" customFormat="1" ht="14.65" hidden="1" customHeight="1">
      <c r="A108" s="498"/>
      <c r="B108" s="41"/>
      <c r="C108" s="41"/>
      <c r="D108" s="41"/>
      <c r="E108" s="460">
        <v>15</v>
      </c>
      <c r="F108" s="280" cm="1">
        <f t="array" aca="1" ref="F108" ca="1">OFFSET(E108,-1,1)</f>
        <v>0</v>
      </c>
      <c r="G108" s="41"/>
      <c r="H108" s="41"/>
      <c r="I108" s="41"/>
      <c r="J108" s="41"/>
      <c r="K108" s="41"/>
      <c r="L108" s="41"/>
      <c r="M108" s="41"/>
      <c r="N108" s="41"/>
      <c r="O108" s="41"/>
      <c r="P108" s="41"/>
      <c r="Q108" s="41"/>
      <c r="R108" s="41"/>
      <c r="S108" s="41"/>
      <c r="T108" s="365" t="b" cm="1">
        <f t="array" aca="1" ref="T108" ca="1">T107</f>
        <v>0</v>
      </c>
      <c r="U108" s="41"/>
      <c r="V108" s="41"/>
      <c r="W108" s="41"/>
      <c r="X108" s="1094"/>
      <c r="Y108" s="41"/>
      <c r="Z108" s="1095"/>
      <c r="AA108" s="41"/>
      <c r="AB108" s="527" t="s">
        <v>2109</v>
      </c>
      <c r="AC108" s="421" t="s">
        <v>999</v>
      </c>
      <c r="AD108" s="414" t="s">
        <v>804</v>
      </c>
      <c r="AE108" s="929"/>
      <c r="AF108" s="327"/>
      <c r="AG108" s="327"/>
      <c r="AH108" s="705" t="s">
        <v>1001</v>
      </c>
      <c r="AI108" s="664"/>
      <c r="AJ108" s="664"/>
      <c r="AK108" s="491"/>
      <c r="AL108" s="491"/>
    </row>
    <row r="109" spans="1:38" s="23" customFormat="1" ht="14.65" hidden="1" customHeight="1">
      <c r="A109" s="498"/>
      <c r="B109" s="41"/>
      <c r="C109" s="41"/>
      <c r="D109" s="41"/>
      <c r="E109" s="460">
        <v>15</v>
      </c>
      <c r="F109" s="280" cm="1">
        <f t="array" aca="1" ref="F109" ca="1">OFFSET(E109,-1,1)</f>
        <v>0</v>
      </c>
      <c r="G109" s="41"/>
      <c r="H109" s="41"/>
      <c r="I109" s="41"/>
      <c r="J109" s="41"/>
      <c r="K109" s="41"/>
      <c r="L109" s="41"/>
      <c r="M109" s="41"/>
      <c r="N109" s="41"/>
      <c r="O109" s="41"/>
      <c r="P109" s="41"/>
      <c r="Q109" s="41"/>
      <c r="R109" s="41"/>
      <c r="S109" s="41"/>
      <c r="T109" s="365" t="b" cm="1">
        <f t="array" aca="1" ref="T109" ca="1">T108</f>
        <v>0</v>
      </c>
      <c r="U109" s="41"/>
      <c r="V109" s="41"/>
      <c r="W109" s="41"/>
      <c r="X109" s="1094"/>
      <c r="Y109" s="41"/>
      <c r="Z109" s="1095"/>
      <c r="AA109" s="41"/>
      <c r="AB109" s="527" t="s">
        <v>1536</v>
      </c>
      <c r="AC109" s="421" t="s">
        <v>1459</v>
      </c>
      <c r="AD109" s="414" t="s">
        <v>804</v>
      </c>
      <c r="AE109" s="929"/>
      <c r="AF109" s="327"/>
      <c r="AG109" s="327"/>
      <c r="AH109" s="705" t="s">
        <v>2444</v>
      </c>
      <c r="AI109" s="664"/>
      <c r="AJ109" s="664"/>
      <c r="AK109" s="491"/>
      <c r="AL109" s="491"/>
    </row>
    <row r="110" spans="1:38" ht="14.65" hidden="1" customHeight="1">
      <c r="E110" s="460">
        <v>15</v>
      </c>
      <c r="F110" s="3" cm="1">
        <f t="array" aca="1" ref="F110" ca="1">OFFSET(E110,-1,1)</f>
        <v>0</v>
      </c>
      <c r="H110" s="41" t="s">
        <v>2445</v>
      </c>
      <c r="T110" s="365" t="b" cm="1">
        <f t="array" aca="1" ref="T110" ca="1">T107</f>
        <v>0</v>
      </c>
      <c r="X110" s="1094"/>
      <c r="Z110" s="1095"/>
      <c r="AB110" s="527" t="s">
        <v>1540</v>
      </c>
      <c r="AC110" s="413" t="s">
        <v>2446</v>
      </c>
      <c r="AD110" s="414" t="s">
        <v>804</v>
      </c>
      <c r="AE110" s="929"/>
      <c r="AH110" s="664" t="s">
        <v>2447</v>
      </c>
    </row>
    <row r="111" spans="1:38" s="23" customFormat="1" ht="32.1" hidden="1" customHeight="1">
      <c r="A111" s="498"/>
      <c r="B111" s="41"/>
      <c r="C111" s="41"/>
      <c r="D111" s="41"/>
      <c r="E111" s="460">
        <v>33</v>
      </c>
      <c r="F111" s="280" cm="1">
        <f t="array" aca="1" ref="F111" ca="1">OFFSET(E111,-1,1)</f>
        <v>0</v>
      </c>
      <c r="G111" s="41"/>
      <c r="H111" s="41"/>
      <c r="I111" s="41"/>
      <c r="J111" s="41"/>
      <c r="K111" s="41"/>
      <c r="L111" s="41"/>
      <c r="M111" s="41"/>
      <c r="N111" s="41"/>
      <c r="O111" s="41"/>
      <c r="P111" s="41"/>
      <c r="Q111" s="41"/>
      <c r="R111" s="41"/>
      <c r="S111" s="41"/>
      <c r="T111" s="365" t="b" cm="1">
        <f t="array" aca="1" ref="T111" ca="1">T110</f>
        <v>0</v>
      </c>
      <c r="U111" s="41"/>
      <c r="V111" s="41"/>
      <c r="W111" s="41"/>
      <c r="X111" s="1094"/>
      <c r="Y111" s="41"/>
      <c r="Z111" s="1095"/>
      <c r="AA111" s="41"/>
      <c r="AB111" s="527" t="s">
        <v>1543</v>
      </c>
      <c r="AC111" s="413" t="s">
        <v>2122</v>
      </c>
      <c r="AD111" s="414" t="s">
        <v>804</v>
      </c>
      <c r="AE111" s="929"/>
      <c r="AF111" s="327"/>
      <c r="AG111" s="327"/>
      <c r="AH111" s="664" t="s">
        <v>2448</v>
      </c>
      <c r="AI111" s="664"/>
      <c r="AJ111" s="664"/>
      <c r="AK111" s="491"/>
      <c r="AL111" s="491"/>
    </row>
    <row r="112" spans="1:38" ht="14.65" hidden="1" customHeight="1">
      <c r="E112" s="460">
        <v>15</v>
      </c>
      <c r="F112" s="3" cm="1">
        <f t="array" aca="1" ref="F112" ca="1">OFFSET(E112,-1,1)</f>
        <v>0</v>
      </c>
      <c r="H112" s="41" t="s">
        <v>2449</v>
      </c>
      <c r="T112" s="365" t="b" cm="1">
        <f t="array" aca="1" ref="T112" ca="1">T110</f>
        <v>0</v>
      </c>
      <c r="X112" s="1094"/>
      <c r="Z112" s="1095"/>
      <c r="AB112" s="527" t="s">
        <v>2450</v>
      </c>
      <c r="AC112" s="413" t="s">
        <v>2451</v>
      </c>
      <c r="AD112" s="414" t="s">
        <v>804</v>
      </c>
      <c r="AE112" s="418">
        <f>SUM(AE113:AE114)</f>
        <v>0</v>
      </c>
      <c r="AH112" s="664" t="s">
        <v>2452</v>
      </c>
    </row>
    <row r="113" spans="5:38" ht="14.65" hidden="1" customHeight="1">
      <c r="E113" s="460">
        <v>15</v>
      </c>
      <c r="F113" s="3" cm="1">
        <f t="array" aca="1" ref="F113" ca="1">OFFSET(E113,-1,1)</f>
        <v>0</v>
      </c>
      <c r="H113" s="41" t="s">
        <v>2449</v>
      </c>
      <c r="I113" s="422" cm="1">
        <f t="array" ref="I113">AC113</f>
        <v>0</v>
      </c>
      <c r="T113" s="365" t="b">
        <f ca="1">AND(F113&gt;0,Y113&gt;0)</f>
        <v>0</v>
      </c>
      <c r="W113" s="36" t="s">
        <v>173</v>
      </c>
      <c r="X113" s="1094"/>
      <c r="Y113" s="41">
        <v>0</v>
      </c>
      <c r="Z113" s="1095"/>
      <c r="AA113" s="493" t="s">
        <v>174</v>
      </c>
      <c r="AB113" s="527" t="str">
        <f>"2.12."&amp;Y113</f>
        <v>2.12.0</v>
      </c>
      <c r="AC113" s="975"/>
      <c r="AD113" s="414" t="s">
        <v>804</v>
      </c>
      <c r="AE113" s="929"/>
      <c r="AH113" s="664" t="s">
        <v>2452</v>
      </c>
      <c r="AI113" s="664" t="s">
        <v>2453</v>
      </c>
      <c r="AJ113" s="670" cm="1">
        <f t="array" ref="AJ113">AC113</f>
        <v>0</v>
      </c>
      <c r="AL113" s="491" t="b">
        <v>1</v>
      </c>
    </row>
    <row r="114" spans="5:38" ht="14.65" hidden="1" customHeight="1">
      <c r="E114" s="460">
        <v>15</v>
      </c>
      <c r="F114" s="3" cm="1">
        <f t="array" aca="1" ref="F114" ca="1">OFFSET(E114,-1,1)</f>
        <v>0</v>
      </c>
      <c r="I114" s="91" t="str">
        <f>"!== 'не определено' &amp;&amp; row.l2_13 !== null"</f>
        <v>!== 'не определено' &amp;&amp; row.l2_13 !== null</v>
      </c>
      <c r="T114" s="365" t="b">
        <f ca="1">F114&gt;0</f>
        <v>0</v>
      </c>
      <c r="W114" s="517" t="s">
        <v>884</v>
      </c>
      <c r="X114" s="1094"/>
      <c r="Z114" s="1095"/>
      <c r="AB114" s="792"/>
      <c r="AC114" s="793" t="s">
        <v>177</v>
      </c>
      <c r="AD114" s="794"/>
      <c r="AE114" s="804"/>
      <c r="AK114" s="491" t="s">
        <v>2453</v>
      </c>
    </row>
    <row r="115" spans="5:38" ht="14.65" hidden="1" customHeight="1">
      <c r="E115" s="460">
        <v>15</v>
      </c>
      <c r="F115" s="3" cm="1">
        <f t="array" aca="1" ref="F115" ca="1">OFFSET(E115,-1,1)</f>
        <v>0</v>
      </c>
      <c r="G115" s="41" t="s">
        <v>51</v>
      </c>
      <c r="H115" s="41" t="s">
        <v>329</v>
      </c>
      <c r="T115" s="365" t="b" cm="1">
        <f t="array" aca="1" ref="T115" ca="1">T114</f>
        <v>0</v>
      </c>
      <c r="X115" s="1094"/>
      <c r="Z115" s="1095"/>
      <c r="AB115" s="526" t="s">
        <v>325</v>
      </c>
      <c r="AC115" s="411" t="s">
        <v>2125</v>
      </c>
      <c r="AD115" s="412" t="s">
        <v>804</v>
      </c>
      <c r="AE115" s="976"/>
      <c r="AH115" s="664" t="s">
        <v>1733</v>
      </c>
    </row>
    <row r="116" spans="5:38" ht="14.25" customHeight="1">
      <c r="E116" s="460">
        <v>15</v>
      </c>
      <c r="F116" s="280" t="str" cm="1">
        <f t="array" ref="F116">X116</f>
        <v>1</v>
      </c>
      <c r="G116" s="41" t="s">
        <v>797</v>
      </c>
      <c r="T116" s="365" t="b">
        <f>X116&gt;0</f>
        <v>1</v>
      </c>
      <c r="V116" s="41" t="str" cm="1">
        <f t="array" ref="V116">'ДПР (концессии)'!$AB$81</f>
        <v>Тариф 1 (Водоснабжение) - тариф на питьевую воду (Доп. признак не требуется)</v>
      </c>
      <c r="X116" s="1094" t="s">
        <v>275</v>
      </c>
      <c r="Z116" s="1095"/>
      <c r="AB116" s="154" t="str" cm="1">
        <f t="array" ref="AB116">'ДПР (концессии)'!$AB$81</f>
        <v>Тариф 1 (Водоснабжение) - тариф на питьевую воду (Доп. признак не требуется)</v>
      </c>
      <c r="AC116" s="113"/>
      <c r="AD116" s="107"/>
      <c r="AE116" s="791">
        <f>AE117+AE167+AE204</f>
        <v>0</v>
      </c>
    </row>
    <row r="117" spans="5:38" ht="14.25" customHeight="1">
      <c r="E117" s="460">
        <v>15</v>
      </c>
      <c r="F117" s="3" t="str" cm="1">
        <f t="array" aca="1" ref="F117" ca="1">OFFSET(E117,-1,1)</f>
        <v>1</v>
      </c>
      <c r="H117" s="41" t="s">
        <v>327</v>
      </c>
      <c r="T117" s="365" t="b" cm="1">
        <f t="array" ref="T117">T116</f>
        <v>1</v>
      </c>
      <c r="X117" s="1094"/>
      <c r="Z117" s="1095"/>
      <c r="AB117" s="526" t="s">
        <v>275</v>
      </c>
      <c r="AC117" s="411" t="s">
        <v>1931</v>
      </c>
      <c r="AD117" s="412" t="s">
        <v>804</v>
      </c>
      <c r="AE117" s="418">
        <f>AE118+AE136+AE144+AE164</f>
        <v>0</v>
      </c>
      <c r="AH117" s="664" t="s">
        <v>526</v>
      </c>
    </row>
    <row r="118" spans="5:38" ht="14.25" customHeight="1">
      <c r="E118" s="460">
        <v>15</v>
      </c>
      <c r="F118" s="3" t="str" cm="1">
        <f t="array" aca="1" ref="F118" ca="1">OFFSET(E118,-1,1)</f>
        <v>1</v>
      </c>
      <c r="H118" s="41" t="s">
        <v>461</v>
      </c>
      <c r="T118" s="365" t="b" cm="1">
        <f t="array" ref="T118">T117</f>
        <v>1</v>
      </c>
      <c r="X118" s="1094"/>
      <c r="Z118" s="1095"/>
      <c r="AB118" s="527" t="s">
        <v>897</v>
      </c>
      <c r="AC118" s="413" t="s">
        <v>1721</v>
      </c>
      <c r="AD118" s="414" t="s">
        <v>804</v>
      </c>
      <c r="AE118" s="418">
        <f>AE119+AE120+AE121+AE126+AE127+AE128</f>
        <v>0</v>
      </c>
      <c r="AH118" s="664" t="s">
        <v>1158</v>
      </c>
    </row>
    <row r="119" spans="5:38" ht="14.25" customHeight="1">
      <c r="E119" s="460">
        <v>15</v>
      </c>
      <c r="F119" s="3" t="str" cm="1">
        <f t="array" aca="1" ref="F119" ca="1">OFFSET(E119,-1,1)</f>
        <v>1</v>
      </c>
      <c r="H119" s="41" t="s">
        <v>1004</v>
      </c>
      <c r="T119" s="365" t="b" cm="1">
        <f t="array" ref="T119">T118</f>
        <v>1</v>
      </c>
      <c r="X119" s="1094"/>
      <c r="Z119" s="1095"/>
      <c r="AB119" s="527" t="s">
        <v>1005</v>
      </c>
      <c r="AC119" s="415" t="s">
        <v>2320</v>
      </c>
      <c r="AD119" s="414" t="s">
        <v>804</v>
      </c>
      <c r="AE119" s="161"/>
      <c r="AH119" s="664" t="s">
        <v>1254</v>
      </c>
    </row>
    <row r="120" spans="5:38" ht="21.75" customHeight="1">
      <c r="E120" s="460">
        <v>22.5</v>
      </c>
      <c r="F120" s="3" t="str" cm="1">
        <f t="array" aca="1" ref="F120" ca="1">OFFSET(E120,-1,1)</f>
        <v>1</v>
      </c>
      <c r="H120" s="41" t="s">
        <v>1008</v>
      </c>
      <c r="T120" s="365" t="b" cm="1">
        <f t="array" ref="T120">T119</f>
        <v>1</v>
      </c>
      <c r="X120" s="1094"/>
      <c r="Z120" s="1095"/>
      <c r="AB120" s="527" t="s">
        <v>1009</v>
      </c>
      <c r="AC120" s="415" t="s">
        <v>1939</v>
      </c>
      <c r="AD120" s="414" t="s">
        <v>804</v>
      </c>
      <c r="AE120" s="161"/>
      <c r="AH120" s="664" t="s">
        <v>1754</v>
      </c>
    </row>
    <row r="121" spans="5:38" ht="32.25" customHeight="1">
      <c r="E121" s="460">
        <v>33.75</v>
      </c>
      <c r="F121" s="3" t="str" cm="1">
        <f t="array" aca="1" ref="F121" ca="1">OFFSET(E121,-1,1)</f>
        <v>1</v>
      </c>
      <c r="H121" s="41" t="s">
        <v>1311</v>
      </c>
      <c r="T121" s="365" t="b" cm="1">
        <f t="array" ref="T121">T120</f>
        <v>1</v>
      </c>
      <c r="X121" s="1094"/>
      <c r="Z121" s="1095"/>
      <c r="AB121" s="527" t="s">
        <v>1312</v>
      </c>
      <c r="AC121" s="415" t="s">
        <v>2321</v>
      </c>
      <c r="AD121" s="414" t="s">
        <v>804</v>
      </c>
      <c r="AE121" s="418">
        <f>AE122+AE125</f>
        <v>0</v>
      </c>
      <c r="AH121" s="664" t="s">
        <v>1756</v>
      </c>
    </row>
    <row r="122" spans="5:38" ht="21.75" customHeight="1">
      <c r="E122" s="460">
        <v>22.5</v>
      </c>
      <c r="F122" s="3" t="str" cm="1">
        <f t="array" aca="1" ref="F122" ca="1">OFFSET(E122,-1,1)</f>
        <v>1</v>
      </c>
      <c r="H122" s="41" t="s">
        <v>2322</v>
      </c>
      <c r="T122" s="365" t="b" cm="1">
        <f t="array" ref="T122">T121</f>
        <v>1</v>
      </c>
      <c r="X122" s="1094"/>
      <c r="Z122" s="1095"/>
      <c r="AB122" s="527" t="s">
        <v>2323</v>
      </c>
      <c r="AC122" s="416" t="s">
        <v>2324</v>
      </c>
      <c r="AD122" s="414" t="s">
        <v>804</v>
      </c>
      <c r="AE122" s="161"/>
      <c r="AH122" s="664" t="s">
        <v>1758</v>
      </c>
    </row>
    <row r="123" spans="5:38" ht="21.75" customHeight="1">
      <c r="E123" s="460">
        <v>22.5</v>
      </c>
      <c r="F123" s="3" t="str" cm="1">
        <f t="array" aca="1" ref="F123" ca="1">OFFSET(E123,-1,1)</f>
        <v>1</v>
      </c>
      <c r="H123" s="41" t="s">
        <v>2325</v>
      </c>
      <c r="T123" s="365" t="b" cm="1">
        <f t="array" ref="T123">T122</f>
        <v>1</v>
      </c>
      <c r="X123" s="1094"/>
      <c r="Z123" s="1095"/>
      <c r="AB123" s="527" t="s">
        <v>2326</v>
      </c>
      <c r="AC123" s="417" t="s">
        <v>2327</v>
      </c>
      <c r="AD123" s="414" t="s">
        <v>2328</v>
      </c>
      <c r="AE123" s="161"/>
      <c r="AH123" s="664" t="s">
        <v>2329</v>
      </c>
    </row>
    <row r="124" spans="5:38" ht="21.75" customHeight="1">
      <c r="E124" s="460">
        <v>22.5</v>
      </c>
      <c r="F124" s="3" t="str" cm="1">
        <f t="array" aca="1" ref="F124" ca="1">OFFSET(E124,-1,1)</f>
        <v>1</v>
      </c>
      <c r="H124" s="41" t="s">
        <v>2330</v>
      </c>
      <c r="T124" s="365" t="b" cm="1">
        <f t="array" ref="T124">T123</f>
        <v>1</v>
      </c>
      <c r="X124" s="1094"/>
      <c r="Z124" s="1095"/>
      <c r="AB124" s="527" t="s">
        <v>2331</v>
      </c>
      <c r="AC124" s="417" t="s">
        <v>2332</v>
      </c>
      <c r="AD124" s="414" t="s">
        <v>2333</v>
      </c>
      <c r="AE124" s="161"/>
      <c r="AH124" s="664" t="s">
        <v>2334</v>
      </c>
    </row>
    <row r="125" spans="5:38" ht="21.75" customHeight="1">
      <c r="E125" s="460">
        <v>22.5</v>
      </c>
      <c r="F125" s="3" t="str" cm="1">
        <f t="array" aca="1" ref="F125" ca="1">OFFSET(E125,-1,1)</f>
        <v>1</v>
      </c>
      <c r="H125" s="41" t="s">
        <v>2335</v>
      </c>
      <c r="T125" s="365" t="b" cm="1">
        <f t="array" ref="T125">T124</f>
        <v>1</v>
      </c>
      <c r="X125" s="1094"/>
      <c r="Z125" s="1095"/>
      <c r="AB125" s="527" t="s">
        <v>2336</v>
      </c>
      <c r="AC125" s="416" t="s">
        <v>2337</v>
      </c>
      <c r="AD125" s="414" t="s">
        <v>804</v>
      </c>
      <c r="AE125" s="161"/>
      <c r="AH125" s="664" t="s">
        <v>1760</v>
      </c>
    </row>
    <row r="126" spans="5:38" ht="14.25" customHeight="1">
      <c r="E126" s="460">
        <v>15</v>
      </c>
      <c r="F126" s="3" t="str" cm="1">
        <f t="array" aca="1" ref="F126" ca="1">OFFSET(E126,-1,1)</f>
        <v>1</v>
      </c>
      <c r="H126" s="41" t="s">
        <v>1315</v>
      </c>
      <c r="T126" s="365" t="b" cm="1">
        <f t="array" ref="T126">T125</f>
        <v>1</v>
      </c>
      <c r="X126" s="1094"/>
      <c r="Z126" s="1095"/>
      <c r="AB126" s="527" t="s">
        <v>1316</v>
      </c>
      <c r="AC126" s="415" t="s">
        <v>2338</v>
      </c>
      <c r="AD126" s="414" t="s">
        <v>804</v>
      </c>
      <c r="AE126" s="161"/>
      <c r="AH126" s="664" t="s">
        <v>2120</v>
      </c>
    </row>
    <row r="127" spans="5:38" ht="14.25" customHeight="1">
      <c r="E127" s="460">
        <v>15</v>
      </c>
      <c r="F127" s="3" t="str" cm="1">
        <f t="array" aca="1" ref="F127" ca="1">OFFSET(E127,-1,1)</f>
        <v>1</v>
      </c>
      <c r="H127" s="41" t="s">
        <v>2339</v>
      </c>
      <c r="T127" s="365" t="b" cm="1">
        <f t="array" ref="T127">T126</f>
        <v>1</v>
      </c>
      <c r="X127" s="1094"/>
      <c r="Z127" s="1095"/>
      <c r="AB127" s="527" t="s">
        <v>1319</v>
      </c>
      <c r="AC127" s="415" t="s">
        <v>1945</v>
      </c>
      <c r="AD127" s="414" t="s">
        <v>804</v>
      </c>
      <c r="AE127" s="161"/>
      <c r="AH127" s="664" t="s">
        <v>1765</v>
      </c>
    </row>
    <row r="128" spans="5:38" ht="14.25" customHeight="1">
      <c r="E128" s="460">
        <v>15</v>
      </c>
      <c r="F128" s="3" t="str" cm="1">
        <f t="array" aca="1" ref="F128" ca="1">OFFSET(E128,-1,1)</f>
        <v>1</v>
      </c>
      <c r="H128" s="41" t="s">
        <v>2340</v>
      </c>
      <c r="T128" s="365" t="b" cm="1">
        <f t="array" ref="T128">T127</f>
        <v>1</v>
      </c>
      <c r="X128" s="1094"/>
      <c r="Z128" s="1095"/>
      <c r="AB128" s="527" t="s">
        <v>2341</v>
      </c>
      <c r="AC128" s="415" t="s">
        <v>2342</v>
      </c>
      <c r="AD128" s="414" t="s">
        <v>804</v>
      </c>
      <c r="AE128" s="418">
        <f>SUM(AE129:AE135)</f>
        <v>0</v>
      </c>
      <c r="AH128" s="664" t="s">
        <v>1769</v>
      </c>
    </row>
    <row r="129" spans="5:34" ht="14.25" customHeight="1">
      <c r="E129" s="460">
        <v>15</v>
      </c>
      <c r="F129" s="3" t="str" cm="1">
        <f t="array" aca="1" ref="F129" ca="1">OFFSET(E129,-1,1)</f>
        <v>1</v>
      </c>
      <c r="H129" s="41" t="s">
        <v>2343</v>
      </c>
      <c r="T129" s="365" t="b" cm="1">
        <f t="array" ref="T129">T128</f>
        <v>1</v>
      </c>
      <c r="X129" s="1094"/>
      <c r="Z129" s="1095"/>
      <c r="AB129" s="527" t="s">
        <v>2344</v>
      </c>
      <c r="AC129" s="416" t="s">
        <v>1776</v>
      </c>
      <c r="AD129" s="414" t="s">
        <v>804</v>
      </c>
      <c r="AE129" s="161"/>
      <c r="AH129" s="664" t="s">
        <v>2345</v>
      </c>
    </row>
    <row r="130" spans="5:34" ht="21.75" customHeight="1">
      <c r="E130" s="460">
        <v>22.5</v>
      </c>
      <c r="F130" s="3" t="str" cm="1">
        <f t="array" aca="1" ref="F130" ca="1">OFFSET(E130,-1,1)</f>
        <v>1</v>
      </c>
      <c r="H130" s="41" t="s">
        <v>2346</v>
      </c>
      <c r="T130" s="365" t="b" cm="1">
        <f t="array" ref="T130">T129</f>
        <v>1</v>
      </c>
      <c r="X130" s="1094"/>
      <c r="Z130" s="1095"/>
      <c r="AB130" s="527" t="s">
        <v>2347</v>
      </c>
      <c r="AC130" s="416" t="s">
        <v>1953</v>
      </c>
      <c r="AD130" s="414" t="s">
        <v>804</v>
      </c>
      <c r="AE130" s="161"/>
      <c r="AH130" s="705" t="s">
        <v>1954</v>
      </c>
    </row>
    <row r="131" spans="5:34" ht="21.75" customHeight="1">
      <c r="E131" s="460">
        <v>22.5</v>
      </c>
      <c r="F131" s="3" t="str" cm="1">
        <f t="array" aca="1" ref="F131" ca="1">OFFSET(E131,-1,1)</f>
        <v>1</v>
      </c>
      <c r="H131" s="41" t="s">
        <v>2348</v>
      </c>
      <c r="T131" s="365" t="b" cm="1">
        <f t="array" ref="T131">T130</f>
        <v>1</v>
      </c>
      <c r="X131" s="1094"/>
      <c r="Z131" s="1095"/>
      <c r="AB131" s="527" t="s">
        <v>2349</v>
      </c>
      <c r="AC131" s="416" t="s">
        <v>1957</v>
      </c>
      <c r="AD131" s="414" t="s">
        <v>804</v>
      </c>
      <c r="AE131" s="161"/>
      <c r="AH131" s="705" t="s">
        <v>1958</v>
      </c>
    </row>
    <row r="132" spans="5:34" ht="21.75" customHeight="1">
      <c r="E132" s="460">
        <v>22.5</v>
      </c>
      <c r="F132" s="3" t="str" cm="1">
        <f t="array" aca="1" ref="F132" ca="1">OFFSET(E132,-1,1)</f>
        <v>1</v>
      </c>
      <c r="H132" s="41" t="s">
        <v>2350</v>
      </c>
      <c r="T132" s="365" t="b" cm="1">
        <f t="array" ref="T132">T131</f>
        <v>1</v>
      </c>
      <c r="X132" s="1094"/>
      <c r="Z132" s="1095"/>
      <c r="AB132" s="527" t="s">
        <v>2351</v>
      </c>
      <c r="AC132" s="416" t="s">
        <v>2352</v>
      </c>
      <c r="AD132" s="414" t="s">
        <v>804</v>
      </c>
      <c r="AE132" s="161"/>
      <c r="AH132" s="705" t="s">
        <v>1962</v>
      </c>
    </row>
    <row r="133" spans="5:34" ht="54.75" customHeight="1">
      <c r="E133" s="460">
        <v>56.25</v>
      </c>
      <c r="F133" s="3" t="str" cm="1">
        <f t="array" aca="1" ref="F133" ca="1">OFFSET(E133,-1,1)</f>
        <v>1</v>
      </c>
      <c r="H133" s="41" t="s">
        <v>2353</v>
      </c>
      <c r="T133" s="365" t="b" cm="1">
        <f t="array" ref="T133">T132</f>
        <v>1</v>
      </c>
      <c r="X133" s="1094"/>
      <c r="Z133" s="1095"/>
      <c r="AB133" s="527" t="s">
        <v>2354</v>
      </c>
      <c r="AC133" s="416" t="s">
        <v>1965</v>
      </c>
      <c r="AD133" s="414" t="s">
        <v>804</v>
      </c>
      <c r="AE133" s="161"/>
      <c r="AH133" s="705" t="s">
        <v>1781</v>
      </c>
    </row>
    <row r="134" spans="5:34" ht="14.25" customHeight="1">
      <c r="E134" s="460">
        <v>15</v>
      </c>
      <c r="F134" s="3" t="str" cm="1">
        <f t="array" aca="1" ref="F134" ca="1">OFFSET(E134,-1,1)</f>
        <v>1</v>
      </c>
      <c r="H134" s="41" t="s">
        <v>2355</v>
      </c>
      <c r="T134" s="365" t="b" cm="1">
        <f t="array" ref="T134">T133</f>
        <v>1</v>
      </c>
      <c r="X134" s="1094"/>
      <c r="Z134" s="1095"/>
      <c r="AB134" s="527" t="s">
        <v>2356</v>
      </c>
      <c r="AC134" s="416" t="s">
        <v>1784</v>
      </c>
      <c r="AD134" s="414" t="s">
        <v>804</v>
      </c>
      <c r="AE134" s="161"/>
      <c r="AH134" s="705" t="s">
        <v>1785</v>
      </c>
    </row>
    <row r="135" spans="5:34" ht="14.25" customHeight="1">
      <c r="E135" s="460">
        <v>15</v>
      </c>
      <c r="F135" s="3" t="str" cm="1">
        <f t="array" aca="1" ref="F135" ca="1">OFFSET(E135,-1,1)</f>
        <v>1</v>
      </c>
      <c r="H135" s="41" t="s">
        <v>2357</v>
      </c>
      <c r="T135" s="365" t="b" cm="1">
        <f t="array" ref="T135">T134</f>
        <v>1</v>
      </c>
      <c r="X135" s="1094"/>
      <c r="Z135" s="1095"/>
      <c r="AB135" s="527" t="s">
        <v>2358</v>
      </c>
      <c r="AC135" s="416" t="s">
        <v>1246</v>
      </c>
      <c r="AD135" s="414" t="s">
        <v>804</v>
      </c>
      <c r="AE135" s="161"/>
      <c r="AH135" s="705" t="s">
        <v>1769</v>
      </c>
    </row>
    <row r="136" spans="5:34" ht="14.25" customHeight="1">
      <c r="E136" s="460">
        <v>15</v>
      </c>
      <c r="F136" s="3" t="str" cm="1">
        <f t="array" aca="1" ref="F136" ca="1">OFFSET(E136,-1,1)</f>
        <v>1</v>
      </c>
      <c r="H136" s="41" t="s">
        <v>465</v>
      </c>
      <c r="T136" s="365" t="b" cm="1">
        <f t="array" ref="T136">T135</f>
        <v>1</v>
      </c>
      <c r="X136" s="1094"/>
      <c r="Z136" s="1095"/>
      <c r="AB136" s="527" t="s">
        <v>900</v>
      </c>
      <c r="AC136" s="413" t="s">
        <v>2359</v>
      </c>
      <c r="AD136" s="414" t="s">
        <v>804</v>
      </c>
      <c r="AE136" s="418">
        <f>AE137+AE138+AE139</f>
        <v>0</v>
      </c>
      <c r="AH136" s="704" t="s">
        <v>1789</v>
      </c>
    </row>
    <row r="137" spans="5:34" ht="14.25" customHeight="1">
      <c r="E137" s="460">
        <v>15</v>
      </c>
      <c r="F137" s="3" t="str" cm="1">
        <f t="array" aca="1" ref="F137" ca="1">OFFSET(E137,-1,1)</f>
        <v>1</v>
      </c>
      <c r="H137" s="41" t="s">
        <v>1336</v>
      </c>
      <c r="T137" s="365" t="b" cm="1">
        <f t="array" ref="T137">T136</f>
        <v>1</v>
      </c>
      <c r="X137" s="1094"/>
      <c r="Z137" s="1095"/>
      <c r="AB137" s="527" t="s">
        <v>1337</v>
      </c>
      <c r="AC137" s="415" t="s">
        <v>2360</v>
      </c>
      <c r="AD137" s="414" t="s">
        <v>804</v>
      </c>
      <c r="AE137" s="161"/>
      <c r="AH137" s="703" t="s">
        <v>1791</v>
      </c>
    </row>
    <row r="138" spans="5:34" ht="14.25" customHeight="1">
      <c r="E138" s="460">
        <v>15</v>
      </c>
      <c r="F138" s="3" t="str" cm="1">
        <f t="array" aca="1" ref="F138" ca="1">OFFSET(E138,-1,1)</f>
        <v>1</v>
      </c>
      <c r="H138" s="41" t="s">
        <v>1339</v>
      </c>
      <c r="T138" s="365" t="b" cm="1">
        <f t="array" ref="T138">T137</f>
        <v>1</v>
      </c>
      <c r="X138" s="1094"/>
      <c r="Z138" s="1095"/>
      <c r="AB138" s="527" t="s">
        <v>1340</v>
      </c>
      <c r="AC138" s="415" t="s">
        <v>2361</v>
      </c>
      <c r="AD138" s="414" t="s">
        <v>804</v>
      </c>
      <c r="AE138" s="161"/>
      <c r="AH138" s="705" t="s">
        <v>1973</v>
      </c>
    </row>
    <row r="139" spans="5:34" ht="21.75" customHeight="1">
      <c r="E139" s="460">
        <v>22.5</v>
      </c>
      <c r="F139" s="3" t="str" cm="1">
        <f t="array" aca="1" ref="F139" ca="1">OFFSET(E139,-1,1)</f>
        <v>1</v>
      </c>
      <c r="H139" s="41" t="s">
        <v>1343</v>
      </c>
      <c r="T139" s="365" t="b" cm="1">
        <f t="array" ref="T139">T138</f>
        <v>1</v>
      </c>
      <c r="X139" s="1094"/>
      <c r="Z139" s="1095"/>
      <c r="AB139" s="527" t="s">
        <v>1344</v>
      </c>
      <c r="AC139" s="415" t="s">
        <v>2362</v>
      </c>
      <c r="AD139" s="414" t="s">
        <v>804</v>
      </c>
      <c r="AE139" s="418">
        <f>AE140+AE143</f>
        <v>0</v>
      </c>
      <c r="AH139" s="703" t="s">
        <v>1793</v>
      </c>
    </row>
    <row r="140" spans="5:34" ht="14.25" customHeight="1">
      <c r="E140" s="460">
        <v>15</v>
      </c>
      <c r="F140" s="3" t="str" cm="1">
        <f t="array" aca="1" ref="F140" ca="1">OFFSET(E140,-1,1)</f>
        <v>1</v>
      </c>
      <c r="H140" s="41" t="s">
        <v>1487</v>
      </c>
      <c r="T140" s="365" t="b" cm="1">
        <f t="array" ref="T140">T139</f>
        <v>1</v>
      </c>
      <c r="X140" s="1094"/>
      <c r="Z140" s="1095"/>
      <c r="AB140" s="527" t="s">
        <v>1942</v>
      </c>
      <c r="AC140" s="416" t="s">
        <v>1795</v>
      </c>
      <c r="AD140" s="414" t="s">
        <v>804</v>
      </c>
      <c r="AE140" s="161"/>
      <c r="AH140" s="703" t="s">
        <v>1796</v>
      </c>
    </row>
    <row r="141" spans="5:34" ht="14.25" customHeight="1">
      <c r="E141" s="460">
        <v>15</v>
      </c>
      <c r="F141" s="3" t="str" cm="1">
        <f t="array" aca="1" ref="F141" ca="1">OFFSET(E141,-1,1)</f>
        <v>1</v>
      </c>
      <c r="H141" s="41" t="s">
        <v>2363</v>
      </c>
      <c r="T141" s="365" t="b" cm="1">
        <f t="array" ref="T141">T140</f>
        <v>1</v>
      </c>
      <c r="X141" s="1094"/>
      <c r="Z141" s="1095"/>
      <c r="AB141" s="527" t="s">
        <v>2364</v>
      </c>
      <c r="AC141" s="417" t="s">
        <v>2365</v>
      </c>
      <c r="AD141" s="414" t="s">
        <v>2328</v>
      </c>
      <c r="AE141" s="161"/>
      <c r="AH141" s="664" t="s">
        <v>2366</v>
      </c>
    </row>
    <row r="142" spans="5:34" ht="14.25" customHeight="1">
      <c r="E142" s="460">
        <v>15</v>
      </c>
      <c r="F142" s="3" t="str" cm="1">
        <f t="array" aca="1" ref="F142" ca="1">OFFSET(E142,-1,1)</f>
        <v>1</v>
      </c>
      <c r="H142" s="41" t="s">
        <v>2367</v>
      </c>
      <c r="T142" s="365" t="b" cm="1">
        <f t="array" ref="T142">T141</f>
        <v>1</v>
      </c>
      <c r="X142" s="1094"/>
      <c r="Z142" s="1095"/>
      <c r="AB142" s="527" t="s">
        <v>2368</v>
      </c>
      <c r="AC142" s="417" t="s">
        <v>2369</v>
      </c>
      <c r="AD142" s="414" t="s">
        <v>2333</v>
      </c>
      <c r="AE142" s="161"/>
      <c r="AH142" s="664" t="s">
        <v>2370</v>
      </c>
    </row>
    <row r="143" spans="5:34" ht="21.75" customHeight="1">
      <c r="E143" s="460">
        <v>22.5</v>
      </c>
      <c r="F143" s="3" t="str" cm="1">
        <f t="array" aca="1" ref="F143" ca="1">OFFSET(E143,-1,1)</f>
        <v>1</v>
      </c>
      <c r="H143" s="41" t="s">
        <v>1491</v>
      </c>
      <c r="T143" s="365" t="b" cm="1">
        <f t="array" ref="T143">T142</f>
        <v>1</v>
      </c>
      <c r="X143" s="1094"/>
      <c r="Z143" s="1095"/>
      <c r="AB143" s="527" t="s">
        <v>1943</v>
      </c>
      <c r="AC143" s="416" t="s">
        <v>1979</v>
      </c>
      <c r="AD143" s="414" t="s">
        <v>804</v>
      </c>
      <c r="AE143" s="161"/>
      <c r="AH143" s="703" t="s">
        <v>1799</v>
      </c>
    </row>
    <row r="144" spans="5:34" ht="14.25" customHeight="1">
      <c r="E144" s="460">
        <v>15</v>
      </c>
      <c r="F144" s="3" t="str" cm="1">
        <f t="array" aca="1" ref="F144" ca="1">OFFSET(E144,-1,1)</f>
        <v>1</v>
      </c>
      <c r="H144" s="41" t="s">
        <v>468</v>
      </c>
      <c r="T144" s="365" t="b" cm="1">
        <f t="array" ref="T144">T143</f>
        <v>1</v>
      </c>
      <c r="X144" s="1094"/>
      <c r="Z144" s="1095"/>
      <c r="AB144" s="527" t="s">
        <v>903</v>
      </c>
      <c r="AC144" s="413" t="s">
        <v>1980</v>
      </c>
      <c r="AD144" s="414" t="s">
        <v>804</v>
      </c>
      <c r="AE144" s="418">
        <f>AE145+AE151+AE156+AE157+AE158+AE159+AE160</f>
        <v>0</v>
      </c>
      <c r="AH144" s="704" t="s">
        <v>1801</v>
      </c>
    </row>
    <row r="145" spans="5:34" ht="21.75" customHeight="1">
      <c r="E145" s="460">
        <v>22.5</v>
      </c>
      <c r="F145" s="3" t="str" cm="1">
        <f t="array" aca="1" ref="F145" ca="1">OFFSET(E145,-1,1)</f>
        <v>1</v>
      </c>
      <c r="H145" s="41" t="s">
        <v>1349</v>
      </c>
      <c r="T145" s="365" t="b" cm="1">
        <f t="array" ref="T145">T144</f>
        <v>1</v>
      </c>
      <c r="X145" s="1094"/>
      <c r="Z145" s="1095"/>
      <c r="AB145" s="527" t="s">
        <v>1350</v>
      </c>
      <c r="AC145" s="415" t="s">
        <v>1802</v>
      </c>
      <c r="AD145" s="414" t="s">
        <v>804</v>
      </c>
      <c r="AE145" s="418">
        <f>SUM(AE146:AE150)</f>
        <v>0</v>
      </c>
      <c r="AH145" s="703" t="s">
        <v>1199</v>
      </c>
    </row>
    <row r="146" spans="5:34" ht="14.25" customHeight="1">
      <c r="E146" s="460">
        <v>15</v>
      </c>
      <c r="F146" s="3" t="str" cm="1">
        <f t="array" aca="1" ref="F146" ca="1">OFFSET(E146,-1,1)</f>
        <v>1</v>
      </c>
      <c r="H146" s="41" t="s">
        <v>2371</v>
      </c>
      <c r="T146" s="365" t="b" cm="1">
        <f t="array" ref="T146">T145</f>
        <v>1</v>
      </c>
      <c r="X146" s="1094"/>
      <c r="Z146" s="1095"/>
      <c r="AB146" s="527" t="s">
        <v>2372</v>
      </c>
      <c r="AC146" s="416" t="s">
        <v>1201</v>
      </c>
      <c r="AD146" s="414" t="s">
        <v>804</v>
      </c>
      <c r="AE146" s="161"/>
      <c r="AH146" s="705" t="s">
        <v>1202</v>
      </c>
    </row>
    <row r="147" spans="5:34" ht="14.25" customHeight="1">
      <c r="E147" s="460">
        <v>15</v>
      </c>
      <c r="F147" s="3" t="str" cm="1">
        <f t="array" aca="1" ref="F147" ca="1">OFFSET(E147,-1,1)</f>
        <v>1</v>
      </c>
      <c r="H147" s="41" t="s">
        <v>2373</v>
      </c>
      <c r="T147" s="365" t="b" cm="1">
        <f t="array" ref="T147">T146</f>
        <v>1</v>
      </c>
      <c r="X147" s="1094"/>
      <c r="Z147" s="1095"/>
      <c r="AB147" s="527" t="s">
        <v>2374</v>
      </c>
      <c r="AC147" s="416" t="s">
        <v>1204</v>
      </c>
      <c r="AD147" s="414" t="s">
        <v>804</v>
      </c>
      <c r="AE147" s="161"/>
      <c r="AH147" s="705" t="s">
        <v>1205</v>
      </c>
    </row>
    <row r="148" spans="5:34" ht="14.25" customHeight="1">
      <c r="E148" s="460">
        <v>15</v>
      </c>
      <c r="F148" s="3" t="str" cm="1">
        <f t="array" aca="1" ref="F148" ca="1">OFFSET(E148,-1,1)</f>
        <v>1</v>
      </c>
      <c r="H148" s="41" t="s">
        <v>2375</v>
      </c>
      <c r="T148" s="365" t="b" cm="1">
        <f t="array" ref="T148">T147</f>
        <v>1</v>
      </c>
      <c r="X148" s="1094"/>
      <c r="Z148" s="1095"/>
      <c r="AB148" s="527" t="s">
        <v>2376</v>
      </c>
      <c r="AC148" s="416" t="s">
        <v>1207</v>
      </c>
      <c r="AD148" s="414" t="s">
        <v>804</v>
      </c>
      <c r="AE148" s="161"/>
      <c r="AH148" s="705" t="s">
        <v>1208</v>
      </c>
    </row>
    <row r="149" spans="5:34" ht="14.25" customHeight="1">
      <c r="E149" s="460">
        <v>15</v>
      </c>
      <c r="F149" s="3" t="str" cm="1">
        <f t="array" aca="1" ref="F149" ca="1">OFFSET(E149,-1,1)</f>
        <v>1</v>
      </c>
      <c r="H149" s="41" t="s">
        <v>2377</v>
      </c>
      <c r="T149" s="365" t="b" cm="1">
        <f t="array" ref="T149">T148</f>
        <v>1</v>
      </c>
      <c r="X149" s="1094"/>
      <c r="Z149" s="1095"/>
      <c r="AB149" s="527" t="s">
        <v>2378</v>
      </c>
      <c r="AC149" s="416" t="s">
        <v>1210</v>
      </c>
      <c r="AD149" s="414" t="s">
        <v>804</v>
      </c>
      <c r="AE149" s="161"/>
      <c r="AH149" s="705" t="s">
        <v>1211</v>
      </c>
    </row>
    <row r="150" spans="5:34" ht="14.25" customHeight="1">
      <c r="E150" s="460">
        <v>15</v>
      </c>
      <c r="F150" s="3" t="str" cm="1">
        <f t="array" aca="1" ref="F150" ca="1">OFFSET(E150,-1,1)</f>
        <v>1</v>
      </c>
      <c r="H150" s="41" t="s">
        <v>2379</v>
      </c>
      <c r="T150" s="365" t="b" cm="1">
        <f t="array" ref="T150">T149</f>
        <v>1</v>
      </c>
      <c r="X150" s="1094"/>
      <c r="Z150" s="1095"/>
      <c r="AB150" s="527" t="s">
        <v>2380</v>
      </c>
      <c r="AC150" s="416" t="s">
        <v>1218</v>
      </c>
      <c r="AD150" s="414" t="s">
        <v>804</v>
      </c>
      <c r="AE150" s="161"/>
      <c r="AH150" s="705" t="s">
        <v>1219</v>
      </c>
    </row>
    <row r="151" spans="5:34" ht="32.25" customHeight="1">
      <c r="E151" s="460">
        <v>33.75</v>
      </c>
      <c r="F151" s="3" t="str" cm="1">
        <f t="array" aca="1" ref="F151" ca="1">OFFSET(E151,-1,1)</f>
        <v>1</v>
      </c>
      <c r="H151" s="41" t="s">
        <v>1353</v>
      </c>
      <c r="T151" s="365" t="b" cm="1">
        <f t="array" ref="T151">T150</f>
        <v>1</v>
      </c>
      <c r="X151" s="1094"/>
      <c r="Z151" s="1095"/>
      <c r="AB151" s="527" t="s">
        <v>1354</v>
      </c>
      <c r="AC151" s="415" t="s">
        <v>2381</v>
      </c>
      <c r="AD151" s="414" t="s">
        <v>804</v>
      </c>
      <c r="AE151" s="418">
        <f>AE152+AE155</f>
        <v>0</v>
      </c>
      <c r="AH151" s="703" t="s">
        <v>1804</v>
      </c>
    </row>
    <row r="152" spans="5:34" ht="21.75" customHeight="1">
      <c r="E152" s="460">
        <v>22.5</v>
      </c>
      <c r="F152" s="3" t="str" cm="1">
        <f t="array" aca="1" ref="F152" ca="1">OFFSET(E152,-1,1)</f>
        <v>1</v>
      </c>
      <c r="H152" s="41" t="s">
        <v>2382</v>
      </c>
      <c r="T152" s="365" t="b" cm="1">
        <f t="array" ref="T152">T151</f>
        <v>1</v>
      </c>
      <c r="X152" s="1094"/>
      <c r="Z152" s="1095"/>
      <c r="AB152" s="527" t="s">
        <v>2383</v>
      </c>
      <c r="AC152" s="416" t="s">
        <v>1805</v>
      </c>
      <c r="AD152" s="414" t="s">
        <v>804</v>
      </c>
      <c r="AE152" s="161"/>
      <c r="AH152" s="703" t="s">
        <v>1196</v>
      </c>
    </row>
    <row r="153" spans="5:34" ht="14.25" customHeight="1">
      <c r="E153" s="460">
        <v>15</v>
      </c>
      <c r="F153" s="3" t="str" cm="1">
        <f t="array" aca="1" ref="F153" ca="1">OFFSET(E153,-1,1)</f>
        <v>1</v>
      </c>
      <c r="H153" s="41" t="s">
        <v>2384</v>
      </c>
      <c r="T153" s="365" t="b" cm="1">
        <f t="array" ref="T153">T152</f>
        <v>1</v>
      </c>
      <c r="X153" s="1094"/>
      <c r="Z153" s="1095"/>
      <c r="AB153" s="527" t="s">
        <v>2385</v>
      </c>
      <c r="AC153" s="417" t="s">
        <v>2386</v>
      </c>
      <c r="AD153" s="414" t="s">
        <v>2328</v>
      </c>
      <c r="AE153" s="161"/>
      <c r="AH153" s="664" t="s">
        <v>2387</v>
      </c>
    </row>
    <row r="154" spans="5:34" ht="21.75" customHeight="1">
      <c r="E154" s="460">
        <v>22.5</v>
      </c>
      <c r="F154" s="3" t="str" cm="1">
        <f t="array" aca="1" ref="F154" ca="1">OFFSET(E154,-1,1)</f>
        <v>1</v>
      </c>
      <c r="H154" s="41" t="s">
        <v>2388</v>
      </c>
      <c r="T154" s="365" t="b" cm="1">
        <f t="array" ref="T154">T153</f>
        <v>1</v>
      </c>
      <c r="X154" s="1094"/>
      <c r="Z154" s="1095"/>
      <c r="AB154" s="527" t="s">
        <v>2389</v>
      </c>
      <c r="AC154" s="417" t="s">
        <v>2390</v>
      </c>
      <c r="AD154" s="414" t="s">
        <v>2333</v>
      </c>
      <c r="AE154" s="161"/>
      <c r="AH154" s="664" t="s">
        <v>2391</v>
      </c>
    </row>
    <row r="155" spans="5:34" ht="21.75" customHeight="1">
      <c r="E155" s="460">
        <v>22.5</v>
      </c>
      <c r="F155" s="3" t="str" cm="1">
        <f t="array" aca="1" ref="F155" ca="1">OFFSET(E155,-1,1)</f>
        <v>1</v>
      </c>
      <c r="H155" s="41" t="s">
        <v>2392</v>
      </c>
      <c r="T155" s="365" t="b" cm="1">
        <f t="array" ref="T155">T154</f>
        <v>1</v>
      </c>
      <c r="X155" s="1094"/>
      <c r="Z155" s="1095"/>
      <c r="AB155" s="527" t="s">
        <v>2393</v>
      </c>
      <c r="AC155" s="416" t="s">
        <v>2003</v>
      </c>
      <c r="AD155" s="414" t="s">
        <v>804</v>
      </c>
      <c r="AE155" s="161"/>
      <c r="AH155" s="703" t="s">
        <v>1807</v>
      </c>
    </row>
    <row r="156" spans="5:34" ht="21.75" customHeight="1">
      <c r="E156" s="460">
        <v>22.5</v>
      </c>
      <c r="F156" s="3" t="str" cm="1">
        <f t="array" aca="1" ref="F156" ca="1">OFFSET(E156,-1,1)</f>
        <v>1</v>
      </c>
      <c r="H156" s="41" t="s">
        <v>1357</v>
      </c>
      <c r="T156" s="365" t="b" cm="1">
        <f t="array" ref="T156">T155</f>
        <v>1</v>
      </c>
      <c r="X156" s="1094"/>
      <c r="Z156" s="1095"/>
      <c r="AB156" s="527" t="s">
        <v>1358</v>
      </c>
      <c r="AC156" s="415" t="s">
        <v>2394</v>
      </c>
      <c r="AD156" s="414" t="s">
        <v>804</v>
      </c>
      <c r="AE156" s="161"/>
      <c r="AH156" s="703" t="s">
        <v>1227</v>
      </c>
    </row>
    <row r="157" spans="5:34" ht="14.25" customHeight="1">
      <c r="E157" s="460">
        <v>15</v>
      </c>
      <c r="F157" s="3" t="str" cm="1">
        <f t="array" aca="1" ref="F157" ca="1">OFFSET(E157,-1,1)</f>
        <v>1</v>
      </c>
      <c r="H157" s="41" t="s">
        <v>2395</v>
      </c>
      <c r="T157" s="365" t="b" cm="1">
        <f t="array" ref="T157">T156</f>
        <v>1</v>
      </c>
      <c r="X157" s="1094"/>
      <c r="Z157" s="1095"/>
      <c r="AB157" s="527" t="s">
        <v>2396</v>
      </c>
      <c r="AC157" s="415" t="s">
        <v>1229</v>
      </c>
      <c r="AD157" s="414" t="s">
        <v>804</v>
      </c>
      <c r="AE157" s="161"/>
      <c r="AH157" s="703" t="s">
        <v>1230</v>
      </c>
    </row>
    <row r="158" spans="5:34" ht="14.25" customHeight="1">
      <c r="E158" s="460">
        <v>15</v>
      </c>
      <c r="F158" s="3" t="str" cm="1">
        <f t="array" aca="1" ref="F158" ca="1">OFFSET(E158,-1,1)</f>
        <v>1</v>
      </c>
      <c r="H158" s="41" t="s">
        <v>2397</v>
      </c>
      <c r="T158" s="365" t="b" cm="1">
        <f t="array" ref="T158">T157</f>
        <v>1</v>
      </c>
      <c r="X158" s="1094"/>
      <c r="Z158" s="1095"/>
      <c r="AB158" s="527" t="s">
        <v>2398</v>
      </c>
      <c r="AC158" s="415" t="s">
        <v>1232</v>
      </c>
      <c r="AD158" s="414" t="s">
        <v>804</v>
      </c>
      <c r="AE158" s="161"/>
      <c r="AH158" s="703" t="s">
        <v>1233</v>
      </c>
    </row>
    <row r="159" spans="5:34" ht="21.75" customHeight="1">
      <c r="E159" s="460">
        <v>22.5</v>
      </c>
      <c r="F159" s="3" t="str" cm="1">
        <f t="array" aca="1" ref="F159" ca="1">OFFSET(E159,-1,1)</f>
        <v>1</v>
      </c>
      <c r="H159" s="41" t="s">
        <v>2399</v>
      </c>
      <c r="T159" s="365" t="b" cm="1">
        <f t="array" ref="T159">T158</f>
        <v>1</v>
      </c>
      <c r="X159" s="1094"/>
      <c r="Z159" s="1095"/>
      <c r="AB159" s="527" t="s">
        <v>2400</v>
      </c>
      <c r="AC159" s="415" t="s">
        <v>2401</v>
      </c>
      <c r="AD159" s="414" t="s">
        <v>804</v>
      </c>
      <c r="AE159" s="161"/>
      <c r="AH159" s="703" t="s">
        <v>1809</v>
      </c>
    </row>
    <row r="160" spans="5:34" ht="14.25" customHeight="1">
      <c r="E160" s="460">
        <v>15</v>
      </c>
      <c r="F160" s="3" t="str" cm="1">
        <f t="array" aca="1" ref="F160" ca="1">OFFSET(E160,-1,1)</f>
        <v>1</v>
      </c>
      <c r="H160" s="41" t="s">
        <v>2402</v>
      </c>
      <c r="T160" s="365" t="b" cm="1">
        <f t="array" ref="T160">T159</f>
        <v>1</v>
      </c>
      <c r="X160" s="1094"/>
      <c r="Z160" s="1095"/>
      <c r="AB160" s="527" t="s">
        <v>2403</v>
      </c>
      <c r="AC160" s="415" t="s">
        <v>2404</v>
      </c>
      <c r="AD160" s="414" t="s">
        <v>804</v>
      </c>
      <c r="AE160" s="418">
        <f>AE161+AE162+AE163</f>
        <v>0</v>
      </c>
      <c r="AH160" s="703" t="s">
        <v>1811</v>
      </c>
    </row>
    <row r="161" spans="1:38" ht="14.25" customHeight="1">
      <c r="E161" s="460">
        <v>15</v>
      </c>
      <c r="F161" s="3" t="str" cm="1">
        <f t="array" aca="1" ref="F161" ca="1">OFFSET(E161,-1,1)</f>
        <v>1</v>
      </c>
      <c r="H161" s="41" t="s">
        <v>2405</v>
      </c>
      <c r="T161" s="365" t="b" cm="1">
        <f t="array" ref="T161">T160</f>
        <v>1</v>
      </c>
      <c r="X161" s="1094"/>
      <c r="Z161" s="1095"/>
      <c r="AB161" s="527" t="s">
        <v>2406</v>
      </c>
      <c r="AC161" s="416" t="s">
        <v>2407</v>
      </c>
      <c r="AD161" s="414" t="s">
        <v>804</v>
      </c>
      <c r="AE161" s="161"/>
      <c r="AH161" s="703" t="s">
        <v>1815</v>
      </c>
    </row>
    <row r="162" spans="1:38" ht="14.25" customHeight="1">
      <c r="E162" s="460">
        <v>15</v>
      </c>
      <c r="F162" s="3" t="str" cm="1">
        <f t="array" aca="1" ref="F162" ca="1">OFFSET(E162,-1,1)</f>
        <v>1</v>
      </c>
      <c r="H162" s="41" t="s">
        <v>2408</v>
      </c>
      <c r="T162" s="365" t="b" cm="1">
        <f t="array" ref="T162">T161</f>
        <v>1</v>
      </c>
      <c r="X162" s="1094"/>
      <c r="Z162" s="1095"/>
      <c r="AB162" s="527" t="s">
        <v>2409</v>
      </c>
      <c r="AC162" s="416" t="s">
        <v>2410</v>
      </c>
      <c r="AD162" s="414" t="s">
        <v>804</v>
      </c>
      <c r="AE162" s="161"/>
      <c r="AH162" s="703" t="s">
        <v>1818</v>
      </c>
    </row>
    <row r="163" spans="1:38" ht="14.25" customHeight="1">
      <c r="E163" s="460">
        <v>15</v>
      </c>
      <c r="F163" s="3" t="str" cm="1">
        <f t="array" aca="1" ref="F163" ca="1">OFFSET(E163,-1,1)</f>
        <v>1</v>
      </c>
      <c r="H163" s="41" t="s">
        <v>2411</v>
      </c>
      <c r="T163" s="365" t="b" cm="1">
        <f t="array" ref="T163">T162</f>
        <v>1</v>
      </c>
      <c r="X163" s="1094"/>
      <c r="Z163" s="1095"/>
      <c r="AB163" s="527" t="s">
        <v>2412</v>
      </c>
      <c r="AC163" s="416" t="s">
        <v>1246</v>
      </c>
      <c r="AD163" s="414" t="s">
        <v>804</v>
      </c>
      <c r="AE163" s="161"/>
      <c r="AH163" s="703" t="s">
        <v>1821</v>
      </c>
    </row>
    <row r="164" spans="1:38" ht="14.25" customHeight="1">
      <c r="E164" s="460">
        <v>15</v>
      </c>
      <c r="F164" s="3" t="str" cm="1">
        <f t="array" aca="1" ref="F164" ca="1">OFFSET(E164,-1,1)</f>
        <v>1</v>
      </c>
      <c r="H164" s="41" t="s">
        <v>472</v>
      </c>
      <c r="T164" s="365" t="b" cm="1">
        <f t="array" ref="T164">T163</f>
        <v>1</v>
      </c>
      <c r="X164" s="1094"/>
      <c r="Z164" s="1095"/>
      <c r="AB164" s="527" t="s">
        <v>906</v>
      </c>
      <c r="AC164" s="413" t="s">
        <v>2413</v>
      </c>
      <c r="AD164" s="414" t="s">
        <v>804</v>
      </c>
      <c r="AE164" s="418">
        <f>SUM(AE165:AE166)</f>
        <v>0</v>
      </c>
      <c r="AH164" s="705" t="s">
        <v>2414</v>
      </c>
    </row>
    <row r="165" spans="1:38" ht="14.25" hidden="1" customHeight="1">
      <c r="E165" s="460">
        <v>15</v>
      </c>
      <c r="F165" s="3" t="str" cm="1">
        <f t="array" aca="1" ref="F165" ca="1">OFFSET(E165,-1,1)</f>
        <v>1</v>
      </c>
      <c r="H165" s="41" t="s">
        <v>472</v>
      </c>
      <c r="I165" s="422" cm="1">
        <f t="array" ref="I165">AC165</f>
        <v>0</v>
      </c>
      <c r="T165" s="365" t="b">
        <f ca="1">AND(F165&gt;0,Y165&gt;0)</f>
        <v>0</v>
      </c>
      <c r="W165" s="36" t="s">
        <v>173</v>
      </c>
      <c r="X165" s="1094"/>
      <c r="Y165" s="41">
        <v>0</v>
      </c>
      <c r="Z165" s="1095"/>
      <c r="AA165" s="493" t="s">
        <v>174</v>
      </c>
      <c r="AB165" s="527" t="str">
        <f>"1.4."&amp;Y165</f>
        <v>1.4.0</v>
      </c>
      <c r="AC165" s="975"/>
      <c r="AD165" s="414" t="s">
        <v>804</v>
      </c>
      <c r="AE165" s="929"/>
      <c r="AH165" s="705" t="s">
        <v>2414</v>
      </c>
      <c r="AI165" s="664" t="s">
        <v>2415</v>
      </c>
      <c r="AJ165" s="664" cm="1">
        <f t="array" ref="AJ165">AC165</f>
        <v>0</v>
      </c>
      <c r="AL165" s="491" t="b">
        <v>1</v>
      </c>
    </row>
    <row r="166" spans="1:38" ht="14.25" customHeight="1">
      <c r="E166" s="460">
        <v>15</v>
      </c>
      <c r="F166" s="3" t="str" cm="1">
        <f t="array" aca="1" ref="F166" ca="1">OFFSET(E166,-1,1)</f>
        <v>1</v>
      </c>
      <c r="I166" s="91" t="str">
        <f>"!== 'не определено' &amp;&amp; row.l1_4 !== null"</f>
        <v>!== 'не определено' &amp;&amp; row.l1_4 !== null</v>
      </c>
      <c r="T166" s="365" t="b">
        <f ca="1">F166&gt;0</f>
        <v>1</v>
      </c>
      <c r="W166" s="517" t="s">
        <v>392</v>
      </c>
      <c r="X166" s="1094"/>
      <c r="Z166" s="1095"/>
      <c r="AB166" s="792"/>
      <c r="AC166" s="793" t="s">
        <v>177</v>
      </c>
      <c r="AD166" s="794"/>
      <c r="AE166" s="804"/>
      <c r="AK166" s="491" t="s">
        <v>2415</v>
      </c>
    </row>
    <row r="167" spans="1:38" ht="14.25" customHeight="1">
      <c r="E167" s="460">
        <v>15</v>
      </c>
      <c r="F167" s="3" t="str" cm="1">
        <f t="array" aca="1" ref="F167" ca="1">OFFSET(E167,-1,1)</f>
        <v>1</v>
      </c>
      <c r="H167" s="41" t="s">
        <v>328</v>
      </c>
      <c r="T167" s="365" t="b" cm="1">
        <f t="array" aca="1" ref="T167" ca="1">T166</f>
        <v>1</v>
      </c>
      <c r="X167" s="1094"/>
      <c r="Z167" s="1095"/>
      <c r="AB167" s="526" t="s">
        <v>285</v>
      </c>
      <c r="AC167" s="411" t="s">
        <v>2028</v>
      </c>
      <c r="AD167" s="412" t="s">
        <v>804</v>
      </c>
      <c r="AE167" s="418">
        <f>AE168+AE180+AE181+AE191+AE192+AE193+AE196+AE197+AE198+AE199+AE200+AE201</f>
        <v>0</v>
      </c>
      <c r="AH167" s="664" t="s">
        <v>2416</v>
      </c>
    </row>
    <row r="168" spans="1:38" s="23" customFormat="1" ht="26.25" customHeight="1">
      <c r="A168" s="498"/>
      <c r="B168" s="41"/>
      <c r="C168" s="41"/>
      <c r="D168" s="41"/>
      <c r="E168" s="460">
        <v>27</v>
      </c>
      <c r="F168" s="280" t="str" cm="1">
        <f t="array" aca="1" ref="F168" ca="1">OFFSET(E168,-1,1)</f>
        <v>1</v>
      </c>
      <c r="G168" s="41"/>
      <c r="H168" s="41"/>
      <c r="I168" s="41"/>
      <c r="J168" s="41"/>
      <c r="K168" s="41"/>
      <c r="L168" s="41"/>
      <c r="M168" s="41"/>
      <c r="N168" s="41"/>
      <c r="O168" s="41"/>
      <c r="P168" s="41"/>
      <c r="Q168" s="41"/>
      <c r="R168" s="41"/>
      <c r="S168" s="41"/>
      <c r="T168" s="365" t="b" cm="1">
        <f t="array" aca="1" ref="T168" ca="1">T167</f>
        <v>1</v>
      </c>
      <c r="U168" s="41"/>
      <c r="V168" s="41"/>
      <c r="W168" s="41"/>
      <c r="X168" s="1094"/>
      <c r="Y168" s="41"/>
      <c r="Z168" s="1095"/>
      <c r="AA168" s="41"/>
      <c r="AB168" s="527" t="s">
        <v>537</v>
      </c>
      <c r="AC168" s="795" t="s">
        <v>2030</v>
      </c>
      <c r="AD168" s="412" t="s">
        <v>804</v>
      </c>
      <c r="AE168" s="418">
        <f>SUM(AE169:AE179)</f>
        <v>0</v>
      </c>
      <c r="AF168" s="327"/>
      <c r="AG168" s="327"/>
      <c r="AH168" s="705" t="s">
        <v>1247</v>
      </c>
      <c r="AI168" s="664"/>
      <c r="AJ168" s="664"/>
      <c r="AK168" s="491"/>
      <c r="AL168" s="491"/>
    </row>
    <row r="169" spans="1:38" s="23" customFormat="1" ht="14.25" customHeight="1">
      <c r="A169" s="498"/>
      <c r="B169" s="41"/>
      <c r="C169" s="41"/>
      <c r="D169" s="41"/>
      <c r="E169" s="460">
        <v>15</v>
      </c>
      <c r="F169" s="280" t="str" cm="1">
        <f t="array" aca="1" ref="F169" ca="1">OFFSET(E169,-1,1)</f>
        <v>1</v>
      </c>
      <c r="G169" s="41"/>
      <c r="H169" s="41"/>
      <c r="I169" s="41"/>
      <c r="J169" s="41"/>
      <c r="K169" s="41"/>
      <c r="L169" s="41"/>
      <c r="M169" s="41"/>
      <c r="N169" s="41"/>
      <c r="O169" s="41"/>
      <c r="P169" s="41"/>
      <c r="Q169" s="41"/>
      <c r="R169" s="41"/>
      <c r="S169" s="41"/>
      <c r="T169" s="365" t="b" cm="1">
        <f t="array" aca="1" ref="T169" ca="1">T168</f>
        <v>1</v>
      </c>
      <c r="U169" s="41"/>
      <c r="V169" s="41"/>
      <c r="W169" s="41"/>
      <c r="X169" s="1094"/>
      <c r="Y169" s="41"/>
      <c r="Z169" s="1095"/>
      <c r="AA169" s="41"/>
      <c r="AB169" s="527" t="s">
        <v>487</v>
      </c>
      <c r="AC169" s="415" t="s">
        <v>2032</v>
      </c>
      <c r="AD169" s="414" t="s">
        <v>804</v>
      </c>
      <c r="AE169" s="161"/>
      <c r="AF169" s="327"/>
      <c r="AG169" s="327"/>
      <c r="AH169" s="705" t="s">
        <v>2417</v>
      </c>
      <c r="AI169" s="664"/>
      <c r="AJ169" s="664"/>
      <c r="AK169" s="491"/>
      <c r="AL169" s="491"/>
    </row>
    <row r="170" spans="1:38" s="23" customFormat="1" ht="14.25" customHeight="1">
      <c r="A170" s="498"/>
      <c r="B170" s="41"/>
      <c r="C170" s="41"/>
      <c r="D170" s="41"/>
      <c r="E170" s="460">
        <v>15</v>
      </c>
      <c r="F170" s="280" t="str" cm="1">
        <f t="array" aca="1" ref="F170" ca="1">OFFSET(E170,-1,1)</f>
        <v>1</v>
      </c>
      <c r="G170" s="41"/>
      <c r="H170" s="41"/>
      <c r="I170" s="41"/>
      <c r="J170" s="41"/>
      <c r="K170" s="41"/>
      <c r="L170" s="41"/>
      <c r="M170" s="41"/>
      <c r="N170" s="41"/>
      <c r="O170" s="41"/>
      <c r="P170" s="41"/>
      <c r="Q170" s="41"/>
      <c r="R170" s="41"/>
      <c r="S170" s="41"/>
      <c r="T170" s="365" t="b" cm="1">
        <f t="array" aca="1" ref="T170" ca="1">T169</f>
        <v>1</v>
      </c>
      <c r="U170" s="41"/>
      <c r="V170" s="41"/>
      <c r="W170" s="41"/>
      <c r="X170" s="1094"/>
      <c r="Y170" s="41"/>
      <c r="Z170" s="1095"/>
      <c r="AA170" s="41"/>
      <c r="AB170" s="527" t="s">
        <v>2033</v>
      </c>
      <c r="AC170" s="415" t="s">
        <v>2034</v>
      </c>
      <c r="AD170" s="414" t="s">
        <v>804</v>
      </c>
      <c r="AE170" s="161"/>
      <c r="AF170" s="327"/>
      <c r="AG170" s="327"/>
      <c r="AH170" s="705" t="s">
        <v>2418</v>
      </c>
      <c r="AI170" s="664"/>
      <c r="AJ170" s="664"/>
      <c r="AK170" s="491"/>
      <c r="AL170" s="491"/>
    </row>
    <row r="171" spans="1:38" s="23" customFormat="1" ht="14.25" customHeight="1">
      <c r="A171" s="498"/>
      <c r="B171" s="41"/>
      <c r="C171" s="41"/>
      <c r="D171" s="41"/>
      <c r="E171" s="460">
        <v>15</v>
      </c>
      <c r="F171" s="280" t="str" cm="1">
        <f t="array" aca="1" ref="F171" ca="1">OFFSET(E171,-1,1)</f>
        <v>1</v>
      </c>
      <c r="G171" s="41"/>
      <c r="H171" s="41"/>
      <c r="I171" s="41"/>
      <c r="J171" s="41"/>
      <c r="K171" s="41"/>
      <c r="L171" s="41"/>
      <c r="M171" s="41"/>
      <c r="N171" s="41"/>
      <c r="O171" s="41"/>
      <c r="P171" s="41"/>
      <c r="Q171" s="41"/>
      <c r="R171" s="41"/>
      <c r="S171" s="41"/>
      <c r="T171" s="365" t="b" cm="1">
        <f t="array" aca="1" ref="T171" ca="1">T170</f>
        <v>1</v>
      </c>
      <c r="U171" s="41"/>
      <c r="V171" s="41"/>
      <c r="W171" s="41"/>
      <c r="X171" s="1094"/>
      <c r="Y171" s="41"/>
      <c r="Z171" s="1095"/>
      <c r="AA171" s="41"/>
      <c r="AB171" s="527" t="s">
        <v>2035</v>
      </c>
      <c r="AC171" s="415" t="s">
        <v>2036</v>
      </c>
      <c r="AD171" s="414" t="s">
        <v>804</v>
      </c>
      <c r="AE171" s="161"/>
      <c r="AF171" s="327"/>
      <c r="AG171" s="327"/>
      <c r="AH171" s="705" t="s">
        <v>2419</v>
      </c>
      <c r="AI171" s="664"/>
      <c r="AJ171" s="664"/>
      <c r="AK171" s="491"/>
      <c r="AL171" s="491"/>
    </row>
    <row r="172" spans="1:38" s="23" customFormat="1" ht="14.25" customHeight="1">
      <c r="A172" s="498"/>
      <c r="B172" s="41"/>
      <c r="C172" s="41"/>
      <c r="D172" s="41"/>
      <c r="E172" s="460">
        <v>15</v>
      </c>
      <c r="F172" s="280" t="str" cm="1">
        <f t="array" aca="1" ref="F172" ca="1">OFFSET(E172,-1,1)</f>
        <v>1</v>
      </c>
      <c r="G172" s="41"/>
      <c r="H172" s="41"/>
      <c r="I172" s="41"/>
      <c r="J172" s="41"/>
      <c r="K172" s="41"/>
      <c r="L172" s="41"/>
      <c r="M172" s="41"/>
      <c r="N172" s="41"/>
      <c r="O172" s="41"/>
      <c r="P172" s="41"/>
      <c r="Q172" s="41"/>
      <c r="R172" s="41"/>
      <c r="S172" s="41"/>
      <c r="T172" s="365" t="b" cm="1">
        <f t="array" aca="1" ref="T172" ca="1">T171</f>
        <v>1</v>
      </c>
      <c r="U172" s="41"/>
      <c r="V172" s="41"/>
      <c r="W172" s="41"/>
      <c r="X172" s="1094"/>
      <c r="Y172" s="41"/>
      <c r="Z172" s="1095"/>
      <c r="AA172" s="41"/>
      <c r="AB172" s="527" t="s">
        <v>2038</v>
      </c>
      <c r="AC172" s="415" t="s">
        <v>2039</v>
      </c>
      <c r="AD172" s="414" t="s">
        <v>804</v>
      </c>
      <c r="AE172" s="161"/>
      <c r="AF172" s="327"/>
      <c r="AG172" s="327"/>
      <c r="AH172" s="705" t="s">
        <v>2420</v>
      </c>
      <c r="AI172" s="664"/>
      <c r="AJ172" s="664"/>
      <c r="AK172" s="491"/>
      <c r="AL172" s="491"/>
    </row>
    <row r="173" spans="1:38" s="23" customFormat="1" ht="14.25" customHeight="1">
      <c r="A173" s="498"/>
      <c r="B173" s="41"/>
      <c r="C173" s="41"/>
      <c r="D173" s="41"/>
      <c r="E173" s="460">
        <v>15</v>
      </c>
      <c r="F173" s="280" t="str" cm="1">
        <f t="array" aca="1" ref="F173" ca="1">OFFSET(E173,-1,1)</f>
        <v>1</v>
      </c>
      <c r="G173" s="41"/>
      <c r="H173" s="41"/>
      <c r="I173" s="41"/>
      <c r="J173" s="41"/>
      <c r="K173" s="41"/>
      <c r="L173" s="41"/>
      <c r="M173" s="41"/>
      <c r="N173" s="41"/>
      <c r="O173" s="41"/>
      <c r="P173" s="41"/>
      <c r="Q173" s="41"/>
      <c r="R173" s="41"/>
      <c r="S173" s="41"/>
      <c r="T173" s="365" t="b" cm="1">
        <f t="array" aca="1" ref="T173" ca="1">T172</f>
        <v>1</v>
      </c>
      <c r="U173" s="41"/>
      <c r="V173" s="41"/>
      <c r="W173" s="41"/>
      <c r="X173" s="1094"/>
      <c r="Y173" s="41"/>
      <c r="Z173" s="1095"/>
      <c r="AA173" s="41"/>
      <c r="AB173" s="527" t="s">
        <v>2041</v>
      </c>
      <c r="AC173" s="415" t="s">
        <v>2042</v>
      </c>
      <c r="AD173" s="414" t="s">
        <v>804</v>
      </c>
      <c r="AE173" s="161"/>
      <c r="AF173" s="327"/>
      <c r="AG173" s="327"/>
      <c r="AH173" s="705" t="s">
        <v>2421</v>
      </c>
      <c r="AI173" s="664"/>
      <c r="AJ173" s="664"/>
      <c r="AK173" s="491"/>
      <c r="AL173" s="491"/>
    </row>
    <row r="174" spans="1:38" s="23" customFormat="1" ht="26.25" customHeight="1">
      <c r="A174" s="498"/>
      <c r="B174" s="41"/>
      <c r="C174" s="41"/>
      <c r="D174" s="41"/>
      <c r="E174" s="460">
        <v>27</v>
      </c>
      <c r="F174" s="280" t="str" cm="1">
        <f t="array" aca="1" ref="F174" ca="1">OFFSET(E174,-1,1)</f>
        <v>1</v>
      </c>
      <c r="G174" s="41"/>
      <c r="H174" s="41"/>
      <c r="I174" s="41"/>
      <c r="J174" s="41"/>
      <c r="K174" s="41"/>
      <c r="L174" s="41"/>
      <c r="M174" s="41"/>
      <c r="N174" s="41"/>
      <c r="O174" s="41"/>
      <c r="P174" s="41"/>
      <c r="Q174" s="41"/>
      <c r="R174" s="41"/>
      <c r="S174" s="41"/>
      <c r="T174" s="365" t="b" cm="1">
        <f t="array" aca="1" ref="T174" ca="1">T173</f>
        <v>1</v>
      </c>
      <c r="U174" s="41"/>
      <c r="V174" s="41"/>
      <c r="W174" s="41"/>
      <c r="X174" s="1094"/>
      <c r="Y174" s="41"/>
      <c r="Z174" s="1095"/>
      <c r="AA174" s="41"/>
      <c r="AB174" s="527" t="s">
        <v>2044</v>
      </c>
      <c r="AC174" s="415" t="s">
        <v>2045</v>
      </c>
      <c r="AD174" s="414" t="s">
        <v>804</v>
      </c>
      <c r="AE174" s="161"/>
      <c r="AF174" s="327"/>
      <c r="AG174" s="327"/>
      <c r="AH174" s="705" t="s">
        <v>2422</v>
      </c>
      <c r="AI174" s="664"/>
      <c r="AJ174" s="664"/>
      <c r="AK174" s="491"/>
      <c r="AL174" s="491"/>
    </row>
    <row r="175" spans="1:38" s="23" customFormat="1" ht="14.25" customHeight="1">
      <c r="A175" s="498"/>
      <c r="B175" s="41"/>
      <c r="C175" s="41"/>
      <c r="D175" s="41"/>
      <c r="E175" s="460">
        <v>15</v>
      </c>
      <c r="F175" s="280" t="str" cm="1">
        <f t="array" aca="1" ref="F175" ca="1">OFFSET(E175,-1,1)</f>
        <v>1</v>
      </c>
      <c r="G175" s="41"/>
      <c r="H175" s="41"/>
      <c r="I175" s="41"/>
      <c r="J175" s="41"/>
      <c r="K175" s="41"/>
      <c r="L175" s="41"/>
      <c r="M175" s="41"/>
      <c r="N175" s="41"/>
      <c r="O175" s="41"/>
      <c r="P175" s="41"/>
      <c r="Q175" s="41"/>
      <c r="R175" s="41"/>
      <c r="S175" s="41"/>
      <c r="T175" s="365" t="b" cm="1">
        <f t="array" aca="1" ref="T175" ca="1">T174</f>
        <v>1</v>
      </c>
      <c r="U175" s="41"/>
      <c r="V175" s="41"/>
      <c r="W175" s="41"/>
      <c r="X175" s="1094"/>
      <c r="Y175" s="41"/>
      <c r="Z175" s="1095"/>
      <c r="AA175" s="41"/>
      <c r="AB175" s="527" t="s">
        <v>2048</v>
      </c>
      <c r="AC175" s="415" t="s">
        <v>2049</v>
      </c>
      <c r="AD175" s="414" t="s">
        <v>804</v>
      </c>
      <c r="AE175" s="161"/>
      <c r="AF175" s="327"/>
      <c r="AG175" s="327"/>
      <c r="AH175" s="705" t="s">
        <v>2423</v>
      </c>
      <c r="AI175" s="664"/>
      <c r="AJ175" s="664"/>
      <c r="AK175" s="491"/>
      <c r="AL175" s="491"/>
    </row>
    <row r="176" spans="1:38" s="23" customFormat="1" ht="14.25" customHeight="1">
      <c r="A176" s="498"/>
      <c r="B176" s="41"/>
      <c r="C176" s="41"/>
      <c r="D176" s="41"/>
      <c r="E176" s="460">
        <v>15</v>
      </c>
      <c r="F176" s="280" t="str" cm="1">
        <f t="array" aca="1" ref="F176" ca="1">OFFSET(E176,-1,1)</f>
        <v>1</v>
      </c>
      <c r="G176" s="41"/>
      <c r="H176" s="41"/>
      <c r="I176" s="41"/>
      <c r="J176" s="41"/>
      <c r="K176" s="41"/>
      <c r="L176" s="41"/>
      <c r="M176" s="41"/>
      <c r="N176" s="41"/>
      <c r="O176" s="41"/>
      <c r="P176" s="41"/>
      <c r="Q176" s="41"/>
      <c r="R176" s="41"/>
      <c r="S176" s="41"/>
      <c r="T176" s="365" t="b" cm="1">
        <f t="array" aca="1" ref="T176" ca="1">T175</f>
        <v>1</v>
      </c>
      <c r="U176" s="41"/>
      <c r="V176" s="41"/>
      <c r="W176" s="41"/>
      <c r="X176" s="1094"/>
      <c r="Y176" s="41"/>
      <c r="Z176" s="1095"/>
      <c r="AA176" s="41"/>
      <c r="AB176" s="527" t="s">
        <v>2052</v>
      </c>
      <c r="AC176" s="415" t="s">
        <v>2053</v>
      </c>
      <c r="AD176" s="414" t="s">
        <v>804</v>
      </c>
      <c r="AE176" s="161"/>
      <c r="AF176" s="327"/>
      <c r="AG176" s="327"/>
      <c r="AH176" s="705" t="s">
        <v>2424</v>
      </c>
      <c r="AI176" s="664"/>
      <c r="AJ176" s="664"/>
      <c r="AK176" s="491"/>
      <c r="AL176" s="491"/>
    </row>
    <row r="177" spans="1:38" s="23" customFormat="1" ht="14.25" customHeight="1">
      <c r="A177" s="498"/>
      <c r="B177" s="41"/>
      <c r="C177" s="41"/>
      <c r="D177" s="41"/>
      <c r="E177" s="460">
        <v>15</v>
      </c>
      <c r="F177" s="280" t="str" cm="1">
        <f t="array" aca="1" ref="F177" ca="1">OFFSET(E177,-1,1)</f>
        <v>1</v>
      </c>
      <c r="G177" s="41"/>
      <c r="H177" s="41"/>
      <c r="I177" s="41"/>
      <c r="J177" s="41"/>
      <c r="K177" s="41"/>
      <c r="L177" s="41"/>
      <c r="M177" s="41"/>
      <c r="N177" s="41"/>
      <c r="O177" s="41"/>
      <c r="P177" s="41"/>
      <c r="Q177" s="41"/>
      <c r="R177" s="41"/>
      <c r="S177" s="41"/>
      <c r="T177" s="365" t="b" cm="1">
        <f t="array" aca="1" ref="T177" ca="1">T176</f>
        <v>1</v>
      </c>
      <c r="U177" s="41"/>
      <c r="V177" s="41"/>
      <c r="W177" s="41"/>
      <c r="X177" s="1094"/>
      <c r="Y177" s="41"/>
      <c r="Z177" s="1095"/>
      <c r="AA177" s="41"/>
      <c r="AB177" s="527" t="s">
        <v>2055</v>
      </c>
      <c r="AC177" s="415" t="s">
        <v>2056</v>
      </c>
      <c r="AD177" s="414" t="s">
        <v>804</v>
      </c>
      <c r="AE177" s="161"/>
      <c r="AF177" s="327"/>
      <c r="AG177" s="327"/>
      <c r="AH177" s="705" t="s">
        <v>2425</v>
      </c>
      <c r="AI177" s="664"/>
      <c r="AJ177" s="664"/>
      <c r="AK177" s="491"/>
      <c r="AL177" s="491"/>
    </row>
    <row r="178" spans="1:38" s="23" customFormat="1" ht="14.25" customHeight="1">
      <c r="A178" s="498"/>
      <c r="B178" s="41"/>
      <c r="C178" s="41"/>
      <c r="D178" s="41"/>
      <c r="E178" s="460">
        <v>15</v>
      </c>
      <c r="F178" s="280" t="str" cm="1">
        <f t="array" aca="1" ref="F178" ca="1">OFFSET(E178,-1,1)</f>
        <v>1</v>
      </c>
      <c r="G178" s="41"/>
      <c r="H178" s="41"/>
      <c r="I178" s="41"/>
      <c r="J178" s="41"/>
      <c r="K178" s="41"/>
      <c r="L178" s="41"/>
      <c r="M178" s="41"/>
      <c r="N178" s="41"/>
      <c r="O178" s="41"/>
      <c r="P178" s="41"/>
      <c r="Q178" s="41"/>
      <c r="R178" s="41"/>
      <c r="S178" s="41"/>
      <c r="T178" s="365" t="b" cm="1">
        <f t="array" aca="1" ref="T178" ca="1">T177</f>
        <v>1</v>
      </c>
      <c r="U178" s="41"/>
      <c r="V178" s="41"/>
      <c r="W178" s="41"/>
      <c r="X178" s="1094"/>
      <c r="Y178" s="41"/>
      <c r="Z178" s="1095"/>
      <c r="AA178" s="41"/>
      <c r="AB178" s="527" t="s">
        <v>2058</v>
      </c>
      <c r="AC178" s="415" t="s">
        <v>2059</v>
      </c>
      <c r="AD178" s="414" t="s">
        <v>804</v>
      </c>
      <c r="AE178" s="161"/>
      <c r="AF178" s="327"/>
      <c r="AG178" s="327"/>
      <c r="AH178" s="705" t="s">
        <v>2426</v>
      </c>
      <c r="AI178" s="664"/>
      <c r="AJ178" s="664"/>
      <c r="AK178" s="491"/>
      <c r="AL178" s="491"/>
    </row>
    <row r="179" spans="1:38" s="23" customFormat="1" ht="14.25" customHeight="1">
      <c r="A179" s="498"/>
      <c r="B179" s="41"/>
      <c r="C179" s="41"/>
      <c r="D179" s="41"/>
      <c r="E179" s="460">
        <v>15</v>
      </c>
      <c r="F179" s="280" t="str" cm="1">
        <f t="array" aca="1" ref="F179" ca="1">OFFSET(E179,-1,1)</f>
        <v>1</v>
      </c>
      <c r="G179" s="41"/>
      <c r="H179" s="41"/>
      <c r="I179" s="41"/>
      <c r="J179" s="41"/>
      <c r="K179" s="41"/>
      <c r="L179" s="41"/>
      <c r="M179" s="41"/>
      <c r="N179" s="41"/>
      <c r="O179" s="41"/>
      <c r="P179" s="41"/>
      <c r="Q179" s="41"/>
      <c r="R179" s="41"/>
      <c r="S179" s="41"/>
      <c r="T179" s="365" t="b" cm="1">
        <f t="array" aca="1" ref="T179" ca="1">T178</f>
        <v>1</v>
      </c>
      <c r="U179" s="41"/>
      <c r="V179" s="41"/>
      <c r="W179" s="41"/>
      <c r="X179" s="1094"/>
      <c r="Y179" s="41"/>
      <c r="Z179" s="1095"/>
      <c r="AA179" s="41"/>
      <c r="AB179" s="527" t="s">
        <v>2060</v>
      </c>
      <c r="AC179" s="415" t="s">
        <v>2061</v>
      </c>
      <c r="AD179" s="414" t="s">
        <v>804</v>
      </c>
      <c r="AE179" s="161"/>
      <c r="AF179" s="327"/>
      <c r="AG179" s="327"/>
      <c r="AH179" s="705" t="s">
        <v>2427</v>
      </c>
      <c r="AI179" s="664"/>
      <c r="AJ179" s="664"/>
      <c r="AK179" s="491"/>
      <c r="AL179" s="491"/>
    </row>
    <row r="180" spans="1:38" s="23" customFormat="1" ht="14.25" customHeight="1">
      <c r="A180" s="498"/>
      <c r="B180" s="41"/>
      <c r="C180" s="41"/>
      <c r="D180" s="41"/>
      <c r="E180" s="460">
        <v>15</v>
      </c>
      <c r="F180" s="280" t="str" cm="1">
        <f t="array" aca="1" ref="F180" ca="1">OFFSET(E180,-1,1)</f>
        <v>1</v>
      </c>
      <c r="G180" s="41"/>
      <c r="H180" s="41"/>
      <c r="I180" s="41"/>
      <c r="J180" s="41"/>
      <c r="K180" s="41"/>
      <c r="L180" s="41"/>
      <c r="M180" s="41"/>
      <c r="N180" s="41"/>
      <c r="O180" s="41"/>
      <c r="P180" s="41"/>
      <c r="Q180" s="41"/>
      <c r="R180" s="41"/>
      <c r="S180" s="41"/>
      <c r="T180" s="365" t="b" cm="1">
        <f t="array" aca="1" ref="T180" ca="1">T179</f>
        <v>1</v>
      </c>
      <c r="U180" s="41"/>
      <c r="V180" s="41"/>
      <c r="W180" s="41"/>
      <c r="X180" s="1094"/>
      <c r="Y180" s="41"/>
      <c r="Z180" s="1095"/>
      <c r="AA180" s="41"/>
      <c r="AB180" s="527" t="s">
        <v>541</v>
      </c>
      <c r="AC180" s="413" t="s">
        <v>2062</v>
      </c>
      <c r="AD180" s="414" t="s">
        <v>804</v>
      </c>
      <c r="AE180" s="161"/>
      <c r="AF180" s="327"/>
      <c r="AG180" s="327"/>
      <c r="AH180" s="705" t="s">
        <v>2428</v>
      </c>
      <c r="AI180" s="664"/>
      <c r="AJ180" s="664"/>
      <c r="AK180" s="491"/>
      <c r="AL180" s="491"/>
    </row>
    <row r="181" spans="1:38" ht="14.25" customHeight="1">
      <c r="E181" s="460">
        <v>15</v>
      </c>
      <c r="F181" s="3" t="str" cm="1">
        <f t="array" aca="1" ref="F181" ca="1">OFFSET(E181,-1,1)</f>
        <v>1</v>
      </c>
      <c r="H181" s="41" t="s">
        <v>482</v>
      </c>
      <c r="T181" s="365" t="b" cm="1">
        <f t="array" aca="1" ref="T181" ca="1">T167</f>
        <v>1</v>
      </c>
      <c r="X181" s="1094"/>
      <c r="Z181" s="1095"/>
      <c r="AB181" s="527" t="s">
        <v>545</v>
      </c>
      <c r="AC181" s="413" t="s">
        <v>2429</v>
      </c>
      <c r="AD181" s="414" t="s">
        <v>804</v>
      </c>
      <c r="AE181" s="418">
        <f>SUM(AE182:AE190)</f>
        <v>0</v>
      </c>
      <c r="AH181" s="711" t="s">
        <v>1270</v>
      </c>
    </row>
    <row r="182" spans="1:38" ht="14.25" customHeight="1">
      <c r="E182" s="460">
        <v>15</v>
      </c>
      <c r="F182" s="3" t="str" cm="1">
        <f t="array" aca="1" ref="F182" ca="1">OFFSET(E182,-1,1)</f>
        <v>1</v>
      </c>
      <c r="H182" s="41" t="s">
        <v>1794</v>
      </c>
      <c r="T182" s="365" t="b" cm="1">
        <f t="array" aca="1" ref="T182" ca="1">T181</f>
        <v>1</v>
      </c>
      <c r="X182" s="1094"/>
      <c r="Z182" s="1095"/>
      <c r="AB182" s="527" t="s">
        <v>498</v>
      </c>
      <c r="AC182" s="415" t="s">
        <v>1285</v>
      </c>
      <c r="AD182" s="414" t="s">
        <v>804</v>
      </c>
      <c r="AE182" s="161"/>
      <c r="AH182" s="705" t="s">
        <v>2065</v>
      </c>
    </row>
    <row r="183" spans="1:38" ht="14.25" customHeight="1">
      <c r="E183" s="460">
        <v>15</v>
      </c>
      <c r="F183" s="3" t="str" cm="1">
        <f t="array" aca="1" ref="F183" ca="1">OFFSET(E183,-1,1)</f>
        <v>1</v>
      </c>
      <c r="H183" s="41" t="s">
        <v>1797</v>
      </c>
      <c r="T183" s="365" t="b" cm="1">
        <f t="array" aca="1" ref="T183" ca="1">T182</f>
        <v>1</v>
      </c>
      <c r="X183" s="1094"/>
      <c r="Z183" s="1095"/>
      <c r="AB183" s="527" t="s">
        <v>1492</v>
      </c>
      <c r="AC183" s="415" t="s">
        <v>2430</v>
      </c>
      <c r="AD183" s="414" t="s">
        <v>804</v>
      </c>
      <c r="AE183" s="161"/>
      <c r="AH183" s="705" t="s">
        <v>2068</v>
      </c>
    </row>
    <row r="184" spans="1:38" ht="14.25" customHeight="1">
      <c r="E184" s="460">
        <v>15</v>
      </c>
      <c r="F184" s="3" t="str" cm="1">
        <f t="array" aca="1" ref="F184" ca="1">OFFSET(E184,-1,1)</f>
        <v>1</v>
      </c>
      <c r="H184" s="41" t="s">
        <v>2431</v>
      </c>
      <c r="T184" s="365" t="b" cm="1">
        <f t="array" aca="1" ref="T184" ca="1">T183</f>
        <v>1</v>
      </c>
      <c r="X184" s="1094"/>
      <c r="Z184" s="1095"/>
      <c r="AB184" s="527" t="s">
        <v>1497</v>
      </c>
      <c r="AC184" s="415" t="s">
        <v>2432</v>
      </c>
      <c r="AD184" s="414" t="s">
        <v>804</v>
      </c>
      <c r="AE184" s="161"/>
      <c r="AH184" s="705" t="s">
        <v>2071</v>
      </c>
    </row>
    <row r="185" spans="1:38" ht="14.25" customHeight="1">
      <c r="E185" s="460">
        <v>15</v>
      </c>
      <c r="F185" s="3" t="str" cm="1">
        <f t="array" aca="1" ref="F185" ca="1">OFFSET(E185,-1,1)</f>
        <v>1</v>
      </c>
      <c r="H185" s="41" t="s">
        <v>2433</v>
      </c>
      <c r="T185" s="365" t="b" cm="1">
        <f t="array" aca="1" ref="T185" ca="1">T184</f>
        <v>1</v>
      </c>
      <c r="X185" s="1094"/>
      <c r="Z185" s="1095"/>
      <c r="AB185" s="527" t="s">
        <v>2073</v>
      </c>
      <c r="AC185" s="415" t="s">
        <v>1278</v>
      </c>
      <c r="AD185" s="414" t="s">
        <v>804</v>
      </c>
      <c r="AE185" s="161"/>
      <c r="AH185" s="705" t="s">
        <v>2075</v>
      </c>
    </row>
    <row r="186" spans="1:38" ht="14.25" customHeight="1">
      <c r="E186" s="460">
        <v>15</v>
      </c>
      <c r="F186" s="3" t="str" cm="1">
        <f t="array" aca="1" ref="F186" ca="1">OFFSET(E186,-1,1)</f>
        <v>1</v>
      </c>
      <c r="H186" s="41" t="s">
        <v>2434</v>
      </c>
      <c r="T186" s="365" t="b" cm="1">
        <f t="array" aca="1" ref="T186" ca="1">T185</f>
        <v>1</v>
      </c>
      <c r="X186" s="1094"/>
      <c r="Z186" s="1095"/>
      <c r="AB186" s="527" t="s">
        <v>2077</v>
      </c>
      <c r="AC186" s="415" t="s">
        <v>1280</v>
      </c>
      <c r="AD186" s="414" t="s">
        <v>804</v>
      </c>
      <c r="AE186" s="161"/>
      <c r="AH186" s="705" t="s">
        <v>2079</v>
      </c>
    </row>
    <row r="187" spans="1:38" ht="14.25" customHeight="1">
      <c r="E187" s="460">
        <v>15</v>
      </c>
      <c r="F187" s="3" t="str" cm="1">
        <f t="array" aca="1" ref="F187" ca="1">OFFSET(E187,-1,1)</f>
        <v>1</v>
      </c>
      <c r="H187" s="41" t="s">
        <v>2435</v>
      </c>
      <c r="T187" s="365" t="b" cm="1">
        <f t="array" aca="1" ref="T187" ca="1">T186</f>
        <v>1</v>
      </c>
      <c r="X187" s="1094"/>
      <c r="Z187" s="1095"/>
      <c r="AB187" s="527" t="s">
        <v>2081</v>
      </c>
      <c r="AC187" s="415" t="s">
        <v>1271</v>
      </c>
      <c r="AD187" s="414" t="s">
        <v>804</v>
      </c>
      <c r="AE187" s="161"/>
      <c r="AH187" s="705" t="s">
        <v>2083</v>
      </c>
    </row>
    <row r="188" spans="1:38" s="23" customFormat="1" ht="14.25" customHeight="1">
      <c r="A188" s="498"/>
      <c r="B188" s="41"/>
      <c r="C188" s="41"/>
      <c r="D188" s="41"/>
      <c r="E188" s="460">
        <v>15</v>
      </c>
      <c r="F188" s="280" t="str" cm="1">
        <f t="array" aca="1" ref="F188" ca="1">OFFSET(E188,-1,1)</f>
        <v>1</v>
      </c>
      <c r="G188" s="41"/>
      <c r="H188" s="41"/>
      <c r="I188" s="41"/>
      <c r="J188" s="41"/>
      <c r="K188" s="41"/>
      <c r="L188" s="41"/>
      <c r="M188" s="41"/>
      <c r="N188" s="41"/>
      <c r="O188" s="41"/>
      <c r="P188" s="41"/>
      <c r="Q188" s="41"/>
      <c r="R188" s="41"/>
      <c r="S188" s="41"/>
      <c r="T188" s="365" t="b" cm="1">
        <f t="array" aca="1" ref="T188" ca="1">T187</f>
        <v>1</v>
      </c>
      <c r="U188" s="41"/>
      <c r="V188" s="41"/>
      <c r="W188" s="41"/>
      <c r="X188" s="1094"/>
      <c r="Y188" s="41"/>
      <c r="Z188" s="1095"/>
      <c r="AA188" s="41"/>
      <c r="AB188" s="527" t="s">
        <v>2085</v>
      </c>
      <c r="AC188" s="415" t="s">
        <v>2436</v>
      </c>
      <c r="AD188" s="414" t="s">
        <v>804</v>
      </c>
      <c r="AE188" s="161"/>
      <c r="AF188" s="327"/>
      <c r="AG188" s="327"/>
      <c r="AH188" s="705" t="s">
        <v>1288</v>
      </c>
      <c r="AI188" s="664"/>
      <c r="AJ188" s="664"/>
      <c r="AK188" s="491"/>
      <c r="AL188" s="491"/>
    </row>
    <row r="189" spans="1:38" s="23" customFormat="1" ht="14.25" customHeight="1">
      <c r="A189" s="498"/>
      <c r="B189" s="41"/>
      <c r="C189" s="41"/>
      <c r="D189" s="41"/>
      <c r="E189" s="460">
        <v>15</v>
      </c>
      <c r="F189" s="280" t="str" cm="1">
        <f t="array" aca="1" ref="F189" ca="1">OFFSET(E189,-1,1)</f>
        <v>1</v>
      </c>
      <c r="G189" s="41"/>
      <c r="H189" s="41"/>
      <c r="I189" s="41"/>
      <c r="J189" s="41"/>
      <c r="K189" s="41"/>
      <c r="L189" s="41"/>
      <c r="M189" s="41"/>
      <c r="N189" s="41"/>
      <c r="O189" s="41"/>
      <c r="P189" s="41"/>
      <c r="Q189" s="41"/>
      <c r="R189" s="41"/>
      <c r="S189" s="41"/>
      <c r="T189" s="365" t="b" cm="1">
        <f t="array" aca="1" ref="T189" ca="1">T188</f>
        <v>1</v>
      </c>
      <c r="U189" s="41"/>
      <c r="V189" s="41"/>
      <c r="W189" s="41"/>
      <c r="X189" s="1094"/>
      <c r="Y189" s="41"/>
      <c r="Z189" s="1095"/>
      <c r="AA189" s="41"/>
      <c r="AB189" s="527" t="s">
        <v>2089</v>
      </c>
      <c r="AC189" s="415" t="s">
        <v>1289</v>
      </c>
      <c r="AD189" s="414" t="s">
        <v>804</v>
      </c>
      <c r="AE189" s="161"/>
      <c r="AF189" s="327"/>
      <c r="AG189" s="327"/>
      <c r="AH189" s="705" t="s">
        <v>2437</v>
      </c>
      <c r="AI189" s="664"/>
      <c r="AJ189" s="664"/>
      <c r="AK189" s="491"/>
      <c r="AL189" s="491"/>
    </row>
    <row r="190" spans="1:38" ht="14.25" customHeight="1">
      <c r="E190" s="460">
        <v>15</v>
      </c>
      <c r="F190" s="3" t="str" cm="1">
        <f t="array" aca="1" ref="F190" ca="1">OFFSET(E190,-1,1)</f>
        <v>1</v>
      </c>
      <c r="H190" s="41" t="s">
        <v>2438</v>
      </c>
      <c r="T190" s="365" t="b" cm="1">
        <f t="array" aca="1" ref="T190" ca="1">T187</f>
        <v>1</v>
      </c>
      <c r="X190" s="1094"/>
      <c r="Z190" s="1095"/>
      <c r="AB190" s="527" t="s">
        <v>2091</v>
      </c>
      <c r="AC190" s="415" t="s">
        <v>1291</v>
      </c>
      <c r="AD190" s="414" t="s">
        <v>804</v>
      </c>
      <c r="AE190" s="161"/>
      <c r="AH190" s="705" t="s">
        <v>2097</v>
      </c>
    </row>
    <row r="191" spans="1:38" ht="14.25" customHeight="1">
      <c r="E191" s="460">
        <v>15</v>
      </c>
      <c r="F191" s="3" t="str" cm="1">
        <f t="array" aca="1" ref="F191" ca="1">OFFSET(E191,-1,1)</f>
        <v>1</v>
      </c>
      <c r="H191" s="41" t="s">
        <v>917</v>
      </c>
      <c r="T191" s="365" t="b" cm="1">
        <f t="array" aca="1" ref="T191" ca="1">T190</f>
        <v>1</v>
      </c>
      <c r="X191" s="1094"/>
      <c r="Z191" s="1095"/>
      <c r="AB191" s="527" t="s">
        <v>920</v>
      </c>
      <c r="AC191" s="415" t="s">
        <v>1019</v>
      </c>
      <c r="AD191" s="414" t="s">
        <v>804</v>
      </c>
      <c r="AE191" s="161"/>
      <c r="AH191" s="705" t="s">
        <v>1227</v>
      </c>
    </row>
    <row r="192" spans="1:38" ht="14.25" customHeight="1">
      <c r="E192" s="460">
        <v>15</v>
      </c>
      <c r="F192" s="3" t="str" cm="1">
        <f t="array" aca="1" ref="F192" ca="1">OFFSET(E192,-1,1)</f>
        <v>1</v>
      </c>
      <c r="H192" s="41" t="s">
        <v>2100</v>
      </c>
      <c r="T192" s="365" t="b" cm="1">
        <f t="array" aca="1" ref="T192" ca="1">T191</f>
        <v>1</v>
      </c>
      <c r="X192" s="1094"/>
      <c r="Z192" s="1095"/>
      <c r="AB192" s="527" t="s">
        <v>923</v>
      </c>
      <c r="AC192" s="413" t="s">
        <v>1464</v>
      </c>
      <c r="AD192" s="414" t="s">
        <v>804</v>
      </c>
      <c r="AE192" s="161"/>
      <c r="AH192" s="712" t="s">
        <v>1838</v>
      </c>
    </row>
    <row r="193" spans="1:38" ht="14.25" customHeight="1">
      <c r="E193" s="460">
        <v>15</v>
      </c>
      <c r="F193" s="3" t="str" cm="1">
        <f t="array" aca="1" ref="F193" ca="1">OFFSET(E193,-1,1)</f>
        <v>1</v>
      </c>
      <c r="H193" s="41" t="s">
        <v>2108</v>
      </c>
      <c r="T193" s="365" t="b" cm="1">
        <f t="array" aca="1" ref="T193" ca="1">T192</f>
        <v>1</v>
      </c>
      <c r="X193" s="1094"/>
      <c r="Z193" s="1095"/>
      <c r="AB193" s="527" t="s">
        <v>1512</v>
      </c>
      <c r="AC193" s="413" t="s">
        <v>1474</v>
      </c>
      <c r="AD193" s="414" t="s">
        <v>804</v>
      </c>
      <c r="AE193" s="418">
        <f>AE194+AE195</f>
        <v>0</v>
      </c>
      <c r="AH193" s="705" t="s">
        <v>2113</v>
      </c>
    </row>
    <row r="194" spans="1:38" ht="14.25" customHeight="1">
      <c r="E194" s="460">
        <v>15</v>
      </c>
      <c r="F194" s="3" t="str" cm="1">
        <f t="array" aca="1" ref="F194" ca="1">OFFSET(E194,-1,1)</f>
        <v>1</v>
      </c>
      <c r="H194" s="41" t="s">
        <v>2439</v>
      </c>
      <c r="T194" s="365" t="b" cm="1">
        <f t="array" aca="1" ref="T194" ca="1">T193</f>
        <v>1</v>
      </c>
      <c r="X194" s="1094"/>
      <c r="Z194" s="1095"/>
      <c r="AB194" s="527" t="s">
        <v>2104</v>
      </c>
      <c r="AC194" s="415" t="s">
        <v>2440</v>
      </c>
      <c r="AD194" s="414" t="s">
        <v>804</v>
      </c>
      <c r="AE194" s="161"/>
      <c r="AH194" s="705" t="s">
        <v>1262</v>
      </c>
    </row>
    <row r="195" spans="1:38" ht="21.75" customHeight="1">
      <c r="E195" s="460">
        <v>22.5</v>
      </c>
      <c r="F195" s="3" t="str" cm="1">
        <f t="array" aca="1" ref="F195" ca="1">OFFSET(E195,-1,1)</f>
        <v>1</v>
      </c>
      <c r="H195" s="41" t="s">
        <v>2441</v>
      </c>
      <c r="T195" s="365" t="b" cm="1">
        <f t="array" aca="1" ref="T195" ca="1">T194</f>
        <v>1</v>
      </c>
      <c r="X195" s="1094"/>
      <c r="Z195" s="1095"/>
      <c r="AB195" s="527" t="s">
        <v>2442</v>
      </c>
      <c r="AC195" s="415" t="s">
        <v>2443</v>
      </c>
      <c r="AD195" s="414" t="s">
        <v>804</v>
      </c>
      <c r="AE195" s="161"/>
      <c r="AH195" s="705" t="s">
        <v>2120</v>
      </c>
    </row>
    <row r="196" spans="1:38" ht="76.5" customHeight="1">
      <c r="E196" s="460">
        <v>78.75</v>
      </c>
      <c r="F196" s="3" t="str" cm="1">
        <f t="array" aca="1" ref="F196" ca="1">OFFSET(E196,-1,1)</f>
        <v>1</v>
      </c>
      <c r="H196" s="41" t="s">
        <v>2112</v>
      </c>
      <c r="T196" s="365" t="b" cm="1">
        <f t="array" aca="1" ref="T196" ca="1">T195</f>
        <v>1</v>
      </c>
      <c r="X196" s="1094"/>
      <c r="Z196" s="1095"/>
      <c r="AB196" s="527" t="s">
        <v>1517</v>
      </c>
      <c r="AC196" s="421" t="s">
        <v>1448</v>
      </c>
      <c r="AD196" s="414" t="s">
        <v>804</v>
      </c>
      <c r="AE196" s="161"/>
      <c r="AH196" s="705" t="s">
        <v>2098</v>
      </c>
    </row>
    <row r="197" spans="1:38" s="23" customFormat="1" ht="14.25" customHeight="1">
      <c r="A197" s="498"/>
      <c r="B197" s="41"/>
      <c r="C197" s="41"/>
      <c r="D197" s="41"/>
      <c r="E197" s="460">
        <v>15</v>
      </c>
      <c r="F197" s="280" t="str" cm="1">
        <f t="array" aca="1" ref="F197" ca="1">OFFSET(E197,-1,1)</f>
        <v>1</v>
      </c>
      <c r="G197" s="41"/>
      <c r="H197" s="41"/>
      <c r="I197" s="41"/>
      <c r="J197" s="41"/>
      <c r="K197" s="41"/>
      <c r="L197" s="41"/>
      <c r="M197" s="41"/>
      <c r="N197" s="41"/>
      <c r="O197" s="41"/>
      <c r="P197" s="41"/>
      <c r="Q197" s="41"/>
      <c r="R197" s="41"/>
      <c r="S197" s="41"/>
      <c r="T197" s="365" t="b" cm="1">
        <f t="array" aca="1" ref="T197" ca="1">T196</f>
        <v>1</v>
      </c>
      <c r="U197" s="41"/>
      <c r="V197" s="41"/>
      <c r="W197" s="41"/>
      <c r="X197" s="1094"/>
      <c r="Y197" s="41"/>
      <c r="Z197" s="1095"/>
      <c r="AA197" s="41"/>
      <c r="AB197" s="527" t="s">
        <v>2109</v>
      </c>
      <c r="AC197" s="421" t="s">
        <v>999</v>
      </c>
      <c r="AD197" s="414" t="s">
        <v>804</v>
      </c>
      <c r="AE197" s="161"/>
      <c r="AF197" s="327"/>
      <c r="AG197" s="327"/>
      <c r="AH197" s="705" t="s">
        <v>1001</v>
      </c>
      <c r="AI197" s="664"/>
      <c r="AJ197" s="664"/>
      <c r="AK197" s="491"/>
      <c r="AL197" s="491"/>
    </row>
    <row r="198" spans="1:38" s="23" customFormat="1" ht="14.25" customHeight="1">
      <c r="A198" s="498"/>
      <c r="B198" s="41"/>
      <c r="C198" s="41"/>
      <c r="D198" s="41"/>
      <c r="E198" s="460">
        <v>15</v>
      </c>
      <c r="F198" s="280" t="str" cm="1">
        <f t="array" aca="1" ref="F198" ca="1">OFFSET(E198,-1,1)</f>
        <v>1</v>
      </c>
      <c r="G198" s="41"/>
      <c r="H198" s="41"/>
      <c r="I198" s="41"/>
      <c r="J198" s="41"/>
      <c r="K198" s="41"/>
      <c r="L198" s="41"/>
      <c r="M198" s="41"/>
      <c r="N198" s="41"/>
      <c r="O198" s="41"/>
      <c r="P198" s="41"/>
      <c r="Q198" s="41"/>
      <c r="R198" s="41"/>
      <c r="S198" s="41"/>
      <c r="T198" s="365" t="b" cm="1">
        <f t="array" aca="1" ref="T198" ca="1">T197</f>
        <v>1</v>
      </c>
      <c r="U198" s="41"/>
      <c r="V198" s="41"/>
      <c r="W198" s="41"/>
      <c r="X198" s="1094"/>
      <c r="Y198" s="41"/>
      <c r="Z198" s="1095"/>
      <c r="AA198" s="41"/>
      <c r="AB198" s="527" t="s">
        <v>1536</v>
      </c>
      <c r="AC198" s="421" t="s">
        <v>1459</v>
      </c>
      <c r="AD198" s="414" t="s">
        <v>804</v>
      </c>
      <c r="AE198" s="161"/>
      <c r="AF198" s="327"/>
      <c r="AG198" s="327"/>
      <c r="AH198" s="705" t="s">
        <v>2444</v>
      </c>
      <c r="AI198" s="664"/>
      <c r="AJ198" s="664"/>
      <c r="AK198" s="491"/>
      <c r="AL198" s="491"/>
    </row>
    <row r="199" spans="1:38" ht="14.25" customHeight="1">
      <c r="E199" s="460">
        <v>15</v>
      </c>
      <c r="F199" s="3" t="str" cm="1">
        <f t="array" aca="1" ref="F199" ca="1">OFFSET(E199,-1,1)</f>
        <v>1</v>
      </c>
      <c r="H199" s="41" t="s">
        <v>2445</v>
      </c>
      <c r="T199" s="365" t="b" cm="1">
        <f t="array" aca="1" ref="T199" ca="1">T196</f>
        <v>1</v>
      </c>
      <c r="X199" s="1094"/>
      <c r="Z199" s="1095"/>
      <c r="AB199" s="527" t="s">
        <v>1540</v>
      </c>
      <c r="AC199" s="413" t="s">
        <v>2446</v>
      </c>
      <c r="AD199" s="414" t="s">
        <v>804</v>
      </c>
      <c r="AE199" s="161"/>
      <c r="AH199" s="664" t="s">
        <v>2447</v>
      </c>
    </row>
    <row r="200" spans="1:38" s="23" customFormat="1" ht="31.5" customHeight="1">
      <c r="A200" s="498"/>
      <c r="B200" s="41"/>
      <c r="C200" s="41"/>
      <c r="D200" s="41"/>
      <c r="E200" s="460">
        <v>33</v>
      </c>
      <c r="F200" s="280" t="str" cm="1">
        <f t="array" aca="1" ref="F200" ca="1">OFFSET(E200,-1,1)</f>
        <v>1</v>
      </c>
      <c r="G200" s="41"/>
      <c r="H200" s="41"/>
      <c r="I200" s="41"/>
      <c r="J200" s="41"/>
      <c r="K200" s="41"/>
      <c r="L200" s="41"/>
      <c r="M200" s="41"/>
      <c r="N200" s="41"/>
      <c r="O200" s="41"/>
      <c r="P200" s="41"/>
      <c r="Q200" s="41"/>
      <c r="R200" s="41"/>
      <c r="S200" s="41"/>
      <c r="T200" s="365" t="b" cm="1">
        <f t="array" aca="1" ref="T200" ca="1">T199</f>
        <v>1</v>
      </c>
      <c r="U200" s="41"/>
      <c r="V200" s="41"/>
      <c r="W200" s="41"/>
      <c r="X200" s="1094"/>
      <c r="Y200" s="41"/>
      <c r="Z200" s="1095"/>
      <c r="AA200" s="41"/>
      <c r="AB200" s="527" t="s">
        <v>1543</v>
      </c>
      <c r="AC200" s="413" t="s">
        <v>2122</v>
      </c>
      <c r="AD200" s="414" t="s">
        <v>804</v>
      </c>
      <c r="AE200" s="161"/>
      <c r="AF200" s="327"/>
      <c r="AG200" s="327"/>
      <c r="AH200" s="664" t="s">
        <v>2448</v>
      </c>
      <c r="AI200" s="664"/>
      <c r="AJ200" s="664"/>
      <c r="AK200" s="491"/>
      <c r="AL200" s="491"/>
    </row>
    <row r="201" spans="1:38" ht="14.25" customHeight="1">
      <c r="E201" s="460">
        <v>15</v>
      </c>
      <c r="F201" s="3" t="str" cm="1">
        <f t="array" aca="1" ref="F201" ca="1">OFFSET(E201,-1,1)</f>
        <v>1</v>
      </c>
      <c r="H201" s="41" t="s">
        <v>2449</v>
      </c>
      <c r="T201" s="365" t="b" cm="1">
        <f t="array" aca="1" ref="T201" ca="1">T199</f>
        <v>1</v>
      </c>
      <c r="X201" s="1094"/>
      <c r="Z201" s="1095"/>
      <c r="AB201" s="527" t="s">
        <v>2450</v>
      </c>
      <c r="AC201" s="413" t="s">
        <v>2451</v>
      </c>
      <c r="AD201" s="414" t="s">
        <v>804</v>
      </c>
      <c r="AE201" s="418">
        <f>SUM(AE202:AE203)</f>
        <v>0</v>
      </c>
      <c r="AH201" s="664" t="s">
        <v>2452</v>
      </c>
    </row>
    <row r="202" spans="1:38" ht="14.25" hidden="1" customHeight="1">
      <c r="E202" s="460">
        <v>15</v>
      </c>
      <c r="F202" s="3" t="str" cm="1">
        <f t="array" aca="1" ref="F202" ca="1">OFFSET(E202,-1,1)</f>
        <v>1</v>
      </c>
      <c r="H202" s="41" t="s">
        <v>2449</v>
      </c>
      <c r="I202" s="422" cm="1">
        <f t="array" ref="I202">AC202</f>
        <v>0</v>
      </c>
      <c r="T202" s="365" t="b">
        <f ca="1">AND(F202&gt;0,Y202&gt;0)</f>
        <v>0</v>
      </c>
      <c r="W202" s="36" t="s">
        <v>173</v>
      </c>
      <c r="X202" s="1094"/>
      <c r="Y202" s="41">
        <v>0</v>
      </c>
      <c r="Z202" s="1095"/>
      <c r="AA202" s="493" t="s">
        <v>174</v>
      </c>
      <c r="AB202" s="527" t="str">
        <f>"2.12."&amp;Y202</f>
        <v>2.12.0</v>
      </c>
      <c r="AC202" s="975"/>
      <c r="AD202" s="414" t="s">
        <v>804</v>
      </c>
      <c r="AE202" s="929"/>
      <c r="AH202" s="664" t="s">
        <v>2452</v>
      </c>
      <c r="AI202" s="664" t="s">
        <v>2453</v>
      </c>
      <c r="AJ202" s="670" cm="1">
        <f t="array" ref="AJ202">AC202</f>
        <v>0</v>
      </c>
      <c r="AL202" s="491" t="b">
        <v>1</v>
      </c>
    </row>
    <row r="203" spans="1:38" ht="14.25" customHeight="1">
      <c r="E203" s="460">
        <v>15</v>
      </c>
      <c r="F203" s="3" t="str" cm="1">
        <f t="array" aca="1" ref="F203" ca="1">OFFSET(E203,-1,1)</f>
        <v>1</v>
      </c>
      <c r="I203" s="91" t="str">
        <f>"!== 'не определено' &amp;&amp; row.l2_13 !== null"</f>
        <v>!== 'не определено' &amp;&amp; row.l2_13 !== null</v>
      </c>
      <c r="T203" s="365" t="b">
        <f ca="1">F203&gt;0</f>
        <v>1</v>
      </c>
      <c r="W203" s="517" t="s">
        <v>884</v>
      </c>
      <c r="X203" s="1094"/>
      <c r="Z203" s="1095"/>
      <c r="AB203" s="792"/>
      <c r="AC203" s="793" t="s">
        <v>177</v>
      </c>
      <c r="AD203" s="794"/>
      <c r="AE203" s="804"/>
      <c r="AK203" s="491" t="s">
        <v>2453</v>
      </c>
    </row>
    <row r="204" spans="1:38" ht="14.25" customHeight="1">
      <c r="E204" s="460">
        <v>15</v>
      </c>
      <c r="F204" s="3" t="str" cm="1">
        <f t="array" aca="1" ref="F204" ca="1">OFFSET(E204,-1,1)</f>
        <v>1</v>
      </c>
      <c r="G204" s="41" t="s">
        <v>51</v>
      </c>
      <c r="H204" s="41" t="s">
        <v>329</v>
      </c>
      <c r="T204" s="365" t="b" cm="1">
        <f t="array" aca="1" ref="T204" ca="1">T203</f>
        <v>1</v>
      </c>
      <c r="X204" s="1094"/>
      <c r="Z204" s="1095"/>
      <c r="AB204" s="526" t="s">
        <v>325</v>
      </c>
      <c r="AC204" s="411" t="s">
        <v>2125</v>
      </c>
      <c r="AD204" s="412" t="s">
        <v>804</v>
      </c>
      <c r="AE204" s="805"/>
      <c r="AH204" s="664" t="s">
        <v>1733</v>
      </c>
    </row>
    <row r="205" spans="1:38" ht="14.25" customHeight="1">
      <c r="E205" s="460">
        <v>15</v>
      </c>
      <c r="F205" s="280" t="str" cm="1">
        <f t="array" ref="F205">X205</f>
        <v>2</v>
      </c>
      <c r="G205" s="41" t="s">
        <v>797</v>
      </c>
      <c r="T205" s="365" t="b">
        <f>X205&gt;0</f>
        <v>1</v>
      </c>
      <c r="V205" s="41" t="str" cm="1">
        <f t="array" ref="V205">'ДПР (концессии)'!$AB$134</f>
        <v>Тариф 2 (Водоотведение) - тариф на водоотведение (Доп. признак не требуется)</v>
      </c>
      <c r="X205" s="1094" t="s">
        <v>285</v>
      </c>
      <c r="Z205" s="1095"/>
      <c r="AB205" s="154" t="str" cm="1">
        <f t="array" ref="AB205">'ДПР (концессии)'!$AB$134</f>
        <v>Тариф 2 (Водоотведение) - тариф на водоотведение (Доп. признак не требуется)</v>
      </c>
      <c r="AC205" s="113"/>
      <c r="AD205" s="107"/>
      <c r="AE205" s="791">
        <f>AE206+AE256+AE293</f>
        <v>0</v>
      </c>
    </row>
    <row r="206" spans="1:38" ht="14.25" customHeight="1">
      <c r="E206" s="460">
        <v>15</v>
      </c>
      <c r="F206" s="3" t="str" cm="1">
        <f t="array" aca="1" ref="F206" ca="1">OFFSET(E206,-1,1)</f>
        <v>2</v>
      </c>
      <c r="H206" s="41" t="s">
        <v>327</v>
      </c>
      <c r="T206" s="365" t="b" cm="1">
        <f t="array" ref="T206">T205</f>
        <v>1</v>
      </c>
      <c r="X206" s="1094"/>
      <c r="Z206" s="1095"/>
      <c r="AB206" s="526" t="s">
        <v>275</v>
      </c>
      <c r="AC206" s="411" t="s">
        <v>1931</v>
      </c>
      <c r="AD206" s="412" t="s">
        <v>804</v>
      </c>
      <c r="AE206" s="418">
        <f>AE207+AE225+AE233+AE253</f>
        <v>0</v>
      </c>
      <c r="AH206" s="664" t="s">
        <v>526</v>
      </c>
    </row>
    <row r="207" spans="1:38" ht="14.25" customHeight="1">
      <c r="E207" s="460">
        <v>15</v>
      </c>
      <c r="F207" s="3" t="str" cm="1">
        <f t="array" aca="1" ref="F207" ca="1">OFFSET(E207,-1,1)</f>
        <v>2</v>
      </c>
      <c r="H207" s="41" t="s">
        <v>461</v>
      </c>
      <c r="T207" s="365" t="b" cm="1">
        <f t="array" ref="T207">T206</f>
        <v>1</v>
      </c>
      <c r="X207" s="1094"/>
      <c r="Z207" s="1095"/>
      <c r="AB207" s="527" t="s">
        <v>897</v>
      </c>
      <c r="AC207" s="413" t="s">
        <v>1721</v>
      </c>
      <c r="AD207" s="414" t="s">
        <v>804</v>
      </c>
      <c r="AE207" s="418">
        <f>AE208+AE209+AE210+AE215+AE216+AE217</f>
        <v>0</v>
      </c>
      <c r="AH207" s="664" t="s">
        <v>1158</v>
      </c>
    </row>
    <row r="208" spans="1:38" ht="14.25" customHeight="1">
      <c r="E208" s="460">
        <v>15</v>
      </c>
      <c r="F208" s="3" t="str" cm="1">
        <f t="array" aca="1" ref="F208" ca="1">OFFSET(E208,-1,1)</f>
        <v>2</v>
      </c>
      <c r="H208" s="41" t="s">
        <v>1004</v>
      </c>
      <c r="T208" s="365" t="b" cm="1">
        <f t="array" ref="T208">T207</f>
        <v>1</v>
      </c>
      <c r="X208" s="1094"/>
      <c r="Z208" s="1095"/>
      <c r="AB208" s="527" t="s">
        <v>1005</v>
      </c>
      <c r="AC208" s="415" t="s">
        <v>2320</v>
      </c>
      <c r="AD208" s="414" t="s">
        <v>804</v>
      </c>
      <c r="AE208" s="161"/>
      <c r="AH208" s="664" t="s">
        <v>1254</v>
      </c>
    </row>
    <row r="209" spans="5:34" ht="21.75" customHeight="1">
      <c r="E209" s="460">
        <v>22.5</v>
      </c>
      <c r="F209" s="3" t="str" cm="1">
        <f t="array" aca="1" ref="F209" ca="1">OFFSET(E209,-1,1)</f>
        <v>2</v>
      </c>
      <c r="H209" s="41" t="s">
        <v>1008</v>
      </c>
      <c r="T209" s="365" t="b" cm="1">
        <f t="array" ref="T209">T208</f>
        <v>1</v>
      </c>
      <c r="X209" s="1094"/>
      <c r="Z209" s="1095"/>
      <c r="AB209" s="527" t="s">
        <v>1009</v>
      </c>
      <c r="AC209" s="415" t="s">
        <v>1939</v>
      </c>
      <c r="AD209" s="414" t="s">
        <v>804</v>
      </c>
      <c r="AE209" s="161"/>
      <c r="AH209" s="664" t="s">
        <v>1754</v>
      </c>
    </row>
    <row r="210" spans="5:34" ht="32.25" customHeight="1">
      <c r="E210" s="460">
        <v>33.75</v>
      </c>
      <c r="F210" s="3" t="str" cm="1">
        <f t="array" aca="1" ref="F210" ca="1">OFFSET(E210,-1,1)</f>
        <v>2</v>
      </c>
      <c r="H210" s="41" t="s">
        <v>1311</v>
      </c>
      <c r="T210" s="365" t="b" cm="1">
        <f t="array" ref="T210">T209</f>
        <v>1</v>
      </c>
      <c r="X210" s="1094"/>
      <c r="Z210" s="1095"/>
      <c r="AB210" s="527" t="s">
        <v>1312</v>
      </c>
      <c r="AC210" s="415" t="s">
        <v>2321</v>
      </c>
      <c r="AD210" s="414" t="s">
        <v>804</v>
      </c>
      <c r="AE210" s="418">
        <f>AE211+AE214</f>
        <v>0</v>
      </c>
      <c r="AH210" s="664" t="s">
        <v>1756</v>
      </c>
    </row>
    <row r="211" spans="5:34" ht="21.75" customHeight="1">
      <c r="E211" s="460">
        <v>22.5</v>
      </c>
      <c r="F211" s="3" t="str" cm="1">
        <f t="array" aca="1" ref="F211" ca="1">OFFSET(E211,-1,1)</f>
        <v>2</v>
      </c>
      <c r="H211" s="41" t="s">
        <v>2322</v>
      </c>
      <c r="T211" s="365" t="b" cm="1">
        <f t="array" ref="T211">T210</f>
        <v>1</v>
      </c>
      <c r="X211" s="1094"/>
      <c r="Z211" s="1095"/>
      <c r="AB211" s="527" t="s">
        <v>2323</v>
      </c>
      <c r="AC211" s="416" t="s">
        <v>2324</v>
      </c>
      <c r="AD211" s="414" t="s">
        <v>804</v>
      </c>
      <c r="AE211" s="161"/>
      <c r="AH211" s="664" t="s">
        <v>1758</v>
      </c>
    </row>
    <row r="212" spans="5:34" ht="21.75" customHeight="1">
      <c r="E212" s="460">
        <v>22.5</v>
      </c>
      <c r="F212" s="3" t="str" cm="1">
        <f t="array" aca="1" ref="F212" ca="1">OFFSET(E212,-1,1)</f>
        <v>2</v>
      </c>
      <c r="H212" s="41" t="s">
        <v>2325</v>
      </c>
      <c r="T212" s="365" t="b" cm="1">
        <f t="array" ref="T212">T211</f>
        <v>1</v>
      </c>
      <c r="X212" s="1094"/>
      <c r="Z212" s="1095"/>
      <c r="AB212" s="527" t="s">
        <v>2326</v>
      </c>
      <c r="AC212" s="417" t="s">
        <v>2327</v>
      </c>
      <c r="AD212" s="414" t="s">
        <v>2328</v>
      </c>
      <c r="AE212" s="161"/>
      <c r="AH212" s="664" t="s">
        <v>2329</v>
      </c>
    </row>
    <row r="213" spans="5:34" ht="21.75" customHeight="1">
      <c r="E213" s="460">
        <v>22.5</v>
      </c>
      <c r="F213" s="3" t="str" cm="1">
        <f t="array" aca="1" ref="F213" ca="1">OFFSET(E213,-1,1)</f>
        <v>2</v>
      </c>
      <c r="H213" s="41" t="s">
        <v>2330</v>
      </c>
      <c r="T213" s="365" t="b" cm="1">
        <f t="array" ref="T213">T212</f>
        <v>1</v>
      </c>
      <c r="X213" s="1094"/>
      <c r="Z213" s="1095"/>
      <c r="AB213" s="527" t="s">
        <v>2331</v>
      </c>
      <c r="AC213" s="417" t="s">
        <v>2332</v>
      </c>
      <c r="AD213" s="414" t="s">
        <v>2333</v>
      </c>
      <c r="AE213" s="161"/>
      <c r="AH213" s="664" t="s">
        <v>2334</v>
      </c>
    </row>
    <row r="214" spans="5:34" ht="21.75" customHeight="1">
      <c r="E214" s="460">
        <v>22.5</v>
      </c>
      <c r="F214" s="3" t="str" cm="1">
        <f t="array" aca="1" ref="F214" ca="1">OFFSET(E214,-1,1)</f>
        <v>2</v>
      </c>
      <c r="H214" s="41" t="s">
        <v>2335</v>
      </c>
      <c r="T214" s="365" t="b" cm="1">
        <f t="array" ref="T214">T213</f>
        <v>1</v>
      </c>
      <c r="X214" s="1094"/>
      <c r="Z214" s="1095"/>
      <c r="AB214" s="527" t="s">
        <v>2336</v>
      </c>
      <c r="AC214" s="416" t="s">
        <v>2337</v>
      </c>
      <c r="AD214" s="414" t="s">
        <v>804</v>
      </c>
      <c r="AE214" s="161"/>
      <c r="AH214" s="664" t="s">
        <v>1760</v>
      </c>
    </row>
    <row r="215" spans="5:34" ht="14.25" customHeight="1">
      <c r="E215" s="460">
        <v>15</v>
      </c>
      <c r="F215" s="3" t="str" cm="1">
        <f t="array" aca="1" ref="F215" ca="1">OFFSET(E215,-1,1)</f>
        <v>2</v>
      </c>
      <c r="H215" s="41" t="s">
        <v>1315</v>
      </c>
      <c r="T215" s="365" t="b" cm="1">
        <f t="array" ref="T215">T214</f>
        <v>1</v>
      </c>
      <c r="X215" s="1094"/>
      <c r="Z215" s="1095"/>
      <c r="AB215" s="527" t="s">
        <v>1316</v>
      </c>
      <c r="AC215" s="415" t="s">
        <v>2338</v>
      </c>
      <c r="AD215" s="414" t="s">
        <v>804</v>
      </c>
      <c r="AE215" s="161"/>
      <c r="AH215" s="664" t="s">
        <v>2120</v>
      </c>
    </row>
    <row r="216" spans="5:34" ht="14.25" customHeight="1">
      <c r="E216" s="460">
        <v>15</v>
      </c>
      <c r="F216" s="3" t="str" cm="1">
        <f t="array" aca="1" ref="F216" ca="1">OFFSET(E216,-1,1)</f>
        <v>2</v>
      </c>
      <c r="H216" s="41" t="s">
        <v>2339</v>
      </c>
      <c r="T216" s="365" t="b" cm="1">
        <f t="array" ref="T216">T215</f>
        <v>1</v>
      </c>
      <c r="X216" s="1094"/>
      <c r="Z216" s="1095"/>
      <c r="AB216" s="527" t="s">
        <v>1319</v>
      </c>
      <c r="AC216" s="415" t="s">
        <v>1945</v>
      </c>
      <c r="AD216" s="414" t="s">
        <v>804</v>
      </c>
      <c r="AE216" s="161"/>
      <c r="AH216" s="664" t="s">
        <v>1765</v>
      </c>
    </row>
    <row r="217" spans="5:34" ht="14.25" customHeight="1">
      <c r="E217" s="460">
        <v>15</v>
      </c>
      <c r="F217" s="3" t="str" cm="1">
        <f t="array" aca="1" ref="F217" ca="1">OFFSET(E217,-1,1)</f>
        <v>2</v>
      </c>
      <c r="H217" s="41" t="s">
        <v>2340</v>
      </c>
      <c r="T217" s="365" t="b" cm="1">
        <f t="array" ref="T217">T216</f>
        <v>1</v>
      </c>
      <c r="X217" s="1094"/>
      <c r="Z217" s="1095"/>
      <c r="AB217" s="527" t="s">
        <v>2341</v>
      </c>
      <c r="AC217" s="415" t="s">
        <v>2342</v>
      </c>
      <c r="AD217" s="414" t="s">
        <v>804</v>
      </c>
      <c r="AE217" s="418">
        <f>SUM(AE218:AE224)</f>
        <v>0</v>
      </c>
      <c r="AH217" s="664" t="s">
        <v>1769</v>
      </c>
    </row>
    <row r="218" spans="5:34" ht="14.25" customHeight="1">
      <c r="E218" s="460">
        <v>15</v>
      </c>
      <c r="F218" s="3" t="str" cm="1">
        <f t="array" aca="1" ref="F218" ca="1">OFFSET(E218,-1,1)</f>
        <v>2</v>
      </c>
      <c r="H218" s="41" t="s">
        <v>2343</v>
      </c>
      <c r="T218" s="365" t="b" cm="1">
        <f t="array" ref="T218">T217</f>
        <v>1</v>
      </c>
      <c r="X218" s="1094"/>
      <c r="Z218" s="1095"/>
      <c r="AB218" s="527" t="s">
        <v>2344</v>
      </c>
      <c r="AC218" s="416" t="s">
        <v>1776</v>
      </c>
      <c r="AD218" s="414" t="s">
        <v>804</v>
      </c>
      <c r="AE218" s="161"/>
      <c r="AH218" s="664" t="s">
        <v>2345</v>
      </c>
    </row>
    <row r="219" spans="5:34" ht="21.75" customHeight="1">
      <c r="E219" s="460">
        <v>22.5</v>
      </c>
      <c r="F219" s="3" t="str" cm="1">
        <f t="array" aca="1" ref="F219" ca="1">OFFSET(E219,-1,1)</f>
        <v>2</v>
      </c>
      <c r="H219" s="41" t="s">
        <v>2346</v>
      </c>
      <c r="T219" s="365" t="b" cm="1">
        <f t="array" ref="T219">T218</f>
        <v>1</v>
      </c>
      <c r="X219" s="1094"/>
      <c r="Z219" s="1095"/>
      <c r="AB219" s="527" t="s">
        <v>2347</v>
      </c>
      <c r="AC219" s="416" t="s">
        <v>1953</v>
      </c>
      <c r="AD219" s="414" t="s">
        <v>804</v>
      </c>
      <c r="AE219" s="161"/>
      <c r="AH219" s="705" t="s">
        <v>1954</v>
      </c>
    </row>
    <row r="220" spans="5:34" ht="21.75" customHeight="1">
      <c r="E220" s="460">
        <v>22.5</v>
      </c>
      <c r="F220" s="3" t="str" cm="1">
        <f t="array" aca="1" ref="F220" ca="1">OFFSET(E220,-1,1)</f>
        <v>2</v>
      </c>
      <c r="H220" s="41" t="s">
        <v>2348</v>
      </c>
      <c r="T220" s="365" t="b" cm="1">
        <f t="array" ref="T220">T219</f>
        <v>1</v>
      </c>
      <c r="X220" s="1094"/>
      <c r="Z220" s="1095"/>
      <c r="AB220" s="527" t="s">
        <v>2349</v>
      </c>
      <c r="AC220" s="416" t="s">
        <v>1957</v>
      </c>
      <c r="AD220" s="414" t="s">
        <v>804</v>
      </c>
      <c r="AE220" s="161"/>
      <c r="AH220" s="705" t="s">
        <v>1958</v>
      </c>
    </row>
    <row r="221" spans="5:34" ht="21.75" customHeight="1">
      <c r="E221" s="460">
        <v>22.5</v>
      </c>
      <c r="F221" s="3" t="str" cm="1">
        <f t="array" aca="1" ref="F221" ca="1">OFFSET(E221,-1,1)</f>
        <v>2</v>
      </c>
      <c r="H221" s="41" t="s">
        <v>2350</v>
      </c>
      <c r="T221" s="365" t="b" cm="1">
        <f t="array" ref="T221">T220</f>
        <v>1</v>
      </c>
      <c r="X221" s="1094"/>
      <c r="Z221" s="1095"/>
      <c r="AB221" s="527" t="s">
        <v>2351</v>
      </c>
      <c r="AC221" s="416" t="s">
        <v>2352</v>
      </c>
      <c r="AD221" s="414" t="s">
        <v>804</v>
      </c>
      <c r="AE221" s="161"/>
      <c r="AH221" s="705" t="s">
        <v>1962</v>
      </c>
    </row>
    <row r="222" spans="5:34" ht="54.75" customHeight="1">
      <c r="E222" s="460">
        <v>56.25</v>
      </c>
      <c r="F222" s="3" t="str" cm="1">
        <f t="array" aca="1" ref="F222" ca="1">OFFSET(E222,-1,1)</f>
        <v>2</v>
      </c>
      <c r="H222" s="41" t="s">
        <v>2353</v>
      </c>
      <c r="T222" s="365" t="b" cm="1">
        <f t="array" ref="T222">T221</f>
        <v>1</v>
      </c>
      <c r="X222" s="1094"/>
      <c r="Z222" s="1095"/>
      <c r="AB222" s="527" t="s">
        <v>2354</v>
      </c>
      <c r="AC222" s="416" t="s">
        <v>1965</v>
      </c>
      <c r="AD222" s="414" t="s">
        <v>804</v>
      </c>
      <c r="AE222" s="161"/>
      <c r="AH222" s="705" t="s">
        <v>1781</v>
      </c>
    </row>
    <row r="223" spans="5:34" ht="14.25" customHeight="1">
      <c r="E223" s="460">
        <v>15</v>
      </c>
      <c r="F223" s="3" t="str" cm="1">
        <f t="array" aca="1" ref="F223" ca="1">OFFSET(E223,-1,1)</f>
        <v>2</v>
      </c>
      <c r="H223" s="41" t="s">
        <v>2355</v>
      </c>
      <c r="T223" s="365" t="b" cm="1">
        <f t="array" ref="T223">T222</f>
        <v>1</v>
      </c>
      <c r="X223" s="1094"/>
      <c r="Z223" s="1095"/>
      <c r="AB223" s="527" t="s">
        <v>2356</v>
      </c>
      <c r="AC223" s="416" t="s">
        <v>1784</v>
      </c>
      <c r="AD223" s="414" t="s">
        <v>804</v>
      </c>
      <c r="AE223" s="161"/>
      <c r="AH223" s="705" t="s">
        <v>1785</v>
      </c>
    </row>
    <row r="224" spans="5:34" ht="14.25" customHeight="1">
      <c r="E224" s="460">
        <v>15</v>
      </c>
      <c r="F224" s="3" t="str" cm="1">
        <f t="array" aca="1" ref="F224" ca="1">OFFSET(E224,-1,1)</f>
        <v>2</v>
      </c>
      <c r="H224" s="41" t="s">
        <v>2357</v>
      </c>
      <c r="T224" s="365" t="b" cm="1">
        <f t="array" ref="T224">T223</f>
        <v>1</v>
      </c>
      <c r="X224" s="1094"/>
      <c r="Z224" s="1095"/>
      <c r="AB224" s="527" t="s">
        <v>2358</v>
      </c>
      <c r="AC224" s="416" t="s">
        <v>1246</v>
      </c>
      <c r="AD224" s="414" t="s">
        <v>804</v>
      </c>
      <c r="AE224" s="161"/>
      <c r="AH224" s="705" t="s">
        <v>1769</v>
      </c>
    </row>
    <row r="225" spans="5:34" ht="14.25" customHeight="1">
      <c r="E225" s="460">
        <v>15</v>
      </c>
      <c r="F225" s="3" t="str" cm="1">
        <f t="array" aca="1" ref="F225" ca="1">OFFSET(E225,-1,1)</f>
        <v>2</v>
      </c>
      <c r="H225" s="41" t="s">
        <v>465</v>
      </c>
      <c r="T225" s="365" t="b" cm="1">
        <f t="array" ref="T225">T224</f>
        <v>1</v>
      </c>
      <c r="X225" s="1094"/>
      <c r="Z225" s="1095"/>
      <c r="AB225" s="527" t="s">
        <v>900</v>
      </c>
      <c r="AC225" s="413" t="s">
        <v>2359</v>
      </c>
      <c r="AD225" s="414" t="s">
        <v>804</v>
      </c>
      <c r="AE225" s="418">
        <f>AE226+AE227+AE228</f>
        <v>0</v>
      </c>
      <c r="AH225" s="704" t="s">
        <v>1789</v>
      </c>
    </row>
    <row r="226" spans="5:34" ht="14.25" customHeight="1">
      <c r="E226" s="460">
        <v>15</v>
      </c>
      <c r="F226" s="3" t="str" cm="1">
        <f t="array" aca="1" ref="F226" ca="1">OFFSET(E226,-1,1)</f>
        <v>2</v>
      </c>
      <c r="H226" s="41" t="s">
        <v>1336</v>
      </c>
      <c r="T226" s="365" t="b" cm="1">
        <f t="array" ref="T226">T225</f>
        <v>1</v>
      </c>
      <c r="X226" s="1094"/>
      <c r="Z226" s="1095"/>
      <c r="AB226" s="527" t="s">
        <v>1337</v>
      </c>
      <c r="AC226" s="415" t="s">
        <v>2360</v>
      </c>
      <c r="AD226" s="414" t="s">
        <v>804</v>
      </c>
      <c r="AE226" s="161"/>
      <c r="AH226" s="703" t="s">
        <v>1791</v>
      </c>
    </row>
    <row r="227" spans="5:34" ht="14.25" customHeight="1">
      <c r="E227" s="460">
        <v>15</v>
      </c>
      <c r="F227" s="3" t="str" cm="1">
        <f t="array" aca="1" ref="F227" ca="1">OFFSET(E227,-1,1)</f>
        <v>2</v>
      </c>
      <c r="H227" s="41" t="s">
        <v>1339</v>
      </c>
      <c r="T227" s="365" t="b" cm="1">
        <f t="array" ref="T227">T226</f>
        <v>1</v>
      </c>
      <c r="X227" s="1094"/>
      <c r="Z227" s="1095"/>
      <c r="AB227" s="527" t="s">
        <v>1340</v>
      </c>
      <c r="AC227" s="415" t="s">
        <v>2361</v>
      </c>
      <c r="AD227" s="414" t="s">
        <v>804</v>
      </c>
      <c r="AE227" s="161"/>
      <c r="AH227" s="705" t="s">
        <v>1973</v>
      </c>
    </row>
    <row r="228" spans="5:34" ht="21.75" customHeight="1">
      <c r="E228" s="460">
        <v>22.5</v>
      </c>
      <c r="F228" s="3" t="str" cm="1">
        <f t="array" aca="1" ref="F228" ca="1">OFFSET(E228,-1,1)</f>
        <v>2</v>
      </c>
      <c r="H228" s="41" t="s">
        <v>1343</v>
      </c>
      <c r="T228" s="365" t="b" cm="1">
        <f t="array" ref="T228">T227</f>
        <v>1</v>
      </c>
      <c r="X228" s="1094"/>
      <c r="Z228" s="1095"/>
      <c r="AB228" s="527" t="s">
        <v>1344</v>
      </c>
      <c r="AC228" s="415" t="s">
        <v>2362</v>
      </c>
      <c r="AD228" s="414" t="s">
        <v>804</v>
      </c>
      <c r="AE228" s="418">
        <f>AE229+AE232</f>
        <v>0</v>
      </c>
      <c r="AH228" s="703" t="s">
        <v>1793</v>
      </c>
    </row>
    <row r="229" spans="5:34" ht="14.25" customHeight="1">
      <c r="E229" s="460">
        <v>15</v>
      </c>
      <c r="F229" s="3" t="str" cm="1">
        <f t="array" aca="1" ref="F229" ca="1">OFFSET(E229,-1,1)</f>
        <v>2</v>
      </c>
      <c r="H229" s="41" t="s">
        <v>1487</v>
      </c>
      <c r="T229" s="365" t="b" cm="1">
        <f t="array" ref="T229">T228</f>
        <v>1</v>
      </c>
      <c r="X229" s="1094"/>
      <c r="Z229" s="1095"/>
      <c r="AB229" s="527" t="s">
        <v>1942</v>
      </c>
      <c r="AC229" s="416" t="s">
        <v>1795</v>
      </c>
      <c r="AD229" s="414" t="s">
        <v>804</v>
      </c>
      <c r="AE229" s="161"/>
      <c r="AH229" s="703" t="s">
        <v>1796</v>
      </c>
    </row>
    <row r="230" spans="5:34" ht="14.25" customHeight="1">
      <c r="E230" s="460">
        <v>15</v>
      </c>
      <c r="F230" s="3" t="str" cm="1">
        <f t="array" aca="1" ref="F230" ca="1">OFFSET(E230,-1,1)</f>
        <v>2</v>
      </c>
      <c r="H230" s="41" t="s">
        <v>2363</v>
      </c>
      <c r="T230" s="365" t="b" cm="1">
        <f t="array" ref="T230">T229</f>
        <v>1</v>
      </c>
      <c r="X230" s="1094"/>
      <c r="Z230" s="1095"/>
      <c r="AB230" s="527" t="s">
        <v>2364</v>
      </c>
      <c r="AC230" s="417" t="s">
        <v>2365</v>
      </c>
      <c r="AD230" s="414" t="s">
        <v>2328</v>
      </c>
      <c r="AE230" s="161"/>
      <c r="AH230" s="664" t="s">
        <v>2366</v>
      </c>
    </row>
    <row r="231" spans="5:34" ht="14.25" customHeight="1">
      <c r="E231" s="460">
        <v>15</v>
      </c>
      <c r="F231" s="3" t="str" cm="1">
        <f t="array" aca="1" ref="F231" ca="1">OFFSET(E231,-1,1)</f>
        <v>2</v>
      </c>
      <c r="H231" s="41" t="s">
        <v>2367</v>
      </c>
      <c r="T231" s="365" t="b" cm="1">
        <f t="array" ref="T231">T230</f>
        <v>1</v>
      </c>
      <c r="X231" s="1094"/>
      <c r="Z231" s="1095"/>
      <c r="AB231" s="527" t="s">
        <v>2368</v>
      </c>
      <c r="AC231" s="417" t="s">
        <v>2369</v>
      </c>
      <c r="AD231" s="414" t="s">
        <v>2333</v>
      </c>
      <c r="AE231" s="161"/>
      <c r="AH231" s="664" t="s">
        <v>2370</v>
      </c>
    </row>
    <row r="232" spans="5:34" ht="21.75" customHeight="1">
      <c r="E232" s="460">
        <v>22.5</v>
      </c>
      <c r="F232" s="3" t="str" cm="1">
        <f t="array" aca="1" ref="F232" ca="1">OFFSET(E232,-1,1)</f>
        <v>2</v>
      </c>
      <c r="H232" s="41" t="s">
        <v>1491</v>
      </c>
      <c r="T232" s="365" t="b" cm="1">
        <f t="array" ref="T232">T231</f>
        <v>1</v>
      </c>
      <c r="X232" s="1094"/>
      <c r="Z232" s="1095"/>
      <c r="AB232" s="527" t="s">
        <v>1943</v>
      </c>
      <c r="AC232" s="416" t="s">
        <v>1979</v>
      </c>
      <c r="AD232" s="414" t="s">
        <v>804</v>
      </c>
      <c r="AE232" s="161"/>
      <c r="AH232" s="703" t="s">
        <v>1799</v>
      </c>
    </row>
    <row r="233" spans="5:34" ht="14.25" customHeight="1">
      <c r="E233" s="460">
        <v>15</v>
      </c>
      <c r="F233" s="3" t="str" cm="1">
        <f t="array" aca="1" ref="F233" ca="1">OFFSET(E233,-1,1)</f>
        <v>2</v>
      </c>
      <c r="H233" s="41" t="s">
        <v>468</v>
      </c>
      <c r="T233" s="365" t="b" cm="1">
        <f t="array" ref="T233">T232</f>
        <v>1</v>
      </c>
      <c r="X233" s="1094"/>
      <c r="Z233" s="1095"/>
      <c r="AB233" s="527" t="s">
        <v>903</v>
      </c>
      <c r="AC233" s="413" t="s">
        <v>1980</v>
      </c>
      <c r="AD233" s="414" t="s">
        <v>804</v>
      </c>
      <c r="AE233" s="418">
        <f>AE234+AE240+AE245+AE246+AE247+AE248+AE249</f>
        <v>0</v>
      </c>
      <c r="AH233" s="704" t="s">
        <v>1801</v>
      </c>
    </row>
    <row r="234" spans="5:34" ht="21.75" customHeight="1">
      <c r="E234" s="460">
        <v>22.5</v>
      </c>
      <c r="F234" s="3" t="str" cm="1">
        <f t="array" aca="1" ref="F234" ca="1">OFFSET(E234,-1,1)</f>
        <v>2</v>
      </c>
      <c r="H234" s="41" t="s">
        <v>1349</v>
      </c>
      <c r="T234" s="365" t="b" cm="1">
        <f t="array" ref="T234">T233</f>
        <v>1</v>
      </c>
      <c r="X234" s="1094"/>
      <c r="Z234" s="1095"/>
      <c r="AB234" s="527" t="s">
        <v>1350</v>
      </c>
      <c r="AC234" s="415" t="s">
        <v>1802</v>
      </c>
      <c r="AD234" s="414" t="s">
        <v>804</v>
      </c>
      <c r="AE234" s="418">
        <f>SUM(AE235:AE239)</f>
        <v>0</v>
      </c>
      <c r="AH234" s="703" t="s">
        <v>1199</v>
      </c>
    </row>
    <row r="235" spans="5:34" ht="14.25" customHeight="1">
      <c r="E235" s="460">
        <v>15</v>
      </c>
      <c r="F235" s="3" t="str" cm="1">
        <f t="array" aca="1" ref="F235" ca="1">OFFSET(E235,-1,1)</f>
        <v>2</v>
      </c>
      <c r="H235" s="41" t="s">
        <v>2371</v>
      </c>
      <c r="T235" s="365" t="b" cm="1">
        <f t="array" ref="T235">T234</f>
        <v>1</v>
      </c>
      <c r="X235" s="1094"/>
      <c r="Z235" s="1095"/>
      <c r="AB235" s="527" t="s">
        <v>2372</v>
      </c>
      <c r="AC235" s="416" t="s">
        <v>1201</v>
      </c>
      <c r="AD235" s="414" t="s">
        <v>804</v>
      </c>
      <c r="AE235" s="161"/>
      <c r="AH235" s="705" t="s">
        <v>1202</v>
      </c>
    </row>
    <row r="236" spans="5:34" ht="14.25" customHeight="1">
      <c r="E236" s="460">
        <v>15</v>
      </c>
      <c r="F236" s="3" t="str" cm="1">
        <f t="array" aca="1" ref="F236" ca="1">OFFSET(E236,-1,1)</f>
        <v>2</v>
      </c>
      <c r="H236" s="41" t="s">
        <v>2373</v>
      </c>
      <c r="T236" s="365" t="b" cm="1">
        <f t="array" ref="T236">T235</f>
        <v>1</v>
      </c>
      <c r="X236" s="1094"/>
      <c r="Z236" s="1095"/>
      <c r="AB236" s="527" t="s">
        <v>2374</v>
      </c>
      <c r="AC236" s="416" t="s">
        <v>1204</v>
      </c>
      <c r="AD236" s="414" t="s">
        <v>804</v>
      </c>
      <c r="AE236" s="161"/>
      <c r="AH236" s="705" t="s">
        <v>1205</v>
      </c>
    </row>
    <row r="237" spans="5:34" ht="14.25" customHeight="1">
      <c r="E237" s="460">
        <v>15</v>
      </c>
      <c r="F237" s="3" t="str" cm="1">
        <f t="array" aca="1" ref="F237" ca="1">OFFSET(E237,-1,1)</f>
        <v>2</v>
      </c>
      <c r="H237" s="41" t="s">
        <v>2375</v>
      </c>
      <c r="T237" s="365" t="b" cm="1">
        <f t="array" ref="T237">T236</f>
        <v>1</v>
      </c>
      <c r="X237" s="1094"/>
      <c r="Z237" s="1095"/>
      <c r="AB237" s="527" t="s">
        <v>2376</v>
      </c>
      <c r="AC237" s="416" t="s">
        <v>1207</v>
      </c>
      <c r="AD237" s="414" t="s">
        <v>804</v>
      </c>
      <c r="AE237" s="161"/>
      <c r="AH237" s="705" t="s">
        <v>1208</v>
      </c>
    </row>
    <row r="238" spans="5:34" ht="14.25" customHeight="1">
      <c r="E238" s="460">
        <v>15</v>
      </c>
      <c r="F238" s="3" t="str" cm="1">
        <f t="array" aca="1" ref="F238" ca="1">OFFSET(E238,-1,1)</f>
        <v>2</v>
      </c>
      <c r="H238" s="41" t="s">
        <v>2377</v>
      </c>
      <c r="T238" s="365" t="b" cm="1">
        <f t="array" ref="T238">T237</f>
        <v>1</v>
      </c>
      <c r="X238" s="1094"/>
      <c r="Z238" s="1095"/>
      <c r="AB238" s="527" t="s">
        <v>2378</v>
      </c>
      <c r="AC238" s="416" t="s">
        <v>1210</v>
      </c>
      <c r="AD238" s="414" t="s">
        <v>804</v>
      </c>
      <c r="AE238" s="161"/>
      <c r="AH238" s="705" t="s">
        <v>1211</v>
      </c>
    </row>
    <row r="239" spans="5:34" ht="14.25" customHeight="1">
      <c r="E239" s="460">
        <v>15</v>
      </c>
      <c r="F239" s="3" t="str" cm="1">
        <f t="array" aca="1" ref="F239" ca="1">OFFSET(E239,-1,1)</f>
        <v>2</v>
      </c>
      <c r="H239" s="41" t="s">
        <v>2379</v>
      </c>
      <c r="T239" s="365" t="b" cm="1">
        <f t="array" ref="T239">T238</f>
        <v>1</v>
      </c>
      <c r="X239" s="1094"/>
      <c r="Z239" s="1095"/>
      <c r="AB239" s="527" t="s">
        <v>2380</v>
      </c>
      <c r="AC239" s="416" t="s">
        <v>1218</v>
      </c>
      <c r="AD239" s="414" t="s">
        <v>804</v>
      </c>
      <c r="AE239" s="161"/>
      <c r="AH239" s="705" t="s">
        <v>1219</v>
      </c>
    </row>
    <row r="240" spans="5:34" ht="32.25" customHeight="1">
      <c r="E240" s="460">
        <v>33.75</v>
      </c>
      <c r="F240" s="3" t="str" cm="1">
        <f t="array" aca="1" ref="F240" ca="1">OFFSET(E240,-1,1)</f>
        <v>2</v>
      </c>
      <c r="H240" s="41" t="s">
        <v>1353</v>
      </c>
      <c r="T240" s="365" t="b" cm="1">
        <f t="array" ref="T240">T239</f>
        <v>1</v>
      </c>
      <c r="X240" s="1094"/>
      <c r="Z240" s="1095"/>
      <c r="AB240" s="527" t="s">
        <v>1354</v>
      </c>
      <c r="AC240" s="415" t="s">
        <v>2381</v>
      </c>
      <c r="AD240" s="414" t="s">
        <v>804</v>
      </c>
      <c r="AE240" s="418">
        <f>AE241+AE244</f>
        <v>0</v>
      </c>
      <c r="AH240" s="703" t="s">
        <v>1804</v>
      </c>
    </row>
    <row r="241" spans="5:38" ht="21.75" customHeight="1">
      <c r="E241" s="460">
        <v>22.5</v>
      </c>
      <c r="F241" s="3" t="str" cm="1">
        <f t="array" aca="1" ref="F241" ca="1">OFFSET(E241,-1,1)</f>
        <v>2</v>
      </c>
      <c r="H241" s="41" t="s">
        <v>2382</v>
      </c>
      <c r="T241" s="365" t="b" cm="1">
        <f t="array" ref="T241">T240</f>
        <v>1</v>
      </c>
      <c r="X241" s="1094"/>
      <c r="Z241" s="1095"/>
      <c r="AB241" s="527" t="s">
        <v>2383</v>
      </c>
      <c r="AC241" s="416" t="s">
        <v>1805</v>
      </c>
      <c r="AD241" s="414" t="s">
        <v>804</v>
      </c>
      <c r="AE241" s="161"/>
      <c r="AH241" s="703" t="s">
        <v>1196</v>
      </c>
    </row>
    <row r="242" spans="5:38" ht="14.25" customHeight="1">
      <c r="E242" s="460">
        <v>15</v>
      </c>
      <c r="F242" s="3" t="str" cm="1">
        <f t="array" aca="1" ref="F242" ca="1">OFFSET(E242,-1,1)</f>
        <v>2</v>
      </c>
      <c r="H242" s="41" t="s">
        <v>2384</v>
      </c>
      <c r="T242" s="365" t="b" cm="1">
        <f t="array" ref="T242">T241</f>
        <v>1</v>
      </c>
      <c r="X242" s="1094"/>
      <c r="Z242" s="1095"/>
      <c r="AB242" s="527" t="s">
        <v>2385</v>
      </c>
      <c r="AC242" s="417" t="s">
        <v>2386</v>
      </c>
      <c r="AD242" s="414" t="s">
        <v>2328</v>
      </c>
      <c r="AE242" s="161"/>
      <c r="AH242" s="664" t="s">
        <v>2387</v>
      </c>
    </row>
    <row r="243" spans="5:38" ht="21.75" customHeight="1">
      <c r="E243" s="460">
        <v>22.5</v>
      </c>
      <c r="F243" s="3" t="str" cm="1">
        <f t="array" aca="1" ref="F243" ca="1">OFFSET(E243,-1,1)</f>
        <v>2</v>
      </c>
      <c r="H243" s="41" t="s">
        <v>2388</v>
      </c>
      <c r="T243" s="365" t="b" cm="1">
        <f t="array" ref="T243">T242</f>
        <v>1</v>
      </c>
      <c r="X243" s="1094"/>
      <c r="Z243" s="1095"/>
      <c r="AB243" s="527" t="s">
        <v>2389</v>
      </c>
      <c r="AC243" s="417" t="s">
        <v>2390</v>
      </c>
      <c r="AD243" s="414" t="s">
        <v>2333</v>
      </c>
      <c r="AE243" s="161"/>
      <c r="AH243" s="664" t="s">
        <v>2391</v>
      </c>
    </row>
    <row r="244" spans="5:38" ht="21.75" customHeight="1">
      <c r="E244" s="460">
        <v>22.5</v>
      </c>
      <c r="F244" s="3" t="str" cm="1">
        <f t="array" aca="1" ref="F244" ca="1">OFFSET(E244,-1,1)</f>
        <v>2</v>
      </c>
      <c r="H244" s="41" t="s">
        <v>2392</v>
      </c>
      <c r="T244" s="365" t="b" cm="1">
        <f t="array" ref="T244">T243</f>
        <v>1</v>
      </c>
      <c r="X244" s="1094"/>
      <c r="Z244" s="1095"/>
      <c r="AB244" s="527" t="s">
        <v>2393</v>
      </c>
      <c r="AC244" s="416" t="s">
        <v>2003</v>
      </c>
      <c r="AD244" s="414" t="s">
        <v>804</v>
      </c>
      <c r="AE244" s="161"/>
      <c r="AH244" s="703" t="s">
        <v>1807</v>
      </c>
    </row>
    <row r="245" spans="5:38" ht="21.75" customHeight="1">
      <c r="E245" s="460">
        <v>22.5</v>
      </c>
      <c r="F245" s="3" t="str" cm="1">
        <f t="array" aca="1" ref="F245" ca="1">OFFSET(E245,-1,1)</f>
        <v>2</v>
      </c>
      <c r="H245" s="41" t="s">
        <v>1357</v>
      </c>
      <c r="T245" s="365" t="b" cm="1">
        <f t="array" ref="T245">T244</f>
        <v>1</v>
      </c>
      <c r="X245" s="1094"/>
      <c r="Z245" s="1095"/>
      <c r="AB245" s="527" t="s">
        <v>1358</v>
      </c>
      <c r="AC245" s="415" t="s">
        <v>2394</v>
      </c>
      <c r="AD245" s="414" t="s">
        <v>804</v>
      </c>
      <c r="AE245" s="161"/>
      <c r="AH245" s="703" t="s">
        <v>1227</v>
      </c>
    </row>
    <row r="246" spans="5:38" ht="14.25" customHeight="1">
      <c r="E246" s="460">
        <v>15</v>
      </c>
      <c r="F246" s="3" t="str" cm="1">
        <f t="array" aca="1" ref="F246" ca="1">OFFSET(E246,-1,1)</f>
        <v>2</v>
      </c>
      <c r="H246" s="41" t="s">
        <v>2395</v>
      </c>
      <c r="T246" s="365" t="b" cm="1">
        <f t="array" ref="T246">T245</f>
        <v>1</v>
      </c>
      <c r="X246" s="1094"/>
      <c r="Z246" s="1095"/>
      <c r="AB246" s="527" t="s">
        <v>2396</v>
      </c>
      <c r="AC246" s="415" t="s">
        <v>1229</v>
      </c>
      <c r="AD246" s="414" t="s">
        <v>804</v>
      </c>
      <c r="AE246" s="161"/>
      <c r="AH246" s="703" t="s">
        <v>1230</v>
      </c>
    </row>
    <row r="247" spans="5:38" ht="14.25" customHeight="1">
      <c r="E247" s="460">
        <v>15</v>
      </c>
      <c r="F247" s="3" t="str" cm="1">
        <f t="array" aca="1" ref="F247" ca="1">OFFSET(E247,-1,1)</f>
        <v>2</v>
      </c>
      <c r="H247" s="41" t="s">
        <v>2397</v>
      </c>
      <c r="T247" s="365" t="b" cm="1">
        <f t="array" ref="T247">T246</f>
        <v>1</v>
      </c>
      <c r="X247" s="1094"/>
      <c r="Z247" s="1095"/>
      <c r="AB247" s="527" t="s">
        <v>2398</v>
      </c>
      <c r="AC247" s="415" t="s">
        <v>1232</v>
      </c>
      <c r="AD247" s="414" t="s">
        <v>804</v>
      </c>
      <c r="AE247" s="161"/>
      <c r="AH247" s="703" t="s">
        <v>1233</v>
      </c>
    </row>
    <row r="248" spans="5:38" ht="21.75" customHeight="1">
      <c r="E248" s="460">
        <v>22.5</v>
      </c>
      <c r="F248" s="3" t="str" cm="1">
        <f t="array" aca="1" ref="F248" ca="1">OFFSET(E248,-1,1)</f>
        <v>2</v>
      </c>
      <c r="H248" s="41" t="s">
        <v>2399</v>
      </c>
      <c r="T248" s="365" t="b" cm="1">
        <f t="array" ref="T248">T247</f>
        <v>1</v>
      </c>
      <c r="X248" s="1094"/>
      <c r="Z248" s="1095"/>
      <c r="AB248" s="527" t="s">
        <v>2400</v>
      </c>
      <c r="AC248" s="415" t="s">
        <v>2401</v>
      </c>
      <c r="AD248" s="414" t="s">
        <v>804</v>
      </c>
      <c r="AE248" s="161"/>
      <c r="AH248" s="703" t="s">
        <v>1809</v>
      </c>
    </row>
    <row r="249" spans="5:38" ht="14.25" customHeight="1">
      <c r="E249" s="460">
        <v>15</v>
      </c>
      <c r="F249" s="3" t="str" cm="1">
        <f t="array" aca="1" ref="F249" ca="1">OFFSET(E249,-1,1)</f>
        <v>2</v>
      </c>
      <c r="H249" s="41" t="s">
        <v>2402</v>
      </c>
      <c r="T249" s="365" t="b" cm="1">
        <f t="array" ref="T249">T248</f>
        <v>1</v>
      </c>
      <c r="X249" s="1094"/>
      <c r="Z249" s="1095"/>
      <c r="AB249" s="527" t="s">
        <v>2403</v>
      </c>
      <c r="AC249" s="415" t="s">
        <v>2404</v>
      </c>
      <c r="AD249" s="414" t="s">
        <v>804</v>
      </c>
      <c r="AE249" s="418">
        <f>AE250+AE251+AE252</f>
        <v>0</v>
      </c>
      <c r="AH249" s="703" t="s">
        <v>1811</v>
      </c>
    </row>
    <row r="250" spans="5:38" ht="14.25" customHeight="1">
      <c r="E250" s="460">
        <v>15</v>
      </c>
      <c r="F250" s="3" t="str" cm="1">
        <f t="array" aca="1" ref="F250" ca="1">OFFSET(E250,-1,1)</f>
        <v>2</v>
      </c>
      <c r="H250" s="41" t="s">
        <v>2405</v>
      </c>
      <c r="T250" s="365" t="b" cm="1">
        <f t="array" ref="T250">T249</f>
        <v>1</v>
      </c>
      <c r="X250" s="1094"/>
      <c r="Z250" s="1095"/>
      <c r="AB250" s="527" t="s">
        <v>2406</v>
      </c>
      <c r="AC250" s="416" t="s">
        <v>2407</v>
      </c>
      <c r="AD250" s="414" t="s">
        <v>804</v>
      </c>
      <c r="AE250" s="161"/>
      <c r="AH250" s="703" t="s">
        <v>1815</v>
      </c>
    </row>
    <row r="251" spans="5:38" ht="14.25" customHeight="1">
      <c r="E251" s="460">
        <v>15</v>
      </c>
      <c r="F251" s="3" t="str" cm="1">
        <f t="array" aca="1" ref="F251" ca="1">OFFSET(E251,-1,1)</f>
        <v>2</v>
      </c>
      <c r="H251" s="41" t="s">
        <v>2408</v>
      </c>
      <c r="T251" s="365" t="b" cm="1">
        <f t="array" ref="T251">T250</f>
        <v>1</v>
      </c>
      <c r="X251" s="1094"/>
      <c r="Z251" s="1095"/>
      <c r="AB251" s="527" t="s">
        <v>2409</v>
      </c>
      <c r="AC251" s="416" t="s">
        <v>2410</v>
      </c>
      <c r="AD251" s="414" t="s">
        <v>804</v>
      </c>
      <c r="AE251" s="161"/>
      <c r="AH251" s="703" t="s">
        <v>1818</v>
      </c>
    </row>
    <row r="252" spans="5:38" ht="14.25" customHeight="1">
      <c r="E252" s="460">
        <v>15</v>
      </c>
      <c r="F252" s="3" t="str" cm="1">
        <f t="array" aca="1" ref="F252" ca="1">OFFSET(E252,-1,1)</f>
        <v>2</v>
      </c>
      <c r="H252" s="41" t="s">
        <v>2411</v>
      </c>
      <c r="T252" s="365" t="b" cm="1">
        <f t="array" ref="T252">T251</f>
        <v>1</v>
      </c>
      <c r="X252" s="1094"/>
      <c r="Z252" s="1095"/>
      <c r="AB252" s="527" t="s">
        <v>2412</v>
      </c>
      <c r="AC252" s="416" t="s">
        <v>1246</v>
      </c>
      <c r="AD252" s="414" t="s">
        <v>804</v>
      </c>
      <c r="AE252" s="161"/>
      <c r="AH252" s="703" t="s">
        <v>1821</v>
      </c>
    </row>
    <row r="253" spans="5:38" ht="14.25" customHeight="1">
      <c r="E253" s="460">
        <v>15</v>
      </c>
      <c r="F253" s="3" t="str" cm="1">
        <f t="array" aca="1" ref="F253" ca="1">OFFSET(E253,-1,1)</f>
        <v>2</v>
      </c>
      <c r="H253" s="41" t="s">
        <v>472</v>
      </c>
      <c r="T253" s="365" t="b" cm="1">
        <f t="array" ref="T253">T252</f>
        <v>1</v>
      </c>
      <c r="X253" s="1094"/>
      <c r="Z253" s="1095"/>
      <c r="AB253" s="527" t="s">
        <v>906</v>
      </c>
      <c r="AC253" s="413" t="s">
        <v>2413</v>
      </c>
      <c r="AD253" s="414" t="s">
        <v>804</v>
      </c>
      <c r="AE253" s="418">
        <f>SUM(AE254:AE255)</f>
        <v>0</v>
      </c>
      <c r="AH253" s="705" t="s">
        <v>2414</v>
      </c>
    </row>
    <row r="254" spans="5:38" ht="14.25" hidden="1" customHeight="1">
      <c r="E254" s="460">
        <v>15</v>
      </c>
      <c r="F254" s="3" t="str" cm="1">
        <f t="array" aca="1" ref="F254" ca="1">OFFSET(E254,-1,1)</f>
        <v>2</v>
      </c>
      <c r="H254" s="41" t="s">
        <v>472</v>
      </c>
      <c r="I254" s="422" cm="1">
        <f t="array" ref="I254">AC254</f>
        <v>0</v>
      </c>
      <c r="T254" s="365" t="b">
        <f ca="1">AND(F254&gt;0,Y254&gt;0)</f>
        <v>0</v>
      </c>
      <c r="W254" s="36" t="s">
        <v>173</v>
      </c>
      <c r="X254" s="1094"/>
      <c r="Y254" s="41">
        <v>0</v>
      </c>
      <c r="Z254" s="1095"/>
      <c r="AA254" s="493" t="s">
        <v>174</v>
      </c>
      <c r="AB254" s="527" t="str">
        <f>"1.4."&amp;Y254</f>
        <v>1.4.0</v>
      </c>
      <c r="AC254" s="975"/>
      <c r="AD254" s="414" t="s">
        <v>804</v>
      </c>
      <c r="AE254" s="929"/>
      <c r="AH254" s="705" t="s">
        <v>2414</v>
      </c>
      <c r="AI254" s="664" t="s">
        <v>2415</v>
      </c>
      <c r="AJ254" s="664" cm="1">
        <f t="array" ref="AJ254">AC254</f>
        <v>0</v>
      </c>
      <c r="AL254" s="491" t="b">
        <v>1</v>
      </c>
    </row>
    <row r="255" spans="5:38" ht="14.25" customHeight="1">
      <c r="E255" s="460">
        <v>15</v>
      </c>
      <c r="F255" s="3" t="str" cm="1">
        <f t="array" aca="1" ref="F255" ca="1">OFFSET(E255,-1,1)</f>
        <v>2</v>
      </c>
      <c r="I255" s="91" t="str">
        <f>"!== 'не определено' &amp;&amp; row.l1_4 !== null"</f>
        <v>!== 'не определено' &amp;&amp; row.l1_4 !== null</v>
      </c>
      <c r="T255" s="365" t="b">
        <f ca="1">F255&gt;0</f>
        <v>1</v>
      </c>
      <c r="W255" s="517" t="s">
        <v>392</v>
      </c>
      <c r="X255" s="1094"/>
      <c r="Z255" s="1095"/>
      <c r="AB255" s="792"/>
      <c r="AC255" s="793" t="s">
        <v>177</v>
      </c>
      <c r="AD255" s="794"/>
      <c r="AE255" s="804"/>
      <c r="AK255" s="491" t="s">
        <v>2415</v>
      </c>
    </row>
    <row r="256" spans="5:38" ht="14.25" customHeight="1">
      <c r="E256" s="460">
        <v>15</v>
      </c>
      <c r="F256" s="3" t="str" cm="1">
        <f t="array" aca="1" ref="F256" ca="1">OFFSET(E256,-1,1)</f>
        <v>2</v>
      </c>
      <c r="H256" s="41" t="s">
        <v>328</v>
      </c>
      <c r="T256" s="365" t="b" cm="1">
        <f t="array" aca="1" ref="T256" ca="1">T255</f>
        <v>1</v>
      </c>
      <c r="X256" s="1094"/>
      <c r="Z256" s="1095"/>
      <c r="AB256" s="526" t="s">
        <v>285</v>
      </c>
      <c r="AC256" s="411" t="s">
        <v>2028</v>
      </c>
      <c r="AD256" s="412" t="s">
        <v>804</v>
      </c>
      <c r="AE256" s="418">
        <f>AE257+AE269+AE270+AE280+AE281+AE282+AE285+AE286+AE287+AE288+AE289+AE290</f>
        <v>0</v>
      </c>
      <c r="AH256" s="664" t="s">
        <v>2416</v>
      </c>
    </row>
    <row r="257" spans="1:38" s="23" customFormat="1" ht="26.25" customHeight="1">
      <c r="A257" s="498"/>
      <c r="B257" s="41"/>
      <c r="C257" s="41"/>
      <c r="D257" s="41"/>
      <c r="E257" s="460">
        <v>27</v>
      </c>
      <c r="F257" s="280" t="str" cm="1">
        <f t="array" aca="1" ref="F257" ca="1">OFFSET(E257,-1,1)</f>
        <v>2</v>
      </c>
      <c r="G257" s="41"/>
      <c r="H257" s="41"/>
      <c r="I257" s="41"/>
      <c r="J257" s="41"/>
      <c r="K257" s="41"/>
      <c r="L257" s="41"/>
      <c r="M257" s="41"/>
      <c r="N257" s="41"/>
      <c r="O257" s="41"/>
      <c r="P257" s="41"/>
      <c r="Q257" s="41"/>
      <c r="R257" s="41"/>
      <c r="S257" s="41"/>
      <c r="T257" s="365" t="b" cm="1">
        <f t="array" aca="1" ref="T257" ca="1">T256</f>
        <v>1</v>
      </c>
      <c r="U257" s="41"/>
      <c r="V257" s="41"/>
      <c r="W257" s="41"/>
      <c r="X257" s="1094"/>
      <c r="Y257" s="41"/>
      <c r="Z257" s="1095"/>
      <c r="AA257" s="41"/>
      <c r="AB257" s="527" t="s">
        <v>537</v>
      </c>
      <c r="AC257" s="795" t="s">
        <v>2030</v>
      </c>
      <c r="AD257" s="412" t="s">
        <v>804</v>
      </c>
      <c r="AE257" s="418">
        <f>SUM(AE258:AE268)</f>
        <v>0</v>
      </c>
      <c r="AF257" s="327"/>
      <c r="AG257" s="327"/>
      <c r="AH257" s="705" t="s">
        <v>1247</v>
      </c>
      <c r="AI257" s="664"/>
      <c r="AJ257" s="664"/>
      <c r="AK257" s="491"/>
      <c r="AL257" s="491"/>
    </row>
    <row r="258" spans="1:38" s="23" customFormat="1" ht="14.25" customHeight="1">
      <c r="A258" s="498"/>
      <c r="B258" s="41"/>
      <c r="C258" s="41"/>
      <c r="D258" s="41"/>
      <c r="E258" s="460">
        <v>15</v>
      </c>
      <c r="F258" s="280" t="str" cm="1">
        <f t="array" aca="1" ref="F258" ca="1">OFFSET(E258,-1,1)</f>
        <v>2</v>
      </c>
      <c r="G258" s="41"/>
      <c r="H258" s="41"/>
      <c r="I258" s="41"/>
      <c r="J258" s="41"/>
      <c r="K258" s="41"/>
      <c r="L258" s="41"/>
      <c r="M258" s="41"/>
      <c r="N258" s="41"/>
      <c r="O258" s="41"/>
      <c r="P258" s="41"/>
      <c r="Q258" s="41"/>
      <c r="R258" s="41"/>
      <c r="S258" s="41"/>
      <c r="T258" s="365" t="b" cm="1">
        <f t="array" aca="1" ref="T258" ca="1">T257</f>
        <v>1</v>
      </c>
      <c r="U258" s="41"/>
      <c r="V258" s="41"/>
      <c r="W258" s="41"/>
      <c r="X258" s="1094"/>
      <c r="Y258" s="41"/>
      <c r="Z258" s="1095"/>
      <c r="AA258" s="41"/>
      <c r="AB258" s="527" t="s">
        <v>487</v>
      </c>
      <c r="AC258" s="415" t="s">
        <v>2032</v>
      </c>
      <c r="AD258" s="414" t="s">
        <v>804</v>
      </c>
      <c r="AE258" s="161"/>
      <c r="AF258" s="327"/>
      <c r="AG258" s="327"/>
      <c r="AH258" s="705" t="s">
        <v>2417</v>
      </c>
      <c r="AI258" s="664"/>
      <c r="AJ258" s="664"/>
      <c r="AK258" s="491"/>
      <c r="AL258" s="491"/>
    </row>
    <row r="259" spans="1:38" s="23" customFormat="1" ht="14.25" customHeight="1">
      <c r="A259" s="498"/>
      <c r="B259" s="41"/>
      <c r="C259" s="41"/>
      <c r="D259" s="41"/>
      <c r="E259" s="460">
        <v>15</v>
      </c>
      <c r="F259" s="280" t="str" cm="1">
        <f t="array" aca="1" ref="F259" ca="1">OFFSET(E259,-1,1)</f>
        <v>2</v>
      </c>
      <c r="G259" s="41"/>
      <c r="H259" s="41"/>
      <c r="I259" s="41"/>
      <c r="J259" s="41"/>
      <c r="K259" s="41"/>
      <c r="L259" s="41"/>
      <c r="M259" s="41"/>
      <c r="N259" s="41"/>
      <c r="O259" s="41"/>
      <c r="P259" s="41"/>
      <c r="Q259" s="41"/>
      <c r="R259" s="41"/>
      <c r="S259" s="41"/>
      <c r="T259" s="365" t="b" cm="1">
        <f t="array" aca="1" ref="T259" ca="1">T258</f>
        <v>1</v>
      </c>
      <c r="U259" s="41"/>
      <c r="V259" s="41"/>
      <c r="W259" s="41"/>
      <c r="X259" s="1094"/>
      <c r="Y259" s="41"/>
      <c r="Z259" s="1095"/>
      <c r="AA259" s="41"/>
      <c r="AB259" s="527" t="s">
        <v>2033</v>
      </c>
      <c r="AC259" s="415" t="s">
        <v>2034</v>
      </c>
      <c r="AD259" s="414" t="s">
        <v>804</v>
      </c>
      <c r="AE259" s="161"/>
      <c r="AF259" s="327"/>
      <c r="AG259" s="327"/>
      <c r="AH259" s="705" t="s">
        <v>2418</v>
      </c>
      <c r="AI259" s="664"/>
      <c r="AJ259" s="664"/>
      <c r="AK259" s="491"/>
      <c r="AL259" s="491"/>
    </row>
    <row r="260" spans="1:38" s="23" customFormat="1" ht="14.25" customHeight="1">
      <c r="A260" s="498"/>
      <c r="B260" s="41"/>
      <c r="C260" s="41"/>
      <c r="D260" s="41"/>
      <c r="E260" s="460">
        <v>15</v>
      </c>
      <c r="F260" s="280" t="str" cm="1">
        <f t="array" aca="1" ref="F260" ca="1">OFFSET(E260,-1,1)</f>
        <v>2</v>
      </c>
      <c r="G260" s="41"/>
      <c r="H260" s="41"/>
      <c r="I260" s="41"/>
      <c r="J260" s="41"/>
      <c r="K260" s="41"/>
      <c r="L260" s="41"/>
      <c r="M260" s="41"/>
      <c r="N260" s="41"/>
      <c r="O260" s="41"/>
      <c r="P260" s="41"/>
      <c r="Q260" s="41"/>
      <c r="R260" s="41"/>
      <c r="S260" s="41"/>
      <c r="T260" s="365" t="b" cm="1">
        <f t="array" aca="1" ref="T260" ca="1">T259</f>
        <v>1</v>
      </c>
      <c r="U260" s="41"/>
      <c r="V260" s="41"/>
      <c r="W260" s="41"/>
      <c r="X260" s="1094"/>
      <c r="Y260" s="41"/>
      <c r="Z260" s="1095"/>
      <c r="AA260" s="41"/>
      <c r="AB260" s="527" t="s">
        <v>2035</v>
      </c>
      <c r="AC260" s="415" t="s">
        <v>2036</v>
      </c>
      <c r="AD260" s="414" t="s">
        <v>804</v>
      </c>
      <c r="AE260" s="161"/>
      <c r="AF260" s="327"/>
      <c r="AG260" s="327"/>
      <c r="AH260" s="705" t="s">
        <v>2419</v>
      </c>
      <c r="AI260" s="664"/>
      <c r="AJ260" s="664"/>
      <c r="AK260" s="491"/>
      <c r="AL260" s="491"/>
    </row>
    <row r="261" spans="1:38" s="23" customFormat="1" ht="14.25" customHeight="1">
      <c r="A261" s="498"/>
      <c r="B261" s="41"/>
      <c r="C261" s="41"/>
      <c r="D261" s="41"/>
      <c r="E261" s="460">
        <v>15</v>
      </c>
      <c r="F261" s="280" t="str" cm="1">
        <f t="array" aca="1" ref="F261" ca="1">OFFSET(E261,-1,1)</f>
        <v>2</v>
      </c>
      <c r="G261" s="41"/>
      <c r="H261" s="41"/>
      <c r="I261" s="41"/>
      <c r="J261" s="41"/>
      <c r="K261" s="41"/>
      <c r="L261" s="41"/>
      <c r="M261" s="41"/>
      <c r="N261" s="41"/>
      <c r="O261" s="41"/>
      <c r="P261" s="41"/>
      <c r="Q261" s="41"/>
      <c r="R261" s="41"/>
      <c r="S261" s="41"/>
      <c r="T261" s="365" t="b" cm="1">
        <f t="array" aca="1" ref="T261" ca="1">T260</f>
        <v>1</v>
      </c>
      <c r="U261" s="41"/>
      <c r="V261" s="41"/>
      <c r="W261" s="41"/>
      <c r="X261" s="1094"/>
      <c r="Y261" s="41"/>
      <c r="Z261" s="1095"/>
      <c r="AA261" s="41"/>
      <c r="AB261" s="527" t="s">
        <v>2038</v>
      </c>
      <c r="AC261" s="415" t="s">
        <v>2039</v>
      </c>
      <c r="AD261" s="414" t="s">
        <v>804</v>
      </c>
      <c r="AE261" s="161"/>
      <c r="AF261" s="327"/>
      <c r="AG261" s="327"/>
      <c r="AH261" s="705" t="s">
        <v>2420</v>
      </c>
      <c r="AI261" s="664"/>
      <c r="AJ261" s="664"/>
      <c r="AK261" s="491"/>
      <c r="AL261" s="491"/>
    </row>
    <row r="262" spans="1:38" s="23" customFormat="1" ht="14.25" customHeight="1">
      <c r="A262" s="498"/>
      <c r="B262" s="41"/>
      <c r="C262" s="41"/>
      <c r="D262" s="41"/>
      <c r="E262" s="460">
        <v>15</v>
      </c>
      <c r="F262" s="280" t="str" cm="1">
        <f t="array" aca="1" ref="F262" ca="1">OFFSET(E262,-1,1)</f>
        <v>2</v>
      </c>
      <c r="G262" s="41"/>
      <c r="H262" s="41"/>
      <c r="I262" s="41"/>
      <c r="J262" s="41"/>
      <c r="K262" s="41"/>
      <c r="L262" s="41"/>
      <c r="M262" s="41"/>
      <c r="N262" s="41"/>
      <c r="O262" s="41"/>
      <c r="P262" s="41"/>
      <c r="Q262" s="41"/>
      <c r="R262" s="41"/>
      <c r="S262" s="41"/>
      <c r="T262" s="365" t="b" cm="1">
        <f t="array" aca="1" ref="T262" ca="1">T261</f>
        <v>1</v>
      </c>
      <c r="U262" s="41"/>
      <c r="V262" s="41"/>
      <c r="W262" s="41"/>
      <c r="X262" s="1094"/>
      <c r="Y262" s="41"/>
      <c r="Z262" s="1095"/>
      <c r="AA262" s="41"/>
      <c r="AB262" s="527" t="s">
        <v>2041</v>
      </c>
      <c r="AC262" s="415" t="s">
        <v>2042</v>
      </c>
      <c r="AD262" s="414" t="s">
        <v>804</v>
      </c>
      <c r="AE262" s="161"/>
      <c r="AF262" s="327"/>
      <c r="AG262" s="327"/>
      <c r="AH262" s="705" t="s">
        <v>2421</v>
      </c>
      <c r="AI262" s="664"/>
      <c r="AJ262" s="664"/>
      <c r="AK262" s="491"/>
      <c r="AL262" s="491"/>
    </row>
    <row r="263" spans="1:38" s="23" customFormat="1" ht="26.25" customHeight="1">
      <c r="A263" s="498"/>
      <c r="B263" s="41"/>
      <c r="C263" s="41"/>
      <c r="D263" s="41"/>
      <c r="E263" s="460">
        <v>27</v>
      </c>
      <c r="F263" s="280" t="str" cm="1">
        <f t="array" aca="1" ref="F263" ca="1">OFFSET(E263,-1,1)</f>
        <v>2</v>
      </c>
      <c r="G263" s="41"/>
      <c r="H263" s="41"/>
      <c r="I263" s="41"/>
      <c r="J263" s="41"/>
      <c r="K263" s="41"/>
      <c r="L263" s="41"/>
      <c r="M263" s="41"/>
      <c r="N263" s="41"/>
      <c r="O263" s="41"/>
      <c r="P263" s="41"/>
      <c r="Q263" s="41"/>
      <c r="R263" s="41"/>
      <c r="S263" s="41"/>
      <c r="T263" s="365" t="b" cm="1">
        <f t="array" aca="1" ref="T263" ca="1">T262</f>
        <v>1</v>
      </c>
      <c r="U263" s="41"/>
      <c r="V263" s="41"/>
      <c r="W263" s="41"/>
      <c r="X263" s="1094"/>
      <c r="Y263" s="41"/>
      <c r="Z263" s="1095"/>
      <c r="AA263" s="41"/>
      <c r="AB263" s="527" t="s">
        <v>2044</v>
      </c>
      <c r="AC263" s="415" t="s">
        <v>2045</v>
      </c>
      <c r="AD263" s="414" t="s">
        <v>804</v>
      </c>
      <c r="AE263" s="161"/>
      <c r="AF263" s="327"/>
      <c r="AG263" s="327"/>
      <c r="AH263" s="705" t="s">
        <v>2422</v>
      </c>
      <c r="AI263" s="664"/>
      <c r="AJ263" s="664"/>
      <c r="AK263" s="491"/>
      <c r="AL263" s="491"/>
    </row>
    <row r="264" spans="1:38" s="23" customFormat="1" ht="14.25" customHeight="1">
      <c r="A264" s="498"/>
      <c r="B264" s="41"/>
      <c r="C264" s="41"/>
      <c r="D264" s="41"/>
      <c r="E264" s="460">
        <v>15</v>
      </c>
      <c r="F264" s="280" t="str" cm="1">
        <f t="array" aca="1" ref="F264" ca="1">OFFSET(E264,-1,1)</f>
        <v>2</v>
      </c>
      <c r="G264" s="41"/>
      <c r="H264" s="41"/>
      <c r="I264" s="41"/>
      <c r="J264" s="41"/>
      <c r="K264" s="41"/>
      <c r="L264" s="41"/>
      <c r="M264" s="41"/>
      <c r="N264" s="41"/>
      <c r="O264" s="41"/>
      <c r="P264" s="41"/>
      <c r="Q264" s="41"/>
      <c r="R264" s="41"/>
      <c r="S264" s="41"/>
      <c r="T264" s="365" t="b" cm="1">
        <f t="array" aca="1" ref="T264" ca="1">T263</f>
        <v>1</v>
      </c>
      <c r="U264" s="41"/>
      <c r="V264" s="41"/>
      <c r="W264" s="41"/>
      <c r="X264" s="1094"/>
      <c r="Y264" s="41"/>
      <c r="Z264" s="1095"/>
      <c r="AA264" s="41"/>
      <c r="AB264" s="527" t="s">
        <v>2048</v>
      </c>
      <c r="AC264" s="415" t="s">
        <v>2049</v>
      </c>
      <c r="AD264" s="414" t="s">
        <v>804</v>
      </c>
      <c r="AE264" s="161"/>
      <c r="AF264" s="327"/>
      <c r="AG264" s="327"/>
      <c r="AH264" s="705" t="s">
        <v>2423</v>
      </c>
      <c r="AI264" s="664"/>
      <c r="AJ264" s="664"/>
      <c r="AK264" s="491"/>
      <c r="AL264" s="491"/>
    </row>
    <row r="265" spans="1:38" s="23" customFormat="1" ht="14.25" customHeight="1">
      <c r="A265" s="498"/>
      <c r="B265" s="41"/>
      <c r="C265" s="41"/>
      <c r="D265" s="41"/>
      <c r="E265" s="460">
        <v>15</v>
      </c>
      <c r="F265" s="280" t="str" cm="1">
        <f t="array" aca="1" ref="F265" ca="1">OFFSET(E265,-1,1)</f>
        <v>2</v>
      </c>
      <c r="G265" s="41"/>
      <c r="H265" s="41"/>
      <c r="I265" s="41"/>
      <c r="J265" s="41"/>
      <c r="K265" s="41"/>
      <c r="L265" s="41"/>
      <c r="M265" s="41"/>
      <c r="N265" s="41"/>
      <c r="O265" s="41"/>
      <c r="P265" s="41"/>
      <c r="Q265" s="41"/>
      <c r="R265" s="41"/>
      <c r="S265" s="41"/>
      <c r="T265" s="365" t="b" cm="1">
        <f t="array" aca="1" ref="T265" ca="1">T264</f>
        <v>1</v>
      </c>
      <c r="U265" s="41"/>
      <c r="V265" s="41"/>
      <c r="W265" s="41"/>
      <c r="X265" s="1094"/>
      <c r="Y265" s="41"/>
      <c r="Z265" s="1095"/>
      <c r="AA265" s="41"/>
      <c r="AB265" s="527" t="s">
        <v>2052</v>
      </c>
      <c r="AC265" s="415" t="s">
        <v>2053</v>
      </c>
      <c r="AD265" s="414" t="s">
        <v>804</v>
      </c>
      <c r="AE265" s="161"/>
      <c r="AF265" s="327"/>
      <c r="AG265" s="327"/>
      <c r="AH265" s="705" t="s">
        <v>2424</v>
      </c>
      <c r="AI265" s="664"/>
      <c r="AJ265" s="664"/>
      <c r="AK265" s="491"/>
      <c r="AL265" s="491"/>
    </row>
    <row r="266" spans="1:38" s="23" customFormat="1" ht="14.25" customHeight="1">
      <c r="A266" s="498"/>
      <c r="B266" s="41"/>
      <c r="C266" s="41"/>
      <c r="D266" s="41"/>
      <c r="E266" s="460">
        <v>15</v>
      </c>
      <c r="F266" s="280" t="str" cm="1">
        <f t="array" aca="1" ref="F266" ca="1">OFFSET(E266,-1,1)</f>
        <v>2</v>
      </c>
      <c r="G266" s="41"/>
      <c r="H266" s="41"/>
      <c r="I266" s="41"/>
      <c r="J266" s="41"/>
      <c r="K266" s="41"/>
      <c r="L266" s="41"/>
      <c r="M266" s="41"/>
      <c r="N266" s="41"/>
      <c r="O266" s="41"/>
      <c r="P266" s="41"/>
      <c r="Q266" s="41"/>
      <c r="R266" s="41"/>
      <c r="S266" s="41"/>
      <c r="T266" s="365" t="b" cm="1">
        <f t="array" aca="1" ref="T266" ca="1">T265</f>
        <v>1</v>
      </c>
      <c r="U266" s="41"/>
      <c r="V266" s="41"/>
      <c r="W266" s="41"/>
      <c r="X266" s="1094"/>
      <c r="Y266" s="41"/>
      <c r="Z266" s="1095"/>
      <c r="AA266" s="41"/>
      <c r="AB266" s="527" t="s">
        <v>2055</v>
      </c>
      <c r="AC266" s="415" t="s">
        <v>2056</v>
      </c>
      <c r="AD266" s="414" t="s">
        <v>804</v>
      </c>
      <c r="AE266" s="161"/>
      <c r="AF266" s="327"/>
      <c r="AG266" s="327"/>
      <c r="AH266" s="705" t="s">
        <v>2425</v>
      </c>
      <c r="AI266" s="664"/>
      <c r="AJ266" s="664"/>
      <c r="AK266" s="491"/>
      <c r="AL266" s="491"/>
    </row>
    <row r="267" spans="1:38" s="23" customFormat="1" ht="14.25" customHeight="1">
      <c r="A267" s="498"/>
      <c r="B267" s="41"/>
      <c r="C267" s="41"/>
      <c r="D267" s="41"/>
      <c r="E267" s="460">
        <v>15</v>
      </c>
      <c r="F267" s="280" t="str" cm="1">
        <f t="array" aca="1" ref="F267" ca="1">OFFSET(E267,-1,1)</f>
        <v>2</v>
      </c>
      <c r="G267" s="41"/>
      <c r="H267" s="41"/>
      <c r="I267" s="41"/>
      <c r="J267" s="41"/>
      <c r="K267" s="41"/>
      <c r="L267" s="41"/>
      <c r="M267" s="41"/>
      <c r="N267" s="41"/>
      <c r="O267" s="41"/>
      <c r="P267" s="41"/>
      <c r="Q267" s="41"/>
      <c r="R267" s="41"/>
      <c r="S267" s="41"/>
      <c r="T267" s="365" t="b" cm="1">
        <f t="array" aca="1" ref="T267" ca="1">T266</f>
        <v>1</v>
      </c>
      <c r="U267" s="41"/>
      <c r="V267" s="41"/>
      <c r="W267" s="41"/>
      <c r="X267" s="1094"/>
      <c r="Y267" s="41"/>
      <c r="Z267" s="1095"/>
      <c r="AA267" s="41"/>
      <c r="AB267" s="527" t="s">
        <v>2058</v>
      </c>
      <c r="AC267" s="415" t="s">
        <v>2059</v>
      </c>
      <c r="AD267" s="414" t="s">
        <v>804</v>
      </c>
      <c r="AE267" s="161"/>
      <c r="AF267" s="327"/>
      <c r="AG267" s="327"/>
      <c r="AH267" s="705" t="s">
        <v>2426</v>
      </c>
      <c r="AI267" s="664"/>
      <c r="AJ267" s="664"/>
      <c r="AK267" s="491"/>
      <c r="AL267" s="491"/>
    </row>
    <row r="268" spans="1:38" s="23" customFormat="1" ht="14.25" customHeight="1">
      <c r="A268" s="498"/>
      <c r="B268" s="41"/>
      <c r="C268" s="41"/>
      <c r="D268" s="41"/>
      <c r="E268" s="460">
        <v>15</v>
      </c>
      <c r="F268" s="280" t="str" cm="1">
        <f t="array" aca="1" ref="F268" ca="1">OFFSET(E268,-1,1)</f>
        <v>2</v>
      </c>
      <c r="G268" s="41"/>
      <c r="H268" s="41"/>
      <c r="I268" s="41"/>
      <c r="J268" s="41"/>
      <c r="K268" s="41"/>
      <c r="L268" s="41"/>
      <c r="M268" s="41"/>
      <c r="N268" s="41"/>
      <c r="O268" s="41"/>
      <c r="P268" s="41"/>
      <c r="Q268" s="41"/>
      <c r="R268" s="41"/>
      <c r="S268" s="41"/>
      <c r="T268" s="365" t="b" cm="1">
        <f t="array" aca="1" ref="T268" ca="1">T267</f>
        <v>1</v>
      </c>
      <c r="U268" s="41"/>
      <c r="V268" s="41"/>
      <c r="W268" s="41"/>
      <c r="X268" s="1094"/>
      <c r="Y268" s="41"/>
      <c r="Z268" s="1095"/>
      <c r="AA268" s="41"/>
      <c r="AB268" s="527" t="s">
        <v>2060</v>
      </c>
      <c r="AC268" s="415" t="s">
        <v>2061</v>
      </c>
      <c r="AD268" s="414" t="s">
        <v>804</v>
      </c>
      <c r="AE268" s="161"/>
      <c r="AF268" s="327"/>
      <c r="AG268" s="327"/>
      <c r="AH268" s="705" t="s">
        <v>2427</v>
      </c>
      <c r="AI268" s="664"/>
      <c r="AJ268" s="664"/>
      <c r="AK268" s="491"/>
      <c r="AL268" s="491"/>
    </row>
    <row r="269" spans="1:38" s="23" customFormat="1" ht="14.25" customHeight="1">
      <c r="A269" s="498"/>
      <c r="B269" s="41"/>
      <c r="C269" s="41"/>
      <c r="D269" s="41"/>
      <c r="E269" s="460">
        <v>15</v>
      </c>
      <c r="F269" s="280" t="str" cm="1">
        <f t="array" aca="1" ref="F269" ca="1">OFFSET(E269,-1,1)</f>
        <v>2</v>
      </c>
      <c r="G269" s="41"/>
      <c r="H269" s="41"/>
      <c r="I269" s="41"/>
      <c r="J269" s="41"/>
      <c r="K269" s="41"/>
      <c r="L269" s="41"/>
      <c r="M269" s="41"/>
      <c r="N269" s="41"/>
      <c r="O269" s="41"/>
      <c r="P269" s="41"/>
      <c r="Q269" s="41"/>
      <c r="R269" s="41"/>
      <c r="S269" s="41"/>
      <c r="T269" s="365" t="b" cm="1">
        <f t="array" aca="1" ref="T269" ca="1">T268</f>
        <v>1</v>
      </c>
      <c r="U269" s="41"/>
      <c r="V269" s="41"/>
      <c r="W269" s="41"/>
      <c r="X269" s="1094"/>
      <c r="Y269" s="41"/>
      <c r="Z269" s="1095"/>
      <c r="AA269" s="41"/>
      <c r="AB269" s="527" t="s">
        <v>541</v>
      </c>
      <c r="AC269" s="413" t="s">
        <v>2062</v>
      </c>
      <c r="AD269" s="414" t="s">
        <v>804</v>
      </c>
      <c r="AE269" s="161"/>
      <c r="AF269" s="327"/>
      <c r="AG269" s="327"/>
      <c r="AH269" s="705" t="s">
        <v>2428</v>
      </c>
      <c r="AI269" s="664"/>
      <c r="AJ269" s="664"/>
      <c r="AK269" s="491"/>
      <c r="AL269" s="491"/>
    </row>
    <row r="270" spans="1:38" ht="14.25" customHeight="1">
      <c r="E270" s="460">
        <v>15</v>
      </c>
      <c r="F270" s="3" t="str" cm="1">
        <f t="array" aca="1" ref="F270" ca="1">OFFSET(E270,-1,1)</f>
        <v>2</v>
      </c>
      <c r="H270" s="41" t="s">
        <v>482</v>
      </c>
      <c r="T270" s="365" t="b" cm="1">
        <f t="array" aca="1" ref="T270" ca="1">T256</f>
        <v>1</v>
      </c>
      <c r="X270" s="1094"/>
      <c r="Z270" s="1095"/>
      <c r="AB270" s="527" t="s">
        <v>545</v>
      </c>
      <c r="AC270" s="413" t="s">
        <v>2429</v>
      </c>
      <c r="AD270" s="414" t="s">
        <v>804</v>
      </c>
      <c r="AE270" s="418">
        <f>SUM(AE271:AE279)</f>
        <v>0</v>
      </c>
      <c r="AH270" s="711" t="s">
        <v>1270</v>
      </c>
    </row>
    <row r="271" spans="1:38" ht="14.25" customHeight="1">
      <c r="E271" s="460">
        <v>15</v>
      </c>
      <c r="F271" s="3" t="str" cm="1">
        <f t="array" aca="1" ref="F271" ca="1">OFFSET(E271,-1,1)</f>
        <v>2</v>
      </c>
      <c r="H271" s="41" t="s">
        <v>1794</v>
      </c>
      <c r="T271" s="365" t="b" cm="1">
        <f t="array" aca="1" ref="T271" ca="1">T270</f>
        <v>1</v>
      </c>
      <c r="X271" s="1094"/>
      <c r="Z271" s="1095"/>
      <c r="AB271" s="527" t="s">
        <v>498</v>
      </c>
      <c r="AC271" s="415" t="s">
        <v>1285</v>
      </c>
      <c r="AD271" s="414" t="s">
        <v>804</v>
      </c>
      <c r="AE271" s="161"/>
      <c r="AH271" s="705" t="s">
        <v>2065</v>
      </c>
    </row>
    <row r="272" spans="1:38" ht="14.25" customHeight="1">
      <c r="E272" s="460">
        <v>15</v>
      </c>
      <c r="F272" s="3" t="str" cm="1">
        <f t="array" aca="1" ref="F272" ca="1">OFFSET(E272,-1,1)</f>
        <v>2</v>
      </c>
      <c r="H272" s="41" t="s">
        <v>1797</v>
      </c>
      <c r="T272" s="365" t="b" cm="1">
        <f t="array" aca="1" ref="T272" ca="1">T271</f>
        <v>1</v>
      </c>
      <c r="X272" s="1094"/>
      <c r="Z272" s="1095"/>
      <c r="AB272" s="527" t="s">
        <v>1492</v>
      </c>
      <c r="AC272" s="415" t="s">
        <v>2430</v>
      </c>
      <c r="AD272" s="414" t="s">
        <v>804</v>
      </c>
      <c r="AE272" s="161"/>
      <c r="AH272" s="705" t="s">
        <v>2068</v>
      </c>
    </row>
    <row r="273" spans="1:38" ht="14.25" customHeight="1">
      <c r="E273" s="460">
        <v>15</v>
      </c>
      <c r="F273" s="3" t="str" cm="1">
        <f t="array" aca="1" ref="F273" ca="1">OFFSET(E273,-1,1)</f>
        <v>2</v>
      </c>
      <c r="H273" s="41" t="s">
        <v>2431</v>
      </c>
      <c r="T273" s="365" t="b" cm="1">
        <f t="array" aca="1" ref="T273" ca="1">T272</f>
        <v>1</v>
      </c>
      <c r="X273" s="1094"/>
      <c r="Z273" s="1095"/>
      <c r="AB273" s="527" t="s">
        <v>1497</v>
      </c>
      <c r="AC273" s="415" t="s">
        <v>2432</v>
      </c>
      <c r="AD273" s="414" t="s">
        <v>804</v>
      </c>
      <c r="AE273" s="161"/>
      <c r="AH273" s="705" t="s">
        <v>2071</v>
      </c>
    </row>
    <row r="274" spans="1:38" ht="14.25" customHeight="1">
      <c r="E274" s="460">
        <v>15</v>
      </c>
      <c r="F274" s="3" t="str" cm="1">
        <f t="array" aca="1" ref="F274" ca="1">OFFSET(E274,-1,1)</f>
        <v>2</v>
      </c>
      <c r="H274" s="41" t="s">
        <v>2433</v>
      </c>
      <c r="T274" s="365" t="b" cm="1">
        <f t="array" aca="1" ref="T274" ca="1">T273</f>
        <v>1</v>
      </c>
      <c r="X274" s="1094"/>
      <c r="Z274" s="1095"/>
      <c r="AB274" s="527" t="s">
        <v>2073</v>
      </c>
      <c r="AC274" s="415" t="s">
        <v>1278</v>
      </c>
      <c r="AD274" s="414" t="s">
        <v>804</v>
      </c>
      <c r="AE274" s="161"/>
      <c r="AH274" s="705" t="s">
        <v>2075</v>
      </c>
    </row>
    <row r="275" spans="1:38" ht="14.25" customHeight="1">
      <c r="E275" s="460">
        <v>15</v>
      </c>
      <c r="F275" s="3" t="str" cm="1">
        <f t="array" aca="1" ref="F275" ca="1">OFFSET(E275,-1,1)</f>
        <v>2</v>
      </c>
      <c r="H275" s="41" t="s">
        <v>2434</v>
      </c>
      <c r="T275" s="365" t="b" cm="1">
        <f t="array" aca="1" ref="T275" ca="1">T274</f>
        <v>1</v>
      </c>
      <c r="X275" s="1094"/>
      <c r="Z275" s="1095"/>
      <c r="AB275" s="527" t="s">
        <v>2077</v>
      </c>
      <c r="AC275" s="415" t="s">
        <v>1280</v>
      </c>
      <c r="AD275" s="414" t="s">
        <v>804</v>
      </c>
      <c r="AE275" s="161"/>
      <c r="AH275" s="705" t="s">
        <v>2079</v>
      </c>
    </row>
    <row r="276" spans="1:38" ht="14.25" customHeight="1">
      <c r="E276" s="460">
        <v>15</v>
      </c>
      <c r="F276" s="3" t="str" cm="1">
        <f t="array" aca="1" ref="F276" ca="1">OFFSET(E276,-1,1)</f>
        <v>2</v>
      </c>
      <c r="H276" s="41" t="s">
        <v>2435</v>
      </c>
      <c r="T276" s="365" t="b" cm="1">
        <f t="array" aca="1" ref="T276" ca="1">T275</f>
        <v>1</v>
      </c>
      <c r="X276" s="1094"/>
      <c r="Z276" s="1095"/>
      <c r="AB276" s="527" t="s">
        <v>2081</v>
      </c>
      <c r="AC276" s="415" t="s">
        <v>1271</v>
      </c>
      <c r="AD276" s="414" t="s">
        <v>804</v>
      </c>
      <c r="AE276" s="161"/>
      <c r="AH276" s="705" t="s">
        <v>2083</v>
      </c>
    </row>
    <row r="277" spans="1:38" s="23" customFormat="1" ht="14.25" customHeight="1">
      <c r="A277" s="498"/>
      <c r="B277" s="41"/>
      <c r="C277" s="41"/>
      <c r="D277" s="41"/>
      <c r="E277" s="460">
        <v>15</v>
      </c>
      <c r="F277" s="280" t="str" cm="1">
        <f t="array" aca="1" ref="F277" ca="1">OFFSET(E277,-1,1)</f>
        <v>2</v>
      </c>
      <c r="G277" s="41"/>
      <c r="H277" s="41"/>
      <c r="I277" s="41"/>
      <c r="J277" s="41"/>
      <c r="K277" s="41"/>
      <c r="L277" s="41"/>
      <c r="M277" s="41"/>
      <c r="N277" s="41"/>
      <c r="O277" s="41"/>
      <c r="P277" s="41"/>
      <c r="Q277" s="41"/>
      <c r="R277" s="41"/>
      <c r="S277" s="41"/>
      <c r="T277" s="365" t="b" cm="1">
        <f t="array" aca="1" ref="T277" ca="1">T276</f>
        <v>1</v>
      </c>
      <c r="U277" s="41"/>
      <c r="V277" s="41"/>
      <c r="W277" s="41"/>
      <c r="X277" s="1094"/>
      <c r="Y277" s="41"/>
      <c r="Z277" s="1095"/>
      <c r="AA277" s="41"/>
      <c r="AB277" s="527" t="s">
        <v>2085</v>
      </c>
      <c r="AC277" s="415" t="s">
        <v>2436</v>
      </c>
      <c r="AD277" s="414" t="s">
        <v>804</v>
      </c>
      <c r="AE277" s="161"/>
      <c r="AF277" s="327"/>
      <c r="AG277" s="327"/>
      <c r="AH277" s="705" t="s">
        <v>1288</v>
      </c>
      <c r="AI277" s="664"/>
      <c r="AJ277" s="664"/>
      <c r="AK277" s="491"/>
      <c r="AL277" s="491"/>
    </row>
    <row r="278" spans="1:38" s="23" customFormat="1" ht="14.25" customHeight="1">
      <c r="A278" s="498"/>
      <c r="B278" s="41"/>
      <c r="C278" s="41"/>
      <c r="D278" s="41"/>
      <c r="E278" s="460">
        <v>15</v>
      </c>
      <c r="F278" s="280" t="str" cm="1">
        <f t="array" aca="1" ref="F278" ca="1">OFFSET(E278,-1,1)</f>
        <v>2</v>
      </c>
      <c r="G278" s="41"/>
      <c r="H278" s="41"/>
      <c r="I278" s="41"/>
      <c r="J278" s="41"/>
      <c r="K278" s="41"/>
      <c r="L278" s="41"/>
      <c r="M278" s="41"/>
      <c r="N278" s="41"/>
      <c r="O278" s="41"/>
      <c r="P278" s="41"/>
      <c r="Q278" s="41"/>
      <c r="R278" s="41"/>
      <c r="S278" s="41"/>
      <c r="T278" s="365" t="b" cm="1">
        <f t="array" aca="1" ref="T278" ca="1">T277</f>
        <v>1</v>
      </c>
      <c r="U278" s="41"/>
      <c r="V278" s="41"/>
      <c r="W278" s="41"/>
      <c r="X278" s="1094"/>
      <c r="Y278" s="41"/>
      <c r="Z278" s="1095"/>
      <c r="AA278" s="41"/>
      <c r="AB278" s="527" t="s">
        <v>2089</v>
      </c>
      <c r="AC278" s="415" t="s">
        <v>1289</v>
      </c>
      <c r="AD278" s="414" t="s">
        <v>804</v>
      </c>
      <c r="AE278" s="161"/>
      <c r="AF278" s="327"/>
      <c r="AG278" s="327"/>
      <c r="AH278" s="705" t="s">
        <v>2437</v>
      </c>
      <c r="AI278" s="664"/>
      <c r="AJ278" s="664"/>
      <c r="AK278" s="491"/>
      <c r="AL278" s="491"/>
    </row>
    <row r="279" spans="1:38" ht="14.25" customHeight="1">
      <c r="E279" s="460">
        <v>15</v>
      </c>
      <c r="F279" s="3" t="str" cm="1">
        <f t="array" aca="1" ref="F279" ca="1">OFFSET(E279,-1,1)</f>
        <v>2</v>
      </c>
      <c r="H279" s="41" t="s">
        <v>2438</v>
      </c>
      <c r="T279" s="365" t="b" cm="1">
        <f t="array" aca="1" ref="T279" ca="1">T276</f>
        <v>1</v>
      </c>
      <c r="X279" s="1094"/>
      <c r="Z279" s="1095"/>
      <c r="AB279" s="527" t="s">
        <v>2091</v>
      </c>
      <c r="AC279" s="415" t="s">
        <v>1291</v>
      </c>
      <c r="AD279" s="414" t="s">
        <v>804</v>
      </c>
      <c r="AE279" s="161"/>
      <c r="AH279" s="705" t="s">
        <v>2097</v>
      </c>
    </row>
    <row r="280" spans="1:38" ht="14.25" customHeight="1">
      <c r="E280" s="460">
        <v>15</v>
      </c>
      <c r="F280" s="3" t="str" cm="1">
        <f t="array" aca="1" ref="F280" ca="1">OFFSET(E280,-1,1)</f>
        <v>2</v>
      </c>
      <c r="H280" s="41" t="s">
        <v>917</v>
      </c>
      <c r="T280" s="365" t="b" cm="1">
        <f t="array" aca="1" ref="T280" ca="1">T279</f>
        <v>1</v>
      </c>
      <c r="X280" s="1094"/>
      <c r="Z280" s="1095"/>
      <c r="AB280" s="527" t="s">
        <v>920</v>
      </c>
      <c r="AC280" s="415" t="s">
        <v>1019</v>
      </c>
      <c r="AD280" s="414" t="s">
        <v>804</v>
      </c>
      <c r="AE280" s="161"/>
      <c r="AH280" s="705" t="s">
        <v>1227</v>
      </c>
    </row>
    <row r="281" spans="1:38" ht="14.25" customHeight="1">
      <c r="E281" s="460">
        <v>15</v>
      </c>
      <c r="F281" s="3" t="str" cm="1">
        <f t="array" aca="1" ref="F281" ca="1">OFFSET(E281,-1,1)</f>
        <v>2</v>
      </c>
      <c r="H281" s="41" t="s">
        <v>2100</v>
      </c>
      <c r="T281" s="365" t="b" cm="1">
        <f t="array" aca="1" ref="T281" ca="1">T280</f>
        <v>1</v>
      </c>
      <c r="X281" s="1094"/>
      <c r="Z281" s="1095"/>
      <c r="AB281" s="527" t="s">
        <v>923</v>
      </c>
      <c r="AC281" s="413" t="s">
        <v>1464</v>
      </c>
      <c r="AD281" s="414" t="s">
        <v>804</v>
      </c>
      <c r="AE281" s="161"/>
      <c r="AH281" s="712" t="s">
        <v>1838</v>
      </c>
    </row>
    <row r="282" spans="1:38" ht="14.25" customHeight="1">
      <c r="E282" s="460">
        <v>15</v>
      </c>
      <c r="F282" s="3" t="str" cm="1">
        <f t="array" aca="1" ref="F282" ca="1">OFFSET(E282,-1,1)</f>
        <v>2</v>
      </c>
      <c r="H282" s="41" t="s">
        <v>2108</v>
      </c>
      <c r="T282" s="365" t="b" cm="1">
        <f t="array" aca="1" ref="T282" ca="1">T281</f>
        <v>1</v>
      </c>
      <c r="X282" s="1094"/>
      <c r="Z282" s="1095"/>
      <c r="AB282" s="527" t="s">
        <v>1512</v>
      </c>
      <c r="AC282" s="413" t="s">
        <v>1474</v>
      </c>
      <c r="AD282" s="414" t="s">
        <v>804</v>
      </c>
      <c r="AE282" s="418">
        <f>AE283+AE284</f>
        <v>0</v>
      </c>
      <c r="AH282" s="705" t="s">
        <v>2113</v>
      </c>
    </row>
    <row r="283" spans="1:38" ht="14.25" customHeight="1">
      <c r="E283" s="460">
        <v>15</v>
      </c>
      <c r="F283" s="3" t="str" cm="1">
        <f t="array" aca="1" ref="F283" ca="1">OFFSET(E283,-1,1)</f>
        <v>2</v>
      </c>
      <c r="H283" s="41" t="s">
        <v>2439</v>
      </c>
      <c r="T283" s="365" t="b" cm="1">
        <f t="array" aca="1" ref="T283" ca="1">T282</f>
        <v>1</v>
      </c>
      <c r="X283" s="1094"/>
      <c r="Z283" s="1095"/>
      <c r="AB283" s="527" t="s">
        <v>2104</v>
      </c>
      <c r="AC283" s="415" t="s">
        <v>2440</v>
      </c>
      <c r="AD283" s="414" t="s">
        <v>804</v>
      </c>
      <c r="AE283" s="161"/>
      <c r="AH283" s="705" t="s">
        <v>1262</v>
      </c>
    </row>
    <row r="284" spans="1:38" ht="21.75" customHeight="1">
      <c r="E284" s="460">
        <v>22.5</v>
      </c>
      <c r="F284" s="3" t="str" cm="1">
        <f t="array" aca="1" ref="F284" ca="1">OFFSET(E284,-1,1)</f>
        <v>2</v>
      </c>
      <c r="H284" s="41" t="s">
        <v>2441</v>
      </c>
      <c r="T284" s="365" t="b" cm="1">
        <f t="array" aca="1" ref="T284" ca="1">T283</f>
        <v>1</v>
      </c>
      <c r="X284" s="1094"/>
      <c r="Z284" s="1095"/>
      <c r="AB284" s="527" t="s">
        <v>2442</v>
      </c>
      <c r="AC284" s="415" t="s">
        <v>2443</v>
      </c>
      <c r="AD284" s="414" t="s">
        <v>804</v>
      </c>
      <c r="AE284" s="161"/>
      <c r="AH284" s="705" t="s">
        <v>2120</v>
      </c>
    </row>
    <row r="285" spans="1:38" ht="76.5" customHeight="1">
      <c r="E285" s="460">
        <v>78.75</v>
      </c>
      <c r="F285" s="3" t="str" cm="1">
        <f t="array" aca="1" ref="F285" ca="1">OFFSET(E285,-1,1)</f>
        <v>2</v>
      </c>
      <c r="H285" s="41" t="s">
        <v>2112</v>
      </c>
      <c r="T285" s="365" t="b" cm="1">
        <f t="array" aca="1" ref="T285" ca="1">T284</f>
        <v>1</v>
      </c>
      <c r="X285" s="1094"/>
      <c r="Z285" s="1095"/>
      <c r="AB285" s="527" t="s">
        <v>1517</v>
      </c>
      <c r="AC285" s="421" t="s">
        <v>1448</v>
      </c>
      <c r="AD285" s="414" t="s">
        <v>804</v>
      </c>
      <c r="AE285" s="161"/>
      <c r="AH285" s="705" t="s">
        <v>2098</v>
      </c>
    </row>
    <row r="286" spans="1:38" s="23" customFormat="1" ht="14.25" customHeight="1">
      <c r="A286" s="498"/>
      <c r="B286" s="41"/>
      <c r="C286" s="41"/>
      <c r="D286" s="41"/>
      <c r="E286" s="460">
        <v>15</v>
      </c>
      <c r="F286" s="280" t="str" cm="1">
        <f t="array" aca="1" ref="F286" ca="1">OFFSET(E286,-1,1)</f>
        <v>2</v>
      </c>
      <c r="G286" s="41"/>
      <c r="H286" s="41"/>
      <c r="I286" s="41"/>
      <c r="J286" s="41"/>
      <c r="K286" s="41"/>
      <c r="L286" s="41"/>
      <c r="M286" s="41"/>
      <c r="N286" s="41"/>
      <c r="O286" s="41"/>
      <c r="P286" s="41"/>
      <c r="Q286" s="41"/>
      <c r="R286" s="41"/>
      <c r="S286" s="41"/>
      <c r="T286" s="365" t="b" cm="1">
        <f t="array" aca="1" ref="T286" ca="1">T285</f>
        <v>1</v>
      </c>
      <c r="U286" s="41"/>
      <c r="V286" s="41"/>
      <c r="W286" s="41"/>
      <c r="X286" s="1094"/>
      <c r="Y286" s="41"/>
      <c r="Z286" s="1095"/>
      <c r="AA286" s="41"/>
      <c r="AB286" s="527" t="s">
        <v>2109</v>
      </c>
      <c r="AC286" s="421" t="s">
        <v>999</v>
      </c>
      <c r="AD286" s="414" t="s">
        <v>804</v>
      </c>
      <c r="AE286" s="161"/>
      <c r="AF286" s="327"/>
      <c r="AG286" s="327"/>
      <c r="AH286" s="705" t="s">
        <v>1001</v>
      </c>
      <c r="AI286" s="664"/>
      <c r="AJ286" s="664"/>
      <c r="AK286" s="491"/>
      <c r="AL286" s="491"/>
    </row>
    <row r="287" spans="1:38" s="23" customFormat="1" ht="14.25" customHeight="1">
      <c r="A287" s="498"/>
      <c r="B287" s="41"/>
      <c r="C287" s="41"/>
      <c r="D287" s="41"/>
      <c r="E287" s="460">
        <v>15</v>
      </c>
      <c r="F287" s="280" t="str" cm="1">
        <f t="array" aca="1" ref="F287" ca="1">OFFSET(E287,-1,1)</f>
        <v>2</v>
      </c>
      <c r="G287" s="41"/>
      <c r="H287" s="41"/>
      <c r="I287" s="41"/>
      <c r="J287" s="41"/>
      <c r="K287" s="41"/>
      <c r="L287" s="41"/>
      <c r="M287" s="41"/>
      <c r="N287" s="41"/>
      <c r="O287" s="41"/>
      <c r="P287" s="41"/>
      <c r="Q287" s="41"/>
      <c r="R287" s="41"/>
      <c r="S287" s="41"/>
      <c r="T287" s="365" t="b" cm="1">
        <f t="array" aca="1" ref="T287" ca="1">T286</f>
        <v>1</v>
      </c>
      <c r="U287" s="41"/>
      <c r="V287" s="41"/>
      <c r="W287" s="41"/>
      <c r="X287" s="1094"/>
      <c r="Y287" s="41"/>
      <c r="Z287" s="1095"/>
      <c r="AA287" s="41"/>
      <c r="AB287" s="527" t="s">
        <v>1536</v>
      </c>
      <c r="AC287" s="421" t="s">
        <v>1459</v>
      </c>
      <c r="AD287" s="414" t="s">
        <v>804</v>
      </c>
      <c r="AE287" s="161"/>
      <c r="AF287" s="327"/>
      <c r="AG287" s="327"/>
      <c r="AH287" s="705" t="s">
        <v>2444</v>
      </c>
      <c r="AI287" s="664"/>
      <c r="AJ287" s="664"/>
      <c r="AK287" s="491"/>
      <c r="AL287" s="491"/>
    </row>
    <row r="288" spans="1:38" ht="14.25" customHeight="1">
      <c r="E288" s="460">
        <v>15</v>
      </c>
      <c r="F288" s="3" t="str" cm="1">
        <f t="array" aca="1" ref="F288" ca="1">OFFSET(E288,-1,1)</f>
        <v>2</v>
      </c>
      <c r="H288" s="41" t="s">
        <v>2445</v>
      </c>
      <c r="T288" s="365" t="b" cm="1">
        <f t="array" aca="1" ref="T288" ca="1">T285</f>
        <v>1</v>
      </c>
      <c r="X288" s="1094"/>
      <c r="Z288" s="1095"/>
      <c r="AB288" s="527" t="s">
        <v>1540</v>
      </c>
      <c r="AC288" s="413" t="s">
        <v>2446</v>
      </c>
      <c r="AD288" s="414" t="s">
        <v>804</v>
      </c>
      <c r="AE288" s="161"/>
      <c r="AH288" s="664" t="s">
        <v>2447</v>
      </c>
    </row>
    <row r="289" spans="1:42" s="23" customFormat="1" ht="31.5" customHeight="1">
      <c r="A289" s="498"/>
      <c r="B289" s="41"/>
      <c r="C289" s="41"/>
      <c r="D289" s="41"/>
      <c r="E289" s="460">
        <v>33</v>
      </c>
      <c r="F289" s="280" t="str" cm="1">
        <f t="array" aca="1" ref="F289" ca="1">OFFSET(E289,-1,1)</f>
        <v>2</v>
      </c>
      <c r="G289" s="41"/>
      <c r="H289" s="41"/>
      <c r="I289" s="41"/>
      <c r="J289" s="41"/>
      <c r="K289" s="41"/>
      <c r="L289" s="41"/>
      <c r="M289" s="41"/>
      <c r="N289" s="41"/>
      <c r="O289" s="41"/>
      <c r="P289" s="41"/>
      <c r="Q289" s="41"/>
      <c r="R289" s="41"/>
      <c r="S289" s="41"/>
      <c r="T289" s="365" t="b" cm="1">
        <f t="array" aca="1" ref="T289" ca="1">T288</f>
        <v>1</v>
      </c>
      <c r="U289" s="41"/>
      <c r="V289" s="41"/>
      <c r="W289" s="41"/>
      <c r="X289" s="1094"/>
      <c r="Y289" s="41"/>
      <c r="Z289" s="1095"/>
      <c r="AA289" s="41"/>
      <c r="AB289" s="527" t="s">
        <v>1543</v>
      </c>
      <c r="AC289" s="413" t="s">
        <v>2122</v>
      </c>
      <c r="AD289" s="414" t="s">
        <v>804</v>
      </c>
      <c r="AE289" s="161"/>
      <c r="AF289" s="327"/>
      <c r="AG289" s="327"/>
      <c r="AH289" s="664" t="s">
        <v>2448</v>
      </c>
      <c r="AI289" s="664"/>
      <c r="AJ289" s="664"/>
      <c r="AK289" s="491"/>
      <c r="AL289" s="491"/>
    </row>
    <row r="290" spans="1:42" ht="14.25" customHeight="1">
      <c r="E290" s="460">
        <v>15</v>
      </c>
      <c r="F290" s="3" t="str" cm="1">
        <f t="array" aca="1" ref="F290" ca="1">OFFSET(E290,-1,1)</f>
        <v>2</v>
      </c>
      <c r="H290" s="41" t="s">
        <v>2449</v>
      </c>
      <c r="T290" s="365" t="b" cm="1">
        <f t="array" aca="1" ref="T290" ca="1">T288</f>
        <v>1</v>
      </c>
      <c r="X290" s="1094"/>
      <c r="Z290" s="1095"/>
      <c r="AB290" s="527" t="s">
        <v>2450</v>
      </c>
      <c r="AC290" s="413" t="s">
        <v>2451</v>
      </c>
      <c r="AD290" s="414" t="s">
        <v>804</v>
      </c>
      <c r="AE290" s="418">
        <f>SUM(AE291:AE292)</f>
        <v>0</v>
      </c>
      <c r="AH290" s="664" t="s">
        <v>2452</v>
      </c>
    </row>
    <row r="291" spans="1:42" ht="14.25" hidden="1" customHeight="1">
      <c r="E291" s="460">
        <v>15</v>
      </c>
      <c r="F291" s="3" t="str" cm="1">
        <f t="array" aca="1" ref="F291" ca="1">OFFSET(E291,-1,1)</f>
        <v>2</v>
      </c>
      <c r="H291" s="41" t="s">
        <v>2449</v>
      </c>
      <c r="I291" s="422" cm="1">
        <f t="array" ref="I291">AC291</f>
        <v>0</v>
      </c>
      <c r="T291" s="365" t="b">
        <f ca="1">AND(F291&gt;0,Y291&gt;0)</f>
        <v>0</v>
      </c>
      <c r="W291" s="36" t="s">
        <v>173</v>
      </c>
      <c r="X291" s="1094"/>
      <c r="Y291" s="41">
        <v>0</v>
      </c>
      <c r="Z291" s="1095"/>
      <c r="AA291" s="493" t="s">
        <v>174</v>
      </c>
      <c r="AB291" s="527" t="str">
        <f>"2.12."&amp;Y291</f>
        <v>2.12.0</v>
      </c>
      <c r="AC291" s="975"/>
      <c r="AD291" s="414" t="s">
        <v>804</v>
      </c>
      <c r="AE291" s="929"/>
      <c r="AH291" s="664" t="s">
        <v>2452</v>
      </c>
      <c r="AI291" s="664" t="s">
        <v>2453</v>
      </c>
      <c r="AJ291" s="670" cm="1">
        <f t="array" ref="AJ291">AC291</f>
        <v>0</v>
      </c>
      <c r="AL291" s="491" t="b">
        <v>1</v>
      </c>
    </row>
    <row r="292" spans="1:42" ht="14.25" customHeight="1">
      <c r="E292" s="460">
        <v>15</v>
      </c>
      <c r="F292" s="3" t="str" cm="1">
        <f t="array" aca="1" ref="F292" ca="1">OFFSET(E292,-1,1)</f>
        <v>2</v>
      </c>
      <c r="I292" s="91" t="str">
        <f>"!== 'не определено' &amp;&amp; row.l2_13 !== null"</f>
        <v>!== 'не определено' &amp;&amp; row.l2_13 !== null</v>
      </c>
      <c r="T292" s="365" t="b">
        <f ca="1">F292&gt;0</f>
        <v>1</v>
      </c>
      <c r="W292" s="517" t="s">
        <v>884</v>
      </c>
      <c r="X292" s="1094"/>
      <c r="Z292" s="1095"/>
      <c r="AB292" s="792"/>
      <c r="AC292" s="793" t="s">
        <v>177</v>
      </c>
      <c r="AD292" s="794"/>
      <c r="AE292" s="804"/>
      <c r="AK292" s="491" t="s">
        <v>2453</v>
      </c>
    </row>
    <row r="293" spans="1:42" ht="14.25" customHeight="1">
      <c r="E293" s="460">
        <v>15</v>
      </c>
      <c r="F293" s="3" t="str" cm="1">
        <f t="array" aca="1" ref="F293" ca="1">OFFSET(E293,-1,1)</f>
        <v>2</v>
      </c>
      <c r="G293" s="41" t="s">
        <v>51</v>
      </c>
      <c r="H293" s="41" t="s">
        <v>329</v>
      </c>
      <c r="T293" s="365" t="b" cm="1">
        <f t="array" aca="1" ref="T293" ca="1">T292</f>
        <v>1</v>
      </c>
      <c r="X293" s="1094"/>
      <c r="Z293" s="1095"/>
      <c r="AB293" s="526" t="s">
        <v>325</v>
      </c>
      <c r="AC293" s="411" t="s">
        <v>2125</v>
      </c>
      <c r="AD293" s="412" t="s">
        <v>804</v>
      </c>
      <c r="AE293" s="805"/>
      <c r="AH293" s="664" t="s">
        <v>1733</v>
      </c>
    </row>
    <row r="294" spans="1:42" ht="10.9" customHeight="1">
      <c r="E294" s="460">
        <v>11.25</v>
      </c>
      <c r="U294" s="41" t="s">
        <v>177</v>
      </c>
      <c r="V294" s="524" t="s">
        <v>2454</v>
      </c>
      <c r="AB294" s="796"/>
      <c r="AC294" s="797"/>
      <c r="AD294" s="33"/>
      <c r="AE294" s="806"/>
    </row>
    <row r="295" spans="1:42" s="36" customFormat="1" ht="14.65" customHeight="1">
      <c r="A295" s="384"/>
      <c r="E295" s="473">
        <v>15</v>
      </c>
      <c r="F295" s="78"/>
      <c r="G295" s="78"/>
      <c r="AB295" s="1088" t="s">
        <v>398</v>
      </c>
      <c r="AC295" s="1088"/>
      <c r="AD295" s="1088"/>
      <c r="AE295" s="1096"/>
      <c r="AF295" s="327"/>
      <c r="AG295" s="327"/>
      <c r="AH295" s="664"/>
      <c r="AI295" s="664"/>
      <c r="AJ295" s="664"/>
      <c r="AK295" s="491"/>
      <c r="AL295" s="491"/>
      <c r="AM295" s="23"/>
      <c r="AN295" s="23"/>
      <c r="AO295" s="23"/>
      <c r="AP295" s="23"/>
    </row>
    <row r="296" spans="1:42" s="36" customFormat="1" ht="14.65" customHeight="1">
      <c r="A296" s="384"/>
      <c r="E296" s="473">
        <v>15</v>
      </c>
      <c r="F296" s="78"/>
      <c r="G296" s="78"/>
      <c r="AB296" s="1097"/>
      <c r="AC296" s="1097"/>
      <c r="AD296" s="1097"/>
      <c r="AE296" s="1098"/>
      <c r="AF296" s="327"/>
      <c r="AG296" s="327"/>
      <c r="AH296" s="664"/>
      <c r="AI296" s="664"/>
      <c r="AJ296" s="664"/>
      <c r="AK296" s="491"/>
      <c r="AL296" s="491"/>
      <c r="AM296" s="23"/>
      <c r="AN296" s="23"/>
      <c r="AO296" s="23"/>
      <c r="AP296" s="23"/>
    </row>
    <row r="297" spans="1:42" s="36" customFormat="1" ht="14.65" hidden="1" customHeight="1">
      <c r="A297" s="384"/>
      <c r="E297" s="472">
        <v>15</v>
      </c>
      <c r="T297" s="365" t="b">
        <f>ROW(W297)&gt;ROW(W$297)</f>
        <v>0</v>
      </c>
      <c r="W297" s="36" t="s">
        <v>173</v>
      </c>
      <c r="AA297" s="493" t="s">
        <v>174</v>
      </c>
      <c r="AB297" s="1113"/>
      <c r="AC297" s="1114"/>
      <c r="AD297" s="1114"/>
      <c r="AE297" s="1116"/>
      <c r="AF297" s="327"/>
      <c r="AG297" s="327"/>
      <c r="AH297" s="664"/>
      <c r="AI297" s="664"/>
      <c r="AJ297" s="664"/>
      <c r="AK297" s="491"/>
      <c r="AL297" s="491"/>
      <c r="AM297" s="23"/>
      <c r="AN297" s="23"/>
      <c r="AO297" s="23"/>
      <c r="AP297" s="23"/>
    </row>
    <row r="298" spans="1:42" s="36" customFormat="1" ht="14.65" customHeight="1">
      <c r="A298" s="384"/>
      <c r="E298" s="472">
        <v>15</v>
      </c>
      <c r="W298" s="517" t="s">
        <v>399</v>
      </c>
      <c r="AB298" s="485"/>
      <c r="AC298" s="394" t="s">
        <v>400</v>
      </c>
      <c r="AD298" s="231"/>
      <c r="AE298" s="233"/>
      <c r="AF298" s="327"/>
      <c r="AG298" s="327"/>
      <c r="AH298" s="664"/>
      <c r="AI298" s="664"/>
      <c r="AJ298" s="664"/>
      <c r="AK298" s="491"/>
      <c r="AL298" s="491"/>
      <c r="AM298" s="23"/>
      <c r="AN298" s="23"/>
      <c r="AO298" s="23"/>
      <c r="AP298" s="23"/>
    </row>
    <row r="299" spans="1:42" ht="10.9" customHeight="1">
      <c r="E299" s="460">
        <v>11.25</v>
      </c>
      <c r="AC299" s="408"/>
    </row>
    <row r="300" spans="1:42" ht="11.25" hidden="1" customHeight="1">
      <c r="A300" s="327"/>
      <c r="B300" s="327"/>
      <c r="C300" s="327"/>
      <c r="D300" s="327"/>
      <c r="E300" s="491"/>
      <c r="F300" s="327"/>
      <c r="G300" s="327"/>
      <c r="H300" s="327"/>
      <c r="I300" s="327"/>
      <c r="J300" s="327"/>
      <c r="K300" s="327"/>
      <c r="L300" s="327"/>
      <c r="M300" s="327"/>
      <c r="N300" s="327"/>
      <c r="O300" s="327"/>
      <c r="P300" s="327"/>
      <c r="Q300" s="327"/>
      <c r="R300" s="327"/>
      <c r="S300" s="327"/>
      <c r="T300" s="327"/>
      <c r="U300" s="327"/>
      <c r="V300" s="327"/>
      <c r="W300" s="327"/>
      <c r="X300" s="327"/>
      <c r="Y300" s="327"/>
      <c r="Z300" s="327"/>
      <c r="AA300" s="327"/>
      <c r="AB300" s="327"/>
    </row>
    <row r="301" spans="1:42" ht="11.25" hidden="1" customHeight="1">
      <c r="A301" s="327"/>
      <c r="B301" s="327"/>
      <c r="C301" s="327"/>
      <c r="D301" s="327"/>
      <c r="E301" s="491"/>
      <c r="F301" s="327"/>
      <c r="G301" s="327"/>
      <c r="H301" s="327"/>
      <c r="I301" s="327"/>
      <c r="J301" s="327"/>
      <c r="K301" s="327"/>
      <c r="L301" s="327"/>
      <c r="M301" s="327"/>
      <c r="N301" s="327"/>
      <c r="O301" s="327"/>
      <c r="P301" s="327"/>
      <c r="Q301" s="327"/>
      <c r="R301" s="327"/>
      <c r="S301" s="327"/>
      <c r="T301" s="327"/>
      <c r="U301" s="327"/>
      <c r="V301" s="327"/>
      <c r="W301" s="327"/>
      <c r="X301" s="327"/>
      <c r="Y301" s="327"/>
      <c r="Z301" s="327"/>
      <c r="AA301" s="327"/>
      <c r="AB301" s="327"/>
    </row>
    <row r="302" spans="1:42" ht="11.25" hidden="1" customHeight="1">
      <c r="A302" s="327"/>
      <c r="B302" s="327"/>
      <c r="C302" s="327"/>
      <c r="D302" s="327"/>
      <c r="E302" s="491"/>
      <c r="F302" s="327"/>
      <c r="G302" s="327"/>
      <c r="H302" s="327"/>
      <c r="I302" s="327"/>
      <c r="J302" s="327"/>
      <c r="K302" s="327"/>
      <c r="L302" s="327"/>
      <c r="M302" s="327"/>
      <c r="N302" s="327"/>
      <c r="O302" s="327"/>
      <c r="P302" s="327"/>
      <c r="Q302" s="327"/>
      <c r="R302" s="327"/>
      <c r="S302" s="327"/>
      <c r="T302" s="327"/>
      <c r="U302" s="327"/>
      <c r="V302" s="327"/>
      <c r="W302" s="327"/>
      <c r="X302" s="327"/>
      <c r="Y302" s="327"/>
      <c r="Z302" s="327"/>
      <c r="AA302" s="327"/>
      <c r="AB302" s="327"/>
    </row>
    <row r="303" spans="1:42" ht="11.25" hidden="1" customHeight="1">
      <c r="A303" s="327"/>
      <c r="B303" s="327"/>
      <c r="C303" s="327"/>
      <c r="D303" s="327"/>
      <c r="E303" s="491"/>
      <c r="F303" s="327"/>
      <c r="G303" s="327"/>
      <c r="H303" s="327"/>
      <c r="I303" s="327"/>
      <c r="J303" s="327"/>
      <c r="K303" s="327"/>
      <c r="L303" s="327"/>
      <c r="M303" s="327"/>
      <c r="N303" s="327"/>
      <c r="O303" s="327"/>
      <c r="P303" s="327"/>
      <c r="Q303" s="327"/>
      <c r="R303" s="327"/>
      <c r="S303" s="327"/>
      <c r="T303" s="327"/>
      <c r="U303" s="327"/>
      <c r="V303" s="327"/>
      <c r="W303" s="327"/>
      <c r="X303" s="327"/>
      <c r="Y303" s="327"/>
      <c r="Z303" s="327"/>
      <c r="AA303" s="327"/>
      <c r="AB303" s="327"/>
    </row>
    <row r="304" spans="1:42" ht="11.25" hidden="1" customHeight="1">
      <c r="A304" s="327"/>
      <c r="B304" s="327"/>
      <c r="C304" s="327"/>
      <c r="D304" s="327"/>
      <c r="E304" s="491"/>
      <c r="F304" s="327"/>
      <c r="G304" s="327"/>
      <c r="H304" s="327"/>
      <c r="I304" s="327"/>
      <c r="J304" s="327"/>
      <c r="K304" s="327"/>
      <c r="L304" s="327"/>
      <c r="M304" s="327"/>
      <c r="N304" s="327"/>
      <c r="O304" s="327"/>
      <c r="P304" s="327"/>
      <c r="Q304" s="327"/>
      <c r="R304" s="327"/>
      <c r="S304" s="327"/>
      <c r="T304" s="327"/>
      <c r="U304" s="327"/>
      <c r="V304" s="327"/>
      <c r="W304" s="327"/>
      <c r="X304" s="327"/>
      <c r="Y304" s="327"/>
      <c r="Z304" s="327"/>
      <c r="AA304" s="327"/>
      <c r="AB304" s="327"/>
    </row>
    <row r="305" spans="1:28" ht="11.25" hidden="1" customHeight="1">
      <c r="A305" s="327"/>
      <c r="B305" s="327"/>
      <c r="C305" s="327"/>
      <c r="D305" s="327"/>
      <c r="E305" s="491"/>
      <c r="F305" s="327"/>
      <c r="G305" s="327"/>
      <c r="H305" s="327"/>
      <c r="I305" s="327"/>
      <c r="J305" s="327"/>
      <c r="K305" s="327"/>
      <c r="L305" s="327"/>
      <c r="M305" s="327"/>
      <c r="N305" s="327"/>
      <c r="O305" s="327"/>
      <c r="P305" s="327"/>
      <c r="Q305" s="327"/>
      <c r="R305" s="327"/>
      <c r="S305" s="327"/>
      <c r="T305" s="327"/>
      <c r="U305" s="327"/>
      <c r="V305" s="327"/>
      <c r="W305" s="327"/>
      <c r="X305" s="327"/>
      <c r="Y305" s="327"/>
      <c r="Z305" s="327"/>
      <c r="AA305" s="327"/>
      <c r="AB305" s="327"/>
    </row>
    <row r="306" spans="1:28" ht="11.25" hidden="1" customHeight="1">
      <c r="A306" s="327"/>
      <c r="B306" s="327"/>
      <c r="C306" s="327"/>
      <c r="D306" s="327"/>
      <c r="E306" s="491"/>
      <c r="F306" s="327"/>
      <c r="G306" s="327"/>
      <c r="H306" s="327"/>
      <c r="I306" s="327"/>
      <c r="J306" s="327"/>
      <c r="K306" s="327"/>
      <c r="L306" s="327"/>
      <c r="M306" s="327"/>
      <c r="N306" s="327"/>
      <c r="O306" s="327"/>
      <c r="P306" s="327"/>
      <c r="Q306" s="327"/>
      <c r="R306" s="327"/>
      <c r="S306" s="327"/>
      <c r="T306" s="327"/>
      <c r="U306" s="327"/>
      <c r="V306" s="327"/>
      <c r="W306" s="327"/>
      <c r="X306" s="327"/>
      <c r="Y306" s="327"/>
      <c r="Z306" s="327"/>
      <c r="AA306" s="327"/>
      <c r="AB306" s="327"/>
    </row>
    <row r="307" spans="1:28" ht="11.25" hidden="1" customHeight="1">
      <c r="A307" s="327"/>
      <c r="B307" s="327"/>
      <c r="C307" s="327"/>
      <c r="D307" s="327"/>
      <c r="E307" s="491"/>
      <c r="F307" s="327"/>
      <c r="G307" s="327"/>
      <c r="H307" s="327"/>
      <c r="I307" s="327"/>
      <c r="J307" s="327"/>
      <c r="K307" s="327"/>
      <c r="L307" s="327"/>
      <c r="M307" s="327"/>
      <c r="N307" s="327"/>
      <c r="O307" s="327"/>
      <c r="P307" s="327"/>
      <c r="Q307" s="327"/>
      <c r="R307" s="327"/>
      <c r="S307" s="327"/>
      <c r="T307" s="327"/>
      <c r="U307" s="327"/>
      <c r="V307" s="327"/>
      <c r="W307" s="327"/>
      <c r="X307" s="327"/>
      <c r="Y307" s="327"/>
      <c r="Z307" s="327"/>
      <c r="AA307" s="327"/>
      <c r="AB307" s="327"/>
    </row>
    <row r="308" spans="1:28" ht="11.25" hidden="1" customHeight="1">
      <c r="A308" s="327"/>
      <c r="B308" s="327"/>
      <c r="C308" s="327"/>
      <c r="D308" s="327"/>
      <c r="E308" s="491"/>
      <c r="F308" s="327"/>
      <c r="G308" s="327"/>
      <c r="H308" s="327"/>
      <c r="I308" s="327"/>
      <c r="J308" s="327"/>
      <c r="K308" s="327"/>
      <c r="L308" s="327"/>
      <c r="M308" s="327"/>
      <c r="N308" s="327"/>
      <c r="O308" s="327"/>
      <c r="P308" s="327"/>
      <c r="Q308" s="327"/>
      <c r="R308" s="327"/>
      <c r="S308" s="327"/>
      <c r="T308" s="327"/>
      <c r="U308" s="327"/>
      <c r="V308" s="327"/>
      <c r="W308" s="327"/>
      <c r="X308" s="327"/>
      <c r="Y308" s="327"/>
      <c r="Z308" s="327"/>
      <c r="AA308" s="327"/>
      <c r="AB308" s="327"/>
    </row>
    <row r="309" spans="1:28" ht="11.25" hidden="1" customHeight="1">
      <c r="A309" s="327"/>
      <c r="B309" s="327"/>
      <c r="C309" s="327"/>
      <c r="D309" s="327"/>
      <c r="E309" s="491"/>
      <c r="F309" s="327"/>
      <c r="G309" s="327"/>
      <c r="H309" s="327"/>
      <c r="I309" s="327"/>
      <c r="J309" s="327"/>
      <c r="K309" s="327"/>
      <c r="L309" s="327"/>
      <c r="M309" s="327"/>
      <c r="N309" s="327"/>
      <c r="O309" s="327"/>
      <c r="P309" s="327"/>
      <c r="Q309" s="327"/>
      <c r="R309" s="327"/>
      <c r="S309" s="327"/>
      <c r="T309" s="327"/>
      <c r="U309" s="327"/>
      <c r="V309" s="327"/>
      <c r="W309" s="327"/>
      <c r="X309" s="327"/>
      <c r="Y309" s="327"/>
      <c r="Z309" s="327"/>
      <c r="AA309" s="327"/>
      <c r="AB309" s="327"/>
    </row>
    <row r="310" spans="1:28" ht="11.25" hidden="1" customHeight="1">
      <c r="A310" s="327"/>
      <c r="B310" s="327"/>
      <c r="C310" s="327"/>
      <c r="D310" s="327"/>
      <c r="E310" s="491"/>
      <c r="F310" s="327"/>
      <c r="G310" s="327"/>
      <c r="H310" s="327"/>
      <c r="I310" s="327"/>
      <c r="J310" s="327"/>
      <c r="K310" s="327"/>
      <c r="L310" s="327"/>
      <c r="M310" s="327"/>
      <c r="N310" s="327"/>
      <c r="O310" s="327"/>
      <c r="P310" s="327"/>
      <c r="Q310" s="327"/>
      <c r="R310" s="327"/>
      <c r="S310" s="327"/>
      <c r="T310" s="327"/>
      <c r="U310" s="327"/>
      <c r="V310" s="327"/>
      <c r="W310" s="327"/>
      <c r="X310" s="327"/>
      <c r="Y310" s="327"/>
      <c r="Z310" s="327"/>
      <c r="AA310" s="327"/>
      <c r="AB310" s="327"/>
    </row>
    <row r="311" spans="1:28" ht="11.25" hidden="1" customHeight="1">
      <c r="A311" s="327"/>
      <c r="B311" s="327"/>
      <c r="C311" s="327"/>
      <c r="D311" s="327"/>
      <c r="E311" s="491"/>
      <c r="F311" s="327"/>
      <c r="G311" s="327"/>
      <c r="H311" s="327"/>
      <c r="I311" s="327"/>
      <c r="J311" s="327"/>
      <c r="K311" s="327"/>
      <c r="L311" s="327"/>
      <c r="M311" s="327"/>
      <c r="N311" s="327"/>
      <c r="O311" s="327"/>
      <c r="P311" s="327"/>
      <c r="Q311" s="327"/>
      <c r="R311" s="327"/>
      <c r="S311" s="327"/>
      <c r="T311" s="327"/>
      <c r="U311" s="327"/>
      <c r="V311" s="327"/>
      <c r="W311" s="327"/>
      <c r="X311" s="327"/>
      <c r="Y311" s="327"/>
      <c r="Z311" s="327"/>
      <c r="AA311" s="327"/>
      <c r="AB311" s="327"/>
    </row>
    <row r="312" spans="1:28" ht="11.25" hidden="1" customHeight="1">
      <c r="A312" s="327"/>
      <c r="B312" s="327"/>
      <c r="C312" s="327"/>
      <c r="D312" s="327"/>
      <c r="E312" s="491"/>
      <c r="F312" s="327"/>
      <c r="G312" s="327"/>
      <c r="H312" s="327"/>
      <c r="I312" s="327"/>
      <c r="J312" s="327"/>
      <c r="K312" s="327"/>
      <c r="L312" s="327"/>
      <c r="M312" s="327"/>
      <c r="N312" s="327"/>
      <c r="O312" s="327"/>
      <c r="P312" s="327"/>
      <c r="Q312" s="327"/>
      <c r="R312" s="327"/>
      <c r="S312" s="327"/>
      <c r="T312" s="327"/>
      <c r="U312" s="327"/>
      <c r="V312" s="327"/>
      <c r="W312" s="327"/>
      <c r="X312" s="327"/>
      <c r="Y312" s="327"/>
      <c r="Z312" s="327"/>
      <c r="AA312" s="327"/>
      <c r="AB312" s="327"/>
    </row>
    <row r="313" spans="1:28" ht="11.25" hidden="1" customHeight="1">
      <c r="A313" s="327"/>
      <c r="B313" s="327"/>
      <c r="C313" s="327"/>
      <c r="D313" s="327"/>
      <c r="E313" s="491"/>
      <c r="F313" s="327"/>
      <c r="G313" s="327"/>
      <c r="H313" s="327"/>
      <c r="I313" s="327"/>
      <c r="J313" s="327"/>
      <c r="K313" s="327"/>
      <c r="L313" s="327"/>
      <c r="M313" s="327"/>
      <c r="N313" s="327"/>
      <c r="O313" s="327"/>
      <c r="P313" s="327"/>
      <c r="Q313" s="327"/>
      <c r="R313" s="327"/>
      <c r="S313" s="327"/>
      <c r="T313" s="327"/>
      <c r="U313" s="327"/>
      <c r="V313" s="327"/>
      <c r="W313" s="327"/>
      <c r="X313" s="327"/>
      <c r="Y313" s="327"/>
      <c r="Z313" s="327"/>
      <c r="AA313" s="327"/>
      <c r="AB313" s="327"/>
    </row>
    <row r="314" spans="1:28" ht="11.25" hidden="1" customHeight="1">
      <c r="A314" s="327"/>
      <c r="B314" s="327"/>
      <c r="C314" s="327"/>
      <c r="D314" s="327"/>
      <c r="E314" s="491"/>
      <c r="F314" s="327"/>
      <c r="G314" s="327"/>
      <c r="H314" s="327"/>
      <c r="I314" s="327"/>
      <c r="J314" s="327"/>
      <c r="K314" s="327"/>
      <c r="L314" s="327"/>
      <c r="M314" s="327"/>
      <c r="N314" s="327"/>
      <c r="O314" s="327"/>
      <c r="P314" s="327"/>
      <c r="Q314" s="327"/>
      <c r="R314" s="327"/>
      <c r="S314" s="327"/>
      <c r="T314" s="327"/>
      <c r="U314" s="327"/>
      <c r="V314" s="327"/>
      <c r="W314" s="327"/>
      <c r="X314" s="327"/>
      <c r="Y314" s="327"/>
      <c r="Z314" s="327"/>
      <c r="AA314" s="327"/>
      <c r="AB314" s="327"/>
    </row>
    <row r="315" spans="1:28" ht="11.25" hidden="1" customHeight="1">
      <c r="A315" s="327"/>
      <c r="B315" s="327"/>
      <c r="C315" s="327"/>
      <c r="D315" s="327"/>
      <c r="E315" s="491"/>
      <c r="F315" s="327"/>
      <c r="G315" s="327"/>
      <c r="H315" s="327"/>
      <c r="I315" s="327"/>
      <c r="J315" s="327"/>
      <c r="K315" s="327"/>
      <c r="L315" s="327"/>
      <c r="M315" s="327"/>
      <c r="N315" s="327"/>
      <c r="O315" s="327"/>
      <c r="P315" s="327"/>
      <c r="Q315" s="327"/>
      <c r="R315" s="327"/>
      <c r="S315" s="327"/>
      <c r="T315" s="327"/>
      <c r="U315" s="327"/>
      <c r="V315" s="327"/>
      <c r="W315" s="327"/>
      <c r="X315" s="327"/>
      <c r="Y315" s="327"/>
      <c r="Z315" s="327"/>
      <c r="AA315" s="327"/>
      <c r="AB315" s="327"/>
    </row>
    <row r="316" spans="1:28" ht="11.25" hidden="1" customHeight="1">
      <c r="A316" s="327"/>
      <c r="B316" s="327"/>
      <c r="C316" s="327"/>
      <c r="D316" s="327"/>
      <c r="E316" s="491"/>
      <c r="F316" s="327"/>
      <c r="G316" s="327"/>
      <c r="H316" s="327"/>
      <c r="I316" s="327"/>
      <c r="J316" s="327"/>
      <c r="K316" s="327"/>
      <c r="L316" s="327"/>
      <c r="M316" s="327"/>
      <c r="N316" s="327"/>
      <c r="O316" s="327"/>
      <c r="P316" s="327"/>
      <c r="Q316" s="327"/>
      <c r="R316" s="327"/>
      <c r="S316" s="327"/>
      <c r="T316" s="327"/>
      <c r="U316" s="327"/>
      <c r="V316" s="327"/>
      <c r="W316" s="327"/>
      <c r="X316" s="327"/>
      <c r="Y316" s="327"/>
      <c r="Z316" s="327"/>
      <c r="AA316" s="327"/>
      <c r="AB316" s="327"/>
    </row>
    <row r="317" spans="1:28" ht="11.25" hidden="1" customHeight="1">
      <c r="A317" s="327"/>
      <c r="B317" s="327"/>
      <c r="C317" s="327"/>
      <c r="D317" s="327"/>
      <c r="E317" s="491"/>
      <c r="F317" s="327"/>
      <c r="G317" s="327"/>
      <c r="H317" s="327"/>
      <c r="I317" s="327"/>
      <c r="J317" s="327"/>
      <c r="K317" s="327"/>
      <c r="L317" s="327"/>
      <c r="M317" s="327"/>
      <c r="N317" s="327"/>
      <c r="O317" s="327"/>
      <c r="P317" s="327"/>
      <c r="Q317" s="327"/>
      <c r="R317" s="327"/>
      <c r="S317" s="327"/>
      <c r="T317" s="327"/>
      <c r="U317" s="327"/>
      <c r="V317" s="327"/>
      <c r="W317" s="327"/>
      <c r="X317" s="327"/>
      <c r="Y317" s="327"/>
      <c r="Z317" s="327"/>
      <c r="AA317" s="327"/>
      <c r="AB317" s="327"/>
    </row>
    <row r="318" spans="1:28" ht="11.25" hidden="1" customHeight="1">
      <c r="A318" s="327"/>
      <c r="B318" s="327"/>
      <c r="C318" s="327"/>
      <c r="D318" s="327"/>
      <c r="E318" s="491"/>
      <c r="F318" s="327"/>
      <c r="G318" s="327"/>
      <c r="H318" s="327"/>
      <c r="I318" s="327"/>
      <c r="J318" s="327"/>
      <c r="K318" s="327"/>
      <c r="L318" s="327"/>
      <c r="M318" s="327"/>
      <c r="N318" s="327"/>
      <c r="O318" s="327"/>
      <c r="P318" s="327"/>
      <c r="Q318" s="327"/>
      <c r="R318" s="327"/>
      <c r="S318" s="327"/>
      <c r="T318" s="327"/>
      <c r="U318" s="327"/>
      <c r="V318" s="327"/>
      <c r="W318" s="327"/>
      <c r="X318" s="327"/>
      <c r="Y318" s="327"/>
      <c r="Z318" s="327"/>
      <c r="AA318" s="327"/>
      <c r="AB318" s="327"/>
    </row>
  </sheetData>
  <sheetProtection formatColumns="0" formatRows="0" insertRows="0" deleteColumns="0" deleteRows="0" sort="0" autoFilter="0"/>
  <mergeCells count="14">
    <mergeCell ref="AB22:AE22"/>
    <mergeCell ref="AB296:AE296"/>
    <mergeCell ref="AB297:AE297"/>
    <mergeCell ref="X27:X115"/>
    <mergeCell ref="Z27:Z115"/>
    <mergeCell ref="AB23:AE23"/>
    <mergeCell ref="AB24:AB25"/>
    <mergeCell ref="AC24:AC25"/>
    <mergeCell ref="AD24:AD25"/>
    <mergeCell ref="AB295:AE295"/>
    <mergeCell ref="X116:X204"/>
    <mergeCell ref="Z116:Z204"/>
    <mergeCell ref="X205:X293"/>
    <mergeCell ref="Z205:Z293"/>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631ED-3E2D-5878-F7F8-BF70C1748A48}">
  <sheetPr>
    <tabColor rgb="FF92D050"/>
    <outlinePr summaryBelow="0" summaryRight="0"/>
    <pageSetUpPr fitToPage="1"/>
  </sheetPr>
  <dimension ref="A1:AI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cols>
    <col min="1" max="4" width="2.7109375" style="41" hidden="1" customWidth="1"/>
    <col min="5" max="5" width="4.5703125" style="460" hidden="1" customWidth="1"/>
    <col min="6" max="6" width="2.7109375" style="41" hidden="1" customWidth="1"/>
    <col min="7" max="7" width="13.28515625" style="41" hidden="1" customWidth="1"/>
    <col min="8" max="19" width="2.7109375" style="41" hidden="1" customWidth="1"/>
    <col min="20" max="20" width="8.5703125" style="41" hidden="1" customWidth="1"/>
    <col min="21" max="26" width="2.7109375" style="41" hidden="1" customWidth="1"/>
    <col min="27" max="27" width="3" style="41" customWidth="1"/>
    <col min="28" max="28" width="11" style="41" customWidth="1"/>
    <col min="29" max="29" width="57" style="41" customWidth="1"/>
    <col min="30" max="30" width="14.5703125" style="63" customWidth="1"/>
    <col min="31" max="32" width="12.5703125" style="63" customWidth="1"/>
    <col min="33" max="33" width="3" style="41" customWidth="1"/>
    <col min="34" max="34" width="8.7109375" style="41" hidden="1"/>
    <col min="35" max="35" width="8.7109375" style="667" hidden="1"/>
  </cols>
  <sheetData>
    <row r="1" spans="1:35" ht="11.25" hidden="1" customHeight="1">
      <c r="E1" s="41"/>
      <c r="F1" s="41" t="s">
        <v>315</v>
      </c>
      <c r="H1" s="41" t="s">
        <v>326</v>
      </c>
      <c r="T1" s="365" t="s">
        <v>93</v>
      </c>
      <c r="U1" s="365" t="s">
        <v>98</v>
      </c>
      <c r="V1" s="365" t="s">
        <v>94</v>
      </c>
      <c r="W1" s="365" t="s">
        <v>95</v>
      </c>
      <c r="X1" s="365" t="s">
        <v>96</v>
      </c>
      <c r="Y1" s="367" t="s">
        <v>317</v>
      </c>
      <c r="Z1" s="365" t="s">
        <v>100</v>
      </c>
      <c r="AA1" s="367" t="s">
        <v>97</v>
      </c>
      <c r="AC1" s="367" t="s">
        <v>99</v>
      </c>
      <c r="AI1" s="667" t="s">
        <v>318</v>
      </c>
    </row>
    <row r="2" spans="1:35" ht="11.25" hidden="1" customHeight="1">
      <c r="B2" s="353" t="s">
        <v>19</v>
      </c>
      <c r="E2" s="41"/>
      <c r="AE2" s="63" t="b" cm="1">
        <f t="array" ref="AE2">isOrgDeclare</f>
        <v>1</v>
      </c>
    </row>
    <row r="3" spans="1:35" ht="11.25" hidden="1" customHeight="1">
      <c r="E3" s="41"/>
    </row>
    <row r="4" spans="1:35" ht="11.25" hidden="1" customHeight="1">
      <c r="E4" s="41"/>
    </row>
    <row r="5" spans="1:35" s="460" customFormat="1" ht="11.25" hidden="1" customHeight="1">
      <c r="A5" s="41"/>
      <c r="B5" s="41"/>
      <c r="C5" s="41"/>
      <c r="D5" s="41"/>
      <c r="E5" s="460" t="s">
        <v>20</v>
      </c>
      <c r="AA5" s="460">
        <v>3</v>
      </c>
      <c r="AB5" s="460">
        <v>11</v>
      </c>
      <c r="AC5" s="460">
        <v>57</v>
      </c>
      <c r="AD5" s="486">
        <v>14.57</v>
      </c>
      <c r="AE5" s="486">
        <v>12.57</v>
      </c>
      <c r="AF5" s="486">
        <v>12.57</v>
      </c>
      <c r="AG5" s="460">
        <v>3</v>
      </c>
      <c r="AI5" s="667"/>
    </row>
    <row r="6" spans="1:35" ht="11.25" hidden="1" customHeight="1">
      <c r="A6" s="41" t="s">
        <v>353</v>
      </c>
      <c r="AE6" s="36" cm="1">
        <f t="array" ref="AE6">god</f>
        <v>2026</v>
      </c>
      <c r="AF6" s="36" cm="1">
        <f t="array" ref="AF6">god</f>
        <v>2026</v>
      </c>
    </row>
    <row r="7" spans="1:35" ht="11.25" hidden="1" customHeight="1">
      <c r="A7" s="41" t="s">
        <v>354</v>
      </c>
      <c r="AE7" s="36" t="str" cm="1">
        <f t="array" ref="AE7">AE25</f>
        <v>Предложение организации</v>
      </c>
      <c r="AF7" s="36" t="str" cm="1">
        <f t="array" ref="AF7">AF25</f>
        <v>Принято органом регулирования</v>
      </c>
    </row>
    <row r="8" spans="1:35" ht="11.25" hidden="1" customHeight="1">
      <c r="AE8" s="36"/>
      <c r="AF8" s="36"/>
    </row>
    <row r="9" spans="1:35" s="667" customFormat="1" ht="11.25" hidden="1" customHeight="1">
      <c r="A9" s="667" t="s">
        <v>359</v>
      </c>
      <c r="AD9" s="684"/>
      <c r="AE9" s="680" t="str" cm="1">
        <f t="array" ref="AE9">AE25</f>
        <v>Предложение организации</v>
      </c>
      <c r="AF9" s="680" t="str" cm="1">
        <f t="array" ref="AF9">AF25</f>
        <v>Принято органом регулирования</v>
      </c>
    </row>
    <row r="10" spans="1:35" ht="11.25" hidden="1" customHeight="1">
      <c r="AE10" s="36"/>
      <c r="AF10" s="36"/>
    </row>
    <row r="11" spans="1:35" ht="11.25" hidden="1" customHeight="1">
      <c r="AE11" s="36"/>
      <c r="AF11" s="36"/>
    </row>
    <row r="12" spans="1:35" ht="11.25" hidden="1" customHeight="1">
      <c r="AE12" s="36"/>
      <c r="AF12" s="36"/>
    </row>
    <row r="13" spans="1:35" ht="11.25" hidden="1" customHeight="1">
      <c r="AE13" s="36"/>
      <c r="AF13" s="36"/>
    </row>
    <row r="14" spans="1:35" ht="11.25" hidden="1" customHeight="1">
      <c r="AE14" s="36"/>
      <c r="AF14" s="36"/>
    </row>
    <row r="15" spans="1:35" ht="11.25" hidden="1" customHeight="1">
      <c r="AE15" s="36"/>
      <c r="AF15" s="36"/>
    </row>
    <row r="16" spans="1:35" ht="11.25" hidden="1" customHeight="1">
      <c r="AE16" s="36"/>
      <c r="AF16" s="36"/>
    </row>
    <row r="17" spans="5:35" ht="11.25" hidden="1" customHeight="1">
      <c r="AE17" s="57"/>
      <c r="AF17" s="57"/>
    </row>
    <row r="18" spans="5:35" ht="11.25" hidden="1" customHeight="1">
      <c r="AE18" s="63">
        <f ca="1">SUMIFS('Перечень объектов'!AH$24:AH$63,'Перечень объектов'!$F$24:$F$63,$F29,'Перечень объектов'!$L$24:$L$63,"ЭЭ")</f>
        <v>0</v>
      </c>
    </row>
    <row r="19" spans="5:35" ht="11.25" hidden="1" customHeight="1"/>
    <row r="20" spans="5:35" ht="11.25" hidden="1" customHeight="1"/>
    <row r="21" spans="5:35" ht="14.65" customHeight="1">
      <c r="E21" s="460">
        <v>15</v>
      </c>
      <c r="AC21" s="280" t="str" cm="1">
        <f t="array" ref="AC21">tpl_title</f>
        <v>Кемеровская область / 2026 / ООО "Энергосервис г. Гурьевска" (ИНН:4202049045, КПП:420201001) / ДПР: 2024-2028</v>
      </c>
    </row>
    <row r="22" spans="5:35" ht="32.85" customHeight="1">
      <c r="E22" s="460">
        <v>33.75</v>
      </c>
      <c r="AB22" s="1137" t="s">
        <v>91</v>
      </c>
      <c r="AC22" s="1138"/>
      <c r="AD22" s="1138"/>
      <c r="AE22" s="1138"/>
      <c r="AF22" s="1138"/>
    </row>
    <row r="23" spans="5:35" ht="10.9" customHeight="1">
      <c r="E23" s="460">
        <v>11.25</v>
      </c>
      <c r="AB23" s="1103"/>
      <c r="AC23" s="1103"/>
      <c r="AD23" s="1103"/>
      <c r="AE23" s="1103"/>
      <c r="AF23" s="1103"/>
    </row>
    <row r="24" spans="5:35" ht="14.65" customHeight="1">
      <c r="E24" s="460">
        <v>15</v>
      </c>
      <c r="AB24" s="1088" t="s">
        <v>786</v>
      </c>
      <c r="AC24" s="1128" t="s">
        <v>194</v>
      </c>
      <c r="AD24" s="1088" t="s">
        <v>363</v>
      </c>
      <c r="AE24" s="1202" t="str">
        <f>god&amp;" год"</f>
        <v>2026 год</v>
      </c>
      <c r="AF24" s="1203"/>
    </row>
    <row r="25" spans="5:35" ht="48.75" customHeight="1">
      <c r="E25" s="460">
        <v>50</v>
      </c>
      <c r="AB25" s="1088"/>
      <c r="AC25" s="1128"/>
      <c r="AD25" s="1088"/>
      <c r="AE25" s="740" t="s">
        <v>356</v>
      </c>
      <c r="AF25" s="28" t="s">
        <v>355</v>
      </c>
    </row>
    <row r="26" spans="5:35" ht="11.25" hidden="1" customHeight="1">
      <c r="E26" s="460">
        <v>0</v>
      </c>
      <c r="AB26" s="534"/>
      <c r="AC26" s="541"/>
      <c r="AD26" s="534"/>
      <c r="AE26" s="223"/>
      <c r="AF26" s="223"/>
    </row>
    <row r="27" spans="5:35" ht="14.65" hidden="1" customHeight="1">
      <c r="E27" s="460">
        <v>15</v>
      </c>
      <c r="F27" s="41" cm="1">
        <f t="array" ref="F27">X27</f>
        <v>0</v>
      </c>
      <c r="T27" s="365" t="b">
        <f>X27&gt;0</f>
        <v>0</v>
      </c>
      <c r="V27" s="41" t="s">
        <v>264</v>
      </c>
      <c r="X27" s="1094">
        <v>0</v>
      </c>
      <c r="Z27" s="1095"/>
      <c r="AB27" s="154" t="str" cm="1">
        <f t="array" ref="AB27">INDEX('Общие сведения'!$AG$179:$AG$222,MATCH($X27,'Общие сведения'!$Z$179:$Z$222,0))</f>
        <v xml:space="preserve">Тариф 0 () - </v>
      </c>
      <c r="AC27" s="596"/>
      <c r="AD27" s="798"/>
      <c r="AE27" s="798"/>
      <c r="AF27" s="799"/>
    </row>
    <row r="28" spans="5:35" s="82" customFormat="1" ht="21.95" hidden="1" customHeight="1">
      <c r="E28" s="499">
        <v>22.5</v>
      </c>
      <c r="F28" s="3" cm="1">
        <f t="array" aca="1" ref="F28" ca="1">OFFSET(E28,-1,1)</f>
        <v>0</v>
      </c>
      <c r="H28" s="41" t="s">
        <v>327</v>
      </c>
      <c r="I28" s="41"/>
      <c r="J28" s="41"/>
      <c r="K28" s="41"/>
      <c r="T28" s="365" t="b" cm="1">
        <f t="array" ref="T28">T27</f>
        <v>0</v>
      </c>
      <c r="X28" s="1094"/>
      <c r="Z28" s="1095"/>
      <c r="AB28" s="395" t="s">
        <v>275</v>
      </c>
      <c r="AC28" s="403" t="s">
        <v>2455</v>
      </c>
      <c r="AD28" s="395" t="s">
        <v>804</v>
      </c>
      <c r="AE28" s="399">
        <f ca="1">(AE29+AE37)*AE35</f>
        <v>0</v>
      </c>
      <c r="AF28" s="399">
        <f ca="1">(AF29+AF37)*AF35</f>
        <v>0</v>
      </c>
      <c r="AI28" s="690" t="s">
        <v>2456</v>
      </c>
    </row>
    <row r="29" spans="5:35" ht="21.95" hidden="1" customHeight="1">
      <c r="E29" s="460">
        <v>22.5</v>
      </c>
      <c r="F29" s="3" cm="1">
        <f t="array" aca="1" ref="F29" ca="1">OFFSET(E29,-1,1)</f>
        <v>0</v>
      </c>
      <c r="G29" s="41" t="s">
        <v>2457</v>
      </c>
      <c r="H29" s="41" t="s">
        <v>328</v>
      </c>
      <c r="K29" s="41" t="str">
        <f ca="1">F29&amp;G29</f>
        <v>0УТР</v>
      </c>
      <c r="L29" s="720" cm="1">
        <f t="array" ref="L29">AE29</f>
        <v>0</v>
      </c>
      <c r="M29" s="720" cm="1">
        <f t="array" ref="M29">AF29</f>
        <v>0</v>
      </c>
      <c r="T29" s="365" t="b" cm="1">
        <f t="array" ref="T29">T28</f>
        <v>0</v>
      </c>
      <c r="X29" s="1094"/>
      <c r="Z29" s="1095"/>
      <c r="AB29" s="395" t="s">
        <v>285</v>
      </c>
      <c r="AC29" s="398" t="s">
        <v>1059</v>
      </c>
      <c r="AD29" s="395" t="s">
        <v>1051</v>
      </c>
      <c r="AE29" s="399">
        <f>IF(AE34=0,0,(AE30-IF(SUMIFS('Перечень объектов'!AH$24:AH$63,'Перечень объектов'!$F$24:$F$63,$F29,'Перечень объектов'!$G$24:$G$63,"ЭЭ")&gt;0,0,AE31))/AE34)</f>
        <v>0</v>
      </c>
      <c r="AF29" s="399">
        <f>IF(AF34=0,0,(AF30-IF(SUMIFS('Перечень объектов'!AI$24:AI$63,'Перечень объектов'!$F$24:$F$63,$F29,'Перечень объектов'!$G$24:$G$63,"ЭЭ")&gt;0,0,AF31))/AF34)</f>
        <v>0</v>
      </c>
      <c r="AI29" s="667" t="s">
        <v>2458</v>
      </c>
    </row>
    <row r="30" spans="5:35" ht="32.85" hidden="1" customHeight="1">
      <c r="E30" s="460">
        <v>33.75</v>
      </c>
      <c r="F30" s="3" cm="1">
        <f t="array" aca="1" ref="F30" ca="1">OFFSET(E30,-1,1)</f>
        <v>0</v>
      </c>
      <c r="H30" s="41" t="s">
        <v>479</v>
      </c>
      <c r="T30" s="365" t="b" cm="1">
        <f t="array" ref="T30">T29</f>
        <v>0</v>
      </c>
      <c r="X30" s="1094"/>
      <c r="Z30" s="1095"/>
      <c r="AB30" s="395" t="s">
        <v>537</v>
      </c>
      <c r="AC30" s="421" t="s">
        <v>2459</v>
      </c>
      <c r="AD30" s="395" t="s">
        <v>804</v>
      </c>
      <c r="AE30" s="883"/>
      <c r="AF30" s="399">
        <f ca="1">SUMIFS(ГО!AE$25:AE$294,ГО!$F$25:$F$294,$F30,ГО!$G$25:$G$294,"Итог")*(1+AF32/100)*(1+AF33/100)</f>
        <v>0</v>
      </c>
      <c r="AI30" s="667" t="s">
        <v>2460</v>
      </c>
    </row>
    <row r="31" spans="5:35" s="82" customFormat="1" ht="14.65" hidden="1" customHeight="1">
      <c r="E31" s="499">
        <v>15</v>
      </c>
      <c r="F31" s="3" cm="1">
        <f t="array" aca="1" ref="F31" ca="1">OFFSET(E31,-1,1)</f>
        <v>0</v>
      </c>
      <c r="H31" s="41" t="s">
        <v>1562</v>
      </c>
      <c r="I31" s="41"/>
      <c r="J31" s="41"/>
      <c r="K31" s="41"/>
      <c r="T31" s="365" t="b" cm="1">
        <f t="array" ref="T31">T30</f>
        <v>0</v>
      </c>
      <c r="X31" s="1094"/>
      <c r="Z31" s="1095"/>
      <c r="AB31" s="395" t="s">
        <v>487</v>
      </c>
      <c r="AC31" s="800" t="s">
        <v>2461</v>
      </c>
      <c r="AD31" s="395" t="s">
        <v>804</v>
      </c>
      <c r="AE31" s="883"/>
      <c r="AF31" s="399">
        <f ca="1">SUMIFS(ГО!AE$25:AE$294,ГО!$F$25:$F$294,$F31,ГО!$G$25:$G$294,"ЭЭ")*(1+AF32/100)*(1+AF33/100)</f>
        <v>0</v>
      </c>
      <c r="AI31" s="690" t="s">
        <v>1733</v>
      </c>
    </row>
    <row r="32" spans="5:35" s="82" customFormat="1" ht="14.65" hidden="1" customHeight="1">
      <c r="E32" s="499">
        <v>15</v>
      </c>
      <c r="F32" s="3" cm="1">
        <f t="array" aca="1" ref="F32" ca="1">OFFSET(E32,-1,1)</f>
        <v>0</v>
      </c>
      <c r="H32" s="41" t="s">
        <v>482</v>
      </c>
      <c r="I32" s="41"/>
      <c r="J32" s="41"/>
      <c r="K32" s="41"/>
      <c r="T32" s="365" t="b" cm="1">
        <f t="array" ref="T32">T31</f>
        <v>0</v>
      </c>
      <c r="X32" s="1094"/>
      <c r="Z32" s="1095"/>
      <c r="AB32" s="395" t="s">
        <v>541</v>
      </c>
      <c r="AC32" s="421" t="str">
        <f>"индекс потребительских цен на "&amp;god-1&amp;" год"</f>
        <v>индекс потребительских цен на 2025 год</v>
      </c>
      <c r="AD32" s="395" t="s">
        <v>456</v>
      </c>
      <c r="AE32" s="883"/>
      <c r="AF32" s="883"/>
      <c r="AI32" s="690" t="s">
        <v>2462</v>
      </c>
    </row>
    <row r="33" spans="5:35" s="82" customFormat="1" ht="14.65" hidden="1" customHeight="1">
      <c r="E33" s="499">
        <v>15</v>
      </c>
      <c r="F33" s="3" cm="1">
        <f t="array" aca="1" ref="F33" ca="1">OFFSET(E33,-1,1)</f>
        <v>0</v>
      </c>
      <c r="H33" s="41" t="s">
        <v>917</v>
      </c>
      <c r="I33" s="41"/>
      <c r="J33" s="41"/>
      <c r="K33" s="41"/>
      <c r="T33" s="365" t="b" cm="1">
        <f t="array" ref="T33">T32</f>
        <v>0</v>
      </c>
      <c r="X33" s="1094"/>
      <c r="Z33" s="1095"/>
      <c r="AB33" s="395" t="s">
        <v>545</v>
      </c>
      <c r="AC33" s="421" t="str">
        <f>"индекс потребительских цен на "&amp;god&amp;" год"</f>
        <v>индекс потребительских цен на 2026 год</v>
      </c>
      <c r="AD33" s="395" t="s">
        <v>456</v>
      </c>
      <c r="AE33" s="883"/>
      <c r="AF33" s="883"/>
      <c r="AI33" s="690" t="s">
        <v>2463</v>
      </c>
    </row>
    <row r="34" spans="5:35" s="82" customFormat="1" ht="21.95" hidden="1" customHeight="1">
      <c r="E34" s="499">
        <v>22.5</v>
      </c>
      <c r="F34" s="3" cm="1">
        <f t="array" aca="1" ref="F34" ca="1">OFFSET(E34,-1,1)</f>
        <v>0</v>
      </c>
      <c r="H34" s="41" t="s">
        <v>919</v>
      </c>
      <c r="I34" s="41"/>
      <c r="J34" s="41"/>
      <c r="K34" s="41"/>
      <c r="T34" s="365" t="b" cm="1">
        <f t="array" ref="T34">T33</f>
        <v>0</v>
      </c>
      <c r="X34" s="1094"/>
      <c r="Z34" s="1095"/>
      <c r="AB34" s="395" t="s">
        <v>920</v>
      </c>
      <c r="AC34" s="421" t="s">
        <v>2464</v>
      </c>
      <c r="AD34" s="395" t="s">
        <v>796</v>
      </c>
      <c r="AE34" s="883"/>
      <c r="AF34" s="883"/>
      <c r="AI34" s="690" t="s">
        <v>2465</v>
      </c>
    </row>
    <row r="35" spans="5:35" s="82" customFormat="1" ht="14.65" hidden="1" customHeight="1">
      <c r="E35" s="499">
        <v>15</v>
      </c>
      <c r="F35" s="3" cm="1">
        <f t="array" aca="1" ref="F35" ca="1">OFFSET(E35,-1,1)</f>
        <v>0</v>
      </c>
      <c r="H35" s="41" t="s">
        <v>329</v>
      </c>
      <c r="I35" s="41"/>
      <c r="J35" s="41"/>
      <c r="K35" s="41"/>
      <c r="T35" s="365" t="b" cm="1">
        <f t="array" ref="T35">T34</f>
        <v>0</v>
      </c>
      <c r="X35" s="1094"/>
      <c r="Z35" s="1095"/>
      <c r="AB35" s="395" t="s">
        <v>325</v>
      </c>
      <c r="AC35" s="420" t="s">
        <v>2466</v>
      </c>
      <c r="AD35" s="395" t="s">
        <v>796</v>
      </c>
      <c r="AE35" s="402">
        <f ca="1">SUMIFS('Условные метры'!AL$27:AL$38,'Условные метры'!$F$27:$F$38,$F35,'Условные метры'!$G$27:$G$38,"Итог")</f>
        <v>0</v>
      </c>
      <c r="AF35" s="402">
        <f ca="1">SUMIFS('Условные метры'!AN$27:AN$38,'Условные метры'!$F$27:$F$38,$F35,'Условные метры'!$G$27:$G$38,"Итог")</f>
        <v>0</v>
      </c>
      <c r="AI35" s="690" t="s">
        <v>2467</v>
      </c>
    </row>
    <row r="36" spans="5:35" s="82" customFormat="1" ht="14.65" hidden="1" customHeight="1">
      <c r="E36" s="499">
        <v>15</v>
      </c>
      <c r="F36" s="3" cm="1">
        <f t="array" aca="1" ref="F36" ca="1">OFFSET(E36,-1,1)</f>
        <v>0</v>
      </c>
      <c r="H36" s="41" t="s">
        <v>927</v>
      </c>
      <c r="I36" s="41"/>
      <c r="J36" s="41"/>
      <c r="K36" s="41"/>
      <c r="T36" s="365" t="b" cm="1">
        <f t="array" ref="T36">T35</f>
        <v>0</v>
      </c>
      <c r="X36" s="1094"/>
      <c r="Z36" s="1095"/>
      <c r="AB36" s="395" t="s">
        <v>551</v>
      </c>
      <c r="AC36" s="421" t="s">
        <v>2468</v>
      </c>
      <c r="AD36" s="395" t="s">
        <v>381</v>
      </c>
      <c r="AE36" s="402">
        <f ca="1">SUMIFS('Условные метры'!AK$27:AK$38,'Условные метры'!$F$27:$F$38,$F36,'Условные метры'!$G$27:$G$38,"Итог")</f>
        <v>0</v>
      </c>
      <c r="AF36" s="402">
        <f ca="1">SUMIFS('Условные метры'!AM$27:AM$38,'Условные метры'!$F$27:$F$38,$F36,'Условные метры'!$G$27:$G$38,"Итог")</f>
        <v>0</v>
      </c>
      <c r="AI36" s="690" t="s">
        <v>2469</v>
      </c>
    </row>
    <row r="37" spans="5:35" s="82" customFormat="1" ht="14.65" hidden="1" customHeight="1">
      <c r="E37" s="499">
        <v>15</v>
      </c>
      <c r="F37" s="3" cm="1">
        <f t="array" aca="1" ref="F37" ca="1">OFFSET(E37,-1,1)</f>
        <v>0</v>
      </c>
      <c r="H37" s="41" t="s">
        <v>331</v>
      </c>
      <c r="I37" s="41"/>
      <c r="J37" s="41"/>
      <c r="K37" s="41"/>
      <c r="T37" s="365" t="b" cm="1">
        <f t="array" ref="T37">T36</f>
        <v>0</v>
      </c>
      <c r="X37" s="1094"/>
      <c r="Z37" s="1095"/>
      <c r="AB37" s="395" t="s">
        <v>433</v>
      </c>
      <c r="AC37" s="420" t="s">
        <v>2470</v>
      </c>
      <c r="AD37" s="395" t="s">
        <v>1051</v>
      </c>
      <c r="AE37" s="402">
        <f ca="1">SUMIFS('Амортизация (аналог)'!AE$25:AE$48,'Амортизация (аналог)'!$F$25:$F$48,$F37,'Амортизация (аналог)'!$AB$25:$AB$48,"2")</f>
        <v>0</v>
      </c>
      <c r="AF37" s="402">
        <f ca="1">SUMIFS('Амортизация (аналог)'!AF$25:AF$48,'Амортизация (аналог)'!$F$25:$F$48,$F37,'Амортизация (аналог)'!$AB$25:$AB$48,"2")</f>
        <v>0</v>
      </c>
      <c r="AI37" s="690" t="s">
        <v>2471</v>
      </c>
    </row>
    <row r="38" spans="5:35" s="82" customFormat="1" ht="14.65" hidden="1" customHeight="1">
      <c r="E38" s="499">
        <v>15</v>
      </c>
      <c r="F38" s="3" cm="1">
        <f t="array" aca="1" ref="F38" ca="1">OFFSET(E38,-1,1)</f>
        <v>0</v>
      </c>
      <c r="H38" s="41" t="s">
        <v>536</v>
      </c>
      <c r="I38" s="41"/>
      <c r="J38" s="41"/>
      <c r="K38" s="41"/>
      <c r="T38" s="365" t="b" cm="1">
        <f t="array" ref="T38">T37</f>
        <v>0</v>
      </c>
      <c r="X38" s="1094"/>
      <c r="Z38" s="1095"/>
      <c r="AB38" s="395" t="s">
        <v>673</v>
      </c>
      <c r="AC38" s="801" t="s">
        <v>2472</v>
      </c>
      <c r="AD38" s="395" t="s">
        <v>456</v>
      </c>
      <c r="AE38" s="399">
        <f>IF(AE29=0,0,AE37/AE29*100)</f>
        <v>0</v>
      </c>
      <c r="AF38" s="399">
        <f>IF(AF29=0,0,AF37/AF29*100)</f>
        <v>0</v>
      </c>
      <c r="AI38" s="690" t="s">
        <v>2473</v>
      </c>
    </row>
    <row r="39" spans="5:35" s="82" customFormat="1" ht="21.95" hidden="1" customHeight="1">
      <c r="E39" s="499">
        <v>22.5</v>
      </c>
      <c r="F39" s="3" cm="1">
        <f t="array" aca="1" ref="F39" ca="1">OFFSET(E39,-1,1)</f>
        <v>0</v>
      </c>
      <c r="G39" s="91" t="s">
        <v>1633</v>
      </c>
      <c r="H39" s="41" t="s">
        <v>330</v>
      </c>
      <c r="I39" s="41"/>
      <c r="J39" s="41"/>
      <c r="K39" s="41"/>
      <c r="T39" s="365" t="b" cm="1">
        <f t="array" ref="T39">T38</f>
        <v>0</v>
      </c>
      <c r="X39" s="1094"/>
      <c r="Z39" s="1095"/>
      <c r="AB39" s="395" t="s">
        <v>444</v>
      </c>
      <c r="AC39" s="419" t="s">
        <v>2474</v>
      </c>
      <c r="AD39" s="395" t="s">
        <v>2475</v>
      </c>
      <c r="AE39" s="402">
        <f ca="1">SUMIFS(Баланс!$AI$25:$AI$300,Баланс!$F$25:$F$300,$F39,Баланс!$G$25:$G$300,"ПО")</f>
        <v>0</v>
      </c>
      <c r="AF39" s="402">
        <f ca="1">SUMIFS(Баланс!$AS$25:$AS$300,Баланс!$F$25:$F$300,$F39,Баланс!$G$25:$G$300,"ПО")</f>
        <v>0</v>
      </c>
      <c r="AI39" s="690" t="s">
        <v>1074</v>
      </c>
    </row>
    <row r="40" spans="5:35" s="82" customFormat="1" ht="14.65" hidden="1" customHeight="1">
      <c r="E40" s="499">
        <v>15</v>
      </c>
      <c r="F40" s="3" cm="1">
        <f t="array" aca="1" ref="F40" ca="1">OFFSET(E40,-1,1)</f>
        <v>0</v>
      </c>
      <c r="G40" s="44" t="s">
        <v>1660</v>
      </c>
      <c r="H40" s="41" t="s">
        <v>550</v>
      </c>
      <c r="I40" s="41"/>
      <c r="J40" s="41"/>
      <c r="K40" s="41"/>
      <c r="T40" s="365" t="b" cm="1">
        <f t="array" ref="T40">T39</f>
        <v>0</v>
      </c>
      <c r="X40" s="1094"/>
      <c r="Z40" s="1095"/>
      <c r="AB40" s="395" t="s">
        <v>680</v>
      </c>
      <c r="AC40" s="741" t="s">
        <v>2476</v>
      </c>
      <c r="AD40" s="395" t="s">
        <v>2475</v>
      </c>
      <c r="AE40" s="977"/>
      <c r="AF40" s="977"/>
      <c r="AI40" s="690" t="s">
        <v>2477</v>
      </c>
    </row>
    <row r="41" spans="5:35" s="82" customFormat="1" ht="14.65" hidden="1" customHeight="1">
      <c r="E41" s="499">
        <v>15</v>
      </c>
      <c r="F41" s="3" cm="1">
        <f t="array" aca="1" ref="F41" ca="1">OFFSET(E41,-1,1)</f>
        <v>0</v>
      </c>
      <c r="G41" s="44" t="s">
        <v>1673</v>
      </c>
      <c r="H41" s="41" t="s">
        <v>554</v>
      </c>
      <c r="I41" s="41"/>
      <c r="J41" s="41"/>
      <c r="K41" s="41"/>
      <c r="T41" s="365" t="b" cm="1">
        <f t="array" ref="T41">T40</f>
        <v>0</v>
      </c>
      <c r="X41" s="1094"/>
      <c r="Z41" s="1095"/>
      <c r="AB41" s="395" t="s">
        <v>683</v>
      </c>
      <c r="AC41" s="741" t="s">
        <v>2478</v>
      </c>
      <c r="AD41" s="395" t="s">
        <v>2475</v>
      </c>
      <c r="AE41" s="402">
        <f ca="1">AE39-AE40</f>
        <v>0</v>
      </c>
      <c r="AF41" s="402">
        <f ca="1">AF39-AF40</f>
        <v>0</v>
      </c>
      <c r="AI41" s="690" t="s">
        <v>2479</v>
      </c>
    </row>
    <row r="42" spans="5:35" s="82" customFormat="1" ht="14.65" hidden="1" customHeight="1">
      <c r="E42" s="499">
        <v>15</v>
      </c>
      <c r="F42" s="3" cm="1">
        <f t="array" aca="1" ref="F42" ca="1">OFFSET(E42,-1,1)</f>
        <v>0</v>
      </c>
      <c r="H42" s="41" t="s">
        <v>511</v>
      </c>
      <c r="I42" s="41"/>
      <c r="J42" s="41"/>
      <c r="K42" s="41"/>
      <c r="T42" s="365" t="b" cm="1">
        <f t="array" ref="T42">T41</f>
        <v>0</v>
      </c>
      <c r="X42" s="1094"/>
      <c r="Z42" s="1095"/>
      <c r="AB42" s="395" t="s">
        <v>447</v>
      </c>
      <c r="AC42" s="419" t="s">
        <v>2480</v>
      </c>
      <c r="AD42" s="395" t="s">
        <v>1624</v>
      </c>
      <c r="AE42" s="399">
        <f ca="1">IF(AE39=0,0,AE28/AE39)</f>
        <v>0</v>
      </c>
      <c r="AF42" s="399">
        <f ca="1">IF(AF39=0,0,AF28/AF39)</f>
        <v>0</v>
      </c>
      <c r="AI42" s="690" t="s">
        <v>1167</v>
      </c>
    </row>
    <row r="43" spans="5:35" s="82" customFormat="1" ht="14.65" hidden="1" customHeight="1">
      <c r="E43" s="499">
        <v>15</v>
      </c>
      <c r="F43" s="3" cm="1">
        <f t="array" aca="1" ref="F43" ca="1">OFFSET(E43,-1,1)</f>
        <v>0</v>
      </c>
      <c r="G43" s="44" t="s">
        <v>1621</v>
      </c>
      <c r="H43" s="41" t="s">
        <v>696</v>
      </c>
      <c r="I43" s="41"/>
      <c r="J43" s="41"/>
      <c r="K43" s="41"/>
      <c r="T43" s="365" t="b" cm="1">
        <f t="array" ref="T43">T42</f>
        <v>0</v>
      </c>
      <c r="X43" s="1094"/>
      <c r="Z43" s="1095"/>
      <c r="AB43" s="395" t="s">
        <v>2481</v>
      </c>
      <c r="AC43" s="742" t="s">
        <v>2482</v>
      </c>
      <c r="AD43" s="395" t="s">
        <v>1624</v>
      </c>
      <c r="AE43" s="883"/>
      <c r="AF43" s="883"/>
      <c r="AI43" s="690" t="s">
        <v>2483</v>
      </c>
    </row>
    <row r="44" spans="5:35" s="82" customFormat="1" ht="14.65" hidden="1" customHeight="1">
      <c r="E44" s="499">
        <v>15</v>
      </c>
      <c r="F44" s="3" cm="1">
        <f t="array" aca="1" ref="F44" ca="1">OFFSET(E44,-1,1)</f>
        <v>0</v>
      </c>
      <c r="G44" s="44" t="s">
        <v>1626</v>
      </c>
      <c r="H44" s="41" t="s">
        <v>699</v>
      </c>
      <c r="I44" s="41"/>
      <c r="J44" s="41"/>
      <c r="K44" s="41"/>
      <c r="T44" s="365" t="b" cm="1">
        <f t="array" ref="T44">T43</f>
        <v>0</v>
      </c>
      <c r="X44" s="1094"/>
      <c r="Z44" s="1095"/>
      <c r="AB44" s="395" t="s">
        <v>2484</v>
      </c>
      <c r="AC44" s="742" t="s">
        <v>2485</v>
      </c>
      <c r="AD44" s="395" t="s">
        <v>1624</v>
      </c>
      <c r="AE44" s="883">
        <f ca="1">IF(AE41=0,0,(AE28-AE43*AE40)/AE41)</f>
        <v>0</v>
      </c>
      <c r="AF44" s="883">
        <f ca="1">IF(AF41=0,0,(AF28-AF43*AF40)/AF41)</f>
        <v>0</v>
      </c>
      <c r="AI44" s="690" t="s">
        <v>2486</v>
      </c>
    </row>
    <row r="45" spans="5:35" ht="14.65" hidden="1" customHeight="1">
      <c r="E45" s="460">
        <v>15</v>
      </c>
      <c r="F45" s="3" cm="1">
        <f t="array" aca="1" ref="F45" ca="1">OFFSET(E45,-1,1)</f>
        <v>0</v>
      </c>
      <c r="H45" s="41" t="s">
        <v>675</v>
      </c>
      <c r="T45" s="365" t="b" cm="1">
        <f t="array" ref="T45">T44</f>
        <v>0</v>
      </c>
      <c r="X45" s="1094"/>
      <c r="Z45" s="1095"/>
      <c r="AB45" s="395" t="s">
        <v>570</v>
      </c>
      <c r="AC45" s="413" t="s">
        <v>2487</v>
      </c>
      <c r="AD45" s="395" t="s">
        <v>456</v>
      </c>
      <c r="AE45" s="399">
        <f>IF(AE43=0,0,AE44/AE43*100)</f>
        <v>0</v>
      </c>
      <c r="AF45" s="399">
        <f>IF(AF43=0,0,AF44/AF43*100)</f>
        <v>0</v>
      </c>
      <c r="AI45" s="667" t="s">
        <v>2488</v>
      </c>
    </row>
    <row r="46" spans="5:35" ht="14.25" customHeight="1">
      <c r="E46" s="460">
        <v>15</v>
      </c>
      <c r="F46" s="41" t="str" cm="1">
        <f t="array" ref="F46">X46</f>
        <v>1</v>
      </c>
      <c r="T46" s="365" t="b">
        <f>X46&gt;0</f>
        <v>1</v>
      </c>
      <c r="V46" s="41" t="str" cm="1">
        <f t="array" ref="V46">ГО!$AB$116</f>
        <v>Тариф 1 (Водоснабжение) - тариф на питьевую воду (Доп. признак не требуется)</v>
      </c>
      <c r="X46" s="1094" t="s">
        <v>275</v>
      </c>
      <c r="Z46" s="1095"/>
      <c r="AB46" s="154" t="str" cm="1">
        <f t="array" ref="AB46">ГО!$AB$116</f>
        <v>Тариф 1 (Водоснабжение) - тариф на питьевую воду (Доп. признак не требуется)</v>
      </c>
      <c r="AC46" s="596"/>
      <c r="AD46" s="798"/>
      <c r="AE46" s="798"/>
      <c r="AF46" s="799"/>
    </row>
    <row r="47" spans="5:35" s="82" customFormat="1" ht="21.75" customHeight="1">
      <c r="E47" s="499">
        <v>22.5</v>
      </c>
      <c r="F47" s="3" t="str" cm="1">
        <f t="array" aca="1" ref="F47" ca="1">OFFSET(E47,-1,1)</f>
        <v>1</v>
      </c>
      <c r="H47" s="41" t="s">
        <v>327</v>
      </c>
      <c r="I47" s="41"/>
      <c r="J47" s="41"/>
      <c r="K47" s="41"/>
      <c r="T47" s="365" t="b" cm="1">
        <f t="array" ref="T47">T46</f>
        <v>1</v>
      </c>
      <c r="X47" s="1094"/>
      <c r="Z47" s="1095"/>
      <c r="AB47" s="395" t="s">
        <v>275</v>
      </c>
      <c r="AC47" s="403" t="s">
        <v>2455</v>
      </c>
      <c r="AD47" s="395" t="s">
        <v>804</v>
      </c>
      <c r="AE47" s="399">
        <f ca="1">(AE48+AE56)*AE54</f>
        <v>0</v>
      </c>
      <c r="AF47" s="399">
        <f ca="1">(AF48+AF56)*AF54</f>
        <v>0</v>
      </c>
      <c r="AI47" s="690" t="s">
        <v>2456</v>
      </c>
    </row>
    <row r="48" spans="5:35" ht="21.75" customHeight="1">
      <c r="E48" s="460">
        <v>22.5</v>
      </c>
      <c r="F48" s="3" t="str" cm="1">
        <f t="array" aca="1" ref="F48" ca="1">OFFSET(E48,-1,1)</f>
        <v>1</v>
      </c>
      <c r="G48" s="41" t="s">
        <v>2457</v>
      </c>
      <c r="H48" s="41" t="s">
        <v>328</v>
      </c>
      <c r="K48" s="41" t="str">
        <f ca="1">F48&amp;G48</f>
        <v>1УТР</v>
      </c>
      <c r="L48" s="720" cm="1">
        <f t="array" ref="L48">AE48</f>
        <v>0</v>
      </c>
      <c r="M48" s="720" cm="1">
        <f t="array" ref="M48">AF48</f>
        <v>0</v>
      </c>
      <c r="T48" s="365" t="b" cm="1">
        <f t="array" ref="T48">T47</f>
        <v>1</v>
      </c>
      <c r="X48" s="1094"/>
      <c r="Z48" s="1095"/>
      <c r="AB48" s="395" t="s">
        <v>285</v>
      </c>
      <c r="AC48" s="398" t="s">
        <v>1059</v>
      </c>
      <c r="AD48" s="395" t="s">
        <v>1051</v>
      </c>
      <c r="AE48" s="399">
        <f>IF(AE53=0,0,(AE49-IF(SUMIFS('Перечень объектов'!AH$24:AH$63,'Перечень объектов'!$F$24:$F$63,$F48,'Перечень объектов'!$G$24:$G$63,"ЭЭ")&gt;0,0,AE50))/AE53)</f>
        <v>0</v>
      </c>
      <c r="AF48" s="399">
        <f>IF(AF53=0,0,(AF49-IF(SUMIFS('Перечень объектов'!AI$24:AI$63,'Перечень объектов'!$F$24:$F$63,$F48,'Перечень объектов'!$G$24:$G$63,"ЭЭ")&gt;0,0,AF50))/AF53)</f>
        <v>0</v>
      </c>
      <c r="AI48" s="667" t="s">
        <v>2458</v>
      </c>
    </row>
    <row r="49" spans="5:35" ht="32.25" customHeight="1">
      <c r="E49" s="460">
        <v>33.75</v>
      </c>
      <c r="F49" s="3" t="str" cm="1">
        <f t="array" aca="1" ref="F49" ca="1">OFFSET(E49,-1,1)</f>
        <v>1</v>
      </c>
      <c r="H49" s="41" t="s">
        <v>479</v>
      </c>
      <c r="T49" s="365" t="b" cm="1">
        <f t="array" ref="T49">T48</f>
        <v>1</v>
      </c>
      <c r="X49" s="1094"/>
      <c r="Z49" s="1095"/>
      <c r="AB49" s="395" t="s">
        <v>537</v>
      </c>
      <c r="AC49" s="421" t="s">
        <v>2459</v>
      </c>
      <c r="AD49" s="395" t="s">
        <v>804</v>
      </c>
      <c r="AE49" s="406"/>
      <c r="AF49" s="399">
        <f ca="1">SUMIFS(ГО!AE$25:AE$294,ГО!$F$25:$F$294,$F49,ГО!$G$25:$G$294,"Итог")*(1+AF51/100)*(1+AF52/100)</f>
        <v>0</v>
      </c>
      <c r="AI49" s="667" t="s">
        <v>2460</v>
      </c>
    </row>
    <row r="50" spans="5:35" s="82" customFormat="1" ht="14.25" customHeight="1">
      <c r="E50" s="499">
        <v>15</v>
      </c>
      <c r="F50" s="3" t="str" cm="1">
        <f t="array" aca="1" ref="F50" ca="1">OFFSET(E50,-1,1)</f>
        <v>1</v>
      </c>
      <c r="H50" s="41" t="s">
        <v>1562</v>
      </c>
      <c r="I50" s="41"/>
      <c r="J50" s="41"/>
      <c r="K50" s="41"/>
      <c r="T50" s="365" t="b" cm="1">
        <f t="array" ref="T50">T49</f>
        <v>1</v>
      </c>
      <c r="X50" s="1094"/>
      <c r="Z50" s="1095"/>
      <c r="AB50" s="395" t="s">
        <v>487</v>
      </c>
      <c r="AC50" s="800" t="s">
        <v>2461</v>
      </c>
      <c r="AD50" s="395" t="s">
        <v>804</v>
      </c>
      <c r="AE50" s="406"/>
      <c r="AF50" s="399">
        <f ca="1">SUMIFS(ГО!AE$25:AE$294,ГО!$F$25:$F$294,$F50,ГО!$G$25:$G$294,"ЭЭ")*(1+AF51/100)*(1+AF52/100)</f>
        <v>0</v>
      </c>
      <c r="AI50" s="690" t="s">
        <v>1733</v>
      </c>
    </row>
    <row r="51" spans="5:35" s="82" customFormat="1" ht="14.25" customHeight="1">
      <c r="E51" s="499">
        <v>15</v>
      </c>
      <c r="F51" s="3" t="str" cm="1">
        <f t="array" aca="1" ref="F51" ca="1">OFFSET(E51,-1,1)</f>
        <v>1</v>
      </c>
      <c r="H51" s="41" t="s">
        <v>482</v>
      </c>
      <c r="I51" s="41"/>
      <c r="J51" s="41"/>
      <c r="K51" s="41"/>
      <c r="T51" s="365" t="b" cm="1">
        <f t="array" ref="T51">T50</f>
        <v>1</v>
      </c>
      <c r="X51" s="1094"/>
      <c r="Z51" s="1095"/>
      <c r="AB51" s="395" t="s">
        <v>541</v>
      </c>
      <c r="AC51" s="421" t="str">
        <f>"индекс потребительских цен на "&amp;god-1&amp;" год"</f>
        <v>индекс потребительских цен на 2025 год</v>
      </c>
      <c r="AD51" s="395" t="s">
        <v>456</v>
      </c>
      <c r="AE51" s="406"/>
      <c r="AF51" s="406"/>
      <c r="AI51" s="690" t="s">
        <v>2462</v>
      </c>
    </row>
    <row r="52" spans="5:35" s="82" customFormat="1" ht="14.25" customHeight="1">
      <c r="E52" s="499">
        <v>15</v>
      </c>
      <c r="F52" s="3" t="str" cm="1">
        <f t="array" aca="1" ref="F52" ca="1">OFFSET(E52,-1,1)</f>
        <v>1</v>
      </c>
      <c r="H52" s="41" t="s">
        <v>917</v>
      </c>
      <c r="I52" s="41"/>
      <c r="J52" s="41"/>
      <c r="K52" s="41"/>
      <c r="T52" s="365" t="b" cm="1">
        <f t="array" ref="T52">T51</f>
        <v>1</v>
      </c>
      <c r="X52" s="1094"/>
      <c r="Z52" s="1095"/>
      <c r="AB52" s="395" t="s">
        <v>545</v>
      </c>
      <c r="AC52" s="421" t="str">
        <f>"индекс потребительских цен на "&amp;god&amp;" год"</f>
        <v>индекс потребительских цен на 2026 год</v>
      </c>
      <c r="AD52" s="395" t="s">
        <v>456</v>
      </c>
      <c r="AE52" s="406"/>
      <c r="AF52" s="406"/>
      <c r="AI52" s="690" t="s">
        <v>2463</v>
      </c>
    </row>
    <row r="53" spans="5:35" s="82" customFormat="1" ht="21.75" customHeight="1">
      <c r="E53" s="499">
        <v>22.5</v>
      </c>
      <c r="F53" s="3" t="str" cm="1">
        <f t="array" aca="1" ref="F53" ca="1">OFFSET(E53,-1,1)</f>
        <v>1</v>
      </c>
      <c r="H53" s="41" t="s">
        <v>919</v>
      </c>
      <c r="I53" s="41"/>
      <c r="J53" s="41"/>
      <c r="K53" s="41"/>
      <c r="T53" s="365" t="b" cm="1">
        <f t="array" ref="T53">T52</f>
        <v>1</v>
      </c>
      <c r="X53" s="1094"/>
      <c r="Z53" s="1095"/>
      <c r="AB53" s="395" t="s">
        <v>920</v>
      </c>
      <c r="AC53" s="421" t="s">
        <v>2464</v>
      </c>
      <c r="AD53" s="395" t="s">
        <v>796</v>
      </c>
      <c r="AE53" s="406"/>
      <c r="AF53" s="406"/>
      <c r="AI53" s="690" t="s">
        <v>2465</v>
      </c>
    </row>
    <row r="54" spans="5:35" s="82" customFormat="1" ht="14.25" customHeight="1">
      <c r="E54" s="499">
        <v>15</v>
      </c>
      <c r="F54" s="3" t="str" cm="1">
        <f t="array" aca="1" ref="F54" ca="1">OFFSET(E54,-1,1)</f>
        <v>1</v>
      </c>
      <c r="H54" s="41" t="s">
        <v>329</v>
      </c>
      <c r="I54" s="41"/>
      <c r="J54" s="41"/>
      <c r="K54" s="41"/>
      <c r="T54" s="365" t="b" cm="1">
        <f t="array" ref="T54">T53</f>
        <v>1</v>
      </c>
      <c r="X54" s="1094"/>
      <c r="Z54" s="1095"/>
      <c r="AB54" s="395" t="s">
        <v>325</v>
      </c>
      <c r="AC54" s="420" t="s">
        <v>2466</v>
      </c>
      <c r="AD54" s="395" t="s">
        <v>796</v>
      </c>
      <c r="AE54" s="402">
        <f ca="1">SUMIFS('Условные метры'!AL$27:AL$38,'Условные метры'!$F$27:$F$38,$F54,'Условные метры'!$G$27:$G$38,"Итог")</f>
        <v>0</v>
      </c>
      <c r="AF54" s="402">
        <f ca="1">SUMIFS('Условные метры'!AN$27:AN$38,'Условные метры'!$F$27:$F$38,$F54,'Условные метры'!$G$27:$G$38,"Итог")</f>
        <v>0</v>
      </c>
      <c r="AI54" s="690" t="s">
        <v>2467</v>
      </c>
    </row>
    <row r="55" spans="5:35" s="82" customFormat="1" ht="14.25" customHeight="1">
      <c r="E55" s="499">
        <v>15</v>
      </c>
      <c r="F55" s="3" t="str" cm="1">
        <f t="array" aca="1" ref="F55" ca="1">OFFSET(E55,-1,1)</f>
        <v>1</v>
      </c>
      <c r="H55" s="41" t="s">
        <v>927</v>
      </c>
      <c r="I55" s="41"/>
      <c r="J55" s="41"/>
      <c r="K55" s="41"/>
      <c r="T55" s="365" t="b" cm="1">
        <f t="array" ref="T55">T54</f>
        <v>1</v>
      </c>
      <c r="X55" s="1094"/>
      <c r="Z55" s="1095"/>
      <c r="AB55" s="395" t="s">
        <v>551</v>
      </c>
      <c r="AC55" s="421" t="s">
        <v>2468</v>
      </c>
      <c r="AD55" s="395" t="s">
        <v>381</v>
      </c>
      <c r="AE55" s="402">
        <f ca="1">SUMIFS('Условные метры'!AK$27:AK$38,'Условные метры'!$F$27:$F$38,$F55,'Условные метры'!$G$27:$G$38,"Итог")</f>
        <v>0</v>
      </c>
      <c r="AF55" s="402">
        <f ca="1">SUMIFS('Условные метры'!AM$27:AM$38,'Условные метры'!$F$27:$F$38,$F55,'Условные метры'!$G$27:$G$38,"Итог")</f>
        <v>0</v>
      </c>
      <c r="AI55" s="690" t="s">
        <v>2469</v>
      </c>
    </row>
    <row r="56" spans="5:35" s="82" customFormat="1" ht="14.25" customHeight="1">
      <c r="E56" s="499">
        <v>15</v>
      </c>
      <c r="F56" s="3" t="str" cm="1">
        <f t="array" aca="1" ref="F56" ca="1">OFFSET(E56,-1,1)</f>
        <v>1</v>
      </c>
      <c r="H56" s="41" t="s">
        <v>331</v>
      </c>
      <c r="I56" s="41"/>
      <c r="J56" s="41"/>
      <c r="K56" s="41"/>
      <c r="T56" s="365" t="b" cm="1">
        <f t="array" ref="T56">T55</f>
        <v>1</v>
      </c>
      <c r="X56" s="1094"/>
      <c r="Z56" s="1095"/>
      <c r="AB56" s="395" t="s">
        <v>433</v>
      </c>
      <c r="AC56" s="420" t="s">
        <v>2470</v>
      </c>
      <c r="AD56" s="395" t="s">
        <v>1051</v>
      </c>
      <c r="AE56" s="402">
        <f ca="1">SUMIFS('Амортизация (аналог)'!AE$25:AE$48,'Амортизация (аналог)'!$F$25:$F$48,$F56,'Амортизация (аналог)'!$AB$25:$AB$48,"2")</f>
        <v>0</v>
      </c>
      <c r="AF56" s="402">
        <f ca="1">SUMIFS('Амортизация (аналог)'!AF$25:AF$48,'Амортизация (аналог)'!$F$25:$F$48,$F56,'Амортизация (аналог)'!$AB$25:$AB$48,"2")</f>
        <v>0</v>
      </c>
      <c r="AI56" s="690" t="s">
        <v>2471</v>
      </c>
    </row>
    <row r="57" spans="5:35" s="82" customFormat="1" ht="14.25" customHeight="1">
      <c r="E57" s="499">
        <v>15</v>
      </c>
      <c r="F57" s="3" t="str" cm="1">
        <f t="array" aca="1" ref="F57" ca="1">OFFSET(E57,-1,1)</f>
        <v>1</v>
      </c>
      <c r="H57" s="41" t="s">
        <v>536</v>
      </c>
      <c r="I57" s="41"/>
      <c r="J57" s="41"/>
      <c r="K57" s="41"/>
      <c r="T57" s="365" t="b" cm="1">
        <f t="array" ref="T57">T56</f>
        <v>1</v>
      </c>
      <c r="X57" s="1094"/>
      <c r="Z57" s="1095"/>
      <c r="AB57" s="395" t="s">
        <v>673</v>
      </c>
      <c r="AC57" s="801" t="s">
        <v>2472</v>
      </c>
      <c r="AD57" s="395" t="s">
        <v>456</v>
      </c>
      <c r="AE57" s="399">
        <f>IF(AE48=0,0,AE56/AE48*100)</f>
        <v>0</v>
      </c>
      <c r="AF57" s="399">
        <f>IF(AF48=0,0,AF56/AF48*100)</f>
        <v>0</v>
      </c>
      <c r="AI57" s="690" t="s">
        <v>2473</v>
      </c>
    </row>
    <row r="58" spans="5:35" s="82" customFormat="1" ht="21.75" customHeight="1">
      <c r="E58" s="499">
        <v>22.5</v>
      </c>
      <c r="F58" s="3" t="str" cm="1">
        <f t="array" aca="1" ref="F58" ca="1">OFFSET(E58,-1,1)</f>
        <v>1</v>
      </c>
      <c r="G58" s="91" t="s">
        <v>1633</v>
      </c>
      <c r="H58" s="41" t="s">
        <v>330</v>
      </c>
      <c r="I58" s="41"/>
      <c r="J58" s="41"/>
      <c r="K58" s="41"/>
      <c r="T58" s="365" t="b" cm="1">
        <f t="array" ref="T58">T57</f>
        <v>1</v>
      </c>
      <c r="X58" s="1094"/>
      <c r="Z58" s="1095"/>
      <c r="AB58" s="395" t="s">
        <v>444</v>
      </c>
      <c r="AC58" s="419" t="s">
        <v>2474</v>
      </c>
      <c r="AD58" s="395" t="s">
        <v>2475</v>
      </c>
      <c r="AE58" s="402">
        <f ca="1">SUMIFS(Баланс!$AI$25:$AI$300,Баланс!$F$25:$F$300,$F58,Баланс!$G$25:$G$300,"ПО")</f>
        <v>960.18599999999992</v>
      </c>
      <c r="AF58" s="402">
        <f ca="1">SUMIFS(Баланс!$AS$25:$AS$300,Баланс!$F$25:$F$300,$F58,Баланс!$G$25:$G$300,"ПО")</f>
        <v>961.84399999999994</v>
      </c>
      <c r="AI58" s="690" t="s">
        <v>1074</v>
      </c>
    </row>
    <row r="59" spans="5:35" s="82" customFormat="1" ht="14.25" customHeight="1">
      <c r="E59" s="499">
        <v>15</v>
      </c>
      <c r="F59" s="3" t="str" cm="1">
        <f t="array" aca="1" ref="F59" ca="1">OFFSET(E59,-1,1)</f>
        <v>1</v>
      </c>
      <c r="G59" s="44" t="s">
        <v>1660</v>
      </c>
      <c r="H59" s="41" t="s">
        <v>550</v>
      </c>
      <c r="I59" s="41"/>
      <c r="J59" s="41"/>
      <c r="K59" s="41"/>
      <c r="T59" s="365" t="b" cm="1">
        <f t="array" ref="T59">T58</f>
        <v>1</v>
      </c>
      <c r="X59" s="1094"/>
      <c r="Z59" s="1095"/>
      <c r="AB59" s="395" t="s">
        <v>680</v>
      </c>
      <c r="AC59" s="741" t="s">
        <v>2476</v>
      </c>
      <c r="AD59" s="395" t="s">
        <v>2475</v>
      </c>
      <c r="AE59" s="802"/>
      <c r="AF59" s="802"/>
      <c r="AI59" s="690" t="s">
        <v>2477</v>
      </c>
    </row>
    <row r="60" spans="5:35" s="82" customFormat="1" ht="14.25" customHeight="1">
      <c r="E60" s="499">
        <v>15</v>
      </c>
      <c r="F60" s="3" t="str" cm="1">
        <f t="array" aca="1" ref="F60" ca="1">OFFSET(E60,-1,1)</f>
        <v>1</v>
      </c>
      <c r="G60" s="44" t="s">
        <v>1673</v>
      </c>
      <c r="H60" s="41" t="s">
        <v>554</v>
      </c>
      <c r="I60" s="41"/>
      <c r="J60" s="41"/>
      <c r="K60" s="41"/>
      <c r="T60" s="365" t="b" cm="1">
        <f t="array" ref="T60">T59</f>
        <v>1</v>
      </c>
      <c r="X60" s="1094"/>
      <c r="Z60" s="1095"/>
      <c r="AB60" s="395" t="s">
        <v>683</v>
      </c>
      <c r="AC60" s="741" t="s">
        <v>2478</v>
      </c>
      <c r="AD60" s="395" t="s">
        <v>2475</v>
      </c>
      <c r="AE60" s="402">
        <f ca="1">AE58-AE59</f>
        <v>960.18599999999992</v>
      </c>
      <c r="AF60" s="402">
        <f ca="1">AF58-AF59</f>
        <v>961.84399999999994</v>
      </c>
      <c r="AI60" s="690" t="s">
        <v>2479</v>
      </c>
    </row>
    <row r="61" spans="5:35" s="82" customFormat="1" ht="14.25" customHeight="1">
      <c r="E61" s="499">
        <v>15</v>
      </c>
      <c r="F61" s="3" t="str" cm="1">
        <f t="array" aca="1" ref="F61" ca="1">OFFSET(E61,-1,1)</f>
        <v>1</v>
      </c>
      <c r="H61" s="41" t="s">
        <v>511</v>
      </c>
      <c r="I61" s="41"/>
      <c r="J61" s="41"/>
      <c r="K61" s="41"/>
      <c r="T61" s="365" t="b" cm="1">
        <f t="array" ref="T61">T60</f>
        <v>1</v>
      </c>
      <c r="X61" s="1094"/>
      <c r="Z61" s="1095"/>
      <c r="AB61" s="395" t="s">
        <v>447</v>
      </c>
      <c r="AC61" s="419" t="s">
        <v>2480</v>
      </c>
      <c r="AD61" s="395" t="s">
        <v>1624</v>
      </c>
      <c r="AE61" s="399">
        <f ca="1">IF(AE58=0,0,AE47/AE58)</f>
        <v>0</v>
      </c>
      <c r="AF61" s="399">
        <f ca="1">IF(AF58=0,0,AF47/AF58)</f>
        <v>0</v>
      </c>
      <c r="AI61" s="690" t="s">
        <v>1167</v>
      </c>
    </row>
    <row r="62" spans="5:35" s="82" customFormat="1" ht="14.25" customHeight="1">
      <c r="E62" s="499">
        <v>15</v>
      </c>
      <c r="F62" s="3" t="str" cm="1">
        <f t="array" aca="1" ref="F62" ca="1">OFFSET(E62,-1,1)</f>
        <v>1</v>
      </c>
      <c r="G62" s="44" t="s">
        <v>1621</v>
      </c>
      <c r="H62" s="41" t="s">
        <v>696</v>
      </c>
      <c r="I62" s="41"/>
      <c r="J62" s="41"/>
      <c r="K62" s="41"/>
      <c r="T62" s="365" t="b" cm="1">
        <f t="array" ref="T62">T61</f>
        <v>1</v>
      </c>
      <c r="X62" s="1094"/>
      <c r="Z62" s="1095"/>
      <c r="AB62" s="395" t="s">
        <v>2481</v>
      </c>
      <c r="AC62" s="742" t="s">
        <v>2482</v>
      </c>
      <c r="AD62" s="395" t="s">
        <v>1624</v>
      </c>
      <c r="AE62" s="406"/>
      <c r="AF62" s="406"/>
      <c r="AI62" s="690" t="s">
        <v>2483</v>
      </c>
    </row>
    <row r="63" spans="5:35" s="82" customFormat="1" ht="14.25" customHeight="1">
      <c r="E63" s="499">
        <v>15</v>
      </c>
      <c r="F63" s="3" t="str" cm="1">
        <f t="array" aca="1" ref="F63" ca="1">OFFSET(E63,-1,1)</f>
        <v>1</v>
      </c>
      <c r="G63" s="44" t="s">
        <v>1626</v>
      </c>
      <c r="H63" s="41" t="s">
        <v>699</v>
      </c>
      <c r="I63" s="41"/>
      <c r="J63" s="41"/>
      <c r="K63" s="41"/>
      <c r="T63" s="365" t="b" cm="1">
        <f t="array" ref="T63">T62</f>
        <v>1</v>
      </c>
      <c r="X63" s="1094"/>
      <c r="Z63" s="1095"/>
      <c r="AB63" s="395" t="s">
        <v>2484</v>
      </c>
      <c r="AC63" s="742" t="s">
        <v>2485</v>
      </c>
      <c r="AD63" s="395" t="s">
        <v>1624</v>
      </c>
      <c r="AE63" s="406">
        <f ca="1">IF(AE60=0,0,(AE47-AE62*AE59)/AE60)</f>
        <v>0</v>
      </c>
      <c r="AF63" s="406">
        <f ca="1">IF(AF60=0,0,(AF47-AF62*AF59)/AF60)</f>
        <v>0</v>
      </c>
      <c r="AI63" s="690" t="s">
        <v>2486</v>
      </c>
    </row>
    <row r="64" spans="5:35" ht="14.25" customHeight="1">
      <c r="E64" s="460">
        <v>15</v>
      </c>
      <c r="F64" s="3" t="str" cm="1">
        <f t="array" aca="1" ref="F64" ca="1">OFFSET(E64,-1,1)</f>
        <v>1</v>
      </c>
      <c r="H64" s="41" t="s">
        <v>675</v>
      </c>
      <c r="T64" s="365" t="b" cm="1">
        <f t="array" ref="T64">T63</f>
        <v>1</v>
      </c>
      <c r="X64" s="1094"/>
      <c r="Z64" s="1095"/>
      <c r="AB64" s="395" t="s">
        <v>570</v>
      </c>
      <c r="AC64" s="413" t="s">
        <v>2487</v>
      </c>
      <c r="AD64" s="395" t="s">
        <v>456</v>
      </c>
      <c r="AE64" s="399">
        <f>IF(AE62=0,0,AE63/AE62*100)</f>
        <v>0</v>
      </c>
      <c r="AF64" s="399">
        <f>IF(AF62=0,0,AF63/AF62*100)</f>
        <v>0</v>
      </c>
      <c r="AI64" s="667" t="s">
        <v>2488</v>
      </c>
    </row>
    <row r="65" spans="5:35" ht="14.25" customHeight="1">
      <c r="E65" s="460">
        <v>15</v>
      </c>
      <c r="F65" s="41" t="str" cm="1">
        <f t="array" ref="F65">X65</f>
        <v>2</v>
      </c>
      <c r="T65" s="365" t="b">
        <f>X65&gt;0</f>
        <v>1</v>
      </c>
      <c r="V65" s="41" t="str" cm="1">
        <f t="array" ref="V65">ГО!$AB$205</f>
        <v>Тариф 2 (Водоотведение) - тариф на водоотведение (Доп. признак не требуется)</v>
      </c>
      <c r="X65" s="1094" t="s">
        <v>285</v>
      </c>
      <c r="Z65" s="1095"/>
      <c r="AB65" s="154" t="str" cm="1">
        <f t="array" ref="AB65">ГО!$AB$205</f>
        <v>Тариф 2 (Водоотведение) - тариф на водоотведение (Доп. признак не требуется)</v>
      </c>
      <c r="AC65" s="596"/>
      <c r="AD65" s="798"/>
      <c r="AE65" s="798"/>
      <c r="AF65" s="799"/>
    </row>
    <row r="66" spans="5:35" s="82" customFormat="1" ht="21.75" customHeight="1">
      <c r="E66" s="499">
        <v>22.5</v>
      </c>
      <c r="F66" s="3" t="str" cm="1">
        <f t="array" aca="1" ref="F66" ca="1">OFFSET(E66,-1,1)</f>
        <v>2</v>
      </c>
      <c r="H66" s="41" t="s">
        <v>327</v>
      </c>
      <c r="I66" s="41"/>
      <c r="J66" s="41"/>
      <c r="K66" s="41"/>
      <c r="T66" s="365" t="b" cm="1">
        <f t="array" ref="T66">T65</f>
        <v>1</v>
      </c>
      <c r="X66" s="1094"/>
      <c r="Z66" s="1095"/>
      <c r="AB66" s="395" t="s">
        <v>275</v>
      </c>
      <c r="AC66" s="403" t="s">
        <v>2455</v>
      </c>
      <c r="AD66" s="395" t="s">
        <v>804</v>
      </c>
      <c r="AE66" s="399">
        <f ca="1">(AE67+AE75)*AE73</f>
        <v>0</v>
      </c>
      <c r="AF66" s="399">
        <f ca="1">(AF67+AF75)*AF73</f>
        <v>0</v>
      </c>
      <c r="AI66" s="690" t="s">
        <v>2456</v>
      </c>
    </row>
    <row r="67" spans="5:35" ht="21.75" customHeight="1">
      <c r="E67" s="460">
        <v>22.5</v>
      </c>
      <c r="F67" s="3" t="str" cm="1">
        <f t="array" aca="1" ref="F67" ca="1">OFFSET(E67,-1,1)</f>
        <v>2</v>
      </c>
      <c r="G67" s="41" t="s">
        <v>2457</v>
      </c>
      <c r="H67" s="41" t="s">
        <v>328</v>
      </c>
      <c r="K67" s="41" t="str">
        <f ca="1">F67&amp;G67</f>
        <v>2УТР</v>
      </c>
      <c r="L67" s="720" cm="1">
        <f t="array" ref="L67">AE67</f>
        <v>0</v>
      </c>
      <c r="M67" s="720" cm="1">
        <f t="array" ref="M67">AF67</f>
        <v>0</v>
      </c>
      <c r="T67" s="365" t="b" cm="1">
        <f t="array" ref="T67">T66</f>
        <v>1</v>
      </c>
      <c r="X67" s="1094"/>
      <c r="Z67" s="1095"/>
      <c r="AB67" s="395" t="s">
        <v>285</v>
      </c>
      <c r="AC67" s="398" t="s">
        <v>1059</v>
      </c>
      <c r="AD67" s="395" t="s">
        <v>1051</v>
      </c>
      <c r="AE67" s="399">
        <f>IF(AE72=0,0,(AE68-IF(SUMIFS('Перечень объектов'!AH$24:AH$63,'Перечень объектов'!$F$24:$F$63,$F67,'Перечень объектов'!$G$24:$G$63,"ЭЭ")&gt;0,0,AE69))/AE72)</f>
        <v>0</v>
      </c>
      <c r="AF67" s="399">
        <f>IF(AF72=0,0,(AF68-IF(SUMIFS('Перечень объектов'!AI$24:AI$63,'Перечень объектов'!$F$24:$F$63,$F67,'Перечень объектов'!$G$24:$G$63,"ЭЭ")&gt;0,0,AF69))/AF72)</f>
        <v>0</v>
      </c>
      <c r="AI67" s="667" t="s">
        <v>2458</v>
      </c>
    </row>
    <row r="68" spans="5:35" ht="32.25" customHeight="1">
      <c r="E68" s="460">
        <v>33.75</v>
      </c>
      <c r="F68" s="3" t="str" cm="1">
        <f t="array" aca="1" ref="F68" ca="1">OFFSET(E68,-1,1)</f>
        <v>2</v>
      </c>
      <c r="H68" s="41" t="s">
        <v>479</v>
      </c>
      <c r="T68" s="365" t="b" cm="1">
        <f t="array" ref="T68">T67</f>
        <v>1</v>
      </c>
      <c r="X68" s="1094"/>
      <c r="Z68" s="1095"/>
      <c r="AB68" s="395" t="s">
        <v>537</v>
      </c>
      <c r="AC68" s="421" t="s">
        <v>2459</v>
      </c>
      <c r="AD68" s="395" t="s">
        <v>804</v>
      </c>
      <c r="AE68" s="406"/>
      <c r="AF68" s="399">
        <f ca="1">SUMIFS(ГО!AE$25:AE$294,ГО!$F$25:$F$294,$F68,ГО!$G$25:$G$294,"Итог")*(1+AF70/100)*(1+AF71/100)</f>
        <v>0</v>
      </c>
      <c r="AI68" s="667" t="s">
        <v>2460</v>
      </c>
    </row>
    <row r="69" spans="5:35" s="82" customFormat="1" ht="14.25" customHeight="1">
      <c r="E69" s="499">
        <v>15</v>
      </c>
      <c r="F69" s="3" t="str" cm="1">
        <f t="array" aca="1" ref="F69" ca="1">OFFSET(E69,-1,1)</f>
        <v>2</v>
      </c>
      <c r="H69" s="41" t="s">
        <v>1562</v>
      </c>
      <c r="I69" s="41"/>
      <c r="J69" s="41"/>
      <c r="K69" s="41"/>
      <c r="T69" s="365" t="b" cm="1">
        <f t="array" ref="T69">T68</f>
        <v>1</v>
      </c>
      <c r="X69" s="1094"/>
      <c r="Z69" s="1095"/>
      <c r="AB69" s="395" t="s">
        <v>487</v>
      </c>
      <c r="AC69" s="800" t="s">
        <v>2461</v>
      </c>
      <c r="AD69" s="395" t="s">
        <v>804</v>
      </c>
      <c r="AE69" s="406"/>
      <c r="AF69" s="399">
        <f ca="1">SUMIFS(ГО!AE$25:AE$294,ГО!$F$25:$F$294,$F69,ГО!$G$25:$G$294,"ЭЭ")*(1+AF70/100)*(1+AF71/100)</f>
        <v>0</v>
      </c>
      <c r="AI69" s="690" t="s">
        <v>1733</v>
      </c>
    </row>
    <row r="70" spans="5:35" s="82" customFormat="1" ht="14.25" customHeight="1">
      <c r="E70" s="499">
        <v>15</v>
      </c>
      <c r="F70" s="3" t="str" cm="1">
        <f t="array" aca="1" ref="F70" ca="1">OFFSET(E70,-1,1)</f>
        <v>2</v>
      </c>
      <c r="H70" s="41" t="s">
        <v>482</v>
      </c>
      <c r="I70" s="41"/>
      <c r="J70" s="41"/>
      <c r="K70" s="41"/>
      <c r="T70" s="365" t="b" cm="1">
        <f t="array" ref="T70">T69</f>
        <v>1</v>
      </c>
      <c r="X70" s="1094"/>
      <c r="Z70" s="1095"/>
      <c r="AB70" s="395" t="s">
        <v>541</v>
      </c>
      <c r="AC70" s="421" t="str">
        <f>"индекс потребительских цен на "&amp;god-1&amp;" год"</f>
        <v>индекс потребительских цен на 2025 год</v>
      </c>
      <c r="AD70" s="395" t="s">
        <v>456</v>
      </c>
      <c r="AE70" s="406"/>
      <c r="AF70" s="406"/>
      <c r="AI70" s="690" t="s">
        <v>2462</v>
      </c>
    </row>
    <row r="71" spans="5:35" s="82" customFormat="1" ht="14.25" customHeight="1">
      <c r="E71" s="499">
        <v>15</v>
      </c>
      <c r="F71" s="3" t="str" cm="1">
        <f t="array" aca="1" ref="F71" ca="1">OFFSET(E71,-1,1)</f>
        <v>2</v>
      </c>
      <c r="H71" s="41" t="s">
        <v>917</v>
      </c>
      <c r="I71" s="41"/>
      <c r="J71" s="41"/>
      <c r="K71" s="41"/>
      <c r="T71" s="365" t="b" cm="1">
        <f t="array" ref="T71">T70</f>
        <v>1</v>
      </c>
      <c r="X71" s="1094"/>
      <c r="Z71" s="1095"/>
      <c r="AB71" s="395" t="s">
        <v>545</v>
      </c>
      <c r="AC71" s="421" t="str">
        <f>"индекс потребительских цен на "&amp;god&amp;" год"</f>
        <v>индекс потребительских цен на 2026 год</v>
      </c>
      <c r="AD71" s="395" t="s">
        <v>456</v>
      </c>
      <c r="AE71" s="406"/>
      <c r="AF71" s="406"/>
      <c r="AI71" s="690" t="s">
        <v>2463</v>
      </c>
    </row>
    <row r="72" spans="5:35" s="82" customFormat="1" ht="21.75" customHeight="1">
      <c r="E72" s="499">
        <v>22.5</v>
      </c>
      <c r="F72" s="3" t="str" cm="1">
        <f t="array" aca="1" ref="F72" ca="1">OFFSET(E72,-1,1)</f>
        <v>2</v>
      </c>
      <c r="H72" s="41" t="s">
        <v>919</v>
      </c>
      <c r="I72" s="41"/>
      <c r="J72" s="41"/>
      <c r="K72" s="41"/>
      <c r="T72" s="365" t="b" cm="1">
        <f t="array" ref="T72">T71</f>
        <v>1</v>
      </c>
      <c r="X72" s="1094"/>
      <c r="Z72" s="1095"/>
      <c r="AB72" s="395" t="s">
        <v>920</v>
      </c>
      <c r="AC72" s="421" t="s">
        <v>2464</v>
      </c>
      <c r="AD72" s="395" t="s">
        <v>796</v>
      </c>
      <c r="AE72" s="406"/>
      <c r="AF72" s="406"/>
      <c r="AI72" s="690" t="s">
        <v>2465</v>
      </c>
    </row>
    <row r="73" spans="5:35" s="82" customFormat="1" ht="14.25" customHeight="1">
      <c r="E73" s="499">
        <v>15</v>
      </c>
      <c r="F73" s="3" t="str" cm="1">
        <f t="array" aca="1" ref="F73" ca="1">OFFSET(E73,-1,1)</f>
        <v>2</v>
      </c>
      <c r="H73" s="41" t="s">
        <v>329</v>
      </c>
      <c r="I73" s="41"/>
      <c r="J73" s="41"/>
      <c r="K73" s="41"/>
      <c r="T73" s="365" t="b" cm="1">
        <f t="array" ref="T73">T72</f>
        <v>1</v>
      </c>
      <c r="X73" s="1094"/>
      <c r="Z73" s="1095"/>
      <c r="AB73" s="395" t="s">
        <v>325</v>
      </c>
      <c r="AC73" s="420" t="s">
        <v>2466</v>
      </c>
      <c r="AD73" s="395" t="s">
        <v>796</v>
      </c>
      <c r="AE73" s="402">
        <f ca="1">SUMIFS('Условные метры'!AL$27:AL$38,'Условные метры'!$F$27:$F$38,$F73,'Условные метры'!$G$27:$G$38,"Итог")</f>
        <v>0</v>
      </c>
      <c r="AF73" s="402">
        <f ca="1">SUMIFS('Условные метры'!AN$27:AN$38,'Условные метры'!$F$27:$F$38,$F73,'Условные метры'!$G$27:$G$38,"Итог")</f>
        <v>0</v>
      </c>
      <c r="AI73" s="690" t="s">
        <v>2467</v>
      </c>
    </row>
    <row r="74" spans="5:35" s="82" customFormat="1" ht="14.25" customHeight="1">
      <c r="E74" s="499">
        <v>15</v>
      </c>
      <c r="F74" s="3" t="str" cm="1">
        <f t="array" aca="1" ref="F74" ca="1">OFFSET(E74,-1,1)</f>
        <v>2</v>
      </c>
      <c r="H74" s="41" t="s">
        <v>927</v>
      </c>
      <c r="I74" s="41"/>
      <c r="J74" s="41"/>
      <c r="K74" s="41"/>
      <c r="T74" s="365" t="b" cm="1">
        <f t="array" ref="T74">T73</f>
        <v>1</v>
      </c>
      <c r="X74" s="1094"/>
      <c r="Z74" s="1095"/>
      <c r="AB74" s="395" t="s">
        <v>551</v>
      </c>
      <c r="AC74" s="421" t="s">
        <v>2468</v>
      </c>
      <c r="AD74" s="395" t="s">
        <v>381</v>
      </c>
      <c r="AE74" s="402">
        <f ca="1">SUMIFS('Условные метры'!AK$27:AK$38,'Условные метры'!$F$27:$F$38,$F74,'Условные метры'!$G$27:$G$38,"Итог")</f>
        <v>0</v>
      </c>
      <c r="AF74" s="402">
        <f ca="1">SUMIFS('Условные метры'!AM$27:AM$38,'Условные метры'!$F$27:$F$38,$F74,'Условные метры'!$G$27:$G$38,"Итог")</f>
        <v>0</v>
      </c>
      <c r="AI74" s="690" t="s">
        <v>2469</v>
      </c>
    </row>
    <row r="75" spans="5:35" s="82" customFormat="1" ht="14.25" customHeight="1">
      <c r="E75" s="499">
        <v>15</v>
      </c>
      <c r="F75" s="3" t="str" cm="1">
        <f t="array" aca="1" ref="F75" ca="1">OFFSET(E75,-1,1)</f>
        <v>2</v>
      </c>
      <c r="H75" s="41" t="s">
        <v>331</v>
      </c>
      <c r="I75" s="41"/>
      <c r="J75" s="41"/>
      <c r="K75" s="41"/>
      <c r="T75" s="365" t="b" cm="1">
        <f t="array" ref="T75">T74</f>
        <v>1</v>
      </c>
      <c r="X75" s="1094"/>
      <c r="Z75" s="1095"/>
      <c r="AB75" s="395" t="s">
        <v>433</v>
      </c>
      <c r="AC75" s="420" t="s">
        <v>2470</v>
      </c>
      <c r="AD75" s="395" t="s">
        <v>1051</v>
      </c>
      <c r="AE75" s="402">
        <f ca="1">SUMIFS('Амортизация (аналог)'!AE$25:AE$48,'Амортизация (аналог)'!$F$25:$F$48,$F75,'Амортизация (аналог)'!$AB$25:$AB$48,"2")</f>
        <v>0</v>
      </c>
      <c r="AF75" s="402">
        <f ca="1">SUMIFS('Амортизация (аналог)'!AF$25:AF$48,'Амортизация (аналог)'!$F$25:$F$48,$F75,'Амортизация (аналог)'!$AB$25:$AB$48,"2")</f>
        <v>0</v>
      </c>
      <c r="AI75" s="690" t="s">
        <v>2471</v>
      </c>
    </row>
    <row r="76" spans="5:35" s="82" customFormat="1" ht="14.25" customHeight="1">
      <c r="E76" s="499">
        <v>15</v>
      </c>
      <c r="F76" s="3" t="str" cm="1">
        <f t="array" aca="1" ref="F76" ca="1">OFFSET(E76,-1,1)</f>
        <v>2</v>
      </c>
      <c r="H76" s="41" t="s">
        <v>536</v>
      </c>
      <c r="I76" s="41"/>
      <c r="J76" s="41"/>
      <c r="K76" s="41"/>
      <c r="T76" s="365" t="b" cm="1">
        <f t="array" ref="T76">T75</f>
        <v>1</v>
      </c>
      <c r="X76" s="1094"/>
      <c r="Z76" s="1095"/>
      <c r="AB76" s="395" t="s">
        <v>673</v>
      </c>
      <c r="AC76" s="801" t="s">
        <v>2472</v>
      </c>
      <c r="AD76" s="395" t="s">
        <v>456</v>
      </c>
      <c r="AE76" s="399">
        <f>IF(AE67=0,0,AE75/AE67*100)</f>
        <v>0</v>
      </c>
      <c r="AF76" s="399">
        <f>IF(AF67=0,0,AF75/AF67*100)</f>
        <v>0</v>
      </c>
      <c r="AI76" s="690" t="s">
        <v>2473</v>
      </c>
    </row>
    <row r="77" spans="5:35" s="82" customFormat="1" ht="21.75" customHeight="1">
      <c r="E77" s="499">
        <v>22.5</v>
      </c>
      <c r="F77" s="3" t="str" cm="1">
        <f t="array" aca="1" ref="F77" ca="1">OFFSET(E77,-1,1)</f>
        <v>2</v>
      </c>
      <c r="G77" s="91" t="s">
        <v>1633</v>
      </c>
      <c r="H77" s="41" t="s">
        <v>330</v>
      </c>
      <c r="I77" s="41"/>
      <c r="J77" s="41"/>
      <c r="K77" s="41"/>
      <c r="T77" s="365" t="b" cm="1">
        <f t="array" ref="T77">T76</f>
        <v>1</v>
      </c>
      <c r="X77" s="1094"/>
      <c r="Z77" s="1095"/>
      <c r="AB77" s="395" t="s">
        <v>444</v>
      </c>
      <c r="AC77" s="419" t="s">
        <v>2474</v>
      </c>
      <c r="AD77" s="395" t="s">
        <v>2475</v>
      </c>
      <c r="AE77" s="402">
        <f ca="1">SUMIFS(Баланс!$AI$25:$AI$300,Баланс!$F$25:$F$300,$F77,Баланс!$G$25:$G$300,"ПО")</f>
        <v>938.9369999999999</v>
      </c>
      <c r="AF77" s="402">
        <f ca="1">SUMIFS(Баланс!$AS$25:$AS$300,Баланс!$F$25:$F$300,$F77,Баланс!$G$25:$G$300,"ПО")</f>
        <v>948.16300000000001</v>
      </c>
      <c r="AI77" s="690" t="s">
        <v>1074</v>
      </c>
    </row>
    <row r="78" spans="5:35" s="82" customFormat="1" ht="14.25" customHeight="1">
      <c r="E78" s="499">
        <v>15</v>
      </c>
      <c r="F78" s="3" t="str" cm="1">
        <f t="array" aca="1" ref="F78" ca="1">OFFSET(E78,-1,1)</f>
        <v>2</v>
      </c>
      <c r="G78" s="44" t="s">
        <v>1660</v>
      </c>
      <c r="H78" s="41" t="s">
        <v>550</v>
      </c>
      <c r="I78" s="41"/>
      <c r="J78" s="41"/>
      <c r="K78" s="41"/>
      <c r="T78" s="365" t="b" cm="1">
        <f t="array" ref="T78">T77</f>
        <v>1</v>
      </c>
      <c r="X78" s="1094"/>
      <c r="Z78" s="1095"/>
      <c r="AB78" s="395" t="s">
        <v>680</v>
      </c>
      <c r="AC78" s="741" t="s">
        <v>2476</v>
      </c>
      <c r="AD78" s="395" t="s">
        <v>2475</v>
      </c>
      <c r="AE78" s="802"/>
      <c r="AF78" s="802"/>
      <c r="AI78" s="690" t="s">
        <v>2477</v>
      </c>
    </row>
    <row r="79" spans="5:35" s="82" customFormat="1" ht="14.25" customHeight="1">
      <c r="E79" s="499">
        <v>15</v>
      </c>
      <c r="F79" s="3" t="str" cm="1">
        <f t="array" aca="1" ref="F79" ca="1">OFFSET(E79,-1,1)</f>
        <v>2</v>
      </c>
      <c r="G79" s="44" t="s">
        <v>1673</v>
      </c>
      <c r="H79" s="41" t="s">
        <v>554</v>
      </c>
      <c r="I79" s="41"/>
      <c r="J79" s="41"/>
      <c r="K79" s="41"/>
      <c r="T79" s="365" t="b" cm="1">
        <f t="array" ref="T79">T78</f>
        <v>1</v>
      </c>
      <c r="X79" s="1094"/>
      <c r="Z79" s="1095"/>
      <c r="AB79" s="395" t="s">
        <v>683</v>
      </c>
      <c r="AC79" s="741" t="s">
        <v>2478</v>
      </c>
      <c r="AD79" s="395" t="s">
        <v>2475</v>
      </c>
      <c r="AE79" s="402">
        <f ca="1">AE77-AE78</f>
        <v>938.9369999999999</v>
      </c>
      <c r="AF79" s="402">
        <f ca="1">AF77-AF78</f>
        <v>948.16300000000001</v>
      </c>
      <c r="AI79" s="690" t="s">
        <v>2479</v>
      </c>
    </row>
    <row r="80" spans="5:35" s="82" customFormat="1" ht="14.25" customHeight="1">
      <c r="E80" s="499">
        <v>15</v>
      </c>
      <c r="F80" s="3" t="str" cm="1">
        <f t="array" aca="1" ref="F80" ca="1">OFFSET(E80,-1,1)</f>
        <v>2</v>
      </c>
      <c r="H80" s="41" t="s">
        <v>511</v>
      </c>
      <c r="I80" s="41"/>
      <c r="J80" s="41"/>
      <c r="K80" s="41"/>
      <c r="T80" s="365" t="b" cm="1">
        <f t="array" ref="T80">T79</f>
        <v>1</v>
      </c>
      <c r="X80" s="1094"/>
      <c r="Z80" s="1095"/>
      <c r="AB80" s="395" t="s">
        <v>447</v>
      </c>
      <c r="AC80" s="419" t="s">
        <v>2480</v>
      </c>
      <c r="AD80" s="395" t="s">
        <v>1624</v>
      </c>
      <c r="AE80" s="399">
        <f ca="1">IF(AE77=0,0,AE66/AE77)</f>
        <v>0</v>
      </c>
      <c r="AF80" s="399">
        <f ca="1">IF(AF77=0,0,AF66/AF77)</f>
        <v>0</v>
      </c>
      <c r="AI80" s="690" t="s">
        <v>1167</v>
      </c>
    </row>
    <row r="81" spans="5:35" s="82" customFormat="1" ht="14.25" customHeight="1">
      <c r="E81" s="499">
        <v>15</v>
      </c>
      <c r="F81" s="3" t="str" cm="1">
        <f t="array" aca="1" ref="F81" ca="1">OFFSET(E81,-1,1)</f>
        <v>2</v>
      </c>
      <c r="G81" s="44" t="s">
        <v>1621</v>
      </c>
      <c r="H81" s="41" t="s">
        <v>696</v>
      </c>
      <c r="I81" s="41"/>
      <c r="J81" s="41"/>
      <c r="K81" s="41"/>
      <c r="T81" s="365" t="b" cm="1">
        <f t="array" ref="T81">T80</f>
        <v>1</v>
      </c>
      <c r="X81" s="1094"/>
      <c r="Z81" s="1095"/>
      <c r="AB81" s="395" t="s">
        <v>2481</v>
      </c>
      <c r="AC81" s="742" t="s">
        <v>2482</v>
      </c>
      <c r="AD81" s="395" t="s">
        <v>1624</v>
      </c>
      <c r="AE81" s="406"/>
      <c r="AF81" s="406"/>
      <c r="AI81" s="690" t="s">
        <v>2483</v>
      </c>
    </row>
    <row r="82" spans="5:35" s="82" customFormat="1" ht="14.25" customHeight="1">
      <c r="E82" s="499">
        <v>15</v>
      </c>
      <c r="F82" s="3" t="str" cm="1">
        <f t="array" aca="1" ref="F82" ca="1">OFFSET(E82,-1,1)</f>
        <v>2</v>
      </c>
      <c r="G82" s="44" t="s">
        <v>1626</v>
      </c>
      <c r="H82" s="41" t="s">
        <v>699</v>
      </c>
      <c r="I82" s="41"/>
      <c r="J82" s="41"/>
      <c r="K82" s="41"/>
      <c r="T82" s="365" t="b" cm="1">
        <f t="array" ref="T82">T81</f>
        <v>1</v>
      </c>
      <c r="X82" s="1094"/>
      <c r="Z82" s="1095"/>
      <c r="AB82" s="395" t="s">
        <v>2484</v>
      </c>
      <c r="AC82" s="742" t="s">
        <v>2485</v>
      </c>
      <c r="AD82" s="395" t="s">
        <v>1624</v>
      </c>
      <c r="AE82" s="406">
        <f ca="1">IF(AE79=0,0,(AE66-AE81*AE78)/AE79)</f>
        <v>0</v>
      </c>
      <c r="AF82" s="406">
        <f ca="1">IF(AF79=0,0,(AF66-AF81*AF78)/AF79)</f>
        <v>0</v>
      </c>
      <c r="AI82" s="690" t="s">
        <v>2486</v>
      </c>
    </row>
    <row r="83" spans="5:35" ht="14.25" customHeight="1">
      <c r="E83" s="460">
        <v>15</v>
      </c>
      <c r="F83" s="3" t="str" cm="1">
        <f t="array" aca="1" ref="F83" ca="1">OFFSET(E83,-1,1)</f>
        <v>2</v>
      </c>
      <c r="H83" s="41" t="s">
        <v>675</v>
      </c>
      <c r="T83" s="365" t="b" cm="1">
        <f t="array" ref="T83">T82</f>
        <v>1</v>
      </c>
      <c r="X83" s="1094"/>
      <c r="Z83" s="1095"/>
      <c r="AB83" s="395" t="s">
        <v>570</v>
      </c>
      <c r="AC83" s="413" t="s">
        <v>2487</v>
      </c>
      <c r="AD83" s="395" t="s">
        <v>456</v>
      </c>
      <c r="AE83" s="399">
        <f>IF(AE81=0,0,AE82/AE81*100)</f>
        <v>0</v>
      </c>
      <c r="AF83" s="399">
        <f>IF(AF81=0,0,AF82/AF81*100)</f>
        <v>0</v>
      </c>
      <c r="AI83" s="667" t="s">
        <v>2488</v>
      </c>
    </row>
    <row r="84" spans="5:35" ht="10.9" customHeight="1">
      <c r="E84" s="460">
        <v>11.25</v>
      </c>
      <c r="U84" s="41" t="s">
        <v>177</v>
      </c>
      <c r="V84" s="528" t="s">
        <v>2489</v>
      </c>
      <c r="AB84" s="396"/>
      <c r="AC84" s="83"/>
      <c r="AD84" s="396"/>
      <c r="AE84" s="407"/>
    </row>
    <row r="85" spans="5:35" ht="44.65" customHeight="1">
      <c r="E85" s="460">
        <v>45.75</v>
      </c>
      <c r="AB85" s="1204" t="s">
        <v>2490</v>
      </c>
      <c r="AC85" s="1204"/>
      <c r="AD85" s="1204"/>
      <c r="AE85" s="1204"/>
      <c r="AF85" s="1204"/>
    </row>
    <row r="86" spans="5:35" ht="10.9" customHeight="1">
      <c r="E86" s="460">
        <v>11.25</v>
      </c>
      <c r="AB86" s="396"/>
      <c r="AC86" s="83"/>
      <c r="AD86" s="396"/>
      <c r="AE86" s="407"/>
    </row>
    <row r="87" spans="5:35" s="36" customFormat="1" ht="14.65" customHeight="1">
      <c r="E87" s="472">
        <v>15</v>
      </c>
      <c r="AB87" s="1088" t="s">
        <v>398</v>
      </c>
      <c r="AC87" s="1088"/>
      <c r="AD87" s="1088"/>
      <c r="AE87" s="1096"/>
      <c r="AF87" s="1096"/>
      <c r="AI87" s="680"/>
    </row>
    <row r="88" spans="5:35" s="36" customFormat="1" ht="14.65" customHeight="1">
      <c r="E88" s="472">
        <v>15</v>
      </c>
      <c r="AA88" s="492"/>
      <c r="AB88" s="1097"/>
      <c r="AC88" s="1097"/>
      <c r="AD88" s="1097"/>
      <c r="AE88" s="1098"/>
      <c r="AF88" s="1098"/>
      <c r="AI88" s="680"/>
    </row>
    <row r="89" spans="5:35" s="36" customFormat="1" ht="14.65" hidden="1" customHeight="1">
      <c r="E89" s="472">
        <v>15</v>
      </c>
      <c r="T89" s="365" t="b">
        <f>ROW(W89)&gt;ROW(W$89)</f>
        <v>0</v>
      </c>
      <c r="W89" s="36" t="s">
        <v>173</v>
      </c>
      <c r="AA89" s="493" t="s">
        <v>174</v>
      </c>
      <c r="AB89" s="1113"/>
      <c r="AC89" s="1114"/>
      <c r="AD89" s="1114"/>
      <c r="AE89" s="1114"/>
      <c r="AF89" s="1116"/>
      <c r="AI89" s="680"/>
    </row>
    <row r="90" spans="5:35" s="36" customFormat="1" ht="14.65" customHeight="1">
      <c r="E90" s="472">
        <v>15</v>
      </c>
      <c r="W90" s="517" t="s">
        <v>399</v>
      </c>
      <c r="AB90" s="485"/>
      <c r="AC90" s="394" t="s">
        <v>400</v>
      </c>
      <c r="AD90" s="231"/>
      <c r="AE90" s="232"/>
      <c r="AF90" s="233"/>
      <c r="AI90" s="680"/>
    </row>
    <row r="91" spans="5:35" ht="10.9" customHeight="1">
      <c r="E91" s="460">
        <v>11.25</v>
      </c>
      <c r="AC91" s="408"/>
    </row>
  </sheetData>
  <sheetProtection formatColumns="0" formatRows="0" insertRows="0" deleteColumns="0" deleteRows="0" sort="0" autoFilter="0"/>
  <mergeCells count="16">
    <mergeCell ref="X27:X45"/>
    <mergeCell ref="Z27:Z45"/>
    <mergeCell ref="AB89:AF89"/>
    <mergeCell ref="AB87:AF87"/>
    <mergeCell ref="AB88:AF88"/>
    <mergeCell ref="AB85:AF85"/>
    <mergeCell ref="X46:X64"/>
    <mergeCell ref="Z46:Z64"/>
    <mergeCell ref="X65:X83"/>
    <mergeCell ref="Z65:Z83"/>
    <mergeCell ref="AB22:AF22"/>
    <mergeCell ref="AB23:AF23"/>
    <mergeCell ref="AB24:AB25"/>
    <mergeCell ref="AC24:AC25"/>
    <mergeCell ref="AD24:AD25"/>
    <mergeCell ref="AE24:AF24"/>
  </mergeCells>
  <dataValidations count="3">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xr:uid="{00000000-0002-0000-2200-000000000000}">
      <formula1>0</formula1>
      <formula2>9.99999999999999E+23</formula2>
    </dataValidation>
    <dataValidation type="decimal" allowBlank="1" showErrorMessage="1" errorTitle="Ошибка" error="Допускается ввод только действительных чисел!" sqref="AE43:AF44 AE62 AF62 AE63 AF63 AE81 AF81 AE82 AF82" xr:uid="{00000000-0002-0000-2200-000001000000}">
      <formula1>-9.99999999999999E+23</formula1>
      <formula2>9.99999999999999E+23</formula2>
    </dataValidation>
    <dataValidation type="decimal" allowBlank="1" showErrorMessage="1" errorTitle="Ошибка" error="Введите число от 0 до 100!" sqref="AE32:AF33 AE51 AF51 AE52 AF52 AE70 AF70 AE71 AF71" xr:uid="{00000000-0002-0000-2200-000002000000}">
      <formula1>0</formula1>
      <formula2>100</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9CD8-D307-2CD8-C457-C81FA66E2708}">
  <sheetPr>
    <tabColor rgb="FFD3DBDB"/>
    <pageSetUpPr fitToPage="1"/>
  </sheetPr>
  <dimension ref="A1:AC34"/>
  <sheetViews>
    <sheetView showGridLines="0" topLeftCell="AA21" workbookViewId="0">
      <selection activeCell="AK37" sqref="AK37"/>
    </sheetView>
  </sheetViews>
  <sheetFormatPr defaultColWidth="9.140625" defaultRowHeight="11.25" customHeight="1"/>
  <cols>
    <col min="1" max="1" width="3.5703125" style="41" hidden="1" customWidth="1"/>
    <col min="2" max="2" width="8.5703125" style="62" hidden="1" customWidth="1"/>
    <col min="3" max="4" width="3.5703125" style="41" hidden="1" customWidth="1"/>
    <col min="5" max="5" width="3.5703125" style="460" hidden="1" customWidth="1"/>
    <col min="6" max="21" width="3.5703125" style="41" hidden="1" customWidth="1"/>
    <col min="22" max="22" width="4.5703125" style="41" hidden="1" customWidth="1"/>
    <col min="23" max="23" width="8.42578125" style="41" hidden="1" customWidth="1"/>
    <col min="24" max="26" width="3.5703125" style="41" hidden="1" customWidth="1"/>
    <col min="27" max="27" width="3" style="41" customWidth="1"/>
    <col min="28" max="28" width="94.140625" style="41" customWidth="1"/>
    <col min="29" max="29" width="9.140625" style="41"/>
  </cols>
  <sheetData>
    <row r="1" spans="1:28" ht="11.25" hidden="1" customHeight="1">
      <c r="E1" s="41"/>
      <c r="W1" s="365" t="s">
        <v>93</v>
      </c>
      <c r="X1" s="365"/>
      <c r="Y1" s="365" t="s">
        <v>94</v>
      </c>
      <c r="Z1" s="365" t="s">
        <v>96</v>
      </c>
      <c r="AA1" s="365" t="s">
        <v>100</v>
      </c>
      <c r="AB1" s="365" t="s">
        <v>98</v>
      </c>
    </row>
    <row r="2" spans="1:28" s="62" customFormat="1" ht="11.25" hidden="1" customHeight="1">
      <c r="B2" s="354" t="s">
        <v>19</v>
      </c>
    </row>
    <row r="3" spans="1:28" ht="11.25" hidden="1" customHeight="1">
      <c r="E3" s="41"/>
    </row>
    <row r="4" spans="1:28" ht="11.25" hidden="1" customHeight="1">
      <c r="E4" s="41"/>
    </row>
    <row r="5" spans="1:28" s="460" customFormat="1" ht="11.25" hidden="1" customHeight="1">
      <c r="A5" s="41"/>
      <c r="B5" s="62"/>
      <c r="C5" s="41"/>
      <c r="D5" s="41"/>
      <c r="E5" s="518" t="s">
        <v>20</v>
      </c>
      <c r="AA5" s="460">
        <v>3</v>
      </c>
      <c r="AB5" s="460">
        <v>94.14</v>
      </c>
    </row>
    <row r="6" spans="1:28" ht="11.25" hidden="1" customHeight="1"/>
    <row r="7" spans="1:28" ht="11.25" hidden="1" customHeight="1"/>
    <row r="8" spans="1:28" ht="11.25" hidden="1" customHeight="1"/>
    <row r="9" spans="1:28" ht="11.25" hidden="1" customHeight="1"/>
    <row r="10" spans="1:28" ht="11.25" hidden="1" customHeight="1"/>
    <row r="11" spans="1:28" ht="11.25" hidden="1" customHeight="1"/>
    <row r="12" spans="1:28" ht="11.25" hidden="1" customHeight="1"/>
    <row r="13" spans="1:28" ht="11.25" hidden="1" customHeight="1"/>
    <row r="14" spans="1:28" ht="11.25" hidden="1" customHeight="1"/>
    <row r="15" spans="1:28" ht="11.25" hidden="1" customHeight="1"/>
    <row r="16" spans="1:28" ht="11.25" hidden="1" customHeight="1"/>
    <row r="17" spans="5:28" ht="11.25" hidden="1" customHeight="1"/>
    <row r="18" spans="5:28" ht="11.25" hidden="1" customHeight="1"/>
    <row r="19" spans="5:28" ht="11.25" hidden="1" customHeight="1"/>
    <row r="20" spans="5:28" ht="11.25" hidden="1" customHeight="1"/>
    <row r="21" spans="5:28" ht="14.65" customHeight="1">
      <c r="E21" s="460">
        <v>15</v>
      </c>
      <c r="AA21" s="337"/>
      <c r="AB21" s="42"/>
    </row>
    <row r="22" spans="5:28" ht="18.95" customHeight="1">
      <c r="E22" s="460">
        <v>19.5</v>
      </c>
      <c r="AA22" s="42"/>
      <c r="AB22" s="40" t="s">
        <v>364</v>
      </c>
    </row>
    <row r="23" spans="5:28" ht="10.9" customHeight="1">
      <c r="E23" s="460">
        <v>11.25</v>
      </c>
      <c r="AA23" s="42"/>
      <c r="AB23" s="42"/>
    </row>
    <row r="24" spans="5:28" ht="42.6" customHeight="1">
      <c r="E24" s="460">
        <v>20</v>
      </c>
      <c r="AA24" s="42"/>
      <c r="AB24" s="43" t="s">
        <v>2491</v>
      </c>
    </row>
    <row r="25" spans="5:28" ht="41.25" customHeight="1">
      <c r="E25" s="460">
        <v>20</v>
      </c>
      <c r="AA25" s="42"/>
      <c r="AB25" s="43" t="s">
        <v>2492</v>
      </c>
    </row>
    <row r="26" spans="5:28" ht="28.35" customHeight="1">
      <c r="E26" s="460">
        <v>20</v>
      </c>
      <c r="AA26" s="42"/>
      <c r="AB26" s="43" t="s">
        <v>2493</v>
      </c>
    </row>
    <row r="27" spans="5:28" ht="26.25" customHeight="1">
      <c r="E27" s="460">
        <v>20</v>
      </c>
      <c r="AA27" s="42"/>
      <c r="AB27" s="43" t="s">
        <v>5946</v>
      </c>
    </row>
    <row r="28" spans="5:28" ht="33.75">
      <c r="E28" s="460">
        <v>20</v>
      </c>
      <c r="AA28" s="42"/>
      <c r="AB28" s="43" t="s">
        <v>5947</v>
      </c>
    </row>
    <row r="29" spans="5:28" ht="19.5" customHeight="1">
      <c r="E29" s="460">
        <v>20</v>
      </c>
      <c r="AA29" s="42"/>
      <c r="AB29" s="43"/>
    </row>
    <row r="30" spans="5:28" ht="19.5" customHeight="1">
      <c r="E30" s="460">
        <v>20</v>
      </c>
      <c r="AA30" s="42"/>
      <c r="AB30" s="43"/>
    </row>
    <row r="31" spans="5:28" ht="19.5" customHeight="1">
      <c r="E31" s="460">
        <v>20</v>
      </c>
      <c r="AA31" s="42"/>
      <c r="AB31" s="43"/>
    </row>
    <row r="32" spans="5:28" ht="19.5" hidden="1" customHeight="1">
      <c r="E32" s="460">
        <v>20</v>
      </c>
      <c r="W32" s="36" t="b">
        <f>ROW(Z32)&gt;ROW(Z$32)</f>
        <v>0</v>
      </c>
      <c r="Y32" s="41" t="s">
        <v>264</v>
      </c>
      <c r="AA32" s="493" t="s">
        <v>174</v>
      </c>
      <c r="AB32" s="978"/>
    </row>
    <row r="33" spans="5:28" ht="19.5" customHeight="1">
      <c r="E33" s="460">
        <v>20</v>
      </c>
      <c r="Y33" s="517" t="s">
        <v>399</v>
      </c>
      <c r="AA33" s="42"/>
      <c r="AB33" s="543" t="s">
        <v>400</v>
      </c>
    </row>
    <row r="34" spans="5:28" ht="11.25" customHeight="1">
      <c r="AA34" s="42"/>
      <c r="AB34" s="42"/>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AA928-5488-453E-B0A8-603C4B0F2A3C}">
  <sheetPr>
    <tabColor rgb="FFFFCC99"/>
  </sheetPr>
  <dimension ref="A1:C230"/>
  <sheetViews>
    <sheetView showGridLines="0" workbookViewId="0"/>
  </sheetViews>
  <sheetFormatPr defaultRowHeight="11.25" customHeight="1"/>
  <cols>
    <col min="1" max="2" width="36.5703125" style="23" customWidth="1"/>
    <col min="3" max="3" width="12.5703125" style="23" customWidth="1"/>
  </cols>
  <sheetData>
    <row r="1" spans="1:3" ht="11.25" customHeight="1">
      <c r="A1" s="23" t="s">
        <v>2494</v>
      </c>
      <c r="B1" s="23" t="s">
        <v>2495</v>
      </c>
      <c r="C1" s="23" t="s">
        <v>2496</v>
      </c>
    </row>
    <row r="2" spans="1:3" ht="11.25" customHeight="1">
      <c r="A2" s="23" t="s">
        <v>2497</v>
      </c>
      <c r="B2" s="23" t="s">
        <v>2497</v>
      </c>
      <c r="C2" s="23" t="s">
        <v>2498</v>
      </c>
    </row>
    <row r="3" spans="1:3" ht="11.25" customHeight="1">
      <c r="A3" s="23" t="s">
        <v>347</v>
      </c>
      <c r="B3" s="23" t="s">
        <v>347</v>
      </c>
      <c r="C3" s="23" t="s">
        <v>348</v>
      </c>
    </row>
    <row r="4" spans="1:3" ht="11.25" customHeight="1">
      <c r="A4" s="23" t="s">
        <v>2499</v>
      </c>
      <c r="B4" s="23" t="s">
        <v>2499</v>
      </c>
      <c r="C4" s="23" t="s">
        <v>2500</v>
      </c>
    </row>
    <row r="5" spans="1:3" ht="11.25" customHeight="1">
      <c r="A5" s="23" t="s">
        <v>2501</v>
      </c>
      <c r="B5" s="23" t="s">
        <v>2501</v>
      </c>
      <c r="C5" s="23" t="s">
        <v>2502</v>
      </c>
    </row>
    <row r="6" spans="1:3" ht="11.25" customHeight="1">
      <c r="A6" s="23" t="s">
        <v>2503</v>
      </c>
      <c r="B6" s="23" t="s">
        <v>2503</v>
      </c>
      <c r="C6" s="23" t="s">
        <v>2504</v>
      </c>
    </row>
    <row r="7" spans="1:3" ht="11.25" customHeight="1">
      <c r="A7" s="23" t="s">
        <v>2505</v>
      </c>
      <c r="B7" s="23" t="s">
        <v>2505</v>
      </c>
      <c r="C7" s="23" t="s">
        <v>2506</v>
      </c>
    </row>
    <row r="8" spans="1:3" ht="11.25" customHeight="1">
      <c r="A8" s="23" t="s">
        <v>2505</v>
      </c>
      <c r="B8" s="23" t="s">
        <v>2505</v>
      </c>
      <c r="C8" s="23" t="s">
        <v>2507</v>
      </c>
    </row>
    <row r="9" spans="1:3" ht="11.25" customHeight="1">
      <c r="A9" s="23" t="s">
        <v>2508</v>
      </c>
      <c r="B9" s="23" t="s">
        <v>2508</v>
      </c>
      <c r="C9" s="23" t="s">
        <v>2509</v>
      </c>
    </row>
    <row r="10" spans="1:3" ht="11.25" customHeight="1">
      <c r="A10" s="23" t="s">
        <v>2510</v>
      </c>
      <c r="B10" s="23" t="s">
        <v>2510</v>
      </c>
      <c r="C10" s="23" t="s">
        <v>2511</v>
      </c>
    </row>
    <row r="11" spans="1:3" ht="11.25" customHeight="1">
      <c r="A11" s="23" t="s">
        <v>2512</v>
      </c>
      <c r="B11" s="23" t="s">
        <v>2512</v>
      </c>
      <c r="C11" s="23" t="s">
        <v>2513</v>
      </c>
    </row>
    <row r="12" spans="1:3" ht="11.25" customHeight="1">
      <c r="A12" s="23" t="s">
        <v>2514</v>
      </c>
      <c r="B12" s="23" t="s">
        <v>2514</v>
      </c>
      <c r="C12" s="23" t="s">
        <v>2515</v>
      </c>
    </row>
    <row r="13" spans="1:3" ht="11.25" customHeight="1">
      <c r="A13" s="23" t="s">
        <v>2516</v>
      </c>
      <c r="B13" s="23" t="s">
        <v>2516</v>
      </c>
      <c r="C13" s="23" t="s">
        <v>2517</v>
      </c>
    </row>
    <row r="14" spans="1:3" ht="11.25" customHeight="1">
      <c r="A14" s="23" t="s">
        <v>2518</v>
      </c>
      <c r="B14" s="23" t="s">
        <v>2518</v>
      </c>
      <c r="C14" s="23" t="s">
        <v>2519</v>
      </c>
    </row>
    <row r="15" spans="1:3" ht="11.25" customHeight="1">
      <c r="A15" s="23" t="s">
        <v>2520</v>
      </c>
      <c r="B15" s="23" t="s">
        <v>2520</v>
      </c>
      <c r="C15" s="23" t="s">
        <v>2521</v>
      </c>
    </row>
    <row r="16" spans="1:3" ht="11.25" customHeight="1">
      <c r="A16" s="23" t="s">
        <v>2522</v>
      </c>
      <c r="B16" s="23" t="s">
        <v>2522</v>
      </c>
      <c r="C16" s="23" t="s">
        <v>2523</v>
      </c>
    </row>
    <row r="17" spans="1:3" ht="11.25" customHeight="1">
      <c r="A17" s="23" t="s">
        <v>2524</v>
      </c>
      <c r="B17" s="23" t="s">
        <v>2524</v>
      </c>
      <c r="C17" s="23" t="s">
        <v>2525</v>
      </c>
    </row>
    <row r="18" spans="1:3" ht="11.25" customHeight="1">
      <c r="A18" s="23" t="s">
        <v>2526</v>
      </c>
      <c r="B18" s="23" t="s">
        <v>2526</v>
      </c>
      <c r="C18" s="23" t="s">
        <v>2527</v>
      </c>
    </row>
    <row r="19" spans="1:3" ht="11.25" customHeight="1">
      <c r="A19" s="23" t="s">
        <v>2528</v>
      </c>
      <c r="B19" s="23" t="s">
        <v>2528</v>
      </c>
      <c r="C19" s="23" t="s">
        <v>2529</v>
      </c>
    </row>
    <row r="20" spans="1:3" ht="11.25" customHeight="1">
      <c r="A20" s="23" t="s">
        <v>2530</v>
      </c>
      <c r="B20" s="23" t="s">
        <v>2530</v>
      </c>
      <c r="C20" s="23" t="s">
        <v>2531</v>
      </c>
    </row>
    <row r="21" spans="1:3" ht="11.25" customHeight="1">
      <c r="A21" s="23" t="s">
        <v>2532</v>
      </c>
      <c r="B21" s="23" t="s">
        <v>2532</v>
      </c>
      <c r="C21" s="23" t="s">
        <v>2533</v>
      </c>
    </row>
    <row r="22" spans="1:3" ht="11.25" customHeight="1">
      <c r="A22" s="23" t="s">
        <v>2534</v>
      </c>
      <c r="B22" s="23" t="s">
        <v>2535</v>
      </c>
      <c r="C22" s="23" t="s">
        <v>2536</v>
      </c>
    </row>
    <row r="23" spans="1:3" ht="11.25" customHeight="1">
      <c r="A23" s="23" t="s">
        <v>2534</v>
      </c>
      <c r="B23" s="23" t="s">
        <v>2537</v>
      </c>
      <c r="C23" s="23" t="s">
        <v>2538</v>
      </c>
    </row>
    <row r="24" spans="1:3" ht="11.25" customHeight="1">
      <c r="A24" s="23" t="s">
        <v>2534</v>
      </c>
      <c r="B24" s="23" t="s">
        <v>2539</v>
      </c>
      <c r="C24" s="23" t="s">
        <v>2540</v>
      </c>
    </row>
    <row r="25" spans="1:3" ht="11.25" customHeight="1">
      <c r="A25" s="23" t="s">
        <v>2534</v>
      </c>
      <c r="B25" s="23" t="s">
        <v>2541</v>
      </c>
      <c r="C25" s="23" t="s">
        <v>2542</v>
      </c>
    </row>
    <row r="26" spans="1:3" ht="11.25" customHeight="1">
      <c r="A26" s="23" t="s">
        <v>2534</v>
      </c>
      <c r="B26" s="23" t="s">
        <v>2543</v>
      </c>
      <c r="C26" s="23" t="s">
        <v>2544</v>
      </c>
    </row>
    <row r="27" spans="1:3" ht="11.25" customHeight="1">
      <c r="A27" s="23" t="s">
        <v>2534</v>
      </c>
      <c r="B27" s="23" t="s">
        <v>2545</v>
      </c>
      <c r="C27" s="23" t="s">
        <v>2546</v>
      </c>
    </row>
    <row r="28" spans="1:3" ht="11.25" customHeight="1">
      <c r="A28" s="23" t="s">
        <v>2534</v>
      </c>
      <c r="B28" s="23" t="s">
        <v>2547</v>
      </c>
      <c r="C28" s="23" t="s">
        <v>2548</v>
      </c>
    </row>
    <row r="29" spans="1:3" ht="11.25" customHeight="1">
      <c r="A29" s="23" t="s">
        <v>2534</v>
      </c>
      <c r="B29" s="23" t="s">
        <v>2549</v>
      </c>
      <c r="C29" s="23" t="s">
        <v>2550</v>
      </c>
    </row>
    <row r="30" spans="1:3" ht="11.25" customHeight="1">
      <c r="A30" s="23" t="s">
        <v>2551</v>
      </c>
      <c r="B30" s="23" t="s">
        <v>2552</v>
      </c>
      <c r="C30" s="23" t="s">
        <v>2553</v>
      </c>
    </row>
    <row r="31" spans="1:3" ht="11.25" customHeight="1">
      <c r="A31" s="23" t="s">
        <v>2551</v>
      </c>
      <c r="B31" s="23" t="s">
        <v>2554</v>
      </c>
      <c r="C31" s="23" t="s">
        <v>2555</v>
      </c>
    </row>
    <row r="32" spans="1:3" ht="11.25" customHeight="1">
      <c r="A32" s="23" t="s">
        <v>2551</v>
      </c>
      <c r="B32" s="23" t="s">
        <v>2556</v>
      </c>
      <c r="C32" s="23" t="s">
        <v>2557</v>
      </c>
    </row>
    <row r="33" spans="1:3" ht="11.25" customHeight="1">
      <c r="A33" s="23" t="s">
        <v>2551</v>
      </c>
      <c r="B33" s="23" t="s">
        <v>2558</v>
      </c>
      <c r="C33" s="23" t="s">
        <v>2559</v>
      </c>
    </row>
    <row r="34" spans="1:3" ht="11.25" customHeight="1">
      <c r="A34" s="23" t="s">
        <v>2551</v>
      </c>
      <c r="B34" s="23" t="s">
        <v>2560</v>
      </c>
      <c r="C34" s="23" t="s">
        <v>2561</v>
      </c>
    </row>
    <row r="35" spans="1:3" ht="11.25" customHeight="1">
      <c r="A35" s="23" t="s">
        <v>2551</v>
      </c>
      <c r="B35" s="23" t="s">
        <v>2562</v>
      </c>
      <c r="C35" s="23" t="s">
        <v>2563</v>
      </c>
    </row>
    <row r="36" spans="1:3" ht="11.25" customHeight="1">
      <c r="A36" s="23" t="s">
        <v>2551</v>
      </c>
      <c r="B36" s="23" t="s">
        <v>2564</v>
      </c>
      <c r="C36" s="23" t="s">
        <v>2565</v>
      </c>
    </row>
    <row r="37" spans="1:3" ht="11.25" customHeight="1">
      <c r="A37" s="23" t="s">
        <v>2551</v>
      </c>
      <c r="B37" s="23" t="s">
        <v>2566</v>
      </c>
      <c r="C37" s="23" t="s">
        <v>2567</v>
      </c>
    </row>
    <row r="38" spans="1:3" ht="11.25" customHeight="1">
      <c r="A38" s="23" t="s">
        <v>2551</v>
      </c>
      <c r="B38" s="23" t="s">
        <v>2568</v>
      </c>
      <c r="C38" s="23" t="s">
        <v>2569</v>
      </c>
    </row>
    <row r="39" spans="1:3" ht="11.25" customHeight="1">
      <c r="A39" s="23" t="s">
        <v>2570</v>
      </c>
      <c r="B39" s="23" t="s">
        <v>2571</v>
      </c>
      <c r="C39" s="23" t="s">
        <v>2572</v>
      </c>
    </row>
    <row r="40" spans="1:3" ht="11.25" customHeight="1">
      <c r="A40" s="23" t="s">
        <v>2570</v>
      </c>
      <c r="B40" s="23" t="s">
        <v>2573</v>
      </c>
      <c r="C40" s="23" t="s">
        <v>2574</v>
      </c>
    </row>
    <row r="41" spans="1:3" ht="11.25" customHeight="1">
      <c r="A41" s="23" t="s">
        <v>2570</v>
      </c>
      <c r="B41" s="23" t="s">
        <v>2575</v>
      </c>
      <c r="C41" s="23" t="s">
        <v>2576</v>
      </c>
    </row>
    <row r="42" spans="1:3" ht="11.25" customHeight="1">
      <c r="A42" s="23" t="s">
        <v>2570</v>
      </c>
      <c r="B42" s="23" t="s">
        <v>2577</v>
      </c>
      <c r="C42" s="23" t="s">
        <v>2578</v>
      </c>
    </row>
    <row r="43" spans="1:3" ht="11.25" customHeight="1">
      <c r="A43" s="23" t="s">
        <v>2570</v>
      </c>
      <c r="B43" s="23" t="s">
        <v>2579</v>
      </c>
      <c r="C43" s="23" t="s">
        <v>2580</v>
      </c>
    </row>
    <row r="44" spans="1:3" ht="11.25" customHeight="1">
      <c r="A44" s="23" t="s">
        <v>2570</v>
      </c>
      <c r="B44" s="23" t="s">
        <v>2581</v>
      </c>
      <c r="C44" s="23" t="s">
        <v>2582</v>
      </c>
    </row>
    <row r="45" spans="1:3" ht="11.25" customHeight="1">
      <c r="A45" s="23" t="s">
        <v>2570</v>
      </c>
      <c r="B45" s="23" t="s">
        <v>2583</v>
      </c>
      <c r="C45" s="23" t="s">
        <v>2584</v>
      </c>
    </row>
    <row r="46" spans="1:3" ht="11.25" customHeight="1">
      <c r="A46" s="23" t="s">
        <v>2585</v>
      </c>
      <c r="B46" s="23" t="s">
        <v>2586</v>
      </c>
      <c r="C46" s="23" t="s">
        <v>2587</v>
      </c>
    </row>
    <row r="47" spans="1:3" ht="11.25" customHeight="1">
      <c r="A47" s="23" t="s">
        <v>2585</v>
      </c>
      <c r="B47" s="23" t="s">
        <v>2588</v>
      </c>
      <c r="C47" s="23" t="s">
        <v>2589</v>
      </c>
    </row>
    <row r="48" spans="1:3" ht="11.25" customHeight="1">
      <c r="A48" s="23" t="s">
        <v>2585</v>
      </c>
      <c r="B48" s="23" t="s">
        <v>2590</v>
      </c>
      <c r="C48" s="23" t="s">
        <v>2591</v>
      </c>
    </row>
    <row r="49" spans="1:3" ht="11.25" customHeight="1">
      <c r="A49" s="23" t="s">
        <v>2585</v>
      </c>
      <c r="B49" s="23" t="s">
        <v>2592</v>
      </c>
      <c r="C49" s="23" t="s">
        <v>2593</v>
      </c>
    </row>
    <row r="50" spans="1:3" ht="11.25" customHeight="1">
      <c r="A50" s="23" t="s">
        <v>2585</v>
      </c>
      <c r="B50" s="23" t="s">
        <v>2594</v>
      </c>
      <c r="C50" s="23" t="s">
        <v>2595</v>
      </c>
    </row>
    <row r="51" spans="1:3" ht="11.25" customHeight="1">
      <c r="A51" s="23" t="s">
        <v>2585</v>
      </c>
      <c r="B51" s="23" t="s">
        <v>2596</v>
      </c>
      <c r="C51" s="23" t="s">
        <v>2597</v>
      </c>
    </row>
    <row r="52" spans="1:3" ht="11.25" customHeight="1">
      <c r="A52" s="23" t="s">
        <v>2585</v>
      </c>
      <c r="B52" s="23" t="s">
        <v>2598</v>
      </c>
      <c r="C52" s="23" t="s">
        <v>2599</v>
      </c>
    </row>
    <row r="53" spans="1:3" ht="11.25" customHeight="1">
      <c r="A53" s="23" t="s">
        <v>2585</v>
      </c>
      <c r="B53" s="23" t="s">
        <v>2600</v>
      </c>
      <c r="C53" s="23" t="s">
        <v>2601</v>
      </c>
    </row>
    <row r="54" spans="1:3" ht="11.25" customHeight="1">
      <c r="A54" s="23" t="s">
        <v>2585</v>
      </c>
      <c r="B54" s="23" t="s">
        <v>2602</v>
      </c>
      <c r="C54" s="23" t="s">
        <v>2603</v>
      </c>
    </row>
    <row r="55" spans="1:3" ht="11.25" customHeight="1">
      <c r="A55" s="23" t="s">
        <v>2604</v>
      </c>
      <c r="B55" s="23" t="s">
        <v>2604</v>
      </c>
      <c r="C55" s="23" t="s">
        <v>2605</v>
      </c>
    </row>
    <row r="56" spans="1:3" ht="11.25" customHeight="1">
      <c r="A56" s="23" t="s">
        <v>2604</v>
      </c>
      <c r="B56" s="23" t="s">
        <v>2606</v>
      </c>
      <c r="C56" s="23" t="s">
        <v>2607</v>
      </c>
    </row>
    <row r="57" spans="1:3" ht="11.25" customHeight="1">
      <c r="A57" s="23" t="s">
        <v>2604</v>
      </c>
      <c r="B57" s="23" t="s">
        <v>2608</v>
      </c>
      <c r="C57" s="23" t="s">
        <v>2609</v>
      </c>
    </row>
    <row r="58" spans="1:3" ht="11.25" customHeight="1">
      <c r="A58" s="23" t="s">
        <v>2604</v>
      </c>
      <c r="B58" s="23" t="s">
        <v>2610</v>
      </c>
      <c r="C58" s="23" t="s">
        <v>2611</v>
      </c>
    </row>
    <row r="59" spans="1:3" ht="11.25" customHeight="1">
      <c r="A59" s="23" t="s">
        <v>2604</v>
      </c>
      <c r="B59" s="23" t="s">
        <v>2612</v>
      </c>
      <c r="C59" s="23" t="s">
        <v>2613</v>
      </c>
    </row>
    <row r="60" spans="1:3" ht="11.25" customHeight="1">
      <c r="A60" s="23" t="s">
        <v>2604</v>
      </c>
      <c r="B60" s="23" t="s">
        <v>2614</v>
      </c>
      <c r="C60" s="23" t="s">
        <v>2615</v>
      </c>
    </row>
    <row r="61" spans="1:3" ht="11.25" customHeight="1">
      <c r="A61" s="23" t="s">
        <v>2604</v>
      </c>
      <c r="B61" s="23" t="s">
        <v>2616</v>
      </c>
      <c r="C61" s="23" t="s">
        <v>2617</v>
      </c>
    </row>
    <row r="62" spans="1:3" ht="11.25" customHeight="1">
      <c r="A62" s="23" t="s">
        <v>2604</v>
      </c>
      <c r="B62" s="23" t="s">
        <v>2618</v>
      </c>
      <c r="C62" s="23" t="s">
        <v>2619</v>
      </c>
    </row>
    <row r="63" spans="1:3" ht="11.25" customHeight="1">
      <c r="A63" s="23" t="s">
        <v>2604</v>
      </c>
      <c r="B63" s="23" t="s">
        <v>2620</v>
      </c>
      <c r="C63" s="23" t="s">
        <v>2621</v>
      </c>
    </row>
    <row r="64" spans="1:3" ht="11.25" customHeight="1">
      <c r="A64" s="23" t="s">
        <v>2604</v>
      </c>
      <c r="B64" s="23" t="s">
        <v>2622</v>
      </c>
      <c r="C64" s="23" t="s">
        <v>2623</v>
      </c>
    </row>
    <row r="65" spans="1:3" ht="11.25" customHeight="1">
      <c r="A65" s="23" t="s">
        <v>2604</v>
      </c>
      <c r="B65" s="23" t="s">
        <v>2624</v>
      </c>
      <c r="C65" s="23" t="s">
        <v>2625</v>
      </c>
    </row>
    <row r="66" spans="1:3" ht="11.25" customHeight="1">
      <c r="A66" s="23" t="s">
        <v>2604</v>
      </c>
      <c r="B66" s="23" t="s">
        <v>2626</v>
      </c>
      <c r="C66" s="23" t="s">
        <v>2627</v>
      </c>
    </row>
    <row r="67" spans="1:3" ht="11.25" customHeight="1">
      <c r="A67" s="23" t="s">
        <v>2628</v>
      </c>
      <c r="B67" s="23" t="s">
        <v>2628</v>
      </c>
      <c r="C67" s="23" t="s">
        <v>2629</v>
      </c>
    </row>
    <row r="68" spans="1:3" ht="11.25" customHeight="1">
      <c r="A68" s="23" t="s">
        <v>2628</v>
      </c>
      <c r="B68" s="23" t="s">
        <v>2630</v>
      </c>
      <c r="C68" s="23" t="s">
        <v>2631</v>
      </c>
    </row>
    <row r="69" spans="1:3" ht="11.25" customHeight="1">
      <c r="A69" s="23" t="s">
        <v>2628</v>
      </c>
      <c r="B69" s="23" t="s">
        <v>2632</v>
      </c>
      <c r="C69" s="23" t="s">
        <v>2633</v>
      </c>
    </row>
    <row r="70" spans="1:3" ht="11.25" customHeight="1">
      <c r="A70" s="23" t="s">
        <v>2628</v>
      </c>
      <c r="B70" s="23" t="s">
        <v>2634</v>
      </c>
      <c r="C70" s="23" t="s">
        <v>2635</v>
      </c>
    </row>
    <row r="71" spans="1:3" ht="11.25" customHeight="1">
      <c r="A71" s="23" t="s">
        <v>2628</v>
      </c>
      <c r="B71" s="23" t="s">
        <v>2636</v>
      </c>
      <c r="C71" s="23" t="s">
        <v>2637</v>
      </c>
    </row>
    <row r="72" spans="1:3" ht="11.25" customHeight="1">
      <c r="A72" s="23" t="s">
        <v>2628</v>
      </c>
      <c r="B72" s="23" t="s">
        <v>2638</v>
      </c>
      <c r="C72" s="23" t="s">
        <v>2639</v>
      </c>
    </row>
    <row r="73" spans="1:3" ht="11.25" customHeight="1">
      <c r="A73" s="23" t="s">
        <v>2628</v>
      </c>
      <c r="B73" s="23" t="s">
        <v>2640</v>
      </c>
      <c r="C73" s="23" t="s">
        <v>2641</v>
      </c>
    </row>
    <row r="74" spans="1:3" ht="11.25" customHeight="1">
      <c r="A74" s="23" t="s">
        <v>2628</v>
      </c>
      <c r="B74" s="23" t="s">
        <v>2642</v>
      </c>
      <c r="C74" s="23" t="s">
        <v>2643</v>
      </c>
    </row>
    <row r="75" spans="1:3" ht="11.25" customHeight="1">
      <c r="A75" s="23" t="s">
        <v>2628</v>
      </c>
      <c r="B75" s="23" t="s">
        <v>2644</v>
      </c>
      <c r="C75" s="23" t="s">
        <v>2645</v>
      </c>
    </row>
    <row r="76" spans="1:3" ht="11.25" customHeight="1">
      <c r="A76" s="23" t="s">
        <v>2646</v>
      </c>
      <c r="B76" s="23" t="s">
        <v>2647</v>
      </c>
      <c r="C76" s="23" t="s">
        <v>2648</v>
      </c>
    </row>
    <row r="77" spans="1:3" ht="11.25" customHeight="1">
      <c r="A77" s="23" t="s">
        <v>2646</v>
      </c>
      <c r="B77" s="23" t="s">
        <v>2649</v>
      </c>
      <c r="C77" s="23" t="s">
        <v>2650</v>
      </c>
    </row>
    <row r="78" spans="1:3" ht="11.25" customHeight="1">
      <c r="A78" s="23" t="s">
        <v>2646</v>
      </c>
      <c r="B78" s="23" t="s">
        <v>2651</v>
      </c>
      <c r="C78" s="23" t="s">
        <v>2652</v>
      </c>
    </row>
    <row r="79" spans="1:3" ht="11.25" customHeight="1">
      <c r="A79" s="23" t="s">
        <v>2646</v>
      </c>
      <c r="B79" s="23" t="s">
        <v>2653</v>
      </c>
      <c r="C79" s="23" t="s">
        <v>2654</v>
      </c>
    </row>
    <row r="80" spans="1:3" ht="11.25" customHeight="1">
      <c r="A80" s="23" t="s">
        <v>2646</v>
      </c>
      <c r="B80" s="23" t="s">
        <v>2655</v>
      </c>
      <c r="C80" s="23" t="s">
        <v>2656</v>
      </c>
    </row>
    <row r="81" spans="1:3" ht="11.25" customHeight="1">
      <c r="A81" s="23" t="s">
        <v>2646</v>
      </c>
      <c r="B81" s="23" t="s">
        <v>2657</v>
      </c>
      <c r="C81" s="23" t="s">
        <v>2658</v>
      </c>
    </row>
    <row r="82" spans="1:3" ht="11.25" customHeight="1">
      <c r="A82" s="23" t="s">
        <v>2646</v>
      </c>
      <c r="B82" s="23" t="s">
        <v>2659</v>
      </c>
      <c r="C82" s="23" t="s">
        <v>2660</v>
      </c>
    </row>
    <row r="83" spans="1:3" ht="11.25" customHeight="1">
      <c r="A83" s="23" t="s">
        <v>2646</v>
      </c>
      <c r="B83" s="23" t="s">
        <v>2661</v>
      </c>
      <c r="C83" s="23" t="s">
        <v>2662</v>
      </c>
    </row>
    <row r="84" spans="1:3" ht="11.25" customHeight="1">
      <c r="A84" s="23" t="s">
        <v>2646</v>
      </c>
      <c r="B84" s="23" t="s">
        <v>2663</v>
      </c>
      <c r="C84" s="23" t="s">
        <v>2664</v>
      </c>
    </row>
    <row r="85" spans="1:3" ht="11.25" customHeight="1">
      <c r="A85" s="23" t="s">
        <v>2646</v>
      </c>
      <c r="B85" s="23" t="s">
        <v>2665</v>
      </c>
      <c r="C85" s="23" t="s">
        <v>2666</v>
      </c>
    </row>
    <row r="86" spans="1:3" ht="11.25" customHeight="1">
      <c r="A86" s="23" t="s">
        <v>2646</v>
      </c>
      <c r="B86" s="23" t="s">
        <v>2667</v>
      </c>
      <c r="C86" s="23" t="s">
        <v>2668</v>
      </c>
    </row>
    <row r="87" spans="1:3" ht="11.25" customHeight="1">
      <c r="A87" s="23" t="s">
        <v>2646</v>
      </c>
      <c r="B87" s="23" t="s">
        <v>2669</v>
      </c>
      <c r="C87" s="23" t="s">
        <v>2670</v>
      </c>
    </row>
    <row r="88" spans="1:3" ht="11.25" customHeight="1">
      <c r="A88" s="23" t="s">
        <v>2646</v>
      </c>
      <c r="B88" s="23" t="s">
        <v>2671</v>
      </c>
      <c r="C88" s="23" t="s">
        <v>2672</v>
      </c>
    </row>
    <row r="89" spans="1:3" ht="11.25" customHeight="1">
      <c r="A89" s="23" t="s">
        <v>2673</v>
      </c>
      <c r="B89" s="23" t="s">
        <v>2673</v>
      </c>
      <c r="C89" s="23" t="s">
        <v>2674</v>
      </c>
    </row>
    <row r="90" spans="1:3" ht="11.25" customHeight="1">
      <c r="A90" s="23" t="s">
        <v>2673</v>
      </c>
      <c r="B90" s="23" t="s">
        <v>2675</v>
      </c>
      <c r="C90" s="23" t="s">
        <v>2676</v>
      </c>
    </row>
    <row r="91" spans="1:3" ht="11.25" customHeight="1">
      <c r="A91" s="23" t="s">
        <v>2673</v>
      </c>
      <c r="B91" s="23" t="s">
        <v>2677</v>
      </c>
      <c r="C91" s="23" t="s">
        <v>2678</v>
      </c>
    </row>
    <row r="92" spans="1:3" ht="11.25" customHeight="1">
      <c r="A92" s="23" t="s">
        <v>2673</v>
      </c>
      <c r="B92" s="23" t="s">
        <v>2679</v>
      </c>
      <c r="C92" s="23" t="s">
        <v>2680</v>
      </c>
    </row>
    <row r="93" spans="1:3" ht="11.25" customHeight="1">
      <c r="A93" s="23" t="s">
        <v>2673</v>
      </c>
      <c r="B93" s="23" t="s">
        <v>2681</v>
      </c>
      <c r="C93" s="23" t="s">
        <v>2682</v>
      </c>
    </row>
    <row r="94" spans="1:3" ht="11.25" customHeight="1">
      <c r="A94" s="23" t="s">
        <v>2673</v>
      </c>
      <c r="B94" s="23" t="s">
        <v>2683</v>
      </c>
      <c r="C94" s="23" t="s">
        <v>2684</v>
      </c>
    </row>
    <row r="95" spans="1:3" ht="11.25" customHeight="1">
      <c r="A95" s="23" t="s">
        <v>2673</v>
      </c>
      <c r="B95" s="23" t="s">
        <v>2685</v>
      </c>
      <c r="C95" s="23" t="s">
        <v>2686</v>
      </c>
    </row>
    <row r="96" spans="1:3" ht="11.25" customHeight="1">
      <c r="A96" s="23" t="s">
        <v>2673</v>
      </c>
      <c r="B96" s="23" t="s">
        <v>2683</v>
      </c>
      <c r="C96" s="23" t="s">
        <v>2687</v>
      </c>
    </row>
    <row r="97" spans="1:3" ht="11.25" customHeight="1">
      <c r="A97" s="23" t="s">
        <v>2673</v>
      </c>
      <c r="B97" s="23" t="s">
        <v>2688</v>
      </c>
      <c r="C97" s="23" t="s">
        <v>2689</v>
      </c>
    </row>
    <row r="98" spans="1:3" ht="11.25" customHeight="1">
      <c r="A98" s="23" t="s">
        <v>2673</v>
      </c>
      <c r="B98" s="23" t="s">
        <v>2690</v>
      </c>
      <c r="C98" s="23" t="s">
        <v>2691</v>
      </c>
    </row>
    <row r="99" spans="1:3" ht="11.25" customHeight="1">
      <c r="A99" s="23" t="s">
        <v>2673</v>
      </c>
      <c r="B99" s="23" t="s">
        <v>2692</v>
      </c>
      <c r="C99" s="23" t="s">
        <v>2693</v>
      </c>
    </row>
    <row r="100" spans="1:3" ht="11.25" customHeight="1">
      <c r="A100" s="23" t="s">
        <v>2673</v>
      </c>
      <c r="B100" s="23" t="s">
        <v>2694</v>
      </c>
      <c r="C100" s="23" t="s">
        <v>2695</v>
      </c>
    </row>
    <row r="101" spans="1:3" ht="11.25" customHeight="1">
      <c r="A101" s="23" t="s">
        <v>2673</v>
      </c>
      <c r="B101" s="23" t="s">
        <v>2696</v>
      </c>
      <c r="C101" s="23" t="s">
        <v>2697</v>
      </c>
    </row>
    <row r="102" spans="1:3" ht="11.25" customHeight="1">
      <c r="A102" s="23" t="s">
        <v>2673</v>
      </c>
      <c r="B102" s="23" t="s">
        <v>2698</v>
      </c>
      <c r="C102" s="23" t="s">
        <v>2699</v>
      </c>
    </row>
    <row r="103" spans="1:3" ht="11.25" customHeight="1">
      <c r="A103" s="23" t="s">
        <v>2673</v>
      </c>
      <c r="B103" s="23" t="s">
        <v>2700</v>
      </c>
      <c r="C103" s="23" t="s">
        <v>2701</v>
      </c>
    </row>
    <row r="104" spans="1:3" ht="11.25" customHeight="1">
      <c r="A104" s="23" t="s">
        <v>2673</v>
      </c>
      <c r="B104" s="23" t="s">
        <v>2702</v>
      </c>
      <c r="C104" s="23" t="s">
        <v>2703</v>
      </c>
    </row>
    <row r="105" spans="1:3" ht="11.25" customHeight="1">
      <c r="A105" s="23" t="s">
        <v>2673</v>
      </c>
      <c r="B105" s="23" t="s">
        <v>2704</v>
      </c>
      <c r="C105" s="23" t="s">
        <v>2705</v>
      </c>
    </row>
    <row r="106" spans="1:3" ht="11.25" customHeight="1">
      <c r="A106" s="23" t="s">
        <v>2673</v>
      </c>
      <c r="B106" s="23" t="s">
        <v>2704</v>
      </c>
      <c r="C106" s="23" t="s">
        <v>2706</v>
      </c>
    </row>
    <row r="107" spans="1:3" ht="11.25" customHeight="1">
      <c r="A107" s="23" t="s">
        <v>2673</v>
      </c>
      <c r="B107" s="23" t="s">
        <v>2675</v>
      </c>
      <c r="C107" s="23" t="s">
        <v>2707</v>
      </c>
    </row>
    <row r="108" spans="1:3" ht="11.25" customHeight="1">
      <c r="A108" s="23" t="s">
        <v>2708</v>
      </c>
      <c r="B108" s="23" t="s">
        <v>2709</v>
      </c>
      <c r="C108" s="23" t="s">
        <v>2710</v>
      </c>
    </row>
    <row r="109" spans="1:3" ht="11.25" customHeight="1">
      <c r="A109" s="23" t="s">
        <v>2708</v>
      </c>
      <c r="B109" s="23" t="s">
        <v>2711</v>
      </c>
      <c r="C109" s="23" t="s">
        <v>2712</v>
      </c>
    </row>
    <row r="110" spans="1:3" ht="11.25" customHeight="1">
      <c r="A110" s="23" t="s">
        <v>2708</v>
      </c>
      <c r="B110" s="23" t="s">
        <v>2713</v>
      </c>
      <c r="C110" s="23" t="s">
        <v>2714</v>
      </c>
    </row>
    <row r="111" spans="1:3" ht="11.25" customHeight="1">
      <c r="A111" s="23" t="s">
        <v>2708</v>
      </c>
      <c r="B111" s="23" t="s">
        <v>2715</v>
      </c>
      <c r="C111" s="23" t="s">
        <v>2716</v>
      </c>
    </row>
    <row r="112" spans="1:3" ht="11.25" customHeight="1">
      <c r="A112" s="23" t="s">
        <v>2708</v>
      </c>
      <c r="B112" s="23" t="s">
        <v>2717</v>
      </c>
      <c r="C112" s="23" t="s">
        <v>2718</v>
      </c>
    </row>
    <row r="113" spans="1:3" ht="11.25" customHeight="1">
      <c r="A113" s="23" t="s">
        <v>2708</v>
      </c>
      <c r="B113" s="23" t="s">
        <v>2719</v>
      </c>
      <c r="C113" s="23" t="s">
        <v>2720</v>
      </c>
    </row>
    <row r="114" spans="1:3" ht="11.25" customHeight="1">
      <c r="A114" s="23" t="s">
        <v>2708</v>
      </c>
      <c r="B114" s="23" t="s">
        <v>2721</v>
      </c>
      <c r="C114" s="23" t="s">
        <v>2722</v>
      </c>
    </row>
    <row r="115" spans="1:3" ht="11.25" customHeight="1">
      <c r="A115" s="23" t="s">
        <v>2708</v>
      </c>
      <c r="B115" s="23" t="s">
        <v>2723</v>
      </c>
      <c r="C115" s="23" t="s">
        <v>2724</v>
      </c>
    </row>
    <row r="116" spans="1:3" ht="11.25" customHeight="1">
      <c r="A116" s="23" t="s">
        <v>2708</v>
      </c>
      <c r="B116" s="23" t="s">
        <v>2725</v>
      </c>
      <c r="C116" s="23" t="s">
        <v>2726</v>
      </c>
    </row>
    <row r="117" spans="1:3" ht="11.25" customHeight="1">
      <c r="A117" s="23" t="s">
        <v>2708</v>
      </c>
      <c r="B117" s="23" t="s">
        <v>2727</v>
      </c>
      <c r="C117" s="23" t="s">
        <v>2728</v>
      </c>
    </row>
    <row r="118" spans="1:3" ht="11.25" customHeight="1">
      <c r="A118" s="23" t="s">
        <v>2729</v>
      </c>
      <c r="B118" s="23" t="s">
        <v>2729</v>
      </c>
      <c r="C118" s="23" t="s">
        <v>2730</v>
      </c>
    </row>
    <row r="119" spans="1:3" ht="11.25" customHeight="1">
      <c r="A119" s="23" t="s">
        <v>2729</v>
      </c>
      <c r="B119" s="23" t="s">
        <v>2731</v>
      </c>
      <c r="C119" s="23" t="s">
        <v>2732</v>
      </c>
    </row>
    <row r="120" spans="1:3" ht="11.25" customHeight="1">
      <c r="A120" s="23" t="s">
        <v>2729</v>
      </c>
      <c r="B120" s="23" t="s">
        <v>2733</v>
      </c>
      <c r="C120" s="23" t="s">
        <v>2734</v>
      </c>
    </row>
    <row r="121" spans="1:3" ht="11.25" customHeight="1">
      <c r="A121" s="23" t="s">
        <v>2729</v>
      </c>
      <c r="B121" s="23" t="s">
        <v>2735</v>
      </c>
      <c r="C121" s="23" t="s">
        <v>2736</v>
      </c>
    </row>
    <row r="122" spans="1:3" ht="11.25" customHeight="1">
      <c r="A122" s="23" t="s">
        <v>2729</v>
      </c>
      <c r="B122" s="23" t="s">
        <v>2737</v>
      </c>
      <c r="C122" s="23" t="s">
        <v>2738</v>
      </c>
    </row>
    <row r="123" spans="1:3" ht="11.25" customHeight="1">
      <c r="A123" s="23" t="s">
        <v>2729</v>
      </c>
      <c r="B123" s="23" t="s">
        <v>2739</v>
      </c>
      <c r="C123" s="23" t="s">
        <v>2740</v>
      </c>
    </row>
    <row r="124" spans="1:3" ht="11.25" customHeight="1">
      <c r="A124" s="23" t="s">
        <v>2729</v>
      </c>
      <c r="B124" s="23" t="s">
        <v>2741</v>
      </c>
      <c r="C124" s="23" t="s">
        <v>2742</v>
      </c>
    </row>
    <row r="125" spans="1:3" ht="11.25" customHeight="1">
      <c r="A125" s="23" t="s">
        <v>2729</v>
      </c>
      <c r="B125" s="23" t="s">
        <v>2743</v>
      </c>
      <c r="C125" s="23" t="s">
        <v>2744</v>
      </c>
    </row>
    <row r="126" spans="1:3" ht="11.25" customHeight="1">
      <c r="A126" s="23" t="s">
        <v>2729</v>
      </c>
      <c r="B126" s="23" t="s">
        <v>2745</v>
      </c>
      <c r="C126" s="23" t="s">
        <v>2746</v>
      </c>
    </row>
    <row r="127" spans="1:3" ht="11.25" customHeight="1">
      <c r="A127" s="23" t="s">
        <v>2729</v>
      </c>
      <c r="B127" s="23" t="s">
        <v>2747</v>
      </c>
      <c r="C127" s="23" t="s">
        <v>2748</v>
      </c>
    </row>
    <row r="128" spans="1:3" ht="11.25" customHeight="1">
      <c r="A128" s="23" t="s">
        <v>2729</v>
      </c>
      <c r="B128" s="23" t="s">
        <v>2749</v>
      </c>
      <c r="C128" s="23" t="s">
        <v>2750</v>
      </c>
    </row>
    <row r="129" spans="1:3" ht="11.25" customHeight="1">
      <c r="A129" s="23" t="s">
        <v>2729</v>
      </c>
      <c r="B129" s="23" t="s">
        <v>2751</v>
      </c>
      <c r="C129" s="23" t="s">
        <v>2752</v>
      </c>
    </row>
    <row r="130" spans="1:3" ht="11.25" customHeight="1">
      <c r="A130" s="23" t="s">
        <v>2753</v>
      </c>
      <c r="B130" s="23" t="s">
        <v>2754</v>
      </c>
      <c r="C130" s="23" t="s">
        <v>2755</v>
      </c>
    </row>
    <row r="131" spans="1:3" ht="11.25" customHeight="1">
      <c r="A131" s="23" t="s">
        <v>2753</v>
      </c>
      <c r="B131" s="23" t="s">
        <v>2756</v>
      </c>
      <c r="C131" s="23" t="s">
        <v>2757</v>
      </c>
    </row>
    <row r="132" spans="1:3" ht="11.25" customHeight="1">
      <c r="A132" s="23" t="s">
        <v>2753</v>
      </c>
      <c r="B132" s="23" t="s">
        <v>2758</v>
      </c>
      <c r="C132" s="23" t="s">
        <v>2759</v>
      </c>
    </row>
    <row r="133" spans="1:3" ht="11.25" customHeight="1">
      <c r="A133" s="23" t="s">
        <v>2753</v>
      </c>
      <c r="B133" s="23" t="s">
        <v>2760</v>
      </c>
      <c r="C133" s="23" t="s">
        <v>2761</v>
      </c>
    </row>
    <row r="134" spans="1:3" ht="11.25" customHeight="1">
      <c r="A134" s="23" t="s">
        <v>2753</v>
      </c>
      <c r="B134" s="23" t="s">
        <v>2762</v>
      </c>
      <c r="C134" s="23" t="s">
        <v>2763</v>
      </c>
    </row>
    <row r="135" spans="1:3" ht="11.25" customHeight="1">
      <c r="A135" s="23" t="s">
        <v>2753</v>
      </c>
      <c r="B135" s="23" t="s">
        <v>2764</v>
      </c>
      <c r="C135" s="23" t="s">
        <v>2765</v>
      </c>
    </row>
    <row r="136" spans="1:3" ht="11.25" customHeight="1">
      <c r="A136" s="23" t="s">
        <v>2753</v>
      </c>
      <c r="B136" s="23" t="s">
        <v>2766</v>
      </c>
      <c r="C136" s="23" t="s">
        <v>2767</v>
      </c>
    </row>
    <row r="137" spans="1:3" ht="11.25" customHeight="1">
      <c r="A137" s="23" t="s">
        <v>2753</v>
      </c>
      <c r="B137" s="23" t="s">
        <v>2768</v>
      </c>
      <c r="C137" s="23" t="s">
        <v>2769</v>
      </c>
    </row>
    <row r="138" spans="1:3" ht="11.25" customHeight="1">
      <c r="A138" s="23" t="s">
        <v>2753</v>
      </c>
      <c r="B138" s="23" t="s">
        <v>2770</v>
      </c>
      <c r="C138" s="23" t="s">
        <v>2771</v>
      </c>
    </row>
    <row r="139" spans="1:3" ht="11.25" customHeight="1">
      <c r="A139" s="23" t="s">
        <v>2753</v>
      </c>
      <c r="B139" s="23" t="s">
        <v>2772</v>
      </c>
      <c r="C139" s="23" t="s">
        <v>2773</v>
      </c>
    </row>
    <row r="140" spans="1:3" ht="11.25" customHeight="1">
      <c r="A140" s="23" t="s">
        <v>2774</v>
      </c>
      <c r="B140" s="23" t="s">
        <v>2774</v>
      </c>
      <c r="C140" s="23" t="s">
        <v>2775</v>
      </c>
    </row>
    <row r="141" spans="1:3" ht="11.25" customHeight="1">
      <c r="A141" s="23" t="s">
        <v>2774</v>
      </c>
      <c r="B141" s="23" t="s">
        <v>2776</v>
      </c>
      <c r="C141" s="23" t="s">
        <v>2777</v>
      </c>
    </row>
    <row r="142" spans="1:3" ht="11.25" customHeight="1">
      <c r="A142" s="23" t="s">
        <v>2774</v>
      </c>
      <c r="B142" s="23" t="s">
        <v>2778</v>
      </c>
      <c r="C142" s="23" t="s">
        <v>2779</v>
      </c>
    </row>
    <row r="143" spans="1:3" ht="11.25" customHeight="1">
      <c r="A143" s="23" t="s">
        <v>2774</v>
      </c>
      <c r="B143" s="23" t="s">
        <v>2780</v>
      </c>
      <c r="C143" s="23" t="s">
        <v>2781</v>
      </c>
    </row>
    <row r="144" spans="1:3" ht="11.25" customHeight="1">
      <c r="A144" s="23" t="s">
        <v>2774</v>
      </c>
      <c r="B144" s="23" t="s">
        <v>2782</v>
      </c>
      <c r="C144" s="23" t="s">
        <v>2783</v>
      </c>
    </row>
    <row r="145" spans="1:3" ht="11.25" customHeight="1">
      <c r="A145" s="23" t="s">
        <v>2774</v>
      </c>
      <c r="B145" s="23" t="s">
        <v>2784</v>
      </c>
      <c r="C145" s="23" t="s">
        <v>2785</v>
      </c>
    </row>
    <row r="146" spans="1:3" ht="11.25" customHeight="1">
      <c r="A146" s="23" t="s">
        <v>2774</v>
      </c>
      <c r="B146" s="23" t="s">
        <v>2786</v>
      </c>
      <c r="C146" s="23" t="s">
        <v>2787</v>
      </c>
    </row>
    <row r="147" spans="1:3" ht="11.25" customHeight="1">
      <c r="A147" s="23" t="s">
        <v>2774</v>
      </c>
      <c r="B147" s="23" t="s">
        <v>2788</v>
      </c>
      <c r="C147" s="23" t="s">
        <v>2789</v>
      </c>
    </row>
    <row r="148" spans="1:3" ht="11.25" customHeight="1">
      <c r="A148" s="23" t="s">
        <v>2774</v>
      </c>
      <c r="B148" s="23" t="s">
        <v>2790</v>
      </c>
      <c r="C148" s="23" t="s">
        <v>2791</v>
      </c>
    </row>
    <row r="149" spans="1:3" ht="11.25" customHeight="1">
      <c r="A149" s="23" t="s">
        <v>2774</v>
      </c>
      <c r="B149" s="23" t="s">
        <v>2792</v>
      </c>
      <c r="C149" s="23" t="s">
        <v>2793</v>
      </c>
    </row>
    <row r="150" spans="1:3" ht="11.25" customHeight="1">
      <c r="A150" s="23" t="s">
        <v>2774</v>
      </c>
      <c r="B150" s="23" t="s">
        <v>2794</v>
      </c>
      <c r="C150" s="23" t="s">
        <v>2795</v>
      </c>
    </row>
    <row r="151" spans="1:3" ht="11.25" customHeight="1">
      <c r="A151" s="23" t="s">
        <v>2774</v>
      </c>
      <c r="B151" s="23" t="s">
        <v>2796</v>
      </c>
      <c r="C151" s="23" t="s">
        <v>2797</v>
      </c>
    </row>
    <row r="152" spans="1:3" ht="11.25" customHeight="1">
      <c r="A152" s="23" t="s">
        <v>2774</v>
      </c>
      <c r="B152" s="23" t="s">
        <v>2798</v>
      </c>
      <c r="C152" s="23" t="s">
        <v>2799</v>
      </c>
    </row>
    <row r="153" spans="1:3" ht="11.25" customHeight="1">
      <c r="A153" s="23" t="s">
        <v>2774</v>
      </c>
      <c r="B153" s="23" t="s">
        <v>2800</v>
      </c>
      <c r="C153" s="23" t="s">
        <v>2801</v>
      </c>
    </row>
    <row r="154" spans="1:3" ht="11.25" customHeight="1">
      <c r="A154" s="23" t="s">
        <v>2802</v>
      </c>
      <c r="B154" s="23" t="s">
        <v>2803</v>
      </c>
      <c r="C154" s="23" t="s">
        <v>2804</v>
      </c>
    </row>
    <row r="155" spans="1:3" ht="11.25" customHeight="1">
      <c r="A155" s="23" t="s">
        <v>2802</v>
      </c>
      <c r="B155" s="23" t="s">
        <v>2805</v>
      </c>
      <c r="C155" s="23" t="s">
        <v>2806</v>
      </c>
    </row>
    <row r="156" spans="1:3" ht="11.25" customHeight="1">
      <c r="A156" s="23" t="s">
        <v>2802</v>
      </c>
      <c r="B156" s="23" t="s">
        <v>2807</v>
      </c>
      <c r="C156" s="23" t="s">
        <v>2808</v>
      </c>
    </row>
    <row r="157" spans="1:3" ht="11.25" customHeight="1">
      <c r="A157" s="23" t="s">
        <v>2802</v>
      </c>
      <c r="B157" s="23" t="s">
        <v>2809</v>
      </c>
      <c r="C157" s="23" t="s">
        <v>2810</v>
      </c>
    </row>
    <row r="158" spans="1:3" ht="11.25" customHeight="1">
      <c r="A158" s="23" t="s">
        <v>2802</v>
      </c>
      <c r="B158" s="23" t="s">
        <v>2811</v>
      </c>
      <c r="C158" s="23" t="s">
        <v>2812</v>
      </c>
    </row>
    <row r="159" spans="1:3" ht="11.25" customHeight="1">
      <c r="A159" s="23" t="s">
        <v>2802</v>
      </c>
      <c r="B159" s="23" t="s">
        <v>2813</v>
      </c>
      <c r="C159" s="23" t="s">
        <v>2814</v>
      </c>
    </row>
    <row r="160" spans="1:3" ht="11.25" customHeight="1">
      <c r="A160" s="23" t="s">
        <v>2802</v>
      </c>
      <c r="B160" s="23" t="s">
        <v>2815</v>
      </c>
      <c r="C160" s="23" t="s">
        <v>2816</v>
      </c>
    </row>
    <row r="161" spans="1:3" ht="11.25" customHeight="1">
      <c r="A161" s="23" t="s">
        <v>2802</v>
      </c>
      <c r="B161" s="23" t="s">
        <v>2817</v>
      </c>
      <c r="C161" s="23" t="s">
        <v>2818</v>
      </c>
    </row>
    <row r="162" spans="1:3" ht="11.25" customHeight="1">
      <c r="A162" s="23" t="s">
        <v>2802</v>
      </c>
      <c r="B162" s="23" t="s">
        <v>2819</v>
      </c>
      <c r="C162" s="23" t="s">
        <v>2820</v>
      </c>
    </row>
    <row r="163" spans="1:3" ht="11.25" customHeight="1">
      <c r="A163" s="23" t="s">
        <v>2802</v>
      </c>
      <c r="B163" s="23" t="s">
        <v>2821</v>
      </c>
      <c r="C163" s="23" t="s">
        <v>2822</v>
      </c>
    </row>
    <row r="164" spans="1:3" ht="11.25" customHeight="1">
      <c r="A164" s="23" t="s">
        <v>2802</v>
      </c>
      <c r="B164" s="23" t="s">
        <v>2823</v>
      </c>
      <c r="C164" s="23" t="s">
        <v>2824</v>
      </c>
    </row>
    <row r="165" spans="1:3" ht="11.25" customHeight="1">
      <c r="A165" s="23" t="s">
        <v>2802</v>
      </c>
      <c r="B165" s="23" t="s">
        <v>2825</v>
      </c>
      <c r="C165" s="23" t="s">
        <v>2826</v>
      </c>
    </row>
    <row r="166" spans="1:3" ht="11.25" customHeight="1">
      <c r="A166" s="23" t="s">
        <v>2827</v>
      </c>
      <c r="B166" s="23" t="s">
        <v>2828</v>
      </c>
      <c r="C166" s="23" t="s">
        <v>2829</v>
      </c>
    </row>
    <row r="167" spans="1:3" ht="11.25" customHeight="1">
      <c r="A167" s="23" t="s">
        <v>2827</v>
      </c>
      <c r="B167" s="23" t="s">
        <v>2830</v>
      </c>
      <c r="C167" s="23" t="s">
        <v>2831</v>
      </c>
    </row>
    <row r="168" spans="1:3" ht="11.25" customHeight="1">
      <c r="A168" s="23" t="s">
        <v>2827</v>
      </c>
      <c r="B168" s="23" t="s">
        <v>2832</v>
      </c>
      <c r="C168" s="23" t="s">
        <v>2833</v>
      </c>
    </row>
    <row r="169" spans="1:3" ht="11.25" customHeight="1">
      <c r="A169" s="23" t="s">
        <v>2827</v>
      </c>
      <c r="B169" s="23" t="s">
        <v>2834</v>
      </c>
      <c r="C169" s="23" t="s">
        <v>2835</v>
      </c>
    </row>
    <row r="170" spans="1:3" ht="11.25" customHeight="1">
      <c r="A170" s="23" t="s">
        <v>2827</v>
      </c>
      <c r="B170" s="23" t="s">
        <v>2836</v>
      </c>
      <c r="C170" s="23" t="s">
        <v>2837</v>
      </c>
    </row>
    <row r="171" spans="1:3" ht="11.25" customHeight="1">
      <c r="A171" s="23" t="s">
        <v>2827</v>
      </c>
      <c r="B171" s="23" t="s">
        <v>2838</v>
      </c>
      <c r="C171" s="23" t="s">
        <v>2839</v>
      </c>
    </row>
    <row r="172" spans="1:3" ht="11.25" customHeight="1">
      <c r="A172" s="23" t="s">
        <v>2827</v>
      </c>
      <c r="B172" s="23" t="s">
        <v>2840</v>
      </c>
      <c r="C172" s="23" t="s">
        <v>2841</v>
      </c>
    </row>
    <row r="173" spans="1:3" ht="11.25" customHeight="1">
      <c r="A173" s="23" t="s">
        <v>2827</v>
      </c>
      <c r="B173" s="23" t="s">
        <v>2842</v>
      </c>
      <c r="C173" s="23" t="s">
        <v>2843</v>
      </c>
    </row>
    <row r="174" spans="1:3" ht="11.25" customHeight="1">
      <c r="A174" s="23" t="s">
        <v>2827</v>
      </c>
      <c r="B174" s="23" t="s">
        <v>2844</v>
      </c>
      <c r="C174" s="23" t="s">
        <v>2845</v>
      </c>
    </row>
    <row r="175" spans="1:3" ht="11.25" customHeight="1">
      <c r="A175" s="23" t="s">
        <v>2827</v>
      </c>
      <c r="B175" s="23" t="s">
        <v>2846</v>
      </c>
      <c r="C175" s="23" t="s">
        <v>2847</v>
      </c>
    </row>
    <row r="176" spans="1:3" ht="11.25" customHeight="1">
      <c r="A176" s="23" t="s">
        <v>2827</v>
      </c>
      <c r="B176" s="23" t="s">
        <v>2848</v>
      </c>
      <c r="C176" s="23" t="s">
        <v>2849</v>
      </c>
    </row>
    <row r="177" spans="1:3" ht="11.25" customHeight="1">
      <c r="A177" s="23" t="s">
        <v>2827</v>
      </c>
      <c r="B177" s="23" t="s">
        <v>2850</v>
      </c>
      <c r="C177" s="23" t="s">
        <v>2851</v>
      </c>
    </row>
    <row r="178" spans="1:3" ht="11.25" customHeight="1">
      <c r="A178" s="23" t="s">
        <v>2852</v>
      </c>
      <c r="B178" s="23" t="s">
        <v>2853</v>
      </c>
      <c r="C178" s="23" t="s">
        <v>2854</v>
      </c>
    </row>
    <row r="179" spans="1:3" ht="11.25" customHeight="1">
      <c r="A179" s="23" t="s">
        <v>2852</v>
      </c>
      <c r="B179" s="23" t="s">
        <v>2855</v>
      </c>
      <c r="C179" s="23" t="s">
        <v>2856</v>
      </c>
    </row>
    <row r="180" spans="1:3" ht="11.25" customHeight="1">
      <c r="A180" s="23" t="s">
        <v>2852</v>
      </c>
      <c r="B180" s="23" t="s">
        <v>2857</v>
      </c>
      <c r="C180" s="23" t="s">
        <v>2858</v>
      </c>
    </row>
    <row r="181" spans="1:3" ht="11.25" customHeight="1">
      <c r="A181" s="23" t="s">
        <v>2852</v>
      </c>
      <c r="B181" s="23" t="s">
        <v>2859</v>
      </c>
      <c r="C181" s="23" t="s">
        <v>2860</v>
      </c>
    </row>
    <row r="182" spans="1:3" ht="11.25" customHeight="1">
      <c r="A182" s="23" t="s">
        <v>2852</v>
      </c>
      <c r="B182" s="23" t="s">
        <v>2861</v>
      </c>
      <c r="C182" s="23" t="s">
        <v>2862</v>
      </c>
    </row>
    <row r="183" spans="1:3" ht="11.25" customHeight="1">
      <c r="A183" s="23" t="s">
        <v>2852</v>
      </c>
      <c r="B183" s="23" t="s">
        <v>2863</v>
      </c>
      <c r="C183" s="23" t="s">
        <v>2864</v>
      </c>
    </row>
    <row r="184" spans="1:3" ht="11.25" customHeight="1">
      <c r="A184" s="23" t="s">
        <v>2852</v>
      </c>
      <c r="B184" s="23" t="s">
        <v>2865</v>
      </c>
      <c r="C184" s="23" t="s">
        <v>2866</v>
      </c>
    </row>
    <row r="185" spans="1:3" ht="11.25" customHeight="1">
      <c r="A185" s="23" t="s">
        <v>2867</v>
      </c>
      <c r="B185" s="23" t="s">
        <v>2868</v>
      </c>
      <c r="C185" s="23" t="s">
        <v>2869</v>
      </c>
    </row>
    <row r="186" spans="1:3" ht="11.25" customHeight="1">
      <c r="A186" s="23" t="s">
        <v>2867</v>
      </c>
      <c r="B186" s="23" t="s">
        <v>2870</v>
      </c>
      <c r="C186" s="23" t="s">
        <v>2871</v>
      </c>
    </row>
    <row r="187" spans="1:3" ht="11.25" customHeight="1">
      <c r="A187" s="23" t="s">
        <v>2867</v>
      </c>
      <c r="B187" s="23" t="s">
        <v>2872</v>
      </c>
      <c r="C187" s="23" t="s">
        <v>2873</v>
      </c>
    </row>
    <row r="188" spans="1:3" ht="11.25" customHeight="1">
      <c r="A188" s="23" t="s">
        <v>2867</v>
      </c>
      <c r="B188" s="23" t="s">
        <v>2874</v>
      </c>
      <c r="C188" s="23" t="s">
        <v>2875</v>
      </c>
    </row>
    <row r="189" spans="1:3" ht="11.25" customHeight="1">
      <c r="A189" s="23" t="s">
        <v>2867</v>
      </c>
      <c r="B189" s="23" t="s">
        <v>2876</v>
      </c>
      <c r="C189" s="23" t="s">
        <v>2877</v>
      </c>
    </row>
    <row r="190" spans="1:3" ht="11.25" customHeight="1">
      <c r="A190" s="23" t="s">
        <v>2867</v>
      </c>
      <c r="B190" s="23" t="s">
        <v>2878</v>
      </c>
      <c r="C190" s="23" t="s">
        <v>2879</v>
      </c>
    </row>
    <row r="191" spans="1:3" ht="11.25" customHeight="1">
      <c r="A191" s="23" t="s">
        <v>2867</v>
      </c>
      <c r="B191" s="23" t="s">
        <v>2880</v>
      </c>
      <c r="C191" s="23" t="s">
        <v>2881</v>
      </c>
    </row>
    <row r="192" spans="1:3" ht="11.25" customHeight="1">
      <c r="A192" s="23" t="s">
        <v>2867</v>
      </c>
      <c r="B192" s="23" t="s">
        <v>2882</v>
      </c>
      <c r="C192" s="23" t="s">
        <v>2883</v>
      </c>
    </row>
    <row r="193" spans="1:3" ht="11.25" customHeight="1">
      <c r="A193" s="23" t="s">
        <v>2867</v>
      </c>
      <c r="B193" s="23" t="s">
        <v>2884</v>
      </c>
      <c r="C193" s="23" t="s">
        <v>2885</v>
      </c>
    </row>
    <row r="194" spans="1:3" ht="11.25" customHeight="1">
      <c r="A194" s="23" t="s">
        <v>2886</v>
      </c>
      <c r="B194" s="23" t="s">
        <v>2887</v>
      </c>
      <c r="C194" s="23" t="s">
        <v>2888</v>
      </c>
    </row>
    <row r="195" spans="1:3" ht="11.25" customHeight="1">
      <c r="A195" s="23" t="s">
        <v>2886</v>
      </c>
      <c r="B195" s="23" t="s">
        <v>2889</v>
      </c>
      <c r="C195" s="23" t="s">
        <v>2890</v>
      </c>
    </row>
    <row r="196" spans="1:3" ht="11.25" customHeight="1">
      <c r="A196" s="23" t="s">
        <v>2886</v>
      </c>
      <c r="B196" s="23" t="s">
        <v>2891</v>
      </c>
      <c r="C196" s="23" t="s">
        <v>2892</v>
      </c>
    </row>
    <row r="197" spans="1:3" ht="11.25" customHeight="1">
      <c r="A197" s="23" t="s">
        <v>2886</v>
      </c>
      <c r="B197" s="23" t="s">
        <v>2893</v>
      </c>
      <c r="C197" s="23" t="s">
        <v>2894</v>
      </c>
    </row>
    <row r="198" spans="1:3" ht="11.25" customHeight="1">
      <c r="A198" s="23" t="s">
        <v>2886</v>
      </c>
      <c r="B198" s="23" t="s">
        <v>2895</v>
      </c>
      <c r="C198" s="23" t="s">
        <v>2896</v>
      </c>
    </row>
    <row r="199" spans="1:3" ht="11.25" customHeight="1">
      <c r="A199" s="23" t="s">
        <v>2886</v>
      </c>
      <c r="B199" s="23" t="s">
        <v>2897</v>
      </c>
      <c r="C199" s="23" t="s">
        <v>2898</v>
      </c>
    </row>
    <row r="200" spans="1:3" ht="11.25" customHeight="1">
      <c r="A200" s="23" t="s">
        <v>2886</v>
      </c>
      <c r="B200" s="23" t="s">
        <v>2899</v>
      </c>
      <c r="C200" s="23" t="s">
        <v>2900</v>
      </c>
    </row>
    <row r="201" spans="1:3" ht="11.25" customHeight="1">
      <c r="A201" s="23" t="s">
        <v>2886</v>
      </c>
      <c r="B201" s="23" t="s">
        <v>2901</v>
      </c>
      <c r="C201" s="23" t="s">
        <v>2902</v>
      </c>
    </row>
    <row r="202" spans="1:3" ht="11.25" customHeight="1">
      <c r="A202" s="23" t="s">
        <v>2886</v>
      </c>
      <c r="B202" s="23" t="s">
        <v>2903</v>
      </c>
      <c r="C202" s="23" t="s">
        <v>2904</v>
      </c>
    </row>
    <row r="203" spans="1:3" ht="11.25" customHeight="1">
      <c r="A203" s="23" t="s">
        <v>2886</v>
      </c>
      <c r="B203" s="23" t="s">
        <v>2905</v>
      </c>
      <c r="C203" s="23" t="s">
        <v>2906</v>
      </c>
    </row>
    <row r="204" spans="1:3" ht="11.25" customHeight="1">
      <c r="A204" s="23" t="s">
        <v>2907</v>
      </c>
      <c r="B204" s="23" t="s">
        <v>2908</v>
      </c>
      <c r="C204" s="23" t="s">
        <v>2909</v>
      </c>
    </row>
    <row r="205" spans="1:3" ht="11.25" customHeight="1">
      <c r="A205" s="23" t="s">
        <v>2907</v>
      </c>
      <c r="B205" s="23" t="s">
        <v>2910</v>
      </c>
      <c r="C205" s="23" t="s">
        <v>2911</v>
      </c>
    </row>
    <row r="206" spans="1:3" ht="11.25" customHeight="1">
      <c r="A206" s="23" t="s">
        <v>2907</v>
      </c>
      <c r="B206" s="23" t="s">
        <v>2912</v>
      </c>
      <c r="C206" s="23" t="s">
        <v>2913</v>
      </c>
    </row>
    <row r="207" spans="1:3" ht="11.25" customHeight="1">
      <c r="A207" s="23" t="s">
        <v>2907</v>
      </c>
      <c r="B207" s="23" t="s">
        <v>2914</v>
      </c>
      <c r="C207" s="23" t="s">
        <v>2915</v>
      </c>
    </row>
    <row r="208" spans="1:3" ht="11.25" customHeight="1">
      <c r="A208" s="23" t="s">
        <v>2907</v>
      </c>
      <c r="B208" s="23" t="s">
        <v>2916</v>
      </c>
      <c r="C208" s="23" t="s">
        <v>2917</v>
      </c>
    </row>
    <row r="209" spans="1:3" ht="11.25" customHeight="1">
      <c r="A209" s="23" t="s">
        <v>2907</v>
      </c>
      <c r="B209" s="23" t="s">
        <v>2918</v>
      </c>
      <c r="C209" s="23" t="s">
        <v>2919</v>
      </c>
    </row>
    <row r="210" spans="1:3" ht="11.25" customHeight="1">
      <c r="A210" s="23" t="s">
        <v>2907</v>
      </c>
      <c r="B210" s="23" t="s">
        <v>2920</v>
      </c>
      <c r="C210" s="23" t="s">
        <v>2921</v>
      </c>
    </row>
    <row r="211" spans="1:3" ht="11.25" customHeight="1">
      <c r="A211" s="23" t="s">
        <v>2907</v>
      </c>
      <c r="B211" s="23" t="s">
        <v>2922</v>
      </c>
      <c r="C211" s="23" t="s">
        <v>2923</v>
      </c>
    </row>
    <row r="212" spans="1:3" ht="11.25" customHeight="1">
      <c r="A212" s="23" t="s">
        <v>2907</v>
      </c>
      <c r="B212" s="23" t="s">
        <v>2924</v>
      </c>
      <c r="C212" s="23" t="s">
        <v>2925</v>
      </c>
    </row>
    <row r="213" spans="1:3" ht="11.25" customHeight="1">
      <c r="A213" s="23" t="s">
        <v>2907</v>
      </c>
      <c r="B213" s="23" t="s">
        <v>2926</v>
      </c>
      <c r="C213" s="23" t="s">
        <v>2927</v>
      </c>
    </row>
    <row r="214" spans="1:3" ht="11.25" customHeight="1">
      <c r="A214" s="23" t="s">
        <v>2907</v>
      </c>
      <c r="B214" s="23" t="s">
        <v>2928</v>
      </c>
      <c r="C214" s="23" t="s">
        <v>2929</v>
      </c>
    </row>
    <row r="215" spans="1:3" ht="11.25" customHeight="1">
      <c r="A215" s="23" t="s">
        <v>2930</v>
      </c>
      <c r="B215" s="23" t="s">
        <v>2930</v>
      </c>
      <c r="C215" s="23" t="s">
        <v>2931</v>
      </c>
    </row>
    <row r="216" spans="1:3" ht="11.25" customHeight="1">
      <c r="A216" s="23" t="s">
        <v>2932</v>
      </c>
      <c r="B216" s="23" t="s">
        <v>2932</v>
      </c>
      <c r="C216" s="23" t="s">
        <v>2933</v>
      </c>
    </row>
    <row r="217" spans="1:3" ht="11.25" customHeight="1">
      <c r="A217" s="23" t="s">
        <v>2934</v>
      </c>
      <c r="B217" s="23" t="s">
        <v>2934</v>
      </c>
      <c r="C217" s="23" t="s">
        <v>2935</v>
      </c>
    </row>
    <row r="218" spans="1:3" ht="11.25" customHeight="1">
      <c r="A218" s="23" t="s">
        <v>2936</v>
      </c>
      <c r="B218" s="23" t="s">
        <v>2936</v>
      </c>
      <c r="C218" s="23" t="s">
        <v>2937</v>
      </c>
    </row>
    <row r="219" spans="1:3" ht="11.25" customHeight="1">
      <c r="A219" s="23" t="s">
        <v>2938</v>
      </c>
      <c r="B219" s="23" t="s">
        <v>2938</v>
      </c>
      <c r="C219" s="23" t="s">
        <v>2939</v>
      </c>
    </row>
    <row r="220" spans="1:3" ht="11.25" customHeight="1">
      <c r="A220" s="23" t="s">
        <v>2940</v>
      </c>
      <c r="B220" s="23" t="s">
        <v>2940</v>
      </c>
      <c r="C220" s="23" t="s">
        <v>2941</v>
      </c>
    </row>
    <row r="221" spans="1:3" ht="11.25" customHeight="1">
      <c r="A221" s="23" t="s">
        <v>2942</v>
      </c>
      <c r="B221" s="23" t="s">
        <v>2942</v>
      </c>
      <c r="C221" s="23" t="s">
        <v>2943</v>
      </c>
    </row>
    <row r="222" spans="1:3" ht="11.25" customHeight="1">
      <c r="A222" s="23" t="s">
        <v>2944</v>
      </c>
      <c r="B222" s="23" t="s">
        <v>2944</v>
      </c>
      <c r="C222" s="23" t="s">
        <v>2945</v>
      </c>
    </row>
    <row r="223" spans="1:3" ht="11.25" customHeight="1">
      <c r="A223" s="23" t="s">
        <v>2946</v>
      </c>
      <c r="B223" s="23" t="s">
        <v>2946</v>
      </c>
      <c r="C223" s="23" t="s">
        <v>2947</v>
      </c>
    </row>
    <row r="224" spans="1:3" ht="11.25" customHeight="1">
      <c r="A224" s="23" t="s">
        <v>2948</v>
      </c>
      <c r="B224" s="23" t="s">
        <v>2948</v>
      </c>
      <c r="C224" s="23" t="s">
        <v>2949</v>
      </c>
    </row>
    <row r="225" spans="1:3" ht="11.25" customHeight="1">
      <c r="A225" s="23" t="s">
        <v>2950</v>
      </c>
      <c r="B225" s="23" t="s">
        <v>2950</v>
      </c>
      <c r="C225" s="23" t="s">
        <v>2951</v>
      </c>
    </row>
    <row r="226" spans="1:3" ht="11.25" customHeight="1">
      <c r="A226" s="23" t="s">
        <v>2952</v>
      </c>
      <c r="B226" s="23" t="s">
        <v>2952</v>
      </c>
      <c r="C226" s="23" t="s">
        <v>2953</v>
      </c>
    </row>
    <row r="227" spans="1:3" ht="11.25" customHeight="1">
      <c r="A227" s="23" t="s">
        <v>2954</v>
      </c>
      <c r="B227" s="23" t="s">
        <v>2954</v>
      </c>
      <c r="C227" s="23" t="s">
        <v>2955</v>
      </c>
    </row>
    <row r="228" spans="1:3" ht="11.25" customHeight="1">
      <c r="A228" s="23" t="s">
        <v>2956</v>
      </c>
      <c r="B228" s="23" t="s">
        <v>2956</v>
      </c>
      <c r="C228" s="23" t="s">
        <v>2957</v>
      </c>
    </row>
    <row r="229" spans="1:3" ht="11.25" customHeight="1">
      <c r="A229" s="23" t="s">
        <v>2958</v>
      </c>
      <c r="B229" s="23" t="s">
        <v>2958</v>
      </c>
      <c r="C229" s="23" t="s">
        <v>2959</v>
      </c>
    </row>
    <row r="230" spans="1:3" ht="11.25" customHeight="1">
      <c r="A230" s="23" t="s">
        <v>2960</v>
      </c>
      <c r="B230" s="23" t="s">
        <v>2960</v>
      </c>
      <c r="C230" s="23" t="s">
        <v>2961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4BEE8-2E03-7228-1779-ACCD80BBF5A8}">
  <sheetPr>
    <tabColor rgb="FFFFCC99"/>
  </sheetPr>
  <dimension ref="A1:S456"/>
  <sheetViews>
    <sheetView showGridLines="0" workbookViewId="0"/>
  </sheetViews>
  <sheetFormatPr defaultColWidth="9.140625" defaultRowHeight="11.25" customHeight="1"/>
  <sheetData>
    <row r="1" spans="1:19" ht="11.25" customHeight="1">
      <c r="A1" t="s">
        <v>2962</v>
      </c>
      <c r="B1" t="s">
        <v>2963</v>
      </c>
      <c r="C1" t="s">
        <v>2964</v>
      </c>
      <c r="D1" t="s">
        <v>2965</v>
      </c>
      <c r="E1" t="s">
        <v>2966</v>
      </c>
      <c r="F1" t="s">
        <v>2967</v>
      </c>
      <c r="G1" t="s">
        <v>2968</v>
      </c>
      <c r="H1" t="s">
        <v>2969</v>
      </c>
      <c r="I1" t="s">
        <v>2970</v>
      </c>
      <c r="J1" t="s">
        <v>2971</v>
      </c>
      <c r="K1" t="s">
        <v>2972</v>
      </c>
      <c r="L1" t="s">
        <v>2973</v>
      </c>
      <c r="M1" t="s">
        <v>2974</v>
      </c>
      <c r="N1" t="s">
        <v>2975</v>
      </c>
      <c r="O1" t="s">
        <v>2976</v>
      </c>
      <c r="P1" t="s">
        <v>2977</v>
      </c>
      <c r="Q1" t="s">
        <v>2978</v>
      </c>
      <c r="R1" t="s">
        <v>2979</v>
      </c>
      <c r="S1" t="s">
        <v>2980</v>
      </c>
    </row>
    <row r="2" spans="1:19" ht="11.25" customHeight="1">
      <c r="A2">
        <v>2655</v>
      </c>
      <c r="B2" t="s">
        <v>102</v>
      </c>
      <c r="C2">
        <v>28976938</v>
      </c>
      <c r="D2" t="s">
        <v>2981</v>
      </c>
      <c r="E2" t="s">
        <v>2982</v>
      </c>
      <c r="F2" t="s">
        <v>2983</v>
      </c>
      <c r="G2" t="s">
        <v>2984</v>
      </c>
      <c r="H2" t="s">
        <v>2985</v>
      </c>
      <c r="I2" t="s">
        <v>2986</v>
      </c>
      <c r="J2" t="s">
        <v>2987</v>
      </c>
      <c r="K2" t="s">
        <v>2988</v>
      </c>
      <c r="L2" t="s">
        <v>2989</v>
      </c>
      <c r="M2" t="s">
        <v>2990</v>
      </c>
      <c r="N2" t="s">
        <v>2991</v>
      </c>
      <c r="O2" t="s">
        <v>2992</v>
      </c>
      <c r="P2" t="s">
        <v>2993</v>
      </c>
      <c r="Q2" t="s">
        <v>2994</v>
      </c>
      <c r="R2" t="b">
        <v>0</v>
      </c>
      <c r="S2" t="s">
        <v>2995</v>
      </c>
    </row>
    <row r="3" spans="1:19" ht="11.25" customHeight="1">
      <c r="A3">
        <v>2655</v>
      </c>
      <c r="B3" t="s">
        <v>102</v>
      </c>
      <c r="C3">
        <v>27804990</v>
      </c>
      <c r="D3" t="s">
        <v>2996</v>
      </c>
      <c r="E3" t="s">
        <v>2997</v>
      </c>
      <c r="F3" t="s">
        <v>2998</v>
      </c>
      <c r="G3" t="s">
        <v>2999</v>
      </c>
      <c r="H3" t="s">
        <v>3000</v>
      </c>
      <c r="I3" t="s">
        <v>3001</v>
      </c>
      <c r="J3" t="s">
        <v>2987</v>
      </c>
      <c r="K3" t="s">
        <v>3002</v>
      </c>
      <c r="L3" t="s">
        <v>3003</v>
      </c>
      <c r="M3" t="s">
        <v>3004</v>
      </c>
      <c r="N3" t="s">
        <v>3005</v>
      </c>
      <c r="O3" t="s">
        <v>3006</v>
      </c>
      <c r="P3" t="s">
        <v>3007</v>
      </c>
      <c r="Q3" t="s">
        <v>3008</v>
      </c>
      <c r="R3" t="b">
        <v>0</v>
      </c>
      <c r="S3" t="s">
        <v>2995</v>
      </c>
    </row>
    <row r="4" spans="1:19" ht="11.25" customHeight="1">
      <c r="A4">
        <v>2655</v>
      </c>
      <c r="B4" t="s">
        <v>102</v>
      </c>
      <c r="C4">
        <v>27804826</v>
      </c>
      <c r="D4" t="s">
        <v>3009</v>
      </c>
      <c r="E4" t="s">
        <v>3010</v>
      </c>
      <c r="F4" t="s">
        <v>3011</v>
      </c>
      <c r="G4" t="s">
        <v>3012</v>
      </c>
      <c r="H4" t="s">
        <v>3013</v>
      </c>
      <c r="I4" t="s">
        <v>3014</v>
      </c>
      <c r="J4" t="s">
        <v>2987</v>
      </c>
      <c r="K4" t="s">
        <v>3015</v>
      </c>
      <c r="L4" t="s">
        <v>3003</v>
      </c>
      <c r="M4" t="s">
        <v>3016</v>
      </c>
      <c r="N4" t="s">
        <v>3017</v>
      </c>
      <c r="O4" t="s">
        <v>3018</v>
      </c>
      <c r="P4" t="s">
        <v>3007</v>
      </c>
      <c r="Q4" t="s">
        <v>3019</v>
      </c>
      <c r="R4" t="b">
        <v>0</v>
      </c>
      <c r="S4" t="s">
        <v>2995</v>
      </c>
    </row>
    <row r="5" spans="1:19" ht="11.25" customHeight="1">
      <c r="A5">
        <v>2655</v>
      </c>
      <c r="B5" t="s">
        <v>102</v>
      </c>
      <c r="C5">
        <v>26356963</v>
      </c>
      <c r="D5" t="s">
        <v>3020</v>
      </c>
      <c r="E5" t="s">
        <v>3021</v>
      </c>
      <c r="F5" t="s">
        <v>3022</v>
      </c>
      <c r="G5" t="s">
        <v>3023</v>
      </c>
      <c r="H5" t="s">
        <v>3024</v>
      </c>
      <c r="I5" t="s">
        <v>225</v>
      </c>
      <c r="J5" t="s">
        <v>2987</v>
      </c>
      <c r="K5" t="s">
        <v>3025</v>
      </c>
      <c r="L5" t="s">
        <v>3025</v>
      </c>
      <c r="M5" t="s">
        <v>3026</v>
      </c>
      <c r="N5" t="s">
        <v>3027</v>
      </c>
      <c r="O5" t="s">
        <v>3028</v>
      </c>
      <c r="P5" t="s">
        <v>3029</v>
      </c>
      <c r="Q5" t="s">
        <v>225</v>
      </c>
      <c r="R5" t="b">
        <v>0</v>
      </c>
      <c r="S5" t="s">
        <v>2995</v>
      </c>
    </row>
    <row r="6" spans="1:19" ht="11.25" customHeight="1">
      <c r="A6">
        <v>2655</v>
      </c>
      <c r="B6" t="s">
        <v>102</v>
      </c>
      <c r="C6">
        <v>26322889</v>
      </c>
      <c r="D6" t="s">
        <v>3030</v>
      </c>
      <c r="E6" t="s">
        <v>3031</v>
      </c>
      <c r="F6" t="s">
        <v>3032</v>
      </c>
      <c r="G6" t="s">
        <v>3033</v>
      </c>
      <c r="H6" t="s">
        <v>3034</v>
      </c>
      <c r="I6" t="s">
        <v>3035</v>
      </c>
      <c r="J6" t="s">
        <v>2987</v>
      </c>
      <c r="K6" t="s">
        <v>3036</v>
      </c>
      <c r="L6" t="s">
        <v>3037</v>
      </c>
      <c r="M6" t="s">
        <v>3038</v>
      </c>
      <c r="N6" t="s">
        <v>3039</v>
      </c>
      <c r="O6" t="s">
        <v>3040</v>
      </c>
      <c r="P6" t="s">
        <v>3041</v>
      </c>
      <c r="Q6" t="s">
        <v>3042</v>
      </c>
      <c r="R6" t="b">
        <v>0</v>
      </c>
      <c r="S6" t="s">
        <v>2995</v>
      </c>
    </row>
    <row r="7" spans="1:19" ht="11.25" customHeight="1">
      <c r="A7">
        <v>2655</v>
      </c>
      <c r="B7" t="s">
        <v>102</v>
      </c>
      <c r="C7">
        <v>26427149</v>
      </c>
      <c r="D7" t="s">
        <v>3043</v>
      </c>
      <c r="E7" t="s">
        <v>3044</v>
      </c>
      <c r="F7" t="s">
        <v>2983</v>
      </c>
      <c r="G7" t="s">
        <v>3045</v>
      </c>
      <c r="H7" t="s">
        <v>2985</v>
      </c>
      <c r="I7" t="s">
        <v>2986</v>
      </c>
      <c r="J7" t="s">
        <v>2987</v>
      </c>
      <c r="K7" t="s">
        <v>3046</v>
      </c>
      <c r="L7" t="s">
        <v>3047</v>
      </c>
      <c r="M7" t="s">
        <v>3048</v>
      </c>
      <c r="N7" t="s">
        <v>3049</v>
      </c>
      <c r="O7" t="s">
        <v>3050</v>
      </c>
      <c r="P7" t="s">
        <v>3051</v>
      </c>
      <c r="Q7" t="s">
        <v>3052</v>
      </c>
      <c r="R7" t="b">
        <v>0</v>
      </c>
      <c r="S7" t="s">
        <v>2995</v>
      </c>
    </row>
    <row r="8" spans="1:19" ht="11.25" customHeight="1">
      <c r="A8">
        <v>2655</v>
      </c>
      <c r="B8" t="s">
        <v>102</v>
      </c>
      <c r="C8">
        <v>27295125</v>
      </c>
      <c r="D8" t="s">
        <v>3053</v>
      </c>
      <c r="E8" t="s">
        <v>3054</v>
      </c>
      <c r="F8" t="s">
        <v>3055</v>
      </c>
      <c r="G8" t="s">
        <v>3056</v>
      </c>
      <c r="H8" t="s">
        <v>3057</v>
      </c>
      <c r="I8" t="s">
        <v>3058</v>
      </c>
      <c r="J8" t="s">
        <v>3059</v>
      </c>
      <c r="K8" t="s">
        <v>3060</v>
      </c>
      <c r="L8" t="s">
        <v>3060</v>
      </c>
      <c r="M8" t="s">
        <v>3061</v>
      </c>
      <c r="N8" t="s">
        <v>3062</v>
      </c>
      <c r="O8" t="s">
        <v>3063</v>
      </c>
      <c r="P8" t="s">
        <v>3064</v>
      </c>
      <c r="Q8" t="s">
        <v>225</v>
      </c>
      <c r="R8" t="b">
        <v>0</v>
      </c>
      <c r="S8" t="s">
        <v>2995</v>
      </c>
    </row>
    <row r="9" spans="1:19" ht="11.25" customHeight="1">
      <c r="A9">
        <v>2655</v>
      </c>
      <c r="B9" t="s">
        <v>102</v>
      </c>
      <c r="C9">
        <v>26824672</v>
      </c>
      <c r="D9" t="s">
        <v>3065</v>
      </c>
      <c r="E9" t="s">
        <v>3066</v>
      </c>
      <c r="F9" t="s">
        <v>3067</v>
      </c>
      <c r="G9" t="s">
        <v>3068</v>
      </c>
      <c r="H9" t="s">
        <v>3069</v>
      </c>
      <c r="I9" t="s">
        <v>225</v>
      </c>
      <c r="J9" t="s">
        <v>3059</v>
      </c>
      <c r="K9" t="s">
        <v>3070</v>
      </c>
      <c r="L9" t="s">
        <v>3071</v>
      </c>
      <c r="M9" t="s">
        <v>3072</v>
      </c>
      <c r="N9" t="s">
        <v>3073</v>
      </c>
      <c r="O9" t="s">
        <v>225</v>
      </c>
      <c r="P9" t="s">
        <v>3074</v>
      </c>
      <c r="Q9" t="s">
        <v>225</v>
      </c>
      <c r="R9" t="b">
        <v>0</v>
      </c>
      <c r="S9" t="s">
        <v>2995</v>
      </c>
    </row>
    <row r="10" spans="1:19" ht="11.25" customHeight="1">
      <c r="A10">
        <v>2655</v>
      </c>
      <c r="B10" t="s">
        <v>102</v>
      </c>
      <c r="C10">
        <v>31826293</v>
      </c>
      <c r="D10" t="s">
        <v>3075</v>
      </c>
      <c r="E10" t="s">
        <v>3076</v>
      </c>
      <c r="F10" t="s">
        <v>3077</v>
      </c>
      <c r="G10" t="s">
        <v>3078</v>
      </c>
      <c r="H10" t="s">
        <v>3079</v>
      </c>
      <c r="I10" t="s">
        <v>3080</v>
      </c>
      <c r="K10" t="s">
        <v>3081</v>
      </c>
      <c r="L10" t="s">
        <v>3082</v>
      </c>
      <c r="M10" t="s">
        <v>3083</v>
      </c>
      <c r="N10" t="s">
        <v>3084</v>
      </c>
      <c r="O10" t="s">
        <v>3085</v>
      </c>
      <c r="P10" t="s">
        <v>3086</v>
      </c>
      <c r="Q10" t="s">
        <v>225</v>
      </c>
      <c r="R10" t="b">
        <v>0</v>
      </c>
      <c r="S10" t="s">
        <v>2995</v>
      </c>
    </row>
    <row r="11" spans="1:19" ht="11.25" customHeight="1">
      <c r="A11">
        <v>2655</v>
      </c>
      <c r="B11" t="s">
        <v>102</v>
      </c>
      <c r="C11">
        <v>26322867</v>
      </c>
      <c r="D11" t="s">
        <v>3087</v>
      </c>
      <c r="E11" t="s">
        <v>3088</v>
      </c>
      <c r="F11" t="s">
        <v>3089</v>
      </c>
      <c r="G11" t="s">
        <v>3033</v>
      </c>
      <c r="H11" t="s">
        <v>3090</v>
      </c>
      <c r="I11" t="s">
        <v>3091</v>
      </c>
      <c r="J11" t="s">
        <v>2987</v>
      </c>
      <c r="K11" t="s">
        <v>3092</v>
      </c>
      <c r="L11" t="s">
        <v>3092</v>
      </c>
      <c r="M11" t="s">
        <v>3093</v>
      </c>
      <c r="N11" t="s">
        <v>3094</v>
      </c>
      <c r="O11" t="s">
        <v>3095</v>
      </c>
      <c r="P11" t="s">
        <v>3064</v>
      </c>
      <c r="Q11" t="s">
        <v>3096</v>
      </c>
      <c r="R11" t="b">
        <v>0</v>
      </c>
      <c r="S11" t="s">
        <v>2995</v>
      </c>
    </row>
    <row r="12" spans="1:19" ht="11.25" customHeight="1">
      <c r="A12">
        <v>2655</v>
      </c>
      <c r="B12" t="s">
        <v>102</v>
      </c>
      <c r="C12">
        <v>26824651</v>
      </c>
      <c r="D12" t="s">
        <v>3097</v>
      </c>
      <c r="E12" t="s">
        <v>3098</v>
      </c>
      <c r="F12" t="s">
        <v>3067</v>
      </c>
      <c r="G12" t="s">
        <v>3099</v>
      </c>
      <c r="H12" t="s">
        <v>3069</v>
      </c>
      <c r="I12" t="s">
        <v>225</v>
      </c>
      <c r="J12" t="s">
        <v>2987</v>
      </c>
      <c r="K12" t="s">
        <v>3100</v>
      </c>
      <c r="L12" t="s">
        <v>3101</v>
      </c>
      <c r="M12" t="s">
        <v>3102</v>
      </c>
      <c r="N12" t="s">
        <v>3103</v>
      </c>
      <c r="O12" t="s">
        <v>3104</v>
      </c>
      <c r="P12" t="s">
        <v>3105</v>
      </c>
      <c r="Q12" t="s">
        <v>225</v>
      </c>
      <c r="R12" t="b">
        <v>0</v>
      </c>
      <c r="S12" t="s">
        <v>2995</v>
      </c>
    </row>
    <row r="13" spans="1:19" ht="11.25" customHeight="1">
      <c r="A13">
        <v>2655</v>
      </c>
      <c r="B13" t="s">
        <v>102</v>
      </c>
      <c r="C13">
        <v>26824396</v>
      </c>
      <c r="D13" t="s">
        <v>3106</v>
      </c>
      <c r="E13" t="s">
        <v>3107</v>
      </c>
      <c r="F13" t="s">
        <v>3067</v>
      </c>
      <c r="G13" t="s">
        <v>3108</v>
      </c>
      <c r="H13" t="s">
        <v>3069</v>
      </c>
      <c r="I13" t="s">
        <v>225</v>
      </c>
      <c r="J13" t="s">
        <v>3059</v>
      </c>
      <c r="K13" t="s">
        <v>3109</v>
      </c>
      <c r="L13" t="s">
        <v>3109</v>
      </c>
      <c r="M13" t="s">
        <v>3110</v>
      </c>
      <c r="N13" t="s">
        <v>225</v>
      </c>
      <c r="O13" t="s">
        <v>3111</v>
      </c>
      <c r="P13" t="s">
        <v>3105</v>
      </c>
      <c r="Q13" t="s">
        <v>225</v>
      </c>
      <c r="R13" t="b">
        <v>0</v>
      </c>
      <c r="S13" t="s">
        <v>2995</v>
      </c>
    </row>
    <row r="14" spans="1:19" ht="11.25" customHeight="1">
      <c r="A14">
        <v>2655</v>
      </c>
      <c r="B14" t="s">
        <v>102</v>
      </c>
      <c r="C14">
        <v>31232672</v>
      </c>
      <c r="D14" t="s">
        <v>3112</v>
      </c>
      <c r="E14" t="s">
        <v>3113</v>
      </c>
      <c r="F14" t="s">
        <v>3114</v>
      </c>
      <c r="G14" t="s">
        <v>3115</v>
      </c>
      <c r="H14" t="s">
        <v>3116</v>
      </c>
      <c r="I14" t="s">
        <v>3117</v>
      </c>
      <c r="J14" t="s">
        <v>3118</v>
      </c>
      <c r="K14" t="s">
        <v>3119</v>
      </c>
      <c r="L14" t="s">
        <v>3119</v>
      </c>
      <c r="M14" t="s">
        <v>3120</v>
      </c>
      <c r="N14" t="s">
        <v>3121</v>
      </c>
      <c r="O14" t="s">
        <v>3122</v>
      </c>
      <c r="P14" t="s">
        <v>145</v>
      </c>
      <c r="Q14" t="s">
        <v>225</v>
      </c>
      <c r="R14" t="b">
        <v>0</v>
      </c>
      <c r="S14" t="s">
        <v>2995</v>
      </c>
    </row>
    <row r="15" spans="1:19" ht="11.25" customHeight="1">
      <c r="A15">
        <v>2655</v>
      </c>
      <c r="B15" t="s">
        <v>102</v>
      </c>
      <c r="C15">
        <v>31387447</v>
      </c>
      <c r="D15" t="s">
        <v>3123</v>
      </c>
      <c r="E15" t="s">
        <v>3124</v>
      </c>
      <c r="F15" t="s">
        <v>3125</v>
      </c>
      <c r="G15" t="s">
        <v>3126</v>
      </c>
      <c r="H15" t="s">
        <v>3127</v>
      </c>
      <c r="I15" t="s">
        <v>3128</v>
      </c>
      <c r="J15" t="s">
        <v>3129</v>
      </c>
      <c r="K15" t="s">
        <v>3130</v>
      </c>
      <c r="L15" t="s">
        <v>3130</v>
      </c>
      <c r="M15" t="s">
        <v>3131</v>
      </c>
      <c r="N15" t="s">
        <v>3132</v>
      </c>
      <c r="O15" t="s">
        <v>3133</v>
      </c>
      <c r="P15" t="s">
        <v>145</v>
      </c>
      <c r="Q15" t="s">
        <v>225</v>
      </c>
      <c r="R15" t="b">
        <v>0</v>
      </c>
      <c r="S15" t="s">
        <v>2995</v>
      </c>
    </row>
    <row r="16" spans="1:19" ht="11.25" customHeight="1">
      <c r="A16">
        <v>2655</v>
      </c>
      <c r="B16" t="s">
        <v>102</v>
      </c>
      <c r="C16">
        <v>31905805</v>
      </c>
      <c r="D16" t="s">
        <v>3134</v>
      </c>
      <c r="E16" t="s">
        <v>3135</v>
      </c>
      <c r="F16" t="s">
        <v>3136</v>
      </c>
      <c r="G16" t="s">
        <v>3137</v>
      </c>
      <c r="H16" t="s">
        <v>3138</v>
      </c>
      <c r="I16" t="s">
        <v>3139</v>
      </c>
      <c r="K16" t="s">
        <v>3140</v>
      </c>
      <c r="L16" t="s">
        <v>3140</v>
      </c>
      <c r="M16" t="s">
        <v>3141</v>
      </c>
      <c r="N16" t="s">
        <v>3142</v>
      </c>
      <c r="O16" t="s">
        <v>3143</v>
      </c>
      <c r="P16" t="s">
        <v>3144</v>
      </c>
      <c r="Q16" t="s">
        <v>225</v>
      </c>
      <c r="R16" t="b">
        <v>0</v>
      </c>
      <c r="S16" t="s">
        <v>2995</v>
      </c>
    </row>
    <row r="17" spans="1:19" ht="11.25" customHeight="1">
      <c r="A17">
        <v>2655</v>
      </c>
      <c r="B17" t="s">
        <v>102</v>
      </c>
      <c r="C17">
        <v>30808700</v>
      </c>
      <c r="D17" t="s">
        <v>3145</v>
      </c>
      <c r="E17" t="s">
        <v>3146</v>
      </c>
      <c r="F17" t="s">
        <v>3147</v>
      </c>
      <c r="G17" t="s">
        <v>3068</v>
      </c>
      <c r="H17" t="s">
        <v>3148</v>
      </c>
      <c r="I17" t="s">
        <v>3149</v>
      </c>
      <c r="J17" t="s">
        <v>3129</v>
      </c>
      <c r="K17" t="s">
        <v>3150</v>
      </c>
      <c r="L17" t="s">
        <v>3151</v>
      </c>
      <c r="M17" t="s">
        <v>3152</v>
      </c>
      <c r="N17" t="s">
        <v>3153</v>
      </c>
      <c r="O17" t="s">
        <v>3154</v>
      </c>
      <c r="P17" t="s">
        <v>3155</v>
      </c>
      <c r="Q17" t="s">
        <v>225</v>
      </c>
      <c r="R17" t="b">
        <v>1</v>
      </c>
      <c r="S17" t="s">
        <v>2995</v>
      </c>
    </row>
    <row r="18" spans="1:19" ht="11.25" customHeight="1">
      <c r="A18">
        <v>2655</v>
      </c>
      <c r="B18" t="s">
        <v>102</v>
      </c>
      <c r="C18">
        <v>31319221</v>
      </c>
      <c r="D18" t="s">
        <v>3156</v>
      </c>
      <c r="E18" t="s">
        <v>3157</v>
      </c>
      <c r="F18" t="s">
        <v>3158</v>
      </c>
      <c r="G18" t="s">
        <v>3126</v>
      </c>
      <c r="H18" t="s">
        <v>3159</v>
      </c>
      <c r="I18" t="s">
        <v>3160</v>
      </c>
      <c r="J18" t="s">
        <v>3118</v>
      </c>
      <c r="K18" t="s">
        <v>3161</v>
      </c>
      <c r="L18" t="s">
        <v>3162</v>
      </c>
      <c r="M18" t="s">
        <v>3163</v>
      </c>
      <c r="N18" t="s">
        <v>3164</v>
      </c>
      <c r="O18" t="s">
        <v>3165</v>
      </c>
      <c r="P18" t="s">
        <v>145</v>
      </c>
      <c r="Q18" t="s">
        <v>225</v>
      </c>
      <c r="R18" t="b">
        <v>0</v>
      </c>
      <c r="S18" t="s">
        <v>2995</v>
      </c>
    </row>
    <row r="19" spans="1:19" ht="11.25" customHeight="1">
      <c r="A19">
        <v>2655</v>
      </c>
      <c r="B19" t="s">
        <v>102</v>
      </c>
      <c r="C19">
        <v>31419990</v>
      </c>
      <c r="D19" t="s">
        <v>3166</v>
      </c>
      <c r="E19" t="s">
        <v>3167</v>
      </c>
      <c r="F19" t="s">
        <v>3168</v>
      </c>
      <c r="G19" t="s">
        <v>3137</v>
      </c>
      <c r="H19" t="s">
        <v>3169</v>
      </c>
      <c r="I19" t="s">
        <v>3170</v>
      </c>
      <c r="J19" t="s">
        <v>3118</v>
      </c>
      <c r="K19" t="s">
        <v>3171</v>
      </c>
      <c r="L19" t="s">
        <v>3171</v>
      </c>
      <c r="M19" t="s">
        <v>3172</v>
      </c>
      <c r="N19" t="s">
        <v>3173</v>
      </c>
      <c r="O19" t="s">
        <v>3174</v>
      </c>
      <c r="P19" t="s">
        <v>145</v>
      </c>
      <c r="Q19" t="s">
        <v>3175</v>
      </c>
      <c r="R19" t="b">
        <v>0</v>
      </c>
      <c r="S19" t="s">
        <v>2995</v>
      </c>
    </row>
    <row r="20" spans="1:19" ht="11.25" customHeight="1">
      <c r="A20">
        <v>2655</v>
      </c>
      <c r="B20" t="s">
        <v>102</v>
      </c>
      <c r="C20">
        <v>31343443</v>
      </c>
      <c r="D20" t="s">
        <v>3176</v>
      </c>
      <c r="E20" t="s">
        <v>3177</v>
      </c>
      <c r="F20" t="s">
        <v>3178</v>
      </c>
      <c r="G20" t="s">
        <v>3068</v>
      </c>
      <c r="H20" t="s">
        <v>3179</v>
      </c>
      <c r="I20" t="s">
        <v>3180</v>
      </c>
      <c r="J20" t="s">
        <v>3118</v>
      </c>
      <c r="K20" t="s">
        <v>3181</v>
      </c>
      <c r="L20" t="s">
        <v>3181</v>
      </c>
      <c r="N20" t="s">
        <v>3182</v>
      </c>
      <c r="O20" t="s">
        <v>3183</v>
      </c>
      <c r="P20" t="s">
        <v>3155</v>
      </c>
      <c r="R20" t="b">
        <v>0</v>
      </c>
      <c r="S20" t="s">
        <v>2995</v>
      </c>
    </row>
    <row r="21" spans="1:19" ht="11.25" customHeight="1">
      <c r="A21">
        <v>2655</v>
      </c>
      <c r="B21" t="s">
        <v>102</v>
      </c>
      <c r="C21">
        <v>31367841</v>
      </c>
      <c r="D21" t="s">
        <v>3184</v>
      </c>
      <c r="E21" t="s">
        <v>3185</v>
      </c>
      <c r="F21" t="s">
        <v>3186</v>
      </c>
      <c r="G21" t="s">
        <v>3187</v>
      </c>
      <c r="H21" t="s">
        <v>3188</v>
      </c>
      <c r="I21" t="s">
        <v>3189</v>
      </c>
      <c r="J21" t="s">
        <v>3129</v>
      </c>
      <c r="K21" t="s">
        <v>3190</v>
      </c>
      <c r="L21" t="s">
        <v>3190</v>
      </c>
      <c r="M21" t="s">
        <v>225</v>
      </c>
      <c r="N21" t="s">
        <v>3191</v>
      </c>
      <c r="O21" t="s">
        <v>3192</v>
      </c>
      <c r="P21" t="s">
        <v>145</v>
      </c>
      <c r="Q21" t="s">
        <v>225</v>
      </c>
      <c r="R21" t="b">
        <v>0</v>
      </c>
      <c r="S21" t="s">
        <v>2995</v>
      </c>
    </row>
    <row r="22" spans="1:19" ht="11.25" customHeight="1">
      <c r="A22">
        <v>2655</v>
      </c>
      <c r="B22" t="s">
        <v>102</v>
      </c>
      <c r="C22">
        <v>31087651</v>
      </c>
      <c r="D22" t="s">
        <v>3193</v>
      </c>
      <c r="E22" t="s">
        <v>3194</v>
      </c>
      <c r="F22" t="s">
        <v>3195</v>
      </c>
      <c r="G22" t="s">
        <v>3196</v>
      </c>
      <c r="H22" t="s">
        <v>3197</v>
      </c>
      <c r="I22" t="s">
        <v>3198</v>
      </c>
      <c r="J22" t="s">
        <v>3118</v>
      </c>
      <c r="K22" t="s">
        <v>3199</v>
      </c>
      <c r="L22" t="s">
        <v>3199</v>
      </c>
      <c r="M22" t="s">
        <v>3200</v>
      </c>
      <c r="N22" t="s">
        <v>3201</v>
      </c>
      <c r="O22" t="s">
        <v>3202</v>
      </c>
      <c r="R22" t="b">
        <v>0</v>
      </c>
      <c r="S22" t="s">
        <v>2995</v>
      </c>
    </row>
    <row r="23" spans="1:19" ht="11.25" customHeight="1">
      <c r="A23">
        <v>2655</v>
      </c>
      <c r="B23" t="s">
        <v>102</v>
      </c>
      <c r="C23">
        <v>31367862</v>
      </c>
      <c r="D23" t="s">
        <v>3203</v>
      </c>
      <c r="E23" t="s">
        <v>3204</v>
      </c>
      <c r="F23" t="s">
        <v>3205</v>
      </c>
      <c r="G23" t="s">
        <v>3187</v>
      </c>
      <c r="H23" t="s">
        <v>3206</v>
      </c>
      <c r="I23" t="s">
        <v>3207</v>
      </c>
      <c r="J23" t="s">
        <v>3118</v>
      </c>
      <c r="K23" t="s">
        <v>3208</v>
      </c>
      <c r="L23" t="s">
        <v>3208</v>
      </c>
      <c r="M23" t="s">
        <v>225</v>
      </c>
      <c r="N23" t="s">
        <v>3209</v>
      </c>
      <c r="O23" t="s">
        <v>3210</v>
      </c>
      <c r="P23" t="s">
        <v>145</v>
      </c>
      <c r="Q23" t="s">
        <v>225</v>
      </c>
      <c r="R23" t="b">
        <v>0</v>
      </c>
      <c r="S23" t="s">
        <v>2995</v>
      </c>
    </row>
    <row r="24" spans="1:19" ht="11.25" customHeight="1">
      <c r="A24">
        <v>2655</v>
      </c>
      <c r="B24" t="s">
        <v>102</v>
      </c>
      <c r="C24">
        <v>26486390</v>
      </c>
      <c r="D24" t="s">
        <v>3211</v>
      </c>
      <c r="E24" t="s">
        <v>3212</v>
      </c>
      <c r="F24" t="s">
        <v>3213</v>
      </c>
      <c r="G24" t="s">
        <v>3214</v>
      </c>
      <c r="H24" t="s">
        <v>3215</v>
      </c>
      <c r="I24" t="s">
        <v>3216</v>
      </c>
      <c r="J24" t="s">
        <v>3129</v>
      </c>
      <c r="K24" t="s">
        <v>3217</v>
      </c>
      <c r="L24" t="s">
        <v>3217</v>
      </c>
      <c r="M24" t="s">
        <v>3218</v>
      </c>
      <c r="N24" t="s">
        <v>3219</v>
      </c>
      <c r="O24" t="s">
        <v>3220</v>
      </c>
      <c r="P24" t="s">
        <v>3221</v>
      </c>
      <c r="Q24" t="s">
        <v>225</v>
      </c>
      <c r="R24" t="b">
        <v>0</v>
      </c>
      <c r="S24" t="s">
        <v>2995</v>
      </c>
    </row>
    <row r="25" spans="1:19" ht="11.25" customHeight="1">
      <c r="A25">
        <v>2655</v>
      </c>
      <c r="B25" t="s">
        <v>102</v>
      </c>
      <c r="C25">
        <v>27977465</v>
      </c>
      <c r="D25" t="s">
        <v>3222</v>
      </c>
      <c r="E25" t="s">
        <v>3223</v>
      </c>
      <c r="F25" t="s">
        <v>3224</v>
      </c>
      <c r="G25" t="s">
        <v>123</v>
      </c>
      <c r="H25" t="s">
        <v>3225</v>
      </c>
      <c r="I25" t="s">
        <v>225</v>
      </c>
      <c r="K25" t="s">
        <v>3226</v>
      </c>
      <c r="L25" t="s">
        <v>3226</v>
      </c>
      <c r="M25" t="s">
        <v>3227</v>
      </c>
      <c r="N25" t="s">
        <v>3228</v>
      </c>
      <c r="O25" t="s">
        <v>3229</v>
      </c>
      <c r="P25" t="s">
        <v>3155</v>
      </c>
      <c r="Q25" t="s">
        <v>225</v>
      </c>
      <c r="R25" t="b">
        <v>0</v>
      </c>
      <c r="S25" t="s">
        <v>2995</v>
      </c>
    </row>
    <row r="26" spans="1:19" ht="11.25" customHeight="1">
      <c r="A26">
        <v>2655</v>
      </c>
      <c r="B26" t="s">
        <v>102</v>
      </c>
      <c r="C26">
        <v>31003143</v>
      </c>
      <c r="D26" t="s">
        <v>3230</v>
      </c>
      <c r="E26" t="s">
        <v>3231</v>
      </c>
      <c r="F26" t="s">
        <v>3232</v>
      </c>
      <c r="G26" t="s">
        <v>123</v>
      </c>
      <c r="H26" t="s">
        <v>3233</v>
      </c>
      <c r="I26" t="s">
        <v>3234</v>
      </c>
      <c r="J26" t="s">
        <v>3129</v>
      </c>
      <c r="K26" t="s">
        <v>3235</v>
      </c>
      <c r="L26" t="s">
        <v>3236</v>
      </c>
      <c r="M26" t="s">
        <v>3237</v>
      </c>
      <c r="N26" t="s">
        <v>3238</v>
      </c>
      <c r="O26" t="s">
        <v>3239</v>
      </c>
      <c r="P26" t="s">
        <v>145</v>
      </c>
      <c r="Q26" t="s">
        <v>225</v>
      </c>
      <c r="R26" t="b">
        <v>1</v>
      </c>
      <c r="S26" t="s">
        <v>2995</v>
      </c>
    </row>
    <row r="27" spans="1:19" ht="11.25" customHeight="1">
      <c r="A27">
        <v>2655</v>
      </c>
      <c r="B27" t="s">
        <v>102</v>
      </c>
      <c r="C27">
        <v>31308226</v>
      </c>
      <c r="D27" t="s">
        <v>3240</v>
      </c>
      <c r="E27" t="s">
        <v>3241</v>
      </c>
      <c r="F27" t="s">
        <v>3242</v>
      </c>
      <c r="G27" t="s">
        <v>3243</v>
      </c>
      <c r="H27" t="s">
        <v>3244</v>
      </c>
      <c r="I27" t="s">
        <v>3245</v>
      </c>
      <c r="J27" t="s">
        <v>3129</v>
      </c>
      <c r="K27" t="s">
        <v>3246</v>
      </c>
      <c r="L27" t="s">
        <v>3246</v>
      </c>
      <c r="M27" t="s">
        <v>3247</v>
      </c>
      <c r="N27" t="s">
        <v>3248</v>
      </c>
      <c r="O27" t="s">
        <v>3249</v>
      </c>
      <c r="P27" t="s">
        <v>3155</v>
      </c>
      <c r="Q27" t="s">
        <v>225</v>
      </c>
      <c r="R27" t="b">
        <v>1</v>
      </c>
      <c r="S27" t="s">
        <v>2995</v>
      </c>
    </row>
    <row r="28" spans="1:19" ht="11.25" customHeight="1">
      <c r="A28">
        <v>2655</v>
      </c>
      <c r="B28" t="s">
        <v>102</v>
      </c>
      <c r="C28">
        <v>31284269</v>
      </c>
      <c r="D28" t="s">
        <v>3250</v>
      </c>
      <c r="E28" t="s">
        <v>3251</v>
      </c>
      <c r="F28" t="s">
        <v>3252</v>
      </c>
      <c r="G28" t="s">
        <v>3196</v>
      </c>
      <c r="H28" t="s">
        <v>3253</v>
      </c>
      <c r="I28" t="s">
        <v>3254</v>
      </c>
      <c r="J28" t="s">
        <v>3129</v>
      </c>
      <c r="K28" t="s">
        <v>3255</v>
      </c>
      <c r="L28" t="s">
        <v>3256</v>
      </c>
      <c r="M28" t="s">
        <v>3257</v>
      </c>
      <c r="N28" t="s">
        <v>3258</v>
      </c>
      <c r="O28" t="s">
        <v>3259</v>
      </c>
      <c r="P28" t="s">
        <v>145</v>
      </c>
      <c r="Q28" t="s">
        <v>225</v>
      </c>
      <c r="R28" t="b">
        <v>0</v>
      </c>
      <c r="S28" t="s">
        <v>2995</v>
      </c>
    </row>
    <row r="29" spans="1:19" ht="11.25" customHeight="1">
      <c r="A29">
        <v>2655</v>
      </c>
      <c r="B29" t="s">
        <v>102</v>
      </c>
      <c r="C29">
        <v>31241680</v>
      </c>
      <c r="D29" t="s">
        <v>3260</v>
      </c>
      <c r="E29" t="s">
        <v>3261</v>
      </c>
      <c r="F29" t="s">
        <v>3262</v>
      </c>
      <c r="G29" t="s">
        <v>3137</v>
      </c>
      <c r="H29" t="s">
        <v>3263</v>
      </c>
      <c r="I29" t="s">
        <v>3264</v>
      </c>
      <c r="J29" t="s">
        <v>3129</v>
      </c>
      <c r="K29" t="s">
        <v>3265</v>
      </c>
      <c r="L29" t="s">
        <v>3265</v>
      </c>
      <c r="M29" t="s">
        <v>3266</v>
      </c>
      <c r="N29" t="s">
        <v>3267</v>
      </c>
      <c r="O29" t="s">
        <v>3268</v>
      </c>
      <c r="P29" t="s">
        <v>3155</v>
      </c>
      <c r="Q29" t="s">
        <v>3269</v>
      </c>
      <c r="R29" t="b">
        <v>0</v>
      </c>
      <c r="S29" t="s">
        <v>2995</v>
      </c>
    </row>
    <row r="30" spans="1:19" ht="11.25" customHeight="1">
      <c r="A30">
        <v>2655</v>
      </c>
      <c r="B30" t="s">
        <v>102</v>
      </c>
      <c r="C30">
        <v>31579664</v>
      </c>
      <c r="D30" t="s">
        <v>3270</v>
      </c>
      <c r="E30" t="s">
        <v>3271</v>
      </c>
      <c r="F30" t="s">
        <v>3272</v>
      </c>
      <c r="G30" t="s">
        <v>3068</v>
      </c>
      <c r="H30" t="s">
        <v>3273</v>
      </c>
      <c r="I30" t="s">
        <v>3274</v>
      </c>
      <c r="K30" t="s">
        <v>3275</v>
      </c>
      <c r="L30" t="s">
        <v>3276</v>
      </c>
      <c r="M30" t="s">
        <v>3277</v>
      </c>
      <c r="N30" t="s">
        <v>225</v>
      </c>
      <c r="O30" t="s">
        <v>3278</v>
      </c>
      <c r="P30" t="s">
        <v>145</v>
      </c>
      <c r="Q30" t="s">
        <v>3279</v>
      </c>
      <c r="R30" t="b">
        <v>1</v>
      </c>
      <c r="S30" t="s">
        <v>2995</v>
      </c>
    </row>
    <row r="31" spans="1:19" ht="11.25" customHeight="1">
      <c r="A31">
        <v>2655</v>
      </c>
      <c r="B31" t="s">
        <v>102</v>
      </c>
      <c r="C31">
        <v>26322895</v>
      </c>
      <c r="D31" t="s">
        <v>3280</v>
      </c>
      <c r="E31" t="s">
        <v>3281</v>
      </c>
      <c r="F31" t="s">
        <v>3282</v>
      </c>
      <c r="G31" t="s">
        <v>2999</v>
      </c>
      <c r="H31" t="s">
        <v>3283</v>
      </c>
      <c r="I31" t="s">
        <v>3284</v>
      </c>
      <c r="J31" t="s">
        <v>3059</v>
      </c>
      <c r="K31" t="s">
        <v>3285</v>
      </c>
      <c r="L31" t="s">
        <v>3285</v>
      </c>
      <c r="M31" t="s">
        <v>3286</v>
      </c>
      <c r="N31" t="s">
        <v>3287</v>
      </c>
      <c r="O31" t="s">
        <v>3288</v>
      </c>
      <c r="P31" t="s">
        <v>3064</v>
      </c>
      <c r="Q31" t="s">
        <v>3289</v>
      </c>
      <c r="R31" t="b">
        <v>0</v>
      </c>
      <c r="S31" t="s">
        <v>2995</v>
      </c>
    </row>
    <row r="32" spans="1:19" ht="11.25" customHeight="1">
      <c r="A32">
        <v>2655</v>
      </c>
      <c r="B32" t="s">
        <v>102</v>
      </c>
      <c r="C32">
        <v>28119331</v>
      </c>
      <c r="D32" t="s">
        <v>3290</v>
      </c>
      <c r="E32" t="s">
        <v>3291</v>
      </c>
      <c r="F32" t="s">
        <v>3292</v>
      </c>
      <c r="G32" t="s">
        <v>2999</v>
      </c>
      <c r="H32" t="s">
        <v>3293</v>
      </c>
      <c r="I32" t="s">
        <v>225</v>
      </c>
      <c r="J32" t="s">
        <v>128</v>
      </c>
      <c r="K32" t="s">
        <v>3294</v>
      </c>
      <c r="L32" t="s">
        <v>3294</v>
      </c>
      <c r="M32" t="s">
        <v>3295</v>
      </c>
      <c r="N32" t="s">
        <v>225</v>
      </c>
      <c r="O32" t="s">
        <v>3296</v>
      </c>
      <c r="P32" t="s">
        <v>3155</v>
      </c>
      <c r="Q32" t="s">
        <v>225</v>
      </c>
      <c r="R32" t="b">
        <v>1</v>
      </c>
      <c r="S32" t="s">
        <v>2995</v>
      </c>
    </row>
    <row r="33" spans="1:19" ht="11.25" customHeight="1">
      <c r="A33">
        <v>2655</v>
      </c>
      <c r="B33" t="s">
        <v>102</v>
      </c>
      <c r="C33">
        <v>31775146</v>
      </c>
      <c r="D33" t="s">
        <v>3297</v>
      </c>
      <c r="E33" t="s">
        <v>3298</v>
      </c>
      <c r="F33" t="s">
        <v>3299</v>
      </c>
      <c r="G33" t="s">
        <v>3300</v>
      </c>
      <c r="H33" t="s">
        <v>3301</v>
      </c>
      <c r="I33" t="s">
        <v>3302</v>
      </c>
      <c r="K33" t="s">
        <v>3303</v>
      </c>
      <c r="L33" t="s">
        <v>3303</v>
      </c>
      <c r="M33" t="s">
        <v>3304</v>
      </c>
      <c r="N33" t="s">
        <v>3305</v>
      </c>
      <c r="O33" t="s">
        <v>3306</v>
      </c>
      <c r="P33" t="s">
        <v>3155</v>
      </c>
      <c r="Q33" t="s">
        <v>225</v>
      </c>
      <c r="R33" t="b">
        <v>1</v>
      </c>
      <c r="S33" t="s">
        <v>2995</v>
      </c>
    </row>
    <row r="34" spans="1:19" ht="11.25" customHeight="1">
      <c r="A34">
        <v>2655</v>
      </c>
      <c r="B34" t="s">
        <v>102</v>
      </c>
      <c r="C34">
        <v>28869965</v>
      </c>
      <c r="D34" t="s">
        <v>3307</v>
      </c>
      <c r="E34" t="s">
        <v>3308</v>
      </c>
      <c r="F34" t="s">
        <v>3309</v>
      </c>
      <c r="G34" t="s">
        <v>3115</v>
      </c>
      <c r="H34" t="s">
        <v>3310</v>
      </c>
      <c r="I34" t="s">
        <v>225</v>
      </c>
      <c r="J34" t="s">
        <v>128</v>
      </c>
      <c r="K34" t="s">
        <v>3311</v>
      </c>
      <c r="L34" t="s">
        <v>3311</v>
      </c>
      <c r="M34" t="s">
        <v>3312</v>
      </c>
      <c r="N34" t="s">
        <v>3313</v>
      </c>
      <c r="O34" t="s">
        <v>3314</v>
      </c>
      <c r="P34" t="s">
        <v>3064</v>
      </c>
      <c r="Q34" t="s">
        <v>3315</v>
      </c>
      <c r="R34" t="b">
        <v>0</v>
      </c>
      <c r="S34" t="s">
        <v>2995</v>
      </c>
    </row>
    <row r="35" spans="1:19" ht="11.25" customHeight="1">
      <c r="A35">
        <v>2655</v>
      </c>
      <c r="B35" t="s">
        <v>102</v>
      </c>
      <c r="C35">
        <v>31356597</v>
      </c>
      <c r="D35" t="s">
        <v>3316</v>
      </c>
      <c r="E35" t="s">
        <v>3317</v>
      </c>
      <c r="F35" t="s">
        <v>3318</v>
      </c>
      <c r="G35" t="s">
        <v>3196</v>
      </c>
      <c r="H35" t="s">
        <v>3319</v>
      </c>
      <c r="I35" t="s">
        <v>3320</v>
      </c>
      <c r="J35" t="s">
        <v>128</v>
      </c>
      <c r="K35" t="s">
        <v>3321</v>
      </c>
      <c r="L35" t="s">
        <v>3321</v>
      </c>
      <c r="M35" t="s">
        <v>3322</v>
      </c>
      <c r="N35" t="s">
        <v>3323</v>
      </c>
      <c r="O35" t="s">
        <v>3324</v>
      </c>
      <c r="P35" t="s">
        <v>3064</v>
      </c>
      <c r="Q35" t="s">
        <v>225</v>
      </c>
      <c r="R35" t="b">
        <v>0</v>
      </c>
      <c r="S35" t="s">
        <v>2995</v>
      </c>
    </row>
    <row r="36" spans="1:19" ht="11.25" customHeight="1">
      <c r="A36">
        <v>2655</v>
      </c>
      <c r="B36" t="s">
        <v>102</v>
      </c>
      <c r="C36">
        <v>28136671</v>
      </c>
      <c r="D36" t="s">
        <v>3325</v>
      </c>
      <c r="E36" t="s">
        <v>3326</v>
      </c>
      <c r="F36" t="s">
        <v>3327</v>
      </c>
      <c r="G36" t="s">
        <v>3328</v>
      </c>
      <c r="H36" t="s">
        <v>3329</v>
      </c>
      <c r="I36" t="s">
        <v>3330</v>
      </c>
      <c r="J36" t="s">
        <v>128</v>
      </c>
      <c r="K36" t="s">
        <v>3331</v>
      </c>
      <c r="L36" t="s">
        <v>3332</v>
      </c>
      <c r="M36" t="s">
        <v>3333</v>
      </c>
      <c r="N36" t="s">
        <v>3334</v>
      </c>
      <c r="O36" t="s">
        <v>3335</v>
      </c>
      <c r="P36" t="s">
        <v>3007</v>
      </c>
      <c r="Q36" t="s">
        <v>225</v>
      </c>
      <c r="R36" t="b">
        <v>1</v>
      </c>
      <c r="S36" t="s">
        <v>2995</v>
      </c>
    </row>
    <row r="37" spans="1:19" ht="11.25" customHeight="1">
      <c r="A37">
        <v>2655</v>
      </c>
      <c r="B37" t="s">
        <v>102</v>
      </c>
      <c r="C37">
        <v>30854705</v>
      </c>
      <c r="D37" t="s">
        <v>3336</v>
      </c>
      <c r="E37" t="s">
        <v>3337</v>
      </c>
      <c r="F37" t="s">
        <v>3338</v>
      </c>
      <c r="G37" t="s">
        <v>3023</v>
      </c>
      <c r="H37" t="s">
        <v>3339</v>
      </c>
      <c r="I37" t="s">
        <v>3340</v>
      </c>
      <c r="J37" t="s">
        <v>128</v>
      </c>
      <c r="K37" t="s">
        <v>3341</v>
      </c>
      <c r="L37" t="s">
        <v>3341</v>
      </c>
      <c r="M37" t="s">
        <v>3342</v>
      </c>
      <c r="N37" t="s">
        <v>3343</v>
      </c>
      <c r="O37" t="s">
        <v>3344</v>
      </c>
      <c r="P37" t="s">
        <v>3064</v>
      </c>
      <c r="Q37" t="s">
        <v>151</v>
      </c>
      <c r="R37" t="b">
        <v>0</v>
      </c>
      <c r="S37" t="s">
        <v>2995</v>
      </c>
    </row>
    <row r="38" spans="1:19" ht="11.25" customHeight="1">
      <c r="A38">
        <v>2655</v>
      </c>
      <c r="B38" t="s">
        <v>102</v>
      </c>
      <c r="C38">
        <v>31656254</v>
      </c>
      <c r="D38" t="s">
        <v>3345</v>
      </c>
      <c r="E38" t="s">
        <v>3346</v>
      </c>
      <c r="F38" t="s">
        <v>3347</v>
      </c>
      <c r="G38" t="s">
        <v>3348</v>
      </c>
      <c r="H38" t="s">
        <v>3349</v>
      </c>
      <c r="I38" t="s">
        <v>3350</v>
      </c>
      <c r="K38" t="s">
        <v>3351</v>
      </c>
      <c r="L38" t="s">
        <v>3352</v>
      </c>
      <c r="M38" t="s">
        <v>3353</v>
      </c>
      <c r="N38" t="s">
        <v>3354</v>
      </c>
      <c r="O38" t="s">
        <v>3355</v>
      </c>
      <c r="P38" t="s">
        <v>145</v>
      </c>
      <c r="Q38" t="s">
        <v>3356</v>
      </c>
      <c r="R38" t="b">
        <v>0</v>
      </c>
      <c r="S38" t="s">
        <v>2995</v>
      </c>
    </row>
    <row r="39" spans="1:19" ht="11.25" customHeight="1">
      <c r="A39">
        <v>2655</v>
      </c>
      <c r="B39" t="s">
        <v>102</v>
      </c>
      <c r="C39">
        <v>31424033</v>
      </c>
      <c r="D39" t="s">
        <v>3357</v>
      </c>
      <c r="E39" t="s">
        <v>3358</v>
      </c>
      <c r="F39" t="s">
        <v>3359</v>
      </c>
      <c r="G39" t="s">
        <v>3360</v>
      </c>
      <c r="H39" t="s">
        <v>3361</v>
      </c>
      <c r="I39" t="s">
        <v>225</v>
      </c>
      <c r="J39" t="s">
        <v>128</v>
      </c>
      <c r="K39" t="s">
        <v>3362</v>
      </c>
      <c r="L39" t="s">
        <v>3363</v>
      </c>
      <c r="M39" t="s">
        <v>3004</v>
      </c>
      <c r="N39" t="s">
        <v>3364</v>
      </c>
      <c r="O39" t="s">
        <v>3365</v>
      </c>
      <c r="P39" t="s">
        <v>145</v>
      </c>
      <c r="Q39" t="s">
        <v>3366</v>
      </c>
      <c r="R39" t="b">
        <v>0</v>
      </c>
      <c r="S39" t="s">
        <v>2995</v>
      </c>
    </row>
    <row r="40" spans="1:19" ht="11.25" customHeight="1">
      <c r="A40">
        <v>2655</v>
      </c>
      <c r="B40" t="s">
        <v>102</v>
      </c>
      <c r="C40">
        <v>26428026</v>
      </c>
      <c r="D40" t="s">
        <v>3367</v>
      </c>
      <c r="E40" t="s">
        <v>3368</v>
      </c>
      <c r="F40" t="s">
        <v>3369</v>
      </c>
      <c r="G40" t="s">
        <v>3370</v>
      </c>
      <c r="H40" t="s">
        <v>3371</v>
      </c>
      <c r="I40" t="s">
        <v>225</v>
      </c>
      <c r="K40" t="s">
        <v>3372</v>
      </c>
      <c r="L40" t="s">
        <v>3372</v>
      </c>
      <c r="M40" t="s">
        <v>3373</v>
      </c>
      <c r="N40" t="s">
        <v>3374</v>
      </c>
      <c r="O40" t="s">
        <v>3375</v>
      </c>
      <c r="P40" t="s">
        <v>145</v>
      </c>
      <c r="Q40" t="s">
        <v>225</v>
      </c>
      <c r="R40" t="b">
        <v>1</v>
      </c>
      <c r="S40" t="s">
        <v>2995</v>
      </c>
    </row>
    <row r="41" spans="1:19" ht="11.25" customHeight="1">
      <c r="A41">
        <v>2655</v>
      </c>
      <c r="B41" t="s">
        <v>102</v>
      </c>
      <c r="C41">
        <v>28151808</v>
      </c>
      <c r="D41" t="s">
        <v>3376</v>
      </c>
      <c r="E41" t="s">
        <v>3377</v>
      </c>
      <c r="F41" t="s">
        <v>3378</v>
      </c>
      <c r="G41" t="s">
        <v>3068</v>
      </c>
      <c r="H41" t="s">
        <v>3379</v>
      </c>
      <c r="I41" t="s">
        <v>3380</v>
      </c>
      <c r="J41" t="s">
        <v>128</v>
      </c>
      <c r="K41" t="s">
        <v>3381</v>
      </c>
      <c r="L41" t="s">
        <v>3382</v>
      </c>
      <c r="M41" t="s">
        <v>3383</v>
      </c>
      <c r="N41" t="s">
        <v>3384</v>
      </c>
      <c r="O41" t="s">
        <v>3385</v>
      </c>
      <c r="P41" t="s">
        <v>3064</v>
      </c>
      <c r="Q41" t="s">
        <v>225</v>
      </c>
      <c r="R41" t="b">
        <v>1</v>
      </c>
      <c r="S41" t="s">
        <v>2995</v>
      </c>
    </row>
    <row r="42" spans="1:19" ht="11.25" customHeight="1">
      <c r="A42">
        <v>2655</v>
      </c>
      <c r="B42" t="s">
        <v>102</v>
      </c>
      <c r="C42">
        <v>31739633</v>
      </c>
      <c r="D42" t="s">
        <v>3386</v>
      </c>
      <c r="E42" t="s">
        <v>3387</v>
      </c>
      <c r="F42" t="s">
        <v>3388</v>
      </c>
      <c r="G42" t="s">
        <v>3389</v>
      </c>
      <c r="H42" t="s">
        <v>3390</v>
      </c>
      <c r="I42" t="s">
        <v>3391</v>
      </c>
      <c r="K42" t="s">
        <v>3392</v>
      </c>
      <c r="L42" t="s">
        <v>3392</v>
      </c>
      <c r="M42" t="s">
        <v>3393</v>
      </c>
      <c r="N42" t="s">
        <v>3394</v>
      </c>
      <c r="O42" t="s">
        <v>3395</v>
      </c>
      <c r="P42" t="s">
        <v>3155</v>
      </c>
      <c r="Q42" t="s">
        <v>225</v>
      </c>
      <c r="R42" t="b">
        <v>0</v>
      </c>
      <c r="S42" t="s">
        <v>2995</v>
      </c>
    </row>
    <row r="43" spans="1:19" ht="11.25" customHeight="1">
      <c r="A43">
        <v>2655</v>
      </c>
      <c r="B43" t="s">
        <v>102</v>
      </c>
      <c r="C43">
        <v>31541617</v>
      </c>
      <c r="D43" t="s">
        <v>3396</v>
      </c>
      <c r="E43" t="s">
        <v>3397</v>
      </c>
      <c r="F43" t="s">
        <v>3398</v>
      </c>
      <c r="G43" t="s">
        <v>3399</v>
      </c>
      <c r="H43" t="s">
        <v>3400</v>
      </c>
      <c r="I43" t="s">
        <v>3401</v>
      </c>
      <c r="K43" t="s">
        <v>3402</v>
      </c>
      <c r="L43" t="s">
        <v>3402</v>
      </c>
      <c r="M43" t="s">
        <v>3403</v>
      </c>
      <c r="N43" t="s">
        <v>3404</v>
      </c>
      <c r="O43" t="s">
        <v>3405</v>
      </c>
      <c r="P43" t="s">
        <v>3155</v>
      </c>
      <c r="Q43" t="s">
        <v>225</v>
      </c>
      <c r="R43" t="b">
        <v>1</v>
      </c>
      <c r="S43" t="s">
        <v>2995</v>
      </c>
    </row>
    <row r="44" spans="1:19" ht="11.25" customHeight="1">
      <c r="A44">
        <v>2655</v>
      </c>
      <c r="B44" t="s">
        <v>102</v>
      </c>
      <c r="C44">
        <v>26356987</v>
      </c>
      <c r="D44" t="s">
        <v>3406</v>
      </c>
      <c r="E44" t="s">
        <v>3407</v>
      </c>
      <c r="F44" t="s">
        <v>3408</v>
      </c>
      <c r="G44" t="s">
        <v>3409</v>
      </c>
      <c r="H44" t="s">
        <v>3410</v>
      </c>
      <c r="I44" t="s">
        <v>3411</v>
      </c>
      <c r="J44" t="s">
        <v>128</v>
      </c>
      <c r="K44" t="s">
        <v>3412</v>
      </c>
      <c r="L44" t="s">
        <v>3412</v>
      </c>
      <c r="M44" t="s">
        <v>3413</v>
      </c>
      <c r="N44" t="s">
        <v>3414</v>
      </c>
      <c r="O44" t="s">
        <v>3415</v>
      </c>
      <c r="P44" t="s">
        <v>3155</v>
      </c>
      <c r="Q44" t="s">
        <v>3416</v>
      </c>
      <c r="R44" t="b">
        <v>0</v>
      </c>
      <c r="S44" t="s">
        <v>2995</v>
      </c>
    </row>
    <row r="45" spans="1:19" ht="11.25" customHeight="1">
      <c r="A45">
        <v>2655</v>
      </c>
      <c r="B45" t="s">
        <v>102</v>
      </c>
      <c r="C45">
        <v>26356891</v>
      </c>
      <c r="D45" t="s">
        <v>3417</v>
      </c>
      <c r="E45" t="s">
        <v>3418</v>
      </c>
      <c r="F45" t="s">
        <v>3419</v>
      </c>
      <c r="G45" t="s">
        <v>123</v>
      </c>
      <c r="H45" t="s">
        <v>3420</v>
      </c>
      <c r="I45" t="s">
        <v>3421</v>
      </c>
      <c r="J45" t="s">
        <v>128</v>
      </c>
      <c r="K45" t="s">
        <v>3422</v>
      </c>
      <c r="L45" t="s">
        <v>3422</v>
      </c>
      <c r="M45" t="s">
        <v>3423</v>
      </c>
      <c r="N45" t="s">
        <v>3424</v>
      </c>
      <c r="O45" t="s">
        <v>3425</v>
      </c>
      <c r="P45" t="s">
        <v>145</v>
      </c>
      <c r="Q45" t="s">
        <v>225</v>
      </c>
      <c r="R45" t="b">
        <v>0</v>
      </c>
      <c r="S45" t="s">
        <v>2995</v>
      </c>
    </row>
    <row r="46" spans="1:19" ht="11.25" customHeight="1">
      <c r="A46">
        <v>2655</v>
      </c>
      <c r="B46" t="s">
        <v>102</v>
      </c>
      <c r="C46">
        <v>31241637</v>
      </c>
      <c r="D46" t="s">
        <v>3426</v>
      </c>
      <c r="E46" t="s">
        <v>3427</v>
      </c>
      <c r="F46" t="s">
        <v>3428</v>
      </c>
      <c r="G46" t="s">
        <v>3243</v>
      </c>
      <c r="H46" t="s">
        <v>3429</v>
      </c>
      <c r="I46" t="s">
        <v>3430</v>
      </c>
      <c r="J46" t="s">
        <v>128</v>
      </c>
      <c r="K46" t="s">
        <v>3431</v>
      </c>
      <c r="L46" t="s">
        <v>3431</v>
      </c>
      <c r="M46" t="s">
        <v>3432</v>
      </c>
      <c r="N46" t="s">
        <v>225</v>
      </c>
      <c r="O46" t="s">
        <v>3433</v>
      </c>
      <c r="P46" t="s">
        <v>3155</v>
      </c>
      <c r="Q46" t="s">
        <v>225</v>
      </c>
      <c r="R46" t="b">
        <v>0</v>
      </c>
      <c r="S46" t="s">
        <v>2995</v>
      </c>
    </row>
    <row r="47" spans="1:19" ht="11.25" customHeight="1">
      <c r="A47">
        <v>2655</v>
      </c>
      <c r="B47" t="s">
        <v>102</v>
      </c>
      <c r="C47">
        <v>26356937</v>
      </c>
      <c r="D47" t="s">
        <v>3434</v>
      </c>
      <c r="E47" t="s">
        <v>3435</v>
      </c>
      <c r="F47" t="s">
        <v>3436</v>
      </c>
      <c r="G47" t="s">
        <v>3300</v>
      </c>
      <c r="H47" t="s">
        <v>3437</v>
      </c>
      <c r="I47" t="s">
        <v>3438</v>
      </c>
      <c r="J47" t="s">
        <v>128</v>
      </c>
      <c r="K47" t="s">
        <v>3439</v>
      </c>
      <c r="L47" t="s">
        <v>3439</v>
      </c>
      <c r="M47" t="s">
        <v>3440</v>
      </c>
      <c r="N47" t="s">
        <v>3441</v>
      </c>
      <c r="O47" t="s">
        <v>3442</v>
      </c>
      <c r="P47" t="s">
        <v>3155</v>
      </c>
      <c r="Q47" t="s">
        <v>3443</v>
      </c>
      <c r="R47" t="b">
        <v>0</v>
      </c>
      <c r="S47" t="s">
        <v>2995</v>
      </c>
    </row>
    <row r="48" spans="1:19" ht="11.25" customHeight="1">
      <c r="A48">
        <v>2655</v>
      </c>
      <c r="B48" t="s">
        <v>102</v>
      </c>
      <c r="C48">
        <v>33000834</v>
      </c>
      <c r="D48" t="s">
        <v>3444</v>
      </c>
      <c r="E48" t="s">
        <v>3445</v>
      </c>
      <c r="F48" t="s">
        <v>3446</v>
      </c>
      <c r="G48" t="s">
        <v>3137</v>
      </c>
      <c r="H48" t="s">
        <v>3447</v>
      </c>
      <c r="I48" t="s">
        <v>3448</v>
      </c>
      <c r="K48" t="s">
        <v>3449</v>
      </c>
      <c r="L48" t="s">
        <v>3449</v>
      </c>
      <c r="M48" t="s">
        <v>3450</v>
      </c>
      <c r="N48" t="s">
        <v>3191</v>
      </c>
      <c r="O48" t="s">
        <v>3451</v>
      </c>
      <c r="P48" t="s">
        <v>145</v>
      </c>
      <c r="Q48" t="s">
        <v>3452</v>
      </c>
      <c r="R48" t="b">
        <v>0</v>
      </c>
      <c r="S48" t="s">
        <v>2995</v>
      </c>
    </row>
    <row r="49" spans="1:19" ht="11.25" customHeight="1">
      <c r="A49">
        <v>2655</v>
      </c>
      <c r="B49" t="s">
        <v>102</v>
      </c>
      <c r="C49">
        <v>31770754</v>
      </c>
      <c r="D49" t="s">
        <v>3453</v>
      </c>
      <c r="E49" t="s">
        <v>3454</v>
      </c>
      <c r="F49" t="s">
        <v>3455</v>
      </c>
      <c r="G49" t="s">
        <v>3389</v>
      </c>
      <c r="H49" t="s">
        <v>3456</v>
      </c>
      <c r="I49" t="s">
        <v>3457</v>
      </c>
      <c r="K49" t="s">
        <v>3458</v>
      </c>
      <c r="L49" t="s">
        <v>3459</v>
      </c>
      <c r="M49" t="s">
        <v>3460</v>
      </c>
      <c r="N49" t="s">
        <v>3461</v>
      </c>
      <c r="O49" t="s">
        <v>3462</v>
      </c>
      <c r="P49" t="s">
        <v>145</v>
      </c>
      <c r="Q49" t="s">
        <v>225</v>
      </c>
      <c r="R49" t="b">
        <v>1</v>
      </c>
      <c r="S49" t="s">
        <v>2995</v>
      </c>
    </row>
    <row r="50" spans="1:19" ht="11.25" customHeight="1">
      <c r="A50">
        <v>2655</v>
      </c>
      <c r="B50" t="s">
        <v>102</v>
      </c>
      <c r="C50">
        <v>31528492</v>
      </c>
      <c r="D50" t="s">
        <v>3463</v>
      </c>
      <c r="E50" t="s">
        <v>3464</v>
      </c>
      <c r="F50" t="s">
        <v>3465</v>
      </c>
      <c r="G50" t="s">
        <v>3243</v>
      </c>
      <c r="H50" t="s">
        <v>3466</v>
      </c>
      <c r="I50" t="s">
        <v>3467</v>
      </c>
      <c r="K50" t="s">
        <v>3468</v>
      </c>
      <c r="L50" t="s">
        <v>3468</v>
      </c>
      <c r="M50" t="s">
        <v>3469</v>
      </c>
      <c r="N50" t="s">
        <v>3470</v>
      </c>
      <c r="O50" t="s">
        <v>3471</v>
      </c>
      <c r="P50" t="s">
        <v>3007</v>
      </c>
      <c r="Q50" t="s">
        <v>225</v>
      </c>
      <c r="R50" t="b">
        <v>0</v>
      </c>
      <c r="S50" t="s">
        <v>2995</v>
      </c>
    </row>
    <row r="51" spans="1:19" ht="11.25" customHeight="1">
      <c r="A51">
        <v>2655</v>
      </c>
      <c r="B51" t="s">
        <v>102</v>
      </c>
      <c r="C51">
        <v>28270293</v>
      </c>
      <c r="D51" t="s">
        <v>3472</v>
      </c>
      <c r="E51" t="s">
        <v>3473</v>
      </c>
      <c r="F51" t="s">
        <v>3474</v>
      </c>
      <c r="G51" t="s">
        <v>123</v>
      </c>
      <c r="H51" t="s">
        <v>3475</v>
      </c>
      <c r="I51" t="s">
        <v>3476</v>
      </c>
      <c r="J51" t="s">
        <v>128</v>
      </c>
      <c r="K51" t="s">
        <v>3477</v>
      </c>
      <c r="L51" t="s">
        <v>3477</v>
      </c>
      <c r="M51" t="s">
        <v>3478</v>
      </c>
      <c r="N51" t="s">
        <v>3479</v>
      </c>
      <c r="O51" t="s">
        <v>3480</v>
      </c>
      <c r="P51" t="s">
        <v>3064</v>
      </c>
      <c r="Q51" t="s">
        <v>225</v>
      </c>
      <c r="R51" t="b">
        <v>0</v>
      </c>
      <c r="S51" t="s">
        <v>2995</v>
      </c>
    </row>
    <row r="52" spans="1:19" ht="11.25" customHeight="1">
      <c r="A52">
        <v>2655</v>
      </c>
      <c r="B52" t="s">
        <v>102</v>
      </c>
      <c r="C52">
        <v>28873362</v>
      </c>
      <c r="D52" t="s">
        <v>3481</v>
      </c>
      <c r="E52" t="s">
        <v>3482</v>
      </c>
      <c r="F52" t="s">
        <v>3483</v>
      </c>
      <c r="G52" t="s">
        <v>2999</v>
      </c>
      <c r="H52" t="s">
        <v>3484</v>
      </c>
      <c r="I52" t="s">
        <v>3485</v>
      </c>
      <c r="J52" t="s">
        <v>128</v>
      </c>
      <c r="K52" t="s">
        <v>3486</v>
      </c>
      <c r="L52" t="s">
        <v>3486</v>
      </c>
      <c r="M52" t="s">
        <v>3487</v>
      </c>
      <c r="N52" t="s">
        <v>3488</v>
      </c>
      <c r="O52" t="s">
        <v>3489</v>
      </c>
      <c r="P52" t="s">
        <v>145</v>
      </c>
      <c r="Q52" t="s">
        <v>3490</v>
      </c>
      <c r="R52" t="b">
        <v>0</v>
      </c>
      <c r="S52" t="s">
        <v>2995</v>
      </c>
    </row>
    <row r="53" spans="1:19" ht="11.25" customHeight="1">
      <c r="A53">
        <v>2655</v>
      </c>
      <c r="B53" t="s">
        <v>102</v>
      </c>
      <c r="C53">
        <v>28976681</v>
      </c>
      <c r="D53" t="s">
        <v>112</v>
      </c>
      <c r="E53" t="s">
        <v>115</v>
      </c>
      <c r="F53" t="s">
        <v>121</v>
      </c>
      <c r="G53" t="s">
        <v>123</v>
      </c>
      <c r="H53" t="s">
        <v>119</v>
      </c>
      <c r="I53" t="s">
        <v>125</v>
      </c>
      <c r="J53" t="s">
        <v>128</v>
      </c>
      <c r="K53" t="s">
        <v>131</v>
      </c>
      <c r="L53" t="s">
        <v>131</v>
      </c>
      <c r="M53" t="s">
        <v>136</v>
      </c>
      <c r="N53" t="s">
        <v>139</v>
      </c>
      <c r="O53" t="s">
        <v>142</v>
      </c>
      <c r="P53" t="s">
        <v>145</v>
      </c>
      <c r="Q53" t="s">
        <v>225</v>
      </c>
      <c r="R53" t="b">
        <v>1</v>
      </c>
      <c r="S53" t="s">
        <v>2995</v>
      </c>
    </row>
    <row r="54" spans="1:19" ht="11.25" customHeight="1">
      <c r="A54">
        <v>2655</v>
      </c>
      <c r="B54" t="s">
        <v>102</v>
      </c>
      <c r="C54">
        <v>30992391</v>
      </c>
      <c r="D54" t="s">
        <v>3491</v>
      </c>
      <c r="E54" t="s">
        <v>3492</v>
      </c>
      <c r="F54" t="s">
        <v>3493</v>
      </c>
      <c r="G54" t="s">
        <v>3115</v>
      </c>
      <c r="H54" t="s">
        <v>3494</v>
      </c>
      <c r="I54" t="s">
        <v>3495</v>
      </c>
      <c r="J54" t="s">
        <v>128</v>
      </c>
      <c r="K54" t="s">
        <v>3496</v>
      </c>
      <c r="L54" t="s">
        <v>3497</v>
      </c>
      <c r="M54" t="s">
        <v>3498</v>
      </c>
      <c r="N54" t="s">
        <v>3499</v>
      </c>
      <c r="O54" t="s">
        <v>3500</v>
      </c>
      <c r="P54" t="s">
        <v>145</v>
      </c>
      <c r="Q54" t="s">
        <v>3501</v>
      </c>
      <c r="R54" t="b">
        <v>0</v>
      </c>
      <c r="S54" t="s">
        <v>2995</v>
      </c>
    </row>
    <row r="55" spans="1:19" ht="11.25" customHeight="1">
      <c r="A55">
        <v>2655</v>
      </c>
      <c r="B55" t="s">
        <v>102</v>
      </c>
      <c r="C55">
        <v>26853991</v>
      </c>
      <c r="D55" t="s">
        <v>3502</v>
      </c>
      <c r="E55" t="s">
        <v>3503</v>
      </c>
      <c r="F55" t="s">
        <v>3504</v>
      </c>
      <c r="G55" t="s">
        <v>3505</v>
      </c>
      <c r="H55" t="s">
        <v>3506</v>
      </c>
      <c r="I55" t="s">
        <v>3507</v>
      </c>
      <c r="J55" t="s">
        <v>2987</v>
      </c>
      <c r="K55" t="s">
        <v>3508</v>
      </c>
      <c r="L55" t="s">
        <v>3509</v>
      </c>
      <c r="M55" t="s">
        <v>3510</v>
      </c>
      <c r="N55" t="s">
        <v>3511</v>
      </c>
      <c r="O55" t="s">
        <v>3512</v>
      </c>
      <c r="P55" t="s">
        <v>3041</v>
      </c>
      <c r="Q55" t="s">
        <v>225</v>
      </c>
      <c r="R55" t="b">
        <v>0</v>
      </c>
      <c r="S55" t="s">
        <v>2995</v>
      </c>
    </row>
    <row r="56" spans="1:19" ht="11.25" customHeight="1">
      <c r="A56">
        <v>2655</v>
      </c>
      <c r="B56" t="s">
        <v>102</v>
      </c>
      <c r="C56">
        <v>31908312</v>
      </c>
      <c r="D56" t="s">
        <v>3502</v>
      </c>
      <c r="E56" t="s">
        <v>3513</v>
      </c>
      <c r="F56" t="s">
        <v>3504</v>
      </c>
      <c r="G56" t="s">
        <v>3505</v>
      </c>
      <c r="H56" t="s">
        <v>3506</v>
      </c>
      <c r="I56" t="s">
        <v>3507</v>
      </c>
      <c r="K56" t="s">
        <v>3514</v>
      </c>
      <c r="L56" t="s">
        <v>3514</v>
      </c>
      <c r="M56" t="s">
        <v>3515</v>
      </c>
      <c r="N56" t="s">
        <v>3516</v>
      </c>
      <c r="O56" t="s">
        <v>3517</v>
      </c>
      <c r="P56" t="s">
        <v>225</v>
      </c>
      <c r="Q56" t="s">
        <v>3518</v>
      </c>
      <c r="R56" t="b">
        <v>0</v>
      </c>
      <c r="S56" t="s">
        <v>2995</v>
      </c>
    </row>
    <row r="57" spans="1:19" ht="11.25" customHeight="1">
      <c r="A57">
        <v>2655</v>
      </c>
      <c r="B57" t="s">
        <v>102</v>
      </c>
      <c r="C57">
        <v>30808511</v>
      </c>
      <c r="D57" t="s">
        <v>3519</v>
      </c>
      <c r="E57" t="s">
        <v>3519</v>
      </c>
      <c r="F57" t="s">
        <v>3520</v>
      </c>
      <c r="G57" t="s">
        <v>3521</v>
      </c>
      <c r="H57" t="s">
        <v>3522</v>
      </c>
      <c r="I57" t="s">
        <v>3523</v>
      </c>
      <c r="J57" t="s">
        <v>3524</v>
      </c>
      <c r="K57" t="s">
        <v>3525</v>
      </c>
      <c r="L57" t="s">
        <v>3526</v>
      </c>
      <c r="M57" t="s">
        <v>3527</v>
      </c>
      <c r="N57" t="s">
        <v>3528</v>
      </c>
      <c r="O57" t="s">
        <v>3529</v>
      </c>
      <c r="P57" t="s">
        <v>145</v>
      </c>
      <c r="Q57" t="s">
        <v>3528</v>
      </c>
      <c r="R57" t="b">
        <v>0</v>
      </c>
      <c r="S57" t="s">
        <v>2995</v>
      </c>
    </row>
    <row r="58" spans="1:19" ht="11.25" customHeight="1">
      <c r="A58">
        <v>2655</v>
      </c>
      <c r="B58" t="s">
        <v>102</v>
      </c>
      <c r="C58">
        <v>26520873</v>
      </c>
      <c r="D58" t="s">
        <v>3530</v>
      </c>
      <c r="E58" t="s">
        <v>3531</v>
      </c>
      <c r="F58" t="s">
        <v>3520</v>
      </c>
      <c r="G58" t="s">
        <v>3532</v>
      </c>
      <c r="H58" t="s">
        <v>3522</v>
      </c>
      <c r="I58" t="s">
        <v>3533</v>
      </c>
      <c r="J58" t="s">
        <v>3524</v>
      </c>
      <c r="K58" t="s">
        <v>3534</v>
      </c>
      <c r="L58" t="s">
        <v>3535</v>
      </c>
      <c r="M58" t="s">
        <v>3536</v>
      </c>
      <c r="N58" t="s">
        <v>3537</v>
      </c>
      <c r="O58" t="s">
        <v>3538</v>
      </c>
      <c r="P58" t="s">
        <v>145</v>
      </c>
      <c r="Q58" t="s">
        <v>3539</v>
      </c>
      <c r="R58" t="b">
        <v>0</v>
      </c>
      <c r="S58" t="s">
        <v>2995</v>
      </c>
    </row>
    <row r="59" spans="1:19" ht="11.25" customHeight="1">
      <c r="A59">
        <v>2655</v>
      </c>
      <c r="B59" t="s">
        <v>102</v>
      </c>
      <c r="C59">
        <v>30984255</v>
      </c>
      <c r="D59" t="s">
        <v>3540</v>
      </c>
      <c r="E59" t="s">
        <v>3541</v>
      </c>
      <c r="F59" t="s">
        <v>3542</v>
      </c>
      <c r="G59" t="s">
        <v>3068</v>
      </c>
      <c r="H59" t="s">
        <v>3543</v>
      </c>
      <c r="I59" t="s">
        <v>3544</v>
      </c>
      <c r="J59" t="s">
        <v>3545</v>
      </c>
      <c r="K59" t="s">
        <v>3546</v>
      </c>
      <c r="L59" t="s">
        <v>3546</v>
      </c>
      <c r="M59" t="s">
        <v>3547</v>
      </c>
      <c r="N59" t="s">
        <v>3548</v>
      </c>
      <c r="O59" t="s">
        <v>3549</v>
      </c>
      <c r="P59" t="s">
        <v>3550</v>
      </c>
      <c r="Q59" t="s">
        <v>225</v>
      </c>
      <c r="R59" t="b">
        <v>0</v>
      </c>
      <c r="S59" t="s">
        <v>2995</v>
      </c>
    </row>
    <row r="60" spans="1:19" ht="11.25" customHeight="1">
      <c r="A60">
        <v>2655</v>
      </c>
      <c r="B60" t="s">
        <v>102</v>
      </c>
      <c r="C60">
        <v>28976938</v>
      </c>
      <c r="D60" t="s">
        <v>2981</v>
      </c>
      <c r="E60" t="s">
        <v>2982</v>
      </c>
      <c r="F60" t="s">
        <v>2983</v>
      </c>
      <c r="G60" t="s">
        <v>2984</v>
      </c>
      <c r="H60" t="s">
        <v>2985</v>
      </c>
      <c r="I60" t="s">
        <v>2986</v>
      </c>
      <c r="J60" t="s">
        <v>2987</v>
      </c>
      <c r="K60" t="s">
        <v>2988</v>
      </c>
      <c r="L60" t="s">
        <v>2989</v>
      </c>
      <c r="M60" t="s">
        <v>2990</v>
      </c>
      <c r="N60" t="s">
        <v>2991</v>
      </c>
      <c r="O60" t="s">
        <v>2992</v>
      </c>
      <c r="P60" t="s">
        <v>2993</v>
      </c>
      <c r="Q60" t="s">
        <v>2994</v>
      </c>
      <c r="R60" t="b">
        <v>0</v>
      </c>
      <c r="S60" t="s">
        <v>3551</v>
      </c>
    </row>
    <row r="61" spans="1:19" ht="11.25" customHeight="1">
      <c r="A61">
        <v>2655</v>
      </c>
      <c r="B61" t="s">
        <v>102</v>
      </c>
      <c r="C61">
        <v>26356915</v>
      </c>
      <c r="D61" t="s">
        <v>3552</v>
      </c>
      <c r="E61" t="s">
        <v>3553</v>
      </c>
      <c r="F61" t="s">
        <v>3554</v>
      </c>
      <c r="G61" t="s">
        <v>3214</v>
      </c>
      <c r="H61" t="s">
        <v>3555</v>
      </c>
      <c r="I61" t="s">
        <v>3556</v>
      </c>
      <c r="J61" t="s">
        <v>2987</v>
      </c>
      <c r="K61" t="s">
        <v>3557</v>
      </c>
      <c r="L61" t="s">
        <v>3557</v>
      </c>
      <c r="M61" t="s">
        <v>3558</v>
      </c>
      <c r="N61" t="s">
        <v>3559</v>
      </c>
      <c r="O61" t="s">
        <v>3560</v>
      </c>
      <c r="P61" t="s">
        <v>3064</v>
      </c>
      <c r="Q61" t="s">
        <v>151</v>
      </c>
      <c r="R61" t="b">
        <v>0</v>
      </c>
      <c r="S61" t="s">
        <v>3551</v>
      </c>
    </row>
    <row r="62" spans="1:19" ht="11.25" customHeight="1">
      <c r="A62">
        <v>2655</v>
      </c>
      <c r="B62" t="s">
        <v>102</v>
      </c>
      <c r="C62">
        <v>27857950</v>
      </c>
      <c r="D62" t="s">
        <v>3561</v>
      </c>
      <c r="E62" t="s">
        <v>3562</v>
      </c>
      <c r="F62" t="s">
        <v>3563</v>
      </c>
      <c r="G62" t="s">
        <v>3409</v>
      </c>
      <c r="H62" t="s">
        <v>3564</v>
      </c>
      <c r="I62" t="s">
        <v>3565</v>
      </c>
      <c r="J62" t="s">
        <v>2987</v>
      </c>
      <c r="K62" t="s">
        <v>3566</v>
      </c>
      <c r="L62" t="s">
        <v>3566</v>
      </c>
      <c r="M62" t="s">
        <v>3567</v>
      </c>
      <c r="N62" t="s">
        <v>3568</v>
      </c>
      <c r="O62" t="s">
        <v>3569</v>
      </c>
      <c r="P62" t="s">
        <v>3155</v>
      </c>
      <c r="Q62" t="s">
        <v>225</v>
      </c>
      <c r="R62" t="b">
        <v>1</v>
      </c>
      <c r="S62" t="s">
        <v>3551</v>
      </c>
    </row>
    <row r="63" spans="1:19" ht="11.25" customHeight="1">
      <c r="A63">
        <v>2655</v>
      </c>
      <c r="B63" t="s">
        <v>102</v>
      </c>
      <c r="C63">
        <v>26356963</v>
      </c>
      <c r="D63" t="s">
        <v>3020</v>
      </c>
      <c r="E63" t="s">
        <v>3021</v>
      </c>
      <c r="F63" t="s">
        <v>3022</v>
      </c>
      <c r="G63" t="s">
        <v>3023</v>
      </c>
      <c r="H63" t="s">
        <v>3024</v>
      </c>
      <c r="I63" t="s">
        <v>225</v>
      </c>
      <c r="J63" t="s">
        <v>2987</v>
      </c>
      <c r="K63" t="s">
        <v>3025</v>
      </c>
      <c r="L63" t="s">
        <v>3025</v>
      </c>
      <c r="M63" t="s">
        <v>3026</v>
      </c>
      <c r="N63" t="s">
        <v>3027</v>
      </c>
      <c r="O63" t="s">
        <v>3028</v>
      </c>
      <c r="P63" t="s">
        <v>3029</v>
      </c>
      <c r="Q63" t="s">
        <v>225</v>
      </c>
      <c r="R63" t="b">
        <v>0</v>
      </c>
      <c r="S63" t="s">
        <v>3551</v>
      </c>
    </row>
    <row r="64" spans="1:19" ht="11.25" customHeight="1">
      <c r="A64">
        <v>2655</v>
      </c>
      <c r="B64" t="s">
        <v>102</v>
      </c>
      <c r="C64">
        <v>31833446</v>
      </c>
      <c r="D64" t="s">
        <v>3570</v>
      </c>
      <c r="E64" t="s">
        <v>3571</v>
      </c>
      <c r="F64" t="s">
        <v>3572</v>
      </c>
      <c r="G64" t="s">
        <v>2999</v>
      </c>
      <c r="H64" t="s">
        <v>3573</v>
      </c>
      <c r="I64" t="s">
        <v>225</v>
      </c>
      <c r="K64" t="s">
        <v>225</v>
      </c>
      <c r="L64" t="s">
        <v>3574</v>
      </c>
      <c r="M64" t="s">
        <v>225</v>
      </c>
      <c r="N64" t="s">
        <v>225</v>
      </c>
      <c r="O64" t="s">
        <v>3575</v>
      </c>
      <c r="P64" t="s">
        <v>3007</v>
      </c>
      <c r="Q64" t="s">
        <v>225</v>
      </c>
      <c r="R64" t="b">
        <v>0</v>
      </c>
      <c r="S64" t="s">
        <v>3551</v>
      </c>
    </row>
    <row r="65" spans="1:19" ht="11.25" customHeight="1">
      <c r="A65">
        <v>2655</v>
      </c>
      <c r="B65" t="s">
        <v>102</v>
      </c>
      <c r="C65">
        <v>27820148</v>
      </c>
      <c r="D65" t="s">
        <v>3576</v>
      </c>
      <c r="E65" t="s">
        <v>3577</v>
      </c>
      <c r="F65" t="s">
        <v>3578</v>
      </c>
      <c r="G65" t="s">
        <v>3300</v>
      </c>
      <c r="H65" t="s">
        <v>3579</v>
      </c>
      <c r="I65" t="s">
        <v>3580</v>
      </c>
      <c r="J65" t="s">
        <v>2987</v>
      </c>
      <c r="K65" t="s">
        <v>3581</v>
      </c>
      <c r="L65" t="s">
        <v>3581</v>
      </c>
      <c r="M65" t="s">
        <v>3582</v>
      </c>
      <c r="N65" t="s">
        <v>3583</v>
      </c>
      <c r="O65" t="s">
        <v>3584</v>
      </c>
      <c r="P65" t="s">
        <v>3585</v>
      </c>
      <c r="Q65" t="s">
        <v>3586</v>
      </c>
      <c r="R65" t="b">
        <v>0</v>
      </c>
      <c r="S65" t="s">
        <v>3551</v>
      </c>
    </row>
    <row r="66" spans="1:19" ht="11.25" customHeight="1">
      <c r="A66">
        <v>2655</v>
      </c>
      <c r="B66" t="s">
        <v>102</v>
      </c>
      <c r="C66">
        <v>26322867</v>
      </c>
      <c r="D66" t="s">
        <v>3087</v>
      </c>
      <c r="E66" t="s">
        <v>3088</v>
      </c>
      <c r="F66" t="s">
        <v>3089</v>
      </c>
      <c r="G66" t="s">
        <v>3033</v>
      </c>
      <c r="H66" t="s">
        <v>3090</v>
      </c>
      <c r="I66" t="s">
        <v>3091</v>
      </c>
      <c r="J66" t="s">
        <v>2987</v>
      </c>
      <c r="K66" t="s">
        <v>3092</v>
      </c>
      <c r="L66" t="s">
        <v>3092</v>
      </c>
      <c r="M66" t="s">
        <v>3093</v>
      </c>
      <c r="N66" t="s">
        <v>3094</v>
      </c>
      <c r="O66" t="s">
        <v>3095</v>
      </c>
      <c r="P66" t="s">
        <v>3064</v>
      </c>
      <c r="Q66" t="s">
        <v>3096</v>
      </c>
      <c r="R66" t="b">
        <v>0</v>
      </c>
      <c r="S66" t="s">
        <v>3551</v>
      </c>
    </row>
    <row r="67" spans="1:19" ht="11.25" customHeight="1">
      <c r="A67">
        <v>2655</v>
      </c>
      <c r="B67" t="s">
        <v>102</v>
      </c>
      <c r="C67">
        <v>26824396</v>
      </c>
      <c r="D67" t="s">
        <v>3106</v>
      </c>
      <c r="E67" t="s">
        <v>3107</v>
      </c>
      <c r="F67" t="s">
        <v>3067</v>
      </c>
      <c r="G67" t="s">
        <v>3108</v>
      </c>
      <c r="H67" t="s">
        <v>3069</v>
      </c>
      <c r="I67" t="s">
        <v>225</v>
      </c>
      <c r="J67" t="s">
        <v>3059</v>
      </c>
      <c r="K67" t="s">
        <v>3109</v>
      </c>
      <c r="L67" t="s">
        <v>3109</v>
      </c>
      <c r="M67" t="s">
        <v>3110</v>
      </c>
      <c r="N67" t="s">
        <v>225</v>
      </c>
      <c r="O67" t="s">
        <v>3111</v>
      </c>
      <c r="P67" t="s">
        <v>3105</v>
      </c>
      <c r="Q67" t="s">
        <v>225</v>
      </c>
      <c r="R67" t="b">
        <v>0</v>
      </c>
      <c r="S67" t="s">
        <v>3551</v>
      </c>
    </row>
    <row r="68" spans="1:19" ht="11.25" customHeight="1">
      <c r="A68">
        <v>2655</v>
      </c>
      <c r="B68" t="s">
        <v>102</v>
      </c>
      <c r="C68">
        <v>30365193</v>
      </c>
      <c r="D68" t="s">
        <v>3587</v>
      </c>
      <c r="E68" t="s">
        <v>3588</v>
      </c>
      <c r="F68" t="s">
        <v>3589</v>
      </c>
      <c r="G68" t="s">
        <v>2999</v>
      </c>
      <c r="H68" t="s">
        <v>3590</v>
      </c>
      <c r="I68" t="s">
        <v>225</v>
      </c>
      <c r="J68" t="s">
        <v>3591</v>
      </c>
      <c r="K68" t="s">
        <v>3592</v>
      </c>
      <c r="L68" t="s">
        <v>3592</v>
      </c>
      <c r="M68" t="s">
        <v>225</v>
      </c>
      <c r="N68" t="s">
        <v>225</v>
      </c>
      <c r="O68" t="s">
        <v>3593</v>
      </c>
      <c r="P68" t="s">
        <v>3594</v>
      </c>
      <c r="Q68" t="s">
        <v>225</v>
      </c>
      <c r="R68" t="b">
        <v>0</v>
      </c>
      <c r="S68" t="s">
        <v>3551</v>
      </c>
    </row>
    <row r="69" spans="1:19" ht="11.25" customHeight="1">
      <c r="A69">
        <v>2655</v>
      </c>
      <c r="B69" t="s">
        <v>102</v>
      </c>
      <c r="C69">
        <v>31232672</v>
      </c>
      <c r="D69" t="s">
        <v>3112</v>
      </c>
      <c r="E69" t="s">
        <v>3113</v>
      </c>
      <c r="F69" t="s">
        <v>3114</v>
      </c>
      <c r="G69" t="s">
        <v>3115</v>
      </c>
      <c r="H69" t="s">
        <v>3116</v>
      </c>
      <c r="I69" t="s">
        <v>3117</v>
      </c>
      <c r="J69" t="s">
        <v>3118</v>
      </c>
      <c r="K69" t="s">
        <v>3119</v>
      </c>
      <c r="L69" t="s">
        <v>3119</v>
      </c>
      <c r="M69" t="s">
        <v>3120</v>
      </c>
      <c r="N69" t="s">
        <v>3121</v>
      </c>
      <c r="O69" t="s">
        <v>3122</v>
      </c>
      <c r="P69" t="s">
        <v>145</v>
      </c>
      <c r="Q69" t="s">
        <v>225</v>
      </c>
      <c r="R69" t="b">
        <v>0</v>
      </c>
      <c r="S69" t="s">
        <v>3551</v>
      </c>
    </row>
    <row r="70" spans="1:19" ht="11.25" customHeight="1">
      <c r="A70">
        <v>2655</v>
      </c>
      <c r="B70" t="s">
        <v>102</v>
      </c>
      <c r="C70">
        <v>27978231</v>
      </c>
      <c r="D70" t="s">
        <v>3595</v>
      </c>
      <c r="E70" t="s">
        <v>3596</v>
      </c>
      <c r="F70" t="s">
        <v>3597</v>
      </c>
      <c r="G70" t="s">
        <v>3196</v>
      </c>
      <c r="H70" t="s">
        <v>3598</v>
      </c>
      <c r="I70" t="s">
        <v>3599</v>
      </c>
      <c r="J70" t="s">
        <v>3118</v>
      </c>
      <c r="K70" t="s">
        <v>3600</v>
      </c>
      <c r="L70" t="s">
        <v>3601</v>
      </c>
      <c r="M70" t="s">
        <v>3602</v>
      </c>
      <c r="N70" t="s">
        <v>225</v>
      </c>
      <c r="O70" t="s">
        <v>3603</v>
      </c>
      <c r="P70" t="s">
        <v>145</v>
      </c>
      <c r="Q70" t="s">
        <v>225</v>
      </c>
      <c r="R70" t="b">
        <v>0</v>
      </c>
      <c r="S70" t="s">
        <v>3551</v>
      </c>
    </row>
    <row r="71" spans="1:19" ht="11.25" customHeight="1">
      <c r="A71">
        <v>2655</v>
      </c>
      <c r="B71" t="s">
        <v>102</v>
      </c>
      <c r="C71">
        <v>30808700</v>
      </c>
      <c r="D71" t="s">
        <v>3145</v>
      </c>
      <c r="E71" t="s">
        <v>3146</v>
      </c>
      <c r="F71" t="s">
        <v>3147</v>
      </c>
      <c r="G71" t="s">
        <v>3068</v>
      </c>
      <c r="H71" t="s">
        <v>3148</v>
      </c>
      <c r="I71" t="s">
        <v>3149</v>
      </c>
      <c r="J71" t="s">
        <v>3129</v>
      </c>
      <c r="K71" t="s">
        <v>3150</v>
      </c>
      <c r="L71" t="s">
        <v>3151</v>
      </c>
      <c r="M71" t="s">
        <v>3152</v>
      </c>
      <c r="N71" t="s">
        <v>3153</v>
      </c>
      <c r="O71" t="s">
        <v>3154</v>
      </c>
      <c r="P71" t="s">
        <v>3155</v>
      </c>
      <c r="Q71" t="s">
        <v>225</v>
      </c>
      <c r="R71" t="b">
        <v>1</v>
      </c>
      <c r="S71" t="s">
        <v>3551</v>
      </c>
    </row>
    <row r="72" spans="1:19" ht="11.25" customHeight="1">
      <c r="A72">
        <v>2655</v>
      </c>
      <c r="B72" t="s">
        <v>102</v>
      </c>
      <c r="C72">
        <v>31319221</v>
      </c>
      <c r="D72" t="s">
        <v>3156</v>
      </c>
      <c r="E72" t="s">
        <v>3157</v>
      </c>
      <c r="F72" t="s">
        <v>3158</v>
      </c>
      <c r="G72" t="s">
        <v>3126</v>
      </c>
      <c r="H72" t="s">
        <v>3159</v>
      </c>
      <c r="I72" t="s">
        <v>3160</v>
      </c>
      <c r="J72" t="s">
        <v>3118</v>
      </c>
      <c r="K72" t="s">
        <v>3161</v>
      </c>
      <c r="L72" t="s">
        <v>3162</v>
      </c>
      <c r="M72" t="s">
        <v>3163</v>
      </c>
      <c r="N72" t="s">
        <v>3164</v>
      </c>
      <c r="O72" t="s">
        <v>3165</v>
      </c>
      <c r="P72" t="s">
        <v>145</v>
      </c>
      <c r="Q72" t="s">
        <v>225</v>
      </c>
      <c r="R72" t="b">
        <v>0</v>
      </c>
      <c r="S72" t="s">
        <v>3551</v>
      </c>
    </row>
    <row r="73" spans="1:19" ht="11.25" customHeight="1">
      <c r="A73">
        <v>2655</v>
      </c>
      <c r="B73" t="s">
        <v>102</v>
      </c>
      <c r="C73">
        <v>31419990</v>
      </c>
      <c r="D73" t="s">
        <v>3166</v>
      </c>
      <c r="E73" t="s">
        <v>3167</v>
      </c>
      <c r="F73" t="s">
        <v>3168</v>
      </c>
      <c r="G73" t="s">
        <v>3137</v>
      </c>
      <c r="H73" t="s">
        <v>3169</v>
      </c>
      <c r="I73" t="s">
        <v>3170</v>
      </c>
      <c r="J73" t="s">
        <v>3118</v>
      </c>
      <c r="K73" t="s">
        <v>3171</v>
      </c>
      <c r="L73" t="s">
        <v>3171</v>
      </c>
      <c r="M73" t="s">
        <v>3172</v>
      </c>
      <c r="N73" t="s">
        <v>3173</v>
      </c>
      <c r="O73" t="s">
        <v>3174</v>
      </c>
      <c r="P73" t="s">
        <v>145</v>
      </c>
      <c r="Q73" t="s">
        <v>3175</v>
      </c>
      <c r="R73" t="b">
        <v>0</v>
      </c>
      <c r="S73" t="s">
        <v>3551</v>
      </c>
    </row>
    <row r="74" spans="1:19" ht="11.25" customHeight="1">
      <c r="A74">
        <v>2655</v>
      </c>
      <c r="B74" t="s">
        <v>102</v>
      </c>
      <c r="C74">
        <v>31343443</v>
      </c>
      <c r="D74" t="s">
        <v>3176</v>
      </c>
      <c r="E74" t="s">
        <v>3177</v>
      </c>
      <c r="F74" t="s">
        <v>3178</v>
      </c>
      <c r="G74" t="s">
        <v>3068</v>
      </c>
      <c r="H74" t="s">
        <v>3179</v>
      </c>
      <c r="I74" t="s">
        <v>3180</v>
      </c>
      <c r="J74" t="s">
        <v>3118</v>
      </c>
      <c r="K74" t="s">
        <v>3181</v>
      </c>
      <c r="L74" t="s">
        <v>3181</v>
      </c>
      <c r="N74" t="s">
        <v>3182</v>
      </c>
      <c r="O74" t="s">
        <v>3183</v>
      </c>
      <c r="P74" t="s">
        <v>3155</v>
      </c>
      <c r="R74" t="b">
        <v>0</v>
      </c>
      <c r="S74" t="s">
        <v>3551</v>
      </c>
    </row>
    <row r="75" spans="1:19" ht="11.25" customHeight="1">
      <c r="A75">
        <v>2655</v>
      </c>
      <c r="B75" t="s">
        <v>102</v>
      </c>
      <c r="C75">
        <v>31367841</v>
      </c>
      <c r="D75" t="s">
        <v>3184</v>
      </c>
      <c r="E75" t="s">
        <v>3185</v>
      </c>
      <c r="F75" t="s">
        <v>3186</v>
      </c>
      <c r="G75" t="s">
        <v>3187</v>
      </c>
      <c r="H75" t="s">
        <v>3188</v>
      </c>
      <c r="I75" t="s">
        <v>3189</v>
      </c>
      <c r="J75" t="s">
        <v>3129</v>
      </c>
      <c r="K75" t="s">
        <v>3190</v>
      </c>
      <c r="L75" t="s">
        <v>3190</v>
      </c>
      <c r="M75" t="s">
        <v>225</v>
      </c>
      <c r="N75" t="s">
        <v>3191</v>
      </c>
      <c r="O75" t="s">
        <v>3192</v>
      </c>
      <c r="P75" t="s">
        <v>145</v>
      </c>
      <c r="Q75" t="s">
        <v>225</v>
      </c>
      <c r="R75" t="b">
        <v>0</v>
      </c>
      <c r="S75" t="s">
        <v>3551</v>
      </c>
    </row>
    <row r="76" spans="1:19" ht="11.25" customHeight="1">
      <c r="A76">
        <v>2655</v>
      </c>
      <c r="B76" t="s">
        <v>102</v>
      </c>
      <c r="C76">
        <v>31087651</v>
      </c>
      <c r="D76" t="s">
        <v>3193</v>
      </c>
      <c r="E76" t="s">
        <v>3194</v>
      </c>
      <c r="F76" t="s">
        <v>3195</v>
      </c>
      <c r="G76" t="s">
        <v>3196</v>
      </c>
      <c r="H76" t="s">
        <v>3197</v>
      </c>
      <c r="I76" t="s">
        <v>3198</v>
      </c>
      <c r="J76" t="s">
        <v>3118</v>
      </c>
      <c r="K76" t="s">
        <v>3199</v>
      </c>
      <c r="L76" t="s">
        <v>3199</v>
      </c>
      <c r="M76" t="s">
        <v>3200</v>
      </c>
      <c r="N76" t="s">
        <v>3201</v>
      </c>
      <c r="O76" t="s">
        <v>3202</v>
      </c>
      <c r="R76" t="b">
        <v>0</v>
      </c>
      <c r="S76" t="s">
        <v>3551</v>
      </c>
    </row>
    <row r="77" spans="1:19" ht="11.25" customHeight="1">
      <c r="A77">
        <v>2655</v>
      </c>
      <c r="B77" t="s">
        <v>102</v>
      </c>
      <c r="C77">
        <v>31367862</v>
      </c>
      <c r="D77" t="s">
        <v>3203</v>
      </c>
      <c r="E77" t="s">
        <v>3204</v>
      </c>
      <c r="F77" t="s">
        <v>3205</v>
      </c>
      <c r="G77" t="s">
        <v>3187</v>
      </c>
      <c r="H77" t="s">
        <v>3206</v>
      </c>
      <c r="I77" t="s">
        <v>3207</v>
      </c>
      <c r="J77" t="s">
        <v>3118</v>
      </c>
      <c r="K77" t="s">
        <v>3208</v>
      </c>
      <c r="L77" t="s">
        <v>3208</v>
      </c>
      <c r="M77" t="s">
        <v>225</v>
      </c>
      <c r="N77" t="s">
        <v>3209</v>
      </c>
      <c r="O77" t="s">
        <v>3210</v>
      </c>
      <c r="P77" t="s">
        <v>145</v>
      </c>
      <c r="Q77" t="s">
        <v>225</v>
      </c>
      <c r="R77" t="b">
        <v>0</v>
      </c>
      <c r="S77" t="s">
        <v>3551</v>
      </c>
    </row>
    <row r="78" spans="1:19" ht="11.25" customHeight="1">
      <c r="A78">
        <v>2655</v>
      </c>
      <c r="B78" t="s">
        <v>102</v>
      </c>
      <c r="C78">
        <v>31329806</v>
      </c>
      <c r="D78" t="s">
        <v>3604</v>
      </c>
      <c r="E78" t="s">
        <v>3605</v>
      </c>
      <c r="F78" t="s">
        <v>3606</v>
      </c>
      <c r="G78" t="s">
        <v>3023</v>
      </c>
      <c r="H78" t="s">
        <v>3607</v>
      </c>
      <c r="I78" t="s">
        <v>3608</v>
      </c>
      <c r="J78" t="s">
        <v>3129</v>
      </c>
      <c r="K78" t="s">
        <v>3609</v>
      </c>
      <c r="L78" t="s">
        <v>3609</v>
      </c>
      <c r="M78" t="s">
        <v>3610</v>
      </c>
      <c r="N78" t="s">
        <v>3611</v>
      </c>
      <c r="O78" t="s">
        <v>3612</v>
      </c>
      <c r="P78" t="s">
        <v>145</v>
      </c>
      <c r="Q78" t="s">
        <v>225</v>
      </c>
      <c r="R78" t="b">
        <v>0</v>
      </c>
      <c r="S78" t="s">
        <v>3551</v>
      </c>
    </row>
    <row r="79" spans="1:19" ht="11.25" customHeight="1">
      <c r="A79">
        <v>2655</v>
      </c>
      <c r="B79" t="s">
        <v>102</v>
      </c>
      <c r="C79">
        <v>31003143</v>
      </c>
      <c r="D79" t="s">
        <v>3230</v>
      </c>
      <c r="E79" t="s">
        <v>3231</v>
      </c>
      <c r="F79" t="s">
        <v>3232</v>
      </c>
      <c r="G79" t="s">
        <v>123</v>
      </c>
      <c r="H79" t="s">
        <v>3233</v>
      </c>
      <c r="I79" t="s">
        <v>3234</v>
      </c>
      <c r="J79" t="s">
        <v>3129</v>
      </c>
      <c r="K79" t="s">
        <v>3235</v>
      </c>
      <c r="L79" t="s">
        <v>3236</v>
      </c>
      <c r="M79" t="s">
        <v>3237</v>
      </c>
      <c r="N79" t="s">
        <v>3238</v>
      </c>
      <c r="O79" t="s">
        <v>3239</v>
      </c>
      <c r="P79" t="s">
        <v>145</v>
      </c>
      <c r="Q79" t="s">
        <v>225</v>
      </c>
      <c r="R79" t="b">
        <v>1</v>
      </c>
      <c r="S79" t="s">
        <v>3551</v>
      </c>
    </row>
    <row r="80" spans="1:19" ht="11.25" customHeight="1">
      <c r="A80">
        <v>2655</v>
      </c>
      <c r="B80" t="s">
        <v>102</v>
      </c>
      <c r="C80">
        <v>31308226</v>
      </c>
      <c r="D80" t="s">
        <v>3240</v>
      </c>
      <c r="E80" t="s">
        <v>3241</v>
      </c>
      <c r="F80" t="s">
        <v>3242</v>
      </c>
      <c r="G80" t="s">
        <v>3243</v>
      </c>
      <c r="H80" t="s">
        <v>3244</v>
      </c>
      <c r="I80" t="s">
        <v>3245</v>
      </c>
      <c r="J80" t="s">
        <v>3129</v>
      </c>
      <c r="K80" t="s">
        <v>3246</v>
      </c>
      <c r="L80" t="s">
        <v>3246</v>
      </c>
      <c r="M80" t="s">
        <v>3247</v>
      </c>
      <c r="N80" t="s">
        <v>3248</v>
      </c>
      <c r="O80" t="s">
        <v>3249</v>
      </c>
      <c r="P80" t="s">
        <v>3155</v>
      </c>
      <c r="Q80" t="s">
        <v>225</v>
      </c>
      <c r="R80" t="b">
        <v>1</v>
      </c>
      <c r="S80" t="s">
        <v>3551</v>
      </c>
    </row>
    <row r="81" spans="1:19" ht="11.25" customHeight="1">
      <c r="A81">
        <v>2655</v>
      </c>
      <c r="B81" t="s">
        <v>102</v>
      </c>
      <c r="C81">
        <v>31284269</v>
      </c>
      <c r="D81" t="s">
        <v>3250</v>
      </c>
      <c r="E81" t="s">
        <v>3251</v>
      </c>
      <c r="F81" t="s">
        <v>3252</v>
      </c>
      <c r="G81" t="s">
        <v>3196</v>
      </c>
      <c r="H81" t="s">
        <v>3253</v>
      </c>
      <c r="I81" t="s">
        <v>3254</v>
      </c>
      <c r="J81" t="s">
        <v>3129</v>
      </c>
      <c r="K81" t="s">
        <v>3255</v>
      </c>
      <c r="L81" t="s">
        <v>3256</v>
      </c>
      <c r="M81" t="s">
        <v>3257</v>
      </c>
      <c r="N81" t="s">
        <v>3258</v>
      </c>
      <c r="O81" t="s">
        <v>3259</v>
      </c>
      <c r="P81" t="s">
        <v>145</v>
      </c>
      <c r="Q81" t="s">
        <v>225</v>
      </c>
      <c r="R81" t="b">
        <v>0</v>
      </c>
      <c r="S81" t="s">
        <v>3551</v>
      </c>
    </row>
    <row r="82" spans="1:19" ht="11.25" customHeight="1">
      <c r="A82">
        <v>2655</v>
      </c>
      <c r="B82" t="s">
        <v>102</v>
      </c>
      <c r="C82">
        <v>31241680</v>
      </c>
      <c r="D82" t="s">
        <v>3260</v>
      </c>
      <c r="E82" t="s">
        <v>3261</v>
      </c>
      <c r="F82" t="s">
        <v>3262</v>
      </c>
      <c r="G82" t="s">
        <v>3137</v>
      </c>
      <c r="H82" t="s">
        <v>3263</v>
      </c>
      <c r="I82" t="s">
        <v>3264</v>
      </c>
      <c r="J82" t="s">
        <v>3129</v>
      </c>
      <c r="K82" t="s">
        <v>3265</v>
      </c>
      <c r="L82" t="s">
        <v>3265</v>
      </c>
      <c r="M82" t="s">
        <v>3266</v>
      </c>
      <c r="N82" t="s">
        <v>3267</v>
      </c>
      <c r="O82" t="s">
        <v>3268</v>
      </c>
      <c r="P82" t="s">
        <v>3155</v>
      </c>
      <c r="Q82" t="s">
        <v>3269</v>
      </c>
      <c r="R82" t="b">
        <v>0</v>
      </c>
      <c r="S82" t="s">
        <v>3551</v>
      </c>
    </row>
    <row r="83" spans="1:19" ht="11.25" customHeight="1">
      <c r="A83">
        <v>2655</v>
      </c>
      <c r="B83" t="s">
        <v>102</v>
      </c>
      <c r="C83">
        <v>31579664</v>
      </c>
      <c r="D83" t="s">
        <v>3270</v>
      </c>
      <c r="E83" t="s">
        <v>3271</v>
      </c>
      <c r="F83" t="s">
        <v>3272</v>
      </c>
      <c r="G83" t="s">
        <v>3068</v>
      </c>
      <c r="H83" t="s">
        <v>3273</v>
      </c>
      <c r="I83" t="s">
        <v>3274</v>
      </c>
      <c r="K83" t="s">
        <v>3275</v>
      </c>
      <c r="L83" t="s">
        <v>3276</v>
      </c>
      <c r="M83" t="s">
        <v>3277</v>
      </c>
      <c r="N83" t="s">
        <v>225</v>
      </c>
      <c r="O83" t="s">
        <v>3278</v>
      </c>
      <c r="P83" t="s">
        <v>145</v>
      </c>
      <c r="Q83" t="s">
        <v>3279</v>
      </c>
      <c r="R83" t="b">
        <v>1</v>
      </c>
      <c r="S83" t="s">
        <v>3551</v>
      </c>
    </row>
    <row r="84" spans="1:19" ht="11.25" customHeight="1">
      <c r="A84">
        <v>2655</v>
      </c>
      <c r="B84" t="s">
        <v>102</v>
      </c>
      <c r="C84">
        <v>26322895</v>
      </c>
      <c r="D84" t="s">
        <v>3280</v>
      </c>
      <c r="E84" t="s">
        <v>3281</v>
      </c>
      <c r="F84" t="s">
        <v>3282</v>
      </c>
      <c r="G84" t="s">
        <v>2999</v>
      </c>
      <c r="H84" t="s">
        <v>3283</v>
      </c>
      <c r="I84" t="s">
        <v>3284</v>
      </c>
      <c r="J84" t="s">
        <v>3059</v>
      </c>
      <c r="K84" t="s">
        <v>3285</v>
      </c>
      <c r="L84" t="s">
        <v>3285</v>
      </c>
      <c r="M84" t="s">
        <v>3286</v>
      </c>
      <c r="N84" t="s">
        <v>3287</v>
      </c>
      <c r="O84" t="s">
        <v>3288</v>
      </c>
      <c r="P84" t="s">
        <v>3064</v>
      </c>
      <c r="Q84" t="s">
        <v>3289</v>
      </c>
      <c r="R84" t="b">
        <v>0</v>
      </c>
      <c r="S84" t="s">
        <v>3551</v>
      </c>
    </row>
    <row r="85" spans="1:19" ht="11.25" customHeight="1">
      <c r="A85">
        <v>2655</v>
      </c>
      <c r="B85" t="s">
        <v>102</v>
      </c>
      <c r="C85">
        <v>27784286</v>
      </c>
      <c r="D85" t="s">
        <v>3613</v>
      </c>
      <c r="E85" t="s">
        <v>3614</v>
      </c>
      <c r="F85" t="s">
        <v>3615</v>
      </c>
      <c r="G85" t="s">
        <v>3243</v>
      </c>
      <c r="H85" t="s">
        <v>3616</v>
      </c>
      <c r="I85" t="s">
        <v>3617</v>
      </c>
      <c r="K85" t="s">
        <v>3618</v>
      </c>
      <c r="L85" t="s">
        <v>3618</v>
      </c>
      <c r="M85" t="s">
        <v>3619</v>
      </c>
      <c r="N85" t="s">
        <v>3620</v>
      </c>
      <c r="O85" t="s">
        <v>3621</v>
      </c>
      <c r="P85" t="s">
        <v>3064</v>
      </c>
      <c r="Q85" t="s">
        <v>3622</v>
      </c>
      <c r="R85" t="b">
        <v>0</v>
      </c>
      <c r="S85" t="s">
        <v>3551</v>
      </c>
    </row>
    <row r="86" spans="1:19" ht="11.25" customHeight="1">
      <c r="A86">
        <v>2655</v>
      </c>
      <c r="B86" t="s">
        <v>102</v>
      </c>
      <c r="C86">
        <v>26428076</v>
      </c>
      <c r="D86" t="s">
        <v>3623</v>
      </c>
      <c r="E86" t="s">
        <v>3624</v>
      </c>
      <c r="F86" t="s">
        <v>3625</v>
      </c>
      <c r="G86" t="s">
        <v>123</v>
      </c>
      <c r="H86" t="s">
        <v>3626</v>
      </c>
      <c r="I86" t="s">
        <v>225</v>
      </c>
      <c r="K86" t="s">
        <v>3627</v>
      </c>
      <c r="L86" t="s">
        <v>3627</v>
      </c>
      <c r="M86" t="s">
        <v>3628</v>
      </c>
      <c r="N86" t="s">
        <v>3629</v>
      </c>
      <c r="O86" t="s">
        <v>225</v>
      </c>
      <c r="P86" t="s">
        <v>225</v>
      </c>
      <c r="Q86" t="s">
        <v>225</v>
      </c>
      <c r="R86" t="b">
        <v>0</v>
      </c>
      <c r="S86" t="s">
        <v>3551</v>
      </c>
    </row>
    <row r="87" spans="1:19" ht="11.25" customHeight="1">
      <c r="A87">
        <v>2655</v>
      </c>
      <c r="B87" t="s">
        <v>102</v>
      </c>
      <c r="C87">
        <v>28954370</v>
      </c>
      <c r="D87" t="s">
        <v>3630</v>
      </c>
      <c r="E87" t="s">
        <v>3631</v>
      </c>
      <c r="F87" t="s">
        <v>3632</v>
      </c>
      <c r="G87" t="s">
        <v>123</v>
      </c>
      <c r="H87" t="s">
        <v>3633</v>
      </c>
      <c r="I87" t="s">
        <v>3634</v>
      </c>
      <c r="J87" t="s">
        <v>128</v>
      </c>
      <c r="K87" t="s">
        <v>3635</v>
      </c>
      <c r="L87" t="s">
        <v>3635</v>
      </c>
      <c r="M87" t="s">
        <v>3636</v>
      </c>
      <c r="N87" t="s">
        <v>3637</v>
      </c>
      <c r="O87" t="s">
        <v>3638</v>
      </c>
      <c r="P87" t="s">
        <v>145</v>
      </c>
      <c r="Q87" t="s">
        <v>225</v>
      </c>
      <c r="R87" t="b">
        <v>1</v>
      </c>
      <c r="S87" t="s">
        <v>3551</v>
      </c>
    </row>
    <row r="88" spans="1:19" ht="11.25" customHeight="1">
      <c r="A88">
        <v>2655</v>
      </c>
      <c r="B88" t="s">
        <v>102</v>
      </c>
      <c r="C88">
        <v>31774016</v>
      </c>
      <c r="D88" t="s">
        <v>3639</v>
      </c>
      <c r="E88" t="s">
        <v>3640</v>
      </c>
      <c r="F88" t="s">
        <v>3641</v>
      </c>
      <c r="G88" t="s">
        <v>3243</v>
      </c>
      <c r="H88" t="s">
        <v>3642</v>
      </c>
      <c r="I88" t="s">
        <v>3643</v>
      </c>
      <c r="K88" t="s">
        <v>3644</v>
      </c>
      <c r="L88" t="s">
        <v>3645</v>
      </c>
      <c r="M88" t="s">
        <v>3646</v>
      </c>
      <c r="N88" t="s">
        <v>3647</v>
      </c>
      <c r="O88" t="s">
        <v>3648</v>
      </c>
      <c r="P88" t="s">
        <v>3007</v>
      </c>
      <c r="Q88" t="s">
        <v>225</v>
      </c>
      <c r="R88" t="b">
        <v>1</v>
      </c>
      <c r="S88" t="s">
        <v>3551</v>
      </c>
    </row>
    <row r="89" spans="1:19" ht="11.25" customHeight="1">
      <c r="A89">
        <v>2655</v>
      </c>
      <c r="B89" t="s">
        <v>102</v>
      </c>
      <c r="C89">
        <v>28869965</v>
      </c>
      <c r="D89" t="s">
        <v>3307</v>
      </c>
      <c r="E89" t="s">
        <v>3308</v>
      </c>
      <c r="F89" t="s">
        <v>3309</v>
      </c>
      <c r="G89" t="s">
        <v>3115</v>
      </c>
      <c r="H89" t="s">
        <v>3310</v>
      </c>
      <c r="I89" t="s">
        <v>225</v>
      </c>
      <c r="J89" t="s">
        <v>128</v>
      </c>
      <c r="K89" t="s">
        <v>3311</v>
      </c>
      <c r="L89" t="s">
        <v>3311</v>
      </c>
      <c r="M89" t="s">
        <v>3312</v>
      </c>
      <c r="N89" t="s">
        <v>3313</v>
      </c>
      <c r="O89" t="s">
        <v>3314</v>
      </c>
      <c r="P89" t="s">
        <v>3064</v>
      </c>
      <c r="Q89" t="s">
        <v>3315</v>
      </c>
      <c r="R89" t="b">
        <v>0</v>
      </c>
      <c r="S89" t="s">
        <v>3551</v>
      </c>
    </row>
    <row r="90" spans="1:19" ht="11.25" customHeight="1">
      <c r="A90">
        <v>2655</v>
      </c>
      <c r="B90" t="s">
        <v>102</v>
      </c>
      <c r="C90">
        <v>28113313</v>
      </c>
      <c r="D90" t="s">
        <v>3649</v>
      </c>
      <c r="E90" t="s">
        <v>3650</v>
      </c>
      <c r="F90" t="s">
        <v>3651</v>
      </c>
      <c r="G90" t="s">
        <v>3328</v>
      </c>
      <c r="H90" t="s">
        <v>3652</v>
      </c>
      <c r="I90" t="s">
        <v>225</v>
      </c>
      <c r="J90" t="s">
        <v>128</v>
      </c>
      <c r="K90" t="s">
        <v>3653</v>
      </c>
      <c r="L90" t="s">
        <v>3654</v>
      </c>
      <c r="M90" t="s">
        <v>225</v>
      </c>
      <c r="N90" t="s">
        <v>225</v>
      </c>
      <c r="O90" t="s">
        <v>3335</v>
      </c>
      <c r="P90" t="s">
        <v>3007</v>
      </c>
      <c r="Q90" t="s">
        <v>225</v>
      </c>
      <c r="R90" t="b">
        <v>1</v>
      </c>
      <c r="S90" t="s">
        <v>3551</v>
      </c>
    </row>
    <row r="91" spans="1:19" ht="11.25" customHeight="1">
      <c r="A91">
        <v>2655</v>
      </c>
      <c r="B91" t="s">
        <v>102</v>
      </c>
      <c r="C91">
        <v>26428030</v>
      </c>
      <c r="D91" t="s">
        <v>3655</v>
      </c>
      <c r="E91" t="s">
        <v>3656</v>
      </c>
      <c r="F91" t="s">
        <v>3657</v>
      </c>
      <c r="G91" t="s">
        <v>123</v>
      </c>
      <c r="H91" t="s">
        <v>3658</v>
      </c>
      <c r="I91" t="s">
        <v>225</v>
      </c>
      <c r="K91" t="s">
        <v>3659</v>
      </c>
      <c r="L91" t="s">
        <v>3659</v>
      </c>
      <c r="M91" t="s">
        <v>3660</v>
      </c>
      <c r="N91" t="s">
        <v>3661</v>
      </c>
      <c r="O91" t="s">
        <v>225</v>
      </c>
      <c r="P91" t="s">
        <v>225</v>
      </c>
      <c r="Q91" t="s">
        <v>225</v>
      </c>
      <c r="R91" t="b">
        <v>0</v>
      </c>
      <c r="S91" t="s">
        <v>3551</v>
      </c>
    </row>
    <row r="92" spans="1:19" ht="11.25" customHeight="1">
      <c r="A92">
        <v>2655</v>
      </c>
      <c r="B92" t="s">
        <v>102</v>
      </c>
      <c r="C92">
        <v>31356597</v>
      </c>
      <c r="D92" t="s">
        <v>3316</v>
      </c>
      <c r="E92" t="s">
        <v>3317</v>
      </c>
      <c r="F92" t="s">
        <v>3318</v>
      </c>
      <c r="G92" t="s">
        <v>3196</v>
      </c>
      <c r="H92" t="s">
        <v>3319</v>
      </c>
      <c r="I92" t="s">
        <v>3320</v>
      </c>
      <c r="J92" t="s">
        <v>128</v>
      </c>
      <c r="K92" t="s">
        <v>3321</v>
      </c>
      <c r="L92" t="s">
        <v>3321</v>
      </c>
      <c r="M92" t="s">
        <v>3322</v>
      </c>
      <c r="N92" t="s">
        <v>3323</v>
      </c>
      <c r="O92" t="s">
        <v>3324</v>
      </c>
      <c r="P92" t="s">
        <v>3064</v>
      </c>
      <c r="Q92" t="s">
        <v>225</v>
      </c>
      <c r="R92" t="b">
        <v>0</v>
      </c>
      <c r="S92" t="s">
        <v>3551</v>
      </c>
    </row>
    <row r="93" spans="1:19" ht="11.25" customHeight="1">
      <c r="A93">
        <v>2655</v>
      </c>
      <c r="B93" t="s">
        <v>102</v>
      </c>
      <c r="C93">
        <v>28136671</v>
      </c>
      <c r="D93" t="s">
        <v>3325</v>
      </c>
      <c r="E93" t="s">
        <v>3326</v>
      </c>
      <c r="F93" t="s">
        <v>3327</v>
      </c>
      <c r="G93" t="s">
        <v>3328</v>
      </c>
      <c r="H93" t="s">
        <v>3329</v>
      </c>
      <c r="I93" t="s">
        <v>3330</v>
      </c>
      <c r="J93" t="s">
        <v>128</v>
      </c>
      <c r="K93" t="s">
        <v>3331</v>
      </c>
      <c r="L93" t="s">
        <v>3332</v>
      </c>
      <c r="M93" t="s">
        <v>3333</v>
      </c>
      <c r="N93" t="s">
        <v>3334</v>
      </c>
      <c r="O93" t="s">
        <v>3335</v>
      </c>
      <c r="P93" t="s">
        <v>3007</v>
      </c>
      <c r="Q93" t="s">
        <v>225</v>
      </c>
      <c r="R93" t="b">
        <v>1</v>
      </c>
      <c r="S93" t="s">
        <v>3551</v>
      </c>
    </row>
    <row r="94" spans="1:19" ht="11.25" customHeight="1">
      <c r="A94">
        <v>2655</v>
      </c>
      <c r="B94" t="s">
        <v>102</v>
      </c>
      <c r="C94">
        <v>27838991</v>
      </c>
      <c r="D94" t="s">
        <v>3662</v>
      </c>
      <c r="E94" t="s">
        <v>3663</v>
      </c>
      <c r="F94" t="s">
        <v>3664</v>
      </c>
      <c r="G94" t="s">
        <v>3023</v>
      </c>
      <c r="H94" t="s">
        <v>3665</v>
      </c>
      <c r="I94" t="s">
        <v>3666</v>
      </c>
      <c r="J94" t="s">
        <v>128</v>
      </c>
      <c r="K94" t="s">
        <v>3667</v>
      </c>
      <c r="L94" t="s">
        <v>3668</v>
      </c>
      <c r="M94" t="s">
        <v>3669</v>
      </c>
      <c r="N94" t="s">
        <v>3670</v>
      </c>
      <c r="O94" t="s">
        <v>3671</v>
      </c>
      <c r="P94" t="s">
        <v>3064</v>
      </c>
      <c r="Q94" t="s">
        <v>225</v>
      </c>
      <c r="R94" t="b">
        <v>0</v>
      </c>
      <c r="S94" t="s">
        <v>3551</v>
      </c>
    </row>
    <row r="95" spans="1:19" ht="11.25" customHeight="1">
      <c r="A95">
        <v>2655</v>
      </c>
      <c r="B95" t="s">
        <v>102</v>
      </c>
      <c r="C95">
        <v>26428026</v>
      </c>
      <c r="D95" t="s">
        <v>3367</v>
      </c>
      <c r="E95" t="s">
        <v>3368</v>
      </c>
      <c r="F95" t="s">
        <v>3369</v>
      </c>
      <c r="G95" t="s">
        <v>3370</v>
      </c>
      <c r="H95" t="s">
        <v>3371</v>
      </c>
      <c r="I95" t="s">
        <v>225</v>
      </c>
      <c r="K95" t="s">
        <v>3372</v>
      </c>
      <c r="L95" t="s">
        <v>3372</v>
      </c>
      <c r="M95" t="s">
        <v>3373</v>
      </c>
      <c r="N95" t="s">
        <v>3374</v>
      </c>
      <c r="O95" t="s">
        <v>3375</v>
      </c>
      <c r="P95" t="s">
        <v>145</v>
      </c>
      <c r="Q95" t="s">
        <v>225</v>
      </c>
      <c r="R95" t="b">
        <v>1</v>
      </c>
      <c r="S95" t="s">
        <v>3551</v>
      </c>
    </row>
    <row r="96" spans="1:19" ht="11.25" customHeight="1">
      <c r="A96">
        <v>2655</v>
      </c>
      <c r="B96" t="s">
        <v>102</v>
      </c>
      <c r="C96">
        <v>31739633</v>
      </c>
      <c r="D96" t="s">
        <v>3386</v>
      </c>
      <c r="E96" t="s">
        <v>3387</v>
      </c>
      <c r="F96" t="s">
        <v>3388</v>
      </c>
      <c r="G96" t="s">
        <v>3389</v>
      </c>
      <c r="H96" t="s">
        <v>3390</v>
      </c>
      <c r="I96" t="s">
        <v>3391</v>
      </c>
      <c r="K96" t="s">
        <v>3392</v>
      </c>
      <c r="L96" t="s">
        <v>3392</v>
      </c>
      <c r="M96" t="s">
        <v>3393</v>
      </c>
      <c r="N96" t="s">
        <v>3394</v>
      </c>
      <c r="O96" t="s">
        <v>3395</v>
      </c>
      <c r="P96" t="s">
        <v>3155</v>
      </c>
      <c r="Q96" t="s">
        <v>225</v>
      </c>
      <c r="R96" t="b">
        <v>0</v>
      </c>
      <c r="S96" t="s">
        <v>3551</v>
      </c>
    </row>
    <row r="97" spans="1:19" ht="11.25" customHeight="1">
      <c r="A97">
        <v>2655</v>
      </c>
      <c r="B97" t="s">
        <v>102</v>
      </c>
      <c r="C97">
        <v>31541617</v>
      </c>
      <c r="D97" t="s">
        <v>3396</v>
      </c>
      <c r="E97" t="s">
        <v>3397</v>
      </c>
      <c r="F97" t="s">
        <v>3398</v>
      </c>
      <c r="G97" t="s">
        <v>3399</v>
      </c>
      <c r="H97" t="s">
        <v>3400</v>
      </c>
      <c r="I97" t="s">
        <v>3401</v>
      </c>
      <c r="K97" t="s">
        <v>3402</v>
      </c>
      <c r="L97" t="s">
        <v>3402</v>
      </c>
      <c r="M97" t="s">
        <v>3403</v>
      </c>
      <c r="N97" t="s">
        <v>3404</v>
      </c>
      <c r="O97" t="s">
        <v>3405</v>
      </c>
      <c r="P97" t="s">
        <v>3155</v>
      </c>
      <c r="Q97" t="s">
        <v>225</v>
      </c>
      <c r="R97" t="b">
        <v>1</v>
      </c>
      <c r="S97" t="s">
        <v>3551</v>
      </c>
    </row>
    <row r="98" spans="1:19" ht="11.25" customHeight="1">
      <c r="A98">
        <v>2655</v>
      </c>
      <c r="B98" t="s">
        <v>102</v>
      </c>
      <c r="C98">
        <v>31834877</v>
      </c>
      <c r="D98" t="s">
        <v>3672</v>
      </c>
      <c r="E98" t="s">
        <v>3672</v>
      </c>
      <c r="F98" t="s">
        <v>3673</v>
      </c>
      <c r="G98" t="s">
        <v>3012</v>
      </c>
      <c r="H98" t="s">
        <v>3674</v>
      </c>
      <c r="I98" t="s">
        <v>3675</v>
      </c>
      <c r="K98" t="s">
        <v>3676</v>
      </c>
      <c r="L98" t="s">
        <v>3677</v>
      </c>
      <c r="M98" t="s">
        <v>225</v>
      </c>
      <c r="N98" t="s">
        <v>3678</v>
      </c>
      <c r="O98" t="s">
        <v>3679</v>
      </c>
      <c r="P98" t="s">
        <v>3007</v>
      </c>
      <c r="Q98" t="s">
        <v>3680</v>
      </c>
      <c r="R98" t="b">
        <v>0</v>
      </c>
      <c r="S98" t="s">
        <v>3551</v>
      </c>
    </row>
    <row r="99" spans="1:19" ht="11.25" customHeight="1">
      <c r="A99">
        <v>2655</v>
      </c>
      <c r="B99" t="s">
        <v>102</v>
      </c>
      <c r="C99">
        <v>26356891</v>
      </c>
      <c r="D99" t="s">
        <v>3417</v>
      </c>
      <c r="E99" t="s">
        <v>3418</v>
      </c>
      <c r="F99" t="s">
        <v>3419</v>
      </c>
      <c r="G99" t="s">
        <v>123</v>
      </c>
      <c r="H99" t="s">
        <v>3420</v>
      </c>
      <c r="I99" t="s">
        <v>3421</v>
      </c>
      <c r="J99" t="s">
        <v>128</v>
      </c>
      <c r="K99" t="s">
        <v>3422</v>
      </c>
      <c r="L99" t="s">
        <v>3422</v>
      </c>
      <c r="M99" t="s">
        <v>3423</v>
      </c>
      <c r="N99" t="s">
        <v>3424</v>
      </c>
      <c r="O99" t="s">
        <v>3425</v>
      </c>
      <c r="P99" t="s">
        <v>145</v>
      </c>
      <c r="Q99" t="s">
        <v>225</v>
      </c>
      <c r="R99" t="b">
        <v>0</v>
      </c>
      <c r="S99" t="s">
        <v>3551</v>
      </c>
    </row>
    <row r="100" spans="1:19" ht="11.25" customHeight="1">
      <c r="A100">
        <v>2655</v>
      </c>
      <c r="B100" t="s">
        <v>102</v>
      </c>
      <c r="C100">
        <v>31241637</v>
      </c>
      <c r="D100" t="s">
        <v>3426</v>
      </c>
      <c r="E100" t="s">
        <v>3427</v>
      </c>
      <c r="F100" t="s">
        <v>3428</v>
      </c>
      <c r="G100" t="s">
        <v>3243</v>
      </c>
      <c r="H100" t="s">
        <v>3429</v>
      </c>
      <c r="I100" t="s">
        <v>3430</v>
      </c>
      <c r="J100" t="s">
        <v>128</v>
      </c>
      <c r="K100" t="s">
        <v>3431</v>
      </c>
      <c r="L100" t="s">
        <v>3431</v>
      </c>
      <c r="M100" t="s">
        <v>3432</v>
      </c>
      <c r="N100" t="s">
        <v>225</v>
      </c>
      <c r="O100" t="s">
        <v>3433</v>
      </c>
      <c r="P100" t="s">
        <v>3155</v>
      </c>
      <c r="Q100" t="s">
        <v>225</v>
      </c>
      <c r="R100" t="b">
        <v>0</v>
      </c>
      <c r="S100" t="s">
        <v>3551</v>
      </c>
    </row>
    <row r="101" spans="1:19" ht="11.25" customHeight="1">
      <c r="A101">
        <v>2655</v>
      </c>
      <c r="B101" t="s">
        <v>102</v>
      </c>
      <c r="C101">
        <v>28819708</v>
      </c>
      <c r="D101" t="s">
        <v>3681</v>
      </c>
      <c r="E101" t="s">
        <v>3682</v>
      </c>
      <c r="F101" t="s">
        <v>3683</v>
      </c>
      <c r="G101" t="s">
        <v>3126</v>
      </c>
      <c r="H101" t="s">
        <v>3684</v>
      </c>
      <c r="I101" t="s">
        <v>3685</v>
      </c>
      <c r="J101" t="s">
        <v>128</v>
      </c>
      <c r="K101" t="s">
        <v>3686</v>
      </c>
      <c r="L101" t="s">
        <v>3686</v>
      </c>
      <c r="M101" t="s">
        <v>225</v>
      </c>
      <c r="N101" t="s">
        <v>3687</v>
      </c>
      <c r="O101" t="s">
        <v>3688</v>
      </c>
      <c r="P101" t="s">
        <v>145</v>
      </c>
      <c r="Q101" t="s">
        <v>225</v>
      </c>
      <c r="R101" t="b">
        <v>0</v>
      </c>
      <c r="S101" t="s">
        <v>3551</v>
      </c>
    </row>
    <row r="102" spans="1:19" ht="11.25" customHeight="1">
      <c r="A102">
        <v>2655</v>
      </c>
      <c r="B102" t="s">
        <v>102</v>
      </c>
      <c r="C102">
        <v>26356937</v>
      </c>
      <c r="D102" t="s">
        <v>3434</v>
      </c>
      <c r="E102" t="s">
        <v>3435</v>
      </c>
      <c r="F102" t="s">
        <v>3436</v>
      </c>
      <c r="G102" t="s">
        <v>3300</v>
      </c>
      <c r="H102" t="s">
        <v>3437</v>
      </c>
      <c r="I102" t="s">
        <v>3438</v>
      </c>
      <c r="J102" t="s">
        <v>128</v>
      </c>
      <c r="K102" t="s">
        <v>3439</v>
      </c>
      <c r="L102" t="s">
        <v>3439</v>
      </c>
      <c r="M102" t="s">
        <v>3440</v>
      </c>
      <c r="N102" t="s">
        <v>3441</v>
      </c>
      <c r="O102" t="s">
        <v>3442</v>
      </c>
      <c r="P102" t="s">
        <v>3155</v>
      </c>
      <c r="Q102" t="s">
        <v>3443</v>
      </c>
      <c r="R102" t="b">
        <v>0</v>
      </c>
      <c r="S102" t="s">
        <v>3551</v>
      </c>
    </row>
    <row r="103" spans="1:19" ht="11.25" customHeight="1">
      <c r="A103">
        <v>2655</v>
      </c>
      <c r="B103" t="s">
        <v>102</v>
      </c>
      <c r="C103">
        <v>33000834</v>
      </c>
      <c r="D103" t="s">
        <v>3444</v>
      </c>
      <c r="E103" t="s">
        <v>3445</v>
      </c>
      <c r="F103" t="s">
        <v>3446</v>
      </c>
      <c r="G103" t="s">
        <v>3137</v>
      </c>
      <c r="H103" t="s">
        <v>3447</v>
      </c>
      <c r="I103" t="s">
        <v>3448</v>
      </c>
      <c r="K103" t="s">
        <v>3449</v>
      </c>
      <c r="L103" t="s">
        <v>3449</v>
      </c>
      <c r="M103" t="s">
        <v>3450</v>
      </c>
      <c r="N103" t="s">
        <v>3191</v>
      </c>
      <c r="O103" t="s">
        <v>3451</v>
      </c>
      <c r="P103" t="s">
        <v>145</v>
      </c>
      <c r="Q103" t="s">
        <v>3452</v>
      </c>
      <c r="R103" t="b">
        <v>0</v>
      </c>
      <c r="S103" t="s">
        <v>3551</v>
      </c>
    </row>
    <row r="104" spans="1:19" ht="11.25" customHeight="1">
      <c r="A104">
        <v>2655</v>
      </c>
      <c r="B104" t="s">
        <v>102</v>
      </c>
      <c r="C104">
        <v>31770754</v>
      </c>
      <c r="D104" t="s">
        <v>3453</v>
      </c>
      <c r="E104" t="s">
        <v>3454</v>
      </c>
      <c r="F104" t="s">
        <v>3455</v>
      </c>
      <c r="G104" t="s">
        <v>3389</v>
      </c>
      <c r="H104" t="s">
        <v>3456</v>
      </c>
      <c r="I104" t="s">
        <v>3457</v>
      </c>
      <c r="K104" t="s">
        <v>3458</v>
      </c>
      <c r="L104" t="s">
        <v>3459</v>
      </c>
      <c r="M104" t="s">
        <v>3460</v>
      </c>
      <c r="N104" t="s">
        <v>3461</v>
      </c>
      <c r="O104" t="s">
        <v>3462</v>
      </c>
      <c r="P104" t="s">
        <v>145</v>
      </c>
      <c r="Q104" t="s">
        <v>225</v>
      </c>
      <c r="R104" t="b">
        <v>1</v>
      </c>
      <c r="S104" t="s">
        <v>3551</v>
      </c>
    </row>
    <row r="105" spans="1:19" ht="11.25" customHeight="1">
      <c r="A105">
        <v>2655</v>
      </c>
      <c r="B105" t="s">
        <v>102</v>
      </c>
      <c r="C105">
        <v>31528492</v>
      </c>
      <c r="D105" t="s">
        <v>3463</v>
      </c>
      <c r="E105" t="s">
        <v>3464</v>
      </c>
      <c r="F105" t="s">
        <v>3465</v>
      </c>
      <c r="G105" t="s">
        <v>3243</v>
      </c>
      <c r="H105" t="s">
        <v>3466</v>
      </c>
      <c r="I105" t="s">
        <v>3467</v>
      </c>
      <c r="K105" t="s">
        <v>3468</v>
      </c>
      <c r="L105" t="s">
        <v>3468</v>
      </c>
      <c r="M105" t="s">
        <v>3469</v>
      </c>
      <c r="N105" t="s">
        <v>3470</v>
      </c>
      <c r="O105" t="s">
        <v>3471</v>
      </c>
      <c r="P105" t="s">
        <v>3007</v>
      </c>
      <c r="Q105" t="s">
        <v>225</v>
      </c>
      <c r="R105" t="b">
        <v>0</v>
      </c>
      <c r="S105" t="s">
        <v>3551</v>
      </c>
    </row>
    <row r="106" spans="1:19" ht="11.25" customHeight="1">
      <c r="A106">
        <v>2655</v>
      </c>
      <c r="B106" t="s">
        <v>102</v>
      </c>
      <c r="C106">
        <v>28270293</v>
      </c>
      <c r="D106" t="s">
        <v>3472</v>
      </c>
      <c r="E106" t="s">
        <v>3473</v>
      </c>
      <c r="F106" t="s">
        <v>3474</v>
      </c>
      <c r="G106" t="s">
        <v>123</v>
      </c>
      <c r="H106" t="s">
        <v>3475</v>
      </c>
      <c r="I106" t="s">
        <v>3476</v>
      </c>
      <c r="J106" t="s">
        <v>128</v>
      </c>
      <c r="K106" t="s">
        <v>3477</v>
      </c>
      <c r="L106" t="s">
        <v>3477</v>
      </c>
      <c r="M106" t="s">
        <v>3478</v>
      </c>
      <c r="N106" t="s">
        <v>3479</v>
      </c>
      <c r="O106" t="s">
        <v>3480</v>
      </c>
      <c r="P106" t="s">
        <v>3064</v>
      </c>
      <c r="Q106" t="s">
        <v>225</v>
      </c>
      <c r="R106" t="b">
        <v>0</v>
      </c>
      <c r="S106" t="s">
        <v>3551</v>
      </c>
    </row>
    <row r="107" spans="1:19" ht="11.25" customHeight="1">
      <c r="A107">
        <v>2655</v>
      </c>
      <c r="B107" t="s">
        <v>102</v>
      </c>
      <c r="C107">
        <v>28873362</v>
      </c>
      <c r="D107" t="s">
        <v>3481</v>
      </c>
      <c r="E107" t="s">
        <v>3482</v>
      </c>
      <c r="F107" t="s">
        <v>3483</v>
      </c>
      <c r="G107" t="s">
        <v>2999</v>
      </c>
      <c r="H107" t="s">
        <v>3484</v>
      </c>
      <c r="I107" t="s">
        <v>3485</v>
      </c>
      <c r="J107" t="s">
        <v>128</v>
      </c>
      <c r="K107" t="s">
        <v>3486</v>
      </c>
      <c r="L107" t="s">
        <v>3486</v>
      </c>
      <c r="M107" t="s">
        <v>3487</v>
      </c>
      <c r="N107" t="s">
        <v>3488</v>
      </c>
      <c r="O107" t="s">
        <v>3489</v>
      </c>
      <c r="P107" t="s">
        <v>145</v>
      </c>
      <c r="Q107" t="s">
        <v>3490</v>
      </c>
      <c r="R107" t="b">
        <v>0</v>
      </c>
      <c r="S107" t="s">
        <v>3551</v>
      </c>
    </row>
    <row r="108" spans="1:19" ht="11.25" customHeight="1">
      <c r="A108">
        <v>2655</v>
      </c>
      <c r="B108" t="s">
        <v>102</v>
      </c>
      <c r="C108">
        <v>28976681</v>
      </c>
      <c r="D108" t="s">
        <v>112</v>
      </c>
      <c r="E108" t="s">
        <v>115</v>
      </c>
      <c r="F108" t="s">
        <v>121</v>
      </c>
      <c r="G108" t="s">
        <v>123</v>
      </c>
      <c r="H108" t="s">
        <v>119</v>
      </c>
      <c r="I108" t="s">
        <v>125</v>
      </c>
      <c r="J108" t="s">
        <v>128</v>
      </c>
      <c r="K108" t="s">
        <v>131</v>
      </c>
      <c r="L108" t="s">
        <v>131</v>
      </c>
      <c r="M108" t="s">
        <v>136</v>
      </c>
      <c r="N108" t="s">
        <v>139</v>
      </c>
      <c r="O108" t="s">
        <v>142</v>
      </c>
      <c r="P108" t="s">
        <v>145</v>
      </c>
      <c r="Q108" t="s">
        <v>225</v>
      </c>
      <c r="R108" t="b">
        <v>1</v>
      </c>
      <c r="S108" t="s">
        <v>3551</v>
      </c>
    </row>
    <row r="109" spans="1:19" ht="11.25" customHeight="1">
      <c r="A109">
        <v>2655</v>
      </c>
      <c r="B109" t="s">
        <v>102</v>
      </c>
      <c r="C109">
        <v>31908312</v>
      </c>
      <c r="D109" t="s">
        <v>3502</v>
      </c>
      <c r="E109" t="s">
        <v>3513</v>
      </c>
      <c r="F109" t="s">
        <v>3504</v>
      </c>
      <c r="G109" t="s">
        <v>3505</v>
      </c>
      <c r="H109" t="s">
        <v>3506</v>
      </c>
      <c r="I109" t="s">
        <v>3507</v>
      </c>
      <c r="K109" t="s">
        <v>3514</v>
      </c>
      <c r="L109" t="s">
        <v>3514</v>
      </c>
      <c r="M109" t="s">
        <v>3515</v>
      </c>
      <c r="N109" t="s">
        <v>3516</v>
      </c>
      <c r="O109" t="s">
        <v>3517</v>
      </c>
      <c r="P109" t="s">
        <v>225</v>
      </c>
      <c r="Q109" t="s">
        <v>3518</v>
      </c>
      <c r="R109" t="b">
        <v>0</v>
      </c>
      <c r="S109" t="s">
        <v>3551</v>
      </c>
    </row>
    <row r="110" spans="1:19" ht="11.25" customHeight="1">
      <c r="A110">
        <v>2655</v>
      </c>
      <c r="B110" t="s">
        <v>102</v>
      </c>
      <c r="C110">
        <v>26853991</v>
      </c>
      <c r="D110" t="s">
        <v>3502</v>
      </c>
      <c r="E110" t="s">
        <v>3503</v>
      </c>
      <c r="F110" t="s">
        <v>3504</v>
      </c>
      <c r="G110" t="s">
        <v>3505</v>
      </c>
      <c r="H110" t="s">
        <v>3506</v>
      </c>
      <c r="I110" t="s">
        <v>3507</v>
      </c>
      <c r="J110" t="s">
        <v>2987</v>
      </c>
      <c r="K110" t="s">
        <v>3508</v>
      </c>
      <c r="L110" t="s">
        <v>3509</v>
      </c>
      <c r="M110" t="s">
        <v>3510</v>
      </c>
      <c r="N110" t="s">
        <v>3511</v>
      </c>
      <c r="O110" t="s">
        <v>3512</v>
      </c>
      <c r="P110" t="s">
        <v>3041</v>
      </c>
      <c r="Q110" t="s">
        <v>225</v>
      </c>
      <c r="R110" t="b">
        <v>0</v>
      </c>
      <c r="S110" t="s">
        <v>3551</v>
      </c>
    </row>
    <row r="111" spans="1:19" ht="11.25" customHeight="1">
      <c r="A111">
        <v>2655</v>
      </c>
      <c r="B111" t="s">
        <v>102</v>
      </c>
      <c r="C111">
        <v>30808511</v>
      </c>
      <c r="D111" t="s">
        <v>3519</v>
      </c>
      <c r="E111" t="s">
        <v>3519</v>
      </c>
      <c r="F111" t="s">
        <v>3520</v>
      </c>
      <c r="G111" t="s">
        <v>3521</v>
      </c>
      <c r="H111" t="s">
        <v>3522</v>
      </c>
      <c r="I111" t="s">
        <v>3523</v>
      </c>
      <c r="J111" t="s">
        <v>3524</v>
      </c>
      <c r="K111" t="s">
        <v>3525</v>
      </c>
      <c r="L111" t="s">
        <v>3526</v>
      </c>
      <c r="M111" t="s">
        <v>3527</v>
      </c>
      <c r="N111" t="s">
        <v>3528</v>
      </c>
      <c r="O111" t="s">
        <v>3529</v>
      </c>
      <c r="P111" t="s">
        <v>145</v>
      </c>
      <c r="Q111" t="s">
        <v>3528</v>
      </c>
      <c r="R111" t="b">
        <v>0</v>
      </c>
      <c r="S111" t="s">
        <v>3551</v>
      </c>
    </row>
    <row r="112" spans="1:19" ht="11.25" customHeight="1">
      <c r="A112">
        <v>2655</v>
      </c>
      <c r="B112" t="s">
        <v>102</v>
      </c>
      <c r="C112">
        <v>26520873</v>
      </c>
      <c r="D112" t="s">
        <v>3530</v>
      </c>
      <c r="E112" t="s">
        <v>3531</v>
      </c>
      <c r="F112" t="s">
        <v>3520</v>
      </c>
      <c r="G112" t="s">
        <v>3532</v>
      </c>
      <c r="H112" t="s">
        <v>3522</v>
      </c>
      <c r="I112" t="s">
        <v>3533</v>
      </c>
      <c r="J112" t="s">
        <v>3524</v>
      </c>
      <c r="K112" t="s">
        <v>3534</v>
      </c>
      <c r="L112" t="s">
        <v>3535</v>
      </c>
      <c r="M112" t="s">
        <v>3536</v>
      </c>
      <c r="N112" t="s">
        <v>3537</v>
      </c>
      <c r="O112" t="s">
        <v>3538</v>
      </c>
      <c r="P112" t="s">
        <v>145</v>
      </c>
      <c r="Q112" t="s">
        <v>3539</v>
      </c>
      <c r="R112" t="b">
        <v>0</v>
      </c>
      <c r="S112" t="s">
        <v>3551</v>
      </c>
    </row>
    <row r="113" spans="1:19" ht="11.25" customHeight="1">
      <c r="A113">
        <v>2655</v>
      </c>
      <c r="B113" t="s">
        <v>102</v>
      </c>
      <c r="C113">
        <v>28976938</v>
      </c>
      <c r="D113" t="s">
        <v>2981</v>
      </c>
      <c r="E113" t="s">
        <v>2982</v>
      </c>
      <c r="F113" t="s">
        <v>2983</v>
      </c>
      <c r="G113" t="s">
        <v>2984</v>
      </c>
      <c r="H113" t="s">
        <v>2985</v>
      </c>
      <c r="I113" t="s">
        <v>2986</v>
      </c>
      <c r="J113" t="s">
        <v>2987</v>
      </c>
      <c r="K113" t="s">
        <v>2988</v>
      </c>
      <c r="L113" t="s">
        <v>2989</v>
      </c>
      <c r="M113" t="s">
        <v>2990</v>
      </c>
      <c r="N113" t="s">
        <v>2991</v>
      </c>
      <c r="O113" t="s">
        <v>2992</v>
      </c>
      <c r="P113" t="s">
        <v>2993</v>
      </c>
      <c r="Q113" t="s">
        <v>2994</v>
      </c>
      <c r="R113" t="b">
        <v>0</v>
      </c>
      <c r="S113" t="s">
        <v>3689</v>
      </c>
    </row>
    <row r="114" spans="1:19" ht="11.25" customHeight="1">
      <c r="A114">
        <v>2655</v>
      </c>
      <c r="B114" t="s">
        <v>102</v>
      </c>
      <c r="C114">
        <v>26356915</v>
      </c>
      <c r="D114" t="s">
        <v>3552</v>
      </c>
      <c r="E114" t="s">
        <v>3553</v>
      </c>
      <c r="F114" t="s">
        <v>3554</v>
      </c>
      <c r="G114" t="s">
        <v>3214</v>
      </c>
      <c r="H114" t="s">
        <v>3555</v>
      </c>
      <c r="I114" t="s">
        <v>3556</v>
      </c>
      <c r="J114" t="s">
        <v>2987</v>
      </c>
      <c r="K114" t="s">
        <v>3557</v>
      </c>
      <c r="L114" t="s">
        <v>3557</v>
      </c>
      <c r="M114" t="s">
        <v>3558</v>
      </c>
      <c r="N114" t="s">
        <v>3559</v>
      </c>
      <c r="O114" t="s">
        <v>3560</v>
      </c>
      <c r="P114" t="s">
        <v>3064</v>
      </c>
      <c r="Q114" t="s">
        <v>151</v>
      </c>
      <c r="R114" t="b">
        <v>0</v>
      </c>
      <c r="S114" t="s">
        <v>3689</v>
      </c>
    </row>
    <row r="115" spans="1:19" ht="11.25" customHeight="1">
      <c r="A115">
        <v>2655</v>
      </c>
      <c r="B115" t="s">
        <v>102</v>
      </c>
      <c r="C115">
        <v>26357007</v>
      </c>
      <c r="D115" t="s">
        <v>3690</v>
      </c>
      <c r="E115" t="s">
        <v>3691</v>
      </c>
      <c r="F115" t="s">
        <v>3692</v>
      </c>
      <c r="G115" t="s">
        <v>3243</v>
      </c>
      <c r="H115" t="s">
        <v>3693</v>
      </c>
      <c r="I115" t="s">
        <v>3694</v>
      </c>
      <c r="J115" t="s">
        <v>2987</v>
      </c>
      <c r="K115" t="s">
        <v>3695</v>
      </c>
      <c r="L115" t="s">
        <v>3695</v>
      </c>
      <c r="M115" t="s">
        <v>3696</v>
      </c>
      <c r="N115" t="s">
        <v>3697</v>
      </c>
      <c r="O115" t="s">
        <v>3698</v>
      </c>
      <c r="P115" t="s">
        <v>3064</v>
      </c>
      <c r="Q115" t="s">
        <v>3699</v>
      </c>
      <c r="R115" t="b">
        <v>0</v>
      </c>
      <c r="S115" t="s">
        <v>3689</v>
      </c>
    </row>
    <row r="116" spans="1:19" ht="11.25" customHeight="1">
      <c r="A116">
        <v>2655</v>
      </c>
      <c r="B116" t="s">
        <v>102</v>
      </c>
      <c r="C116">
        <v>27804990</v>
      </c>
      <c r="D116" t="s">
        <v>2996</v>
      </c>
      <c r="E116" t="s">
        <v>2997</v>
      </c>
      <c r="F116" t="s">
        <v>2998</v>
      </c>
      <c r="G116" t="s">
        <v>2999</v>
      </c>
      <c r="H116" t="s">
        <v>3000</v>
      </c>
      <c r="I116" t="s">
        <v>3001</v>
      </c>
      <c r="J116" t="s">
        <v>2987</v>
      </c>
      <c r="K116" t="s">
        <v>3002</v>
      </c>
      <c r="L116" t="s">
        <v>3003</v>
      </c>
      <c r="M116" t="s">
        <v>3004</v>
      </c>
      <c r="N116" t="s">
        <v>3005</v>
      </c>
      <c r="O116" t="s">
        <v>3006</v>
      </c>
      <c r="P116" t="s">
        <v>3007</v>
      </c>
      <c r="Q116" t="s">
        <v>3008</v>
      </c>
      <c r="R116" t="b">
        <v>0</v>
      </c>
      <c r="S116" t="s">
        <v>3689</v>
      </c>
    </row>
    <row r="117" spans="1:19" ht="11.25" customHeight="1">
      <c r="A117">
        <v>2655</v>
      </c>
      <c r="B117" t="s">
        <v>102</v>
      </c>
      <c r="C117">
        <v>28048296</v>
      </c>
      <c r="D117" t="s">
        <v>3700</v>
      </c>
      <c r="E117" t="s">
        <v>3701</v>
      </c>
      <c r="F117" t="s">
        <v>3702</v>
      </c>
      <c r="G117" t="s">
        <v>2999</v>
      </c>
      <c r="H117" t="s">
        <v>3703</v>
      </c>
      <c r="I117" t="s">
        <v>3704</v>
      </c>
      <c r="J117" t="s">
        <v>2987</v>
      </c>
      <c r="K117" t="s">
        <v>3705</v>
      </c>
      <c r="L117" t="s">
        <v>3003</v>
      </c>
      <c r="M117" t="s">
        <v>3706</v>
      </c>
      <c r="N117" t="s">
        <v>3364</v>
      </c>
      <c r="O117" t="s">
        <v>3707</v>
      </c>
      <c r="P117" t="s">
        <v>3007</v>
      </c>
      <c r="Q117" t="s">
        <v>3008</v>
      </c>
      <c r="R117" t="b">
        <v>0</v>
      </c>
      <c r="S117" t="s">
        <v>3689</v>
      </c>
    </row>
    <row r="118" spans="1:19" ht="11.25" customHeight="1">
      <c r="A118">
        <v>2655</v>
      </c>
      <c r="B118" t="s">
        <v>102</v>
      </c>
      <c r="C118">
        <v>27804826</v>
      </c>
      <c r="D118" t="s">
        <v>3009</v>
      </c>
      <c r="E118" t="s">
        <v>3010</v>
      </c>
      <c r="F118" t="s">
        <v>3011</v>
      </c>
      <c r="G118" t="s">
        <v>3012</v>
      </c>
      <c r="H118" t="s">
        <v>3013</v>
      </c>
      <c r="I118" t="s">
        <v>3014</v>
      </c>
      <c r="J118" t="s">
        <v>2987</v>
      </c>
      <c r="K118" t="s">
        <v>3015</v>
      </c>
      <c r="L118" t="s">
        <v>3003</v>
      </c>
      <c r="M118" t="s">
        <v>3016</v>
      </c>
      <c r="N118" t="s">
        <v>3017</v>
      </c>
      <c r="O118" t="s">
        <v>3018</v>
      </c>
      <c r="P118" t="s">
        <v>3007</v>
      </c>
      <c r="Q118" t="s">
        <v>3019</v>
      </c>
      <c r="R118" t="b">
        <v>0</v>
      </c>
      <c r="S118" t="s">
        <v>3689</v>
      </c>
    </row>
    <row r="119" spans="1:19" ht="11.25" customHeight="1">
      <c r="A119">
        <v>2655</v>
      </c>
      <c r="B119" t="s">
        <v>102</v>
      </c>
      <c r="C119">
        <v>27804896</v>
      </c>
      <c r="D119" t="s">
        <v>3708</v>
      </c>
      <c r="E119" t="s">
        <v>3709</v>
      </c>
      <c r="F119" t="s">
        <v>3710</v>
      </c>
      <c r="G119" t="s">
        <v>2999</v>
      </c>
      <c r="H119" t="s">
        <v>3711</v>
      </c>
      <c r="I119" t="s">
        <v>3712</v>
      </c>
      <c r="J119" t="s">
        <v>2987</v>
      </c>
      <c r="K119" t="s">
        <v>3713</v>
      </c>
      <c r="L119" t="s">
        <v>3003</v>
      </c>
      <c r="M119" t="s">
        <v>3714</v>
      </c>
      <c r="N119" t="s">
        <v>3715</v>
      </c>
      <c r="O119" t="s">
        <v>3716</v>
      </c>
      <c r="P119" t="s">
        <v>3007</v>
      </c>
      <c r="Q119" t="s">
        <v>3008</v>
      </c>
      <c r="R119" t="b">
        <v>0</v>
      </c>
      <c r="S119" t="s">
        <v>3689</v>
      </c>
    </row>
    <row r="120" spans="1:19" ht="11.25" customHeight="1">
      <c r="A120">
        <v>2655</v>
      </c>
      <c r="B120" t="s">
        <v>102</v>
      </c>
      <c r="C120">
        <v>27820148</v>
      </c>
      <c r="D120" t="s">
        <v>3576</v>
      </c>
      <c r="E120" t="s">
        <v>3577</v>
      </c>
      <c r="F120" t="s">
        <v>3578</v>
      </c>
      <c r="G120" t="s">
        <v>3300</v>
      </c>
      <c r="H120" t="s">
        <v>3579</v>
      </c>
      <c r="I120" t="s">
        <v>3580</v>
      </c>
      <c r="J120" t="s">
        <v>2987</v>
      </c>
      <c r="K120" t="s">
        <v>3581</v>
      </c>
      <c r="L120" t="s">
        <v>3581</v>
      </c>
      <c r="M120" t="s">
        <v>3582</v>
      </c>
      <c r="N120" t="s">
        <v>3583</v>
      </c>
      <c r="O120" t="s">
        <v>3584</v>
      </c>
      <c r="P120" t="s">
        <v>3585</v>
      </c>
      <c r="Q120" t="s">
        <v>3586</v>
      </c>
      <c r="R120" t="b">
        <v>0</v>
      </c>
      <c r="S120" t="s">
        <v>3689</v>
      </c>
    </row>
    <row r="121" spans="1:19" ht="11.25" customHeight="1">
      <c r="A121">
        <v>2655</v>
      </c>
      <c r="B121" t="s">
        <v>102</v>
      </c>
      <c r="C121">
        <v>26356905</v>
      </c>
      <c r="D121" t="s">
        <v>3717</v>
      </c>
      <c r="E121" t="s">
        <v>3718</v>
      </c>
      <c r="F121" t="s">
        <v>3719</v>
      </c>
      <c r="G121" t="s">
        <v>2999</v>
      </c>
      <c r="H121" t="s">
        <v>3720</v>
      </c>
      <c r="I121" t="s">
        <v>3721</v>
      </c>
      <c r="J121" t="s">
        <v>2987</v>
      </c>
      <c r="K121" t="s">
        <v>3722</v>
      </c>
      <c r="L121" t="s">
        <v>3722</v>
      </c>
      <c r="M121" t="s">
        <v>3723</v>
      </c>
      <c r="N121" t="s">
        <v>3724</v>
      </c>
      <c r="O121" t="s">
        <v>3725</v>
      </c>
      <c r="P121" t="s">
        <v>3726</v>
      </c>
      <c r="Q121" t="s">
        <v>3727</v>
      </c>
      <c r="R121" t="b">
        <v>0</v>
      </c>
      <c r="S121" t="s">
        <v>3689</v>
      </c>
    </row>
    <row r="122" spans="1:19" ht="11.25" customHeight="1">
      <c r="A122">
        <v>2655</v>
      </c>
      <c r="B122" t="s">
        <v>102</v>
      </c>
      <c r="C122">
        <v>26652554</v>
      </c>
      <c r="D122" t="s">
        <v>3728</v>
      </c>
      <c r="E122" t="s">
        <v>3729</v>
      </c>
      <c r="F122" t="s">
        <v>3730</v>
      </c>
      <c r="G122" t="s">
        <v>3389</v>
      </c>
      <c r="H122" t="s">
        <v>3731</v>
      </c>
      <c r="I122" t="s">
        <v>225</v>
      </c>
      <c r="J122" t="s">
        <v>2987</v>
      </c>
      <c r="K122" t="s">
        <v>3732</v>
      </c>
      <c r="L122" t="s">
        <v>3732</v>
      </c>
      <c r="M122" t="s">
        <v>3733</v>
      </c>
      <c r="N122" t="s">
        <v>3734</v>
      </c>
      <c r="O122" t="s">
        <v>3735</v>
      </c>
      <c r="P122" t="s">
        <v>3064</v>
      </c>
      <c r="Q122" t="s">
        <v>3736</v>
      </c>
      <c r="R122" t="b">
        <v>0</v>
      </c>
      <c r="S122" t="s">
        <v>3689</v>
      </c>
    </row>
    <row r="123" spans="1:19" ht="11.25" customHeight="1">
      <c r="A123">
        <v>2655</v>
      </c>
      <c r="B123" t="s">
        <v>102</v>
      </c>
      <c r="C123">
        <v>31915209</v>
      </c>
      <c r="D123" t="s">
        <v>3737</v>
      </c>
      <c r="E123" t="s">
        <v>3738</v>
      </c>
      <c r="F123" t="s">
        <v>3739</v>
      </c>
      <c r="G123" t="s">
        <v>2999</v>
      </c>
      <c r="H123" t="s">
        <v>3740</v>
      </c>
      <c r="I123" t="s">
        <v>3741</v>
      </c>
      <c r="K123" t="s">
        <v>3742</v>
      </c>
      <c r="L123" t="s">
        <v>3742</v>
      </c>
      <c r="M123" t="s">
        <v>3743</v>
      </c>
      <c r="N123" t="s">
        <v>3744</v>
      </c>
      <c r="O123" t="s">
        <v>3745</v>
      </c>
      <c r="P123" t="s">
        <v>3746</v>
      </c>
      <c r="Q123" t="s">
        <v>3747</v>
      </c>
      <c r="R123" t="b">
        <v>0</v>
      </c>
      <c r="S123" t="s">
        <v>3689</v>
      </c>
    </row>
    <row r="124" spans="1:19" ht="11.25" customHeight="1">
      <c r="A124">
        <v>2655</v>
      </c>
      <c r="B124" t="s">
        <v>102</v>
      </c>
      <c r="C124">
        <v>26356926</v>
      </c>
      <c r="D124" t="s">
        <v>3748</v>
      </c>
      <c r="E124" t="s">
        <v>3749</v>
      </c>
      <c r="F124" t="s">
        <v>3750</v>
      </c>
      <c r="G124" t="s">
        <v>3300</v>
      </c>
      <c r="H124" t="s">
        <v>3751</v>
      </c>
      <c r="I124" t="s">
        <v>3752</v>
      </c>
      <c r="J124" t="s">
        <v>3753</v>
      </c>
      <c r="K124" t="s">
        <v>3754</v>
      </c>
      <c r="L124" t="s">
        <v>3754</v>
      </c>
      <c r="M124" t="s">
        <v>3755</v>
      </c>
      <c r="N124" t="s">
        <v>3756</v>
      </c>
      <c r="O124" t="s">
        <v>3757</v>
      </c>
      <c r="P124" t="s">
        <v>3758</v>
      </c>
      <c r="Q124" t="s">
        <v>3759</v>
      </c>
      <c r="R124" t="b">
        <v>0</v>
      </c>
      <c r="S124" t="s">
        <v>3689</v>
      </c>
    </row>
    <row r="125" spans="1:19" ht="11.25" customHeight="1">
      <c r="A125">
        <v>2655</v>
      </c>
      <c r="B125" t="s">
        <v>102</v>
      </c>
      <c r="C125">
        <v>31720063</v>
      </c>
      <c r="D125" t="s">
        <v>3760</v>
      </c>
      <c r="E125" t="s">
        <v>3761</v>
      </c>
      <c r="F125" t="s">
        <v>3762</v>
      </c>
      <c r="G125" t="s">
        <v>3187</v>
      </c>
      <c r="H125" t="s">
        <v>3763</v>
      </c>
      <c r="I125" t="s">
        <v>3764</v>
      </c>
      <c r="K125" t="s">
        <v>3765</v>
      </c>
      <c r="L125" t="s">
        <v>3765</v>
      </c>
      <c r="M125" t="s">
        <v>225</v>
      </c>
      <c r="N125" t="s">
        <v>3766</v>
      </c>
      <c r="O125" t="s">
        <v>3767</v>
      </c>
      <c r="P125" t="s">
        <v>3155</v>
      </c>
      <c r="Q125" t="s">
        <v>3768</v>
      </c>
      <c r="R125" t="b">
        <v>0</v>
      </c>
      <c r="S125" t="s">
        <v>3689</v>
      </c>
    </row>
    <row r="126" spans="1:19" ht="11.25" customHeight="1">
      <c r="A126">
        <v>2655</v>
      </c>
      <c r="B126" t="s">
        <v>102</v>
      </c>
      <c r="C126">
        <v>31826293</v>
      </c>
      <c r="D126" t="s">
        <v>3075</v>
      </c>
      <c r="E126" t="s">
        <v>3076</v>
      </c>
      <c r="F126" t="s">
        <v>3077</v>
      </c>
      <c r="G126" t="s">
        <v>3078</v>
      </c>
      <c r="H126" t="s">
        <v>3079</v>
      </c>
      <c r="I126" t="s">
        <v>3080</v>
      </c>
      <c r="K126" t="s">
        <v>3081</v>
      </c>
      <c r="L126" t="s">
        <v>3082</v>
      </c>
      <c r="M126" t="s">
        <v>3083</v>
      </c>
      <c r="N126" t="s">
        <v>3084</v>
      </c>
      <c r="O126" t="s">
        <v>3085</v>
      </c>
      <c r="P126" t="s">
        <v>3086</v>
      </c>
      <c r="Q126" t="s">
        <v>225</v>
      </c>
      <c r="R126" t="b">
        <v>0</v>
      </c>
      <c r="S126" t="s">
        <v>3689</v>
      </c>
    </row>
    <row r="127" spans="1:19" ht="11.25" customHeight="1">
      <c r="A127">
        <v>2655</v>
      </c>
      <c r="B127" t="s">
        <v>102</v>
      </c>
      <c r="C127">
        <v>28262434</v>
      </c>
      <c r="D127" t="s">
        <v>3769</v>
      </c>
      <c r="E127" t="s">
        <v>3770</v>
      </c>
      <c r="F127" t="s">
        <v>3771</v>
      </c>
      <c r="G127" t="s">
        <v>3772</v>
      </c>
      <c r="H127" t="s">
        <v>3773</v>
      </c>
      <c r="I127" t="s">
        <v>3774</v>
      </c>
      <c r="J127" t="s">
        <v>2987</v>
      </c>
      <c r="K127" t="s">
        <v>3775</v>
      </c>
      <c r="L127" t="s">
        <v>3775</v>
      </c>
      <c r="M127" t="s">
        <v>3776</v>
      </c>
      <c r="N127" t="s">
        <v>3777</v>
      </c>
      <c r="O127" t="s">
        <v>3778</v>
      </c>
      <c r="P127" t="s">
        <v>3064</v>
      </c>
      <c r="Q127" t="s">
        <v>225</v>
      </c>
      <c r="R127" t="b">
        <v>0</v>
      </c>
      <c r="S127" t="s">
        <v>3689</v>
      </c>
    </row>
    <row r="128" spans="1:19" ht="11.25" customHeight="1">
      <c r="A128">
        <v>2655</v>
      </c>
      <c r="B128" t="s">
        <v>102</v>
      </c>
      <c r="C128">
        <v>31382238</v>
      </c>
      <c r="D128" t="s">
        <v>3779</v>
      </c>
      <c r="E128" t="s">
        <v>3780</v>
      </c>
      <c r="F128" t="s">
        <v>3781</v>
      </c>
      <c r="G128" t="s">
        <v>3782</v>
      </c>
      <c r="H128" t="s">
        <v>3783</v>
      </c>
      <c r="I128" t="s">
        <v>3784</v>
      </c>
      <c r="J128" t="s">
        <v>3785</v>
      </c>
      <c r="K128" t="s">
        <v>3786</v>
      </c>
      <c r="L128" t="s">
        <v>3786</v>
      </c>
      <c r="M128" t="s">
        <v>225</v>
      </c>
      <c r="N128" t="s">
        <v>225</v>
      </c>
      <c r="O128" t="s">
        <v>3787</v>
      </c>
      <c r="P128" t="s">
        <v>3788</v>
      </c>
      <c r="Q128" t="s">
        <v>225</v>
      </c>
      <c r="R128" t="b">
        <v>1</v>
      </c>
      <c r="S128" t="s">
        <v>3689</v>
      </c>
    </row>
    <row r="129" spans="1:19" ht="11.25" customHeight="1">
      <c r="A129">
        <v>2655</v>
      </c>
      <c r="B129" t="s">
        <v>102</v>
      </c>
      <c r="C129">
        <v>31763194</v>
      </c>
      <c r="D129" t="s">
        <v>3789</v>
      </c>
      <c r="E129" t="s">
        <v>3790</v>
      </c>
      <c r="F129" t="s">
        <v>3791</v>
      </c>
      <c r="G129" t="s">
        <v>3782</v>
      </c>
      <c r="H129" t="s">
        <v>3792</v>
      </c>
      <c r="I129" t="s">
        <v>3793</v>
      </c>
      <c r="K129" t="s">
        <v>3794</v>
      </c>
      <c r="L129" t="s">
        <v>3795</v>
      </c>
      <c r="M129" t="s">
        <v>225</v>
      </c>
      <c r="N129" t="s">
        <v>3796</v>
      </c>
      <c r="O129" t="s">
        <v>3797</v>
      </c>
      <c r="P129" t="s">
        <v>3798</v>
      </c>
      <c r="Q129" t="s">
        <v>3799</v>
      </c>
      <c r="R129" t="b">
        <v>1</v>
      </c>
      <c r="S129" t="s">
        <v>3689</v>
      </c>
    </row>
    <row r="130" spans="1:19" ht="11.25" customHeight="1">
      <c r="A130">
        <v>2655</v>
      </c>
      <c r="B130" t="s">
        <v>102</v>
      </c>
      <c r="C130">
        <v>26322867</v>
      </c>
      <c r="D130" t="s">
        <v>3087</v>
      </c>
      <c r="E130" t="s">
        <v>3088</v>
      </c>
      <c r="F130" t="s">
        <v>3089</v>
      </c>
      <c r="G130" t="s">
        <v>3033</v>
      </c>
      <c r="H130" t="s">
        <v>3090</v>
      </c>
      <c r="I130" t="s">
        <v>3091</v>
      </c>
      <c r="J130" t="s">
        <v>2987</v>
      </c>
      <c r="K130" t="s">
        <v>3092</v>
      </c>
      <c r="L130" t="s">
        <v>3092</v>
      </c>
      <c r="M130" t="s">
        <v>3093</v>
      </c>
      <c r="N130" t="s">
        <v>3094</v>
      </c>
      <c r="O130" t="s">
        <v>3095</v>
      </c>
      <c r="P130" t="s">
        <v>3064</v>
      </c>
      <c r="Q130" t="s">
        <v>3096</v>
      </c>
      <c r="R130" t="b">
        <v>0</v>
      </c>
      <c r="S130" t="s">
        <v>3689</v>
      </c>
    </row>
    <row r="131" spans="1:19" ht="11.25" customHeight="1">
      <c r="A131">
        <v>2655</v>
      </c>
      <c r="B131" t="s">
        <v>102</v>
      </c>
      <c r="C131">
        <v>26824396</v>
      </c>
      <c r="D131" t="s">
        <v>3106</v>
      </c>
      <c r="E131" t="s">
        <v>3107</v>
      </c>
      <c r="F131" t="s">
        <v>3067</v>
      </c>
      <c r="G131" t="s">
        <v>3108</v>
      </c>
      <c r="H131" t="s">
        <v>3069</v>
      </c>
      <c r="I131" t="s">
        <v>225</v>
      </c>
      <c r="J131" t="s">
        <v>3059</v>
      </c>
      <c r="K131" t="s">
        <v>3109</v>
      </c>
      <c r="L131" t="s">
        <v>3109</v>
      </c>
      <c r="M131" t="s">
        <v>3110</v>
      </c>
      <c r="N131" t="s">
        <v>225</v>
      </c>
      <c r="O131" t="s">
        <v>3111</v>
      </c>
      <c r="P131" t="s">
        <v>3105</v>
      </c>
      <c r="Q131" t="s">
        <v>225</v>
      </c>
      <c r="R131" t="b">
        <v>0</v>
      </c>
      <c r="S131" t="s">
        <v>3689</v>
      </c>
    </row>
    <row r="132" spans="1:19" ht="11.25" customHeight="1">
      <c r="A132">
        <v>2655</v>
      </c>
      <c r="B132" t="s">
        <v>102</v>
      </c>
      <c r="C132">
        <v>30808700</v>
      </c>
      <c r="D132" t="s">
        <v>3145</v>
      </c>
      <c r="E132" t="s">
        <v>3146</v>
      </c>
      <c r="F132" t="s">
        <v>3147</v>
      </c>
      <c r="G132" t="s">
        <v>3068</v>
      </c>
      <c r="H132" t="s">
        <v>3148</v>
      </c>
      <c r="I132" t="s">
        <v>3149</v>
      </c>
      <c r="J132" t="s">
        <v>3129</v>
      </c>
      <c r="K132" t="s">
        <v>3150</v>
      </c>
      <c r="L132" t="s">
        <v>3151</v>
      </c>
      <c r="M132" t="s">
        <v>3152</v>
      </c>
      <c r="N132" t="s">
        <v>3153</v>
      </c>
      <c r="O132" t="s">
        <v>3154</v>
      </c>
      <c r="P132" t="s">
        <v>3155</v>
      </c>
      <c r="Q132" t="s">
        <v>225</v>
      </c>
      <c r="R132" t="b">
        <v>1</v>
      </c>
      <c r="S132" t="s">
        <v>3689</v>
      </c>
    </row>
    <row r="133" spans="1:19" ht="11.25" customHeight="1">
      <c r="A133">
        <v>2655</v>
      </c>
      <c r="B133" t="s">
        <v>102</v>
      </c>
      <c r="C133">
        <v>31319221</v>
      </c>
      <c r="D133" t="s">
        <v>3156</v>
      </c>
      <c r="E133" t="s">
        <v>3157</v>
      </c>
      <c r="F133" t="s">
        <v>3158</v>
      </c>
      <c r="G133" t="s">
        <v>3126</v>
      </c>
      <c r="H133" t="s">
        <v>3159</v>
      </c>
      <c r="I133" t="s">
        <v>3160</v>
      </c>
      <c r="J133" t="s">
        <v>3118</v>
      </c>
      <c r="K133" t="s">
        <v>3161</v>
      </c>
      <c r="L133" t="s">
        <v>3162</v>
      </c>
      <c r="M133" t="s">
        <v>3163</v>
      </c>
      <c r="N133" t="s">
        <v>3164</v>
      </c>
      <c r="O133" t="s">
        <v>3165</v>
      </c>
      <c r="P133" t="s">
        <v>145</v>
      </c>
      <c r="Q133" t="s">
        <v>225</v>
      </c>
      <c r="R133" t="b">
        <v>0</v>
      </c>
      <c r="S133" t="s">
        <v>3689</v>
      </c>
    </row>
    <row r="134" spans="1:19" ht="11.25" customHeight="1">
      <c r="A134">
        <v>2655</v>
      </c>
      <c r="B134" t="s">
        <v>102</v>
      </c>
      <c r="C134">
        <v>31343443</v>
      </c>
      <c r="D134" t="s">
        <v>3176</v>
      </c>
      <c r="E134" t="s">
        <v>3177</v>
      </c>
      <c r="F134" t="s">
        <v>3178</v>
      </c>
      <c r="G134" t="s">
        <v>3068</v>
      </c>
      <c r="H134" t="s">
        <v>3179</v>
      </c>
      <c r="I134" t="s">
        <v>3180</v>
      </c>
      <c r="J134" t="s">
        <v>3118</v>
      </c>
      <c r="K134" t="s">
        <v>3181</v>
      </c>
      <c r="L134" t="s">
        <v>3181</v>
      </c>
      <c r="N134" t="s">
        <v>3182</v>
      </c>
      <c r="O134" t="s">
        <v>3183</v>
      </c>
      <c r="P134" t="s">
        <v>3155</v>
      </c>
      <c r="R134" t="b">
        <v>0</v>
      </c>
      <c r="S134" t="s">
        <v>3689</v>
      </c>
    </row>
    <row r="135" spans="1:19" ht="11.25" customHeight="1">
      <c r="A135">
        <v>2655</v>
      </c>
      <c r="B135" t="s">
        <v>102</v>
      </c>
      <c r="C135">
        <v>31367841</v>
      </c>
      <c r="D135" t="s">
        <v>3184</v>
      </c>
      <c r="E135" t="s">
        <v>3185</v>
      </c>
      <c r="F135" t="s">
        <v>3186</v>
      </c>
      <c r="G135" t="s">
        <v>3187</v>
      </c>
      <c r="H135" t="s">
        <v>3188</v>
      </c>
      <c r="I135" t="s">
        <v>3189</v>
      </c>
      <c r="J135" t="s">
        <v>3129</v>
      </c>
      <c r="K135" t="s">
        <v>3190</v>
      </c>
      <c r="L135" t="s">
        <v>3190</v>
      </c>
      <c r="M135" t="s">
        <v>225</v>
      </c>
      <c r="N135" t="s">
        <v>3191</v>
      </c>
      <c r="O135" t="s">
        <v>3192</v>
      </c>
      <c r="P135" t="s">
        <v>145</v>
      </c>
      <c r="Q135" t="s">
        <v>225</v>
      </c>
      <c r="R135" t="b">
        <v>0</v>
      </c>
      <c r="S135" t="s">
        <v>3689</v>
      </c>
    </row>
    <row r="136" spans="1:19" ht="11.25" customHeight="1">
      <c r="A136">
        <v>2655</v>
      </c>
      <c r="B136" t="s">
        <v>102</v>
      </c>
      <c r="C136">
        <v>31087651</v>
      </c>
      <c r="D136" t="s">
        <v>3193</v>
      </c>
      <c r="E136" t="s">
        <v>3194</v>
      </c>
      <c r="F136" t="s">
        <v>3195</v>
      </c>
      <c r="G136" t="s">
        <v>3196</v>
      </c>
      <c r="H136" t="s">
        <v>3197</v>
      </c>
      <c r="I136" t="s">
        <v>3198</v>
      </c>
      <c r="J136" t="s">
        <v>3118</v>
      </c>
      <c r="K136" t="s">
        <v>3199</v>
      </c>
      <c r="L136" t="s">
        <v>3199</v>
      </c>
      <c r="M136" t="s">
        <v>3200</v>
      </c>
      <c r="N136" t="s">
        <v>3201</v>
      </c>
      <c r="O136" t="s">
        <v>3202</v>
      </c>
      <c r="R136" t="b">
        <v>0</v>
      </c>
      <c r="S136" t="s">
        <v>3689</v>
      </c>
    </row>
    <row r="137" spans="1:19" ht="11.25" customHeight="1">
      <c r="A137">
        <v>2655</v>
      </c>
      <c r="B137" t="s">
        <v>102</v>
      </c>
      <c r="C137">
        <v>31367862</v>
      </c>
      <c r="D137" t="s">
        <v>3203</v>
      </c>
      <c r="E137" t="s">
        <v>3204</v>
      </c>
      <c r="F137" t="s">
        <v>3205</v>
      </c>
      <c r="G137" t="s">
        <v>3187</v>
      </c>
      <c r="H137" t="s">
        <v>3206</v>
      </c>
      <c r="I137" t="s">
        <v>3207</v>
      </c>
      <c r="J137" t="s">
        <v>3118</v>
      </c>
      <c r="K137" t="s">
        <v>3208</v>
      </c>
      <c r="L137" t="s">
        <v>3208</v>
      </c>
      <c r="M137" t="s">
        <v>225</v>
      </c>
      <c r="N137" t="s">
        <v>3209</v>
      </c>
      <c r="O137" t="s">
        <v>3210</v>
      </c>
      <c r="P137" t="s">
        <v>145</v>
      </c>
      <c r="Q137" t="s">
        <v>225</v>
      </c>
      <c r="R137" t="b">
        <v>0</v>
      </c>
      <c r="S137" t="s">
        <v>3689</v>
      </c>
    </row>
    <row r="138" spans="1:19" ht="11.25" customHeight="1">
      <c r="A138">
        <v>2655</v>
      </c>
      <c r="B138" t="s">
        <v>102</v>
      </c>
      <c r="C138">
        <v>31085797</v>
      </c>
      <c r="D138" t="s">
        <v>3800</v>
      </c>
      <c r="E138" t="s">
        <v>3801</v>
      </c>
      <c r="F138" t="s">
        <v>3802</v>
      </c>
      <c r="G138" t="s">
        <v>3012</v>
      </c>
      <c r="H138" t="s">
        <v>3803</v>
      </c>
      <c r="I138" t="s">
        <v>3804</v>
      </c>
      <c r="J138" t="s">
        <v>3129</v>
      </c>
      <c r="K138" t="s">
        <v>3805</v>
      </c>
      <c r="L138" t="s">
        <v>3806</v>
      </c>
      <c r="M138" t="s">
        <v>3807</v>
      </c>
      <c r="N138" t="s">
        <v>3808</v>
      </c>
      <c r="O138" t="s">
        <v>3809</v>
      </c>
      <c r="P138" t="s">
        <v>145</v>
      </c>
      <c r="Q138" t="s">
        <v>225</v>
      </c>
      <c r="R138" t="b">
        <v>1</v>
      </c>
      <c r="S138" t="s">
        <v>3689</v>
      </c>
    </row>
    <row r="139" spans="1:19" ht="11.25" customHeight="1">
      <c r="A139">
        <v>2655</v>
      </c>
      <c r="B139" t="s">
        <v>102</v>
      </c>
      <c r="C139">
        <v>26486390</v>
      </c>
      <c r="D139" t="s">
        <v>3211</v>
      </c>
      <c r="E139" t="s">
        <v>3212</v>
      </c>
      <c r="F139" t="s">
        <v>3213</v>
      </c>
      <c r="G139" t="s">
        <v>3214</v>
      </c>
      <c r="H139" t="s">
        <v>3215</v>
      </c>
      <c r="I139" t="s">
        <v>3216</v>
      </c>
      <c r="J139" t="s">
        <v>3129</v>
      </c>
      <c r="K139" t="s">
        <v>3217</v>
      </c>
      <c r="L139" t="s">
        <v>3217</v>
      </c>
      <c r="M139" t="s">
        <v>3218</v>
      </c>
      <c r="N139" t="s">
        <v>3219</v>
      </c>
      <c r="O139" t="s">
        <v>3220</v>
      </c>
      <c r="P139" t="s">
        <v>3221</v>
      </c>
      <c r="Q139" t="s">
        <v>225</v>
      </c>
      <c r="R139" t="b">
        <v>0</v>
      </c>
      <c r="S139" t="s">
        <v>3689</v>
      </c>
    </row>
    <row r="140" spans="1:19" ht="11.25" customHeight="1">
      <c r="A140">
        <v>2655</v>
      </c>
      <c r="B140" t="s">
        <v>102</v>
      </c>
      <c r="C140">
        <v>31187282</v>
      </c>
      <c r="D140" t="s">
        <v>3810</v>
      </c>
      <c r="E140" t="s">
        <v>3811</v>
      </c>
      <c r="F140" t="s">
        <v>3812</v>
      </c>
      <c r="G140" t="s">
        <v>3023</v>
      </c>
      <c r="H140" t="s">
        <v>3813</v>
      </c>
      <c r="I140" t="s">
        <v>3814</v>
      </c>
      <c r="J140" t="s">
        <v>3129</v>
      </c>
      <c r="K140" t="s">
        <v>3815</v>
      </c>
      <c r="L140" t="s">
        <v>3815</v>
      </c>
      <c r="M140" t="s">
        <v>225</v>
      </c>
      <c r="N140" t="s">
        <v>3816</v>
      </c>
      <c r="O140" t="s">
        <v>3817</v>
      </c>
      <c r="P140" t="s">
        <v>145</v>
      </c>
      <c r="Q140" t="s">
        <v>225</v>
      </c>
      <c r="R140" t="b">
        <v>0</v>
      </c>
      <c r="S140" t="s">
        <v>3689</v>
      </c>
    </row>
    <row r="141" spans="1:19" ht="11.25" customHeight="1">
      <c r="A141">
        <v>2655</v>
      </c>
      <c r="B141" t="s">
        <v>102</v>
      </c>
      <c r="C141">
        <v>31308226</v>
      </c>
      <c r="D141" t="s">
        <v>3240</v>
      </c>
      <c r="E141" t="s">
        <v>3241</v>
      </c>
      <c r="F141" t="s">
        <v>3242</v>
      </c>
      <c r="G141" t="s">
        <v>3243</v>
      </c>
      <c r="H141" t="s">
        <v>3244</v>
      </c>
      <c r="I141" t="s">
        <v>3245</v>
      </c>
      <c r="J141" t="s">
        <v>3129</v>
      </c>
      <c r="K141" t="s">
        <v>3246</v>
      </c>
      <c r="L141" t="s">
        <v>3246</v>
      </c>
      <c r="M141" t="s">
        <v>3247</v>
      </c>
      <c r="N141" t="s">
        <v>3248</v>
      </c>
      <c r="O141" t="s">
        <v>3249</v>
      </c>
      <c r="P141" t="s">
        <v>3155</v>
      </c>
      <c r="Q141" t="s">
        <v>225</v>
      </c>
      <c r="R141" t="b">
        <v>1</v>
      </c>
      <c r="S141" t="s">
        <v>3689</v>
      </c>
    </row>
    <row r="142" spans="1:19" ht="11.25" customHeight="1">
      <c r="A142">
        <v>2655</v>
      </c>
      <c r="B142" t="s">
        <v>102</v>
      </c>
      <c r="C142">
        <v>31284269</v>
      </c>
      <c r="D142" t="s">
        <v>3250</v>
      </c>
      <c r="E142" t="s">
        <v>3251</v>
      </c>
      <c r="F142" t="s">
        <v>3252</v>
      </c>
      <c r="G142" t="s">
        <v>3196</v>
      </c>
      <c r="H142" t="s">
        <v>3253</v>
      </c>
      <c r="I142" t="s">
        <v>3254</v>
      </c>
      <c r="J142" t="s">
        <v>3129</v>
      </c>
      <c r="K142" t="s">
        <v>3255</v>
      </c>
      <c r="L142" t="s">
        <v>3256</v>
      </c>
      <c r="M142" t="s">
        <v>3257</v>
      </c>
      <c r="N142" t="s">
        <v>3258</v>
      </c>
      <c r="O142" t="s">
        <v>3259</v>
      </c>
      <c r="P142" t="s">
        <v>145</v>
      </c>
      <c r="Q142" t="s">
        <v>225</v>
      </c>
      <c r="R142" t="b">
        <v>0</v>
      </c>
      <c r="S142" t="s">
        <v>3689</v>
      </c>
    </row>
    <row r="143" spans="1:19" ht="11.25" customHeight="1">
      <c r="A143">
        <v>2655</v>
      </c>
      <c r="B143" t="s">
        <v>102</v>
      </c>
      <c r="C143">
        <v>31159389</v>
      </c>
      <c r="D143" t="s">
        <v>3818</v>
      </c>
      <c r="E143" t="s">
        <v>3819</v>
      </c>
      <c r="F143" t="s">
        <v>3820</v>
      </c>
      <c r="G143" t="s">
        <v>3137</v>
      </c>
      <c r="H143" t="s">
        <v>3821</v>
      </c>
      <c r="I143" t="s">
        <v>3822</v>
      </c>
      <c r="J143" t="s">
        <v>3129</v>
      </c>
      <c r="K143" t="s">
        <v>3823</v>
      </c>
      <c r="L143" t="s">
        <v>3824</v>
      </c>
      <c r="M143" t="s">
        <v>3825</v>
      </c>
      <c r="N143" t="s">
        <v>3826</v>
      </c>
      <c r="O143" t="s">
        <v>3827</v>
      </c>
      <c r="P143" t="s">
        <v>145</v>
      </c>
      <c r="Q143" t="s">
        <v>225</v>
      </c>
      <c r="R143" t="b">
        <v>0</v>
      </c>
      <c r="S143" t="s">
        <v>3689</v>
      </c>
    </row>
    <row r="144" spans="1:19" ht="11.25" customHeight="1">
      <c r="A144">
        <v>2655</v>
      </c>
      <c r="B144" t="s">
        <v>102</v>
      </c>
      <c r="C144">
        <v>26322895</v>
      </c>
      <c r="D144" t="s">
        <v>3280</v>
      </c>
      <c r="E144" t="s">
        <v>3281</v>
      </c>
      <c r="F144" t="s">
        <v>3282</v>
      </c>
      <c r="G144" t="s">
        <v>2999</v>
      </c>
      <c r="H144" t="s">
        <v>3283</v>
      </c>
      <c r="I144" t="s">
        <v>3284</v>
      </c>
      <c r="J144" t="s">
        <v>3059</v>
      </c>
      <c r="K144" t="s">
        <v>3285</v>
      </c>
      <c r="L144" t="s">
        <v>3285</v>
      </c>
      <c r="M144" t="s">
        <v>3286</v>
      </c>
      <c r="N144" t="s">
        <v>3287</v>
      </c>
      <c r="O144" t="s">
        <v>3288</v>
      </c>
      <c r="P144" t="s">
        <v>3064</v>
      </c>
      <c r="Q144" t="s">
        <v>3289</v>
      </c>
      <c r="R144" t="b">
        <v>0</v>
      </c>
      <c r="S144" t="s">
        <v>3689</v>
      </c>
    </row>
    <row r="145" spans="1:19" ht="11.25" customHeight="1">
      <c r="A145">
        <v>2655</v>
      </c>
      <c r="B145" t="s">
        <v>102</v>
      </c>
      <c r="C145">
        <v>26356930</v>
      </c>
      <c r="D145" t="s">
        <v>3828</v>
      </c>
      <c r="E145" t="s">
        <v>3829</v>
      </c>
      <c r="F145" t="s">
        <v>3830</v>
      </c>
      <c r="G145" t="s">
        <v>3300</v>
      </c>
      <c r="H145" t="s">
        <v>3831</v>
      </c>
      <c r="I145" t="s">
        <v>3832</v>
      </c>
      <c r="J145" t="s">
        <v>128</v>
      </c>
      <c r="K145" t="s">
        <v>3833</v>
      </c>
      <c r="L145" t="s">
        <v>3833</v>
      </c>
      <c r="M145" t="s">
        <v>3834</v>
      </c>
      <c r="N145" t="s">
        <v>225</v>
      </c>
      <c r="O145" t="s">
        <v>3835</v>
      </c>
      <c r="P145" t="s">
        <v>145</v>
      </c>
      <c r="Q145" t="s">
        <v>225</v>
      </c>
      <c r="R145" t="b">
        <v>1</v>
      </c>
      <c r="S145" t="s">
        <v>3689</v>
      </c>
    </row>
    <row r="146" spans="1:19" ht="11.25" customHeight="1">
      <c r="A146">
        <v>2655</v>
      </c>
      <c r="B146" t="s">
        <v>102</v>
      </c>
      <c r="C146">
        <v>30843704</v>
      </c>
      <c r="D146" t="s">
        <v>3836</v>
      </c>
      <c r="E146" t="s">
        <v>3837</v>
      </c>
      <c r="F146" t="s">
        <v>3838</v>
      </c>
      <c r="G146" t="s">
        <v>2999</v>
      </c>
      <c r="H146" t="s">
        <v>3839</v>
      </c>
      <c r="I146" t="s">
        <v>3840</v>
      </c>
      <c r="J146" t="s">
        <v>128</v>
      </c>
      <c r="K146" t="s">
        <v>3841</v>
      </c>
      <c r="L146" t="s">
        <v>3842</v>
      </c>
      <c r="M146" t="s">
        <v>225</v>
      </c>
      <c r="N146" t="s">
        <v>3843</v>
      </c>
      <c r="O146" t="s">
        <v>3844</v>
      </c>
      <c r="P146" t="s">
        <v>3064</v>
      </c>
      <c r="Q146" t="s">
        <v>225</v>
      </c>
      <c r="R146" t="b">
        <v>0</v>
      </c>
      <c r="S146" t="s">
        <v>3689</v>
      </c>
    </row>
    <row r="147" spans="1:19" ht="11.25" customHeight="1">
      <c r="A147">
        <v>2655</v>
      </c>
      <c r="B147" t="s">
        <v>102</v>
      </c>
      <c r="C147">
        <v>26798812</v>
      </c>
      <c r="D147" t="s">
        <v>3845</v>
      </c>
      <c r="E147" t="s">
        <v>3846</v>
      </c>
      <c r="F147" t="s">
        <v>3847</v>
      </c>
      <c r="G147" t="s">
        <v>3012</v>
      </c>
      <c r="H147" t="s">
        <v>3848</v>
      </c>
      <c r="I147" t="s">
        <v>3849</v>
      </c>
      <c r="J147" t="s">
        <v>128</v>
      </c>
      <c r="K147" t="s">
        <v>3850</v>
      </c>
      <c r="L147" t="s">
        <v>3850</v>
      </c>
      <c r="M147" t="s">
        <v>3851</v>
      </c>
      <c r="N147" t="s">
        <v>3852</v>
      </c>
      <c r="O147" t="s">
        <v>3853</v>
      </c>
      <c r="P147" t="s">
        <v>3064</v>
      </c>
      <c r="Q147" t="s">
        <v>3854</v>
      </c>
      <c r="R147" t="b">
        <v>0</v>
      </c>
      <c r="S147" t="s">
        <v>3689</v>
      </c>
    </row>
    <row r="148" spans="1:19" ht="11.25" customHeight="1">
      <c r="A148">
        <v>2655</v>
      </c>
      <c r="B148" t="s">
        <v>102</v>
      </c>
      <c r="C148">
        <v>31775146</v>
      </c>
      <c r="D148" t="s">
        <v>3297</v>
      </c>
      <c r="E148" t="s">
        <v>3298</v>
      </c>
      <c r="F148" t="s">
        <v>3299</v>
      </c>
      <c r="G148" t="s">
        <v>3300</v>
      </c>
      <c r="H148" t="s">
        <v>3301</v>
      </c>
      <c r="I148" t="s">
        <v>3302</v>
      </c>
      <c r="K148" t="s">
        <v>3303</v>
      </c>
      <c r="L148" t="s">
        <v>3303</v>
      </c>
      <c r="M148" t="s">
        <v>3304</v>
      </c>
      <c r="N148" t="s">
        <v>3305</v>
      </c>
      <c r="O148" t="s">
        <v>3306</v>
      </c>
      <c r="P148" t="s">
        <v>3155</v>
      </c>
      <c r="Q148" t="s">
        <v>225</v>
      </c>
      <c r="R148" t="b">
        <v>1</v>
      </c>
      <c r="S148" t="s">
        <v>3689</v>
      </c>
    </row>
    <row r="149" spans="1:19" ht="11.25" customHeight="1">
      <c r="A149">
        <v>2655</v>
      </c>
      <c r="B149" t="s">
        <v>102</v>
      </c>
      <c r="C149">
        <v>28873685</v>
      </c>
      <c r="D149" t="s">
        <v>3855</v>
      </c>
      <c r="E149" t="s">
        <v>3856</v>
      </c>
      <c r="F149" t="s">
        <v>3857</v>
      </c>
      <c r="G149" t="s">
        <v>3300</v>
      </c>
      <c r="H149" t="s">
        <v>3858</v>
      </c>
      <c r="I149" t="s">
        <v>3859</v>
      </c>
      <c r="J149" t="s">
        <v>128</v>
      </c>
      <c r="K149" t="s">
        <v>3860</v>
      </c>
      <c r="L149" t="s">
        <v>3860</v>
      </c>
      <c r="M149" t="s">
        <v>3861</v>
      </c>
      <c r="N149" t="s">
        <v>3305</v>
      </c>
      <c r="O149" t="s">
        <v>3306</v>
      </c>
      <c r="P149" t="s">
        <v>3064</v>
      </c>
      <c r="Q149" t="s">
        <v>3862</v>
      </c>
      <c r="R149" t="b">
        <v>1</v>
      </c>
      <c r="S149" t="s">
        <v>3689</v>
      </c>
    </row>
    <row r="150" spans="1:19" ht="11.25" customHeight="1">
      <c r="A150">
        <v>2655</v>
      </c>
      <c r="B150" t="s">
        <v>102</v>
      </c>
      <c r="C150">
        <v>28869965</v>
      </c>
      <c r="D150" t="s">
        <v>3307</v>
      </c>
      <c r="E150" t="s">
        <v>3308</v>
      </c>
      <c r="F150" t="s">
        <v>3309</v>
      </c>
      <c r="G150" t="s">
        <v>3115</v>
      </c>
      <c r="H150" t="s">
        <v>3310</v>
      </c>
      <c r="I150" t="s">
        <v>225</v>
      </c>
      <c r="J150" t="s">
        <v>128</v>
      </c>
      <c r="K150" t="s">
        <v>3311</v>
      </c>
      <c r="L150" t="s">
        <v>3311</v>
      </c>
      <c r="M150" t="s">
        <v>3312</v>
      </c>
      <c r="N150" t="s">
        <v>3313</v>
      </c>
      <c r="O150" t="s">
        <v>3314</v>
      </c>
      <c r="P150" t="s">
        <v>3064</v>
      </c>
      <c r="Q150" t="s">
        <v>3315</v>
      </c>
      <c r="R150" t="b">
        <v>0</v>
      </c>
      <c r="S150" t="s">
        <v>3689</v>
      </c>
    </row>
    <row r="151" spans="1:19" ht="11.25" customHeight="1">
      <c r="A151">
        <v>2655</v>
      </c>
      <c r="B151" t="s">
        <v>102</v>
      </c>
      <c r="C151">
        <v>31245446</v>
      </c>
      <c r="D151" t="s">
        <v>3863</v>
      </c>
      <c r="E151" t="s">
        <v>3864</v>
      </c>
      <c r="F151" t="s">
        <v>3865</v>
      </c>
      <c r="G151" t="s">
        <v>3866</v>
      </c>
      <c r="H151" t="s">
        <v>3867</v>
      </c>
      <c r="I151" t="s">
        <v>3868</v>
      </c>
      <c r="J151" t="s">
        <v>128</v>
      </c>
      <c r="K151" t="s">
        <v>3869</v>
      </c>
      <c r="L151" t="s">
        <v>3870</v>
      </c>
      <c r="M151" t="s">
        <v>3871</v>
      </c>
      <c r="N151" t="s">
        <v>3872</v>
      </c>
      <c r="O151" t="s">
        <v>3873</v>
      </c>
      <c r="P151" t="s">
        <v>145</v>
      </c>
      <c r="Q151" t="s">
        <v>225</v>
      </c>
      <c r="R151" t="b">
        <v>0</v>
      </c>
      <c r="S151" t="s">
        <v>3689</v>
      </c>
    </row>
    <row r="152" spans="1:19" ht="11.25" customHeight="1">
      <c r="A152">
        <v>2655</v>
      </c>
      <c r="B152" t="s">
        <v>102</v>
      </c>
      <c r="C152">
        <v>26476793</v>
      </c>
      <c r="D152" t="s">
        <v>3874</v>
      </c>
      <c r="E152" t="s">
        <v>3875</v>
      </c>
      <c r="F152" t="s">
        <v>3876</v>
      </c>
      <c r="G152" t="s">
        <v>3772</v>
      </c>
      <c r="H152" t="s">
        <v>3877</v>
      </c>
      <c r="I152" t="s">
        <v>3878</v>
      </c>
      <c r="J152" t="s">
        <v>128</v>
      </c>
      <c r="K152" t="s">
        <v>3879</v>
      </c>
      <c r="L152" t="s">
        <v>3879</v>
      </c>
      <c r="M152" t="s">
        <v>3880</v>
      </c>
      <c r="N152" t="s">
        <v>3881</v>
      </c>
      <c r="O152" t="s">
        <v>3882</v>
      </c>
      <c r="P152" t="s">
        <v>145</v>
      </c>
      <c r="Q152" t="s">
        <v>151</v>
      </c>
      <c r="R152" t="b">
        <v>1</v>
      </c>
      <c r="S152" t="s">
        <v>3689</v>
      </c>
    </row>
    <row r="153" spans="1:19" ht="11.25" customHeight="1">
      <c r="A153">
        <v>2655</v>
      </c>
      <c r="B153" t="s">
        <v>102</v>
      </c>
      <c r="C153">
        <v>28509720</v>
      </c>
      <c r="D153" t="s">
        <v>3883</v>
      </c>
      <c r="E153" t="s">
        <v>3884</v>
      </c>
      <c r="F153" t="s">
        <v>3885</v>
      </c>
      <c r="G153" t="s">
        <v>3886</v>
      </c>
      <c r="H153" t="s">
        <v>3887</v>
      </c>
      <c r="I153" t="s">
        <v>3888</v>
      </c>
      <c r="J153" t="s">
        <v>128</v>
      </c>
      <c r="K153" t="s">
        <v>3889</v>
      </c>
      <c r="L153" t="s">
        <v>3890</v>
      </c>
      <c r="M153" t="s">
        <v>3891</v>
      </c>
      <c r="N153" t="s">
        <v>225</v>
      </c>
      <c r="O153" t="s">
        <v>3892</v>
      </c>
      <c r="P153" t="s">
        <v>3064</v>
      </c>
      <c r="Q153" t="s">
        <v>225</v>
      </c>
      <c r="R153" t="b">
        <v>0</v>
      </c>
      <c r="S153" t="s">
        <v>3689</v>
      </c>
    </row>
    <row r="154" spans="1:19" ht="11.25" customHeight="1">
      <c r="A154">
        <v>2655</v>
      </c>
      <c r="B154" t="s">
        <v>102</v>
      </c>
      <c r="C154">
        <v>31527562</v>
      </c>
      <c r="D154" t="s">
        <v>3893</v>
      </c>
      <c r="E154" t="s">
        <v>3894</v>
      </c>
      <c r="F154" t="s">
        <v>3895</v>
      </c>
      <c r="G154" t="s">
        <v>3896</v>
      </c>
      <c r="H154" t="s">
        <v>3897</v>
      </c>
      <c r="I154" t="s">
        <v>3898</v>
      </c>
      <c r="K154" t="s">
        <v>3899</v>
      </c>
      <c r="L154" t="s">
        <v>3900</v>
      </c>
      <c r="M154" t="s">
        <v>225</v>
      </c>
      <c r="N154" t="s">
        <v>225</v>
      </c>
      <c r="O154" t="s">
        <v>3901</v>
      </c>
      <c r="P154" t="s">
        <v>225</v>
      </c>
      <c r="Q154" t="s">
        <v>225</v>
      </c>
      <c r="R154" t="b">
        <v>0</v>
      </c>
      <c r="S154" t="s">
        <v>3689</v>
      </c>
    </row>
    <row r="155" spans="1:19" ht="11.25" customHeight="1">
      <c r="A155">
        <v>2655</v>
      </c>
      <c r="B155" t="s">
        <v>102</v>
      </c>
      <c r="C155">
        <v>31874557</v>
      </c>
      <c r="D155" t="s">
        <v>3902</v>
      </c>
      <c r="E155" t="s">
        <v>3903</v>
      </c>
      <c r="F155" t="s">
        <v>3904</v>
      </c>
      <c r="G155" t="s">
        <v>3243</v>
      </c>
      <c r="H155" t="s">
        <v>3905</v>
      </c>
      <c r="I155" t="s">
        <v>3906</v>
      </c>
      <c r="K155" t="s">
        <v>3907</v>
      </c>
      <c r="L155" t="s">
        <v>3907</v>
      </c>
      <c r="M155" t="s">
        <v>3908</v>
      </c>
      <c r="N155" t="s">
        <v>3909</v>
      </c>
      <c r="O155" t="s">
        <v>3910</v>
      </c>
      <c r="P155" t="s">
        <v>3064</v>
      </c>
      <c r="Q155" t="s">
        <v>225</v>
      </c>
      <c r="R155" t="b">
        <v>1</v>
      </c>
      <c r="S155" t="s">
        <v>3689</v>
      </c>
    </row>
    <row r="156" spans="1:19" ht="11.25" customHeight="1">
      <c r="A156">
        <v>2655</v>
      </c>
      <c r="B156" t="s">
        <v>102</v>
      </c>
      <c r="C156">
        <v>31656254</v>
      </c>
      <c r="D156" t="s">
        <v>3345</v>
      </c>
      <c r="E156" t="s">
        <v>3346</v>
      </c>
      <c r="F156" t="s">
        <v>3347</v>
      </c>
      <c r="G156" t="s">
        <v>3348</v>
      </c>
      <c r="H156" t="s">
        <v>3349</v>
      </c>
      <c r="I156" t="s">
        <v>3350</v>
      </c>
      <c r="K156" t="s">
        <v>3351</v>
      </c>
      <c r="L156" t="s">
        <v>3352</v>
      </c>
      <c r="M156" t="s">
        <v>3353</v>
      </c>
      <c r="N156" t="s">
        <v>3354</v>
      </c>
      <c r="O156" t="s">
        <v>3355</v>
      </c>
      <c r="P156" t="s">
        <v>145</v>
      </c>
      <c r="Q156" t="s">
        <v>3356</v>
      </c>
      <c r="R156" t="b">
        <v>0</v>
      </c>
      <c r="S156" t="s">
        <v>3689</v>
      </c>
    </row>
    <row r="157" spans="1:19" ht="11.25" customHeight="1">
      <c r="A157">
        <v>2655</v>
      </c>
      <c r="B157" t="s">
        <v>102</v>
      </c>
      <c r="C157">
        <v>26356927</v>
      </c>
      <c r="D157" t="s">
        <v>3911</v>
      </c>
      <c r="E157" t="s">
        <v>3912</v>
      </c>
      <c r="F157" t="s">
        <v>3913</v>
      </c>
      <c r="G157" t="s">
        <v>3300</v>
      </c>
      <c r="H157" t="s">
        <v>3914</v>
      </c>
      <c r="I157" t="s">
        <v>3915</v>
      </c>
      <c r="J157" t="s">
        <v>128</v>
      </c>
      <c r="K157" t="s">
        <v>3916</v>
      </c>
      <c r="L157" t="s">
        <v>3916</v>
      </c>
      <c r="M157" t="s">
        <v>3917</v>
      </c>
      <c r="N157" t="s">
        <v>3918</v>
      </c>
      <c r="O157" t="s">
        <v>3919</v>
      </c>
      <c r="P157" t="s">
        <v>3155</v>
      </c>
      <c r="Q157" t="s">
        <v>225</v>
      </c>
      <c r="R157" t="b">
        <v>1</v>
      </c>
      <c r="S157" t="s">
        <v>3689</v>
      </c>
    </row>
    <row r="158" spans="1:19" ht="11.25" customHeight="1">
      <c r="A158">
        <v>2655</v>
      </c>
      <c r="B158" t="s">
        <v>102</v>
      </c>
      <c r="C158">
        <v>28878273</v>
      </c>
      <c r="D158" t="s">
        <v>3920</v>
      </c>
      <c r="E158" t="s">
        <v>3921</v>
      </c>
      <c r="F158" t="s">
        <v>3922</v>
      </c>
      <c r="G158" t="s">
        <v>2999</v>
      </c>
      <c r="H158" t="s">
        <v>3923</v>
      </c>
      <c r="I158" t="s">
        <v>225</v>
      </c>
      <c r="J158" t="s">
        <v>128</v>
      </c>
      <c r="K158" t="s">
        <v>3924</v>
      </c>
      <c r="L158" t="s">
        <v>3925</v>
      </c>
      <c r="M158" t="s">
        <v>3926</v>
      </c>
      <c r="N158" t="s">
        <v>3927</v>
      </c>
      <c r="O158" t="s">
        <v>3928</v>
      </c>
      <c r="P158" t="s">
        <v>3064</v>
      </c>
      <c r="Q158" t="s">
        <v>3929</v>
      </c>
      <c r="R158" t="b">
        <v>0</v>
      </c>
      <c r="S158" t="s">
        <v>3689</v>
      </c>
    </row>
    <row r="159" spans="1:19" ht="11.25" customHeight="1">
      <c r="A159">
        <v>2655</v>
      </c>
      <c r="B159" t="s">
        <v>102</v>
      </c>
      <c r="C159">
        <v>26562805</v>
      </c>
      <c r="D159" t="s">
        <v>3930</v>
      </c>
      <c r="E159" t="s">
        <v>3931</v>
      </c>
      <c r="F159" t="s">
        <v>3932</v>
      </c>
      <c r="G159" t="s">
        <v>3214</v>
      </c>
      <c r="H159" t="s">
        <v>3933</v>
      </c>
      <c r="I159" t="s">
        <v>3934</v>
      </c>
      <c r="J159" t="s">
        <v>128</v>
      </c>
      <c r="K159" t="s">
        <v>3935</v>
      </c>
      <c r="L159" t="s">
        <v>3935</v>
      </c>
      <c r="M159" t="s">
        <v>3936</v>
      </c>
      <c r="N159" t="s">
        <v>3937</v>
      </c>
      <c r="O159" t="s">
        <v>3938</v>
      </c>
      <c r="P159" t="s">
        <v>145</v>
      </c>
      <c r="Q159" t="s">
        <v>3939</v>
      </c>
      <c r="R159" t="b">
        <v>0</v>
      </c>
      <c r="S159" t="s">
        <v>3689</v>
      </c>
    </row>
    <row r="160" spans="1:19" ht="11.25" customHeight="1">
      <c r="A160">
        <v>2655</v>
      </c>
      <c r="B160" t="s">
        <v>102</v>
      </c>
      <c r="C160">
        <v>31684090</v>
      </c>
      <c r="D160" t="s">
        <v>3940</v>
      </c>
      <c r="E160" t="s">
        <v>3941</v>
      </c>
      <c r="F160" t="s">
        <v>3942</v>
      </c>
      <c r="G160" t="s">
        <v>2999</v>
      </c>
      <c r="H160" t="s">
        <v>3943</v>
      </c>
      <c r="I160" t="s">
        <v>3944</v>
      </c>
      <c r="K160" t="s">
        <v>3945</v>
      </c>
      <c r="L160" t="s">
        <v>3946</v>
      </c>
      <c r="M160" t="s">
        <v>225</v>
      </c>
      <c r="N160" t="s">
        <v>225</v>
      </c>
      <c r="O160" t="s">
        <v>3947</v>
      </c>
      <c r="P160" t="s">
        <v>3007</v>
      </c>
      <c r="Q160" t="s">
        <v>3948</v>
      </c>
      <c r="R160" t="b">
        <v>0</v>
      </c>
      <c r="S160" t="s">
        <v>3689</v>
      </c>
    </row>
    <row r="161" spans="1:19" ht="11.25" customHeight="1">
      <c r="A161">
        <v>2655</v>
      </c>
      <c r="B161" t="s">
        <v>102</v>
      </c>
      <c r="C161">
        <v>27997588</v>
      </c>
      <c r="D161" t="s">
        <v>3949</v>
      </c>
      <c r="E161" t="s">
        <v>3950</v>
      </c>
      <c r="F161" t="s">
        <v>3951</v>
      </c>
      <c r="G161" t="s">
        <v>3115</v>
      </c>
      <c r="H161" t="s">
        <v>3952</v>
      </c>
      <c r="I161" t="s">
        <v>3953</v>
      </c>
      <c r="J161" t="s">
        <v>128</v>
      </c>
      <c r="K161" t="s">
        <v>3954</v>
      </c>
      <c r="L161" t="s">
        <v>3954</v>
      </c>
      <c r="M161" t="s">
        <v>3955</v>
      </c>
      <c r="N161" t="s">
        <v>3956</v>
      </c>
      <c r="O161" t="s">
        <v>3957</v>
      </c>
      <c r="P161" t="s">
        <v>3958</v>
      </c>
      <c r="Q161" t="s">
        <v>225</v>
      </c>
      <c r="R161" t="b">
        <v>0</v>
      </c>
      <c r="S161" t="s">
        <v>3689</v>
      </c>
    </row>
    <row r="162" spans="1:19" ht="11.25" customHeight="1">
      <c r="A162">
        <v>2655</v>
      </c>
      <c r="B162" t="s">
        <v>102</v>
      </c>
      <c r="C162">
        <v>28882034</v>
      </c>
      <c r="D162" t="s">
        <v>3959</v>
      </c>
      <c r="E162" t="s">
        <v>3960</v>
      </c>
      <c r="F162" t="s">
        <v>3961</v>
      </c>
      <c r="G162" t="s">
        <v>2999</v>
      </c>
      <c r="H162" t="s">
        <v>3962</v>
      </c>
      <c r="I162" t="s">
        <v>225</v>
      </c>
      <c r="J162" t="s">
        <v>128</v>
      </c>
      <c r="K162" t="s">
        <v>3963</v>
      </c>
      <c r="L162" t="s">
        <v>3963</v>
      </c>
      <c r="M162" t="s">
        <v>225</v>
      </c>
      <c r="N162" t="s">
        <v>225</v>
      </c>
      <c r="O162" t="s">
        <v>3964</v>
      </c>
      <c r="P162" t="s">
        <v>145</v>
      </c>
      <c r="Q162" t="s">
        <v>225</v>
      </c>
      <c r="R162" t="b">
        <v>0</v>
      </c>
      <c r="S162" t="s">
        <v>3689</v>
      </c>
    </row>
    <row r="163" spans="1:19" ht="11.25" customHeight="1">
      <c r="A163">
        <v>2655</v>
      </c>
      <c r="B163" t="s">
        <v>102</v>
      </c>
      <c r="C163">
        <v>26648537</v>
      </c>
      <c r="D163" t="s">
        <v>3965</v>
      </c>
      <c r="E163" t="s">
        <v>3966</v>
      </c>
      <c r="F163" t="s">
        <v>3967</v>
      </c>
      <c r="G163" t="s">
        <v>2999</v>
      </c>
      <c r="H163" t="s">
        <v>3968</v>
      </c>
      <c r="I163" t="s">
        <v>3969</v>
      </c>
      <c r="J163" t="s">
        <v>128</v>
      </c>
      <c r="K163" t="s">
        <v>3970</v>
      </c>
      <c r="L163" t="s">
        <v>3970</v>
      </c>
      <c r="M163" t="s">
        <v>3971</v>
      </c>
      <c r="N163" t="s">
        <v>3972</v>
      </c>
      <c r="O163" t="s">
        <v>3973</v>
      </c>
      <c r="P163" t="s">
        <v>145</v>
      </c>
      <c r="Q163" t="s">
        <v>3974</v>
      </c>
      <c r="R163" t="b">
        <v>0</v>
      </c>
      <c r="S163" t="s">
        <v>3689</v>
      </c>
    </row>
    <row r="164" spans="1:19" ht="11.25" customHeight="1">
      <c r="A164">
        <v>2655</v>
      </c>
      <c r="B164" t="s">
        <v>102</v>
      </c>
      <c r="C164">
        <v>31519209</v>
      </c>
      <c r="D164" t="s">
        <v>3975</v>
      </c>
      <c r="E164" t="s">
        <v>3976</v>
      </c>
      <c r="F164" t="s">
        <v>3977</v>
      </c>
      <c r="G164" t="s">
        <v>3300</v>
      </c>
      <c r="H164" t="s">
        <v>3978</v>
      </c>
      <c r="I164" t="s">
        <v>3979</v>
      </c>
      <c r="J164" t="s">
        <v>128</v>
      </c>
      <c r="K164" t="s">
        <v>3980</v>
      </c>
      <c r="L164" t="s">
        <v>3981</v>
      </c>
      <c r="M164" t="s">
        <v>3982</v>
      </c>
      <c r="N164" t="s">
        <v>3983</v>
      </c>
      <c r="O164" t="s">
        <v>3984</v>
      </c>
      <c r="P164" t="s">
        <v>3007</v>
      </c>
      <c r="Q164" t="s">
        <v>225</v>
      </c>
      <c r="R164" t="b">
        <v>0</v>
      </c>
      <c r="S164" t="s">
        <v>3689</v>
      </c>
    </row>
    <row r="165" spans="1:19" ht="11.25" customHeight="1">
      <c r="A165">
        <v>2655</v>
      </c>
      <c r="B165" t="s">
        <v>102</v>
      </c>
      <c r="C165">
        <v>31574053</v>
      </c>
      <c r="D165" t="s">
        <v>3985</v>
      </c>
      <c r="E165" t="s">
        <v>3986</v>
      </c>
      <c r="F165" t="s">
        <v>3987</v>
      </c>
      <c r="G165" t="s">
        <v>3243</v>
      </c>
      <c r="H165" t="s">
        <v>3988</v>
      </c>
      <c r="I165" t="s">
        <v>3989</v>
      </c>
      <c r="K165" t="s">
        <v>3990</v>
      </c>
      <c r="L165" t="s">
        <v>3990</v>
      </c>
      <c r="M165" t="s">
        <v>3991</v>
      </c>
      <c r="N165" t="s">
        <v>3992</v>
      </c>
      <c r="O165" t="s">
        <v>3993</v>
      </c>
      <c r="P165" t="s">
        <v>145</v>
      </c>
      <c r="Q165" t="s">
        <v>225</v>
      </c>
      <c r="R165" t="b">
        <v>0</v>
      </c>
      <c r="S165" t="s">
        <v>3689</v>
      </c>
    </row>
    <row r="166" spans="1:19" ht="11.25" customHeight="1">
      <c r="A166">
        <v>2655</v>
      </c>
      <c r="B166" t="s">
        <v>102</v>
      </c>
      <c r="C166">
        <v>28141951</v>
      </c>
      <c r="D166" t="s">
        <v>3994</v>
      </c>
      <c r="E166" t="s">
        <v>3995</v>
      </c>
      <c r="F166" t="s">
        <v>3996</v>
      </c>
      <c r="G166" t="s">
        <v>3023</v>
      </c>
      <c r="H166" t="s">
        <v>3997</v>
      </c>
      <c r="I166" t="s">
        <v>3998</v>
      </c>
      <c r="J166" t="s">
        <v>128</v>
      </c>
      <c r="K166" t="s">
        <v>3999</v>
      </c>
      <c r="L166" t="s">
        <v>3999</v>
      </c>
      <c r="M166" t="s">
        <v>4000</v>
      </c>
      <c r="N166" t="s">
        <v>4001</v>
      </c>
      <c r="O166" t="s">
        <v>4002</v>
      </c>
      <c r="P166" t="s">
        <v>3064</v>
      </c>
      <c r="Q166" t="s">
        <v>4003</v>
      </c>
      <c r="R166" t="b">
        <v>0</v>
      </c>
      <c r="S166" t="s">
        <v>3689</v>
      </c>
    </row>
    <row r="167" spans="1:19" ht="11.25" customHeight="1">
      <c r="A167">
        <v>2655</v>
      </c>
      <c r="B167" t="s">
        <v>102</v>
      </c>
      <c r="C167">
        <v>26852793</v>
      </c>
      <c r="D167" t="s">
        <v>4004</v>
      </c>
      <c r="E167" t="s">
        <v>4005</v>
      </c>
      <c r="F167" t="s">
        <v>4006</v>
      </c>
      <c r="G167" t="s">
        <v>3243</v>
      </c>
      <c r="H167" t="s">
        <v>4007</v>
      </c>
      <c r="I167" t="s">
        <v>4008</v>
      </c>
      <c r="J167" t="s">
        <v>128</v>
      </c>
      <c r="K167" t="s">
        <v>3695</v>
      </c>
      <c r="L167" t="s">
        <v>3695</v>
      </c>
      <c r="M167" t="s">
        <v>4009</v>
      </c>
      <c r="N167" t="s">
        <v>4010</v>
      </c>
      <c r="O167" t="s">
        <v>4011</v>
      </c>
      <c r="P167" t="s">
        <v>3064</v>
      </c>
      <c r="Q167" t="s">
        <v>151</v>
      </c>
      <c r="R167" t="b">
        <v>0</v>
      </c>
      <c r="S167" t="s">
        <v>3689</v>
      </c>
    </row>
    <row r="168" spans="1:19" ht="11.25" customHeight="1">
      <c r="A168">
        <v>2655</v>
      </c>
      <c r="B168" t="s">
        <v>102</v>
      </c>
      <c r="C168">
        <v>28141966</v>
      </c>
      <c r="D168" t="s">
        <v>4012</v>
      </c>
      <c r="E168" t="s">
        <v>4013</v>
      </c>
      <c r="F168" t="s">
        <v>4014</v>
      </c>
      <c r="G168" t="s">
        <v>3115</v>
      </c>
      <c r="H168" t="s">
        <v>4015</v>
      </c>
      <c r="I168" t="s">
        <v>4016</v>
      </c>
      <c r="J168" t="s">
        <v>128</v>
      </c>
      <c r="K168" t="s">
        <v>4017</v>
      </c>
      <c r="L168" t="s">
        <v>4018</v>
      </c>
      <c r="M168" t="s">
        <v>4019</v>
      </c>
      <c r="N168" t="s">
        <v>4020</v>
      </c>
      <c r="O168" t="s">
        <v>4021</v>
      </c>
      <c r="P168" t="s">
        <v>3064</v>
      </c>
      <c r="Q168" t="s">
        <v>4022</v>
      </c>
      <c r="R168" t="b">
        <v>0</v>
      </c>
      <c r="S168" t="s">
        <v>3689</v>
      </c>
    </row>
    <row r="169" spans="1:19" ht="11.25" customHeight="1">
      <c r="A169">
        <v>2655</v>
      </c>
      <c r="B169" t="s">
        <v>102</v>
      </c>
      <c r="C169">
        <v>31424033</v>
      </c>
      <c r="D169" t="s">
        <v>3357</v>
      </c>
      <c r="E169" t="s">
        <v>3358</v>
      </c>
      <c r="F169" t="s">
        <v>3359</v>
      </c>
      <c r="G169" t="s">
        <v>3360</v>
      </c>
      <c r="H169" t="s">
        <v>3361</v>
      </c>
      <c r="I169" t="s">
        <v>225</v>
      </c>
      <c r="J169" t="s">
        <v>128</v>
      </c>
      <c r="K169" t="s">
        <v>3362</v>
      </c>
      <c r="L169" t="s">
        <v>3363</v>
      </c>
      <c r="M169" t="s">
        <v>3004</v>
      </c>
      <c r="N169" t="s">
        <v>3364</v>
      </c>
      <c r="O169" t="s">
        <v>3365</v>
      </c>
      <c r="P169" t="s">
        <v>145</v>
      </c>
      <c r="Q169" t="s">
        <v>3366</v>
      </c>
      <c r="R169" t="b">
        <v>0</v>
      </c>
      <c r="S169" t="s">
        <v>3689</v>
      </c>
    </row>
    <row r="170" spans="1:19" ht="11.25" customHeight="1">
      <c r="A170">
        <v>2655</v>
      </c>
      <c r="B170" t="s">
        <v>102</v>
      </c>
      <c r="C170">
        <v>27838991</v>
      </c>
      <c r="D170" t="s">
        <v>3662</v>
      </c>
      <c r="E170" t="s">
        <v>3663</v>
      </c>
      <c r="F170" t="s">
        <v>3664</v>
      </c>
      <c r="G170" t="s">
        <v>3023</v>
      </c>
      <c r="H170" t="s">
        <v>3665</v>
      </c>
      <c r="I170" t="s">
        <v>3666</v>
      </c>
      <c r="J170" t="s">
        <v>128</v>
      </c>
      <c r="K170" t="s">
        <v>3667</v>
      </c>
      <c r="L170" t="s">
        <v>3668</v>
      </c>
      <c r="M170" t="s">
        <v>3669</v>
      </c>
      <c r="N170" t="s">
        <v>3670</v>
      </c>
      <c r="O170" t="s">
        <v>3671</v>
      </c>
      <c r="P170" t="s">
        <v>3064</v>
      </c>
      <c r="Q170" t="s">
        <v>225</v>
      </c>
      <c r="R170" t="b">
        <v>0</v>
      </c>
      <c r="S170" t="s">
        <v>3689</v>
      </c>
    </row>
    <row r="171" spans="1:19" ht="11.25" customHeight="1">
      <c r="A171">
        <v>2655</v>
      </c>
      <c r="B171" t="s">
        <v>102</v>
      </c>
      <c r="C171">
        <v>26356931</v>
      </c>
      <c r="D171" t="s">
        <v>4023</v>
      </c>
      <c r="E171" t="s">
        <v>4024</v>
      </c>
      <c r="F171" t="s">
        <v>4025</v>
      </c>
      <c r="G171" t="s">
        <v>3300</v>
      </c>
      <c r="H171" t="s">
        <v>4026</v>
      </c>
      <c r="I171" t="s">
        <v>4027</v>
      </c>
      <c r="J171" t="s">
        <v>128</v>
      </c>
      <c r="K171" t="s">
        <v>4028</v>
      </c>
      <c r="L171" t="s">
        <v>4028</v>
      </c>
      <c r="M171" t="s">
        <v>4029</v>
      </c>
      <c r="N171" t="s">
        <v>4030</v>
      </c>
      <c r="O171" t="s">
        <v>4031</v>
      </c>
      <c r="P171" t="s">
        <v>145</v>
      </c>
      <c r="Q171" t="s">
        <v>151</v>
      </c>
      <c r="R171" t="b">
        <v>1</v>
      </c>
      <c r="S171" t="s">
        <v>3689</v>
      </c>
    </row>
    <row r="172" spans="1:19" ht="11.25" customHeight="1">
      <c r="A172">
        <v>2655</v>
      </c>
      <c r="B172" t="s">
        <v>102</v>
      </c>
      <c r="C172">
        <v>28151808</v>
      </c>
      <c r="D172" t="s">
        <v>3376</v>
      </c>
      <c r="E172" t="s">
        <v>3377</v>
      </c>
      <c r="F172" t="s">
        <v>3378</v>
      </c>
      <c r="G172" t="s">
        <v>3068</v>
      </c>
      <c r="H172" t="s">
        <v>3379</v>
      </c>
      <c r="I172" t="s">
        <v>3380</v>
      </c>
      <c r="J172" t="s">
        <v>128</v>
      </c>
      <c r="K172" t="s">
        <v>3381</v>
      </c>
      <c r="L172" t="s">
        <v>3382</v>
      </c>
      <c r="M172" t="s">
        <v>3383</v>
      </c>
      <c r="N172" t="s">
        <v>3384</v>
      </c>
      <c r="O172" t="s">
        <v>3385</v>
      </c>
      <c r="P172" t="s">
        <v>3064</v>
      </c>
      <c r="Q172" t="s">
        <v>225</v>
      </c>
      <c r="R172" t="b">
        <v>1</v>
      </c>
      <c r="S172" t="s">
        <v>3689</v>
      </c>
    </row>
    <row r="173" spans="1:19" ht="11.25" customHeight="1">
      <c r="A173">
        <v>2655</v>
      </c>
      <c r="B173" t="s">
        <v>102</v>
      </c>
      <c r="C173">
        <v>31739633</v>
      </c>
      <c r="D173" t="s">
        <v>3386</v>
      </c>
      <c r="E173" t="s">
        <v>3387</v>
      </c>
      <c r="F173" t="s">
        <v>3388</v>
      </c>
      <c r="G173" t="s">
        <v>3389</v>
      </c>
      <c r="H173" t="s">
        <v>3390</v>
      </c>
      <c r="I173" t="s">
        <v>3391</v>
      </c>
      <c r="K173" t="s">
        <v>3392</v>
      </c>
      <c r="L173" t="s">
        <v>3392</v>
      </c>
      <c r="M173" t="s">
        <v>3393</v>
      </c>
      <c r="N173" t="s">
        <v>3394</v>
      </c>
      <c r="O173" t="s">
        <v>3395</v>
      </c>
      <c r="P173" t="s">
        <v>3155</v>
      </c>
      <c r="Q173" t="s">
        <v>225</v>
      </c>
      <c r="R173" t="b">
        <v>0</v>
      </c>
      <c r="S173" t="s">
        <v>3689</v>
      </c>
    </row>
    <row r="174" spans="1:19" ht="11.25" customHeight="1">
      <c r="A174">
        <v>2655</v>
      </c>
      <c r="B174" t="s">
        <v>102</v>
      </c>
      <c r="C174">
        <v>30433806</v>
      </c>
      <c r="D174" t="s">
        <v>4032</v>
      </c>
      <c r="E174" t="s">
        <v>4033</v>
      </c>
      <c r="F174" t="s">
        <v>4034</v>
      </c>
      <c r="G174" t="s">
        <v>3214</v>
      </c>
      <c r="H174" t="s">
        <v>4035</v>
      </c>
      <c r="I174" t="s">
        <v>4036</v>
      </c>
      <c r="J174" t="s">
        <v>128</v>
      </c>
      <c r="K174" t="s">
        <v>4037</v>
      </c>
      <c r="L174" t="s">
        <v>4037</v>
      </c>
      <c r="M174" t="s">
        <v>4038</v>
      </c>
      <c r="N174" t="s">
        <v>4039</v>
      </c>
      <c r="O174" t="s">
        <v>4040</v>
      </c>
      <c r="P174" t="s">
        <v>145</v>
      </c>
      <c r="Q174" t="s">
        <v>151</v>
      </c>
      <c r="R174" t="b">
        <v>0</v>
      </c>
      <c r="S174" t="s">
        <v>3689</v>
      </c>
    </row>
    <row r="175" spans="1:19" ht="11.25" customHeight="1">
      <c r="A175">
        <v>2655</v>
      </c>
      <c r="B175" t="s">
        <v>102</v>
      </c>
      <c r="C175">
        <v>31743966</v>
      </c>
      <c r="D175" t="s">
        <v>4041</v>
      </c>
      <c r="E175" t="s">
        <v>4042</v>
      </c>
      <c r="F175" t="s">
        <v>4043</v>
      </c>
      <c r="G175" t="s">
        <v>2999</v>
      </c>
      <c r="H175" t="s">
        <v>4044</v>
      </c>
      <c r="I175" t="s">
        <v>4045</v>
      </c>
      <c r="K175" t="s">
        <v>4046</v>
      </c>
      <c r="L175" t="s">
        <v>4046</v>
      </c>
      <c r="M175" t="s">
        <v>4047</v>
      </c>
      <c r="N175" t="s">
        <v>4048</v>
      </c>
      <c r="O175" t="s">
        <v>4049</v>
      </c>
      <c r="P175" t="s">
        <v>3064</v>
      </c>
      <c r="Q175" t="s">
        <v>4050</v>
      </c>
      <c r="R175" t="b">
        <v>1</v>
      </c>
      <c r="S175" t="s">
        <v>3689</v>
      </c>
    </row>
    <row r="176" spans="1:19" ht="11.25" customHeight="1">
      <c r="A176">
        <v>2655</v>
      </c>
      <c r="B176" t="s">
        <v>102</v>
      </c>
      <c r="C176">
        <v>30874454</v>
      </c>
      <c r="D176" t="s">
        <v>4051</v>
      </c>
      <c r="E176" t="s">
        <v>4052</v>
      </c>
      <c r="F176" t="s">
        <v>4053</v>
      </c>
      <c r="G176" t="s">
        <v>3360</v>
      </c>
      <c r="H176" t="s">
        <v>4054</v>
      </c>
      <c r="I176" t="s">
        <v>4055</v>
      </c>
      <c r="J176" t="s">
        <v>128</v>
      </c>
      <c r="K176" t="s">
        <v>4056</v>
      </c>
      <c r="L176" t="s">
        <v>4057</v>
      </c>
      <c r="M176" t="s">
        <v>4058</v>
      </c>
      <c r="N176" t="s">
        <v>4020</v>
      </c>
      <c r="O176" t="s">
        <v>4059</v>
      </c>
      <c r="P176" t="s">
        <v>3155</v>
      </c>
      <c r="Q176" t="s">
        <v>4060</v>
      </c>
      <c r="R176" t="b">
        <v>0</v>
      </c>
      <c r="S176" t="s">
        <v>3689</v>
      </c>
    </row>
    <row r="177" spans="1:19" ht="11.25" customHeight="1">
      <c r="A177">
        <v>2655</v>
      </c>
      <c r="B177" t="s">
        <v>102</v>
      </c>
      <c r="C177">
        <v>26356987</v>
      </c>
      <c r="D177" t="s">
        <v>3406</v>
      </c>
      <c r="E177" t="s">
        <v>3407</v>
      </c>
      <c r="F177" t="s">
        <v>3408</v>
      </c>
      <c r="G177" t="s">
        <v>3409</v>
      </c>
      <c r="H177" t="s">
        <v>3410</v>
      </c>
      <c r="I177" t="s">
        <v>3411</v>
      </c>
      <c r="J177" t="s">
        <v>128</v>
      </c>
      <c r="K177" t="s">
        <v>3412</v>
      </c>
      <c r="L177" t="s">
        <v>3412</v>
      </c>
      <c r="M177" t="s">
        <v>3413</v>
      </c>
      <c r="N177" t="s">
        <v>3414</v>
      </c>
      <c r="O177" t="s">
        <v>3415</v>
      </c>
      <c r="P177" t="s">
        <v>3155</v>
      </c>
      <c r="Q177" t="s">
        <v>3416</v>
      </c>
      <c r="R177" t="b">
        <v>0</v>
      </c>
      <c r="S177" t="s">
        <v>3689</v>
      </c>
    </row>
    <row r="178" spans="1:19" ht="11.25" customHeight="1">
      <c r="A178">
        <v>2655</v>
      </c>
      <c r="B178" t="s">
        <v>102</v>
      </c>
      <c r="C178">
        <v>30856223</v>
      </c>
      <c r="D178" t="s">
        <v>4061</v>
      </c>
      <c r="E178" t="s">
        <v>4062</v>
      </c>
      <c r="F178" t="s">
        <v>4063</v>
      </c>
      <c r="G178" t="s">
        <v>3023</v>
      </c>
      <c r="H178" t="s">
        <v>4064</v>
      </c>
      <c r="I178" t="s">
        <v>4065</v>
      </c>
      <c r="J178" t="s">
        <v>128</v>
      </c>
      <c r="K178" t="s">
        <v>4066</v>
      </c>
      <c r="L178" t="s">
        <v>4066</v>
      </c>
      <c r="M178" t="s">
        <v>4067</v>
      </c>
      <c r="N178" t="s">
        <v>4068</v>
      </c>
      <c r="O178" t="s">
        <v>4069</v>
      </c>
      <c r="P178" t="s">
        <v>3064</v>
      </c>
      <c r="Q178" t="s">
        <v>4070</v>
      </c>
      <c r="R178" t="b">
        <v>0</v>
      </c>
      <c r="S178" t="s">
        <v>3689</v>
      </c>
    </row>
    <row r="179" spans="1:19" ht="11.25" customHeight="1">
      <c r="A179">
        <v>2655</v>
      </c>
      <c r="B179" t="s">
        <v>102</v>
      </c>
      <c r="C179">
        <v>31373026</v>
      </c>
      <c r="D179" t="s">
        <v>4061</v>
      </c>
      <c r="E179" t="s">
        <v>4062</v>
      </c>
      <c r="F179" t="s">
        <v>4071</v>
      </c>
      <c r="G179" t="s">
        <v>3389</v>
      </c>
      <c r="H179" t="s">
        <v>4072</v>
      </c>
      <c r="I179" t="s">
        <v>4073</v>
      </c>
      <c r="J179" t="s">
        <v>128</v>
      </c>
      <c r="K179" t="s">
        <v>4074</v>
      </c>
      <c r="L179" t="s">
        <v>4075</v>
      </c>
      <c r="M179" t="s">
        <v>4076</v>
      </c>
      <c r="N179" t="s">
        <v>4077</v>
      </c>
      <c r="O179" t="s">
        <v>4078</v>
      </c>
      <c r="P179" t="s">
        <v>4079</v>
      </c>
      <c r="Q179" t="s">
        <v>4080</v>
      </c>
      <c r="R179" t="b">
        <v>1</v>
      </c>
      <c r="S179" t="s">
        <v>3689</v>
      </c>
    </row>
    <row r="180" spans="1:19" ht="11.25" customHeight="1">
      <c r="A180">
        <v>2655</v>
      </c>
      <c r="B180" t="s">
        <v>102</v>
      </c>
      <c r="C180">
        <v>31579609</v>
      </c>
      <c r="D180" t="s">
        <v>4081</v>
      </c>
      <c r="E180" t="s">
        <v>4082</v>
      </c>
      <c r="F180" t="s">
        <v>4083</v>
      </c>
      <c r="G180" t="s">
        <v>3068</v>
      </c>
      <c r="H180" t="s">
        <v>4084</v>
      </c>
      <c r="I180" t="s">
        <v>4085</v>
      </c>
      <c r="K180" t="s">
        <v>4086</v>
      </c>
      <c r="L180" t="s">
        <v>4086</v>
      </c>
      <c r="M180" t="s">
        <v>4087</v>
      </c>
      <c r="N180" t="s">
        <v>4088</v>
      </c>
      <c r="O180" t="s">
        <v>4089</v>
      </c>
      <c r="P180" t="s">
        <v>3064</v>
      </c>
      <c r="Q180" t="s">
        <v>225</v>
      </c>
      <c r="R180" t="b">
        <v>1</v>
      </c>
      <c r="S180" t="s">
        <v>3689</v>
      </c>
    </row>
    <row r="181" spans="1:19" ht="11.25" customHeight="1">
      <c r="A181">
        <v>2655</v>
      </c>
      <c r="B181" t="s">
        <v>102</v>
      </c>
      <c r="C181">
        <v>26356891</v>
      </c>
      <c r="D181" t="s">
        <v>3417</v>
      </c>
      <c r="E181" t="s">
        <v>3418</v>
      </c>
      <c r="F181" t="s">
        <v>3419</v>
      </c>
      <c r="G181" t="s">
        <v>123</v>
      </c>
      <c r="H181" t="s">
        <v>3420</v>
      </c>
      <c r="I181" t="s">
        <v>3421</v>
      </c>
      <c r="J181" t="s">
        <v>128</v>
      </c>
      <c r="K181" t="s">
        <v>3422</v>
      </c>
      <c r="L181" t="s">
        <v>3422</v>
      </c>
      <c r="M181" t="s">
        <v>3423</v>
      </c>
      <c r="N181" t="s">
        <v>3424</v>
      </c>
      <c r="O181" t="s">
        <v>3425</v>
      </c>
      <c r="P181" t="s">
        <v>145</v>
      </c>
      <c r="Q181" t="s">
        <v>225</v>
      </c>
      <c r="R181" t="b">
        <v>0</v>
      </c>
      <c r="S181" t="s">
        <v>3689</v>
      </c>
    </row>
    <row r="182" spans="1:19" ht="11.25" customHeight="1">
      <c r="A182">
        <v>2655</v>
      </c>
      <c r="B182" t="s">
        <v>102</v>
      </c>
      <c r="C182">
        <v>27566835</v>
      </c>
      <c r="D182" t="s">
        <v>4090</v>
      </c>
      <c r="E182" t="s">
        <v>4091</v>
      </c>
      <c r="F182" t="s">
        <v>4092</v>
      </c>
      <c r="G182" t="s">
        <v>123</v>
      </c>
      <c r="H182" t="s">
        <v>4093</v>
      </c>
      <c r="I182" t="s">
        <v>4094</v>
      </c>
      <c r="J182" t="s">
        <v>128</v>
      </c>
      <c r="K182" t="s">
        <v>4095</v>
      </c>
      <c r="L182" t="s">
        <v>4095</v>
      </c>
      <c r="M182" t="s">
        <v>4096</v>
      </c>
      <c r="N182" t="s">
        <v>3238</v>
      </c>
      <c r="O182" t="s">
        <v>4097</v>
      </c>
      <c r="P182" t="s">
        <v>145</v>
      </c>
      <c r="Q182" t="s">
        <v>151</v>
      </c>
      <c r="R182" t="b">
        <v>0</v>
      </c>
      <c r="S182" t="s">
        <v>3689</v>
      </c>
    </row>
    <row r="183" spans="1:19" ht="11.25" customHeight="1">
      <c r="A183">
        <v>2655</v>
      </c>
      <c r="B183" t="s">
        <v>102</v>
      </c>
      <c r="C183">
        <v>31229342</v>
      </c>
      <c r="D183" t="s">
        <v>4098</v>
      </c>
      <c r="E183" t="s">
        <v>4099</v>
      </c>
      <c r="F183" t="s">
        <v>4100</v>
      </c>
      <c r="G183" t="s">
        <v>3243</v>
      </c>
      <c r="H183" t="s">
        <v>4101</v>
      </c>
      <c r="I183" t="s">
        <v>4102</v>
      </c>
      <c r="J183" t="s">
        <v>128</v>
      </c>
      <c r="K183" t="s">
        <v>4103</v>
      </c>
      <c r="L183" t="s">
        <v>4103</v>
      </c>
      <c r="M183" t="s">
        <v>4104</v>
      </c>
      <c r="N183" t="s">
        <v>4105</v>
      </c>
      <c r="O183" t="s">
        <v>4106</v>
      </c>
      <c r="P183" t="s">
        <v>3064</v>
      </c>
      <c r="Q183" t="s">
        <v>225</v>
      </c>
      <c r="R183" t="b">
        <v>0</v>
      </c>
      <c r="S183" t="s">
        <v>3689</v>
      </c>
    </row>
    <row r="184" spans="1:19" ht="11.25" customHeight="1">
      <c r="A184">
        <v>2655</v>
      </c>
      <c r="B184" t="s">
        <v>102</v>
      </c>
      <c r="C184">
        <v>31690080</v>
      </c>
      <c r="D184" t="s">
        <v>4107</v>
      </c>
      <c r="E184" t="s">
        <v>4108</v>
      </c>
      <c r="F184" t="s">
        <v>4109</v>
      </c>
      <c r="G184" t="s">
        <v>3243</v>
      </c>
      <c r="H184" t="s">
        <v>4110</v>
      </c>
      <c r="I184" t="s">
        <v>4111</v>
      </c>
      <c r="K184" t="s">
        <v>4112</v>
      </c>
      <c r="L184" t="s">
        <v>4112</v>
      </c>
      <c r="M184" t="s">
        <v>4113</v>
      </c>
      <c r="N184" t="s">
        <v>4114</v>
      </c>
      <c r="O184" t="s">
        <v>4115</v>
      </c>
      <c r="P184" t="s">
        <v>145</v>
      </c>
      <c r="Q184" t="s">
        <v>225</v>
      </c>
      <c r="R184" t="b">
        <v>1</v>
      </c>
      <c r="S184" t="s">
        <v>3689</v>
      </c>
    </row>
    <row r="185" spans="1:19" ht="11.25" customHeight="1">
      <c r="A185">
        <v>2655</v>
      </c>
      <c r="B185" t="s">
        <v>102</v>
      </c>
      <c r="C185">
        <v>31539720</v>
      </c>
      <c r="D185" t="s">
        <v>4107</v>
      </c>
      <c r="E185" t="s">
        <v>4116</v>
      </c>
      <c r="F185" t="s">
        <v>4117</v>
      </c>
      <c r="G185" t="s">
        <v>3243</v>
      </c>
      <c r="H185" t="s">
        <v>4118</v>
      </c>
      <c r="I185" t="s">
        <v>4119</v>
      </c>
      <c r="K185" t="s">
        <v>4120</v>
      </c>
      <c r="L185" t="s">
        <v>4120</v>
      </c>
      <c r="M185" t="s">
        <v>4121</v>
      </c>
      <c r="N185" t="s">
        <v>4122</v>
      </c>
      <c r="O185" t="s">
        <v>4123</v>
      </c>
      <c r="P185" t="s">
        <v>3064</v>
      </c>
      <c r="Q185" t="s">
        <v>4124</v>
      </c>
      <c r="R185" t="b">
        <v>0</v>
      </c>
      <c r="S185" t="s">
        <v>3689</v>
      </c>
    </row>
    <row r="186" spans="1:19" ht="11.25" customHeight="1">
      <c r="A186">
        <v>2655</v>
      </c>
      <c r="B186" t="s">
        <v>102</v>
      </c>
      <c r="C186">
        <v>30872315</v>
      </c>
      <c r="D186" t="s">
        <v>4125</v>
      </c>
      <c r="E186" t="s">
        <v>4126</v>
      </c>
      <c r="F186" t="s">
        <v>4127</v>
      </c>
      <c r="G186" t="s">
        <v>2999</v>
      </c>
      <c r="H186" t="s">
        <v>4128</v>
      </c>
      <c r="I186" t="s">
        <v>4129</v>
      </c>
      <c r="J186" t="s">
        <v>128</v>
      </c>
      <c r="K186" t="s">
        <v>4130</v>
      </c>
      <c r="L186" t="s">
        <v>4130</v>
      </c>
      <c r="M186" t="s">
        <v>4131</v>
      </c>
      <c r="N186" t="s">
        <v>4132</v>
      </c>
      <c r="O186" t="s">
        <v>4133</v>
      </c>
      <c r="P186" t="s">
        <v>145</v>
      </c>
      <c r="Q186" t="s">
        <v>225</v>
      </c>
      <c r="R186" t="b">
        <v>0</v>
      </c>
      <c r="S186" t="s">
        <v>3689</v>
      </c>
    </row>
    <row r="187" spans="1:19" ht="11.25" customHeight="1">
      <c r="A187">
        <v>2655</v>
      </c>
      <c r="B187" t="s">
        <v>102</v>
      </c>
      <c r="C187">
        <v>30856253</v>
      </c>
      <c r="D187" t="s">
        <v>4134</v>
      </c>
      <c r="E187" t="s">
        <v>4135</v>
      </c>
      <c r="F187" t="s">
        <v>4136</v>
      </c>
      <c r="G187" t="s">
        <v>3068</v>
      </c>
      <c r="H187" t="s">
        <v>4137</v>
      </c>
      <c r="I187" t="s">
        <v>4138</v>
      </c>
      <c r="J187" t="s">
        <v>128</v>
      </c>
      <c r="K187" t="s">
        <v>4139</v>
      </c>
      <c r="L187" t="s">
        <v>4139</v>
      </c>
      <c r="M187" t="s">
        <v>4140</v>
      </c>
      <c r="N187" t="s">
        <v>4141</v>
      </c>
      <c r="O187" t="s">
        <v>4142</v>
      </c>
      <c r="P187" t="s">
        <v>145</v>
      </c>
      <c r="Q187" t="s">
        <v>225</v>
      </c>
      <c r="R187" t="b">
        <v>0</v>
      </c>
      <c r="S187" t="s">
        <v>3689</v>
      </c>
    </row>
    <row r="188" spans="1:19" ht="11.25" customHeight="1">
      <c r="A188">
        <v>2655</v>
      </c>
      <c r="B188" t="s">
        <v>102</v>
      </c>
      <c r="C188">
        <v>33000042</v>
      </c>
      <c r="D188" t="s">
        <v>4143</v>
      </c>
      <c r="E188" t="s">
        <v>4144</v>
      </c>
      <c r="F188" t="s">
        <v>4145</v>
      </c>
      <c r="G188" t="s">
        <v>3328</v>
      </c>
      <c r="H188" t="s">
        <v>4146</v>
      </c>
      <c r="I188" t="s">
        <v>4147</v>
      </c>
      <c r="K188" t="s">
        <v>4148</v>
      </c>
      <c r="L188" t="s">
        <v>4149</v>
      </c>
      <c r="M188" t="s">
        <v>4150</v>
      </c>
      <c r="N188" t="s">
        <v>4151</v>
      </c>
      <c r="O188" t="s">
        <v>3335</v>
      </c>
      <c r="P188" t="s">
        <v>3144</v>
      </c>
      <c r="Q188" t="s">
        <v>225</v>
      </c>
      <c r="R188" t="b">
        <v>0</v>
      </c>
      <c r="S188" t="s">
        <v>3689</v>
      </c>
    </row>
    <row r="189" spans="1:19" ht="11.25" customHeight="1">
      <c r="A189">
        <v>2655</v>
      </c>
      <c r="B189" t="s">
        <v>102</v>
      </c>
      <c r="C189">
        <v>26517842</v>
      </c>
      <c r="D189" t="s">
        <v>4152</v>
      </c>
      <c r="E189" t="s">
        <v>4153</v>
      </c>
      <c r="F189" t="s">
        <v>4154</v>
      </c>
      <c r="G189" t="s">
        <v>123</v>
      </c>
      <c r="H189" t="s">
        <v>4155</v>
      </c>
      <c r="I189" t="s">
        <v>4156</v>
      </c>
      <c r="J189" t="s">
        <v>128</v>
      </c>
      <c r="K189" t="s">
        <v>4157</v>
      </c>
      <c r="L189" t="s">
        <v>3003</v>
      </c>
      <c r="M189" t="s">
        <v>4158</v>
      </c>
      <c r="N189" t="s">
        <v>4159</v>
      </c>
      <c r="O189" t="s">
        <v>4160</v>
      </c>
      <c r="P189" t="s">
        <v>3064</v>
      </c>
      <c r="Q189" t="s">
        <v>225</v>
      </c>
      <c r="R189" t="b">
        <v>0</v>
      </c>
      <c r="S189" t="s">
        <v>3689</v>
      </c>
    </row>
    <row r="190" spans="1:19" ht="11.25" customHeight="1">
      <c r="A190">
        <v>2655</v>
      </c>
      <c r="B190" t="s">
        <v>102</v>
      </c>
      <c r="C190">
        <v>26356937</v>
      </c>
      <c r="D190" t="s">
        <v>3434</v>
      </c>
      <c r="E190" t="s">
        <v>3435</v>
      </c>
      <c r="F190" t="s">
        <v>3436</v>
      </c>
      <c r="G190" t="s">
        <v>3300</v>
      </c>
      <c r="H190" t="s">
        <v>3437</v>
      </c>
      <c r="I190" t="s">
        <v>3438</v>
      </c>
      <c r="J190" t="s">
        <v>128</v>
      </c>
      <c r="K190" t="s">
        <v>3439</v>
      </c>
      <c r="L190" t="s">
        <v>3439</v>
      </c>
      <c r="M190" t="s">
        <v>3440</v>
      </c>
      <c r="N190" t="s">
        <v>3441</v>
      </c>
      <c r="O190" t="s">
        <v>3442</v>
      </c>
      <c r="P190" t="s">
        <v>3155</v>
      </c>
      <c r="Q190" t="s">
        <v>3443</v>
      </c>
      <c r="R190" t="b">
        <v>0</v>
      </c>
      <c r="S190" t="s">
        <v>3689</v>
      </c>
    </row>
    <row r="191" spans="1:19" ht="11.25" customHeight="1">
      <c r="A191">
        <v>2655</v>
      </c>
      <c r="B191" t="s">
        <v>102</v>
      </c>
      <c r="C191">
        <v>33000834</v>
      </c>
      <c r="D191" t="s">
        <v>3444</v>
      </c>
      <c r="E191" t="s">
        <v>3445</v>
      </c>
      <c r="F191" t="s">
        <v>3446</v>
      </c>
      <c r="G191" t="s">
        <v>3137</v>
      </c>
      <c r="H191" t="s">
        <v>3447</v>
      </c>
      <c r="I191" t="s">
        <v>3448</v>
      </c>
      <c r="K191" t="s">
        <v>3449</v>
      </c>
      <c r="L191" t="s">
        <v>3449</v>
      </c>
      <c r="M191" t="s">
        <v>3450</v>
      </c>
      <c r="N191" t="s">
        <v>3191</v>
      </c>
      <c r="O191" t="s">
        <v>3451</v>
      </c>
      <c r="P191" t="s">
        <v>145</v>
      </c>
      <c r="Q191" t="s">
        <v>3452</v>
      </c>
      <c r="R191" t="b">
        <v>0</v>
      </c>
      <c r="S191" t="s">
        <v>3689</v>
      </c>
    </row>
    <row r="192" spans="1:19" ht="11.25" customHeight="1">
      <c r="A192">
        <v>2655</v>
      </c>
      <c r="B192" t="s">
        <v>102</v>
      </c>
      <c r="C192">
        <v>31473621</v>
      </c>
      <c r="D192" t="s">
        <v>4161</v>
      </c>
      <c r="E192" t="s">
        <v>4162</v>
      </c>
      <c r="F192" t="s">
        <v>4163</v>
      </c>
      <c r="G192" t="s">
        <v>3137</v>
      </c>
      <c r="H192" t="s">
        <v>4164</v>
      </c>
      <c r="I192" t="s">
        <v>4165</v>
      </c>
      <c r="J192" t="s">
        <v>128</v>
      </c>
      <c r="K192" t="s">
        <v>4166</v>
      </c>
      <c r="L192" t="s">
        <v>4166</v>
      </c>
      <c r="M192" t="s">
        <v>4167</v>
      </c>
      <c r="N192" t="s">
        <v>4168</v>
      </c>
      <c r="O192" t="s">
        <v>4169</v>
      </c>
      <c r="P192" t="s">
        <v>3064</v>
      </c>
      <c r="Q192" t="s">
        <v>4170</v>
      </c>
      <c r="R192" t="b">
        <v>0</v>
      </c>
      <c r="S192" t="s">
        <v>3689</v>
      </c>
    </row>
    <row r="193" spans="1:19" ht="11.25" customHeight="1">
      <c r="A193">
        <v>2655</v>
      </c>
      <c r="B193" t="s">
        <v>102</v>
      </c>
      <c r="C193">
        <v>31004851</v>
      </c>
      <c r="D193" t="s">
        <v>4171</v>
      </c>
      <c r="E193" t="s">
        <v>4172</v>
      </c>
      <c r="F193" t="s">
        <v>4173</v>
      </c>
      <c r="G193" t="s">
        <v>3023</v>
      </c>
      <c r="H193" t="s">
        <v>4174</v>
      </c>
      <c r="I193" t="s">
        <v>4175</v>
      </c>
      <c r="J193" t="s">
        <v>128</v>
      </c>
      <c r="K193" t="s">
        <v>4176</v>
      </c>
      <c r="L193" t="s">
        <v>4177</v>
      </c>
      <c r="M193" t="s">
        <v>4178</v>
      </c>
      <c r="N193" t="s">
        <v>4179</v>
      </c>
      <c r="O193" t="s">
        <v>4180</v>
      </c>
      <c r="P193" t="s">
        <v>3064</v>
      </c>
      <c r="Q193" t="s">
        <v>4181</v>
      </c>
      <c r="R193" t="b">
        <v>0</v>
      </c>
      <c r="S193" t="s">
        <v>3689</v>
      </c>
    </row>
    <row r="194" spans="1:19" ht="11.25" customHeight="1">
      <c r="A194">
        <v>2655</v>
      </c>
      <c r="B194" t="s">
        <v>102</v>
      </c>
      <c r="C194">
        <v>26356976</v>
      </c>
      <c r="D194" t="s">
        <v>4182</v>
      </c>
      <c r="E194" t="s">
        <v>4183</v>
      </c>
      <c r="F194" t="s">
        <v>4184</v>
      </c>
      <c r="G194" t="s">
        <v>3399</v>
      </c>
      <c r="H194" t="s">
        <v>4185</v>
      </c>
      <c r="I194" t="s">
        <v>4186</v>
      </c>
      <c r="J194" t="s">
        <v>128</v>
      </c>
      <c r="K194" t="s">
        <v>4187</v>
      </c>
      <c r="L194" t="s">
        <v>4187</v>
      </c>
      <c r="M194" t="s">
        <v>4188</v>
      </c>
      <c r="N194" t="s">
        <v>4189</v>
      </c>
      <c r="O194" t="s">
        <v>4190</v>
      </c>
      <c r="P194" t="s">
        <v>3041</v>
      </c>
      <c r="Q194" t="s">
        <v>4191</v>
      </c>
      <c r="R194" t="b">
        <v>0</v>
      </c>
      <c r="S194" t="s">
        <v>3689</v>
      </c>
    </row>
    <row r="195" spans="1:19" ht="11.25" customHeight="1">
      <c r="A195">
        <v>2655</v>
      </c>
      <c r="B195" t="s">
        <v>102</v>
      </c>
      <c r="C195">
        <v>28274482</v>
      </c>
      <c r="D195" t="s">
        <v>4192</v>
      </c>
      <c r="E195" t="s">
        <v>4193</v>
      </c>
      <c r="F195" t="s">
        <v>4194</v>
      </c>
      <c r="G195" t="s">
        <v>3068</v>
      </c>
      <c r="H195" t="s">
        <v>4195</v>
      </c>
      <c r="I195" t="s">
        <v>4196</v>
      </c>
      <c r="J195" t="s">
        <v>128</v>
      </c>
      <c r="K195" t="s">
        <v>4197</v>
      </c>
      <c r="L195" t="s">
        <v>4198</v>
      </c>
      <c r="M195" t="s">
        <v>3383</v>
      </c>
      <c r="N195" t="s">
        <v>3384</v>
      </c>
      <c r="O195" t="s">
        <v>3385</v>
      </c>
      <c r="P195" t="s">
        <v>145</v>
      </c>
      <c r="Q195" t="s">
        <v>225</v>
      </c>
      <c r="R195" t="b">
        <v>0</v>
      </c>
      <c r="S195" t="s">
        <v>3689</v>
      </c>
    </row>
    <row r="196" spans="1:19" ht="11.25" customHeight="1">
      <c r="A196">
        <v>2655</v>
      </c>
      <c r="B196" t="s">
        <v>102</v>
      </c>
      <c r="C196">
        <v>31224454</v>
      </c>
      <c r="D196" t="s">
        <v>4199</v>
      </c>
      <c r="E196" t="s">
        <v>4200</v>
      </c>
      <c r="F196" t="s">
        <v>4201</v>
      </c>
      <c r="G196" t="s">
        <v>3023</v>
      </c>
      <c r="H196" t="s">
        <v>4202</v>
      </c>
      <c r="I196" t="s">
        <v>4203</v>
      </c>
      <c r="J196" t="s">
        <v>128</v>
      </c>
      <c r="K196" t="s">
        <v>4204</v>
      </c>
      <c r="L196" t="s">
        <v>4204</v>
      </c>
      <c r="M196" t="s">
        <v>4205</v>
      </c>
      <c r="N196" t="s">
        <v>4206</v>
      </c>
      <c r="O196" t="s">
        <v>4207</v>
      </c>
      <c r="P196" t="s">
        <v>3064</v>
      </c>
      <c r="Q196" t="s">
        <v>225</v>
      </c>
      <c r="R196" t="b">
        <v>0</v>
      </c>
      <c r="S196" t="s">
        <v>3689</v>
      </c>
    </row>
    <row r="197" spans="1:19" ht="11.25" customHeight="1">
      <c r="A197">
        <v>2655</v>
      </c>
      <c r="B197" t="s">
        <v>102</v>
      </c>
      <c r="C197">
        <v>27997410</v>
      </c>
      <c r="D197" t="s">
        <v>4208</v>
      </c>
      <c r="E197" t="s">
        <v>4209</v>
      </c>
      <c r="F197" t="s">
        <v>4210</v>
      </c>
      <c r="G197" t="s">
        <v>3196</v>
      </c>
      <c r="H197" t="s">
        <v>4211</v>
      </c>
      <c r="I197" t="s">
        <v>4212</v>
      </c>
      <c r="J197" t="s">
        <v>128</v>
      </c>
      <c r="K197" t="s">
        <v>4213</v>
      </c>
      <c r="L197" t="s">
        <v>4213</v>
      </c>
      <c r="M197" t="s">
        <v>4214</v>
      </c>
      <c r="N197" t="s">
        <v>4215</v>
      </c>
      <c r="O197" t="s">
        <v>4216</v>
      </c>
      <c r="P197" t="s">
        <v>145</v>
      </c>
      <c r="Q197" t="s">
        <v>4217</v>
      </c>
      <c r="R197" t="b">
        <v>1</v>
      </c>
      <c r="S197" t="s">
        <v>3689</v>
      </c>
    </row>
    <row r="198" spans="1:19" ht="11.25" customHeight="1">
      <c r="A198">
        <v>2655</v>
      </c>
      <c r="B198" t="s">
        <v>102</v>
      </c>
      <c r="C198">
        <v>26852692</v>
      </c>
      <c r="D198" t="s">
        <v>4218</v>
      </c>
      <c r="E198" t="s">
        <v>4219</v>
      </c>
      <c r="F198" t="s">
        <v>4220</v>
      </c>
      <c r="G198" t="s">
        <v>3399</v>
      </c>
      <c r="H198" t="s">
        <v>4221</v>
      </c>
      <c r="I198" t="s">
        <v>4222</v>
      </c>
      <c r="K198" t="s">
        <v>4223</v>
      </c>
      <c r="L198" t="s">
        <v>4223</v>
      </c>
      <c r="M198" t="s">
        <v>4214</v>
      </c>
      <c r="N198" t="s">
        <v>4215</v>
      </c>
      <c r="O198" t="s">
        <v>4224</v>
      </c>
      <c r="P198" t="s">
        <v>145</v>
      </c>
      <c r="Q198" t="s">
        <v>225</v>
      </c>
      <c r="R198" t="b">
        <v>1</v>
      </c>
      <c r="S198" t="s">
        <v>3689</v>
      </c>
    </row>
    <row r="199" spans="1:19" ht="11.25" customHeight="1">
      <c r="A199">
        <v>2655</v>
      </c>
      <c r="B199" t="s">
        <v>102</v>
      </c>
      <c r="C199">
        <v>31534676</v>
      </c>
      <c r="D199" t="s">
        <v>4225</v>
      </c>
      <c r="E199" t="s">
        <v>4226</v>
      </c>
      <c r="F199" t="s">
        <v>4227</v>
      </c>
      <c r="G199" t="s">
        <v>3137</v>
      </c>
      <c r="H199" t="s">
        <v>4228</v>
      </c>
      <c r="I199" t="s">
        <v>4229</v>
      </c>
      <c r="K199" t="s">
        <v>4230</v>
      </c>
      <c r="L199" t="s">
        <v>4231</v>
      </c>
      <c r="M199" t="s">
        <v>4232</v>
      </c>
      <c r="N199" t="s">
        <v>4233</v>
      </c>
      <c r="O199" t="s">
        <v>4234</v>
      </c>
      <c r="P199" t="s">
        <v>145</v>
      </c>
      <c r="Q199" t="s">
        <v>225</v>
      </c>
      <c r="R199" t="b">
        <v>0</v>
      </c>
      <c r="S199" t="s">
        <v>3689</v>
      </c>
    </row>
    <row r="200" spans="1:19" ht="11.25" customHeight="1">
      <c r="A200">
        <v>2655</v>
      </c>
      <c r="B200" t="s">
        <v>102</v>
      </c>
      <c r="C200">
        <v>26356899</v>
      </c>
      <c r="D200" t="s">
        <v>4235</v>
      </c>
      <c r="E200" t="s">
        <v>4236</v>
      </c>
      <c r="F200" t="s">
        <v>4237</v>
      </c>
      <c r="G200" t="s">
        <v>4238</v>
      </c>
      <c r="H200" t="s">
        <v>4239</v>
      </c>
      <c r="I200" t="s">
        <v>225</v>
      </c>
      <c r="J200" t="s">
        <v>128</v>
      </c>
      <c r="K200" t="s">
        <v>131</v>
      </c>
      <c r="L200" t="s">
        <v>131</v>
      </c>
      <c r="M200" t="s">
        <v>4240</v>
      </c>
      <c r="N200" t="s">
        <v>225</v>
      </c>
      <c r="O200" t="s">
        <v>142</v>
      </c>
      <c r="P200" t="s">
        <v>145</v>
      </c>
      <c r="Q200" t="s">
        <v>225</v>
      </c>
      <c r="R200" t="b">
        <v>0</v>
      </c>
      <c r="S200" t="s">
        <v>3689</v>
      </c>
    </row>
    <row r="201" spans="1:19" ht="11.25" customHeight="1">
      <c r="A201">
        <v>2655</v>
      </c>
      <c r="B201" t="s">
        <v>102</v>
      </c>
      <c r="C201">
        <v>31224507</v>
      </c>
      <c r="D201" t="s">
        <v>4241</v>
      </c>
      <c r="E201" t="s">
        <v>4242</v>
      </c>
      <c r="F201" t="s">
        <v>4243</v>
      </c>
      <c r="G201" t="s">
        <v>4244</v>
      </c>
      <c r="H201" t="s">
        <v>4245</v>
      </c>
      <c r="I201" t="s">
        <v>4246</v>
      </c>
      <c r="J201" t="s">
        <v>128</v>
      </c>
      <c r="K201" t="s">
        <v>4247</v>
      </c>
      <c r="L201" t="s">
        <v>4247</v>
      </c>
      <c r="M201" t="s">
        <v>4248</v>
      </c>
      <c r="N201" t="s">
        <v>4249</v>
      </c>
      <c r="O201" t="s">
        <v>4207</v>
      </c>
      <c r="P201" t="s">
        <v>3064</v>
      </c>
      <c r="Q201" t="s">
        <v>225</v>
      </c>
      <c r="R201" t="b">
        <v>0</v>
      </c>
      <c r="S201" t="s">
        <v>3689</v>
      </c>
    </row>
    <row r="202" spans="1:19" ht="11.25" customHeight="1">
      <c r="A202">
        <v>2655</v>
      </c>
      <c r="B202" t="s">
        <v>102</v>
      </c>
      <c r="C202">
        <v>27968109</v>
      </c>
      <c r="D202" t="s">
        <v>4250</v>
      </c>
      <c r="E202" t="s">
        <v>4251</v>
      </c>
      <c r="F202" t="s">
        <v>4252</v>
      </c>
      <c r="G202" t="s">
        <v>2999</v>
      </c>
      <c r="H202" t="s">
        <v>4253</v>
      </c>
      <c r="I202" t="s">
        <v>4254</v>
      </c>
      <c r="J202" t="s">
        <v>128</v>
      </c>
      <c r="K202" t="s">
        <v>4255</v>
      </c>
      <c r="L202" t="s">
        <v>4255</v>
      </c>
      <c r="M202" t="s">
        <v>4256</v>
      </c>
      <c r="N202" t="s">
        <v>4257</v>
      </c>
      <c r="O202" t="s">
        <v>4258</v>
      </c>
      <c r="P202" t="s">
        <v>3064</v>
      </c>
      <c r="Q202" t="s">
        <v>4259</v>
      </c>
      <c r="R202" t="b">
        <v>0</v>
      </c>
      <c r="S202" t="s">
        <v>3689</v>
      </c>
    </row>
    <row r="203" spans="1:19" ht="11.25" customHeight="1">
      <c r="A203">
        <v>2655</v>
      </c>
      <c r="B203" t="s">
        <v>102</v>
      </c>
      <c r="C203">
        <v>26356932</v>
      </c>
      <c r="D203" t="s">
        <v>4260</v>
      </c>
      <c r="E203" t="s">
        <v>4261</v>
      </c>
      <c r="F203" t="s">
        <v>4262</v>
      </c>
      <c r="G203" t="s">
        <v>3300</v>
      </c>
      <c r="H203" t="s">
        <v>4263</v>
      </c>
      <c r="I203" t="s">
        <v>4264</v>
      </c>
      <c r="J203" t="s">
        <v>128</v>
      </c>
      <c r="K203" t="s">
        <v>4265</v>
      </c>
      <c r="L203" t="s">
        <v>4265</v>
      </c>
      <c r="M203" t="s">
        <v>4266</v>
      </c>
      <c r="N203" t="s">
        <v>4267</v>
      </c>
      <c r="O203" t="s">
        <v>4268</v>
      </c>
      <c r="P203" t="s">
        <v>145</v>
      </c>
      <c r="Q203" t="s">
        <v>225</v>
      </c>
      <c r="R203" t="b">
        <v>1</v>
      </c>
      <c r="S203" t="s">
        <v>3689</v>
      </c>
    </row>
    <row r="204" spans="1:19" ht="11.25" customHeight="1">
      <c r="A204">
        <v>2655</v>
      </c>
      <c r="B204" t="s">
        <v>102</v>
      </c>
      <c r="C204">
        <v>28270293</v>
      </c>
      <c r="D204" t="s">
        <v>3472</v>
      </c>
      <c r="E204" t="s">
        <v>3473</v>
      </c>
      <c r="F204" t="s">
        <v>3474</v>
      </c>
      <c r="G204" t="s">
        <v>123</v>
      </c>
      <c r="H204" t="s">
        <v>3475</v>
      </c>
      <c r="I204" t="s">
        <v>3476</v>
      </c>
      <c r="J204" t="s">
        <v>128</v>
      </c>
      <c r="K204" t="s">
        <v>3477</v>
      </c>
      <c r="L204" t="s">
        <v>3477</v>
      </c>
      <c r="M204" t="s">
        <v>3478</v>
      </c>
      <c r="N204" t="s">
        <v>3479</v>
      </c>
      <c r="O204" t="s">
        <v>3480</v>
      </c>
      <c r="P204" t="s">
        <v>3064</v>
      </c>
      <c r="Q204" t="s">
        <v>225</v>
      </c>
      <c r="R204" t="b">
        <v>0</v>
      </c>
      <c r="S204" t="s">
        <v>3689</v>
      </c>
    </row>
    <row r="205" spans="1:19" ht="11.25" customHeight="1">
      <c r="A205">
        <v>2655</v>
      </c>
      <c r="B205" t="s">
        <v>102</v>
      </c>
      <c r="C205">
        <v>28873362</v>
      </c>
      <c r="D205" t="s">
        <v>3481</v>
      </c>
      <c r="E205" t="s">
        <v>3482</v>
      </c>
      <c r="F205" t="s">
        <v>3483</v>
      </c>
      <c r="G205" t="s">
        <v>2999</v>
      </c>
      <c r="H205" t="s">
        <v>3484</v>
      </c>
      <c r="I205" t="s">
        <v>3485</v>
      </c>
      <c r="J205" t="s">
        <v>128</v>
      </c>
      <c r="K205" t="s">
        <v>3486</v>
      </c>
      <c r="L205" t="s">
        <v>3486</v>
      </c>
      <c r="M205" t="s">
        <v>3487</v>
      </c>
      <c r="N205" t="s">
        <v>3488</v>
      </c>
      <c r="O205" t="s">
        <v>3489</v>
      </c>
      <c r="P205" t="s">
        <v>145</v>
      </c>
      <c r="Q205" t="s">
        <v>3490</v>
      </c>
      <c r="R205" t="b">
        <v>0</v>
      </c>
      <c r="S205" t="s">
        <v>3689</v>
      </c>
    </row>
    <row r="206" spans="1:19" ht="11.25" customHeight="1">
      <c r="A206">
        <v>2655</v>
      </c>
      <c r="B206" t="s">
        <v>102</v>
      </c>
      <c r="C206">
        <v>31774768</v>
      </c>
      <c r="D206" t="s">
        <v>4269</v>
      </c>
      <c r="E206" t="s">
        <v>4270</v>
      </c>
      <c r="F206" t="s">
        <v>4271</v>
      </c>
      <c r="G206" t="s">
        <v>3243</v>
      </c>
      <c r="H206" t="s">
        <v>4272</v>
      </c>
      <c r="I206" t="s">
        <v>4273</v>
      </c>
      <c r="K206" t="s">
        <v>4274</v>
      </c>
      <c r="L206" t="s">
        <v>4274</v>
      </c>
      <c r="M206" t="s">
        <v>225</v>
      </c>
      <c r="N206" t="s">
        <v>4275</v>
      </c>
      <c r="O206" t="s">
        <v>4276</v>
      </c>
      <c r="P206" t="s">
        <v>3007</v>
      </c>
      <c r="Q206" t="s">
        <v>225</v>
      </c>
      <c r="R206" t="b">
        <v>1</v>
      </c>
      <c r="S206" t="s">
        <v>3689</v>
      </c>
    </row>
    <row r="207" spans="1:19" ht="11.25" customHeight="1">
      <c r="A207">
        <v>2655</v>
      </c>
      <c r="B207" t="s">
        <v>102</v>
      </c>
      <c r="C207">
        <v>30992391</v>
      </c>
      <c r="D207" t="s">
        <v>3491</v>
      </c>
      <c r="E207" t="s">
        <v>3492</v>
      </c>
      <c r="F207" t="s">
        <v>3493</v>
      </c>
      <c r="G207" t="s">
        <v>3115</v>
      </c>
      <c r="H207" t="s">
        <v>3494</v>
      </c>
      <c r="I207" t="s">
        <v>3495</v>
      </c>
      <c r="J207" t="s">
        <v>128</v>
      </c>
      <c r="K207" t="s">
        <v>3496</v>
      </c>
      <c r="L207" t="s">
        <v>3497</v>
      </c>
      <c r="M207" t="s">
        <v>3498</v>
      </c>
      <c r="N207" t="s">
        <v>3499</v>
      </c>
      <c r="O207" t="s">
        <v>3500</v>
      </c>
      <c r="P207" t="s">
        <v>145</v>
      </c>
      <c r="Q207" t="s">
        <v>3501</v>
      </c>
      <c r="R207" t="b">
        <v>0</v>
      </c>
      <c r="S207" t="s">
        <v>3689</v>
      </c>
    </row>
    <row r="208" spans="1:19" ht="11.25" customHeight="1">
      <c r="A208">
        <v>2655</v>
      </c>
      <c r="B208" t="s">
        <v>102</v>
      </c>
      <c r="C208">
        <v>31491836</v>
      </c>
      <c r="D208" t="s">
        <v>4277</v>
      </c>
      <c r="E208" t="s">
        <v>4278</v>
      </c>
      <c r="F208" t="s">
        <v>4279</v>
      </c>
      <c r="G208" t="s">
        <v>2999</v>
      </c>
      <c r="H208" t="s">
        <v>4280</v>
      </c>
      <c r="I208" t="s">
        <v>4281</v>
      </c>
      <c r="J208" t="s">
        <v>128</v>
      </c>
      <c r="K208" t="s">
        <v>4282</v>
      </c>
      <c r="L208" t="s">
        <v>4283</v>
      </c>
      <c r="M208" t="s">
        <v>4284</v>
      </c>
      <c r="N208" t="s">
        <v>4285</v>
      </c>
      <c r="O208" t="s">
        <v>4286</v>
      </c>
      <c r="P208" t="s">
        <v>3155</v>
      </c>
      <c r="Q208" t="s">
        <v>225</v>
      </c>
      <c r="R208" t="b">
        <v>1</v>
      </c>
      <c r="S208" t="s">
        <v>3689</v>
      </c>
    </row>
    <row r="209" spans="1:19" ht="11.25" customHeight="1">
      <c r="A209">
        <v>2655</v>
      </c>
      <c r="B209" t="s">
        <v>102</v>
      </c>
      <c r="C209">
        <v>26356974</v>
      </c>
      <c r="D209" t="s">
        <v>4287</v>
      </c>
      <c r="E209" t="s">
        <v>4288</v>
      </c>
      <c r="F209" t="s">
        <v>4289</v>
      </c>
      <c r="G209" t="s">
        <v>4290</v>
      </c>
      <c r="H209" t="s">
        <v>4291</v>
      </c>
      <c r="I209" t="s">
        <v>4292</v>
      </c>
      <c r="J209" t="s">
        <v>128</v>
      </c>
      <c r="K209" t="s">
        <v>4293</v>
      </c>
      <c r="L209" t="s">
        <v>4293</v>
      </c>
      <c r="M209" t="s">
        <v>4294</v>
      </c>
      <c r="N209" t="s">
        <v>4295</v>
      </c>
      <c r="O209" t="s">
        <v>4296</v>
      </c>
      <c r="P209" t="s">
        <v>145</v>
      </c>
      <c r="Q209" t="s">
        <v>4297</v>
      </c>
      <c r="R209" t="b">
        <v>0</v>
      </c>
      <c r="S209" t="s">
        <v>3689</v>
      </c>
    </row>
    <row r="210" spans="1:19" ht="11.25" customHeight="1">
      <c r="A210">
        <v>2655</v>
      </c>
      <c r="B210" t="s">
        <v>102</v>
      </c>
      <c r="C210">
        <v>31365968</v>
      </c>
      <c r="D210" t="s">
        <v>4298</v>
      </c>
      <c r="E210" t="s">
        <v>4299</v>
      </c>
      <c r="F210" t="s">
        <v>4300</v>
      </c>
      <c r="G210" t="s">
        <v>3196</v>
      </c>
      <c r="H210" t="s">
        <v>4301</v>
      </c>
      <c r="I210" t="s">
        <v>4302</v>
      </c>
      <c r="J210" t="s">
        <v>128</v>
      </c>
      <c r="K210" t="s">
        <v>4303</v>
      </c>
      <c r="L210" t="s">
        <v>4303</v>
      </c>
      <c r="M210" t="s">
        <v>4304</v>
      </c>
      <c r="N210" t="s">
        <v>4305</v>
      </c>
      <c r="O210" t="s">
        <v>4306</v>
      </c>
      <c r="P210" t="s">
        <v>3064</v>
      </c>
      <c r="Q210" t="s">
        <v>225</v>
      </c>
      <c r="R210" t="b">
        <v>0</v>
      </c>
      <c r="S210" t="s">
        <v>3689</v>
      </c>
    </row>
    <row r="211" spans="1:19" ht="11.25" customHeight="1">
      <c r="A211">
        <v>2655</v>
      </c>
      <c r="B211" t="s">
        <v>102</v>
      </c>
      <c r="C211">
        <v>31038861</v>
      </c>
      <c r="D211" t="s">
        <v>4307</v>
      </c>
      <c r="E211" t="s">
        <v>4308</v>
      </c>
      <c r="F211" t="s">
        <v>4309</v>
      </c>
      <c r="G211" t="s">
        <v>3023</v>
      </c>
      <c r="H211" t="s">
        <v>4310</v>
      </c>
      <c r="I211" t="s">
        <v>4311</v>
      </c>
      <c r="J211" t="s">
        <v>128</v>
      </c>
      <c r="K211" t="s">
        <v>4312</v>
      </c>
      <c r="L211" t="s">
        <v>4313</v>
      </c>
      <c r="M211" t="s">
        <v>4314</v>
      </c>
      <c r="N211" t="s">
        <v>4315</v>
      </c>
      <c r="O211" t="s">
        <v>4316</v>
      </c>
      <c r="P211" t="s">
        <v>145</v>
      </c>
      <c r="Q211" t="s">
        <v>225</v>
      </c>
      <c r="R211" t="b">
        <v>0</v>
      </c>
      <c r="S211" t="s">
        <v>3689</v>
      </c>
    </row>
    <row r="212" spans="1:19" ht="11.25" customHeight="1">
      <c r="A212">
        <v>2655</v>
      </c>
      <c r="B212" t="s">
        <v>102</v>
      </c>
      <c r="C212">
        <v>26853991</v>
      </c>
      <c r="D212" t="s">
        <v>3502</v>
      </c>
      <c r="E212" t="s">
        <v>3503</v>
      </c>
      <c r="F212" t="s">
        <v>3504</v>
      </c>
      <c r="G212" t="s">
        <v>3505</v>
      </c>
      <c r="H212" t="s">
        <v>3506</v>
      </c>
      <c r="I212" t="s">
        <v>3507</v>
      </c>
      <c r="J212" t="s">
        <v>2987</v>
      </c>
      <c r="K212" t="s">
        <v>3508</v>
      </c>
      <c r="L212" t="s">
        <v>3509</v>
      </c>
      <c r="M212" t="s">
        <v>3510</v>
      </c>
      <c r="N212" t="s">
        <v>3511</v>
      </c>
      <c r="O212" t="s">
        <v>3512</v>
      </c>
      <c r="P212" t="s">
        <v>3041</v>
      </c>
      <c r="Q212" t="s">
        <v>225</v>
      </c>
      <c r="R212" t="b">
        <v>0</v>
      </c>
      <c r="S212" t="s">
        <v>3689</v>
      </c>
    </row>
    <row r="213" spans="1:19" ht="11.25" customHeight="1">
      <c r="A213">
        <v>2655</v>
      </c>
      <c r="B213" t="s">
        <v>102</v>
      </c>
      <c r="C213">
        <v>31908312</v>
      </c>
      <c r="D213" t="s">
        <v>3502</v>
      </c>
      <c r="E213" t="s">
        <v>3513</v>
      </c>
      <c r="F213" t="s">
        <v>3504</v>
      </c>
      <c r="G213" t="s">
        <v>3505</v>
      </c>
      <c r="H213" t="s">
        <v>3506</v>
      </c>
      <c r="I213" t="s">
        <v>3507</v>
      </c>
      <c r="K213" t="s">
        <v>3514</v>
      </c>
      <c r="L213" t="s">
        <v>3514</v>
      </c>
      <c r="M213" t="s">
        <v>3515</v>
      </c>
      <c r="N213" t="s">
        <v>3516</v>
      </c>
      <c r="O213" t="s">
        <v>3517</v>
      </c>
      <c r="P213" t="s">
        <v>225</v>
      </c>
      <c r="Q213" t="s">
        <v>3518</v>
      </c>
      <c r="R213" t="b">
        <v>0</v>
      </c>
      <c r="S213" t="s">
        <v>3689</v>
      </c>
    </row>
    <row r="214" spans="1:19" ht="11.25" customHeight="1">
      <c r="A214">
        <v>2655</v>
      </c>
      <c r="B214" t="s">
        <v>102</v>
      </c>
      <c r="C214">
        <v>26519663</v>
      </c>
      <c r="D214" t="s">
        <v>4317</v>
      </c>
      <c r="E214" t="s">
        <v>4318</v>
      </c>
      <c r="F214" t="s">
        <v>4319</v>
      </c>
      <c r="G214" t="s">
        <v>3187</v>
      </c>
      <c r="H214" t="s">
        <v>4320</v>
      </c>
      <c r="I214" t="s">
        <v>4321</v>
      </c>
      <c r="J214" t="s">
        <v>3059</v>
      </c>
      <c r="K214" t="s">
        <v>4322</v>
      </c>
      <c r="L214" t="s">
        <v>4322</v>
      </c>
      <c r="M214" t="s">
        <v>4323</v>
      </c>
      <c r="N214" t="s">
        <v>4324</v>
      </c>
      <c r="O214" t="s">
        <v>4325</v>
      </c>
      <c r="P214" t="s">
        <v>3041</v>
      </c>
      <c r="Q214" t="s">
        <v>4326</v>
      </c>
      <c r="R214" t="b">
        <v>0</v>
      </c>
      <c r="S214" t="s">
        <v>3689</v>
      </c>
    </row>
    <row r="215" spans="1:19" ht="11.25" customHeight="1">
      <c r="A215">
        <v>2655</v>
      </c>
      <c r="B215" t="s">
        <v>102</v>
      </c>
      <c r="C215">
        <v>30808511</v>
      </c>
      <c r="D215" t="s">
        <v>3519</v>
      </c>
      <c r="E215" t="s">
        <v>3519</v>
      </c>
      <c r="F215" t="s">
        <v>3520</v>
      </c>
      <c r="G215" t="s">
        <v>3521</v>
      </c>
      <c r="H215" t="s">
        <v>3522</v>
      </c>
      <c r="I215" t="s">
        <v>3523</v>
      </c>
      <c r="J215" t="s">
        <v>3524</v>
      </c>
      <c r="K215" t="s">
        <v>3525</v>
      </c>
      <c r="L215" t="s">
        <v>3526</v>
      </c>
      <c r="M215" t="s">
        <v>3527</v>
      </c>
      <c r="N215" t="s">
        <v>3528</v>
      </c>
      <c r="O215" t="s">
        <v>3529</v>
      </c>
      <c r="P215" t="s">
        <v>145</v>
      </c>
      <c r="Q215" t="s">
        <v>3528</v>
      </c>
      <c r="R215" t="b">
        <v>0</v>
      </c>
      <c r="S215" t="s">
        <v>3689</v>
      </c>
    </row>
    <row r="216" spans="1:19" ht="11.25" customHeight="1">
      <c r="A216">
        <v>2655</v>
      </c>
      <c r="B216" t="s">
        <v>102</v>
      </c>
      <c r="C216">
        <v>28977129</v>
      </c>
      <c r="D216" t="s">
        <v>4327</v>
      </c>
      <c r="E216" t="s">
        <v>4328</v>
      </c>
      <c r="F216" t="s">
        <v>3520</v>
      </c>
      <c r="G216" t="s">
        <v>4329</v>
      </c>
      <c r="H216" t="s">
        <v>3522</v>
      </c>
      <c r="I216" t="s">
        <v>3533</v>
      </c>
      <c r="J216" t="s">
        <v>3524</v>
      </c>
      <c r="K216" t="s">
        <v>4330</v>
      </c>
      <c r="L216" t="s">
        <v>4331</v>
      </c>
      <c r="M216" t="s">
        <v>4332</v>
      </c>
      <c r="N216" t="s">
        <v>225</v>
      </c>
      <c r="O216" t="s">
        <v>4333</v>
      </c>
      <c r="P216" t="s">
        <v>145</v>
      </c>
      <c r="Q216" t="s">
        <v>225</v>
      </c>
      <c r="R216" t="b">
        <v>0</v>
      </c>
      <c r="S216" t="s">
        <v>3689</v>
      </c>
    </row>
    <row r="217" spans="1:19" ht="11.25" customHeight="1">
      <c r="A217">
        <v>2655</v>
      </c>
      <c r="B217" t="s">
        <v>102</v>
      </c>
      <c r="C217">
        <v>30829962</v>
      </c>
      <c r="D217" t="s">
        <v>4334</v>
      </c>
      <c r="E217" t="s">
        <v>4335</v>
      </c>
      <c r="F217" t="s">
        <v>3520</v>
      </c>
      <c r="G217" t="s">
        <v>2999</v>
      </c>
      <c r="H217" t="s">
        <v>3522</v>
      </c>
      <c r="I217" t="s">
        <v>4336</v>
      </c>
      <c r="J217" t="s">
        <v>3524</v>
      </c>
      <c r="K217" t="s">
        <v>4337</v>
      </c>
      <c r="L217" t="s">
        <v>4337</v>
      </c>
      <c r="M217" t="s">
        <v>4338</v>
      </c>
      <c r="N217" t="s">
        <v>4339</v>
      </c>
      <c r="O217" t="s">
        <v>4340</v>
      </c>
      <c r="P217" t="s">
        <v>3155</v>
      </c>
      <c r="Q217" t="s">
        <v>225</v>
      </c>
      <c r="R217" t="b">
        <v>0</v>
      </c>
      <c r="S217" t="s">
        <v>3689</v>
      </c>
    </row>
    <row r="218" spans="1:19" ht="11.25" customHeight="1">
      <c r="A218">
        <v>2655</v>
      </c>
      <c r="B218" t="s">
        <v>102</v>
      </c>
      <c r="C218">
        <v>26520873</v>
      </c>
      <c r="D218" t="s">
        <v>3530</v>
      </c>
      <c r="E218" t="s">
        <v>3531</v>
      </c>
      <c r="F218" t="s">
        <v>3520</v>
      </c>
      <c r="G218" t="s">
        <v>3532</v>
      </c>
      <c r="H218" t="s">
        <v>3522</v>
      </c>
      <c r="I218" t="s">
        <v>3533</v>
      </c>
      <c r="J218" t="s">
        <v>3524</v>
      </c>
      <c r="K218" t="s">
        <v>3534</v>
      </c>
      <c r="L218" t="s">
        <v>3535</v>
      </c>
      <c r="M218" t="s">
        <v>3536</v>
      </c>
      <c r="N218" t="s">
        <v>3537</v>
      </c>
      <c r="O218" t="s">
        <v>3538</v>
      </c>
      <c r="P218" t="s">
        <v>145</v>
      </c>
      <c r="Q218" t="s">
        <v>3539</v>
      </c>
      <c r="R218" t="b">
        <v>0</v>
      </c>
      <c r="S218" t="s">
        <v>3689</v>
      </c>
    </row>
    <row r="219" spans="1:19" ht="11.25" customHeight="1">
      <c r="A219">
        <v>2655</v>
      </c>
      <c r="B219" t="s">
        <v>102</v>
      </c>
      <c r="C219">
        <v>30914574</v>
      </c>
      <c r="D219" t="s">
        <v>4341</v>
      </c>
      <c r="E219" t="s">
        <v>4342</v>
      </c>
      <c r="F219" t="s">
        <v>4343</v>
      </c>
      <c r="G219" t="s">
        <v>4344</v>
      </c>
      <c r="H219" t="s">
        <v>4345</v>
      </c>
      <c r="I219" t="s">
        <v>4346</v>
      </c>
      <c r="J219" t="s">
        <v>4347</v>
      </c>
      <c r="K219" t="s">
        <v>4348</v>
      </c>
      <c r="L219" t="s">
        <v>4349</v>
      </c>
      <c r="M219" t="s">
        <v>4350</v>
      </c>
      <c r="N219" t="s">
        <v>4351</v>
      </c>
      <c r="O219" t="s">
        <v>4352</v>
      </c>
      <c r="P219" t="s">
        <v>4353</v>
      </c>
      <c r="Q219" t="s">
        <v>225</v>
      </c>
      <c r="R219" t="b">
        <v>0</v>
      </c>
      <c r="S219" t="s">
        <v>3689</v>
      </c>
    </row>
    <row r="220" spans="1:19" ht="11.25" customHeight="1">
      <c r="A220">
        <v>2655</v>
      </c>
      <c r="B220" t="s">
        <v>102</v>
      </c>
      <c r="C220">
        <v>28976938</v>
      </c>
      <c r="D220" t="s">
        <v>2981</v>
      </c>
      <c r="E220" t="s">
        <v>2982</v>
      </c>
      <c r="F220" t="s">
        <v>2983</v>
      </c>
      <c r="G220" t="s">
        <v>2984</v>
      </c>
      <c r="H220" t="s">
        <v>2985</v>
      </c>
      <c r="I220" t="s">
        <v>2986</v>
      </c>
      <c r="J220" t="s">
        <v>2987</v>
      </c>
      <c r="K220" t="s">
        <v>2988</v>
      </c>
      <c r="L220" t="s">
        <v>2989</v>
      </c>
      <c r="M220" t="s">
        <v>2990</v>
      </c>
      <c r="N220" t="s">
        <v>2991</v>
      </c>
      <c r="O220" t="s">
        <v>2992</v>
      </c>
      <c r="P220" t="s">
        <v>2993</v>
      </c>
      <c r="Q220" t="s">
        <v>2994</v>
      </c>
      <c r="R220" t="b">
        <v>0</v>
      </c>
      <c r="S220" t="s">
        <v>4354</v>
      </c>
    </row>
    <row r="221" spans="1:19" ht="11.25" customHeight="1">
      <c r="A221">
        <v>2655</v>
      </c>
      <c r="B221" t="s">
        <v>102</v>
      </c>
      <c r="C221">
        <v>26356915</v>
      </c>
      <c r="D221" t="s">
        <v>3552</v>
      </c>
      <c r="E221" t="s">
        <v>3553</v>
      </c>
      <c r="F221" t="s">
        <v>3554</v>
      </c>
      <c r="G221" t="s">
        <v>3214</v>
      </c>
      <c r="H221" t="s">
        <v>3555</v>
      </c>
      <c r="I221" t="s">
        <v>3556</v>
      </c>
      <c r="J221" t="s">
        <v>2987</v>
      </c>
      <c r="K221" t="s">
        <v>3557</v>
      </c>
      <c r="L221" t="s">
        <v>3557</v>
      </c>
      <c r="M221" t="s">
        <v>3558</v>
      </c>
      <c r="N221" t="s">
        <v>3559</v>
      </c>
      <c r="O221" t="s">
        <v>3560</v>
      </c>
      <c r="P221" t="s">
        <v>3064</v>
      </c>
      <c r="Q221" t="s">
        <v>151</v>
      </c>
      <c r="R221" t="b">
        <v>0</v>
      </c>
      <c r="S221" t="s">
        <v>4354</v>
      </c>
    </row>
    <row r="222" spans="1:19" ht="11.25" customHeight="1">
      <c r="A222">
        <v>2655</v>
      </c>
      <c r="B222" t="s">
        <v>102</v>
      </c>
      <c r="C222">
        <v>26357007</v>
      </c>
      <c r="D222" t="s">
        <v>3690</v>
      </c>
      <c r="E222" t="s">
        <v>3691</v>
      </c>
      <c r="F222" t="s">
        <v>3692</v>
      </c>
      <c r="G222" t="s">
        <v>3243</v>
      </c>
      <c r="H222" t="s">
        <v>3693</v>
      </c>
      <c r="I222" t="s">
        <v>3694</v>
      </c>
      <c r="J222" t="s">
        <v>2987</v>
      </c>
      <c r="K222" t="s">
        <v>3695</v>
      </c>
      <c r="L222" t="s">
        <v>3695</v>
      </c>
      <c r="M222" t="s">
        <v>3696</v>
      </c>
      <c r="N222" t="s">
        <v>3697</v>
      </c>
      <c r="O222" t="s">
        <v>3698</v>
      </c>
      <c r="P222" t="s">
        <v>3064</v>
      </c>
      <c r="Q222" t="s">
        <v>3699</v>
      </c>
      <c r="R222" t="b">
        <v>0</v>
      </c>
      <c r="S222" t="s">
        <v>4354</v>
      </c>
    </row>
    <row r="223" spans="1:19" ht="11.25" customHeight="1">
      <c r="A223">
        <v>2655</v>
      </c>
      <c r="B223" t="s">
        <v>102</v>
      </c>
      <c r="C223">
        <v>27804990</v>
      </c>
      <c r="D223" t="s">
        <v>2996</v>
      </c>
      <c r="E223" t="s">
        <v>2997</v>
      </c>
      <c r="F223" t="s">
        <v>2998</v>
      </c>
      <c r="G223" t="s">
        <v>2999</v>
      </c>
      <c r="H223" t="s">
        <v>3000</v>
      </c>
      <c r="I223" t="s">
        <v>3001</v>
      </c>
      <c r="J223" t="s">
        <v>2987</v>
      </c>
      <c r="K223" t="s">
        <v>3002</v>
      </c>
      <c r="L223" t="s">
        <v>3003</v>
      </c>
      <c r="M223" t="s">
        <v>3004</v>
      </c>
      <c r="N223" t="s">
        <v>3005</v>
      </c>
      <c r="O223" t="s">
        <v>3006</v>
      </c>
      <c r="P223" t="s">
        <v>3007</v>
      </c>
      <c r="Q223" t="s">
        <v>3008</v>
      </c>
      <c r="R223" t="b">
        <v>0</v>
      </c>
      <c r="S223" t="s">
        <v>4354</v>
      </c>
    </row>
    <row r="224" spans="1:19" ht="11.25" customHeight="1">
      <c r="A224">
        <v>2655</v>
      </c>
      <c r="B224" t="s">
        <v>102</v>
      </c>
      <c r="C224">
        <v>28048296</v>
      </c>
      <c r="D224" t="s">
        <v>3700</v>
      </c>
      <c r="E224" t="s">
        <v>3701</v>
      </c>
      <c r="F224" t="s">
        <v>3702</v>
      </c>
      <c r="G224" t="s">
        <v>2999</v>
      </c>
      <c r="H224" t="s">
        <v>3703</v>
      </c>
      <c r="I224" t="s">
        <v>3704</v>
      </c>
      <c r="J224" t="s">
        <v>2987</v>
      </c>
      <c r="K224" t="s">
        <v>3705</v>
      </c>
      <c r="L224" t="s">
        <v>3003</v>
      </c>
      <c r="M224" t="s">
        <v>3706</v>
      </c>
      <c r="N224" t="s">
        <v>3364</v>
      </c>
      <c r="O224" t="s">
        <v>3707</v>
      </c>
      <c r="P224" t="s">
        <v>3007</v>
      </c>
      <c r="Q224" t="s">
        <v>3008</v>
      </c>
      <c r="R224" t="b">
        <v>0</v>
      </c>
      <c r="S224" t="s">
        <v>4354</v>
      </c>
    </row>
    <row r="225" spans="1:19" ht="11.25" customHeight="1">
      <c r="A225">
        <v>2655</v>
      </c>
      <c r="B225" t="s">
        <v>102</v>
      </c>
      <c r="C225">
        <v>27804826</v>
      </c>
      <c r="D225" t="s">
        <v>3009</v>
      </c>
      <c r="E225" t="s">
        <v>3010</v>
      </c>
      <c r="F225" t="s">
        <v>3011</v>
      </c>
      <c r="G225" t="s">
        <v>3012</v>
      </c>
      <c r="H225" t="s">
        <v>3013</v>
      </c>
      <c r="I225" t="s">
        <v>3014</v>
      </c>
      <c r="J225" t="s">
        <v>2987</v>
      </c>
      <c r="K225" t="s">
        <v>3015</v>
      </c>
      <c r="L225" t="s">
        <v>3003</v>
      </c>
      <c r="M225" t="s">
        <v>3016</v>
      </c>
      <c r="N225" t="s">
        <v>3017</v>
      </c>
      <c r="O225" t="s">
        <v>3018</v>
      </c>
      <c r="P225" t="s">
        <v>3007</v>
      </c>
      <c r="Q225" t="s">
        <v>3019</v>
      </c>
      <c r="R225" t="b">
        <v>0</v>
      </c>
      <c r="S225" t="s">
        <v>4354</v>
      </c>
    </row>
    <row r="226" spans="1:19" ht="11.25" customHeight="1">
      <c r="A226">
        <v>2655</v>
      </c>
      <c r="B226" t="s">
        <v>102</v>
      </c>
      <c r="C226">
        <v>27804896</v>
      </c>
      <c r="D226" t="s">
        <v>3708</v>
      </c>
      <c r="E226" t="s">
        <v>3709</v>
      </c>
      <c r="F226" t="s">
        <v>3710</v>
      </c>
      <c r="G226" t="s">
        <v>2999</v>
      </c>
      <c r="H226" t="s">
        <v>3711</v>
      </c>
      <c r="I226" t="s">
        <v>3712</v>
      </c>
      <c r="J226" t="s">
        <v>2987</v>
      </c>
      <c r="K226" t="s">
        <v>3713</v>
      </c>
      <c r="L226" t="s">
        <v>3003</v>
      </c>
      <c r="M226" t="s">
        <v>3714</v>
      </c>
      <c r="N226" t="s">
        <v>3715</v>
      </c>
      <c r="O226" t="s">
        <v>3716</v>
      </c>
      <c r="P226" t="s">
        <v>3007</v>
      </c>
      <c r="Q226" t="s">
        <v>3008</v>
      </c>
      <c r="R226" t="b">
        <v>0</v>
      </c>
      <c r="S226" t="s">
        <v>4354</v>
      </c>
    </row>
    <row r="227" spans="1:19" ht="11.25" customHeight="1">
      <c r="A227">
        <v>2655</v>
      </c>
      <c r="B227" t="s">
        <v>102</v>
      </c>
      <c r="C227">
        <v>27820148</v>
      </c>
      <c r="D227" t="s">
        <v>3576</v>
      </c>
      <c r="E227" t="s">
        <v>3577</v>
      </c>
      <c r="F227" t="s">
        <v>3578</v>
      </c>
      <c r="G227" t="s">
        <v>3300</v>
      </c>
      <c r="H227" t="s">
        <v>3579</v>
      </c>
      <c r="I227" t="s">
        <v>3580</v>
      </c>
      <c r="J227" t="s">
        <v>2987</v>
      </c>
      <c r="K227" t="s">
        <v>3581</v>
      </c>
      <c r="L227" t="s">
        <v>3581</v>
      </c>
      <c r="M227" t="s">
        <v>3582</v>
      </c>
      <c r="N227" t="s">
        <v>3583</v>
      </c>
      <c r="O227" t="s">
        <v>3584</v>
      </c>
      <c r="P227" t="s">
        <v>3585</v>
      </c>
      <c r="Q227" t="s">
        <v>3586</v>
      </c>
      <c r="R227" t="b">
        <v>0</v>
      </c>
      <c r="S227" t="s">
        <v>4354</v>
      </c>
    </row>
    <row r="228" spans="1:19" ht="11.25" customHeight="1">
      <c r="A228">
        <v>2655</v>
      </c>
      <c r="B228" t="s">
        <v>102</v>
      </c>
      <c r="C228">
        <v>26356905</v>
      </c>
      <c r="D228" t="s">
        <v>3717</v>
      </c>
      <c r="E228" t="s">
        <v>3718</v>
      </c>
      <c r="F228" t="s">
        <v>3719</v>
      </c>
      <c r="G228" t="s">
        <v>2999</v>
      </c>
      <c r="H228" t="s">
        <v>3720</v>
      </c>
      <c r="I228" t="s">
        <v>3721</v>
      </c>
      <c r="J228" t="s">
        <v>2987</v>
      </c>
      <c r="K228" t="s">
        <v>3722</v>
      </c>
      <c r="L228" t="s">
        <v>3722</v>
      </c>
      <c r="M228" t="s">
        <v>3723</v>
      </c>
      <c r="N228" t="s">
        <v>3724</v>
      </c>
      <c r="O228" t="s">
        <v>3725</v>
      </c>
      <c r="P228" t="s">
        <v>3726</v>
      </c>
      <c r="Q228" t="s">
        <v>3727</v>
      </c>
      <c r="R228" t="b">
        <v>0</v>
      </c>
      <c r="S228" t="s">
        <v>4354</v>
      </c>
    </row>
    <row r="229" spans="1:19" ht="11.25" customHeight="1">
      <c r="A229">
        <v>2655</v>
      </c>
      <c r="B229" t="s">
        <v>102</v>
      </c>
      <c r="C229">
        <v>26652554</v>
      </c>
      <c r="D229" t="s">
        <v>3728</v>
      </c>
      <c r="E229" t="s">
        <v>3729</v>
      </c>
      <c r="F229" t="s">
        <v>3730</v>
      </c>
      <c r="G229" t="s">
        <v>3389</v>
      </c>
      <c r="H229" t="s">
        <v>3731</v>
      </c>
      <c r="I229" t="s">
        <v>225</v>
      </c>
      <c r="J229" t="s">
        <v>2987</v>
      </c>
      <c r="K229" t="s">
        <v>3732</v>
      </c>
      <c r="L229" t="s">
        <v>3732</v>
      </c>
      <c r="M229" t="s">
        <v>3733</v>
      </c>
      <c r="N229" t="s">
        <v>3734</v>
      </c>
      <c r="O229" t="s">
        <v>3735</v>
      </c>
      <c r="P229" t="s">
        <v>3064</v>
      </c>
      <c r="Q229" t="s">
        <v>3736</v>
      </c>
      <c r="R229" t="b">
        <v>0</v>
      </c>
      <c r="S229" t="s">
        <v>4354</v>
      </c>
    </row>
    <row r="230" spans="1:19" ht="11.25" customHeight="1">
      <c r="A230">
        <v>2655</v>
      </c>
      <c r="B230" t="s">
        <v>102</v>
      </c>
      <c r="C230">
        <v>31915209</v>
      </c>
      <c r="D230" t="s">
        <v>3737</v>
      </c>
      <c r="E230" t="s">
        <v>3738</v>
      </c>
      <c r="F230" t="s">
        <v>3739</v>
      </c>
      <c r="G230" t="s">
        <v>2999</v>
      </c>
      <c r="H230" t="s">
        <v>3740</v>
      </c>
      <c r="I230" t="s">
        <v>3741</v>
      </c>
      <c r="K230" t="s">
        <v>3742</v>
      </c>
      <c r="L230" t="s">
        <v>3742</v>
      </c>
      <c r="M230" t="s">
        <v>3743</v>
      </c>
      <c r="N230" t="s">
        <v>3744</v>
      </c>
      <c r="O230" t="s">
        <v>3745</v>
      </c>
      <c r="P230" t="s">
        <v>3746</v>
      </c>
      <c r="Q230" t="s">
        <v>3747</v>
      </c>
      <c r="R230" t="b">
        <v>0</v>
      </c>
      <c r="S230" t="s">
        <v>4354</v>
      </c>
    </row>
    <row r="231" spans="1:19" ht="11.25" customHeight="1">
      <c r="A231">
        <v>2655</v>
      </c>
      <c r="B231" t="s">
        <v>102</v>
      </c>
      <c r="C231">
        <v>26356926</v>
      </c>
      <c r="D231" t="s">
        <v>3748</v>
      </c>
      <c r="E231" t="s">
        <v>3749</v>
      </c>
      <c r="F231" t="s">
        <v>3750</v>
      </c>
      <c r="G231" t="s">
        <v>3300</v>
      </c>
      <c r="H231" t="s">
        <v>3751</v>
      </c>
      <c r="I231" t="s">
        <v>3752</v>
      </c>
      <c r="J231" t="s">
        <v>3753</v>
      </c>
      <c r="K231" t="s">
        <v>3754</v>
      </c>
      <c r="L231" t="s">
        <v>3754</v>
      </c>
      <c r="M231" t="s">
        <v>3755</v>
      </c>
      <c r="N231" t="s">
        <v>3756</v>
      </c>
      <c r="O231" t="s">
        <v>3757</v>
      </c>
      <c r="P231" t="s">
        <v>3758</v>
      </c>
      <c r="Q231" t="s">
        <v>3759</v>
      </c>
      <c r="R231" t="b">
        <v>0</v>
      </c>
      <c r="S231" t="s">
        <v>4354</v>
      </c>
    </row>
    <row r="232" spans="1:19" ht="11.25" customHeight="1">
      <c r="A232">
        <v>2655</v>
      </c>
      <c r="B232" t="s">
        <v>102</v>
      </c>
      <c r="C232">
        <v>31720063</v>
      </c>
      <c r="D232" t="s">
        <v>3760</v>
      </c>
      <c r="E232" t="s">
        <v>3761</v>
      </c>
      <c r="F232" t="s">
        <v>3762</v>
      </c>
      <c r="G232" t="s">
        <v>3187</v>
      </c>
      <c r="H232" t="s">
        <v>3763</v>
      </c>
      <c r="I232" t="s">
        <v>3764</v>
      </c>
      <c r="K232" t="s">
        <v>3765</v>
      </c>
      <c r="L232" t="s">
        <v>3765</v>
      </c>
      <c r="M232" t="s">
        <v>225</v>
      </c>
      <c r="N232" t="s">
        <v>3766</v>
      </c>
      <c r="O232" t="s">
        <v>3767</v>
      </c>
      <c r="P232" t="s">
        <v>3155</v>
      </c>
      <c r="Q232" t="s">
        <v>3768</v>
      </c>
      <c r="R232" t="b">
        <v>0</v>
      </c>
      <c r="S232" t="s">
        <v>4354</v>
      </c>
    </row>
    <row r="233" spans="1:19" ht="11.25" customHeight="1">
      <c r="A233">
        <v>2655</v>
      </c>
      <c r="B233" t="s">
        <v>102</v>
      </c>
      <c r="C233">
        <v>31826293</v>
      </c>
      <c r="D233" t="s">
        <v>3075</v>
      </c>
      <c r="E233" t="s">
        <v>3076</v>
      </c>
      <c r="F233" t="s">
        <v>3077</v>
      </c>
      <c r="G233" t="s">
        <v>3078</v>
      </c>
      <c r="H233" t="s">
        <v>3079</v>
      </c>
      <c r="I233" t="s">
        <v>3080</v>
      </c>
      <c r="K233" t="s">
        <v>3081</v>
      </c>
      <c r="L233" t="s">
        <v>3082</v>
      </c>
      <c r="M233" t="s">
        <v>3083</v>
      </c>
      <c r="N233" t="s">
        <v>3084</v>
      </c>
      <c r="O233" t="s">
        <v>3085</v>
      </c>
      <c r="P233" t="s">
        <v>3086</v>
      </c>
      <c r="Q233" t="s">
        <v>225</v>
      </c>
      <c r="R233" t="b">
        <v>0</v>
      </c>
      <c r="S233" t="s">
        <v>4354</v>
      </c>
    </row>
    <row r="234" spans="1:19" ht="11.25" customHeight="1">
      <c r="A234">
        <v>2655</v>
      </c>
      <c r="B234" t="s">
        <v>102</v>
      </c>
      <c r="C234">
        <v>28262434</v>
      </c>
      <c r="D234" t="s">
        <v>3769</v>
      </c>
      <c r="E234" t="s">
        <v>3770</v>
      </c>
      <c r="F234" t="s">
        <v>3771</v>
      </c>
      <c r="G234" t="s">
        <v>3772</v>
      </c>
      <c r="H234" t="s">
        <v>3773</v>
      </c>
      <c r="I234" t="s">
        <v>3774</v>
      </c>
      <c r="J234" t="s">
        <v>2987</v>
      </c>
      <c r="K234" t="s">
        <v>3775</v>
      </c>
      <c r="L234" t="s">
        <v>3775</v>
      </c>
      <c r="M234" t="s">
        <v>3776</v>
      </c>
      <c r="N234" t="s">
        <v>3777</v>
      </c>
      <c r="O234" t="s">
        <v>3778</v>
      </c>
      <c r="P234" t="s">
        <v>3064</v>
      </c>
      <c r="Q234" t="s">
        <v>225</v>
      </c>
      <c r="R234" t="b">
        <v>0</v>
      </c>
      <c r="S234" t="s">
        <v>4354</v>
      </c>
    </row>
    <row r="235" spans="1:19" ht="11.25" customHeight="1">
      <c r="A235">
        <v>2655</v>
      </c>
      <c r="B235" t="s">
        <v>102</v>
      </c>
      <c r="C235">
        <v>31382238</v>
      </c>
      <c r="D235" t="s">
        <v>3779</v>
      </c>
      <c r="E235" t="s">
        <v>3780</v>
      </c>
      <c r="F235" t="s">
        <v>3781</v>
      </c>
      <c r="G235" t="s">
        <v>3782</v>
      </c>
      <c r="H235" t="s">
        <v>3783</v>
      </c>
      <c r="I235" t="s">
        <v>3784</v>
      </c>
      <c r="J235" t="s">
        <v>3785</v>
      </c>
      <c r="K235" t="s">
        <v>3786</v>
      </c>
      <c r="L235" t="s">
        <v>3786</v>
      </c>
      <c r="M235" t="s">
        <v>225</v>
      </c>
      <c r="N235" t="s">
        <v>225</v>
      </c>
      <c r="O235" t="s">
        <v>3787</v>
      </c>
      <c r="P235" t="s">
        <v>3788</v>
      </c>
      <c r="Q235" t="s">
        <v>225</v>
      </c>
      <c r="R235" t="b">
        <v>1</v>
      </c>
      <c r="S235" t="s">
        <v>4354</v>
      </c>
    </row>
    <row r="236" spans="1:19" ht="11.25" customHeight="1">
      <c r="A236">
        <v>2655</v>
      </c>
      <c r="B236" t="s">
        <v>102</v>
      </c>
      <c r="C236">
        <v>31763194</v>
      </c>
      <c r="D236" t="s">
        <v>3789</v>
      </c>
      <c r="E236" t="s">
        <v>3790</v>
      </c>
      <c r="F236" t="s">
        <v>3791</v>
      </c>
      <c r="G236" t="s">
        <v>3782</v>
      </c>
      <c r="H236" t="s">
        <v>3792</v>
      </c>
      <c r="I236" t="s">
        <v>3793</v>
      </c>
      <c r="K236" t="s">
        <v>3794</v>
      </c>
      <c r="L236" t="s">
        <v>3795</v>
      </c>
      <c r="M236" t="s">
        <v>225</v>
      </c>
      <c r="N236" t="s">
        <v>3796</v>
      </c>
      <c r="O236" t="s">
        <v>3797</v>
      </c>
      <c r="P236" t="s">
        <v>3798</v>
      </c>
      <c r="Q236" t="s">
        <v>3799</v>
      </c>
      <c r="R236" t="b">
        <v>1</v>
      </c>
      <c r="S236" t="s">
        <v>4354</v>
      </c>
    </row>
    <row r="237" spans="1:19" ht="11.25" customHeight="1">
      <c r="A237">
        <v>2655</v>
      </c>
      <c r="B237" t="s">
        <v>102</v>
      </c>
      <c r="C237">
        <v>26322867</v>
      </c>
      <c r="D237" t="s">
        <v>3087</v>
      </c>
      <c r="E237" t="s">
        <v>3088</v>
      </c>
      <c r="F237" t="s">
        <v>3089</v>
      </c>
      <c r="G237" t="s">
        <v>3033</v>
      </c>
      <c r="H237" t="s">
        <v>3090</v>
      </c>
      <c r="I237" t="s">
        <v>3091</v>
      </c>
      <c r="J237" t="s">
        <v>2987</v>
      </c>
      <c r="K237" t="s">
        <v>3092</v>
      </c>
      <c r="L237" t="s">
        <v>3092</v>
      </c>
      <c r="M237" t="s">
        <v>3093</v>
      </c>
      <c r="N237" t="s">
        <v>3094</v>
      </c>
      <c r="O237" t="s">
        <v>3095</v>
      </c>
      <c r="P237" t="s">
        <v>3064</v>
      </c>
      <c r="Q237" t="s">
        <v>3096</v>
      </c>
      <c r="R237" t="b">
        <v>0</v>
      </c>
      <c r="S237" t="s">
        <v>4354</v>
      </c>
    </row>
    <row r="238" spans="1:19" ht="11.25" customHeight="1">
      <c r="A238">
        <v>2655</v>
      </c>
      <c r="B238" t="s">
        <v>102</v>
      </c>
      <c r="C238">
        <v>26824396</v>
      </c>
      <c r="D238" t="s">
        <v>3106</v>
      </c>
      <c r="E238" t="s">
        <v>3107</v>
      </c>
      <c r="F238" t="s">
        <v>3067</v>
      </c>
      <c r="G238" t="s">
        <v>3108</v>
      </c>
      <c r="H238" t="s">
        <v>3069</v>
      </c>
      <c r="I238" t="s">
        <v>225</v>
      </c>
      <c r="J238" t="s">
        <v>3059</v>
      </c>
      <c r="K238" t="s">
        <v>3109</v>
      </c>
      <c r="L238" t="s">
        <v>3109</v>
      </c>
      <c r="M238" t="s">
        <v>3110</v>
      </c>
      <c r="N238" t="s">
        <v>225</v>
      </c>
      <c r="O238" t="s">
        <v>3111</v>
      </c>
      <c r="P238" t="s">
        <v>3105</v>
      </c>
      <c r="Q238" t="s">
        <v>225</v>
      </c>
      <c r="R238" t="b">
        <v>0</v>
      </c>
      <c r="S238" t="s">
        <v>4354</v>
      </c>
    </row>
    <row r="239" spans="1:19" ht="11.25" customHeight="1">
      <c r="A239">
        <v>2655</v>
      </c>
      <c r="B239" t="s">
        <v>102</v>
      </c>
      <c r="C239">
        <v>30808700</v>
      </c>
      <c r="D239" t="s">
        <v>3145</v>
      </c>
      <c r="E239" t="s">
        <v>3146</v>
      </c>
      <c r="F239" t="s">
        <v>3147</v>
      </c>
      <c r="G239" t="s">
        <v>3068</v>
      </c>
      <c r="H239" t="s">
        <v>3148</v>
      </c>
      <c r="I239" t="s">
        <v>3149</v>
      </c>
      <c r="J239" t="s">
        <v>3129</v>
      </c>
      <c r="K239" t="s">
        <v>3150</v>
      </c>
      <c r="L239" t="s">
        <v>3151</v>
      </c>
      <c r="M239" t="s">
        <v>3152</v>
      </c>
      <c r="N239" t="s">
        <v>3153</v>
      </c>
      <c r="O239" t="s">
        <v>3154</v>
      </c>
      <c r="P239" t="s">
        <v>3155</v>
      </c>
      <c r="Q239" t="s">
        <v>225</v>
      </c>
      <c r="R239" t="b">
        <v>1</v>
      </c>
      <c r="S239" t="s">
        <v>4354</v>
      </c>
    </row>
    <row r="240" spans="1:19" ht="11.25" customHeight="1">
      <c r="A240">
        <v>2655</v>
      </c>
      <c r="B240" t="s">
        <v>102</v>
      </c>
      <c r="C240">
        <v>31319221</v>
      </c>
      <c r="D240" t="s">
        <v>3156</v>
      </c>
      <c r="E240" t="s">
        <v>3157</v>
      </c>
      <c r="F240" t="s">
        <v>3158</v>
      </c>
      <c r="G240" t="s">
        <v>3126</v>
      </c>
      <c r="H240" t="s">
        <v>3159</v>
      </c>
      <c r="I240" t="s">
        <v>3160</v>
      </c>
      <c r="J240" t="s">
        <v>3118</v>
      </c>
      <c r="K240" t="s">
        <v>3161</v>
      </c>
      <c r="L240" t="s">
        <v>3162</v>
      </c>
      <c r="M240" t="s">
        <v>3163</v>
      </c>
      <c r="N240" t="s">
        <v>3164</v>
      </c>
      <c r="O240" t="s">
        <v>3165</v>
      </c>
      <c r="P240" t="s">
        <v>145</v>
      </c>
      <c r="Q240" t="s">
        <v>225</v>
      </c>
      <c r="R240" t="b">
        <v>0</v>
      </c>
      <c r="S240" t="s">
        <v>4354</v>
      </c>
    </row>
    <row r="241" spans="1:19" ht="11.25" customHeight="1">
      <c r="A241">
        <v>2655</v>
      </c>
      <c r="B241" t="s">
        <v>102</v>
      </c>
      <c r="C241">
        <v>31343443</v>
      </c>
      <c r="D241" t="s">
        <v>3176</v>
      </c>
      <c r="E241" t="s">
        <v>3177</v>
      </c>
      <c r="F241" t="s">
        <v>3178</v>
      </c>
      <c r="G241" t="s">
        <v>3068</v>
      </c>
      <c r="H241" t="s">
        <v>3179</v>
      </c>
      <c r="I241" t="s">
        <v>3180</v>
      </c>
      <c r="J241" t="s">
        <v>3118</v>
      </c>
      <c r="K241" t="s">
        <v>3181</v>
      </c>
      <c r="L241" t="s">
        <v>3181</v>
      </c>
      <c r="N241" t="s">
        <v>3182</v>
      </c>
      <c r="O241" t="s">
        <v>3183</v>
      </c>
      <c r="P241" t="s">
        <v>3155</v>
      </c>
      <c r="R241" t="b">
        <v>0</v>
      </c>
      <c r="S241" t="s">
        <v>4354</v>
      </c>
    </row>
    <row r="242" spans="1:19" ht="11.25" customHeight="1">
      <c r="A242">
        <v>2655</v>
      </c>
      <c r="B242" t="s">
        <v>102</v>
      </c>
      <c r="C242">
        <v>31367841</v>
      </c>
      <c r="D242" t="s">
        <v>3184</v>
      </c>
      <c r="E242" t="s">
        <v>3185</v>
      </c>
      <c r="F242" t="s">
        <v>3186</v>
      </c>
      <c r="G242" t="s">
        <v>3187</v>
      </c>
      <c r="H242" t="s">
        <v>3188</v>
      </c>
      <c r="I242" t="s">
        <v>3189</v>
      </c>
      <c r="J242" t="s">
        <v>3129</v>
      </c>
      <c r="K242" t="s">
        <v>3190</v>
      </c>
      <c r="L242" t="s">
        <v>3190</v>
      </c>
      <c r="M242" t="s">
        <v>225</v>
      </c>
      <c r="N242" t="s">
        <v>3191</v>
      </c>
      <c r="O242" t="s">
        <v>3192</v>
      </c>
      <c r="P242" t="s">
        <v>145</v>
      </c>
      <c r="Q242" t="s">
        <v>225</v>
      </c>
      <c r="R242" t="b">
        <v>0</v>
      </c>
      <c r="S242" t="s">
        <v>4354</v>
      </c>
    </row>
    <row r="243" spans="1:19" ht="11.25" customHeight="1">
      <c r="A243">
        <v>2655</v>
      </c>
      <c r="B243" t="s">
        <v>102</v>
      </c>
      <c r="C243">
        <v>31087651</v>
      </c>
      <c r="D243" t="s">
        <v>3193</v>
      </c>
      <c r="E243" t="s">
        <v>3194</v>
      </c>
      <c r="F243" t="s">
        <v>3195</v>
      </c>
      <c r="G243" t="s">
        <v>3196</v>
      </c>
      <c r="H243" t="s">
        <v>3197</v>
      </c>
      <c r="I243" t="s">
        <v>3198</v>
      </c>
      <c r="J243" t="s">
        <v>3118</v>
      </c>
      <c r="K243" t="s">
        <v>3199</v>
      </c>
      <c r="L243" t="s">
        <v>3199</v>
      </c>
      <c r="M243" t="s">
        <v>3200</v>
      </c>
      <c r="N243" t="s">
        <v>3201</v>
      </c>
      <c r="O243" t="s">
        <v>3202</v>
      </c>
      <c r="R243" t="b">
        <v>0</v>
      </c>
      <c r="S243" t="s">
        <v>4354</v>
      </c>
    </row>
    <row r="244" spans="1:19" ht="11.25" customHeight="1">
      <c r="A244">
        <v>2655</v>
      </c>
      <c r="B244" t="s">
        <v>102</v>
      </c>
      <c r="C244">
        <v>31367862</v>
      </c>
      <c r="D244" t="s">
        <v>3203</v>
      </c>
      <c r="E244" t="s">
        <v>3204</v>
      </c>
      <c r="F244" t="s">
        <v>3205</v>
      </c>
      <c r="G244" t="s">
        <v>3187</v>
      </c>
      <c r="H244" t="s">
        <v>3206</v>
      </c>
      <c r="I244" t="s">
        <v>3207</v>
      </c>
      <c r="J244" t="s">
        <v>3118</v>
      </c>
      <c r="K244" t="s">
        <v>3208</v>
      </c>
      <c r="L244" t="s">
        <v>3208</v>
      </c>
      <c r="M244" t="s">
        <v>225</v>
      </c>
      <c r="N244" t="s">
        <v>3209</v>
      </c>
      <c r="O244" t="s">
        <v>3210</v>
      </c>
      <c r="P244" t="s">
        <v>145</v>
      </c>
      <c r="Q244" t="s">
        <v>225</v>
      </c>
      <c r="R244" t="b">
        <v>0</v>
      </c>
      <c r="S244" t="s">
        <v>4354</v>
      </c>
    </row>
    <row r="245" spans="1:19" ht="11.25" customHeight="1">
      <c r="A245">
        <v>2655</v>
      </c>
      <c r="B245" t="s">
        <v>102</v>
      </c>
      <c r="C245">
        <v>31085797</v>
      </c>
      <c r="D245" t="s">
        <v>3800</v>
      </c>
      <c r="E245" t="s">
        <v>3801</v>
      </c>
      <c r="F245" t="s">
        <v>3802</v>
      </c>
      <c r="G245" t="s">
        <v>3012</v>
      </c>
      <c r="H245" t="s">
        <v>3803</v>
      </c>
      <c r="I245" t="s">
        <v>3804</v>
      </c>
      <c r="J245" t="s">
        <v>3129</v>
      </c>
      <c r="K245" t="s">
        <v>3805</v>
      </c>
      <c r="L245" t="s">
        <v>3806</v>
      </c>
      <c r="M245" t="s">
        <v>3807</v>
      </c>
      <c r="N245" t="s">
        <v>3808</v>
      </c>
      <c r="O245" t="s">
        <v>3809</v>
      </c>
      <c r="P245" t="s">
        <v>145</v>
      </c>
      <c r="Q245" t="s">
        <v>225</v>
      </c>
      <c r="R245" t="b">
        <v>1</v>
      </c>
      <c r="S245" t="s">
        <v>4354</v>
      </c>
    </row>
    <row r="246" spans="1:19" ht="11.25" customHeight="1">
      <c r="A246">
        <v>2655</v>
      </c>
      <c r="B246" t="s">
        <v>102</v>
      </c>
      <c r="C246">
        <v>26486390</v>
      </c>
      <c r="D246" t="s">
        <v>3211</v>
      </c>
      <c r="E246" t="s">
        <v>3212</v>
      </c>
      <c r="F246" t="s">
        <v>3213</v>
      </c>
      <c r="G246" t="s">
        <v>3214</v>
      </c>
      <c r="H246" t="s">
        <v>3215</v>
      </c>
      <c r="I246" t="s">
        <v>3216</v>
      </c>
      <c r="J246" t="s">
        <v>3129</v>
      </c>
      <c r="K246" t="s">
        <v>3217</v>
      </c>
      <c r="L246" t="s">
        <v>3217</v>
      </c>
      <c r="M246" t="s">
        <v>3218</v>
      </c>
      <c r="N246" t="s">
        <v>3219</v>
      </c>
      <c r="O246" t="s">
        <v>3220</v>
      </c>
      <c r="P246" t="s">
        <v>3221</v>
      </c>
      <c r="Q246" t="s">
        <v>225</v>
      </c>
      <c r="R246" t="b">
        <v>0</v>
      </c>
      <c r="S246" t="s">
        <v>4354</v>
      </c>
    </row>
    <row r="247" spans="1:19" ht="11.25" customHeight="1">
      <c r="A247">
        <v>2655</v>
      </c>
      <c r="B247" t="s">
        <v>102</v>
      </c>
      <c r="C247">
        <v>31187282</v>
      </c>
      <c r="D247" t="s">
        <v>3810</v>
      </c>
      <c r="E247" t="s">
        <v>3811</v>
      </c>
      <c r="F247" t="s">
        <v>3812</v>
      </c>
      <c r="G247" t="s">
        <v>3023</v>
      </c>
      <c r="H247" t="s">
        <v>3813</v>
      </c>
      <c r="I247" t="s">
        <v>3814</v>
      </c>
      <c r="J247" t="s">
        <v>3129</v>
      </c>
      <c r="K247" t="s">
        <v>3815</v>
      </c>
      <c r="L247" t="s">
        <v>3815</v>
      </c>
      <c r="M247" t="s">
        <v>225</v>
      </c>
      <c r="N247" t="s">
        <v>3816</v>
      </c>
      <c r="O247" t="s">
        <v>3817</v>
      </c>
      <c r="P247" t="s">
        <v>145</v>
      </c>
      <c r="Q247" t="s">
        <v>225</v>
      </c>
      <c r="R247" t="b">
        <v>0</v>
      </c>
      <c r="S247" t="s">
        <v>4354</v>
      </c>
    </row>
    <row r="248" spans="1:19" ht="11.25" customHeight="1">
      <c r="A248">
        <v>2655</v>
      </c>
      <c r="B248" t="s">
        <v>102</v>
      </c>
      <c r="C248">
        <v>31308226</v>
      </c>
      <c r="D248" t="s">
        <v>3240</v>
      </c>
      <c r="E248" t="s">
        <v>3241</v>
      </c>
      <c r="F248" t="s">
        <v>3242</v>
      </c>
      <c r="G248" t="s">
        <v>3243</v>
      </c>
      <c r="H248" t="s">
        <v>3244</v>
      </c>
      <c r="I248" t="s">
        <v>3245</v>
      </c>
      <c r="J248" t="s">
        <v>3129</v>
      </c>
      <c r="K248" t="s">
        <v>3246</v>
      </c>
      <c r="L248" t="s">
        <v>3246</v>
      </c>
      <c r="M248" t="s">
        <v>3247</v>
      </c>
      <c r="N248" t="s">
        <v>3248</v>
      </c>
      <c r="O248" t="s">
        <v>3249</v>
      </c>
      <c r="P248" t="s">
        <v>3155</v>
      </c>
      <c r="Q248" t="s">
        <v>225</v>
      </c>
      <c r="R248" t="b">
        <v>1</v>
      </c>
      <c r="S248" t="s">
        <v>4354</v>
      </c>
    </row>
    <row r="249" spans="1:19" ht="11.25" customHeight="1">
      <c r="A249">
        <v>2655</v>
      </c>
      <c r="B249" t="s">
        <v>102</v>
      </c>
      <c r="C249">
        <v>31284269</v>
      </c>
      <c r="D249" t="s">
        <v>3250</v>
      </c>
      <c r="E249" t="s">
        <v>3251</v>
      </c>
      <c r="F249" t="s">
        <v>3252</v>
      </c>
      <c r="G249" t="s">
        <v>3196</v>
      </c>
      <c r="H249" t="s">
        <v>3253</v>
      </c>
      <c r="I249" t="s">
        <v>3254</v>
      </c>
      <c r="J249" t="s">
        <v>3129</v>
      </c>
      <c r="K249" t="s">
        <v>3255</v>
      </c>
      <c r="L249" t="s">
        <v>3256</v>
      </c>
      <c r="M249" t="s">
        <v>3257</v>
      </c>
      <c r="N249" t="s">
        <v>3258</v>
      </c>
      <c r="O249" t="s">
        <v>3259</v>
      </c>
      <c r="P249" t="s">
        <v>145</v>
      </c>
      <c r="Q249" t="s">
        <v>225</v>
      </c>
      <c r="R249" t="b">
        <v>0</v>
      </c>
      <c r="S249" t="s">
        <v>4354</v>
      </c>
    </row>
    <row r="250" spans="1:19" ht="11.25" customHeight="1">
      <c r="A250">
        <v>2655</v>
      </c>
      <c r="B250" t="s">
        <v>102</v>
      </c>
      <c r="C250">
        <v>31159389</v>
      </c>
      <c r="D250" t="s">
        <v>3818</v>
      </c>
      <c r="E250" t="s">
        <v>3819</v>
      </c>
      <c r="F250" t="s">
        <v>3820</v>
      </c>
      <c r="G250" t="s">
        <v>3137</v>
      </c>
      <c r="H250" t="s">
        <v>3821</v>
      </c>
      <c r="I250" t="s">
        <v>3822</v>
      </c>
      <c r="J250" t="s">
        <v>3129</v>
      </c>
      <c r="K250" t="s">
        <v>3823</v>
      </c>
      <c r="L250" t="s">
        <v>3824</v>
      </c>
      <c r="M250" t="s">
        <v>3825</v>
      </c>
      <c r="N250" t="s">
        <v>3826</v>
      </c>
      <c r="O250" t="s">
        <v>3827</v>
      </c>
      <c r="P250" t="s">
        <v>145</v>
      </c>
      <c r="Q250" t="s">
        <v>225</v>
      </c>
      <c r="R250" t="b">
        <v>0</v>
      </c>
      <c r="S250" t="s">
        <v>4354</v>
      </c>
    </row>
    <row r="251" spans="1:19" ht="11.25" customHeight="1">
      <c r="A251">
        <v>2655</v>
      </c>
      <c r="B251" t="s">
        <v>102</v>
      </c>
      <c r="C251">
        <v>26322895</v>
      </c>
      <c r="D251" t="s">
        <v>3280</v>
      </c>
      <c r="E251" t="s">
        <v>3281</v>
      </c>
      <c r="F251" t="s">
        <v>3282</v>
      </c>
      <c r="G251" t="s">
        <v>2999</v>
      </c>
      <c r="H251" t="s">
        <v>3283</v>
      </c>
      <c r="I251" t="s">
        <v>3284</v>
      </c>
      <c r="J251" t="s">
        <v>3059</v>
      </c>
      <c r="K251" t="s">
        <v>3285</v>
      </c>
      <c r="L251" t="s">
        <v>3285</v>
      </c>
      <c r="M251" t="s">
        <v>3286</v>
      </c>
      <c r="N251" t="s">
        <v>3287</v>
      </c>
      <c r="O251" t="s">
        <v>3288</v>
      </c>
      <c r="P251" t="s">
        <v>3064</v>
      </c>
      <c r="Q251" t="s">
        <v>3289</v>
      </c>
      <c r="R251" t="b">
        <v>0</v>
      </c>
      <c r="S251" t="s">
        <v>4354</v>
      </c>
    </row>
    <row r="252" spans="1:19" ht="11.25" customHeight="1">
      <c r="A252">
        <v>2655</v>
      </c>
      <c r="B252" t="s">
        <v>102</v>
      </c>
      <c r="C252">
        <v>26356930</v>
      </c>
      <c r="D252" t="s">
        <v>3828</v>
      </c>
      <c r="E252" t="s">
        <v>3829</v>
      </c>
      <c r="F252" t="s">
        <v>3830</v>
      </c>
      <c r="G252" t="s">
        <v>3300</v>
      </c>
      <c r="H252" t="s">
        <v>3831</v>
      </c>
      <c r="I252" t="s">
        <v>3832</v>
      </c>
      <c r="J252" t="s">
        <v>128</v>
      </c>
      <c r="K252" t="s">
        <v>3833</v>
      </c>
      <c r="L252" t="s">
        <v>3833</v>
      </c>
      <c r="M252" t="s">
        <v>3834</v>
      </c>
      <c r="N252" t="s">
        <v>225</v>
      </c>
      <c r="O252" t="s">
        <v>3835</v>
      </c>
      <c r="P252" t="s">
        <v>145</v>
      </c>
      <c r="Q252" t="s">
        <v>225</v>
      </c>
      <c r="R252" t="b">
        <v>1</v>
      </c>
      <c r="S252" t="s">
        <v>4354</v>
      </c>
    </row>
    <row r="253" spans="1:19" ht="11.25" customHeight="1">
      <c r="A253">
        <v>2655</v>
      </c>
      <c r="B253" t="s">
        <v>102</v>
      </c>
      <c r="C253">
        <v>30843704</v>
      </c>
      <c r="D253" t="s">
        <v>3836</v>
      </c>
      <c r="E253" t="s">
        <v>3837</v>
      </c>
      <c r="F253" t="s">
        <v>3838</v>
      </c>
      <c r="G253" t="s">
        <v>2999</v>
      </c>
      <c r="H253" t="s">
        <v>3839</v>
      </c>
      <c r="I253" t="s">
        <v>3840</v>
      </c>
      <c r="J253" t="s">
        <v>128</v>
      </c>
      <c r="K253" t="s">
        <v>3841</v>
      </c>
      <c r="L253" t="s">
        <v>3842</v>
      </c>
      <c r="M253" t="s">
        <v>225</v>
      </c>
      <c r="N253" t="s">
        <v>3843</v>
      </c>
      <c r="O253" t="s">
        <v>3844</v>
      </c>
      <c r="P253" t="s">
        <v>3064</v>
      </c>
      <c r="Q253" t="s">
        <v>225</v>
      </c>
      <c r="R253" t="b">
        <v>0</v>
      </c>
      <c r="S253" t="s">
        <v>4354</v>
      </c>
    </row>
    <row r="254" spans="1:19" ht="11.25" customHeight="1">
      <c r="A254">
        <v>2655</v>
      </c>
      <c r="B254" t="s">
        <v>102</v>
      </c>
      <c r="C254">
        <v>26798812</v>
      </c>
      <c r="D254" t="s">
        <v>3845</v>
      </c>
      <c r="E254" t="s">
        <v>3846</v>
      </c>
      <c r="F254" t="s">
        <v>3847</v>
      </c>
      <c r="G254" t="s">
        <v>3012</v>
      </c>
      <c r="H254" t="s">
        <v>3848</v>
      </c>
      <c r="I254" t="s">
        <v>3849</v>
      </c>
      <c r="J254" t="s">
        <v>128</v>
      </c>
      <c r="K254" t="s">
        <v>3850</v>
      </c>
      <c r="L254" t="s">
        <v>3850</v>
      </c>
      <c r="M254" t="s">
        <v>3851</v>
      </c>
      <c r="N254" t="s">
        <v>3852</v>
      </c>
      <c r="O254" t="s">
        <v>3853</v>
      </c>
      <c r="P254" t="s">
        <v>3064</v>
      </c>
      <c r="Q254" t="s">
        <v>3854</v>
      </c>
      <c r="R254" t="b">
        <v>0</v>
      </c>
      <c r="S254" t="s">
        <v>4354</v>
      </c>
    </row>
    <row r="255" spans="1:19" ht="11.25" customHeight="1">
      <c r="A255">
        <v>2655</v>
      </c>
      <c r="B255" t="s">
        <v>102</v>
      </c>
      <c r="C255">
        <v>31775146</v>
      </c>
      <c r="D255" t="s">
        <v>3297</v>
      </c>
      <c r="E255" t="s">
        <v>3298</v>
      </c>
      <c r="F255" t="s">
        <v>3299</v>
      </c>
      <c r="G255" t="s">
        <v>3300</v>
      </c>
      <c r="H255" t="s">
        <v>3301</v>
      </c>
      <c r="I255" t="s">
        <v>3302</v>
      </c>
      <c r="K255" t="s">
        <v>3303</v>
      </c>
      <c r="L255" t="s">
        <v>3303</v>
      </c>
      <c r="M255" t="s">
        <v>3304</v>
      </c>
      <c r="N255" t="s">
        <v>3305</v>
      </c>
      <c r="O255" t="s">
        <v>3306</v>
      </c>
      <c r="P255" t="s">
        <v>3155</v>
      </c>
      <c r="Q255" t="s">
        <v>225</v>
      </c>
      <c r="R255" t="b">
        <v>1</v>
      </c>
      <c r="S255" t="s">
        <v>4354</v>
      </c>
    </row>
    <row r="256" spans="1:19" ht="11.25" customHeight="1">
      <c r="A256">
        <v>2655</v>
      </c>
      <c r="B256" t="s">
        <v>102</v>
      </c>
      <c r="C256">
        <v>28873685</v>
      </c>
      <c r="D256" t="s">
        <v>3855</v>
      </c>
      <c r="E256" t="s">
        <v>3856</v>
      </c>
      <c r="F256" t="s">
        <v>3857</v>
      </c>
      <c r="G256" t="s">
        <v>3300</v>
      </c>
      <c r="H256" t="s">
        <v>3858</v>
      </c>
      <c r="I256" t="s">
        <v>3859</v>
      </c>
      <c r="J256" t="s">
        <v>128</v>
      </c>
      <c r="K256" t="s">
        <v>3860</v>
      </c>
      <c r="L256" t="s">
        <v>3860</v>
      </c>
      <c r="M256" t="s">
        <v>3861</v>
      </c>
      <c r="N256" t="s">
        <v>3305</v>
      </c>
      <c r="O256" t="s">
        <v>3306</v>
      </c>
      <c r="P256" t="s">
        <v>3064</v>
      </c>
      <c r="Q256" t="s">
        <v>3862</v>
      </c>
      <c r="R256" t="b">
        <v>1</v>
      </c>
      <c r="S256" t="s">
        <v>4354</v>
      </c>
    </row>
    <row r="257" spans="1:19" ht="11.25" customHeight="1">
      <c r="A257">
        <v>2655</v>
      </c>
      <c r="B257" t="s">
        <v>102</v>
      </c>
      <c r="C257">
        <v>28869965</v>
      </c>
      <c r="D257" t="s">
        <v>3307</v>
      </c>
      <c r="E257" t="s">
        <v>3308</v>
      </c>
      <c r="F257" t="s">
        <v>3309</v>
      </c>
      <c r="G257" t="s">
        <v>3115</v>
      </c>
      <c r="H257" t="s">
        <v>3310</v>
      </c>
      <c r="I257" t="s">
        <v>225</v>
      </c>
      <c r="J257" t="s">
        <v>128</v>
      </c>
      <c r="K257" t="s">
        <v>3311</v>
      </c>
      <c r="L257" t="s">
        <v>3311</v>
      </c>
      <c r="M257" t="s">
        <v>3312</v>
      </c>
      <c r="N257" t="s">
        <v>3313</v>
      </c>
      <c r="O257" t="s">
        <v>3314</v>
      </c>
      <c r="P257" t="s">
        <v>3064</v>
      </c>
      <c r="Q257" t="s">
        <v>3315</v>
      </c>
      <c r="R257" t="b">
        <v>0</v>
      </c>
      <c r="S257" t="s">
        <v>4354</v>
      </c>
    </row>
    <row r="258" spans="1:19" ht="11.25" customHeight="1">
      <c r="A258">
        <v>2655</v>
      </c>
      <c r="B258" t="s">
        <v>102</v>
      </c>
      <c r="C258">
        <v>31245446</v>
      </c>
      <c r="D258" t="s">
        <v>3863</v>
      </c>
      <c r="E258" t="s">
        <v>3864</v>
      </c>
      <c r="F258" t="s">
        <v>3865</v>
      </c>
      <c r="G258" t="s">
        <v>3866</v>
      </c>
      <c r="H258" t="s">
        <v>3867</v>
      </c>
      <c r="I258" t="s">
        <v>3868</v>
      </c>
      <c r="J258" t="s">
        <v>128</v>
      </c>
      <c r="K258" t="s">
        <v>3869</v>
      </c>
      <c r="L258" t="s">
        <v>3870</v>
      </c>
      <c r="M258" t="s">
        <v>3871</v>
      </c>
      <c r="N258" t="s">
        <v>3872</v>
      </c>
      <c r="O258" t="s">
        <v>3873</v>
      </c>
      <c r="P258" t="s">
        <v>145</v>
      </c>
      <c r="Q258" t="s">
        <v>225</v>
      </c>
      <c r="R258" t="b">
        <v>0</v>
      </c>
      <c r="S258" t="s">
        <v>4354</v>
      </c>
    </row>
    <row r="259" spans="1:19" ht="11.25" customHeight="1">
      <c r="A259">
        <v>2655</v>
      </c>
      <c r="B259" t="s">
        <v>102</v>
      </c>
      <c r="C259">
        <v>26476793</v>
      </c>
      <c r="D259" t="s">
        <v>3874</v>
      </c>
      <c r="E259" t="s">
        <v>3875</v>
      </c>
      <c r="F259" t="s">
        <v>3876</v>
      </c>
      <c r="G259" t="s">
        <v>3772</v>
      </c>
      <c r="H259" t="s">
        <v>3877</v>
      </c>
      <c r="I259" t="s">
        <v>3878</v>
      </c>
      <c r="J259" t="s">
        <v>128</v>
      </c>
      <c r="K259" t="s">
        <v>3879</v>
      </c>
      <c r="L259" t="s">
        <v>3879</v>
      </c>
      <c r="M259" t="s">
        <v>3880</v>
      </c>
      <c r="N259" t="s">
        <v>3881</v>
      </c>
      <c r="O259" t="s">
        <v>3882</v>
      </c>
      <c r="P259" t="s">
        <v>145</v>
      </c>
      <c r="Q259" t="s">
        <v>151</v>
      </c>
      <c r="R259" t="b">
        <v>1</v>
      </c>
      <c r="S259" t="s">
        <v>4354</v>
      </c>
    </row>
    <row r="260" spans="1:19" ht="11.25" customHeight="1">
      <c r="A260">
        <v>2655</v>
      </c>
      <c r="B260" t="s">
        <v>102</v>
      </c>
      <c r="C260">
        <v>28509720</v>
      </c>
      <c r="D260" t="s">
        <v>3883</v>
      </c>
      <c r="E260" t="s">
        <v>3884</v>
      </c>
      <c r="F260" t="s">
        <v>3885</v>
      </c>
      <c r="G260" t="s">
        <v>3886</v>
      </c>
      <c r="H260" t="s">
        <v>3887</v>
      </c>
      <c r="I260" t="s">
        <v>3888</v>
      </c>
      <c r="J260" t="s">
        <v>128</v>
      </c>
      <c r="K260" t="s">
        <v>3889</v>
      </c>
      <c r="L260" t="s">
        <v>3890</v>
      </c>
      <c r="M260" t="s">
        <v>3891</v>
      </c>
      <c r="N260" t="s">
        <v>225</v>
      </c>
      <c r="O260" t="s">
        <v>3892</v>
      </c>
      <c r="P260" t="s">
        <v>3064</v>
      </c>
      <c r="Q260" t="s">
        <v>225</v>
      </c>
      <c r="R260" t="b">
        <v>0</v>
      </c>
      <c r="S260" t="s">
        <v>4354</v>
      </c>
    </row>
    <row r="261" spans="1:19" ht="11.25" customHeight="1">
      <c r="A261">
        <v>2655</v>
      </c>
      <c r="B261" t="s">
        <v>102</v>
      </c>
      <c r="C261">
        <v>31527562</v>
      </c>
      <c r="D261" t="s">
        <v>3893</v>
      </c>
      <c r="E261" t="s">
        <v>3894</v>
      </c>
      <c r="F261" t="s">
        <v>3895</v>
      </c>
      <c r="G261" t="s">
        <v>3896</v>
      </c>
      <c r="H261" t="s">
        <v>3897</v>
      </c>
      <c r="I261" t="s">
        <v>3898</v>
      </c>
      <c r="K261" t="s">
        <v>3899</v>
      </c>
      <c r="L261" t="s">
        <v>3900</v>
      </c>
      <c r="M261" t="s">
        <v>225</v>
      </c>
      <c r="N261" t="s">
        <v>225</v>
      </c>
      <c r="O261" t="s">
        <v>3901</v>
      </c>
      <c r="P261" t="s">
        <v>225</v>
      </c>
      <c r="Q261" t="s">
        <v>225</v>
      </c>
      <c r="R261" t="b">
        <v>0</v>
      </c>
      <c r="S261" t="s">
        <v>4354</v>
      </c>
    </row>
    <row r="262" spans="1:19" ht="11.25" customHeight="1">
      <c r="A262">
        <v>2655</v>
      </c>
      <c r="B262" t="s">
        <v>102</v>
      </c>
      <c r="C262">
        <v>31874557</v>
      </c>
      <c r="D262" t="s">
        <v>3902</v>
      </c>
      <c r="E262" t="s">
        <v>3903</v>
      </c>
      <c r="F262" t="s">
        <v>3904</v>
      </c>
      <c r="G262" t="s">
        <v>3243</v>
      </c>
      <c r="H262" t="s">
        <v>3905</v>
      </c>
      <c r="I262" t="s">
        <v>3906</v>
      </c>
      <c r="K262" t="s">
        <v>3907</v>
      </c>
      <c r="L262" t="s">
        <v>3907</v>
      </c>
      <c r="M262" t="s">
        <v>3908</v>
      </c>
      <c r="N262" t="s">
        <v>3909</v>
      </c>
      <c r="O262" t="s">
        <v>3910</v>
      </c>
      <c r="P262" t="s">
        <v>3064</v>
      </c>
      <c r="Q262" t="s">
        <v>225</v>
      </c>
      <c r="R262" t="b">
        <v>1</v>
      </c>
      <c r="S262" t="s">
        <v>4354</v>
      </c>
    </row>
    <row r="263" spans="1:19" ht="11.25" customHeight="1">
      <c r="A263">
        <v>2655</v>
      </c>
      <c r="B263" t="s">
        <v>102</v>
      </c>
      <c r="C263">
        <v>31656254</v>
      </c>
      <c r="D263" t="s">
        <v>3345</v>
      </c>
      <c r="E263" t="s">
        <v>3346</v>
      </c>
      <c r="F263" t="s">
        <v>3347</v>
      </c>
      <c r="G263" t="s">
        <v>3348</v>
      </c>
      <c r="H263" t="s">
        <v>3349</v>
      </c>
      <c r="I263" t="s">
        <v>3350</v>
      </c>
      <c r="K263" t="s">
        <v>3351</v>
      </c>
      <c r="L263" t="s">
        <v>3352</v>
      </c>
      <c r="M263" t="s">
        <v>3353</v>
      </c>
      <c r="N263" t="s">
        <v>3354</v>
      </c>
      <c r="O263" t="s">
        <v>3355</v>
      </c>
      <c r="P263" t="s">
        <v>145</v>
      </c>
      <c r="Q263" t="s">
        <v>3356</v>
      </c>
      <c r="R263" t="b">
        <v>0</v>
      </c>
      <c r="S263" t="s">
        <v>4354</v>
      </c>
    </row>
    <row r="264" spans="1:19" ht="11.25" customHeight="1">
      <c r="A264">
        <v>2655</v>
      </c>
      <c r="B264" t="s">
        <v>102</v>
      </c>
      <c r="C264">
        <v>26356927</v>
      </c>
      <c r="D264" t="s">
        <v>3911</v>
      </c>
      <c r="E264" t="s">
        <v>3912</v>
      </c>
      <c r="F264" t="s">
        <v>3913</v>
      </c>
      <c r="G264" t="s">
        <v>3300</v>
      </c>
      <c r="H264" t="s">
        <v>3914</v>
      </c>
      <c r="I264" t="s">
        <v>3915</v>
      </c>
      <c r="J264" t="s">
        <v>128</v>
      </c>
      <c r="K264" t="s">
        <v>3916</v>
      </c>
      <c r="L264" t="s">
        <v>3916</v>
      </c>
      <c r="M264" t="s">
        <v>3917</v>
      </c>
      <c r="N264" t="s">
        <v>3918</v>
      </c>
      <c r="O264" t="s">
        <v>3919</v>
      </c>
      <c r="P264" t="s">
        <v>3155</v>
      </c>
      <c r="Q264" t="s">
        <v>225</v>
      </c>
      <c r="R264" t="b">
        <v>1</v>
      </c>
      <c r="S264" t="s">
        <v>4354</v>
      </c>
    </row>
    <row r="265" spans="1:19" ht="11.25" customHeight="1">
      <c r="A265">
        <v>2655</v>
      </c>
      <c r="B265" t="s">
        <v>102</v>
      </c>
      <c r="C265">
        <v>28878273</v>
      </c>
      <c r="D265" t="s">
        <v>3920</v>
      </c>
      <c r="E265" t="s">
        <v>3921</v>
      </c>
      <c r="F265" t="s">
        <v>3922</v>
      </c>
      <c r="G265" t="s">
        <v>2999</v>
      </c>
      <c r="H265" t="s">
        <v>3923</v>
      </c>
      <c r="I265" t="s">
        <v>225</v>
      </c>
      <c r="J265" t="s">
        <v>128</v>
      </c>
      <c r="K265" t="s">
        <v>3924</v>
      </c>
      <c r="L265" t="s">
        <v>3925</v>
      </c>
      <c r="M265" t="s">
        <v>3926</v>
      </c>
      <c r="N265" t="s">
        <v>3927</v>
      </c>
      <c r="O265" t="s">
        <v>3928</v>
      </c>
      <c r="P265" t="s">
        <v>3064</v>
      </c>
      <c r="Q265" t="s">
        <v>3929</v>
      </c>
      <c r="R265" t="b">
        <v>0</v>
      </c>
      <c r="S265" t="s">
        <v>4354</v>
      </c>
    </row>
    <row r="266" spans="1:19" ht="11.25" customHeight="1">
      <c r="A266">
        <v>2655</v>
      </c>
      <c r="B266" t="s">
        <v>102</v>
      </c>
      <c r="C266">
        <v>26562805</v>
      </c>
      <c r="D266" t="s">
        <v>3930</v>
      </c>
      <c r="E266" t="s">
        <v>3931</v>
      </c>
      <c r="F266" t="s">
        <v>3932</v>
      </c>
      <c r="G266" t="s">
        <v>3214</v>
      </c>
      <c r="H266" t="s">
        <v>3933</v>
      </c>
      <c r="I266" t="s">
        <v>3934</v>
      </c>
      <c r="J266" t="s">
        <v>128</v>
      </c>
      <c r="K266" t="s">
        <v>3935</v>
      </c>
      <c r="L266" t="s">
        <v>3935</v>
      </c>
      <c r="M266" t="s">
        <v>3936</v>
      </c>
      <c r="N266" t="s">
        <v>3937</v>
      </c>
      <c r="O266" t="s">
        <v>3938</v>
      </c>
      <c r="P266" t="s">
        <v>145</v>
      </c>
      <c r="Q266" t="s">
        <v>3939</v>
      </c>
      <c r="R266" t="b">
        <v>0</v>
      </c>
      <c r="S266" t="s">
        <v>4354</v>
      </c>
    </row>
    <row r="267" spans="1:19" ht="11.25" customHeight="1">
      <c r="A267">
        <v>2655</v>
      </c>
      <c r="B267" t="s">
        <v>102</v>
      </c>
      <c r="C267">
        <v>31684090</v>
      </c>
      <c r="D267" t="s">
        <v>3940</v>
      </c>
      <c r="E267" t="s">
        <v>3941</v>
      </c>
      <c r="F267" t="s">
        <v>3942</v>
      </c>
      <c r="G267" t="s">
        <v>2999</v>
      </c>
      <c r="H267" t="s">
        <v>3943</v>
      </c>
      <c r="I267" t="s">
        <v>3944</v>
      </c>
      <c r="K267" t="s">
        <v>3945</v>
      </c>
      <c r="L267" t="s">
        <v>3946</v>
      </c>
      <c r="M267" t="s">
        <v>225</v>
      </c>
      <c r="N267" t="s">
        <v>225</v>
      </c>
      <c r="O267" t="s">
        <v>3947</v>
      </c>
      <c r="P267" t="s">
        <v>3007</v>
      </c>
      <c r="Q267" t="s">
        <v>3948</v>
      </c>
      <c r="R267" t="b">
        <v>0</v>
      </c>
      <c r="S267" t="s">
        <v>4354</v>
      </c>
    </row>
    <row r="268" spans="1:19" ht="11.25" customHeight="1">
      <c r="A268">
        <v>2655</v>
      </c>
      <c r="B268" t="s">
        <v>102</v>
      </c>
      <c r="C268">
        <v>27997588</v>
      </c>
      <c r="D268" t="s">
        <v>3949</v>
      </c>
      <c r="E268" t="s">
        <v>3950</v>
      </c>
      <c r="F268" t="s">
        <v>3951</v>
      </c>
      <c r="G268" t="s">
        <v>3115</v>
      </c>
      <c r="H268" t="s">
        <v>3952</v>
      </c>
      <c r="I268" t="s">
        <v>3953</v>
      </c>
      <c r="J268" t="s">
        <v>128</v>
      </c>
      <c r="K268" t="s">
        <v>3954</v>
      </c>
      <c r="L268" t="s">
        <v>3954</v>
      </c>
      <c r="M268" t="s">
        <v>3955</v>
      </c>
      <c r="N268" t="s">
        <v>3956</v>
      </c>
      <c r="O268" t="s">
        <v>3957</v>
      </c>
      <c r="P268" t="s">
        <v>3958</v>
      </c>
      <c r="Q268" t="s">
        <v>225</v>
      </c>
      <c r="R268" t="b">
        <v>0</v>
      </c>
      <c r="S268" t="s">
        <v>4354</v>
      </c>
    </row>
    <row r="269" spans="1:19" ht="11.25" customHeight="1">
      <c r="A269">
        <v>2655</v>
      </c>
      <c r="B269" t="s">
        <v>102</v>
      </c>
      <c r="C269">
        <v>28882034</v>
      </c>
      <c r="D269" t="s">
        <v>3959</v>
      </c>
      <c r="E269" t="s">
        <v>3960</v>
      </c>
      <c r="F269" t="s">
        <v>3961</v>
      </c>
      <c r="G269" t="s">
        <v>2999</v>
      </c>
      <c r="H269" t="s">
        <v>3962</v>
      </c>
      <c r="I269" t="s">
        <v>225</v>
      </c>
      <c r="J269" t="s">
        <v>128</v>
      </c>
      <c r="K269" t="s">
        <v>3963</v>
      </c>
      <c r="L269" t="s">
        <v>3963</v>
      </c>
      <c r="M269" t="s">
        <v>225</v>
      </c>
      <c r="N269" t="s">
        <v>225</v>
      </c>
      <c r="O269" t="s">
        <v>3964</v>
      </c>
      <c r="P269" t="s">
        <v>145</v>
      </c>
      <c r="Q269" t="s">
        <v>225</v>
      </c>
      <c r="R269" t="b">
        <v>0</v>
      </c>
      <c r="S269" t="s">
        <v>4354</v>
      </c>
    </row>
    <row r="270" spans="1:19" ht="11.25" customHeight="1">
      <c r="A270">
        <v>2655</v>
      </c>
      <c r="B270" t="s">
        <v>102</v>
      </c>
      <c r="C270">
        <v>26648537</v>
      </c>
      <c r="D270" t="s">
        <v>3965</v>
      </c>
      <c r="E270" t="s">
        <v>3966</v>
      </c>
      <c r="F270" t="s">
        <v>3967</v>
      </c>
      <c r="G270" t="s">
        <v>2999</v>
      </c>
      <c r="H270" t="s">
        <v>3968</v>
      </c>
      <c r="I270" t="s">
        <v>3969</v>
      </c>
      <c r="J270" t="s">
        <v>128</v>
      </c>
      <c r="K270" t="s">
        <v>3970</v>
      </c>
      <c r="L270" t="s">
        <v>3970</v>
      </c>
      <c r="M270" t="s">
        <v>3971</v>
      </c>
      <c r="N270" t="s">
        <v>3972</v>
      </c>
      <c r="O270" t="s">
        <v>3973</v>
      </c>
      <c r="P270" t="s">
        <v>145</v>
      </c>
      <c r="Q270" t="s">
        <v>3974</v>
      </c>
      <c r="R270" t="b">
        <v>0</v>
      </c>
      <c r="S270" t="s">
        <v>4354</v>
      </c>
    </row>
    <row r="271" spans="1:19" ht="11.25" customHeight="1">
      <c r="A271">
        <v>2655</v>
      </c>
      <c r="B271" t="s">
        <v>102</v>
      </c>
      <c r="C271">
        <v>31519209</v>
      </c>
      <c r="D271" t="s">
        <v>3975</v>
      </c>
      <c r="E271" t="s">
        <v>3976</v>
      </c>
      <c r="F271" t="s">
        <v>3977</v>
      </c>
      <c r="G271" t="s">
        <v>3300</v>
      </c>
      <c r="H271" t="s">
        <v>3978</v>
      </c>
      <c r="I271" t="s">
        <v>3979</v>
      </c>
      <c r="J271" t="s">
        <v>128</v>
      </c>
      <c r="K271" t="s">
        <v>3980</v>
      </c>
      <c r="L271" t="s">
        <v>3981</v>
      </c>
      <c r="M271" t="s">
        <v>3982</v>
      </c>
      <c r="N271" t="s">
        <v>3983</v>
      </c>
      <c r="O271" t="s">
        <v>3984</v>
      </c>
      <c r="P271" t="s">
        <v>3007</v>
      </c>
      <c r="Q271" t="s">
        <v>225</v>
      </c>
      <c r="R271" t="b">
        <v>0</v>
      </c>
      <c r="S271" t="s">
        <v>4354</v>
      </c>
    </row>
    <row r="272" spans="1:19" ht="11.25" customHeight="1">
      <c r="A272">
        <v>2655</v>
      </c>
      <c r="B272" t="s">
        <v>102</v>
      </c>
      <c r="C272">
        <v>31574053</v>
      </c>
      <c r="D272" t="s">
        <v>3985</v>
      </c>
      <c r="E272" t="s">
        <v>3986</v>
      </c>
      <c r="F272" t="s">
        <v>3987</v>
      </c>
      <c r="G272" t="s">
        <v>3243</v>
      </c>
      <c r="H272" t="s">
        <v>3988</v>
      </c>
      <c r="I272" t="s">
        <v>3989</v>
      </c>
      <c r="K272" t="s">
        <v>3990</v>
      </c>
      <c r="L272" t="s">
        <v>3990</v>
      </c>
      <c r="M272" t="s">
        <v>3991</v>
      </c>
      <c r="N272" t="s">
        <v>3992</v>
      </c>
      <c r="O272" t="s">
        <v>3993</v>
      </c>
      <c r="P272" t="s">
        <v>145</v>
      </c>
      <c r="Q272" t="s">
        <v>225</v>
      </c>
      <c r="R272" t="b">
        <v>0</v>
      </c>
      <c r="S272" t="s">
        <v>4354</v>
      </c>
    </row>
    <row r="273" spans="1:19" ht="11.25" customHeight="1">
      <c r="A273">
        <v>2655</v>
      </c>
      <c r="B273" t="s">
        <v>102</v>
      </c>
      <c r="C273">
        <v>28141951</v>
      </c>
      <c r="D273" t="s">
        <v>3994</v>
      </c>
      <c r="E273" t="s">
        <v>3995</v>
      </c>
      <c r="F273" t="s">
        <v>3996</v>
      </c>
      <c r="G273" t="s">
        <v>3023</v>
      </c>
      <c r="H273" t="s">
        <v>3997</v>
      </c>
      <c r="I273" t="s">
        <v>3998</v>
      </c>
      <c r="J273" t="s">
        <v>128</v>
      </c>
      <c r="K273" t="s">
        <v>3999</v>
      </c>
      <c r="L273" t="s">
        <v>3999</v>
      </c>
      <c r="M273" t="s">
        <v>4000</v>
      </c>
      <c r="N273" t="s">
        <v>4001</v>
      </c>
      <c r="O273" t="s">
        <v>4002</v>
      </c>
      <c r="P273" t="s">
        <v>3064</v>
      </c>
      <c r="Q273" t="s">
        <v>4003</v>
      </c>
      <c r="R273" t="b">
        <v>0</v>
      </c>
      <c r="S273" t="s">
        <v>4354</v>
      </c>
    </row>
    <row r="274" spans="1:19" ht="11.25" customHeight="1">
      <c r="A274">
        <v>2655</v>
      </c>
      <c r="B274" t="s">
        <v>102</v>
      </c>
      <c r="C274">
        <v>26852793</v>
      </c>
      <c r="D274" t="s">
        <v>4004</v>
      </c>
      <c r="E274" t="s">
        <v>4005</v>
      </c>
      <c r="F274" t="s">
        <v>4006</v>
      </c>
      <c r="G274" t="s">
        <v>3243</v>
      </c>
      <c r="H274" t="s">
        <v>4007</v>
      </c>
      <c r="I274" t="s">
        <v>4008</v>
      </c>
      <c r="J274" t="s">
        <v>128</v>
      </c>
      <c r="K274" t="s">
        <v>3695</v>
      </c>
      <c r="L274" t="s">
        <v>3695</v>
      </c>
      <c r="M274" t="s">
        <v>4009</v>
      </c>
      <c r="N274" t="s">
        <v>4010</v>
      </c>
      <c r="O274" t="s">
        <v>4011</v>
      </c>
      <c r="P274" t="s">
        <v>3064</v>
      </c>
      <c r="Q274" t="s">
        <v>151</v>
      </c>
      <c r="R274" t="b">
        <v>0</v>
      </c>
      <c r="S274" t="s">
        <v>4354</v>
      </c>
    </row>
    <row r="275" spans="1:19" ht="11.25" customHeight="1">
      <c r="A275">
        <v>2655</v>
      </c>
      <c r="B275" t="s">
        <v>102</v>
      </c>
      <c r="C275">
        <v>28141966</v>
      </c>
      <c r="D275" t="s">
        <v>4012</v>
      </c>
      <c r="E275" t="s">
        <v>4013</v>
      </c>
      <c r="F275" t="s">
        <v>4014</v>
      </c>
      <c r="G275" t="s">
        <v>3115</v>
      </c>
      <c r="H275" t="s">
        <v>4015</v>
      </c>
      <c r="I275" t="s">
        <v>4016</v>
      </c>
      <c r="J275" t="s">
        <v>128</v>
      </c>
      <c r="K275" t="s">
        <v>4017</v>
      </c>
      <c r="L275" t="s">
        <v>4018</v>
      </c>
      <c r="M275" t="s">
        <v>4019</v>
      </c>
      <c r="N275" t="s">
        <v>4020</v>
      </c>
      <c r="O275" t="s">
        <v>4021</v>
      </c>
      <c r="P275" t="s">
        <v>3064</v>
      </c>
      <c r="Q275" t="s">
        <v>4022</v>
      </c>
      <c r="R275" t="b">
        <v>0</v>
      </c>
      <c r="S275" t="s">
        <v>4354</v>
      </c>
    </row>
    <row r="276" spans="1:19" ht="11.25" customHeight="1">
      <c r="A276">
        <v>2655</v>
      </c>
      <c r="B276" t="s">
        <v>102</v>
      </c>
      <c r="C276">
        <v>31424033</v>
      </c>
      <c r="D276" t="s">
        <v>3357</v>
      </c>
      <c r="E276" t="s">
        <v>3358</v>
      </c>
      <c r="F276" t="s">
        <v>3359</v>
      </c>
      <c r="G276" t="s">
        <v>3360</v>
      </c>
      <c r="H276" t="s">
        <v>3361</v>
      </c>
      <c r="I276" t="s">
        <v>225</v>
      </c>
      <c r="J276" t="s">
        <v>128</v>
      </c>
      <c r="K276" t="s">
        <v>3362</v>
      </c>
      <c r="L276" t="s">
        <v>3363</v>
      </c>
      <c r="M276" t="s">
        <v>3004</v>
      </c>
      <c r="N276" t="s">
        <v>3364</v>
      </c>
      <c r="O276" t="s">
        <v>3365</v>
      </c>
      <c r="P276" t="s">
        <v>145</v>
      </c>
      <c r="Q276" t="s">
        <v>3366</v>
      </c>
      <c r="R276" t="b">
        <v>0</v>
      </c>
      <c r="S276" t="s">
        <v>4354</v>
      </c>
    </row>
    <row r="277" spans="1:19" ht="11.25" customHeight="1">
      <c r="A277">
        <v>2655</v>
      </c>
      <c r="B277" t="s">
        <v>102</v>
      </c>
      <c r="C277">
        <v>27838991</v>
      </c>
      <c r="D277" t="s">
        <v>3662</v>
      </c>
      <c r="E277" t="s">
        <v>3663</v>
      </c>
      <c r="F277" t="s">
        <v>3664</v>
      </c>
      <c r="G277" t="s">
        <v>3023</v>
      </c>
      <c r="H277" t="s">
        <v>3665</v>
      </c>
      <c r="I277" t="s">
        <v>3666</v>
      </c>
      <c r="J277" t="s">
        <v>128</v>
      </c>
      <c r="K277" t="s">
        <v>3667</v>
      </c>
      <c r="L277" t="s">
        <v>3668</v>
      </c>
      <c r="M277" t="s">
        <v>3669</v>
      </c>
      <c r="N277" t="s">
        <v>3670</v>
      </c>
      <c r="O277" t="s">
        <v>3671</v>
      </c>
      <c r="P277" t="s">
        <v>3064</v>
      </c>
      <c r="Q277" t="s">
        <v>225</v>
      </c>
      <c r="R277" t="b">
        <v>0</v>
      </c>
      <c r="S277" t="s">
        <v>4354</v>
      </c>
    </row>
    <row r="278" spans="1:19" ht="11.25" customHeight="1">
      <c r="A278">
        <v>2655</v>
      </c>
      <c r="B278" t="s">
        <v>102</v>
      </c>
      <c r="C278">
        <v>26356931</v>
      </c>
      <c r="D278" t="s">
        <v>4023</v>
      </c>
      <c r="E278" t="s">
        <v>4024</v>
      </c>
      <c r="F278" t="s">
        <v>4025</v>
      </c>
      <c r="G278" t="s">
        <v>3300</v>
      </c>
      <c r="H278" t="s">
        <v>4026</v>
      </c>
      <c r="I278" t="s">
        <v>4027</v>
      </c>
      <c r="J278" t="s">
        <v>128</v>
      </c>
      <c r="K278" t="s">
        <v>4028</v>
      </c>
      <c r="L278" t="s">
        <v>4028</v>
      </c>
      <c r="M278" t="s">
        <v>4029</v>
      </c>
      <c r="N278" t="s">
        <v>4030</v>
      </c>
      <c r="O278" t="s">
        <v>4031</v>
      </c>
      <c r="P278" t="s">
        <v>145</v>
      </c>
      <c r="Q278" t="s">
        <v>151</v>
      </c>
      <c r="R278" t="b">
        <v>1</v>
      </c>
      <c r="S278" t="s">
        <v>4354</v>
      </c>
    </row>
    <row r="279" spans="1:19" ht="11.25" customHeight="1">
      <c r="A279">
        <v>2655</v>
      </c>
      <c r="B279" t="s">
        <v>102</v>
      </c>
      <c r="C279">
        <v>28151808</v>
      </c>
      <c r="D279" t="s">
        <v>3376</v>
      </c>
      <c r="E279" t="s">
        <v>3377</v>
      </c>
      <c r="F279" t="s">
        <v>3378</v>
      </c>
      <c r="G279" t="s">
        <v>3068</v>
      </c>
      <c r="H279" t="s">
        <v>3379</v>
      </c>
      <c r="I279" t="s">
        <v>3380</v>
      </c>
      <c r="J279" t="s">
        <v>128</v>
      </c>
      <c r="K279" t="s">
        <v>3381</v>
      </c>
      <c r="L279" t="s">
        <v>3382</v>
      </c>
      <c r="M279" t="s">
        <v>3383</v>
      </c>
      <c r="N279" t="s">
        <v>3384</v>
      </c>
      <c r="O279" t="s">
        <v>3385</v>
      </c>
      <c r="P279" t="s">
        <v>3064</v>
      </c>
      <c r="Q279" t="s">
        <v>225</v>
      </c>
      <c r="R279" t="b">
        <v>1</v>
      </c>
      <c r="S279" t="s">
        <v>4354</v>
      </c>
    </row>
    <row r="280" spans="1:19" ht="11.25" customHeight="1">
      <c r="A280">
        <v>2655</v>
      </c>
      <c r="B280" t="s">
        <v>102</v>
      </c>
      <c r="C280">
        <v>31739633</v>
      </c>
      <c r="D280" t="s">
        <v>3386</v>
      </c>
      <c r="E280" t="s">
        <v>3387</v>
      </c>
      <c r="F280" t="s">
        <v>3388</v>
      </c>
      <c r="G280" t="s">
        <v>3389</v>
      </c>
      <c r="H280" t="s">
        <v>3390</v>
      </c>
      <c r="I280" t="s">
        <v>3391</v>
      </c>
      <c r="K280" t="s">
        <v>3392</v>
      </c>
      <c r="L280" t="s">
        <v>3392</v>
      </c>
      <c r="M280" t="s">
        <v>3393</v>
      </c>
      <c r="N280" t="s">
        <v>3394</v>
      </c>
      <c r="O280" t="s">
        <v>3395</v>
      </c>
      <c r="P280" t="s">
        <v>3155</v>
      </c>
      <c r="Q280" t="s">
        <v>225</v>
      </c>
      <c r="R280" t="b">
        <v>0</v>
      </c>
      <c r="S280" t="s">
        <v>4354</v>
      </c>
    </row>
    <row r="281" spans="1:19" ht="11.25" customHeight="1">
      <c r="A281">
        <v>2655</v>
      </c>
      <c r="B281" t="s">
        <v>102</v>
      </c>
      <c r="C281">
        <v>30433806</v>
      </c>
      <c r="D281" t="s">
        <v>4032</v>
      </c>
      <c r="E281" t="s">
        <v>4033</v>
      </c>
      <c r="F281" t="s">
        <v>4034</v>
      </c>
      <c r="G281" t="s">
        <v>3214</v>
      </c>
      <c r="H281" t="s">
        <v>4035</v>
      </c>
      <c r="I281" t="s">
        <v>4036</v>
      </c>
      <c r="J281" t="s">
        <v>128</v>
      </c>
      <c r="K281" t="s">
        <v>4037</v>
      </c>
      <c r="L281" t="s">
        <v>4037</v>
      </c>
      <c r="M281" t="s">
        <v>4038</v>
      </c>
      <c r="N281" t="s">
        <v>4039</v>
      </c>
      <c r="O281" t="s">
        <v>4040</v>
      </c>
      <c r="P281" t="s">
        <v>145</v>
      </c>
      <c r="Q281" t="s">
        <v>151</v>
      </c>
      <c r="R281" t="b">
        <v>0</v>
      </c>
      <c r="S281" t="s">
        <v>4354</v>
      </c>
    </row>
    <row r="282" spans="1:19" ht="11.25" customHeight="1">
      <c r="A282">
        <v>2655</v>
      </c>
      <c r="B282" t="s">
        <v>102</v>
      </c>
      <c r="C282">
        <v>31743966</v>
      </c>
      <c r="D282" t="s">
        <v>4041</v>
      </c>
      <c r="E282" t="s">
        <v>4042</v>
      </c>
      <c r="F282" t="s">
        <v>4043</v>
      </c>
      <c r="G282" t="s">
        <v>2999</v>
      </c>
      <c r="H282" t="s">
        <v>4044</v>
      </c>
      <c r="I282" t="s">
        <v>4045</v>
      </c>
      <c r="K282" t="s">
        <v>4046</v>
      </c>
      <c r="L282" t="s">
        <v>4046</v>
      </c>
      <c r="M282" t="s">
        <v>4047</v>
      </c>
      <c r="N282" t="s">
        <v>4048</v>
      </c>
      <c r="O282" t="s">
        <v>4049</v>
      </c>
      <c r="P282" t="s">
        <v>3064</v>
      </c>
      <c r="Q282" t="s">
        <v>4050</v>
      </c>
      <c r="R282" t="b">
        <v>1</v>
      </c>
      <c r="S282" t="s">
        <v>4354</v>
      </c>
    </row>
    <row r="283" spans="1:19" ht="11.25" customHeight="1">
      <c r="A283">
        <v>2655</v>
      </c>
      <c r="B283" t="s">
        <v>102</v>
      </c>
      <c r="C283">
        <v>30874454</v>
      </c>
      <c r="D283" t="s">
        <v>4051</v>
      </c>
      <c r="E283" t="s">
        <v>4052</v>
      </c>
      <c r="F283" t="s">
        <v>4053</v>
      </c>
      <c r="G283" t="s">
        <v>3360</v>
      </c>
      <c r="H283" t="s">
        <v>4054</v>
      </c>
      <c r="I283" t="s">
        <v>4055</v>
      </c>
      <c r="J283" t="s">
        <v>128</v>
      </c>
      <c r="K283" t="s">
        <v>4056</v>
      </c>
      <c r="L283" t="s">
        <v>4057</v>
      </c>
      <c r="M283" t="s">
        <v>4058</v>
      </c>
      <c r="N283" t="s">
        <v>4020</v>
      </c>
      <c r="O283" t="s">
        <v>4059</v>
      </c>
      <c r="P283" t="s">
        <v>3155</v>
      </c>
      <c r="Q283" t="s">
        <v>4060</v>
      </c>
      <c r="R283" t="b">
        <v>0</v>
      </c>
      <c r="S283" t="s">
        <v>4354</v>
      </c>
    </row>
    <row r="284" spans="1:19" ht="11.25" customHeight="1">
      <c r="A284">
        <v>2655</v>
      </c>
      <c r="B284" t="s">
        <v>102</v>
      </c>
      <c r="C284">
        <v>26356987</v>
      </c>
      <c r="D284" t="s">
        <v>3406</v>
      </c>
      <c r="E284" t="s">
        <v>3407</v>
      </c>
      <c r="F284" t="s">
        <v>3408</v>
      </c>
      <c r="G284" t="s">
        <v>3409</v>
      </c>
      <c r="H284" t="s">
        <v>3410</v>
      </c>
      <c r="I284" t="s">
        <v>3411</v>
      </c>
      <c r="J284" t="s">
        <v>128</v>
      </c>
      <c r="K284" t="s">
        <v>3412</v>
      </c>
      <c r="L284" t="s">
        <v>3412</v>
      </c>
      <c r="M284" t="s">
        <v>3413</v>
      </c>
      <c r="N284" t="s">
        <v>3414</v>
      </c>
      <c r="O284" t="s">
        <v>3415</v>
      </c>
      <c r="P284" t="s">
        <v>3155</v>
      </c>
      <c r="Q284" t="s">
        <v>3416</v>
      </c>
      <c r="R284" t="b">
        <v>0</v>
      </c>
      <c r="S284" t="s">
        <v>4354</v>
      </c>
    </row>
    <row r="285" spans="1:19" ht="11.25" customHeight="1">
      <c r="A285">
        <v>2655</v>
      </c>
      <c r="B285" t="s">
        <v>102</v>
      </c>
      <c r="C285">
        <v>30856223</v>
      </c>
      <c r="D285" t="s">
        <v>4061</v>
      </c>
      <c r="E285" t="s">
        <v>4062</v>
      </c>
      <c r="F285" t="s">
        <v>4063</v>
      </c>
      <c r="G285" t="s">
        <v>3023</v>
      </c>
      <c r="H285" t="s">
        <v>4064</v>
      </c>
      <c r="I285" t="s">
        <v>4065</v>
      </c>
      <c r="J285" t="s">
        <v>128</v>
      </c>
      <c r="K285" t="s">
        <v>4066</v>
      </c>
      <c r="L285" t="s">
        <v>4066</v>
      </c>
      <c r="M285" t="s">
        <v>4067</v>
      </c>
      <c r="N285" t="s">
        <v>4068</v>
      </c>
      <c r="O285" t="s">
        <v>4069</v>
      </c>
      <c r="P285" t="s">
        <v>3064</v>
      </c>
      <c r="Q285" t="s">
        <v>4070</v>
      </c>
      <c r="R285" t="b">
        <v>0</v>
      </c>
      <c r="S285" t="s">
        <v>4354</v>
      </c>
    </row>
    <row r="286" spans="1:19" ht="11.25" customHeight="1">
      <c r="A286">
        <v>2655</v>
      </c>
      <c r="B286" t="s">
        <v>102</v>
      </c>
      <c r="C286">
        <v>31373026</v>
      </c>
      <c r="D286" t="s">
        <v>4061</v>
      </c>
      <c r="E286" t="s">
        <v>4062</v>
      </c>
      <c r="F286" t="s">
        <v>4071</v>
      </c>
      <c r="G286" t="s">
        <v>3389</v>
      </c>
      <c r="H286" t="s">
        <v>4072</v>
      </c>
      <c r="I286" t="s">
        <v>4073</v>
      </c>
      <c r="J286" t="s">
        <v>128</v>
      </c>
      <c r="K286" t="s">
        <v>4074</v>
      </c>
      <c r="L286" t="s">
        <v>4075</v>
      </c>
      <c r="M286" t="s">
        <v>4076</v>
      </c>
      <c r="N286" t="s">
        <v>4077</v>
      </c>
      <c r="O286" t="s">
        <v>4078</v>
      </c>
      <c r="P286" t="s">
        <v>4079</v>
      </c>
      <c r="Q286" t="s">
        <v>4080</v>
      </c>
      <c r="R286" t="b">
        <v>1</v>
      </c>
      <c r="S286" t="s">
        <v>4354</v>
      </c>
    </row>
    <row r="287" spans="1:19" ht="11.25" customHeight="1">
      <c r="A287">
        <v>2655</v>
      </c>
      <c r="B287" t="s">
        <v>102</v>
      </c>
      <c r="C287">
        <v>31579609</v>
      </c>
      <c r="D287" t="s">
        <v>4081</v>
      </c>
      <c r="E287" t="s">
        <v>4082</v>
      </c>
      <c r="F287" t="s">
        <v>4083</v>
      </c>
      <c r="G287" t="s">
        <v>3068</v>
      </c>
      <c r="H287" t="s">
        <v>4084</v>
      </c>
      <c r="I287" t="s">
        <v>4085</v>
      </c>
      <c r="K287" t="s">
        <v>4086</v>
      </c>
      <c r="L287" t="s">
        <v>4086</v>
      </c>
      <c r="M287" t="s">
        <v>4087</v>
      </c>
      <c r="N287" t="s">
        <v>4088</v>
      </c>
      <c r="O287" t="s">
        <v>4089</v>
      </c>
      <c r="P287" t="s">
        <v>3064</v>
      </c>
      <c r="Q287" t="s">
        <v>225</v>
      </c>
      <c r="R287" t="b">
        <v>1</v>
      </c>
      <c r="S287" t="s">
        <v>4354</v>
      </c>
    </row>
    <row r="288" spans="1:19" ht="11.25" customHeight="1">
      <c r="A288">
        <v>2655</v>
      </c>
      <c r="B288" t="s">
        <v>102</v>
      </c>
      <c r="C288">
        <v>26356891</v>
      </c>
      <c r="D288" t="s">
        <v>3417</v>
      </c>
      <c r="E288" t="s">
        <v>3418</v>
      </c>
      <c r="F288" t="s">
        <v>3419</v>
      </c>
      <c r="G288" t="s">
        <v>123</v>
      </c>
      <c r="H288" t="s">
        <v>3420</v>
      </c>
      <c r="I288" t="s">
        <v>3421</v>
      </c>
      <c r="J288" t="s">
        <v>128</v>
      </c>
      <c r="K288" t="s">
        <v>3422</v>
      </c>
      <c r="L288" t="s">
        <v>3422</v>
      </c>
      <c r="M288" t="s">
        <v>3423</v>
      </c>
      <c r="N288" t="s">
        <v>3424</v>
      </c>
      <c r="O288" t="s">
        <v>3425</v>
      </c>
      <c r="P288" t="s">
        <v>145</v>
      </c>
      <c r="Q288" t="s">
        <v>225</v>
      </c>
      <c r="R288" t="b">
        <v>0</v>
      </c>
      <c r="S288" t="s">
        <v>4354</v>
      </c>
    </row>
    <row r="289" spans="1:19" ht="11.25" customHeight="1">
      <c r="A289">
        <v>2655</v>
      </c>
      <c r="B289" t="s">
        <v>102</v>
      </c>
      <c r="C289">
        <v>27566835</v>
      </c>
      <c r="D289" t="s">
        <v>4090</v>
      </c>
      <c r="E289" t="s">
        <v>4091</v>
      </c>
      <c r="F289" t="s">
        <v>4092</v>
      </c>
      <c r="G289" t="s">
        <v>123</v>
      </c>
      <c r="H289" t="s">
        <v>4093</v>
      </c>
      <c r="I289" t="s">
        <v>4094</v>
      </c>
      <c r="J289" t="s">
        <v>128</v>
      </c>
      <c r="K289" t="s">
        <v>4095</v>
      </c>
      <c r="L289" t="s">
        <v>4095</v>
      </c>
      <c r="M289" t="s">
        <v>4096</v>
      </c>
      <c r="N289" t="s">
        <v>3238</v>
      </c>
      <c r="O289" t="s">
        <v>4097</v>
      </c>
      <c r="P289" t="s">
        <v>145</v>
      </c>
      <c r="Q289" t="s">
        <v>151</v>
      </c>
      <c r="R289" t="b">
        <v>0</v>
      </c>
      <c r="S289" t="s">
        <v>4354</v>
      </c>
    </row>
    <row r="290" spans="1:19" ht="11.25" customHeight="1">
      <c r="A290">
        <v>2655</v>
      </c>
      <c r="B290" t="s">
        <v>102</v>
      </c>
      <c r="C290">
        <v>31229342</v>
      </c>
      <c r="D290" t="s">
        <v>4098</v>
      </c>
      <c r="E290" t="s">
        <v>4099</v>
      </c>
      <c r="F290" t="s">
        <v>4100</v>
      </c>
      <c r="G290" t="s">
        <v>3243</v>
      </c>
      <c r="H290" t="s">
        <v>4101</v>
      </c>
      <c r="I290" t="s">
        <v>4102</v>
      </c>
      <c r="J290" t="s">
        <v>128</v>
      </c>
      <c r="K290" t="s">
        <v>4103</v>
      </c>
      <c r="L290" t="s">
        <v>4103</v>
      </c>
      <c r="M290" t="s">
        <v>4104</v>
      </c>
      <c r="N290" t="s">
        <v>4105</v>
      </c>
      <c r="O290" t="s">
        <v>4106</v>
      </c>
      <c r="P290" t="s">
        <v>3064</v>
      </c>
      <c r="Q290" t="s">
        <v>225</v>
      </c>
      <c r="R290" t="b">
        <v>0</v>
      </c>
      <c r="S290" t="s">
        <v>4354</v>
      </c>
    </row>
    <row r="291" spans="1:19" ht="11.25" customHeight="1">
      <c r="A291">
        <v>2655</v>
      </c>
      <c r="B291" t="s">
        <v>102</v>
      </c>
      <c r="C291">
        <v>31690080</v>
      </c>
      <c r="D291" t="s">
        <v>4107</v>
      </c>
      <c r="E291" t="s">
        <v>4108</v>
      </c>
      <c r="F291" t="s">
        <v>4109</v>
      </c>
      <c r="G291" t="s">
        <v>3243</v>
      </c>
      <c r="H291" t="s">
        <v>4110</v>
      </c>
      <c r="I291" t="s">
        <v>4111</v>
      </c>
      <c r="K291" t="s">
        <v>4112</v>
      </c>
      <c r="L291" t="s">
        <v>4112</v>
      </c>
      <c r="M291" t="s">
        <v>4113</v>
      </c>
      <c r="N291" t="s">
        <v>4114</v>
      </c>
      <c r="O291" t="s">
        <v>4115</v>
      </c>
      <c r="P291" t="s">
        <v>145</v>
      </c>
      <c r="Q291" t="s">
        <v>225</v>
      </c>
      <c r="R291" t="b">
        <v>1</v>
      </c>
      <c r="S291" t="s">
        <v>4354</v>
      </c>
    </row>
    <row r="292" spans="1:19" ht="11.25" customHeight="1">
      <c r="A292">
        <v>2655</v>
      </c>
      <c r="B292" t="s">
        <v>102</v>
      </c>
      <c r="C292">
        <v>31539720</v>
      </c>
      <c r="D292" t="s">
        <v>4107</v>
      </c>
      <c r="E292" t="s">
        <v>4116</v>
      </c>
      <c r="F292" t="s">
        <v>4117</v>
      </c>
      <c r="G292" t="s">
        <v>3243</v>
      </c>
      <c r="H292" t="s">
        <v>4118</v>
      </c>
      <c r="I292" t="s">
        <v>4119</v>
      </c>
      <c r="K292" t="s">
        <v>4120</v>
      </c>
      <c r="L292" t="s">
        <v>4120</v>
      </c>
      <c r="M292" t="s">
        <v>4121</v>
      </c>
      <c r="N292" t="s">
        <v>4122</v>
      </c>
      <c r="O292" t="s">
        <v>4123</v>
      </c>
      <c r="P292" t="s">
        <v>3064</v>
      </c>
      <c r="Q292" t="s">
        <v>4124</v>
      </c>
      <c r="R292" t="b">
        <v>0</v>
      </c>
      <c r="S292" t="s">
        <v>4354</v>
      </c>
    </row>
    <row r="293" spans="1:19" ht="11.25" customHeight="1">
      <c r="A293">
        <v>2655</v>
      </c>
      <c r="B293" t="s">
        <v>102</v>
      </c>
      <c r="C293">
        <v>30872315</v>
      </c>
      <c r="D293" t="s">
        <v>4125</v>
      </c>
      <c r="E293" t="s">
        <v>4126</v>
      </c>
      <c r="F293" t="s">
        <v>4127</v>
      </c>
      <c r="G293" t="s">
        <v>2999</v>
      </c>
      <c r="H293" t="s">
        <v>4128</v>
      </c>
      <c r="I293" t="s">
        <v>4129</v>
      </c>
      <c r="J293" t="s">
        <v>128</v>
      </c>
      <c r="K293" t="s">
        <v>4130</v>
      </c>
      <c r="L293" t="s">
        <v>4130</v>
      </c>
      <c r="M293" t="s">
        <v>4131</v>
      </c>
      <c r="N293" t="s">
        <v>4132</v>
      </c>
      <c r="O293" t="s">
        <v>4133</v>
      </c>
      <c r="P293" t="s">
        <v>145</v>
      </c>
      <c r="Q293" t="s">
        <v>225</v>
      </c>
      <c r="R293" t="b">
        <v>0</v>
      </c>
      <c r="S293" t="s">
        <v>4354</v>
      </c>
    </row>
    <row r="294" spans="1:19" ht="11.25" customHeight="1">
      <c r="A294">
        <v>2655</v>
      </c>
      <c r="B294" t="s">
        <v>102</v>
      </c>
      <c r="C294">
        <v>30856253</v>
      </c>
      <c r="D294" t="s">
        <v>4134</v>
      </c>
      <c r="E294" t="s">
        <v>4135</v>
      </c>
      <c r="F294" t="s">
        <v>4136</v>
      </c>
      <c r="G294" t="s">
        <v>3068</v>
      </c>
      <c r="H294" t="s">
        <v>4137</v>
      </c>
      <c r="I294" t="s">
        <v>4138</v>
      </c>
      <c r="J294" t="s">
        <v>128</v>
      </c>
      <c r="K294" t="s">
        <v>4139</v>
      </c>
      <c r="L294" t="s">
        <v>4139</v>
      </c>
      <c r="M294" t="s">
        <v>4140</v>
      </c>
      <c r="N294" t="s">
        <v>4141</v>
      </c>
      <c r="O294" t="s">
        <v>4142</v>
      </c>
      <c r="P294" t="s">
        <v>145</v>
      </c>
      <c r="Q294" t="s">
        <v>225</v>
      </c>
      <c r="R294" t="b">
        <v>0</v>
      </c>
      <c r="S294" t="s">
        <v>4354</v>
      </c>
    </row>
    <row r="295" spans="1:19" ht="11.25" customHeight="1">
      <c r="A295">
        <v>2655</v>
      </c>
      <c r="B295" t="s">
        <v>102</v>
      </c>
      <c r="C295">
        <v>33000042</v>
      </c>
      <c r="D295" t="s">
        <v>4143</v>
      </c>
      <c r="E295" t="s">
        <v>4144</v>
      </c>
      <c r="F295" t="s">
        <v>4145</v>
      </c>
      <c r="G295" t="s">
        <v>3328</v>
      </c>
      <c r="H295" t="s">
        <v>4146</v>
      </c>
      <c r="I295" t="s">
        <v>4147</v>
      </c>
      <c r="K295" t="s">
        <v>4148</v>
      </c>
      <c r="L295" t="s">
        <v>4149</v>
      </c>
      <c r="M295" t="s">
        <v>4150</v>
      </c>
      <c r="N295" t="s">
        <v>4151</v>
      </c>
      <c r="O295" t="s">
        <v>3335</v>
      </c>
      <c r="P295" t="s">
        <v>3144</v>
      </c>
      <c r="Q295" t="s">
        <v>225</v>
      </c>
      <c r="R295" t="b">
        <v>0</v>
      </c>
      <c r="S295" t="s">
        <v>4354</v>
      </c>
    </row>
    <row r="296" spans="1:19" ht="11.25" customHeight="1">
      <c r="A296">
        <v>2655</v>
      </c>
      <c r="B296" t="s">
        <v>102</v>
      </c>
      <c r="C296">
        <v>26517842</v>
      </c>
      <c r="D296" t="s">
        <v>4152</v>
      </c>
      <c r="E296" t="s">
        <v>4153</v>
      </c>
      <c r="F296" t="s">
        <v>4154</v>
      </c>
      <c r="G296" t="s">
        <v>123</v>
      </c>
      <c r="H296" t="s">
        <v>4155</v>
      </c>
      <c r="I296" t="s">
        <v>4156</v>
      </c>
      <c r="J296" t="s">
        <v>128</v>
      </c>
      <c r="K296" t="s">
        <v>4157</v>
      </c>
      <c r="L296" t="s">
        <v>3003</v>
      </c>
      <c r="M296" t="s">
        <v>4158</v>
      </c>
      <c r="N296" t="s">
        <v>4159</v>
      </c>
      <c r="O296" t="s">
        <v>4160</v>
      </c>
      <c r="P296" t="s">
        <v>3064</v>
      </c>
      <c r="Q296" t="s">
        <v>225</v>
      </c>
      <c r="R296" t="b">
        <v>0</v>
      </c>
      <c r="S296" t="s">
        <v>4354</v>
      </c>
    </row>
    <row r="297" spans="1:19" ht="11.25" customHeight="1">
      <c r="A297">
        <v>2655</v>
      </c>
      <c r="B297" t="s">
        <v>102</v>
      </c>
      <c r="C297">
        <v>26356937</v>
      </c>
      <c r="D297" t="s">
        <v>3434</v>
      </c>
      <c r="E297" t="s">
        <v>3435</v>
      </c>
      <c r="F297" t="s">
        <v>3436</v>
      </c>
      <c r="G297" t="s">
        <v>3300</v>
      </c>
      <c r="H297" t="s">
        <v>3437</v>
      </c>
      <c r="I297" t="s">
        <v>3438</v>
      </c>
      <c r="J297" t="s">
        <v>128</v>
      </c>
      <c r="K297" t="s">
        <v>3439</v>
      </c>
      <c r="L297" t="s">
        <v>3439</v>
      </c>
      <c r="M297" t="s">
        <v>3440</v>
      </c>
      <c r="N297" t="s">
        <v>3441</v>
      </c>
      <c r="O297" t="s">
        <v>3442</v>
      </c>
      <c r="P297" t="s">
        <v>3155</v>
      </c>
      <c r="Q297" t="s">
        <v>3443</v>
      </c>
      <c r="R297" t="b">
        <v>0</v>
      </c>
      <c r="S297" t="s">
        <v>4354</v>
      </c>
    </row>
    <row r="298" spans="1:19" ht="11.25" customHeight="1">
      <c r="A298">
        <v>2655</v>
      </c>
      <c r="B298" t="s">
        <v>102</v>
      </c>
      <c r="C298">
        <v>33000834</v>
      </c>
      <c r="D298" t="s">
        <v>3444</v>
      </c>
      <c r="E298" t="s">
        <v>3445</v>
      </c>
      <c r="F298" t="s">
        <v>3446</v>
      </c>
      <c r="G298" t="s">
        <v>3137</v>
      </c>
      <c r="H298" t="s">
        <v>3447</v>
      </c>
      <c r="I298" t="s">
        <v>3448</v>
      </c>
      <c r="K298" t="s">
        <v>3449</v>
      </c>
      <c r="L298" t="s">
        <v>3449</v>
      </c>
      <c r="M298" t="s">
        <v>3450</v>
      </c>
      <c r="N298" t="s">
        <v>3191</v>
      </c>
      <c r="O298" t="s">
        <v>3451</v>
      </c>
      <c r="P298" t="s">
        <v>145</v>
      </c>
      <c r="Q298" t="s">
        <v>3452</v>
      </c>
      <c r="R298" t="b">
        <v>0</v>
      </c>
      <c r="S298" t="s">
        <v>4354</v>
      </c>
    </row>
    <row r="299" spans="1:19" ht="11.25" customHeight="1">
      <c r="A299">
        <v>2655</v>
      </c>
      <c r="B299" t="s">
        <v>102</v>
      </c>
      <c r="C299">
        <v>31473621</v>
      </c>
      <c r="D299" t="s">
        <v>4161</v>
      </c>
      <c r="E299" t="s">
        <v>4162</v>
      </c>
      <c r="F299" t="s">
        <v>4163</v>
      </c>
      <c r="G299" t="s">
        <v>3137</v>
      </c>
      <c r="H299" t="s">
        <v>4164</v>
      </c>
      <c r="I299" t="s">
        <v>4165</v>
      </c>
      <c r="J299" t="s">
        <v>128</v>
      </c>
      <c r="K299" t="s">
        <v>4166</v>
      </c>
      <c r="L299" t="s">
        <v>4166</v>
      </c>
      <c r="M299" t="s">
        <v>4167</v>
      </c>
      <c r="N299" t="s">
        <v>4168</v>
      </c>
      <c r="O299" t="s">
        <v>4169</v>
      </c>
      <c r="P299" t="s">
        <v>3064</v>
      </c>
      <c r="Q299" t="s">
        <v>4170</v>
      </c>
      <c r="R299" t="b">
        <v>0</v>
      </c>
      <c r="S299" t="s">
        <v>4354</v>
      </c>
    </row>
    <row r="300" spans="1:19" ht="11.25" customHeight="1">
      <c r="A300">
        <v>2655</v>
      </c>
      <c r="B300" t="s">
        <v>102</v>
      </c>
      <c r="C300">
        <v>31004851</v>
      </c>
      <c r="D300" t="s">
        <v>4171</v>
      </c>
      <c r="E300" t="s">
        <v>4172</v>
      </c>
      <c r="F300" t="s">
        <v>4173</v>
      </c>
      <c r="G300" t="s">
        <v>3023</v>
      </c>
      <c r="H300" t="s">
        <v>4174</v>
      </c>
      <c r="I300" t="s">
        <v>4175</v>
      </c>
      <c r="J300" t="s">
        <v>128</v>
      </c>
      <c r="K300" t="s">
        <v>4176</v>
      </c>
      <c r="L300" t="s">
        <v>4177</v>
      </c>
      <c r="M300" t="s">
        <v>4178</v>
      </c>
      <c r="N300" t="s">
        <v>4179</v>
      </c>
      <c r="O300" t="s">
        <v>4180</v>
      </c>
      <c r="P300" t="s">
        <v>3064</v>
      </c>
      <c r="Q300" t="s">
        <v>4181</v>
      </c>
      <c r="R300" t="b">
        <v>0</v>
      </c>
      <c r="S300" t="s">
        <v>4354</v>
      </c>
    </row>
    <row r="301" spans="1:19" ht="11.25" customHeight="1">
      <c r="A301">
        <v>2655</v>
      </c>
      <c r="B301" t="s">
        <v>102</v>
      </c>
      <c r="C301">
        <v>26356976</v>
      </c>
      <c r="D301" t="s">
        <v>4182</v>
      </c>
      <c r="E301" t="s">
        <v>4183</v>
      </c>
      <c r="F301" t="s">
        <v>4184</v>
      </c>
      <c r="G301" t="s">
        <v>3399</v>
      </c>
      <c r="H301" t="s">
        <v>4185</v>
      </c>
      <c r="I301" t="s">
        <v>4186</v>
      </c>
      <c r="J301" t="s">
        <v>128</v>
      </c>
      <c r="K301" t="s">
        <v>4187</v>
      </c>
      <c r="L301" t="s">
        <v>4187</v>
      </c>
      <c r="M301" t="s">
        <v>4188</v>
      </c>
      <c r="N301" t="s">
        <v>4189</v>
      </c>
      <c r="O301" t="s">
        <v>4190</v>
      </c>
      <c r="P301" t="s">
        <v>3041</v>
      </c>
      <c r="Q301" t="s">
        <v>4191</v>
      </c>
      <c r="R301" t="b">
        <v>0</v>
      </c>
      <c r="S301" t="s">
        <v>4354</v>
      </c>
    </row>
    <row r="302" spans="1:19" ht="11.25" customHeight="1">
      <c r="A302">
        <v>2655</v>
      </c>
      <c r="B302" t="s">
        <v>102</v>
      </c>
      <c r="C302">
        <v>28274482</v>
      </c>
      <c r="D302" t="s">
        <v>4192</v>
      </c>
      <c r="E302" t="s">
        <v>4193</v>
      </c>
      <c r="F302" t="s">
        <v>4194</v>
      </c>
      <c r="G302" t="s">
        <v>3068</v>
      </c>
      <c r="H302" t="s">
        <v>4195</v>
      </c>
      <c r="I302" t="s">
        <v>4196</v>
      </c>
      <c r="J302" t="s">
        <v>128</v>
      </c>
      <c r="K302" t="s">
        <v>4197</v>
      </c>
      <c r="L302" t="s">
        <v>4198</v>
      </c>
      <c r="M302" t="s">
        <v>3383</v>
      </c>
      <c r="N302" t="s">
        <v>3384</v>
      </c>
      <c r="O302" t="s">
        <v>3385</v>
      </c>
      <c r="P302" t="s">
        <v>145</v>
      </c>
      <c r="Q302" t="s">
        <v>225</v>
      </c>
      <c r="R302" t="b">
        <v>0</v>
      </c>
      <c r="S302" t="s">
        <v>4354</v>
      </c>
    </row>
    <row r="303" spans="1:19" ht="11.25" customHeight="1">
      <c r="A303">
        <v>2655</v>
      </c>
      <c r="B303" t="s">
        <v>102</v>
      </c>
      <c r="C303">
        <v>31224454</v>
      </c>
      <c r="D303" t="s">
        <v>4199</v>
      </c>
      <c r="E303" t="s">
        <v>4200</v>
      </c>
      <c r="F303" t="s">
        <v>4201</v>
      </c>
      <c r="G303" t="s">
        <v>3023</v>
      </c>
      <c r="H303" t="s">
        <v>4202</v>
      </c>
      <c r="I303" t="s">
        <v>4203</v>
      </c>
      <c r="J303" t="s">
        <v>128</v>
      </c>
      <c r="K303" t="s">
        <v>4204</v>
      </c>
      <c r="L303" t="s">
        <v>4204</v>
      </c>
      <c r="M303" t="s">
        <v>4205</v>
      </c>
      <c r="N303" t="s">
        <v>4206</v>
      </c>
      <c r="O303" t="s">
        <v>4207</v>
      </c>
      <c r="P303" t="s">
        <v>3064</v>
      </c>
      <c r="Q303" t="s">
        <v>225</v>
      </c>
      <c r="R303" t="b">
        <v>0</v>
      </c>
      <c r="S303" t="s">
        <v>4354</v>
      </c>
    </row>
    <row r="304" spans="1:19" ht="11.25" customHeight="1">
      <c r="A304">
        <v>2655</v>
      </c>
      <c r="B304" t="s">
        <v>102</v>
      </c>
      <c r="C304">
        <v>27997410</v>
      </c>
      <c r="D304" t="s">
        <v>4208</v>
      </c>
      <c r="E304" t="s">
        <v>4209</v>
      </c>
      <c r="F304" t="s">
        <v>4210</v>
      </c>
      <c r="G304" t="s">
        <v>3196</v>
      </c>
      <c r="H304" t="s">
        <v>4211</v>
      </c>
      <c r="I304" t="s">
        <v>4212</v>
      </c>
      <c r="J304" t="s">
        <v>128</v>
      </c>
      <c r="K304" t="s">
        <v>4213</v>
      </c>
      <c r="L304" t="s">
        <v>4213</v>
      </c>
      <c r="M304" t="s">
        <v>4214</v>
      </c>
      <c r="N304" t="s">
        <v>4215</v>
      </c>
      <c r="O304" t="s">
        <v>4216</v>
      </c>
      <c r="P304" t="s">
        <v>145</v>
      </c>
      <c r="Q304" t="s">
        <v>4217</v>
      </c>
      <c r="R304" t="b">
        <v>1</v>
      </c>
      <c r="S304" t="s">
        <v>4354</v>
      </c>
    </row>
    <row r="305" spans="1:19" ht="11.25" customHeight="1">
      <c r="A305">
        <v>2655</v>
      </c>
      <c r="B305" t="s">
        <v>102</v>
      </c>
      <c r="C305">
        <v>26852692</v>
      </c>
      <c r="D305" t="s">
        <v>4218</v>
      </c>
      <c r="E305" t="s">
        <v>4219</v>
      </c>
      <c r="F305" t="s">
        <v>4220</v>
      </c>
      <c r="G305" t="s">
        <v>3399</v>
      </c>
      <c r="H305" t="s">
        <v>4221</v>
      </c>
      <c r="I305" t="s">
        <v>4222</v>
      </c>
      <c r="K305" t="s">
        <v>4223</v>
      </c>
      <c r="L305" t="s">
        <v>4223</v>
      </c>
      <c r="M305" t="s">
        <v>4214</v>
      </c>
      <c r="N305" t="s">
        <v>4215</v>
      </c>
      <c r="O305" t="s">
        <v>4224</v>
      </c>
      <c r="P305" t="s">
        <v>145</v>
      </c>
      <c r="Q305" t="s">
        <v>225</v>
      </c>
      <c r="R305" t="b">
        <v>1</v>
      </c>
      <c r="S305" t="s">
        <v>4354</v>
      </c>
    </row>
    <row r="306" spans="1:19" ht="11.25" customHeight="1">
      <c r="A306">
        <v>2655</v>
      </c>
      <c r="B306" t="s">
        <v>102</v>
      </c>
      <c r="C306">
        <v>31534676</v>
      </c>
      <c r="D306" t="s">
        <v>4225</v>
      </c>
      <c r="E306" t="s">
        <v>4226</v>
      </c>
      <c r="F306" t="s">
        <v>4227</v>
      </c>
      <c r="G306" t="s">
        <v>3137</v>
      </c>
      <c r="H306" t="s">
        <v>4228</v>
      </c>
      <c r="I306" t="s">
        <v>4229</v>
      </c>
      <c r="K306" t="s">
        <v>4230</v>
      </c>
      <c r="L306" t="s">
        <v>4231</v>
      </c>
      <c r="M306" t="s">
        <v>4232</v>
      </c>
      <c r="N306" t="s">
        <v>4233</v>
      </c>
      <c r="O306" t="s">
        <v>4234</v>
      </c>
      <c r="P306" t="s">
        <v>145</v>
      </c>
      <c r="Q306" t="s">
        <v>225</v>
      </c>
      <c r="R306" t="b">
        <v>0</v>
      </c>
      <c r="S306" t="s">
        <v>4354</v>
      </c>
    </row>
    <row r="307" spans="1:19" ht="11.25" customHeight="1">
      <c r="A307">
        <v>2655</v>
      </c>
      <c r="B307" t="s">
        <v>102</v>
      </c>
      <c r="C307">
        <v>26356899</v>
      </c>
      <c r="D307" t="s">
        <v>4235</v>
      </c>
      <c r="E307" t="s">
        <v>4236</v>
      </c>
      <c r="F307" t="s">
        <v>4237</v>
      </c>
      <c r="G307" t="s">
        <v>4238</v>
      </c>
      <c r="H307" t="s">
        <v>4239</v>
      </c>
      <c r="I307" t="s">
        <v>225</v>
      </c>
      <c r="J307" t="s">
        <v>128</v>
      </c>
      <c r="K307" t="s">
        <v>131</v>
      </c>
      <c r="L307" t="s">
        <v>131</v>
      </c>
      <c r="M307" t="s">
        <v>4240</v>
      </c>
      <c r="N307" t="s">
        <v>225</v>
      </c>
      <c r="O307" t="s">
        <v>142</v>
      </c>
      <c r="P307" t="s">
        <v>145</v>
      </c>
      <c r="Q307" t="s">
        <v>225</v>
      </c>
      <c r="R307" t="b">
        <v>0</v>
      </c>
      <c r="S307" t="s">
        <v>4354</v>
      </c>
    </row>
    <row r="308" spans="1:19" ht="11.25" customHeight="1">
      <c r="A308">
        <v>2655</v>
      </c>
      <c r="B308" t="s">
        <v>102</v>
      </c>
      <c r="C308">
        <v>31224507</v>
      </c>
      <c r="D308" t="s">
        <v>4241</v>
      </c>
      <c r="E308" t="s">
        <v>4242</v>
      </c>
      <c r="F308" t="s">
        <v>4243</v>
      </c>
      <c r="G308" t="s">
        <v>4244</v>
      </c>
      <c r="H308" t="s">
        <v>4245</v>
      </c>
      <c r="I308" t="s">
        <v>4246</v>
      </c>
      <c r="J308" t="s">
        <v>128</v>
      </c>
      <c r="K308" t="s">
        <v>4247</v>
      </c>
      <c r="L308" t="s">
        <v>4247</v>
      </c>
      <c r="M308" t="s">
        <v>4248</v>
      </c>
      <c r="N308" t="s">
        <v>4249</v>
      </c>
      <c r="O308" t="s">
        <v>4207</v>
      </c>
      <c r="P308" t="s">
        <v>3064</v>
      </c>
      <c r="Q308" t="s">
        <v>225</v>
      </c>
      <c r="R308" t="b">
        <v>0</v>
      </c>
      <c r="S308" t="s">
        <v>4354</v>
      </c>
    </row>
    <row r="309" spans="1:19" ht="11.25" customHeight="1">
      <c r="A309">
        <v>2655</v>
      </c>
      <c r="B309" t="s">
        <v>102</v>
      </c>
      <c r="C309">
        <v>27968109</v>
      </c>
      <c r="D309" t="s">
        <v>4250</v>
      </c>
      <c r="E309" t="s">
        <v>4251</v>
      </c>
      <c r="F309" t="s">
        <v>4252</v>
      </c>
      <c r="G309" t="s">
        <v>2999</v>
      </c>
      <c r="H309" t="s">
        <v>4253</v>
      </c>
      <c r="I309" t="s">
        <v>4254</v>
      </c>
      <c r="J309" t="s">
        <v>128</v>
      </c>
      <c r="K309" t="s">
        <v>4255</v>
      </c>
      <c r="L309" t="s">
        <v>4255</v>
      </c>
      <c r="M309" t="s">
        <v>4256</v>
      </c>
      <c r="N309" t="s">
        <v>4257</v>
      </c>
      <c r="O309" t="s">
        <v>4258</v>
      </c>
      <c r="P309" t="s">
        <v>3064</v>
      </c>
      <c r="Q309" t="s">
        <v>4259</v>
      </c>
      <c r="R309" t="b">
        <v>0</v>
      </c>
      <c r="S309" t="s">
        <v>4354</v>
      </c>
    </row>
    <row r="310" spans="1:19" ht="11.25" customHeight="1">
      <c r="A310">
        <v>2655</v>
      </c>
      <c r="B310" t="s">
        <v>102</v>
      </c>
      <c r="C310">
        <v>26356932</v>
      </c>
      <c r="D310" t="s">
        <v>4260</v>
      </c>
      <c r="E310" t="s">
        <v>4261</v>
      </c>
      <c r="F310" t="s">
        <v>4262</v>
      </c>
      <c r="G310" t="s">
        <v>3300</v>
      </c>
      <c r="H310" t="s">
        <v>4263</v>
      </c>
      <c r="I310" t="s">
        <v>4264</v>
      </c>
      <c r="J310" t="s">
        <v>128</v>
      </c>
      <c r="K310" t="s">
        <v>4265</v>
      </c>
      <c r="L310" t="s">
        <v>4265</v>
      </c>
      <c r="M310" t="s">
        <v>4266</v>
      </c>
      <c r="N310" t="s">
        <v>4267</v>
      </c>
      <c r="O310" t="s">
        <v>4268</v>
      </c>
      <c r="P310" t="s">
        <v>145</v>
      </c>
      <c r="Q310" t="s">
        <v>225</v>
      </c>
      <c r="R310" t="b">
        <v>1</v>
      </c>
      <c r="S310" t="s">
        <v>4354</v>
      </c>
    </row>
    <row r="311" spans="1:19" ht="11.25" customHeight="1">
      <c r="A311">
        <v>2655</v>
      </c>
      <c r="B311" t="s">
        <v>102</v>
      </c>
      <c r="C311">
        <v>28270293</v>
      </c>
      <c r="D311" t="s">
        <v>3472</v>
      </c>
      <c r="E311" t="s">
        <v>3473</v>
      </c>
      <c r="F311" t="s">
        <v>3474</v>
      </c>
      <c r="G311" t="s">
        <v>123</v>
      </c>
      <c r="H311" t="s">
        <v>3475</v>
      </c>
      <c r="I311" t="s">
        <v>3476</v>
      </c>
      <c r="J311" t="s">
        <v>128</v>
      </c>
      <c r="K311" t="s">
        <v>3477</v>
      </c>
      <c r="L311" t="s">
        <v>3477</v>
      </c>
      <c r="M311" t="s">
        <v>3478</v>
      </c>
      <c r="N311" t="s">
        <v>3479</v>
      </c>
      <c r="O311" t="s">
        <v>3480</v>
      </c>
      <c r="P311" t="s">
        <v>3064</v>
      </c>
      <c r="Q311" t="s">
        <v>225</v>
      </c>
      <c r="R311" t="b">
        <v>0</v>
      </c>
      <c r="S311" t="s">
        <v>4354</v>
      </c>
    </row>
    <row r="312" spans="1:19" ht="11.25" customHeight="1">
      <c r="A312">
        <v>2655</v>
      </c>
      <c r="B312" t="s">
        <v>102</v>
      </c>
      <c r="C312">
        <v>28873362</v>
      </c>
      <c r="D312" t="s">
        <v>3481</v>
      </c>
      <c r="E312" t="s">
        <v>3482</v>
      </c>
      <c r="F312" t="s">
        <v>3483</v>
      </c>
      <c r="G312" t="s">
        <v>2999</v>
      </c>
      <c r="H312" t="s">
        <v>3484</v>
      </c>
      <c r="I312" t="s">
        <v>3485</v>
      </c>
      <c r="J312" t="s">
        <v>128</v>
      </c>
      <c r="K312" t="s">
        <v>3486</v>
      </c>
      <c r="L312" t="s">
        <v>3486</v>
      </c>
      <c r="M312" t="s">
        <v>3487</v>
      </c>
      <c r="N312" t="s">
        <v>3488</v>
      </c>
      <c r="O312" t="s">
        <v>3489</v>
      </c>
      <c r="P312" t="s">
        <v>145</v>
      </c>
      <c r="Q312" t="s">
        <v>3490</v>
      </c>
      <c r="R312" t="b">
        <v>0</v>
      </c>
      <c r="S312" t="s">
        <v>4354</v>
      </c>
    </row>
    <row r="313" spans="1:19" ht="11.25" customHeight="1">
      <c r="A313">
        <v>2655</v>
      </c>
      <c r="B313" t="s">
        <v>102</v>
      </c>
      <c r="C313">
        <v>31774768</v>
      </c>
      <c r="D313" t="s">
        <v>4269</v>
      </c>
      <c r="E313" t="s">
        <v>4270</v>
      </c>
      <c r="F313" t="s">
        <v>4271</v>
      </c>
      <c r="G313" t="s">
        <v>3243</v>
      </c>
      <c r="H313" t="s">
        <v>4272</v>
      </c>
      <c r="I313" t="s">
        <v>4273</v>
      </c>
      <c r="K313" t="s">
        <v>4274</v>
      </c>
      <c r="L313" t="s">
        <v>4274</v>
      </c>
      <c r="M313" t="s">
        <v>225</v>
      </c>
      <c r="N313" t="s">
        <v>4275</v>
      </c>
      <c r="O313" t="s">
        <v>4276</v>
      </c>
      <c r="P313" t="s">
        <v>3007</v>
      </c>
      <c r="Q313" t="s">
        <v>225</v>
      </c>
      <c r="R313" t="b">
        <v>1</v>
      </c>
      <c r="S313" t="s">
        <v>4354</v>
      </c>
    </row>
    <row r="314" spans="1:19" ht="11.25" customHeight="1">
      <c r="A314">
        <v>2655</v>
      </c>
      <c r="B314" t="s">
        <v>102</v>
      </c>
      <c r="C314">
        <v>30992391</v>
      </c>
      <c r="D314" t="s">
        <v>3491</v>
      </c>
      <c r="E314" t="s">
        <v>3492</v>
      </c>
      <c r="F314" t="s">
        <v>3493</v>
      </c>
      <c r="G314" t="s">
        <v>3115</v>
      </c>
      <c r="H314" t="s">
        <v>3494</v>
      </c>
      <c r="I314" t="s">
        <v>3495</v>
      </c>
      <c r="J314" t="s">
        <v>128</v>
      </c>
      <c r="K314" t="s">
        <v>3496</v>
      </c>
      <c r="L314" t="s">
        <v>3497</v>
      </c>
      <c r="M314" t="s">
        <v>3498</v>
      </c>
      <c r="N314" t="s">
        <v>3499</v>
      </c>
      <c r="O314" t="s">
        <v>3500</v>
      </c>
      <c r="P314" t="s">
        <v>145</v>
      </c>
      <c r="Q314" t="s">
        <v>3501</v>
      </c>
      <c r="R314" t="b">
        <v>0</v>
      </c>
      <c r="S314" t="s">
        <v>4354</v>
      </c>
    </row>
    <row r="315" spans="1:19" ht="11.25" customHeight="1">
      <c r="A315">
        <v>2655</v>
      </c>
      <c r="B315" t="s">
        <v>102</v>
      </c>
      <c r="C315">
        <v>31491836</v>
      </c>
      <c r="D315" t="s">
        <v>4277</v>
      </c>
      <c r="E315" t="s">
        <v>4278</v>
      </c>
      <c r="F315" t="s">
        <v>4279</v>
      </c>
      <c r="G315" t="s">
        <v>2999</v>
      </c>
      <c r="H315" t="s">
        <v>4280</v>
      </c>
      <c r="I315" t="s">
        <v>4281</v>
      </c>
      <c r="J315" t="s">
        <v>128</v>
      </c>
      <c r="K315" t="s">
        <v>4282</v>
      </c>
      <c r="L315" t="s">
        <v>4283</v>
      </c>
      <c r="M315" t="s">
        <v>4284</v>
      </c>
      <c r="N315" t="s">
        <v>4285</v>
      </c>
      <c r="O315" t="s">
        <v>4286</v>
      </c>
      <c r="P315" t="s">
        <v>3155</v>
      </c>
      <c r="Q315" t="s">
        <v>225</v>
      </c>
      <c r="R315" t="b">
        <v>1</v>
      </c>
      <c r="S315" t="s">
        <v>4354</v>
      </c>
    </row>
    <row r="316" spans="1:19" ht="11.25" customHeight="1">
      <c r="A316">
        <v>2655</v>
      </c>
      <c r="B316" t="s">
        <v>102</v>
      </c>
      <c r="C316">
        <v>26356974</v>
      </c>
      <c r="D316" t="s">
        <v>4287</v>
      </c>
      <c r="E316" t="s">
        <v>4288</v>
      </c>
      <c r="F316" t="s">
        <v>4289</v>
      </c>
      <c r="G316" t="s">
        <v>4290</v>
      </c>
      <c r="H316" t="s">
        <v>4291</v>
      </c>
      <c r="I316" t="s">
        <v>4292</v>
      </c>
      <c r="J316" t="s">
        <v>128</v>
      </c>
      <c r="K316" t="s">
        <v>4293</v>
      </c>
      <c r="L316" t="s">
        <v>4293</v>
      </c>
      <c r="M316" t="s">
        <v>4294</v>
      </c>
      <c r="N316" t="s">
        <v>4295</v>
      </c>
      <c r="O316" t="s">
        <v>4296</v>
      </c>
      <c r="P316" t="s">
        <v>145</v>
      </c>
      <c r="Q316" t="s">
        <v>4297</v>
      </c>
      <c r="R316" t="b">
        <v>0</v>
      </c>
      <c r="S316" t="s">
        <v>4354</v>
      </c>
    </row>
    <row r="317" spans="1:19" ht="11.25" customHeight="1">
      <c r="A317">
        <v>2655</v>
      </c>
      <c r="B317" t="s">
        <v>102</v>
      </c>
      <c r="C317">
        <v>31365968</v>
      </c>
      <c r="D317" t="s">
        <v>4298</v>
      </c>
      <c r="E317" t="s">
        <v>4299</v>
      </c>
      <c r="F317" t="s">
        <v>4300</v>
      </c>
      <c r="G317" t="s">
        <v>3196</v>
      </c>
      <c r="H317" t="s">
        <v>4301</v>
      </c>
      <c r="I317" t="s">
        <v>4302</v>
      </c>
      <c r="J317" t="s">
        <v>128</v>
      </c>
      <c r="K317" t="s">
        <v>4303</v>
      </c>
      <c r="L317" t="s">
        <v>4303</v>
      </c>
      <c r="M317" t="s">
        <v>4304</v>
      </c>
      <c r="N317" t="s">
        <v>4305</v>
      </c>
      <c r="O317" t="s">
        <v>4306</v>
      </c>
      <c r="P317" t="s">
        <v>3064</v>
      </c>
      <c r="Q317" t="s">
        <v>225</v>
      </c>
      <c r="R317" t="b">
        <v>0</v>
      </c>
      <c r="S317" t="s">
        <v>4354</v>
      </c>
    </row>
    <row r="318" spans="1:19" ht="11.25" customHeight="1">
      <c r="A318">
        <v>2655</v>
      </c>
      <c r="B318" t="s">
        <v>102</v>
      </c>
      <c r="C318">
        <v>31038861</v>
      </c>
      <c r="D318" t="s">
        <v>4307</v>
      </c>
      <c r="E318" t="s">
        <v>4308</v>
      </c>
      <c r="F318" t="s">
        <v>4309</v>
      </c>
      <c r="G318" t="s">
        <v>3023</v>
      </c>
      <c r="H318" t="s">
        <v>4310</v>
      </c>
      <c r="I318" t="s">
        <v>4311</v>
      </c>
      <c r="J318" t="s">
        <v>128</v>
      </c>
      <c r="K318" t="s">
        <v>4312</v>
      </c>
      <c r="L318" t="s">
        <v>4313</v>
      </c>
      <c r="M318" t="s">
        <v>4314</v>
      </c>
      <c r="N318" t="s">
        <v>4315</v>
      </c>
      <c r="O318" t="s">
        <v>4316</v>
      </c>
      <c r="P318" t="s">
        <v>145</v>
      </c>
      <c r="Q318" t="s">
        <v>225</v>
      </c>
      <c r="R318" t="b">
        <v>0</v>
      </c>
      <c r="S318" t="s">
        <v>4354</v>
      </c>
    </row>
    <row r="319" spans="1:19" ht="11.25" customHeight="1">
      <c r="A319">
        <v>2655</v>
      </c>
      <c r="B319" t="s">
        <v>102</v>
      </c>
      <c r="C319">
        <v>26853991</v>
      </c>
      <c r="D319" t="s">
        <v>3502</v>
      </c>
      <c r="E319" t="s">
        <v>3503</v>
      </c>
      <c r="F319" t="s">
        <v>3504</v>
      </c>
      <c r="G319" t="s">
        <v>3505</v>
      </c>
      <c r="H319" t="s">
        <v>3506</v>
      </c>
      <c r="I319" t="s">
        <v>3507</v>
      </c>
      <c r="J319" t="s">
        <v>2987</v>
      </c>
      <c r="K319" t="s">
        <v>3508</v>
      </c>
      <c r="L319" t="s">
        <v>3509</v>
      </c>
      <c r="M319" t="s">
        <v>3510</v>
      </c>
      <c r="N319" t="s">
        <v>3511</v>
      </c>
      <c r="O319" t="s">
        <v>3512</v>
      </c>
      <c r="P319" t="s">
        <v>3041</v>
      </c>
      <c r="Q319" t="s">
        <v>225</v>
      </c>
      <c r="R319" t="b">
        <v>0</v>
      </c>
      <c r="S319" t="s">
        <v>4354</v>
      </c>
    </row>
    <row r="320" spans="1:19" ht="11.25" customHeight="1">
      <c r="A320">
        <v>2655</v>
      </c>
      <c r="B320" t="s">
        <v>102</v>
      </c>
      <c r="C320">
        <v>31908312</v>
      </c>
      <c r="D320" t="s">
        <v>3502</v>
      </c>
      <c r="E320" t="s">
        <v>3513</v>
      </c>
      <c r="F320" t="s">
        <v>3504</v>
      </c>
      <c r="G320" t="s">
        <v>3505</v>
      </c>
      <c r="H320" t="s">
        <v>3506</v>
      </c>
      <c r="I320" t="s">
        <v>3507</v>
      </c>
      <c r="K320" t="s">
        <v>3514</v>
      </c>
      <c r="L320" t="s">
        <v>3514</v>
      </c>
      <c r="M320" t="s">
        <v>3515</v>
      </c>
      <c r="N320" t="s">
        <v>3516</v>
      </c>
      <c r="O320" t="s">
        <v>3517</v>
      </c>
      <c r="P320" t="s">
        <v>225</v>
      </c>
      <c r="Q320" t="s">
        <v>3518</v>
      </c>
      <c r="R320" t="b">
        <v>0</v>
      </c>
      <c r="S320" t="s">
        <v>4354</v>
      </c>
    </row>
    <row r="321" spans="1:19" ht="11.25" customHeight="1">
      <c r="A321">
        <v>2655</v>
      </c>
      <c r="B321" t="s">
        <v>102</v>
      </c>
      <c r="C321">
        <v>26519663</v>
      </c>
      <c r="D321" t="s">
        <v>4317</v>
      </c>
      <c r="E321" t="s">
        <v>4318</v>
      </c>
      <c r="F321" t="s">
        <v>4319</v>
      </c>
      <c r="G321" t="s">
        <v>3187</v>
      </c>
      <c r="H321" t="s">
        <v>4320</v>
      </c>
      <c r="I321" t="s">
        <v>4321</v>
      </c>
      <c r="J321" t="s">
        <v>3059</v>
      </c>
      <c r="K321" t="s">
        <v>4322</v>
      </c>
      <c r="L321" t="s">
        <v>4322</v>
      </c>
      <c r="M321" t="s">
        <v>4323</v>
      </c>
      <c r="N321" t="s">
        <v>4324</v>
      </c>
      <c r="O321" t="s">
        <v>4325</v>
      </c>
      <c r="P321" t="s">
        <v>3041</v>
      </c>
      <c r="Q321" t="s">
        <v>4326</v>
      </c>
      <c r="R321" t="b">
        <v>0</v>
      </c>
      <c r="S321" t="s">
        <v>4354</v>
      </c>
    </row>
    <row r="322" spans="1:19" ht="11.25" customHeight="1">
      <c r="A322">
        <v>2655</v>
      </c>
      <c r="B322" t="s">
        <v>102</v>
      </c>
      <c r="C322">
        <v>30808511</v>
      </c>
      <c r="D322" t="s">
        <v>3519</v>
      </c>
      <c r="E322" t="s">
        <v>3519</v>
      </c>
      <c r="F322" t="s">
        <v>3520</v>
      </c>
      <c r="G322" t="s">
        <v>3521</v>
      </c>
      <c r="H322" t="s">
        <v>3522</v>
      </c>
      <c r="I322" t="s">
        <v>3523</v>
      </c>
      <c r="J322" t="s">
        <v>3524</v>
      </c>
      <c r="K322" t="s">
        <v>3525</v>
      </c>
      <c r="L322" t="s">
        <v>3526</v>
      </c>
      <c r="M322" t="s">
        <v>3527</v>
      </c>
      <c r="N322" t="s">
        <v>3528</v>
      </c>
      <c r="O322" t="s">
        <v>3529</v>
      </c>
      <c r="P322" t="s">
        <v>145</v>
      </c>
      <c r="Q322" t="s">
        <v>3528</v>
      </c>
      <c r="R322" t="b">
        <v>0</v>
      </c>
      <c r="S322" t="s">
        <v>4354</v>
      </c>
    </row>
    <row r="323" spans="1:19" ht="11.25" customHeight="1">
      <c r="A323">
        <v>2655</v>
      </c>
      <c r="B323" t="s">
        <v>102</v>
      </c>
      <c r="C323">
        <v>28977129</v>
      </c>
      <c r="D323" t="s">
        <v>4327</v>
      </c>
      <c r="E323" t="s">
        <v>4328</v>
      </c>
      <c r="F323" t="s">
        <v>3520</v>
      </c>
      <c r="G323" t="s">
        <v>4329</v>
      </c>
      <c r="H323" t="s">
        <v>3522</v>
      </c>
      <c r="I323" t="s">
        <v>3533</v>
      </c>
      <c r="J323" t="s">
        <v>3524</v>
      </c>
      <c r="K323" t="s">
        <v>4330</v>
      </c>
      <c r="L323" t="s">
        <v>4331</v>
      </c>
      <c r="M323" t="s">
        <v>4332</v>
      </c>
      <c r="N323" t="s">
        <v>225</v>
      </c>
      <c r="O323" t="s">
        <v>4333</v>
      </c>
      <c r="P323" t="s">
        <v>145</v>
      </c>
      <c r="Q323" t="s">
        <v>225</v>
      </c>
      <c r="R323" t="b">
        <v>0</v>
      </c>
      <c r="S323" t="s">
        <v>4354</v>
      </c>
    </row>
    <row r="324" spans="1:19" ht="11.25" customHeight="1">
      <c r="A324">
        <v>2655</v>
      </c>
      <c r="B324" t="s">
        <v>102</v>
      </c>
      <c r="C324">
        <v>30829962</v>
      </c>
      <c r="D324" t="s">
        <v>4334</v>
      </c>
      <c r="E324" t="s">
        <v>4335</v>
      </c>
      <c r="F324" t="s">
        <v>3520</v>
      </c>
      <c r="G324" t="s">
        <v>2999</v>
      </c>
      <c r="H324" t="s">
        <v>3522</v>
      </c>
      <c r="I324" t="s">
        <v>4336</v>
      </c>
      <c r="J324" t="s">
        <v>3524</v>
      </c>
      <c r="K324" t="s">
        <v>4337</v>
      </c>
      <c r="L324" t="s">
        <v>4337</v>
      </c>
      <c r="M324" t="s">
        <v>4338</v>
      </c>
      <c r="N324" t="s">
        <v>4339</v>
      </c>
      <c r="O324" t="s">
        <v>4340</v>
      </c>
      <c r="P324" t="s">
        <v>3155</v>
      </c>
      <c r="Q324" t="s">
        <v>225</v>
      </c>
      <c r="R324" t="b">
        <v>0</v>
      </c>
      <c r="S324" t="s">
        <v>4354</v>
      </c>
    </row>
    <row r="325" spans="1:19" ht="11.25" customHeight="1">
      <c r="A325">
        <v>2655</v>
      </c>
      <c r="B325" t="s">
        <v>102</v>
      </c>
      <c r="C325">
        <v>26520873</v>
      </c>
      <c r="D325" t="s">
        <v>3530</v>
      </c>
      <c r="E325" t="s">
        <v>3531</v>
      </c>
      <c r="F325" t="s">
        <v>3520</v>
      </c>
      <c r="G325" t="s">
        <v>3532</v>
      </c>
      <c r="H325" t="s">
        <v>3522</v>
      </c>
      <c r="I325" t="s">
        <v>3533</v>
      </c>
      <c r="J325" t="s">
        <v>3524</v>
      </c>
      <c r="K325" t="s">
        <v>3534</v>
      </c>
      <c r="L325" t="s">
        <v>3535</v>
      </c>
      <c r="M325" t="s">
        <v>3536</v>
      </c>
      <c r="N325" t="s">
        <v>3537</v>
      </c>
      <c r="O325" t="s">
        <v>3538</v>
      </c>
      <c r="P325" t="s">
        <v>145</v>
      </c>
      <c r="Q325" t="s">
        <v>3539</v>
      </c>
      <c r="R325" t="b">
        <v>0</v>
      </c>
      <c r="S325" t="s">
        <v>4354</v>
      </c>
    </row>
    <row r="326" spans="1:19" ht="11.25" customHeight="1">
      <c r="A326">
        <v>2655</v>
      </c>
      <c r="B326" t="s">
        <v>102</v>
      </c>
      <c r="C326">
        <v>30914574</v>
      </c>
      <c r="D326" t="s">
        <v>4341</v>
      </c>
      <c r="E326" t="s">
        <v>4342</v>
      </c>
      <c r="F326" t="s">
        <v>4343</v>
      </c>
      <c r="G326" t="s">
        <v>4344</v>
      </c>
      <c r="H326" t="s">
        <v>4345</v>
      </c>
      <c r="I326" t="s">
        <v>4346</v>
      </c>
      <c r="J326" t="s">
        <v>4347</v>
      </c>
      <c r="K326" t="s">
        <v>4348</v>
      </c>
      <c r="L326" t="s">
        <v>4349</v>
      </c>
      <c r="M326" t="s">
        <v>4350</v>
      </c>
      <c r="N326" t="s">
        <v>4351</v>
      </c>
      <c r="O326" t="s">
        <v>4352</v>
      </c>
      <c r="P326" t="s">
        <v>4353</v>
      </c>
      <c r="Q326" t="s">
        <v>225</v>
      </c>
      <c r="R326" t="b">
        <v>0</v>
      </c>
      <c r="S326" t="s">
        <v>4354</v>
      </c>
    </row>
    <row r="327" spans="1:19" ht="11.25" customHeight="1">
      <c r="A327">
        <v>2655</v>
      </c>
      <c r="B327" t="s">
        <v>102</v>
      </c>
      <c r="C327">
        <v>26356915</v>
      </c>
      <c r="D327" t="s">
        <v>3552</v>
      </c>
      <c r="E327" t="s">
        <v>3553</v>
      </c>
      <c r="F327" t="s">
        <v>3554</v>
      </c>
      <c r="G327" t="s">
        <v>3214</v>
      </c>
      <c r="H327" t="s">
        <v>3555</v>
      </c>
      <c r="I327" t="s">
        <v>3556</v>
      </c>
      <c r="J327" t="s">
        <v>2987</v>
      </c>
      <c r="K327" t="s">
        <v>3557</v>
      </c>
      <c r="L327" t="s">
        <v>3557</v>
      </c>
      <c r="M327" t="s">
        <v>3558</v>
      </c>
      <c r="N327" t="s">
        <v>3559</v>
      </c>
      <c r="O327" t="s">
        <v>3560</v>
      </c>
      <c r="P327" t="s">
        <v>3064</v>
      </c>
      <c r="Q327" t="s">
        <v>151</v>
      </c>
      <c r="R327" t="b">
        <v>0</v>
      </c>
      <c r="S327" t="s">
        <v>4355</v>
      </c>
    </row>
    <row r="328" spans="1:19" ht="11.25" customHeight="1">
      <c r="A328">
        <v>2655</v>
      </c>
      <c r="B328" t="s">
        <v>102</v>
      </c>
      <c r="C328">
        <v>26357007</v>
      </c>
      <c r="D328" t="s">
        <v>3690</v>
      </c>
      <c r="E328" t="s">
        <v>3691</v>
      </c>
      <c r="F328" t="s">
        <v>3692</v>
      </c>
      <c r="G328" t="s">
        <v>3243</v>
      </c>
      <c r="H328" t="s">
        <v>3693</v>
      </c>
      <c r="I328" t="s">
        <v>3694</v>
      </c>
      <c r="J328" t="s">
        <v>2987</v>
      </c>
      <c r="K328" t="s">
        <v>3695</v>
      </c>
      <c r="L328" t="s">
        <v>3695</v>
      </c>
      <c r="M328" t="s">
        <v>3696</v>
      </c>
      <c r="N328" t="s">
        <v>3697</v>
      </c>
      <c r="O328" t="s">
        <v>3698</v>
      </c>
      <c r="P328" t="s">
        <v>3064</v>
      </c>
      <c r="Q328" t="s">
        <v>3699</v>
      </c>
      <c r="R328" t="b">
        <v>0</v>
      </c>
      <c r="S328" t="s">
        <v>4355</v>
      </c>
    </row>
    <row r="329" spans="1:19" ht="11.25" customHeight="1">
      <c r="A329">
        <v>2655</v>
      </c>
      <c r="B329" t="s">
        <v>102</v>
      </c>
      <c r="C329">
        <v>27804990</v>
      </c>
      <c r="D329" t="s">
        <v>2996</v>
      </c>
      <c r="E329" t="s">
        <v>2997</v>
      </c>
      <c r="F329" t="s">
        <v>2998</v>
      </c>
      <c r="G329" t="s">
        <v>2999</v>
      </c>
      <c r="H329" t="s">
        <v>3000</v>
      </c>
      <c r="I329" t="s">
        <v>3001</v>
      </c>
      <c r="J329" t="s">
        <v>2987</v>
      </c>
      <c r="K329" t="s">
        <v>3002</v>
      </c>
      <c r="L329" t="s">
        <v>3003</v>
      </c>
      <c r="M329" t="s">
        <v>3004</v>
      </c>
      <c r="N329" t="s">
        <v>3005</v>
      </c>
      <c r="O329" t="s">
        <v>3006</v>
      </c>
      <c r="P329" t="s">
        <v>3007</v>
      </c>
      <c r="Q329" t="s">
        <v>3008</v>
      </c>
      <c r="R329" t="b">
        <v>0</v>
      </c>
      <c r="S329" t="s">
        <v>4355</v>
      </c>
    </row>
    <row r="330" spans="1:19" ht="11.25" customHeight="1">
      <c r="A330">
        <v>2655</v>
      </c>
      <c r="B330" t="s">
        <v>102</v>
      </c>
      <c r="C330">
        <v>28048296</v>
      </c>
      <c r="D330" t="s">
        <v>3700</v>
      </c>
      <c r="E330" t="s">
        <v>3701</v>
      </c>
      <c r="F330" t="s">
        <v>3702</v>
      </c>
      <c r="G330" t="s">
        <v>2999</v>
      </c>
      <c r="H330" t="s">
        <v>3703</v>
      </c>
      <c r="I330" t="s">
        <v>3704</v>
      </c>
      <c r="J330" t="s">
        <v>2987</v>
      </c>
      <c r="K330" t="s">
        <v>3705</v>
      </c>
      <c r="L330" t="s">
        <v>3003</v>
      </c>
      <c r="M330" t="s">
        <v>3706</v>
      </c>
      <c r="N330" t="s">
        <v>3364</v>
      </c>
      <c r="O330" t="s">
        <v>3707</v>
      </c>
      <c r="P330" t="s">
        <v>3007</v>
      </c>
      <c r="Q330" t="s">
        <v>3008</v>
      </c>
      <c r="R330" t="b">
        <v>0</v>
      </c>
      <c r="S330" t="s">
        <v>4355</v>
      </c>
    </row>
    <row r="331" spans="1:19" ht="11.25" customHeight="1">
      <c r="A331">
        <v>2655</v>
      </c>
      <c r="B331" t="s">
        <v>102</v>
      </c>
      <c r="C331">
        <v>27804896</v>
      </c>
      <c r="D331" t="s">
        <v>3708</v>
      </c>
      <c r="E331" t="s">
        <v>3709</v>
      </c>
      <c r="F331" t="s">
        <v>3710</v>
      </c>
      <c r="G331" t="s">
        <v>2999</v>
      </c>
      <c r="H331" t="s">
        <v>3711</v>
      </c>
      <c r="I331" t="s">
        <v>3712</v>
      </c>
      <c r="J331" t="s">
        <v>2987</v>
      </c>
      <c r="K331" t="s">
        <v>3713</v>
      </c>
      <c r="L331" t="s">
        <v>3003</v>
      </c>
      <c r="M331" t="s">
        <v>3714</v>
      </c>
      <c r="N331" t="s">
        <v>3715</v>
      </c>
      <c r="O331" t="s">
        <v>3716</v>
      </c>
      <c r="P331" t="s">
        <v>3007</v>
      </c>
      <c r="Q331" t="s">
        <v>3008</v>
      </c>
      <c r="R331" t="b">
        <v>0</v>
      </c>
      <c r="S331" t="s">
        <v>4355</v>
      </c>
    </row>
    <row r="332" spans="1:19" ht="11.25" customHeight="1">
      <c r="A332">
        <v>2655</v>
      </c>
      <c r="B332" t="s">
        <v>102</v>
      </c>
      <c r="C332">
        <v>27820148</v>
      </c>
      <c r="D332" t="s">
        <v>3576</v>
      </c>
      <c r="E332" t="s">
        <v>3577</v>
      </c>
      <c r="F332" t="s">
        <v>3578</v>
      </c>
      <c r="G332" t="s">
        <v>3300</v>
      </c>
      <c r="H332" t="s">
        <v>3579</v>
      </c>
      <c r="I332" t="s">
        <v>3580</v>
      </c>
      <c r="J332" t="s">
        <v>2987</v>
      </c>
      <c r="K332" t="s">
        <v>3581</v>
      </c>
      <c r="L332" t="s">
        <v>3581</v>
      </c>
      <c r="M332" t="s">
        <v>3582</v>
      </c>
      <c r="N332" t="s">
        <v>3583</v>
      </c>
      <c r="O332" t="s">
        <v>3584</v>
      </c>
      <c r="P332" t="s">
        <v>3585</v>
      </c>
      <c r="Q332" t="s">
        <v>3586</v>
      </c>
      <c r="R332" t="b">
        <v>0</v>
      </c>
      <c r="S332" t="s">
        <v>4355</v>
      </c>
    </row>
    <row r="333" spans="1:19" ht="11.25" customHeight="1">
      <c r="A333">
        <v>2655</v>
      </c>
      <c r="B333" t="s">
        <v>102</v>
      </c>
      <c r="C333">
        <v>26356905</v>
      </c>
      <c r="D333" t="s">
        <v>3717</v>
      </c>
      <c r="E333" t="s">
        <v>3718</v>
      </c>
      <c r="F333" t="s">
        <v>3719</v>
      </c>
      <c r="G333" t="s">
        <v>2999</v>
      </c>
      <c r="H333" t="s">
        <v>3720</v>
      </c>
      <c r="I333" t="s">
        <v>3721</v>
      </c>
      <c r="J333" t="s">
        <v>2987</v>
      </c>
      <c r="K333" t="s">
        <v>3722</v>
      </c>
      <c r="L333" t="s">
        <v>3722</v>
      </c>
      <c r="M333" t="s">
        <v>3723</v>
      </c>
      <c r="N333" t="s">
        <v>3724</v>
      </c>
      <c r="O333" t="s">
        <v>3725</v>
      </c>
      <c r="P333" t="s">
        <v>3726</v>
      </c>
      <c r="Q333" t="s">
        <v>3727</v>
      </c>
      <c r="R333" t="b">
        <v>0</v>
      </c>
      <c r="S333" t="s">
        <v>4355</v>
      </c>
    </row>
    <row r="334" spans="1:19" ht="11.25" customHeight="1">
      <c r="A334">
        <v>2655</v>
      </c>
      <c r="B334" t="s">
        <v>102</v>
      </c>
      <c r="C334">
        <v>26356926</v>
      </c>
      <c r="D334" t="s">
        <v>3748</v>
      </c>
      <c r="E334" t="s">
        <v>3749</v>
      </c>
      <c r="F334" t="s">
        <v>3750</v>
      </c>
      <c r="G334" t="s">
        <v>3300</v>
      </c>
      <c r="H334" t="s">
        <v>3751</v>
      </c>
      <c r="I334" t="s">
        <v>3752</v>
      </c>
      <c r="J334" t="s">
        <v>3753</v>
      </c>
      <c r="K334" t="s">
        <v>3754</v>
      </c>
      <c r="L334" t="s">
        <v>3754</v>
      </c>
      <c r="M334" t="s">
        <v>3755</v>
      </c>
      <c r="N334" t="s">
        <v>3756</v>
      </c>
      <c r="O334" t="s">
        <v>3757</v>
      </c>
      <c r="P334" t="s">
        <v>3758</v>
      </c>
      <c r="Q334" t="s">
        <v>3759</v>
      </c>
      <c r="R334" t="b">
        <v>0</v>
      </c>
      <c r="S334" t="s">
        <v>4355</v>
      </c>
    </row>
    <row r="335" spans="1:19" ht="11.25" customHeight="1">
      <c r="A335">
        <v>2655</v>
      </c>
      <c r="B335" t="s">
        <v>102</v>
      </c>
      <c r="C335">
        <v>26824396</v>
      </c>
      <c r="D335" t="s">
        <v>3106</v>
      </c>
      <c r="E335" t="s">
        <v>3107</v>
      </c>
      <c r="F335" t="s">
        <v>3067</v>
      </c>
      <c r="G335" t="s">
        <v>3108</v>
      </c>
      <c r="H335" t="s">
        <v>3069</v>
      </c>
      <c r="I335" t="s">
        <v>225</v>
      </c>
      <c r="J335" t="s">
        <v>3059</v>
      </c>
      <c r="K335" t="s">
        <v>3109</v>
      </c>
      <c r="L335" t="s">
        <v>3109</v>
      </c>
      <c r="M335" t="s">
        <v>3110</v>
      </c>
      <c r="N335" t="s">
        <v>225</v>
      </c>
      <c r="O335" t="s">
        <v>3111</v>
      </c>
      <c r="P335" t="s">
        <v>3105</v>
      </c>
      <c r="Q335" t="s">
        <v>225</v>
      </c>
      <c r="R335" t="b">
        <v>0</v>
      </c>
      <c r="S335" t="s">
        <v>4355</v>
      </c>
    </row>
    <row r="336" spans="1:19" ht="11.25" customHeight="1">
      <c r="A336">
        <v>2655</v>
      </c>
      <c r="B336" t="s">
        <v>102</v>
      </c>
      <c r="C336">
        <v>30808700</v>
      </c>
      <c r="D336" t="s">
        <v>3145</v>
      </c>
      <c r="E336" t="s">
        <v>3146</v>
      </c>
      <c r="F336" t="s">
        <v>3147</v>
      </c>
      <c r="G336" t="s">
        <v>3068</v>
      </c>
      <c r="H336" t="s">
        <v>3148</v>
      </c>
      <c r="I336" t="s">
        <v>3149</v>
      </c>
      <c r="J336" t="s">
        <v>3129</v>
      </c>
      <c r="K336" t="s">
        <v>3150</v>
      </c>
      <c r="L336" t="s">
        <v>3151</v>
      </c>
      <c r="M336" t="s">
        <v>3152</v>
      </c>
      <c r="N336" t="s">
        <v>3153</v>
      </c>
      <c r="O336" t="s">
        <v>3154</v>
      </c>
      <c r="P336" t="s">
        <v>3155</v>
      </c>
      <c r="Q336" t="s">
        <v>225</v>
      </c>
      <c r="R336" t="b">
        <v>1</v>
      </c>
      <c r="S336" t="s">
        <v>4355</v>
      </c>
    </row>
    <row r="337" spans="1:19" ht="11.25" customHeight="1">
      <c r="A337">
        <v>2655</v>
      </c>
      <c r="B337" t="s">
        <v>102</v>
      </c>
      <c r="C337">
        <v>31319221</v>
      </c>
      <c r="D337" t="s">
        <v>3156</v>
      </c>
      <c r="E337" t="s">
        <v>3157</v>
      </c>
      <c r="F337" t="s">
        <v>3158</v>
      </c>
      <c r="G337" t="s">
        <v>3126</v>
      </c>
      <c r="H337" t="s">
        <v>3159</v>
      </c>
      <c r="I337" t="s">
        <v>3160</v>
      </c>
      <c r="J337" t="s">
        <v>3118</v>
      </c>
      <c r="K337" t="s">
        <v>3161</v>
      </c>
      <c r="L337" t="s">
        <v>3162</v>
      </c>
      <c r="M337" t="s">
        <v>3163</v>
      </c>
      <c r="N337" t="s">
        <v>3164</v>
      </c>
      <c r="O337" t="s">
        <v>3165</v>
      </c>
      <c r="P337" t="s">
        <v>145</v>
      </c>
      <c r="Q337" t="s">
        <v>225</v>
      </c>
      <c r="R337" t="b">
        <v>0</v>
      </c>
      <c r="S337" t="s">
        <v>4355</v>
      </c>
    </row>
    <row r="338" spans="1:19" ht="11.25" customHeight="1">
      <c r="A338">
        <v>2655</v>
      </c>
      <c r="B338" t="s">
        <v>102</v>
      </c>
      <c r="C338">
        <v>31343443</v>
      </c>
      <c r="D338" t="s">
        <v>3176</v>
      </c>
      <c r="E338" t="s">
        <v>3177</v>
      </c>
      <c r="F338" t="s">
        <v>3178</v>
      </c>
      <c r="G338" t="s">
        <v>3068</v>
      </c>
      <c r="H338" t="s">
        <v>3179</v>
      </c>
      <c r="I338" t="s">
        <v>3180</v>
      </c>
      <c r="J338" t="s">
        <v>3118</v>
      </c>
      <c r="K338" t="s">
        <v>3181</v>
      </c>
      <c r="L338" t="s">
        <v>3181</v>
      </c>
      <c r="N338" t="s">
        <v>3182</v>
      </c>
      <c r="O338" t="s">
        <v>3183</v>
      </c>
      <c r="P338" t="s">
        <v>3155</v>
      </c>
      <c r="R338" t="b">
        <v>0</v>
      </c>
      <c r="S338" t="s">
        <v>4355</v>
      </c>
    </row>
    <row r="339" spans="1:19" ht="11.25" customHeight="1">
      <c r="A339">
        <v>2655</v>
      </c>
      <c r="B339" t="s">
        <v>102</v>
      </c>
      <c r="C339">
        <v>31367841</v>
      </c>
      <c r="D339" t="s">
        <v>3184</v>
      </c>
      <c r="E339" t="s">
        <v>3185</v>
      </c>
      <c r="F339" t="s">
        <v>3186</v>
      </c>
      <c r="G339" t="s">
        <v>3187</v>
      </c>
      <c r="H339" t="s">
        <v>3188</v>
      </c>
      <c r="I339" t="s">
        <v>3189</v>
      </c>
      <c r="J339" t="s">
        <v>3129</v>
      </c>
      <c r="K339" t="s">
        <v>3190</v>
      </c>
      <c r="L339" t="s">
        <v>3190</v>
      </c>
      <c r="M339" t="s">
        <v>225</v>
      </c>
      <c r="N339" t="s">
        <v>3191</v>
      </c>
      <c r="O339" t="s">
        <v>3192</v>
      </c>
      <c r="P339" t="s">
        <v>145</v>
      </c>
      <c r="Q339" t="s">
        <v>225</v>
      </c>
      <c r="R339" t="b">
        <v>0</v>
      </c>
      <c r="S339" t="s">
        <v>4355</v>
      </c>
    </row>
    <row r="340" spans="1:19" ht="11.25" customHeight="1">
      <c r="A340">
        <v>2655</v>
      </c>
      <c r="B340" t="s">
        <v>102</v>
      </c>
      <c r="C340">
        <v>31087651</v>
      </c>
      <c r="D340" t="s">
        <v>3193</v>
      </c>
      <c r="E340" t="s">
        <v>3194</v>
      </c>
      <c r="F340" t="s">
        <v>3195</v>
      </c>
      <c r="G340" t="s">
        <v>3196</v>
      </c>
      <c r="H340" t="s">
        <v>3197</v>
      </c>
      <c r="I340" t="s">
        <v>3198</v>
      </c>
      <c r="J340" t="s">
        <v>3118</v>
      </c>
      <c r="K340" t="s">
        <v>3199</v>
      </c>
      <c r="L340" t="s">
        <v>3199</v>
      </c>
      <c r="M340" t="s">
        <v>3200</v>
      </c>
      <c r="N340" t="s">
        <v>3201</v>
      </c>
      <c r="O340" t="s">
        <v>3202</v>
      </c>
      <c r="R340" t="b">
        <v>0</v>
      </c>
      <c r="S340" t="s">
        <v>4355</v>
      </c>
    </row>
    <row r="341" spans="1:19" ht="11.25" customHeight="1">
      <c r="A341">
        <v>2655</v>
      </c>
      <c r="B341" t="s">
        <v>102</v>
      </c>
      <c r="C341">
        <v>31367862</v>
      </c>
      <c r="D341" t="s">
        <v>3203</v>
      </c>
      <c r="E341" t="s">
        <v>3204</v>
      </c>
      <c r="F341" t="s">
        <v>3205</v>
      </c>
      <c r="G341" t="s">
        <v>3187</v>
      </c>
      <c r="H341" t="s">
        <v>3206</v>
      </c>
      <c r="I341" t="s">
        <v>3207</v>
      </c>
      <c r="J341" t="s">
        <v>3118</v>
      </c>
      <c r="K341" t="s">
        <v>3208</v>
      </c>
      <c r="L341" t="s">
        <v>3208</v>
      </c>
      <c r="M341" t="s">
        <v>225</v>
      </c>
      <c r="N341" t="s">
        <v>3209</v>
      </c>
      <c r="O341" t="s">
        <v>3210</v>
      </c>
      <c r="P341" t="s">
        <v>145</v>
      </c>
      <c r="Q341" t="s">
        <v>225</v>
      </c>
      <c r="R341" t="b">
        <v>0</v>
      </c>
      <c r="S341" t="s">
        <v>4355</v>
      </c>
    </row>
    <row r="342" spans="1:19" ht="11.25" customHeight="1">
      <c r="A342">
        <v>2655</v>
      </c>
      <c r="B342" t="s">
        <v>102</v>
      </c>
      <c r="C342">
        <v>26486390</v>
      </c>
      <c r="D342" t="s">
        <v>3211</v>
      </c>
      <c r="E342" t="s">
        <v>3212</v>
      </c>
      <c r="F342" t="s">
        <v>3213</v>
      </c>
      <c r="G342" t="s">
        <v>3214</v>
      </c>
      <c r="H342" t="s">
        <v>3215</v>
      </c>
      <c r="I342" t="s">
        <v>3216</v>
      </c>
      <c r="J342" t="s">
        <v>3129</v>
      </c>
      <c r="K342" t="s">
        <v>3217</v>
      </c>
      <c r="L342" t="s">
        <v>3217</v>
      </c>
      <c r="M342" t="s">
        <v>3218</v>
      </c>
      <c r="N342" t="s">
        <v>3219</v>
      </c>
      <c r="O342" t="s">
        <v>3220</v>
      </c>
      <c r="P342" t="s">
        <v>3221</v>
      </c>
      <c r="Q342" t="s">
        <v>225</v>
      </c>
      <c r="R342" t="b">
        <v>0</v>
      </c>
      <c r="S342" t="s">
        <v>4355</v>
      </c>
    </row>
    <row r="343" spans="1:19" ht="11.25" customHeight="1">
      <c r="A343">
        <v>2655</v>
      </c>
      <c r="B343" t="s">
        <v>102</v>
      </c>
      <c r="C343">
        <v>31187282</v>
      </c>
      <c r="D343" t="s">
        <v>3810</v>
      </c>
      <c r="E343" t="s">
        <v>3811</v>
      </c>
      <c r="F343" t="s">
        <v>3812</v>
      </c>
      <c r="G343" t="s">
        <v>3023</v>
      </c>
      <c r="H343" t="s">
        <v>3813</v>
      </c>
      <c r="I343" t="s">
        <v>3814</v>
      </c>
      <c r="J343" t="s">
        <v>3129</v>
      </c>
      <c r="K343" t="s">
        <v>3815</v>
      </c>
      <c r="L343" t="s">
        <v>3815</v>
      </c>
      <c r="M343" t="s">
        <v>225</v>
      </c>
      <c r="N343" t="s">
        <v>3816</v>
      </c>
      <c r="O343" t="s">
        <v>3817</v>
      </c>
      <c r="P343" t="s">
        <v>145</v>
      </c>
      <c r="Q343" t="s">
        <v>225</v>
      </c>
      <c r="R343" t="b">
        <v>0</v>
      </c>
      <c r="S343" t="s">
        <v>4355</v>
      </c>
    </row>
    <row r="344" spans="1:19" ht="11.25" customHeight="1">
      <c r="A344">
        <v>2655</v>
      </c>
      <c r="B344" t="s">
        <v>102</v>
      </c>
      <c r="C344">
        <v>31308226</v>
      </c>
      <c r="D344" t="s">
        <v>3240</v>
      </c>
      <c r="E344" t="s">
        <v>3241</v>
      </c>
      <c r="F344" t="s">
        <v>3242</v>
      </c>
      <c r="G344" t="s">
        <v>3243</v>
      </c>
      <c r="H344" t="s">
        <v>3244</v>
      </c>
      <c r="I344" t="s">
        <v>3245</v>
      </c>
      <c r="J344" t="s">
        <v>3129</v>
      </c>
      <c r="K344" t="s">
        <v>3246</v>
      </c>
      <c r="L344" t="s">
        <v>3246</v>
      </c>
      <c r="M344" t="s">
        <v>3247</v>
      </c>
      <c r="N344" t="s">
        <v>3248</v>
      </c>
      <c r="O344" t="s">
        <v>3249</v>
      </c>
      <c r="P344" t="s">
        <v>3155</v>
      </c>
      <c r="Q344" t="s">
        <v>225</v>
      </c>
      <c r="R344" t="b">
        <v>1</v>
      </c>
      <c r="S344" t="s">
        <v>4355</v>
      </c>
    </row>
    <row r="345" spans="1:19" ht="11.25" customHeight="1">
      <c r="A345">
        <v>2655</v>
      </c>
      <c r="B345" t="s">
        <v>102</v>
      </c>
      <c r="C345">
        <v>31284269</v>
      </c>
      <c r="D345" t="s">
        <v>3250</v>
      </c>
      <c r="E345" t="s">
        <v>3251</v>
      </c>
      <c r="F345" t="s">
        <v>3252</v>
      </c>
      <c r="G345" t="s">
        <v>3196</v>
      </c>
      <c r="H345" t="s">
        <v>3253</v>
      </c>
      <c r="I345" t="s">
        <v>3254</v>
      </c>
      <c r="J345" t="s">
        <v>3129</v>
      </c>
      <c r="K345" t="s">
        <v>3255</v>
      </c>
      <c r="L345" t="s">
        <v>3256</v>
      </c>
      <c r="M345" t="s">
        <v>3257</v>
      </c>
      <c r="N345" t="s">
        <v>3258</v>
      </c>
      <c r="O345" t="s">
        <v>3259</v>
      </c>
      <c r="P345" t="s">
        <v>145</v>
      </c>
      <c r="Q345" t="s">
        <v>225</v>
      </c>
      <c r="R345" t="b">
        <v>0</v>
      </c>
      <c r="S345" t="s">
        <v>4355</v>
      </c>
    </row>
    <row r="346" spans="1:19" ht="11.25" customHeight="1">
      <c r="A346">
        <v>2655</v>
      </c>
      <c r="B346" t="s">
        <v>102</v>
      </c>
      <c r="C346">
        <v>26322895</v>
      </c>
      <c r="D346" t="s">
        <v>3280</v>
      </c>
      <c r="E346" t="s">
        <v>3281</v>
      </c>
      <c r="F346" t="s">
        <v>3282</v>
      </c>
      <c r="G346" t="s">
        <v>2999</v>
      </c>
      <c r="H346" t="s">
        <v>3283</v>
      </c>
      <c r="I346" t="s">
        <v>3284</v>
      </c>
      <c r="J346" t="s">
        <v>3059</v>
      </c>
      <c r="K346" t="s">
        <v>3285</v>
      </c>
      <c r="L346" t="s">
        <v>3285</v>
      </c>
      <c r="M346" t="s">
        <v>3286</v>
      </c>
      <c r="N346" t="s">
        <v>3287</v>
      </c>
      <c r="O346" t="s">
        <v>3288</v>
      </c>
      <c r="P346" t="s">
        <v>3064</v>
      </c>
      <c r="Q346" t="s">
        <v>3289</v>
      </c>
      <c r="R346" t="b">
        <v>0</v>
      </c>
      <c r="S346" t="s">
        <v>4355</v>
      </c>
    </row>
    <row r="347" spans="1:19" ht="11.25" customHeight="1">
      <c r="A347">
        <v>2655</v>
      </c>
      <c r="B347" t="s">
        <v>102</v>
      </c>
      <c r="C347">
        <v>30843704</v>
      </c>
      <c r="D347" t="s">
        <v>3836</v>
      </c>
      <c r="E347" t="s">
        <v>3837</v>
      </c>
      <c r="F347" t="s">
        <v>3838</v>
      </c>
      <c r="G347" t="s">
        <v>2999</v>
      </c>
      <c r="H347" t="s">
        <v>3839</v>
      </c>
      <c r="I347" t="s">
        <v>3840</v>
      </c>
      <c r="J347" t="s">
        <v>128</v>
      </c>
      <c r="K347" t="s">
        <v>3841</v>
      </c>
      <c r="L347" t="s">
        <v>3842</v>
      </c>
      <c r="M347" t="s">
        <v>225</v>
      </c>
      <c r="N347" t="s">
        <v>3843</v>
      </c>
      <c r="O347" t="s">
        <v>3844</v>
      </c>
      <c r="P347" t="s">
        <v>3064</v>
      </c>
      <c r="Q347" t="s">
        <v>225</v>
      </c>
      <c r="R347" t="b">
        <v>0</v>
      </c>
      <c r="S347" t="s">
        <v>4355</v>
      </c>
    </row>
    <row r="348" spans="1:19" ht="11.25" customHeight="1">
      <c r="A348">
        <v>2655</v>
      </c>
      <c r="B348" t="s">
        <v>102</v>
      </c>
      <c r="C348">
        <v>31245446</v>
      </c>
      <c r="D348" t="s">
        <v>3863</v>
      </c>
      <c r="E348" t="s">
        <v>3864</v>
      </c>
      <c r="F348" t="s">
        <v>3865</v>
      </c>
      <c r="G348" t="s">
        <v>3866</v>
      </c>
      <c r="H348" t="s">
        <v>3867</v>
      </c>
      <c r="I348" t="s">
        <v>3868</v>
      </c>
      <c r="J348" t="s">
        <v>128</v>
      </c>
      <c r="K348" t="s">
        <v>3869</v>
      </c>
      <c r="L348" t="s">
        <v>3870</v>
      </c>
      <c r="M348" t="s">
        <v>3871</v>
      </c>
      <c r="N348" t="s">
        <v>3872</v>
      </c>
      <c r="O348" t="s">
        <v>3873</v>
      </c>
      <c r="P348" t="s">
        <v>145</v>
      </c>
      <c r="Q348" t="s">
        <v>225</v>
      </c>
      <c r="R348" t="b">
        <v>0</v>
      </c>
      <c r="S348" t="s">
        <v>4355</v>
      </c>
    </row>
    <row r="349" spans="1:19" ht="11.25" customHeight="1">
      <c r="A349">
        <v>2655</v>
      </c>
      <c r="B349" t="s">
        <v>102</v>
      </c>
      <c r="C349">
        <v>31656254</v>
      </c>
      <c r="D349" t="s">
        <v>3345</v>
      </c>
      <c r="E349" t="s">
        <v>3346</v>
      </c>
      <c r="F349" t="s">
        <v>3347</v>
      </c>
      <c r="G349" t="s">
        <v>3348</v>
      </c>
      <c r="H349" t="s">
        <v>3349</v>
      </c>
      <c r="I349" t="s">
        <v>3350</v>
      </c>
      <c r="K349" t="s">
        <v>3351</v>
      </c>
      <c r="L349" t="s">
        <v>3352</v>
      </c>
      <c r="M349" t="s">
        <v>3353</v>
      </c>
      <c r="N349" t="s">
        <v>3354</v>
      </c>
      <c r="O349" t="s">
        <v>3355</v>
      </c>
      <c r="P349" t="s">
        <v>145</v>
      </c>
      <c r="Q349" t="s">
        <v>3356</v>
      </c>
      <c r="R349" t="b">
        <v>0</v>
      </c>
      <c r="S349" t="s">
        <v>4355</v>
      </c>
    </row>
    <row r="350" spans="1:19" ht="11.25" customHeight="1">
      <c r="A350">
        <v>2655</v>
      </c>
      <c r="B350" t="s">
        <v>102</v>
      </c>
      <c r="C350">
        <v>26562805</v>
      </c>
      <c r="D350" t="s">
        <v>3930</v>
      </c>
      <c r="E350" t="s">
        <v>3931</v>
      </c>
      <c r="F350" t="s">
        <v>3932</v>
      </c>
      <c r="G350" t="s">
        <v>3214</v>
      </c>
      <c r="H350" t="s">
        <v>3933</v>
      </c>
      <c r="I350" t="s">
        <v>3934</v>
      </c>
      <c r="J350" t="s">
        <v>128</v>
      </c>
      <c r="K350" t="s">
        <v>3935</v>
      </c>
      <c r="L350" t="s">
        <v>3935</v>
      </c>
      <c r="M350" t="s">
        <v>3936</v>
      </c>
      <c r="N350" t="s">
        <v>3937</v>
      </c>
      <c r="O350" t="s">
        <v>3938</v>
      </c>
      <c r="P350" t="s">
        <v>145</v>
      </c>
      <c r="Q350" t="s">
        <v>3939</v>
      </c>
      <c r="R350" t="b">
        <v>0</v>
      </c>
      <c r="S350" t="s">
        <v>4355</v>
      </c>
    </row>
    <row r="351" spans="1:19" ht="11.25" customHeight="1">
      <c r="A351">
        <v>2655</v>
      </c>
      <c r="B351" t="s">
        <v>102</v>
      </c>
      <c r="C351">
        <v>27997588</v>
      </c>
      <c r="D351" t="s">
        <v>3949</v>
      </c>
      <c r="E351" t="s">
        <v>3950</v>
      </c>
      <c r="F351" t="s">
        <v>3951</v>
      </c>
      <c r="G351" t="s">
        <v>3115</v>
      </c>
      <c r="H351" t="s">
        <v>3952</v>
      </c>
      <c r="I351" t="s">
        <v>3953</v>
      </c>
      <c r="J351" t="s">
        <v>128</v>
      </c>
      <c r="K351" t="s">
        <v>3954</v>
      </c>
      <c r="L351" t="s">
        <v>3954</v>
      </c>
      <c r="M351" t="s">
        <v>3955</v>
      </c>
      <c r="N351" t="s">
        <v>3956</v>
      </c>
      <c r="O351" t="s">
        <v>3957</v>
      </c>
      <c r="P351" t="s">
        <v>3958</v>
      </c>
      <c r="Q351" t="s">
        <v>225</v>
      </c>
      <c r="R351" t="b">
        <v>0</v>
      </c>
      <c r="S351" t="s">
        <v>4355</v>
      </c>
    </row>
    <row r="352" spans="1:19" ht="11.25" customHeight="1">
      <c r="A352">
        <v>2655</v>
      </c>
      <c r="B352" t="s">
        <v>102</v>
      </c>
      <c r="C352">
        <v>28882034</v>
      </c>
      <c r="D352" t="s">
        <v>3959</v>
      </c>
      <c r="E352" t="s">
        <v>3960</v>
      </c>
      <c r="F352" t="s">
        <v>3961</v>
      </c>
      <c r="G352" t="s">
        <v>2999</v>
      </c>
      <c r="H352" t="s">
        <v>3962</v>
      </c>
      <c r="I352" t="s">
        <v>225</v>
      </c>
      <c r="J352" t="s">
        <v>128</v>
      </c>
      <c r="K352" t="s">
        <v>3963</v>
      </c>
      <c r="L352" t="s">
        <v>3963</v>
      </c>
      <c r="M352" t="s">
        <v>225</v>
      </c>
      <c r="N352" t="s">
        <v>225</v>
      </c>
      <c r="O352" t="s">
        <v>3964</v>
      </c>
      <c r="P352" t="s">
        <v>145</v>
      </c>
      <c r="Q352" t="s">
        <v>225</v>
      </c>
      <c r="R352" t="b">
        <v>0</v>
      </c>
      <c r="S352" t="s">
        <v>4355</v>
      </c>
    </row>
    <row r="353" spans="1:19" ht="11.25" customHeight="1">
      <c r="A353">
        <v>2655</v>
      </c>
      <c r="B353" t="s">
        <v>102</v>
      </c>
      <c r="C353">
        <v>31519209</v>
      </c>
      <c r="D353" t="s">
        <v>3975</v>
      </c>
      <c r="E353" t="s">
        <v>3976</v>
      </c>
      <c r="F353" t="s">
        <v>3977</v>
      </c>
      <c r="G353" t="s">
        <v>3300</v>
      </c>
      <c r="H353" t="s">
        <v>3978</v>
      </c>
      <c r="I353" t="s">
        <v>3979</v>
      </c>
      <c r="J353" t="s">
        <v>128</v>
      </c>
      <c r="K353" t="s">
        <v>3980</v>
      </c>
      <c r="L353" t="s">
        <v>3981</v>
      </c>
      <c r="M353" t="s">
        <v>3982</v>
      </c>
      <c r="N353" t="s">
        <v>3983</v>
      </c>
      <c r="O353" t="s">
        <v>3984</v>
      </c>
      <c r="P353" t="s">
        <v>3007</v>
      </c>
      <c r="Q353" t="s">
        <v>225</v>
      </c>
      <c r="R353" t="b">
        <v>0</v>
      </c>
      <c r="S353" t="s">
        <v>4355</v>
      </c>
    </row>
    <row r="354" spans="1:19" ht="11.25" customHeight="1">
      <c r="A354">
        <v>2655</v>
      </c>
      <c r="B354" t="s">
        <v>102</v>
      </c>
      <c r="C354">
        <v>31574053</v>
      </c>
      <c r="D354" t="s">
        <v>3985</v>
      </c>
      <c r="E354" t="s">
        <v>3986</v>
      </c>
      <c r="F354" t="s">
        <v>3987</v>
      </c>
      <c r="G354" t="s">
        <v>3243</v>
      </c>
      <c r="H354" t="s">
        <v>3988</v>
      </c>
      <c r="I354" t="s">
        <v>3989</v>
      </c>
      <c r="K354" t="s">
        <v>3990</v>
      </c>
      <c r="L354" t="s">
        <v>3990</v>
      </c>
      <c r="M354" t="s">
        <v>3991</v>
      </c>
      <c r="N354" t="s">
        <v>3992</v>
      </c>
      <c r="O354" t="s">
        <v>3993</v>
      </c>
      <c r="P354" t="s">
        <v>145</v>
      </c>
      <c r="Q354" t="s">
        <v>225</v>
      </c>
      <c r="R354" t="b">
        <v>0</v>
      </c>
      <c r="S354" t="s">
        <v>4355</v>
      </c>
    </row>
    <row r="355" spans="1:19" ht="11.25" customHeight="1">
      <c r="A355">
        <v>2655</v>
      </c>
      <c r="B355" t="s">
        <v>102</v>
      </c>
      <c r="C355">
        <v>28151808</v>
      </c>
      <c r="D355" t="s">
        <v>3376</v>
      </c>
      <c r="E355" t="s">
        <v>3377</v>
      </c>
      <c r="F355" t="s">
        <v>3378</v>
      </c>
      <c r="G355" t="s">
        <v>3068</v>
      </c>
      <c r="H355" t="s">
        <v>3379</v>
      </c>
      <c r="I355" t="s">
        <v>3380</v>
      </c>
      <c r="J355" t="s">
        <v>128</v>
      </c>
      <c r="K355" t="s">
        <v>3381</v>
      </c>
      <c r="L355" t="s">
        <v>3382</v>
      </c>
      <c r="M355" t="s">
        <v>3383</v>
      </c>
      <c r="N355" t="s">
        <v>3384</v>
      </c>
      <c r="O355" t="s">
        <v>3385</v>
      </c>
      <c r="P355" t="s">
        <v>3064</v>
      </c>
      <c r="Q355" t="s">
        <v>225</v>
      </c>
      <c r="R355" t="b">
        <v>1</v>
      </c>
      <c r="S355" t="s">
        <v>4355</v>
      </c>
    </row>
    <row r="356" spans="1:19" ht="11.25" customHeight="1">
      <c r="A356">
        <v>2655</v>
      </c>
      <c r="B356" t="s">
        <v>102</v>
      </c>
      <c r="C356">
        <v>30433806</v>
      </c>
      <c r="D356" t="s">
        <v>4032</v>
      </c>
      <c r="E356" t="s">
        <v>4033</v>
      </c>
      <c r="F356" t="s">
        <v>4034</v>
      </c>
      <c r="G356" t="s">
        <v>3214</v>
      </c>
      <c r="H356" t="s">
        <v>4035</v>
      </c>
      <c r="I356" t="s">
        <v>4036</v>
      </c>
      <c r="J356" t="s">
        <v>128</v>
      </c>
      <c r="K356" t="s">
        <v>4037</v>
      </c>
      <c r="L356" t="s">
        <v>4037</v>
      </c>
      <c r="M356" t="s">
        <v>4038</v>
      </c>
      <c r="N356" t="s">
        <v>4039</v>
      </c>
      <c r="O356" t="s">
        <v>4040</v>
      </c>
      <c r="P356" t="s">
        <v>145</v>
      </c>
      <c r="Q356" t="s">
        <v>151</v>
      </c>
      <c r="R356" t="b">
        <v>0</v>
      </c>
      <c r="S356" t="s">
        <v>4355</v>
      </c>
    </row>
    <row r="357" spans="1:19" ht="11.25" customHeight="1">
      <c r="A357">
        <v>2655</v>
      </c>
      <c r="B357" t="s">
        <v>102</v>
      </c>
      <c r="C357">
        <v>26356987</v>
      </c>
      <c r="D357" t="s">
        <v>3406</v>
      </c>
      <c r="E357" t="s">
        <v>3407</v>
      </c>
      <c r="F357" t="s">
        <v>3408</v>
      </c>
      <c r="G357" t="s">
        <v>3409</v>
      </c>
      <c r="H357" t="s">
        <v>3410</v>
      </c>
      <c r="I357" t="s">
        <v>3411</v>
      </c>
      <c r="J357" t="s">
        <v>128</v>
      </c>
      <c r="K357" t="s">
        <v>3412</v>
      </c>
      <c r="L357" t="s">
        <v>3412</v>
      </c>
      <c r="M357" t="s">
        <v>3413</v>
      </c>
      <c r="N357" t="s">
        <v>3414</v>
      </c>
      <c r="O357" t="s">
        <v>3415</v>
      </c>
      <c r="P357" t="s">
        <v>3155</v>
      </c>
      <c r="Q357" t="s">
        <v>3416</v>
      </c>
      <c r="R357" t="b">
        <v>0</v>
      </c>
      <c r="S357" t="s">
        <v>4355</v>
      </c>
    </row>
    <row r="358" spans="1:19" ht="11.25" customHeight="1">
      <c r="A358">
        <v>2655</v>
      </c>
      <c r="B358" t="s">
        <v>102</v>
      </c>
      <c r="C358">
        <v>30856223</v>
      </c>
      <c r="D358" t="s">
        <v>4061</v>
      </c>
      <c r="E358" t="s">
        <v>4062</v>
      </c>
      <c r="F358" t="s">
        <v>4063</v>
      </c>
      <c r="G358" t="s">
        <v>3023</v>
      </c>
      <c r="H358" t="s">
        <v>4064</v>
      </c>
      <c r="I358" t="s">
        <v>4065</v>
      </c>
      <c r="J358" t="s">
        <v>128</v>
      </c>
      <c r="K358" t="s">
        <v>4066</v>
      </c>
      <c r="L358" t="s">
        <v>4066</v>
      </c>
      <c r="M358" t="s">
        <v>4067</v>
      </c>
      <c r="N358" t="s">
        <v>4068</v>
      </c>
      <c r="O358" t="s">
        <v>4069</v>
      </c>
      <c r="P358" t="s">
        <v>3064</v>
      </c>
      <c r="Q358" t="s">
        <v>4070</v>
      </c>
      <c r="R358" t="b">
        <v>0</v>
      </c>
      <c r="S358" t="s">
        <v>4355</v>
      </c>
    </row>
    <row r="359" spans="1:19" ht="11.25" customHeight="1">
      <c r="A359">
        <v>2655</v>
      </c>
      <c r="B359" t="s">
        <v>102</v>
      </c>
      <c r="C359">
        <v>26356891</v>
      </c>
      <c r="D359" t="s">
        <v>3417</v>
      </c>
      <c r="E359" t="s">
        <v>3418</v>
      </c>
      <c r="F359" t="s">
        <v>3419</v>
      </c>
      <c r="G359" t="s">
        <v>123</v>
      </c>
      <c r="H359" t="s">
        <v>3420</v>
      </c>
      <c r="I359" t="s">
        <v>3421</v>
      </c>
      <c r="J359" t="s">
        <v>128</v>
      </c>
      <c r="K359" t="s">
        <v>3422</v>
      </c>
      <c r="L359" t="s">
        <v>3422</v>
      </c>
      <c r="M359" t="s">
        <v>3423</v>
      </c>
      <c r="N359" t="s">
        <v>3424</v>
      </c>
      <c r="O359" t="s">
        <v>3425</v>
      </c>
      <c r="P359" t="s">
        <v>145</v>
      </c>
      <c r="Q359" t="s">
        <v>225</v>
      </c>
      <c r="R359" t="b">
        <v>0</v>
      </c>
      <c r="S359" t="s">
        <v>4355</v>
      </c>
    </row>
    <row r="360" spans="1:19" ht="11.25" customHeight="1">
      <c r="A360">
        <v>2655</v>
      </c>
      <c r="B360" t="s">
        <v>102</v>
      </c>
      <c r="C360">
        <v>27566835</v>
      </c>
      <c r="D360" t="s">
        <v>4090</v>
      </c>
      <c r="E360" t="s">
        <v>4091</v>
      </c>
      <c r="F360" t="s">
        <v>4092</v>
      </c>
      <c r="G360" t="s">
        <v>123</v>
      </c>
      <c r="H360" t="s">
        <v>4093</v>
      </c>
      <c r="I360" t="s">
        <v>4094</v>
      </c>
      <c r="J360" t="s">
        <v>128</v>
      </c>
      <c r="K360" t="s">
        <v>4095</v>
      </c>
      <c r="L360" t="s">
        <v>4095</v>
      </c>
      <c r="M360" t="s">
        <v>4096</v>
      </c>
      <c r="N360" t="s">
        <v>3238</v>
      </c>
      <c r="O360" t="s">
        <v>4097</v>
      </c>
      <c r="P360" t="s">
        <v>145</v>
      </c>
      <c r="Q360" t="s">
        <v>151</v>
      </c>
      <c r="R360" t="b">
        <v>0</v>
      </c>
      <c r="S360" t="s">
        <v>4355</v>
      </c>
    </row>
    <row r="361" spans="1:19" ht="11.25" customHeight="1">
      <c r="A361">
        <v>2655</v>
      </c>
      <c r="B361" t="s">
        <v>102</v>
      </c>
      <c r="C361">
        <v>31229342</v>
      </c>
      <c r="D361" t="s">
        <v>4098</v>
      </c>
      <c r="E361" t="s">
        <v>4099</v>
      </c>
      <c r="F361" t="s">
        <v>4100</v>
      </c>
      <c r="G361" t="s">
        <v>3243</v>
      </c>
      <c r="H361" t="s">
        <v>4101</v>
      </c>
      <c r="I361" t="s">
        <v>4102</v>
      </c>
      <c r="J361" t="s">
        <v>128</v>
      </c>
      <c r="K361" t="s">
        <v>4103</v>
      </c>
      <c r="L361" t="s">
        <v>4103</v>
      </c>
      <c r="M361" t="s">
        <v>4104</v>
      </c>
      <c r="N361" t="s">
        <v>4105</v>
      </c>
      <c r="O361" t="s">
        <v>4106</v>
      </c>
      <c r="P361" t="s">
        <v>3064</v>
      </c>
      <c r="Q361" t="s">
        <v>225</v>
      </c>
      <c r="R361" t="b">
        <v>0</v>
      </c>
      <c r="S361" t="s">
        <v>4355</v>
      </c>
    </row>
    <row r="362" spans="1:19" ht="11.25" customHeight="1">
      <c r="A362">
        <v>2655</v>
      </c>
      <c r="B362" t="s">
        <v>102</v>
      </c>
      <c r="C362">
        <v>30856253</v>
      </c>
      <c r="D362" t="s">
        <v>4134</v>
      </c>
      <c r="E362" t="s">
        <v>4135</v>
      </c>
      <c r="F362" t="s">
        <v>4136</v>
      </c>
      <c r="G362" t="s">
        <v>3068</v>
      </c>
      <c r="H362" t="s">
        <v>4137</v>
      </c>
      <c r="I362" t="s">
        <v>4138</v>
      </c>
      <c r="J362" t="s">
        <v>128</v>
      </c>
      <c r="K362" t="s">
        <v>4139</v>
      </c>
      <c r="L362" t="s">
        <v>4139</v>
      </c>
      <c r="M362" t="s">
        <v>4140</v>
      </c>
      <c r="N362" t="s">
        <v>4141</v>
      </c>
      <c r="O362" t="s">
        <v>4142</v>
      </c>
      <c r="P362" t="s">
        <v>145</v>
      </c>
      <c r="Q362" t="s">
        <v>225</v>
      </c>
      <c r="R362" t="b">
        <v>0</v>
      </c>
      <c r="S362" t="s">
        <v>4355</v>
      </c>
    </row>
    <row r="363" spans="1:19" ht="11.25" customHeight="1">
      <c r="A363">
        <v>2655</v>
      </c>
      <c r="B363" t="s">
        <v>102</v>
      </c>
      <c r="C363">
        <v>33000042</v>
      </c>
      <c r="D363" t="s">
        <v>4143</v>
      </c>
      <c r="E363" t="s">
        <v>4144</v>
      </c>
      <c r="F363" t="s">
        <v>4145</v>
      </c>
      <c r="G363" t="s">
        <v>3328</v>
      </c>
      <c r="H363" t="s">
        <v>4146</v>
      </c>
      <c r="I363" t="s">
        <v>4147</v>
      </c>
      <c r="K363" t="s">
        <v>4148</v>
      </c>
      <c r="L363" t="s">
        <v>4149</v>
      </c>
      <c r="M363" t="s">
        <v>4150</v>
      </c>
      <c r="N363" t="s">
        <v>4151</v>
      </c>
      <c r="O363" t="s">
        <v>3335</v>
      </c>
      <c r="P363" t="s">
        <v>3144</v>
      </c>
      <c r="Q363" t="s">
        <v>225</v>
      </c>
      <c r="R363" t="b">
        <v>0</v>
      </c>
      <c r="S363" t="s">
        <v>4355</v>
      </c>
    </row>
    <row r="364" spans="1:19" ht="11.25" customHeight="1">
      <c r="A364">
        <v>2655</v>
      </c>
      <c r="B364" t="s">
        <v>102</v>
      </c>
      <c r="C364">
        <v>26517842</v>
      </c>
      <c r="D364" t="s">
        <v>4152</v>
      </c>
      <c r="E364" t="s">
        <v>4153</v>
      </c>
      <c r="F364" t="s">
        <v>4154</v>
      </c>
      <c r="G364" t="s">
        <v>123</v>
      </c>
      <c r="H364" t="s">
        <v>4155</v>
      </c>
      <c r="I364" t="s">
        <v>4156</v>
      </c>
      <c r="J364" t="s">
        <v>128</v>
      </c>
      <c r="K364" t="s">
        <v>4157</v>
      </c>
      <c r="L364" t="s">
        <v>3003</v>
      </c>
      <c r="M364" t="s">
        <v>4158</v>
      </c>
      <c r="N364" t="s">
        <v>4159</v>
      </c>
      <c r="O364" t="s">
        <v>4160</v>
      </c>
      <c r="P364" t="s">
        <v>3064</v>
      </c>
      <c r="Q364" t="s">
        <v>225</v>
      </c>
      <c r="R364" t="b">
        <v>0</v>
      </c>
      <c r="S364" t="s">
        <v>4355</v>
      </c>
    </row>
    <row r="365" spans="1:19" ht="11.25" customHeight="1">
      <c r="A365">
        <v>2655</v>
      </c>
      <c r="B365" t="s">
        <v>102</v>
      </c>
      <c r="C365">
        <v>26356937</v>
      </c>
      <c r="D365" t="s">
        <v>3434</v>
      </c>
      <c r="E365" t="s">
        <v>3435</v>
      </c>
      <c r="F365" t="s">
        <v>3436</v>
      </c>
      <c r="G365" t="s">
        <v>3300</v>
      </c>
      <c r="H365" t="s">
        <v>3437</v>
      </c>
      <c r="I365" t="s">
        <v>3438</v>
      </c>
      <c r="J365" t="s">
        <v>128</v>
      </c>
      <c r="K365" t="s">
        <v>3439</v>
      </c>
      <c r="L365" t="s">
        <v>3439</v>
      </c>
      <c r="M365" t="s">
        <v>3440</v>
      </c>
      <c r="N365" t="s">
        <v>3441</v>
      </c>
      <c r="O365" t="s">
        <v>3442</v>
      </c>
      <c r="P365" t="s">
        <v>3155</v>
      </c>
      <c r="Q365" t="s">
        <v>3443</v>
      </c>
      <c r="R365" t="b">
        <v>0</v>
      </c>
      <c r="S365" t="s">
        <v>4355</v>
      </c>
    </row>
    <row r="366" spans="1:19" ht="11.25" customHeight="1">
      <c r="A366">
        <v>2655</v>
      </c>
      <c r="B366" t="s">
        <v>102</v>
      </c>
      <c r="C366">
        <v>33000834</v>
      </c>
      <c r="D366" t="s">
        <v>3444</v>
      </c>
      <c r="E366" t="s">
        <v>3445</v>
      </c>
      <c r="F366" t="s">
        <v>3446</v>
      </c>
      <c r="G366" t="s">
        <v>3137</v>
      </c>
      <c r="H366" t="s">
        <v>3447</v>
      </c>
      <c r="I366" t="s">
        <v>3448</v>
      </c>
      <c r="K366" t="s">
        <v>3449</v>
      </c>
      <c r="L366" t="s">
        <v>3449</v>
      </c>
      <c r="M366" t="s">
        <v>3450</v>
      </c>
      <c r="N366" t="s">
        <v>3191</v>
      </c>
      <c r="O366" t="s">
        <v>3451</v>
      </c>
      <c r="P366" t="s">
        <v>145</v>
      </c>
      <c r="Q366" t="s">
        <v>3452</v>
      </c>
      <c r="R366" t="b">
        <v>0</v>
      </c>
      <c r="S366" t="s">
        <v>4355</v>
      </c>
    </row>
    <row r="367" spans="1:19" ht="11.25" customHeight="1">
      <c r="A367">
        <v>2655</v>
      </c>
      <c r="B367" t="s">
        <v>102</v>
      </c>
      <c r="C367">
        <v>31473621</v>
      </c>
      <c r="D367" t="s">
        <v>4161</v>
      </c>
      <c r="E367" t="s">
        <v>4162</v>
      </c>
      <c r="F367" t="s">
        <v>4163</v>
      </c>
      <c r="G367" t="s">
        <v>3137</v>
      </c>
      <c r="H367" t="s">
        <v>4164</v>
      </c>
      <c r="I367" t="s">
        <v>4165</v>
      </c>
      <c r="J367" t="s">
        <v>128</v>
      </c>
      <c r="K367" t="s">
        <v>4166</v>
      </c>
      <c r="L367" t="s">
        <v>4166</v>
      </c>
      <c r="M367" t="s">
        <v>4167</v>
      </c>
      <c r="N367" t="s">
        <v>4168</v>
      </c>
      <c r="O367" t="s">
        <v>4169</v>
      </c>
      <c r="P367" t="s">
        <v>3064</v>
      </c>
      <c r="Q367" t="s">
        <v>4170</v>
      </c>
      <c r="R367" t="b">
        <v>0</v>
      </c>
      <c r="S367" t="s">
        <v>4355</v>
      </c>
    </row>
    <row r="368" spans="1:19" ht="11.25" customHeight="1">
      <c r="A368">
        <v>2655</v>
      </c>
      <c r="B368" t="s">
        <v>102</v>
      </c>
      <c r="C368">
        <v>31004851</v>
      </c>
      <c r="D368" t="s">
        <v>4171</v>
      </c>
      <c r="E368" t="s">
        <v>4172</v>
      </c>
      <c r="F368" t="s">
        <v>4173</v>
      </c>
      <c r="G368" t="s">
        <v>3023</v>
      </c>
      <c r="H368" t="s">
        <v>4174</v>
      </c>
      <c r="I368" t="s">
        <v>4175</v>
      </c>
      <c r="J368" t="s">
        <v>128</v>
      </c>
      <c r="K368" t="s">
        <v>4176</v>
      </c>
      <c r="L368" t="s">
        <v>4177</v>
      </c>
      <c r="M368" t="s">
        <v>4178</v>
      </c>
      <c r="N368" t="s">
        <v>4179</v>
      </c>
      <c r="O368" t="s">
        <v>4180</v>
      </c>
      <c r="P368" t="s">
        <v>3064</v>
      </c>
      <c r="Q368" t="s">
        <v>4181</v>
      </c>
      <c r="R368" t="b">
        <v>0</v>
      </c>
      <c r="S368" t="s">
        <v>4355</v>
      </c>
    </row>
    <row r="369" spans="1:19" ht="11.25" customHeight="1">
      <c r="A369">
        <v>2655</v>
      </c>
      <c r="B369" t="s">
        <v>102</v>
      </c>
      <c r="C369">
        <v>28274482</v>
      </c>
      <c r="D369" t="s">
        <v>4192</v>
      </c>
      <c r="E369" t="s">
        <v>4193</v>
      </c>
      <c r="F369" t="s">
        <v>4194</v>
      </c>
      <c r="G369" t="s">
        <v>3068</v>
      </c>
      <c r="H369" t="s">
        <v>4195</v>
      </c>
      <c r="I369" t="s">
        <v>4196</v>
      </c>
      <c r="J369" t="s">
        <v>128</v>
      </c>
      <c r="K369" t="s">
        <v>4197</v>
      </c>
      <c r="L369" t="s">
        <v>4198</v>
      </c>
      <c r="M369" t="s">
        <v>3383</v>
      </c>
      <c r="N369" t="s">
        <v>3384</v>
      </c>
      <c r="O369" t="s">
        <v>3385</v>
      </c>
      <c r="P369" t="s">
        <v>145</v>
      </c>
      <c r="Q369" t="s">
        <v>225</v>
      </c>
      <c r="R369" t="b">
        <v>0</v>
      </c>
      <c r="S369" t="s">
        <v>4355</v>
      </c>
    </row>
    <row r="370" spans="1:19" ht="11.25" customHeight="1">
      <c r="A370">
        <v>2655</v>
      </c>
      <c r="B370" t="s">
        <v>102</v>
      </c>
      <c r="C370">
        <v>31224454</v>
      </c>
      <c r="D370" t="s">
        <v>4199</v>
      </c>
      <c r="E370" t="s">
        <v>4200</v>
      </c>
      <c r="F370" t="s">
        <v>4201</v>
      </c>
      <c r="G370" t="s">
        <v>3023</v>
      </c>
      <c r="H370" t="s">
        <v>4202</v>
      </c>
      <c r="I370" t="s">
        <v>4203</v>
      </c>
      <c r="J370" t="s">
        <v>128</v>
      </c>
      <c r="K370" t="s">
        <v>4204</v>
      </c>
      <c r="L370" t="s">
        <v>4204</v>
      </c>
      <c r="M370" t="s">
        <v>4205</v>
      </c>
      <c r="N370" t="s">
        <v>4206</v>
      </c>
      <c r="O370" t="s">
        <v>4207</v>
      </c>
      <c r="P370" t="s">
        <v>3064</v>
      </c>
      <c r="Q370" t="s">
        <v>225</v>
      </c>
      <c r="R370" t="b">
        <v>0</v>
      </c>
      <c r="S370" t="s">
        <v>4355</v>
      </c>
    </row>
    <row r="371" spans="1:19" ht="11.25" customHeight="1">
      <c r="A371">
        <v>2655</v>
      </c>
      <c r="B371" t="s">
        <v>102</v>
      </c>
      <c r="C371">
        <v>26852692</v>
      </c>
      <c r="D371" t="s">
        <v>4218</v>
      </c>
      <c r="E371" t="s">
        <v>4219</v>
      </c>
      <c r="F371" t="s">
        <v>4220</v>
      </c>
      <c r="G371" t="s">
        <v>3399</v>
      </c>
      <c r="H371" t="s">
        <v>4221</v>
      </c>
      <c r="I371" t="s">
        <v>4222</v>
      </c>
      <c r="K371" t="s">
        <v>4223</v>
      </c>
      <c r="L371" t="s">
        <v>4223</v>
      </c>
      <c r="M371" t="s">
        <v>4214</v>
      </c>
      <c r="N371" t="s">
        <v>4215</v>
      </c>
      <c r="O371" t="s">
        <v>4224</v>
      </c>
      <c r="P371" t="s">
        <v>145</v>
      </c>
      <c r="Q371" t="s">
        <v>225</v>
      </c>
      <c r="R371" t="b">
        <v>1</v>
      </c>
      <c r="S371" t="s">
        <v>4355</v>
      </c>
    </row>
    <row r="372" spans="1:19" ht="11.25" customHeight="1">
      <c r="A372">
        <v>2655</v>
      </c>
      <c r="B372" t="s">
        <v>102</v>
      </c>
      <c r="C372">
        <v>26356899</v>
      </c>
      <c r="D372" t="s">
        <v>4235</v>
      </c>
      <c r="E372" t="s">
        <v>4236</v>
      </c>
      <c r="F372" t="s">
        <v>4237</v>
      </c>
      <c r="G372" t="s">
        <v>4238</v>
      </c>
      <c r="H372" t="s">
        <v>4239</v>
      </c>
      <c r="I372" t="s">
        <v>225</v>
      </c>
      <c r="J372" t="s">
        <v>128</v>
      </c>
      <c r="K372" t="s">
        <v>131</v>
      </c>
      <c r="L372" t="s">
        <v>131</v>
      </c>
      <c r="M372" t="s">
        <v>4240</v>
      </c>
      <c r="N372" t="s">
        <v>225</v>
      </c>
      <c r="O372" t="s">
        <v>142</v>
      </c>
      <c r="P372" t="s">
        <v>145</v>
      </c>
      <c r="Q372" t="s">
        <v>225</v>
      </c>
      <c r="R372" t="b">
        <v>0</v>
      </c>
      <c r="S372" t="s">
        <v>4355</v>
      </c>
    </row>
    <row r="373" spans="1:19" ht="11.25" customHeight="1">
      <c r="A373">
        <v>2655</v>
      </c>
      <c r="B373" t="s">
        <v>102</v>
      </c>
      <c r="C373">
        <v>31224507</v>
      </c>
      <c r="D373" t="s">
        <v>4241</v>
      </c>
      <c r="E373" t="s">
        <v>4242</v>
      </c>
      <c r="F373" t="s">
        <v>4243</v>
      </c>
      <c r="G373" t="s">
        <v>4244</v>
      </c>
      <c r="H373" t="s">
        <v>4245</v>
      </c>
      <c r="I373" t="s">
        <v>4246</v>
      </c>
      <c r="J373" t="s">
        <v>128</v>
      </c>
      <c r="K373" t="s">
        <v>4247</v>
      </c>
      <c r="L373" t="s">
        <v>4247</v>
      </c>
      <c r="M373" t="s">
        <v>4248</v>
      </c>
      <c r="N373" t="s">
        <v>4249</v>
      </c>
      <c r="O373" t="s">
        <v>4207</v>
      </c>
      <c r="P373" t="s">
        <v>3064</v>
      </c>
      <c r="Q373" t="s">
        <v>225</v>
      </c>
      <c r="R373" t="b">
        <v>0</v>
      </c>
      <c r="S373" t="s">
        <v>4355</v>
      </c>
    </row>
    <row r="374" spans="1:19" ht="11.25" customHeight="1">
      <c r="A374">
        <v>2655</v>
      </c>
      <c r="B374" t="s">
        <v>102</v>
      </c>
      <c r="C374">
        <v>28270293</v>
      </c>
      <c r="D374" t="s">
        <v>3472</v>
      </c>
      <c r="E374" t="s">
        <v>3473</v>
      </c>
      <c r="F374" t="s">
        <v>3474</v>
      </c>
      <c r="G374" t="s">
        <v>123</v>
      </c>
      <c r="H374" t="s">
        <v>3475</v>
      </c>
      <c r="I374" t="s">
        <v>3476</v>
      </c>
      <c r="J374" t="s">
        <v>128</v>
      </c>
      <c r="K374" t="s">
        <v>3477</v>
      </c>
      <c r="L374" t="s">
        <v>3477</v>
      </c>
      <c r="M374" t="s">
        <v>3478</v>
      </c>
      <c r="N374" t="s">
        <v>3479</v>
      </c>
      <c r="O374" t="s">
        <v>3480</v>
      </c>
      <c r="P374" t="s">
        <v>3064</v>
      </c>
      <c r="Q374" t="s">
        <v>225</v>
      </c>
      <c r="R374" t="b">
        <v>0</v>
      </c>
      <c r="S374" t="s">
        <v>4355</v>
      </c>
    </row>
    <row r="375" spans="1:19" ht="11.25" customHeight="1">
      <c r="A375">
        <v>2655</v>
      </c>
      <c r="B375" t="s">
        <v>102</v>
      </c>
      <c r="C375">
        <v>28873362</v>
      </c>
      <c r="D375" t="s">
        <v>3481</v>
      </c>
      <c r="E375" t="s">
        <v>3482</v>
      </c>
      <c r="F375" t="s">
        <v>3483</v>
      </c>
      <c r="G375" t="s">
        <v>2999</v>
      </c>
      <c r="H375" t="s">
        <v>3484</v>
      </c>
      <c r="I375" t="s">
        <v>3485</v>
      </c>
      <c r="J375" t="s">
        <v>128</v>
      </c>
      <c r="K375" t="s">
        <v>3486</v>
      </c>
      <c r="L375" t="s">
        <v>3486</v>
      </c>
      <c r="M375" t="s">
        <v>3487</v>
      </c>
      <c r="N375" t="s">
        <v>3488</v>
      </c>
      <c r="O375" t="s">
        <v>3489</v>
      </c>
      <c r="P375" t="s">
        <v>145</v>
      </c>
      <c r="Q375" t="s">
        <v>3490</v>
      </c>
      <c r="R375" t="b">
        <v>0</v>
      </c>
      <c r="S375" t="s">
        <v>4355</v>
      </c>
    </row>
    <row r="376" spans="1:19" ht="11.25" customHeight="1">
      <c r="A376">
        <v>2655</v>
      </c>
      <c r="B376" t="s">
        <v>102</v>
      </c>
      <c r="C376">
        <v>30992391</v>
      </c>
      <c r="D376" t="s">
        <v>3491</v>
      </c>
      <c r="E376" t="s">
        <v>3492</v>
      </c>
      <c r="F376" t="s">
        <v>3493</v>
      </c>
      <c r="G376" t="s">
        <v>3115</v>
      </c>
      <c r="H376" t="s">
        <v>3494</v>
      </c>
      <c r="I376" t="s">
        <v>3495</v>
      </c>
      <c r="J376" t="s">
        <v>128</v>
      </c>
      <c r="K376" t="s">
        <v>3496</v>
      </c>
      <c r="L376" t="s">
        <v>3497</v>
      </c>
      <c r="M376" t="s">
        <v>3498</v>
      </c>
      <c r="N376" t="s">
        <v>3499</v>
      </c>
      <c r="O376" t="s">
        <v>3500</v>
      </c>
      <c r="P376" t="s">
        <v>145</v>
      </c>
      <c r="Q376" t="s">
        <v>3501</v>
      </c>
      <c r="R376" t="b">
        <v>0</v>
      </c>
      <c r="S376" t="s">
        <v>4355</v>
      </c>
    </row>
    <row r="377" spans="1:19" ht="11.25" customHeight="1">
      <c r="A377">
        <v>2655</v>
      </c>
      <c r="B377" t="s">
        <v>102</v>
      </c>
      <c r="C377">
        <v>31491836</v>
      </c>
      <c r="D377" t="s">
        <v>4277</v>
      </c>
      <c r="E377" t="s">
        <v>4278</v>
      </c>
      <c r="F377" t="s">
        <v>4279</v>
      </c>
      <c r="G377" t="s">
        <v>2999</v>
      </c>
      <c r="H377" t="s">
        <v>4280</v>
      </c>
      <c r="I377" t="s">
        <v>4281</v>
      </c>
      <c r="J377" t="s">
        <v>128</v>
      </c>
      <c r="K377" t="s">
        <v>4282</v>
      </c>
      <c r="L377" t="s">
        <v>4283</v>
      </c>
      <c r="M377" t="s">
        <v>4284</v>
      </c>
      <c r="N377" t="s">
        <v>4285</v>
      </c>
      <c r="O377" t="s">
        <v>4286</v>
      </c>
      <c r="P377" t="s">
        <v>3155</v>
      </c>
      <c r="Q377" t="s">
        <v>225</v>
      </c>
      <c r="R377" t="b">
        <v>1</v>
      </c>
      <c r="S377" t="s">
        <v>4355</v>
      </c>
    </row>
    <row r="378" spans="1:19" ht="11.25" customHeight="1">
      <c r="A378">
        <v>2655</v>
      </c>
      <c r="B378" t="s">
        <v>102</v>
      </c>
      <c r="C378">
        <v>26356974</v>
      </c>
      <c r="D378" t="s">
        <v>4287</v>
      </c>
      <c r="E378" t="s">
        <v>4288</v>
      </c>
      <c r="F378" t="s">
        <v>4289</v>
      </c>
      <c r="G378" t="s">
        <v>4290</v>
      </c>
      <c r="H378" t="s">
        <v>4291</v>
      </c>
      <c r="I378" t="s">
        <v>4292</v>
      </c>
      <c r="J378" t="s">
        <v>128</v>
      </c>
      <c r="K378" t="s">
        <v>4293</v>
      </c>
      <c r="L378" t="s">
        <v>4293</v>
      </c>
      <c r="M378" t="s">
        <v>4294</v>
      </c>
      <c r="N378" t="s">
        <v>4295</v>
      </c>
      <c r="O378" t="s">
        <v>4296</v>
      </c>
      <c r="P378" t="s">
        <v>145</v>
      </c>
      <c r="Q378" t="s">
        <v>4297</v>
      </c>
      <c r="R378" t="b">
        <v>0</v>
      </c>
      <c r="S378" t="s">
        <v>4355</v>
      </c>
    </row>
    <row r="379" spans="1:19" ht="11.25" customHeight="1">
      <c r="A379">
        <v>2655</v>
      </c>
      <c r="B379" t="s">
        <v>102</v>
      </c>
      <c r="C379">
        <v>31038861</v>
      </c>
      <c r="D379" t="s">
        <v>4307</v>
      </c>
      <c r="E379" t="s">
        <v>4308</v>
      </c>
      <c r="F379" t="s">
        <v>4309</v>
      </c>
      <c r="G379" t="s">
        <v>3023</v>
      </c>
      <c r="H379" t="s">
        <v>4310</v>
      </c>
      <c r="I379" t="s">
        <v>4311</v>
      </c>
      <c r="J379" t="s">
        <v>128</v>
      </c>
      <c r="K379" t="s">
        <v>4312</v>
      </c>
      <c r="L379" t="s">
        <v>4313</v>
      </c>
      <c r="M379" t="s">
        <v>4314</v>
      </c>
      <c r="N379" t="s">
        <v>4315</v>
      </c>
      <c r="O379" t="s">
        <v>4316</v>
      </c>
      <c r="P379" t="s">
        <v>145</v>
      </c>
      <c r="Q379" t="s">
        <v>225</v>
      </c>
      <c r="R379" t="b">
        <v>0</v>
      </c>
      <c r="S379" t="s">
        <v>4355</v>
      </c>
    </row>
    <row r="380" spans="1:19" ht="11.25" customHeight="1">
      <c r="A380">
        <v>2655</v>
      </c>
      <c r="B380" t="s">
        <v>102</v>
      </c>
      <c r="C380">
        <v>28977129</v>
      </c>
      <c r="D380" t="s">
        <v>4327</v>
      </c>
      <c r="E380" t="s">
        <v>4328</v>
      </c>
      <c r="F380" t="s">
        <v>3520</v>
      </c>
      <c r="G380" t="s">
        <v>4329</v>
      </c>
      <c r="H380" t="s">
        <v>3522</v>
      </c>
      <c r="I380" t="s">
        <v>3533</v>
      </c>
      <c r="J380" t="s">
        <v>3524</v>
      </c>
      <c r="K380" t="s">
        <v>4330</v>
      </c>
      <c r="L380" t="s">
        <v>4331</v>
      </c>
      <c r="M380" t="s">
        <v>4332</v>
      </c>
      <c r="N380" t="s">
        <v>225</v>
      </c>
      <c r="O380" t="s">
        <v>4333</v>
      </c>
      <c r="P380" t="s">
        <v>145</v>
      </c>
      <c r="Q380" t="s">
        <v>225</v>
      </c>
      <c r="R380" t="b">
        <v>0</v>
      </c>
      <c r="S380" t="s">
        <v>4355</v>
      </c>
    </row>
    <row r="381" spans="1:19" ht="11.25" customHeight="1">
      <c r="A381">
        <v>2655</v>
      </c>
      <c r="B381" t="s">
        <v>102</v>
      </c>
      <c r="C381">
        <v>30914574</v>
      </c>
      <c r="D381" t="s">
        <v>4341</v>
      </c>
      <c r="E381" t="s">
        <v>4342</v>
      </c>
      <c r="F381" t="s">
        <v>4343</v>
      </c>
      <c r="G381" t="s">
        <v>4344</v>
      </c>
      <c r="H381" t="s">
        <v>4345</v>
      </c>
      <c r="I381" t="s">
        <v>4346</v>
      </c>
      <c r="J381" t="s">
        <v>4347</v>
      </c>
      <c r="K381" t="s">
        <v>4348</v>
      </c>
      <c r="L381" t="s">
        <v>4349</v>
      </c>
      <c r="M381" t="s">
        <v>4350</v>
      </c>
      <c r="N381" t="s">
        <v>4351</v>
      </c>
      <c r="O381" t="s">
        <v>4352</v>
      </c>
      <c r="P381" t="s">
        <v>4353</v>
      </c>
      <c r="Q381" t="s">
        <v>225</v>
      </c>
      <c r="R381" t="b">
        <v>0</v>
      </c>
      <c r="S381" t="s">
        <v>4355</v>
      </c>
    </row>
    <row r="382" spans="1:19" ht="11.25" customHeight="1">
      <c r="A382">
        <v>2655</v>
      </c>
      <c r="B382" t="s">
        <v>102</v>
      </c>
      <c r="C382">
        <v>26516002</v>
      </c>
      <c r="D382" t="s">
        <v>4356</v>
      </c>
      <c r="E382" t="s">
        <v>4356</v>
      </c>
      <c r="F382" t="s">
        <v>4357</v>
      </c>
      <c r="G382" t="s">
        <v>4358</v>
      </c>
      <c r="H382" t="s">
        <v>4359</v>
      </c>
      <c r="I382" t="s">
        <v>4360</v>
      </c>
      <c r="J382" t="s">
        <v>2987</v>
      </c>
      <c r="K382" t="s">
        <v>225</v>
      </c>
      <c r="L382" t="s">
        <v>225</v>
      </c>
      <c r="M382" t="s">
        <v>4361</v>
      </c>
      <c r="N382" t="s">
        <v>225</v>
      </c>
      <c r="O382" t="s">
        <v>4362</v>
      </c>
      <c r="P382" t="s">
        <v>225</v>
      </c>
      <c r="Q382" t="s">
        <v>225</v>
      </c>
      <c r="R382" t="b">
        <v>0</v>
      </c>
      <c r="S382" t="s">
        <v>4363</v>
      </c>
    </row>
    <row r="383" spans="1:19" ht="11.25" customHeight="1">
      <c r="A383">
        <v>2655</v>
      </c>
      <c r="B383" t="s">
        <v>102</v>
      </c>
      <c r="C383">
        <v>26318885</v>
      </c>
      <c r="D383" t="s">
        <v>4364</v>
      </c>
      <c r="E383" t="s">
        <v>4365</v>
      </c>
      <c r="F383" t="s">
        <v>4366</v>
      </c>
      <c r="G383" t="s">
        <v>4367</v>
      </c>
      <c r="H383" t="s">
        <v>4368</v>
      </c>
      <c r="I383" t="s">
        <v>4369</v>
      </c>
      <c r="J383" t="s">
        <v>2987</v>
      </c>
      <c r="K383" t="s">
        <v>4370</v>
      </c>
      <c r="L383" t="s">
        <v>4370</v>
      </c>
      <c r="M383" t="s">
        <v>4371</v>
      </c>
      <c r="N383" t="s">
        <v>225</v>
      </c>
      <c r="O383" t="s">
        <v>4372</v>
      </c>
      <c r="P383" t="s">
        <v>3064</v>
      </c>
      <c r="Q383" t="s">
        <v>225</v>
      </c>
      <c r="R383" t="b">
        <v>0</v>
      </c>
      <c r="S383" t="s">
        <v>4363</v>
      </c>
    </row>
    <row r="384" spans="1:19" ht="11.25" customHeight="1">
      <c r="A384">
        <v>2655</v>
      </c>
      <c r="B384" t="s">
        <v>102</v>
      </c>
      <c r="C384">
        <v>26357007</v>
      </c>
      <c r="D384" t="s">
        <v>3690</v>
      </c>
      <c r="E384" t="s">
        <v>3691</v>
      </c>
      <c r="F384" t="s">
        <v>3692</v>
      </c>
      <c r="G384" t="s">
        <v>3243</v>
      </c>
      <c r="H384" t="s">
        <v>3693</v>
      </c>
      <c r="I384" t="s">
        <v>3694</v>
      </c>
      <c r="J384" t="s">
        <v>2987</v>
      </c>
      <c r="K384" t="s">
        <v>3695</v>
      </c>
      <c r="L384" t="s">
        <v>3695</v>
      </c>
      <c r="M384" t="s">
        <v>3696</v>
      </c>
      <c r="N384" t="s">
        <v>3697</v>
      </c>
      <c r="O384" t="s">
        <v>3698</v>
      </c>
      <c r="P384" t="s">
        <v>3064</v>
      </c>
      <c r="Q384" t="s">
        <v>3699</v>
      </c>
      <c r="R384" t="b">
        <v>0</v>
      </c>
      <c r="S384" t="s">
        <v>4363</v>
      </c>
    </row>
    <row r="385" spans="1:19" ht="11.25" customHeight="1">
      <c r="A385">
        <v>2655</v>
      </c>
      <c r="B385" t="s">
        <v>102</v>
      </c>
      <c r="C385">
        <v>27804990</v>
      </c>
      <c r="D385" t="s">
        <v>2996</v>
      </c>
      <c r="E385" t="s">
        <v>2997</v>
      </c>
      <c r="F385" t="s">
        <v>2998</v>
      </c>
      <c r="G385" t="s">
        <v>2999</v>
      </c>
      <c r="H385" t="s">
        <v>3000</v>
      </c>
      <c r="I385" t="s">
        <v>3001</v>
      </c>
      <c r="J385" t="s">
        <v>2987</v>
      </c>
      <c r="K385" t="s">
        <v>3002</v>
      </c>
      <c r="L385" t="s">
        <v>3003</v>
      </c>
      <c r="M385" t="s">
        <v>3004</v>
      </c>
      <c r="N385" t="s">
        <v>3005</v>
      </c>
      <c r="O385" t="s">
        <v>3006</v>
      </c>
      <c r="P385" t="s">
        <v>3007</v>
      </c>
      <c r="Q385" t="s">
        <v>3008</v>
      </c>
      <c r="R385" t="b">
        <v>0</v>
      </c>
      <c r="S385" t="s">
        <v>4363</v>
      </c>
    </row>
    <row r="386" spans="1:19" ht="11.25" customHeight="1">
      <c r="A386">
        <v>2655</v>
      </c>
      <c r="B386" t="s">
        <v>102</v>
      </c>
      <c r="C386">
        <v>26322870</v>
      </c>
      <c r="D386" t="s">
        <v>4373</v>
      </c>
      <c r="E386" t="s">
        <v>4374</v>
      </c>
      <c r="F386" t="s">
        <v>4375</v>
      </c>
      <c r="G386" t="s">
        <v>123</v>
      </c>
      <c r="H386" t="s">
        <v>4376</v>
      </c>
      <c r="I386" t="s">
        <v>4377</v>
      </c>
      <c r="J386" t="s">
        <v>2987</v>
      </c>
      <c r="K386" t="s">
        <v>4378</v>
      </c>
      <c r="L386" t="s">
        <v>4378</v>
      </c>
      <c r="M386" t="s">
        <v>4379</v>
      </c>
      <c r="N386" t="s">
        <v>4380</v>
      </c>
      <c r="O386" t="s">
        <v>4381</v>
      </c>
      <c r="P386" t="s">
        <v>3064</v>
      </c>
      <c r="Q386" t="s">
        <v>4382</v>
      </c>
      <c r="R386" t="b">
        <v>0</v>
      </c>
      <c r="S386" t="s">
        <v>4363</v>
      </c>
    </row>
    <row r="387" spans="1:19" ht="11.25" customHeight="1">
      <c r="A387">
        <v>2655</v>
      </c>
      <c r="B387" t="s">
        <v>102</v>
      </c>
      <c r="C387">
        <v>28048296</v>
      </c>
      <c r="D387" t="s">
        <v>3700</v>
      </c>
      <c r="E387" t="s">
        <v>3701</v>
      </c>
      <c r="F387" t="s">
        <v>3702</v>
      </c>
      <c r="G387" t="s">
        <v>2999</v>
      </c>
      <c r="H387" t="s">
        <v>3703</v>
      </c>
      <c r="I387" t="s">
        <v>3704</v>
      </c>
      <c r="J387" t="s">
        <v>2987</v>
      </c>
      <c r="K387" t="s">
        <v>3705</v>
      </c>
      <c r="L387" t="s">
        <v>3003</v>
      </c>
      <c r="M387" t="s">
        <v>3706</v>
      </c>
      <c r="N387" t="s">
        <v>3364</v>
      </c>
      <c r="O387" t="s">
        <v>3707</v>
      </c>
      <c r="P387" t="s">
        <v>3007</v>
      </c>
      <c r="Q387" t="s">
        <v>3008</v>
      </c>
      <c r="R387" t="b">
        <v>0</v>
      </c>
      <c r="S387" t="s">
        <v>4363</v>
      </c>
    </row>
    <row r="388" spans="1:19" ht="11.25" customHeight="1">
      <c r="A388">
        <v>2655</v>
      </c>
      <c r="B388" t="s">
        <v>102</v>
      </c>
      <c r="C388">
        <v>27804826</v>
      </c>
      <c r="D388" t="s">
        <v>3009</v>
      </c>
      <c r="E388" t="s">
        <v>3010</v>
      </c>
      <c r="F388" t="s">
        <v>3011</v>
      </c>
      <c r="G388" t="s">
        <v>3012</v>
      </c>
      <c r="H388" t="s">
        <v>3013</v>
      </c>
      <c r="I388" t="s">
        <v>3014</v>
      </c>
      <c r="J388" t="s">
        <v>2987</v>
      </c>
      <c r="K388" t="s">
        <v>3015</v>
      </c>
      <c r="L388" t="s">
        <v>3003</v>
      </c>
      <c r="M388" t="s">
        <v>3016</v>
      </c>
      <c r="N388" t="s">
        <v>3017</v>
      </c>
      <c r="O388" t="s">
        <v>3018</v>
      </c>
      <c r="P388" t="s">
        <v>3007</v>
      </c>
      <c r="Q388" t="s">
        <v>3019</v>
      </c>
      <c r="R388" t="b">
        <v>0</v>
      </c>
      <c r="S388" t="s">
        <v>4363</v>
      </c>
    </row>
    <row r="389" spans="1:19" ht="11.25" customHeight="1">
      <c r="A389">
        <v>2655</v>
      </c>
      <c r="B389" t="s">
        <v>102</v>
      </c>
      <c r="C389">
        <v>26805240</v>
      </c>
      <c r="D389" t="s">
        <v>4383</v>
      </c>
      <c r="E389" t="s">
        <v>4384</v>
      </c>
      <c r="F389" t="s">
        <v>4385</v>
      </c>
      <c r="G389" t="s">
        <v>4386</v>
      </c>
      <c r="H389" t="s">
        <v>4387</v>
      </c>
      <c r="I389" t="s">
        <v>4388</v>
      </c>
      <c r="J389" t="s">
        <v>2987</v>
      </c>
      <c r="K389" t="s">
        <v>4389</v>
      </c>
      <c r="L389" t="s">
        <v>4389</v>
      </c>
      <c r="M389" t="s">
        <v>225</v>
      </c>
      <c r="N389" t="s">
        <v>225</v>
      </c>
      <c r="O389" t="s">
        <v>4390</v>
      </c>
      <c r="P389" t="s">
        <v>3064</v>
      </c>
      <c r="Q389" t="s">
        <v>225</v>
      </c>
      <c r="R389" t="b">
        <v>0</v>
      </c>
      <c r="S389" t="s">
        <v>4363</v>
      </c>
    </row>
    <row r="390" spans="1:19" ht="11.25" customHeight="1">
      <c r="A390">
        <v>2655</v>
      </c>
      <c r="B390" t="s">
        <v>102</v>
      </c>
      <c r="C390">
        <v>26318876</v>
      </c>
      <c r="D390" t="s">
        <v>4391</v>
      </c>
      <c r="E390" t="s">
        <v>4391</v>
      </c>
      <c r="F390" t="s">
        <v>4392</v>
      </c>
      <c r="G390" t="s">
        <v>4393</v>
      </c>
      <c r="H390" t="s">
        <v>4394</v>
      </c>
      <c r="I390" t="s">
        <v>225</v>
      </c>
      <c r="J390" t="s">
        <v>2987</v>
      </c>
      <c r="K390" t="s">
        <v>4395</v>
      </c>
      <c r="L390" t="s">
        <v>4395</v>
      </c>
      <c r="M390" t="s">
        <v>4396</v>
      </c>
      <c r="N390" t="s">
        <v>4397</v>
      </c>
      <c r="O390" t="s">
        <v>4398</v>
      </c>
      <c r="P390" t="s">
        <v>4399</v>
      </c>
      <c r="Q390" t="s">
        <v>225</v>
      </c>
      <c r="R390" t="b">
        <v>0</v>
      </c>
      <c r="S390" t="s">
        <v>4363</v>
      </c>
    </row>
    <row r="391" spans="1:19" ht="11.25" customHeight="1">
      <c r="A391">
        <v>2655</v>
      </c>
      <c r="B391" t="s">
        <v>102</v>
      </c>
      <c r="C391">
        <v>27804896</v>
      </c>
      <c r="D391" t="s">
        <v>3708</v>
      </c>
      <c r="E391" t="s">
        <v>3709</v>
      </c>
      <c r="F391" t="s">
        <v>3710</v>
      </c>
      <c r="G391" t="s">
        <v>2999</v>
      </c>
      <c r="H391" t="s">
        <v>3711</v>
      </c>
      <c r="I391" t="s">
        <v>3712</v>
      </c>
      <c r="J391" t="s">
        <v>2987</v>
      </c>
      <c r="K391" t="s">
        <v>3713</v>
      </c>
      <c r="L391" t="s">
        <v>3003</v>
      </c>
      <c r="M391" t="s">
        <v>3714</v>
      </c>
      <c r="N391" t="s">
        <v>3715</v>
      </c>
      <c r="O391" t="s">
        <v>3716</v>
      </c>
      <c r="P391" t="s">
        <v>3007</v>
      </c>
      <c r="Q391" t="s">
        <v>3008</v>
      </c>
      <c r="R391" t="b">
        <v>0</v>
      </c>
      <c r="S391" t="s">
        <v>4363</v>
      </c>
    </row>
    <row r="392" spans="1:19" ht="11.25" customHeight="1">
      <c r="A392">
        <v>2655</v>
      </c>
      <c r="B392" t="s">
        <v>102</v>
      </c>
      <c r="C392">
        <v>26319041</v>
      </c>
      <c r="D392" t="s">
        <v>4400</v>
      </c>
      <c r="E392" t="s">
        <v>4400</v>
      </c>
      <c r="F392" t="s">
        <v>4401</v>
      </c>
      <c r="G392" t="s">
        <v>4393</v>
      </c>
      <c r="H392" t="s">
        <v>4402</v>
      </c>
      <c r="I392" t="s">
        <v>225</v>
      </c>
      <c r="J392" t="s">
        <v>3059</v>
      </c>
      <c r="K392" t="s">
        <v>4403</v>
      </c>
      <c r="L392" t="s">
        <v>4403</v>
      </c>
      <c r="M392" t="s">
        <v>4404</v>
      </c>
      <c r="N392" t="s">
        <v>4405</v>
      </c>
      <c r="O392" t="s">
        <v>4406</v>
      </c>
      <c r="P392" t="s">
        <v>225</v>
      </c>
      <c r="Q392" t="s">
        <v>225</v>
      </c>
      <c r="R392" t="b">
        <v>0</v>
      </c>
      <c r="S392" t="s">
        <v>4363</v>
      </c>
    </row>
    <row r="393" spans="1:19" ht="11.25" customHeight="1">
      <c r="A393">
        <v>2655</v>
      </c>
      <c r="B393" t="s">
        <v>102</v>
      </c>
      <c r="C393">
        <v>28029222</v>
      </c>
      <c r="D393" t="s">
        <v>4407</v>
      </c>
      <c r="E393" t="s">
        <v>4408</v>
      </c>
      <c r="F393" t="s">
        <v>4409</v>
      </c>
      <c r="G393" t="s">
        <v>2999</v>
      </c>
      <c r="H393" t="s">
        <v>4410</v>
      </c>
      <c r="I393" t="s">
        <v>4411</v>
      </c>
      <c r="J393" t="s">
        <v>2987</v>
      </c>
      <c r="K393" t="s">
        <v>4412</v>
      </c>
      <c r="L393" t="s">
        <v>4412</v>
      </c>
      <c r="M393" t="s">
        <v>4413</v>
      </c>
      <c r="N393" t="s">
        <v>4414</v>
      </c>
      <c r="O393" t="s">
        <v>4415</v>
      </c>
      <c r="P393" t="s">
        <v>3064</v>
      </c>
      <c r="Q393" t="s">
        <v>4416</v>
      </c>
      <c r="R393" t="b">
        <v>0</v>
      </c>
      <c r="S393" t="s">
        <v>4363</v>
      </c>
    </row>
    <row r="394" spans="1:19" ht="11.25" customHeight="1">
      <c r="A394">
        <v>2655</v>
      </c>
      <c r="B394" t="s">
        <v>102</v>
      </c>
      <c r="C394">
        <v>26448586</v>
      </c>
      <c r="D394" t="s">
        <v>4417</v>
      </c>
      <c r="E394" t="s">
        <v>4417</v>
      </c>
      <c r="F394" t="s">
        <v>4418</v>
      </c>
      <c r="G394" t="s">
        <v>4419</v>
      </c>
      <c r="H394" t="s">
        <v>4420</v>
      </c>
      <c r="L394" t="s">
        <v>4421</v>
      </c>
      <c r="M394" t="s">
        <v>4422</v>
      </c>
      <c r="N394" t="s">
        <v>4423</v>
      </c>
      <c r="O394" t="s">
        <v>4424</v>
      </c>
      <c r="P394" t="s">
        <v>3064</v>
      </c>
      <c r="R394" t="b">
        <v>0</v>
      </c>
      <c r="S394" t="s">
        <v>4363</v>
      </c>
    </row>
    <row r="395" spans="1:19" ht="11.25" customHeight="1">
      <c r="A395">
        <v>2655</v>
      </c>
      <c r="B395" t="s">
        <v>102</v>
      </c>
      <c r="C395">
        <v>26519096</v>
      </c>
      <c r="D395" t="s">
        <v>4425</v>
      </c>
      <c r="E395" t="s">
        <v>4426</v>
      </c>
      <c r="F395" t="s">
        <v>4427</v>
      </c>
      <c r="G395" t="s">
        <v>2999</v>
      </c>
      <c r="H395" t="s">
        <v>4428</v>
      </c>
      <c r="I395" t="s">
        <v>4429</v>
      </c>
      <c r="J395" t="s">
        <v>2987</v>
      </c>
      <c r="K395" t="s">
        <v>4430</v>
      </c>
      <c r="L395" t="s">
        <v>4430</v>
      </c>
      <c r="M395" t="s">
        <v>4431</v>
      </c>
      <c r="N395" t="s">
        <v>4432</v>
      </c>
      <c r="O395" t="s">
        <v>4433</v>
      </c>
      <c r="P395" t="s">
        <v>3064</v>
      </c>
      <c r="Q395" t="s">
        <v>225</v>
      </c>
      <c r="R395" t="b">
        <v>0</v>
      </c>
      <c r="S395" t="s">
        <v>4363</v>
      </c>
    </row>
    <row r="396" spans="1:19" ht="11.25" customHeight="1">
      <c r="A396">
        <v>2655</v>
      </c>
      <c r="B396" t="s">
        <v>102</v>
      </c>
      <c r="C396">
        <v>27820148</v>
      </c>
      <c r="D396" t="s">
        <v>3576</v>
      </c>
      <c r="E396" t="s">
        <v>3577</v>
      </c>
      <c r="F396" t="s">
        <v>3578</v>
      </c>
      <c r="G396" t="s">
        <v>3300</v>
      </c>
      <c r="H396" t="s">
        <v>3579</v>
      </c>
      <c r="I396" t="s">
        <v>3580</v>
      </c>
      <c r="J396" t="s">
        <v>2987</v>
      </c>
      <c r="K396" t="s">
        <v>3581</v>
      </c>
      <c r="L396" t="s">
        <v>3581</v>
      </c>
      <c r="M396" t="s">
        <v>3582</v>
      </c>
      <c r="N396" t="s">
        <v>3583</v>
      </c>
      <c r="O396" t="s">
        <v>3584</v>
      </c>
      <c r="P396" t="s">
        <v>3585</v>
      </c>
      <c r="Q396" t="s">
        <v>3586</v>
      </c>
      <c r="R396" t="b">
        <v>0</v>
      </c>
      <c r="S396" t="s">
        <v>4363</v>
      </c>
    </row>
    <row r="397" spans="1:19" ht="11.25" customHeight="1">
      <c r="A397">
        <v>2655</v>
      </c>
      <c r="B397" t="s">
        <v>102</v>
      </c>
      <c r="C397">
        <v>26322893</v>
      </c>
      <c r="D397" t="s">
        <v>4434</v>
      </c>
      <c r="E397" t="s">
        <v>4435</v>
      </c>
      <c r="F397" t="s">
        <v>4436</v>
      </c>
      <c r="G397" t="s">
        <v>2999</v>
      </c>
      <c r="H397" t="s">
        <v>4437</v>
      </c>
      <c r="I397" t="s">
        <v>225</v>
      </c>
      <c r="J397" t="s">
        <v>2987</v>
      </c>
      <c r="K397" t="s">
        <v>4438</v>
      </c>
      <c r="L397" t="s">
        <v>4438</v>
      </c>
      <c r="M397" t="s">
        <v>4439</v>
      </c>
      <c r="N397" t="s">
        <v>4440</v>
      </c>
      <c r="O397" t="s">
        <v>4441</v>
      </c>
      <c r="P397" t="s">
        <v>145</v>
      </c>
      <c r="Q397" t="s">
        <v>4442</v>
      </c>
      <c r="R397" t="b">
        <v>0</v>
      </c>
      <c r="S397" t="s">
        <v>4363</v>
      </c>
    </row>
    <row r="398" spans="1:19" ht="11.25" customHeight="1">
      <c r="A398">
        <v>2655</v>
      </c>
      <c r="B398" t="s">
        <v>102</v>
      </c>
      <c r="C398">
        <v>27200904</v>
      </c>
      <c r="D398" t="s">
        <v>4443</v>
      </c>
      <c r="E398" t="s">
        <v>4444</v>
      </c>
      <c r="F398" t="s">
        <v>4445</v>
      </c>
      <c r="G398" t="s">
        <v>4446</v>
      </c>
      <c r="H398" t="s">
        <v>4447</v>
      </c>
      <c r="I398" t="s">
        <v>4448</v>
      </c>
      <c r="J398" t="s">
        <v>2987</v>
      </c>
      <c r="K398" t="s">
        <v>4449</v>
      </c>
      <c r="L398" t="s">
        <v>4450</v>
      </c>
      <c r="M398" t="s">
        <v>4451</v>
      </c>
      <c r="N398" t="s">
        <v>4452</v>
      </c>
      <c r="O398" t="s">
        <v>4453</v>
      </c>
      <c r="P398" t="s">
        <v>4454</v>
      </c>
      <c r="Q398" t="s">
        <v>4455</v>
      </c>
      <c r="R398" t="b">
        <v>0</v>
      </c>
      <c r="S398" t="s">
        <v>4363</v>
      </c>
    </row>
    <row r="399" spans="1:19" ht="11.25" customHeight="1">
      <c r="A399">
        <v>2655</v>
      </c>
      <c r="B399" t="s">
        <v>102</v>
      </c>
      <c r="C399">
        <v>26767932</v>
      </c>
      <c r="D399" t="s">
        <v>4456</v>
      </c>
      <c r="E399" t="s">
        <v>225</v>
      </c>
      <c r="F399" t="s">
        <v>3067</v>
      </c>
      <c r="G399" t="s">
        <v>4457</v>
      </c>
      <c r="H399" t="s">
        <v>3069</v>
      </c>
      <c r="I399" t="s">
        <v>225</v>
      </c>
      <c r="J399" t="s">
        <v>2987</v>
      </c>
      <c r="K399" t="s">
        <v>4458</v>
      </c>
      <c r="L399" t="s">
        <v>4458</v>
      </c>
      <c r="M399" t="s">
        <v>225</v>
      </c>
      <c r="N399" t="s">
        <v>225</v>
      </c>
      <c r="O399" t="s">
        <v>4459</v>
      </c>
      <c r="P399" t="s">
        <v>225</v>
      </c>
      <c r="Q399" t="s">
        <v>225</v>
      </c>
      <c r="R399" t="b">
        <v>0</v>
      </c>
      <c r="S399" t="s">
        <v>4363</v>
      </c>
    </row>
    <row r="400" spans="1:19" ht="11.25" customHeight="1">
      <c r="A400">
        <v>2655</v>
      </c>
      <c r="B400" t="s">
        <v>102</v>
      </c>
      <c r="C400">
        <v>26322867</v>
      </c>
      <c r="D400" t="s">
        <v>3087</v>
      </c>
      <c r="E400" t="s">
        <v>3088</v>
      </c>
      <c r="F400" t="s">
        <v>3089</v>
      </c>
      <c r="G400" t="s">
        <v>3033</v>
      </c>
      <c r="H400" t="s">
        <v>3090</v>
      </c>
      <c r="I400" t="s">
        <v>3091</v>
      </c>
      <c r="J400" t="s">
        <v>2987</v>
      </c>
      <c r="K400" t="s">
        <v>3092</v>
      </c>
      <c r="L400" t="s">
        <v>3092</v>
      </c>
      <c r="M400" t="s">
        <v>3093</v>
      </c>
      <c r="N400" t="s">
        <v>3094</v>
      </c>
      <c r="O400" t="s">
        <v>3095</v>
      </c>
      <c r="P400" t="s">
        <v>3064</v>
      </c>
      <c r="Q400" t="s">
        <v>3096</v>
      </c>
      <c r="R400" t="b">
        <v>0</v>
      </c>
      <c r="S400" t="s">
        <v>4363</v>
      </c>
    </row>
    <row r="401" spans="1:19" ht="11.25" customHeight="1">
      <c r="A401">
        <v>2655</v>
      </c>
      <c r="B401" t="s">
        <v>102</v>
      </c>
      <c r="C401">
        <v>27581524</v>
      </c>
      <c r="D401" t="s">
        <v>4460</v>
      </c>
      <c r="E401" t="s">
        <v>225</v>
      </c>
      <c r="F401" t="s">
        <v>4461</v>
      </c>
      <c r="G401" t="s">
        <v>4462</v>
      </c>
      <c r="H401" t="s">
        <v>4463</v>
      </c>
      <c r="I401" t="s">
        <v>4464</v>
      </c>
      <c r="K401" t="s">
        <v>4465</v>
      </c>
      <c r="L401" t="s">
        <v>4465</v>
      </c>
      <c r="M401" t="s">
        <v>4466</v>
      </c>
      <c r="N401" t="s">
        <v>225</v>
      </c>
      <c r="O401" t="s">
        <v>4467</v>
      </c>
      <c r="P401" t="s">
        <v>4468</v>
      </c>
      <c r="Q401" t="s">
        <v>225</v>
      </c>
      <c r="R401" t="b">
        <v>0</v>
      </c>
      <c r="S401" t="s">
        <v>4363</v>
      </c>
    </row>
    <row r="402" spans="1:19" ht="11.25" customHeight="1">
      <c r="A402">
        <v>2655</v>
      </c>
      <c r="B402" t="s">
        <v>102</v>
      </c>
      <c r="C402">
        <v>26322851</v>
      </c>
      <c r="D402" t="s">
        <v>4469</v>
      </c>
      <c r="E402" t="s">
        <v>4470</v>
      </c>
      <c r="F402" t="s">
        <v>3067</v>
      </c>
      <c r="G402" t="s">
        <v>4471</v>
      </c>
      <c r="H402" t="s">
        <v>3069</v>
      </c>
      <c r="I402" t="s">
        <v>4472</v>
      </c>
      <c r="K402" t="s">
        <v>4473</v>
      </c>
      <c r="L402" t="s">
        <v>4474</v>
      </c>
      <c r="M402" t="s">
        <v>4475</v>
      </c>
      <c r="N402" t="s">
        <v>4476</v>
      </c>
      <c r="O402" t="s">
        <v>4477</v>
      </c>
      <c r="P402" t="s">
        <v>4478</v>
      </c>
      <c r="Q402" t="s">
        <v>4479</v>
      </c>
      <c r="R402" t="b">
        <v>0</v>
      </c>
      <c r="S402" t="s">
        <v>4363</v>
      </c>
    </row>
    <row r="403" spans="1:19" ht="11.25" customHeight="1">
      <c r="A403">
        <v>2655</v>
      </c>
      <c r="B403" t="s">
        <v>102</v>
      </c>
      <c r="C403">
        <v>30406046</v>
      </c>
      <c r="D403" t="s">
        <v>4480</v>
      </c>
      <c r="E403" t="s">
        <v>4481</v>
      </c>
      <c r="F403" t="s">
        <v>4401</v>
      </c>
      <c r="G403" t="s">
        <v>3045</v>
      </c>
      <c r="H403" t="s">
        <v>4402</v>
      </c>
      <c r="I403" t="s">
        <v>225</v>
      </c>
      <c r="J403" t="s">
        <v>2987</v>
      </c>
      <c r="K403" t="s">
        <v>225</v>
      </c>
      <c r="L403" t="s">
        <v>225</v>
      </c>
      <c r="M403" t="s">
        <v>4482</v>
      </c>
      <c r="N403" t="s">
        <v>4483</v>
      </c>
      <c r="O403" t="s">
        <v>4484</v>
      </c>
      <c r="P403" t="s">
        <v>4485</v>
      </c>
      <c r="Q403" t="s">
        <v>4486</v>
      </c>
      <c r="R403" t="b">
        <v>0</v>
      </c>
      <c r="S403" t="s">
        <v>4363</v>
      </c>
    </row>
    <row r="404" spans="1:19" ht="11.25" customHeight="1">
      <c r="A404">
        <v>2655</v>
      </c>
      <c r="B404" t="s">
        <v>102</v>
      </c>
      <c r="C404">
        <v>26322895</v>
      </c>
      <c r="D404" t="s">
        <v>3280</v>
      </c>
      <c r="E404" t="s">
        <v>3281</v>
      </c>
      <c r="F404" t="s">
        <v>3282</v>
      </c>
      <c r="G404" t="s">
        <v>2999</v>
      </c>
      <c r="H404" t="s">
        <v>3283</v>
      </c>
      <c r="I404" t="s">
        <v>3284</v>
      </c>
      <c r="J404" t="s">
        <v>3059</v>
      </c>
      <c r="K404" t="s">
        <v>3285</v>
      </c>
      <c r="L404" t="s">
        <v>3285</v>
      </c>
      <c r="M404" t="s">
        <v>3286</v>
      </c>
      <c r="N404" t="s">
        <v>3287</v>
      </c>
      <c r="O404" t="s">
        <v>3288</v>
      </c>
      <c r="P404" t="s">
        <v>3064</v>
      </c>
      <c r="Q404" t="s">
        <v>3289</v>
      </c>
      <c r="R404" t="b">
        <v>0</v>
      </c>
      <c r="S404" t="s">
        <v>4363</v>
      </c>
    </row>
    <row r="405" spans="1:19" ht="11.25" customHeight="1">
      <c r="A405">
        <v>2655</v>
      </c>
      <c r="B405" t="s">
        <v>102</v>
      </c>
      <c r="C405">
        <v>27094684</v>
      </c>
      <c r="D405" t="s">
        <v>4487</v>
      </c>
      <c r="E405" t="s">
        <v>4488</v>
      </c>
      <c r="F405" t="s">
        <v>4489</v>
      </c>
      <c r="G405" t="s">
        <v>4490</v>
      </c>
      <c r="H405" t="s">
        <v>4491</v>
      </c>
      <c r="I405" t="s">
        <v>4492</v>
      </c>
      <c r="J405" t="s">
        <v>3059</v>
      </c>
      <c r="K405" t="s">
        <v>4493</v>
      </c>
      <c r="L405" t="s">
        <v>4493</v>
      </c>
      <c r="M405" t="s">
        <v>4494</v>
      </c>
      <c r="N405" t="s">
        <v>225</v>
      </c>
      <c r="O405" t="s">
        <v>4495</v>
      </c>
      <c r="P405" t="s">
        <v>3064</v>
      </c>
      <c r="Q405" t="s">
        <v>225</v>
      </c>
      <c r="R405" t="b">
        <v>0</v>
      </c>
      <c r="S405" t="s">
        <v>4363</v>
      </c>
    </row>
    <row r="406" spans="1:19" ht="11.25" customHeight="1">
      <c r="A406">
        <v>2655</v>
      </c>
      <c r="B406" t="s">
        <v>102</v>
      </c>
      <c r="C406">
        <v>26792017</v>
      </c>
      <c r="D406" t="s">
        <v>4496</v>
      </c>
      <c r="E406" t="s">
        <v>225</v>
      </c>
      <c r="F406" t="s">
        <v>4497</v>
      </c>
      <c r="G406" t="s">
        <v>4498</v>
      </c>
      <c r="H406" t="s">
        <v>4499</v>
      </c>
      <c r="I406" t="s">
        <v>225</v>
      </c>
      <c r="J406" t="s">
        <v>128</v>
      </c>
      <c r="K406" t="s">
        <v>225</v>
      </c>
      <c r="L406" t="s">
        <v>225</v>
      </c>
      <c r="M406" t="s">
        <v>225</v>
      </c>
      <c r="N406" t="s">
        <v>225</v>
      </c>
      <c r="O406" t="s">
        <v>225</v>
      </c>
      <c r="P406" t="s">
        <v>225</v>
      </c>
      <c r="Q406" t="s">
        <v>225</v>
      </c>
      <c r="R406" t="b">
        <v>0</v>
      </c>
      <c r="S406" t="s">
        <v>4363</v>
      </c>
    </row>
    <row r="407" spans="1:19" ht="11.25" customHeight="1">
      <c r="A407">
        <v>2655</v>
      </c>
      <c r="B407" t="s">
        <v>102</v>
      </c>
      <c r="C407">
        <v>31289532</v>
      </c>
      <c r="D407" t="s">
        <v>4500</v>
      </c>
      <c r="E407" t="s">
        <v>4500</v>
      </c>
      <c r="F407" t="s">
        <v>4501</v>
      </c>
      <c r="G407" t="s">
        <v>4502</v>
      </c>
      <c r="H407" t="s">
        <v>4503</v>
      </c>
      <c r="I407" t="s">
        <v>225</v>
      </c>
      <c r="J407" t="s">
        <v>128</v>
      </c>
      <c r="K407" t="s">
        <v>4504</v>
      </c>
      <c r="L407" t="s">
        <v>4505</v>
      </c>
      <c r="M407" t="s">
        <v>4506</v>
      </c>
      <c r="N407" t="s">
        <v>4507</v>
      </c>
      <c r="O407" t="s">
        <v>4508</v>
      </c>
      <c r="P407" t="s">
        <v>3064</v>
      </c>
      <c r="Q407" t="s">
        <v>4509</v>
      </c>
      <c r="R407" t="b">
        <v>0</v>
      </c>
      <c r="S407" t="s">
        <v>4363</v>
      </c>
    </row>
    <row r="408" spans="1:19" ht="11.25" customHeight="1">
      <c r="A408">
        <v>2655</v>
      </c>
      <c r="B408" t="s">
        <v>102</v>
      </c>
      <c r="C408">
        <v>26527116</v>
      </c>
      <c r="D408" t="s">
        <v>4510</v>
      </c>
      <c r="E408" t="s">
        <v>4510</v>
      </c>
      <c r="F408" t="s">
        <v>4511</v>
      </c>
      <c r="G408" t="s">
        <v>4512</v>
      </c>
      <c r="H408" t="s">
        <v>4513</v>
      </c>
      <c r="I408" t="s">
        <v>225</v>
      </c>
      <c r="K408" t="s">
        <v>225</v>
      </c>
      <c r="L408" t="s">
        <v>4514</v>
      </c>
      <c r="M408" t="s">
        <v>4515</v>
      </c>
      <c r="N408" t="s">
        <v>225</v>
      </c>
      <c r="O408" t="s">
        <v>4516</v>
      </c>
      <c r="P408" t="s">
        <v>225</v>
      </c>
      <c r="Q408" t="s">
        <v>225</v>
      </c>
      <c r="R408" t="b">
        <v>0</v>
      </c>
      <c r="S408" t="s">
        <v>4363</v>
      </c>
    </row>
    <row r="409" spans="1:19" ht="11.25" customHeight="1">
      <c r="A409">
        <v>2655</v>
      </c>
      <c r="B409" t="s">
        <v>102</v>
      </c>
      <c r="C409">
        <v>26650186</v>
      </c>
      <c r="D409" t="s">
        <v>4517</v>
      </c>
      <c r="E409" t="s">
        <v>4518</v>
      </c>
      <c r="F409" t="s">
        <v>4519</v>
      </c>
      <c r="G409" t="s">
        <v>4520</v>
      </c>
      <c r="H409" t="s">
        <v>4521</v>
      </c>
      <c r="I409" t="s">
        <v>4522</v>
      </c>
      <c r="J409" t="s">
        <v>128</v>
      </c>
      <c r="K409" t="s">
        <v>4523</v>
      </c>
      <c r="L409" t="s">
        <v>4524</v>
      </c>
      <c r="M409" t="s">
        <v>4525</v>
      </c>
      <c r="N409" t="s">
        <v>225</v>
      </c>
      <c r="O409" t="s">
        <v>4021</v>
      </c>
      <c r="P409" t="s">
        <v>4526</v>
      </c>
      <c r="Q409" t="s">
        <v>4527</v>
      </c>
      <c r="R409" t="b">
        <v>0</v>
      </c>
      <c r="S409" t="s">
        <v>4363</v>
      </c>
    </row>
    <row r="410" spans="1:19" ht="11.25" customHeight="1">
      <c r="A410">
        <v>2655</v>
      </c>
      <c r="B410" t="s">
        <v>102</v>
      </c>
      <c r="C410">
        <v>26322864</v>
      </c>
      <c r="D410" t="s">
        <v>4528</v>
      </c>
      <c r="E410" t="s">
        <v>4529</v>
      </c>
      <c r="F410" t="s">
        <v>4530</v>
      </c>
      <c r="G410" t="s">
        <v>3115</v>
      </c>
      <c r="H410" t="s">
        <v>4531</v>
      </c>
      <c r="I410" t="s">
        <v>4532</v>
      </c>
      <c r="J410" t="s">
        <v>128</v>
      </c>
      <c r="K410" t="s">
        <v>4533</v>
      </c>
      <c r="L410" t="s">
        <v>4533</v>
      </c>
      <c r="M410" t="s">
        <v>4534</v>
      </c>
      <c r="N410" t="s">
        <v>4535</v>
      </c>
      <c r="O410" t="s">
        <v>4536</v>
      </c>
      <c r="P410" t="s">
        <v>4537</v>
      </c>
      <c r="Q410" t="s">
        <v>4538</v>
      </c>
      <c r="R410" t="b">
        <v>0</v>
      </c>
      <c r="S410" t="s">
        <v>4363</v>
      </c>
    </row>
    <row r="411" spans="1:19" ht="11.25" customHeight="1">
      <c r="A411">
        <v>2655</v>
      </c>
      <c r="B411" t="s">
        <v>102</v>
      </c>
      <c r="C411">
        <v>27855290</v>
      </c>
      <c r="D411" t="s">
        <v>4539</v>
      </c>
      <c r="E411" t="s">
        <v>4540</v>
      </c>
      <c r="F411" t="s">
        <v>4541</v>
      </c>
      <c r="G411" t="s">
        <v>4542</v>
      </c>
      <c r="H411" t="s">
        <v>4543</v>
      </c>
      <c r="I411" t="s">
        <v>4544</v>
      </c>
      <c r="K411" t="s">
        <v>4545</v>
      </c>
      <c r="L411" t="s">
        <v>4545</v>
      </c>
      <c r="M411" t="s">
        <v>4546</v>
      </c>
      <c r="N411" t="s">
        <v>4547</v>
      </c>
      <c r="O411" t="s">
        <v>4548</v>
      </c>
      <c r="P411" t="s">
        <v>145</v>
      </c>
      <c r="Q411" t="s">
        <v>225</v>
      </c>
      <c r="R411" t="b">
        <v>0</v>
      </c>
      <c r="S411" t="s">
        <v>4363</v>
      </c>
    </row>
    <row r="412" spans="1:19" ht="11.25" customHeight="1">
      <c r="A412">
        <v>2655</v>
      </c>
      <c r="B412" t="s">
        <v>102</v>
      </c>
      <c r="C412">
        <v>26529124</v>
      </c>
      <c r="D412" t="s">
        <v>4549</v>
      </c>
      <c r="E412" t="s">
        <v>4549</v>
      </c>
      <c r="F412" t="s">
        <v>4550</v>
      </c>
      <c r="G412" t="s">
        <v>4551</v>
      </c>
      <c r="H412" t="s">
        <v>4552</v>
      </c>
      <c r="I412" t="s">
        <v>225</v>
      </c>
      <c r="J412" t="s">
        <v>128</v>
      </c>
      <c r="K412" t="s">
        <v>4553</v>
      </c>
      <c r="L412" t="s">
        <v>4553</v>
      </c>
      <c r="M412" t="s">
        <v>4554</v>
      </c>
      <c r="N412" t="s">
        <v>4555</v>
      </c>
      <c r="O412" t="s">
        <v>4556</v>
      </c>
      <c r="P412" t="s">
        <v>3007</v>
      </c>
      <c r="Q412" t="s">
        <v>225</v>
      </c>
      <c r="R412" t="b">
        <v>0</v>
      </c>
      <c r="S412" t="s">
        <v>4363</v>
      </c>
    </row>
    <row r="413" spans="1:19" ht="11.25" customHeight="1">
      <c r="A413">
        <v>2655</v>
      </c>
      <c r="B413" t="s">
        <v>102</v>
      </c>
      <c r="C413">
        <v>31527562</v>
      </c>
      <c r="D413" t="s">
        <v>3893</v>
      </c>
      <c r="E413" t="s">
        <v>3894</v>
      </c>
      <c r="F413" t="s">
        <v>3895</v>
      </c>
      <c r="G413" t="s">
        <v>3896</v>
      </c>
      <c r="H413" t="s">
        <v>3897</v>
      </c>
      <c r="I413" t="s">
        <v>3898</v>
      </c>
      <c r="K413" t="s">
        <v>3899</v>
      </c>
      <c r="L413" t="s">
        <v>3900</v>
      </c>
      <c r="M413" t="s">
        <v>225</v>
      </c>
      <c r="N413" t="s">
        <v>225</v>
      </c>
      <c r="O413" t="s">
        <v>3901</v>
      </c>
      <c r="P413" t="s">
        <v>225</v>
      </c>
      <c r="Q413" t="s">
        <v>225</v>
      </c>
      <c r="R413" t="b">
        <v>0</v>
      </c>
      <c r="S413" t="s">
        <v>4363</v>
      </c>
    </row>
    <row r="414" spans="1:19" ht="11.25" customHeight="1">
      <c r="A414">
        <v>2655</v>
      </c>
      <c r="B414" t="s">
        <v>102</v>
      </c>
      <c r="C414">
        <v>26322900</v>
      </c>
      <c r="D414" t="s">
        <v>4557</v>
      </c>
      <c r="E414" t="s">
        <v>4558</v>
      </c>
      <c r="F414" t="s">
        <v>4559</v>
      </c>
      <c r="G414" t="s">
        <v>2999</v>
      </c>
      <c r="H414" t="s">
        <v>4560</v>
      </c>
      <c r="I414" t="s">
        <v>4561</v>
      </c>
      <c r="J414" t="s">
        <v>128</v>
      </c>
      <c r="K414" t="s">
        <v>4562</v>
      </c>
      <c r="L414" t="s">
        <v>4562</v>
      </c>
      <c r="M414" t="s">
        <v>4563</v>
      </c>
      <c r="N414" t="s">
        <v>4564</v>
      </c>
      <c r="O414" t="s">
        <v>4565</v>
      </c>
      <c r="P414" t="s">
        <v>3064</v>
      </c>
      <c r="Q414" t="s">
        <v>4566</v>
      </c>
      <c r="R414" t="b">
        <v>0</v>
      </c>
      <c r="S414" t="s">
        <v>4363</v>
      </c>
    </row>
    <row r="415" spans="1:19" ht="11.25" customHeight="1">
      <c r="A415">
        <v>2655</v>
      </c>
      <c r="B415" t="s">
        <v>102</v>
      </c>
      <c r="C415">
        <v>31506347</v>
      </c>
      <c r="D415" t="s">
        <v>4567</v>
      </c>
      <c r="E415" t="s">
        <v>4568</v>
      </c>
      <c r="F415" t="s">
        <v>4569</v>
      </c>
      <c r="G415" t="s">
        <v>2999</v>
      </c>
      <c r="H415" t="s">
        <v>4570</v>
      </c>
      <c r="I415" t="s">
        <v>4571</v>
      </c>
      <c r="J415" t="s">
        <v>128</v>
      </c>
      <c r="K415" t="s">
        <v>4572</v>
      </c>
      <c r="L415" t="s">
        <v>4572</v>
      </c>
      <c r="M415" t="s">
        <v>225</v>
      </c>
      <c r="N415" t="s">
        <v>4573</v>
      </c>
      <c r="O415" t="s">
        <v>4574</v>
      </c>
      <c r="P415" t="s">
        <v>3064</v>
      </c>
      <c r="Q415" t="s">
        <v>4575</v>
      </c>
      <c r="R415" t="b">
        <v>0</v>
      </c>
      <c r="S415" t="s">
        <v>4363</v>
      </c>
    </row>
    <row r="416" spans="1:19" ht="11.25" customHeight="1">
      <c r="A416">
        <v>2655</v>
      </c>
      <c r="B416" t="s">
        <v>102</v>
      </c>
      <c r="C416">
        <v>28147378</v>
      </c>
      <c r="D416" t="s">
        <v>4576</v>
      </c>
      <c r="E416" t="s">
        <v>4577</v>
      </c>
      <c r="F416" t="s">
        <v>4578</v>
      </c>
      <c r="G416" t="s">
        <v>4579</v>
      </c>
      <c r="H416" t="s">
        <v>4580</v>
      </c>
      <c r="I416" t="s">
        <v>225</v>
      </c>
      <c r="J416" t="s">
        <v>128</v>
      </c>
      <c r="K416" t="s">
        <v>4581</v>
      </c>
      <c r="L416" t="s">
        <v>4581</v>
      </c>
      <c r="M416" t="s">
        <v>4582</v>
      </c>
      <c r="N416" t="s">
        <v>4583</v>
      </c>
      <c r="O416" t="s">
        <v>4584</v>
      </c>
      <c r="P416" t="s">
        <v>3064</v>
      </c>
      <c r="Q416" t="s">
        <v>4585</v>
      </c>
      <c r="R416" t="b">
        <v>0</v>
      </c>
      <c r="S416" t="s">
        <v>4363</v>
      </c>
    </row>
    <row r="417" spans="1:19" ht="11.25" customHeight="1">
      <c r="A417">
        <v>2655</v>
      </c>
      <c r="B417" t="s">
        <v>102</v>
      </c>
      <c r="C417">
        <v>26842490</v>
      </c>
      <c r="D417" t="s">
        <v>4586</v>
      </c>
      <c r="E417" t="s">
        <v>4587</v>
      </c>
      <c r="F417" t="s">
        <v>4588</v>
      </c>
      <c r="G417" t="s">
        <v>4502</v>
      </c>
      <c r="H417" t="s">
        <v>4589</v>
      </c>
      <c r="I417" t="s">
        <v>225</v>
      </c>
      <c r="J417" t="s">
        <v>128</v>
      </c>
      <c r="K417" t="s">
        <v>4590</v>
      </c>
      <c r="L417" t="s">
        <v>4591</v>
      </c>
      <c r="M417" t="s">
        <v>4592</v>
      </c>
      <c r="N417" t="s">
        <v>4593</v>
      </c>
      <c r="O417" t="s">
        <v>4594</v>
      </c>
      <c r="P417" t="s">
        <v>3064</v>
      </c>
      <c r="Q417" t="s">
        <v>225</v>
      </c>
      <c r="R417" t="b">
        <v>0</v>
      </c>
      <c r="S417" t="s">
        <v>4363</v>
      </c>
    </row>
    <row r="418" spans="1:19" ht="11.25" customHeight="1">
      <c r="A418">
        <v>2655</v>
      </c>
      <c r="B418" t="s">
        <v>102</v>
      </c>
      <c r="C418">
        <v>26515847</v>
      </c>
      <c r="D418" t="s">
        <v>4595</v>
      </c>
      <c r="E418" t="s">
        <v>225</v>
      </c>
      <c r="F418" t="s">
        <v>4461</v>
      </c>
      <c r="G418" t="s">
        <v>4596</v>
      </c>
      <c r="H418" t="s">
        <v>4463</v>
      </c>
      <c r="I418" t="s">
        <v>4597</v>
      </c>
      <c r="J418" t="s">
        <v>128</v>
      </c>
      <c r="K418" t="s">
        <v>225</v>
      </c>
      <c r="L418" t="s">
        <v>225</v>
      </c>
      <c r="M418" t="s">
        <v>4598</v>
      </c>
      <c r="N418" t="s">
        <v>225</v>
      </c>
      <c r="O418" t="s">
        <v>4599</v>
      </c>
      <c r="P418" t="s">
        <v>225</v>
      </c>
      <c r="Q418" t="s">
        <v>225</v>
      </c>
      <c r="R418" t="b">
        <v>0</v>
      </c>
      <c r="S418" t="s">
        <v>4363</v>
      </c>
    </row>
    <row r="419" spans="1:19" ht="11.25" customHeight="1">
      <c r="A419">
        <v>2655</v>
      </c>
      <c r="B419" t="s">
        <v>102</v>
      </c>
      <c r="C419">
        <v>31340189</v>
      </c>
      <c r="D419" t="s">
        <v>4600</v>
      </c>
      <c r="E419" t="s">
        <v>4600</v>
      </c>
      <c r="F419" t="s">
        <v>4601</v>
      </c>
      <c r="G419" t="s">
        <v>4602</v>
      </c>
      <c r="H419" t="s">
        <v>4603</v>
      </c>
      <c r="I419" t="s">
        <v>4604</v>
      </c>
      <c r="J419" t="s">
        <v>128</v>
      </c>
      <c r="K419" t="s">
        <v>4605</v>
      </c>
      <c r="L419" t="s">
        <v>4606</v>
      </c>
      <c r="M419" t="s">
        <v>4607</v>
      </c>
      <c r="N419" t="s">
        <v>4608</v>
      </c>
      <c r="O419" t="s">
        <v>4609</v>
      </c>
      <c r="P419" t="s">
        <v>3064</v>
      </c>
      <c r="Q419" t="s">
        <v>4608</v>
      </c>
      <c r="R419" t="b">
        <v>0</v>
      </c>
      <c r="S419" t="s">
        <v>4363</v>
      </c>
    </row>
    <row r="420" spans="1:19" ht="11.25" customHeight="1">
      <c r="A420">
        <v>2655</v>
      </c>
      <c r="B420" t="s">
        <v>102</v>
      </c>
      <c r="C420">
        <v>31214277</v>
      </c>
      <c r="D420" t="s">
        <v>4610</v>
      </c>
      <c r="E420" t="s">
        <v>4611</v>
      </c>
      <c r="F420" t="s">
        <v>4612</v>
      </c>
      <c r="G420" t="s">
        <v>4613</v>
      </c>
      <c r="H420" t="s">
        <v>4614</v>
      </c>
      <c r="I420" t="s">
        <v>225</v>
      </c>
      <c r="K420" t="s">
        <v>225</v>
      </c>
      <c r="L420" t="s">
        <v>4615</v>
      </c>
      <c r="M420" t="s">
        <v>4616</v>
      </c>
      <c r="N420" t="s">
        <v>225</v>
      </c>
      <c r="O420" t="s">
        <v>4617</v>
      </c>
      <c r="P420" t="s">
        <v>3007</v>
      </c>
      <c r="Q420" t="s">
        <v>4618</v>
      </c>
      <c r="R420" t="b">
        <v>0</v>
      </c>
      <c r="S420" t="s">
        <v>4363</v>
      </c>
    </row>
    <row r="421" spans="1:19" ht="11.25" customHeight="1">
      <c r="A421">
        <v>2655</v>
      </c>
      <c r="B421" t="s">
        <v>102</v>
      </c>
      <c r="C421">
        <v>31890159</v>
      </c>
      <c r="D421" t="s">
        <v>4619</v>
      </c>
      <c r="E421" t="s">
        <v>4620</v>
      </c>
      <c r="F421" t="s">
        <v>4621</v>
      </c>
      <c r="G421" t="s">
        <v>4622</v>
      </c>
      <c r="H421" t="s">
        <v>4623</v>
      </c>
      <c r="I421" t="s">
        <v>225</v>
      </c>
      <c r="K421" t="s">
        <v>4624</v>
      </c>
      <c r="L421" t="s">
        <v>4624</v>
      </c>
      <c r="M421" t="s">
        <v>225</v>
      </c>
      <c r="N421" t="s">
        <v>225</v>
      </c>
      <c r="O421" t="s">
        <v>225</v>
      </c>
      <c r="P421" t="s">
        <v>225</v>
      </c>
      <c r="Q421" t="s">
        <v>225</v>
      </c>
      <c r="R421" t="b">
        <v>0</v>
      </c>
      <c r="S421" t="s">
        <v>4363</v>
      </c>
    </row>
    <row r="422" spans="1:19" ht="11.25" customHeight="1">
      <c r="A422">
        <v>2655</v>
      </c>
      <c r="B422" t="s">
        <v>102</v>
      </c>
      <c r="C422">
        <v>26651348</v>
      </c>
      <c r="D422" t="s">
        <v>4625</v>
      </c>
      <c r="E422" t="s">
        <v>4626</v>
      </c>
      <c r="F422" t="s">
        <v>4627</v>
      </c>
      <c r="G422" t="s">
        <v>3012</v>
      </c>
      <c r="H422" t="s">
        <v>4628</v>
      </c>
      <c r="I422" t="s">
        <v>4629</v>
      </c>
      <c r="J422" t="s">
        <v>128</v>
      </c>
      <c r="K422" t="s">
        <v>4630</v>
      </c>
      <c r="L422" t="s">
        <v>4630</v>
      </c>
      <c r="M422" t="s">
        <v>4631</v>
      </c>
      <c r="N422" t="s">
        <v>4632</v>
      </c>
      <c r="O422" t="s">
        <v>4633</v>
      </c>
      <c r="P422" t="s">
        <v>3064</v>
      </c>
      <c r="Q422" t="s">
        <v>4634</v>
      </c>
      <c r="R422" t="b">
        <v>0</v>
      </c>
      <c r="S422" t="s">
        <v>4363</v>
      </c>
    </row>
    <row r="423" spans="1:19" ht="11.25" customHeight="1">
      <c r="A423">
        <v>2655</v>
      </c>
      <c r="B423" t="s">
        <v>102</v>
      </c>
      <c r="C423">
        <v>26518195</v>
      </c>
      <c r="D423" t="s">
        <v>4635</v>
      </c>
      <c r="E423" t="s">
        <v>4636</v>
      </c>
      <c r="F423" t="s">
        <v>4637</v>
      </c>
      <c r="G423" t="s">
        <v>3023</v>
      </c>
      <c r="H423" t="s">
        <v>4638</v>
      </c>
      <c r="I423" t="s">
        <v>4639</v>
      </c>
      <c r="J423" t="s">
        <v>128</v>
      </c>
      <c r="K423" t="s">
        <v>4640</v>
      </c>
      <c r="L423" t="s">
        <v>4641</v>
      </c>
      <c r="M423" t="s">
        <v>4642</v>
      </c>
      <c r="N423" t="s">
        <v>4643</v>
      </c>
      <c r="O423" t="s">
        <v>4644</v>
      </c>
      <c r="P423" t="s">
        <v>3064</v>
      </c>
      <c r="Q423" t="s">
        <v>4645</v>
      </c>
      <c r="R423" t="b">
        <v>0</v>
      </c>
      <c r="S423" t="s">
        <v>4363</v>
      </c>
    </row>
    <row r="424" spans="1:19" ht="11.25" customHeight="1">
      <c r="A424">
        <v>2655</v>
      </c>
      <c r="B424" t="s">
        <v>102</v>
      </c>
      <c r="C424">
        <v>31596823</v>
      </c>
      <c r="D424" t="s">
        <v>4646</v>
      </c>
      <c r="E424" t="s">
        <v>4647</v>
      </c>
      <c r="F424" t="s">
        <v>4648</v>
      </c>
      <c r="G424" t="s">
        <v>4649</v>
      </c>
      <c r="H424" t="s">
        <v>4650</v>
      </c>
      <c r="I424" t="s">
        <v>225</v>
      </c>
      <c r="K424" t="s">
        <v>4651</v>
      </c>
      <c r="L424" t="s">
        <v>4652</v>
      </c>
      <c r="M424" t="s">
        <v>4653</v>
      </c>
      <c r="N424" t="s">
        <v>225</v>
      </c>
      <c r="O424" t="s">
        <v>4654</v>
      </c>
      <c r="P424" t="s">
        <v>4079</v>
      </c>
      <c r="Q424" t="s">
        <v>225</v>
      </c>
      <c r="R424" t="b">
        <v>0</v>
      </c>
      <c r="S424" t="s">
        <v>4363</v>
      </c>
    </row>
    <row r="425" spans="1:19" ht="11.25" customHeight="1">
      <c r="A425">
        <v>2655</v>
      </c>
      <c r="B425" t="s">
        <v>102</v>
      </c>
      <c r="C425">
        <v>30874078</v>
      </c>
      <c r="D425" t="s">
        <v>4655</v>
      </c>
      <c r="E425" t="s">
        <v>4656</v>
      </c>
      <c r="F425" t="s">
        <v>4657</v>
      </c>
      <c r="G425" t="s">
        <v>2999</v>
      </c>
      <c r="H425" t="s">
        <v>4658</v>
      </c>
      <c r="I425" t="s">
        <v>4659</v>
      </c>
      <c r="J425" t="s">
        <v>128</v>
      </c>
      <c r="K425" t="s">
        <v>4660</v>
      </c>
      <c r="L425" t="s">
        <v>4660</v>
      </c>
      <c r="M425" t="s">
        <v>225</v>
      </c>
      <c r="N425" t="s">
        <v>4661</v>
      </c>
      <c r="O425" t="s">
        <v>4662</v>
      </c>
      <c r="P425" t="s">
        <v>3007</v>
      </c>
      <c r="Q425" t="s">
        <v>4663</v>
      </c>
      <c r="R425" t="b">
        <v>0</v>
      </c>
      <c r="S425" t="s">
        <v>4363</v>
      </c>
    </row>
    <row r="426" spans="1:19" ht="11.25" customHeight="1">
      <c r="A426">
        <v>2655</v>
      </c>
      <c r="B426" t="s">
        <v>102</v>
      </c>
      <c r="C426">
        <v>26416221</v>
      </c>
      <c r="D426" t="s">
        <v>4664</v>
      </c>
      <c r="E426" t="s">
        <v>4665</v>
      </c>
      <c r="F426" t="s">
        <v>4666</v>
      </c>
      <c r="G426" t="s">
        <v>4393</v>
      </c>
      <c r="H426" t="s">
        <v>4667</v>
      </c>
      <c r="I426" t="s">
        <v>4668</v>
      </c>
      <c r="J426" t="s">
        <v>128</v>
      </c>
      <c r="K426" t="s">
        <v>4669</v>
      </c>
      <c r="L426" t="s">
        <v>4669</v>
      </c>
      <c r="M426" t="s">
        <v>4670</v>
      </c>
      <c r="N426" t="s">
        <v>4671</v>
      </c>
      <c r="O426" t="s">
        <v>4672</v>
      </c>
      <c r="P426" t="s">
        <v>3064</v>
      </c>
      <c r="Q426" t="s">
        <v>4673</v>
      </c>
      <c r="R426" t="b">
        <v>0</v>
      </c>
      <c r="S426" t="s">
        <v>4363</v>
      </c>
    </row>
    <row r="427" spans="1:19" ht="11.25" customHeight="1">
      <c r="A427">
        <v>2655</v>
      </c>
      <c r="B427" t="s">
        <v>102</v>
      </c>
      <c r="C427">
        <v>26318820</v>
      </c>
      <c r="D427" t="s">
        <v>4674</v>
      </c>
      <c r="E427" t="s">
        <v>4675</v>
      </c>
      <c r="F427" t="s">
        <v>4676</v>
      </c>
      <c r="G427" t="s">
        <v>4512</v>
      </c>
      <c r="H427" t="s">
        <v>4677</v>
      </c>
      <c r="I427" t="s">
        <v>4678</v>
      </c>
      <c r="K427" t="s">
        <v>4679</v>
      </c>
      <c r="L427" t="s">
        <v>4679</v>
      </c>
      <c r="M427" t="s">
        <v>4680</v>
      </c>
      <c r="N427" t="s">
        <v>4681</v>
      </c>
      <c r="O427" t="s">
        <v>4682</v>
      </c>
      <c r="P427" t="s">
        <v>3007</v>
      </c>
      <c r="Q427" t="s">
        <v>225</v>
      </c>
      <c r="R427" t="b">
        <v>0</v>
      </c>
      <c r="S427" t="s">
        <v>4363</v>
      </c>
    </row>
    <row r="428" spans="1:19" ht="11.25" customHeight="1">
      <c r="A428">
        <v>2655</v>
      </c>
      <c r="B428" t="s">
        <v>102</v>
      </c>
      <c r="C428">
        <v>31316078</v>
      </c>
      <c r="D428" t="s">
        <v>4683</v>
      </c>
      <c r="E428" t="s">
        <v>4684</v>
      </c>
      <c r="F428" t="s">
        <v>4685</v>
      </c>
      <c r="G428" t="s">
        <v>2999</v>
      </c>
      <c r="H428" t="s">
        <v>4686</v>
      </c>
      <c r="I428" t="s">
        <v>4687</v>
      </c>
      <c r="K428" t="s">
        <v>4688</v>
      </c>
      <c r="L428" t="s">
        <v>4688</v>
      </c>
      <c r="M428" t="s">
        <v>4689</v>
      </c>
      <c r="N428" t="s">
        <v>4690</v>
      </c>
      <c r="O428" t="s">
        <v>4691</v>
      </c>
      <c r="P428" t="s">
        <v>145</v>
      </c>
      <c r="Q428" t="s">
        <v>4692</v>
      </c>
      <c r="R428" t="b">
        <v>0</v>
      </c>
      <c r="S428" t="s">
        <v>4363</v>
      </c>
    </row>
    <row r="429" spans="1:19" ht="11.25" customHeight="1">
      <c r="A429">
        <v>2655</v>
      </c>
      <c r="B429" t="s">
        <v>102</v>
      </c>
      <c r="C429">
        <v>26502786</v>
      </c>
      <c r="D429" t="s">
        <v>4693</v>
      </c>
      <c r="E429" t="s">
        <v>4694</v>
      </c>
      <c r="F429" t="s">
        <v>4695</v>
      </c>
      <c r="G429" t="s">
        <v>4649</v>
      </c>
      <c r="H429" t="s">
        <v>4696</v>
      </c>
      <c r="I429" t="s">
        <v>225</v>
      </c>
      <c r="J429" t="s">
        <v>128</v>
      </c>
      <c r="K429" t="s">
        <v>4697</v>
      </c>
      <c r="L429" t="s">
        <v>4697</v>
      </c>
      <c r="M429" t="s">
        <v>4698</v>
      </c>
      <c r="N429" t="s">
        <v>4699</v>
      </c>
      <c r="O429" t="s">
        <v>4700</v>
      </c>
      <c r="P429" t="s">
        <v>3064</v>
      </c>
      <c r="Q429" t="s">
        <v>4701</v>
      </c>
      <c r="R429" t="b">
        <v>0</v>
      </c>
      <c r="S429" t="s">
        <v>4363</v>
      </c>
    </row>
    <row r="430" spans="1:19" ht="11.25" customHeight="1">
      <c r="A430">
        <v>2655</v>
      </c>
      <c r="B430" t="s">
        <v>102</v>
      </c>
      <c r="C430">
        <v>26318850</v>
      </c>
      <c r="D430" t="s">
        <v>4702</v>
      </c>
      <c r="E430" t="s">
        <v>4703</v>
      </c>
      <c r="F430" t="s">
        <v>4704</v>
      </c>
      <c r="G430" t="s">
        <v>4705</v>
      </c>
      <c r="H430" t="s">
        <v>4706</v>
      </c>
      <c r="I430" t="s">
        <v>4707</v>
      </c>
      <c r="J430" t="s">
        <v>128</v>
      </c>
      <c r="K430" t="s">
        <v>4708</v>
      </c>
      <c r="L430" t="s">
        <v>4708</v>
      </c>
      <c r="M430" t="s">
        <v>4709</v>
      </c>
      <c r="N430" t="s">
        <v>4710</v>
      </c>
      <c r="O430" t="s">
        <v>4711</v>
      </c>
      <c r="P430" t="s">
        <v>3155</v>
      </c>
      <c r="Q430" t="s">
        <v>4712</v>
      </c>
      <c r="R430" t="b">
        <v>0</v>
      </c>
      <c r="S430" t="s">
        <v>4363</v>
      </c>
    </row>
    <row r="431" spans="1:19" ht="11.25" customHeight="1">
      <c r="A431">
        <v>2655</v>
      </c>
      <c r="B431" t="s">
        <v>102</v>
      </c>
      <c r="C431">
        <v>31456132</v>
      </c>
      <c r="D431" t="s">
        <v>4713</v>
      </c>
      <c r="E431" t="s">
        <v>4714</v>
      </c>
      <c r="F431" t="s">
        <v>4715</v>
      </c>
      <c r="G431" t="s">
        <v>3023</v>
      </c>
      <c r="H431" t="s">
        <v>4716</v>
      </c>
      <c r="I431" t="s">
        <v>225</v>
      </c>
      <c r="K431" t="s">
        <v>4717</v>
      </c>
      <c r="L431" t="s">
        <v>4717</v>
      </c>
      <c r="M431" t="s">
        <v>225</v>
      </c>
      <c r="N431" t="s">
        <v>225</v>
      </c>
      <c r="O431" t="s">
        <v>4718</v>
      </c>
      <c r="P431" t="s">
        <v>3064</v>
      </c>
      <c r="Q431" t="s">
        <v>4719</v>
      </c>
      <c r="R431" t="b">
        <v>0</v>
      </c>
      <c r="S431" t="s">
        <v>4363</v>
      </c>
    </row>
    <row r="432" spans="1:19" ht="11.25" customHeight="1">
      <c r="A432">
        <v>2655</v>
      </c>
      <c r="B432" t="s">
        <v>102</v>
      </c>
      <c r="C432">
        <v>30390663</v>
      </c>
      <c r="D432" t="s">
        <v>4720</v>
      </c>
      <c r="E432" t="s">
        <v>4721</v>
      </c>
      <c r="F432" t="s">
        <v>4722</v>
      </c>
      <c r="G432" t="s">
        <v>3023</v>
      </c>
      <c r="H432" t="s">
        <v>4723</v>
      </c>
      <c r="I432" t="s">
        <v>4724</v>
      </c>
      <c r="J432" t="s">
        <v>128</v>
      </c>
      <c r="K432" t="s">
        <v>4725</v>
      </c>
      <c r="L432" t="s">
        <v>4726</v>
      </c>
      <c r="M432" t="s">
        <v>225</v>
      </c>
      <c r="N432" t="s">
        <v>4727</v>
      </c>
      <c r="O432" t="s">
        <v>4728</v>
      </c>
      <c r="P432" t="s">
        <v>3064</v>
      </c>
      <c r="Q432" t="s">
        <v>4729</v>
      </c>
      <c r="R432" t="b">
        <v>0</v>
      </c>
      <c r="S432" t="s">
        <v>4363</v>
      </c>
    </row>
    <row r="433" spans="1:19" ht="11.25" customHeight="1">
      <c r="A433">
        <v>2655</v>
      </c>
      <c r="B433" t="s">
        <v>102</v>
      </c>
      <c r="C433">
        <v>26497668</v>
      </c>
      <c r="D433" t="s">
        <v>4730</v>
      </c>
      <c r="E433" t="s">
        <v>4731</v>
      </c>
      <c r="F433" t="s">
        <v>4732</v>
      </c>
      <c r="G433" t="s">
        <v>4733</v>
      </c>
      <c r="H433" t="s">
        <v>4734</v>
      </c>
      <c r="I433" t="s">
        <v>4735</v>
      </c>
      <c r="K433" t="s">
        <v>4736</v>
      </c>
      <c r="L433" t="s">
        <v>4736</v>
      </c>
      <c r="M433" t="s">
        <v>4737</v>
      </c>
      <c r="N433" t="s">
        <v>4738</v>
      </c>
      <c r="O433" t="s">
        <v>4739</v>
      </c>
      <c r="P433" t="s">
        <v>3007</v>
      </c>
      <c r="Q433" t="s">
        <v>4740</v>
      </c>
      <c r="R433" t="b">
        <v>0</v>
      </c>
      <c r="S433" t="s">
        <v>4363</v>
      </c>
    </row>
    <row r="434" spans="1:19" ht="11.25" customHeight="1">
      <c r="A434">
        <v>2655</v>
      </c>
      <c r="B434" t="s">
        <v>102</v>
      </c>
      <c r="C434">
        <v>30951461</v>
      </c>
      <c r="D434" t="s">
        <v>4741</v>
      </c>
      <c r="E434" t="s">
        <v>4742</v>
      </c>
      <c r="F434" t="s">
        <v>4743</v>
      </c>
      <c r="G434" t="s">
        <v>2999</v>
      </c>
      <c r="H434" t="s">
        <v>4744</v>
      </c>
      <c r="I434" t="s">
        <v>4745</v>
      </c>
      <c r="J434" t="s">
        <v>128</v>
      </c>
      <c r="K434" t="s">
        <v>4746</v>
      </c>
      <c r="L434" t="s">
        <v>4746</v>
      </c>
      <c r="M434" t="s">
        <v>4747</v>
      </c>
      <c r="N434" t="s">
        <v>4748</v>
      </c>
      <c r="O434" t="s">
        <v>4749</v>
      </c>
      <c r="P434" t="s">
        <v>145</v>
      </c>
      <c r="Q434" t="s">
        <v>4750</v>
      </c>
      <c r="R434" t="b">
        <v>0</v>
      </c>
      <c r="S434" t="s">
        <v>4363</v>
      </c>
    </row>
    <row r="435" spans="1:19" ht="11.25" customHeight="1">
      <c r="A435">
        <v>2655</v>
      </c>
      <c r="B435" t="s">
        <v>102</v>
      </c>
      <c r="C435">
        <v>28878380</v>
      </c>
      <c r="D435" t="s">
        <v>4751</v>
      </c>
      <c r="E435" t="s">
        <v>4752</v>
      </c>
      <c r="F435" t="s">
        <v>4753</v>
      </c>
      <c r="G435" t="s">
        <v>2999</v>
      </c>
      <c r="H435" t="s">
        <v>4754</v>
      </c>
      <c r="I435" t="s">
        <v>4755</v>
      </c>
      <c r="J435" t="s">
        <v>128</v>
      </c>
      <c r="K435" t="s">
        <v>4756</v>
      </c>
      <c r="L435" t="s">
        <v>4756</v>
      </c>
      <c r="M435" t="s">
        <v>4757</v>
      </c>
      <c r="N435" t="s">
        <v>4758</v>
      </c>
      <c r="O435" t="s">
        <v>4759</v>
      </c>
      <c r="P435" t="s">
        <v>3064</v>
      </c>
      <c r="Q435" t="s">
        <v>4760</v>
      </c>
      <c r="R435" t="b">
        <v>0</v>
      </c>
      <c r="S435" t="s">
        <v>4363</v>
      </c>
    </row>
    <row r="436" spans="1:19" ht="11.25" customHeight="1">
      <c r="A436">
        <v>2655</v>
      </c>
      <c r="B436" t="s">
        <v>102</v>
      </c>
      <c r="C436">
        <v>27968109</v>
      </c>
      <c r="D436" t="s">
        <v>4250</v>
      </c>
      <c r="E436" t="s">
        <v>4251</v>
      </c>
      <c r="F436" t="s">
        <v>4252</v>
      </c>
      <c r="G436" t="s">
        <v>2999</v>
      </c>
      <c r="H436" t="s">
        <v>4253</v>
      </c>
      <c r="I436" t="s">
        <v>4254</v>
      </c>
      <c r="J436" t="s">
        <v>128</v>
      </c>
      <c r="K436" t="s">
        <v>4255</v>
      </c>
      <c r="L436" t="s">
        <v>4255</v>
      </c>
      <c r="M436" t="s">
        <v>4256</v>
      </c>
      <c r="N436" t="s">
        <v>4257</v>
      </c>
      <c r="O436" t="s">
        <v>4258</v>
      </c>
      <c r="P436" t="s">
        <v>3064</v>
      </c>
      <c r="Q436" t="s">
        <v>4259</v>
      </c>
      <c r="R436" t="b">
        <v>0</v>
      </c>
      <c r="S436" t="s">
        <v>4363</v>
      </c>
    </row>
    <row r="437" spans="1:19" ht="11.25" customHeight="1">
      <c r="A437">
        <v>2655</v>
      </c>
      <c r="B437" t="s">
        <v>102</v>
      </c>
      <c r="C437">
        <v>31304544</v>
      </c>
      <c r="D437" t="s">
        <v>4761</v>
      </c>
      <c r="E437" t="s">
        <v>4762</v>
      </c>
      <c r="F437" t="s">
        <v>4763</v>
      </c>
      <c r="G437" t="s">
        <v>4764</v>
      </c>
      <c r="H437" t="s">
        <v>4765</v>
      </c>
      <c r="I437" t="s">
        <v>225</v>
      </c>
      <c r="J437" t="s">
        <v>128</v>
      </c>
      <c r="K437" t="s">
        <v>4766</v>
      </c>
      <c r="L437" t="s">
        <v>4766</v>
      </c>
      <c r="M437" t="s">
        <v>225</v>
      </c>
      <c r="N437" t="s">
        <v>225</v>
      </c>
      <c r="O437" t="s">
        <v>4767</v>
      </c>
      <c r="P437" t="s">
        <v>3064</v>
      </c>
      <c r="Q437" t="s">
        <v>225</v>
      </c>
      <c r="R437" t="b">
        <v>0</v>
      </c>
      <c r="S437" t="s">
        <v>4363</v>
      </c>
    </row>
    <row r="438" spans="1:19" ht="11.25" customHeight="1">
      <c r="A438">
        <v>2655</v>
      </c>
      <c r="B438" t="s">
        <v>102</v>
      </c>
      <c r="C438">
        <v>28272126</v>
      </c>
      <c r="D438" t="s">
        <v>4768</v>
      </c>
      <c r="E438" t="s">
        <v>4769</v>
      </c>
      <c r="F438" t="s">
        <v>4770</v>
      </c>
      <c r="G438" t="s">
        <v>3023</v>
      </c>
      <c r="H438" t="s">
        <v>4771</v>
      </c>
      <c r="I438" t="s">
        <v>4772</v>
      </c>
      <c r="J438" t="s">
        <v>128</v>
      </c>
      <c r="K438" t="s">
        <v>4640</v>
      </c>
      <c r="L438" t="s">
        <v>4640</v>
      </c>
      <c r="M438" t="s">
        <v>4773</v>
      </c>
      <c r="N438" t="s">
        <v>4774</v>
      </c>
      <c r="O438" t="s">
        <v>4775</v>
      </c>
      <c r="P438" t="s">
        <v>3064</v>
      </c>
      <c r="Q438" t="s">
        <v>4776</v>
      </c>
      <c r="R438" t="b">
        <v>0</v>
      </c>
      <c r="S438" t="s">
        <v>4363</v>
      </c>
    </row>
    <row r="439" spans="1:19" ht="11.25" customHeight="1">
      <c r="A439">
        <v>2655</v>
      </c>
      <c r="B439" t="s">
        <v>102</v>
      </c>
      <c r="C439">
        <v>28493606</v>
      </c>
      <c r="D439" t="s">
        <v>4777</v>
      </c>
      <c r="E439" t="s">
        <v>4778</v>
      </c>
      <c r="F439" t="s">
        <v>4779</v>
      </c>
      <c r="G439" t="s">
        <v>4780</v>
      </c>
      <c r="H439" t="s">
        <v>4781</v>
      </c>
      <c r="I439" t="s">
        <v>225</v>
      </c>
      <c r="J439" t="s">
        <v>128</v>
      </c>
      <c r="K439" t="s">
        <v>225</v>
      </c>
      <c r="L439" t="s">
        <v>4782</v>
      </c>
      <c r="M439" t="s">
        <v>225</v>
      </c>
      <c r="N439" t="s">
        <v>4783</v>
      </c>
      <c r="O439" t="s">
        <v>4784</v>
      </c>
      <c r="P439" t="s">
        <v>3064</v>
      </c>
      <c r="Q439" t="s">
        <v>225</v>
      </c>
      <c r="R439" t="b">
        <v>0</v>
      </c>
      <c r="S439" t="s">
        <v>4363</v>
      </c>
    </row>
    <row r="440" spans="1:19" ht="11.25" customHeight="1">
      <c r="A440">
        <v>2655</v>
      </c>
      <c r="B440" t="s">
        <v>102</v>
      </c>
      <c r="C440">
        <v>30433612</v>
      </c>
      <c r="D440" t="s">
        <v>4785</v>
      </c>
      <c r="E440" t="s">
        <v>4786</v>
      </c>
      <c r="F440" t="s">
        <v>4787</v>
      </c>
      <c r="G440" t="s">
        <v>4780</v>
      </c>
      <c r="H440" t="s">
        <v>4788</v>
      </c>
      <c r="I440" t="s">
        <v>4789</v>
      </c>
      <c r="J440" t="s">
        <v>128</v>
      </c>
      <c r="K440" t="s">
        <v>4790</v>
      </c>
      <c r="L440" t="s">
        <v>4790</v>
      </c>
      <c r="M440" t="s">
        <v>4791</v>
      </c>
      <c r="N440" t="s">
        <v>4792</v>
      </c>
      <c r="O440" t="s">
        <v>4793</v>
      </c>
      <c r="P440" t="s">
        <v>3064</v>
      </c>
      <c r="Q440" t="s">
        <v>4794</v>
      </c>
      <c r="R440" t="b">
        <v>0</v>
      </c>
      <c r="S440" t="s">
        <v>4363</v>
      </c>
    </row>
    <row r="441" spans="1:19" ht="11.25" customHeight="1">
      <c r="A441">
        <v>2655</v>
      </c>
      <c r="B441" t="s">
        <v>102</v>
      </c>
      <c r="C441">
        <v>28502565</v>
      </c>
      <c r="D441" t="s">
        <v>4795</v>
      </c>
      <c r="E441" t="s">
        <v>4796</v>
      </c>
      <c r="F441" t="s">
        <v>4797</v>
      </c>
      <c r="G441" t="s">
        <v>2999</v>
      </c>
      <c r="H441" t="s">
        <v>4798</v>
      </c>
      <c r="I441" t="s">
        <v>225</v>
      </c>
      <c r="J441" t="s">
        <v>128</v>
      </c>
      <c r="K441" t="s">
        <v>4799</v>
      </c>
      <c r="L441" t="s">
        <v>4799</v>
      </c>
      <c r="M441" t="s">
        <v>225</v>
      </c>
      <c r="N441" t="s">
        <v>4800</v>
      </c>
      <c r="O441" t="s">
        <v>4801</v>
      </c>
      <c r="P441" t="s">
        <v>3064</v>
      </c>
      <c r="Q441" t="s">
        <v>4802</v>
      </c>
      <c r="R441" t="b">
        <v>0</v>
      </c>
      <c r="S441" t="s">
        <v>4363</v>
      </c>
    </row>
    <row r="442" spans="1:19" ht="11.25" customHeight="1">
      <c r="A442">
        <v>2655</v>
      </c>
      <c r="B442" t="s">
        <v>102</v>
      </c>
      <c r="C442">
        <v>31327477</v>
      </c>
      <c r="D442" t="s">
        <v>4803</v>
      </c>
      <c r="E442" t="s">
        <v>4804</v>
      </c>
      <c r="F442" t="s">
        <v>4805</v>
      </c>
      <c r="G442" t="s">
        <v>4806</v>
      </c>
      <c r="H442" t="s">
        <v>4807</v>
      </c>
      <c r="I442" t="s">
        <v>4808</v>
      </c>
      <c r="J442" t="s">
        <v>128</v>
      </c>
      <c r="K442" t="s">
        <v>225</v>
      </c>
      <c r="L442" t="s">
        <v>4809</v>
      </c>
      <c r="M442" t="s">
        <v>225</v>
      </c>
      <c r="N442" t="s">
        <v>225</v>
      </c>
      <c r="O442" t="s">
        <v>4810</v>
      </c>
      <c r="P442" t="s">
        <v>3007</v>
      </c>
      <c r="Q442" t="s">
        <v>225</v>
      </c>
      <c r="R442" t="b">
        <v>0</v>
      </c>
      <c r="S442" t="s">
        <v>4363</v>
      </c>
    </row>
    <row r="443" spans="1:19" ht="11.25" customHeight="1">
      <c r="A443">
        <v>2655</v>
      </c>
      <c r="B443" t="s">
        <v>102</v>
      </c>
      <c r="C443">
        <v>28469139</v>
      </c>
      <c r="D443" t="s">
        <v>4811</v>
      </c>
      <c r="E443" t="s">
        <v>4812</v>
      </c>
      <c r="F443" t="s">
        <v>4813</v>
      </c>
      <c r="G443" t="s">
        <v>2999</v>
      </c>
      <c r="H443" t="s">
        <v>4814</v>
      </c>
      <c r="I443" t="s">
        <v>4815</v>
      </c>
      <c r="K443" t="s">
        <v>4816</v>
      </c>
      <c r="L443" t="s">
        <v>4816</v>
      </c>
      <c r="M443" t="s">
        <v>4817</v>
      </c>
      <c r="N443" t="s">
        <v>225</v>
      </c>
      <c r="O443" t="s">
        <v>4818</v>
      </c>
      <c r="P443" t="s">
        <v>145</v>
      </c>
      <c r="Q443" t="s">
        <v>225</v>
      </c>
      <c r="R443" t="b">
        <v>0</v>
      </c>
      <c r="S443" t="s">
        <v>4363</v>
      </c>
    </row>
    <row r="444" spans="1:19" ht="11.25" customHeight="1">
      <c r="A444">
        <v>2655</v>
      </c>
      <c r="B444" t="s">
        <v>102</v>
      </c>
      <c r="C444">
        <v>30992391</v>
      </c>
      <c r="D444" t="s">
        <v>3491</v>
      </c>
      <c r="E444" t="s">
        <v>3492</v>
      </c>
      <c r="F444" t="s">
        <v>3493</v>
      </c>
      <c r="G444" t="s">
        <v>3115</v>
      </c>
      <c r="H444" t="s">
        <v>3494</v>
      </c>
      <c r="I444" t="s">
        <v>3495</v>
      </c>
      <c r="J444" t="s">
        <v>128</v>
      </c>
      <c r="K444" t="s">
        <v>3496</v>
      </c>
      <c r="L444" t="s">
        <v>3497</v>
      </c>
      <c r="M444" t="s">
        <v>3498</v>
      </c>
      <c r="N444" t="s">
        <v>3499</v>
      </c>
      <c r="O444" t="s">
        <v>3500</v>
      </c>
      <c r="P444" t="s">
        <v>145</v>
      </c>
      <c r="Q444" t="s">
        <v>3501</v>
      </c>
      <c r="R444" t="b">
        <v>0</v>
      </c>
      <c r="S444" t="s">
        <v>4363</v>
      </c>
    </row>
    <row r="445" spans="1:19" ht="11.25" customHeight="1">
      <c r="A445">
        <v>2655</v>
      </c>
      <c r="B445" t="s">
        <v>102</v>
      </c>
      <c r="C445">
        <v>27614748</v>
      </c>
      <c r="D445" t="s">
        <v>4819</v>
      </c>
      <c r="E445" t="s">
        <v>4820</v>
      </c>
      <c r="F445" t="s">
        <v>4821</v>
      </c>
      <c r="G445" t="s">
        <v>2999</v>
      </c>
      <c r="H445" t="s">
        <v>4822</v>
      </c>
      <c r="I445" t="s">
        <v>4823</v>
      </c>
      <c r="K445" t="s">
        <v>4824</v>
      </c>
      <c r="L445" t="s">
        <v>4824</v>
      </c>
      <c r="M445" t="s">
        <v>4825</v>
      </c>
      <c r="N445" t="s">
        <v>4826</v>
      </c>
      <c r="O445" t="s">
        <v>4258</v>
      </c>
      <c r="P445" t="s">
        <v>3064</v>
      </c>
      <c r="Q445" t="s">
        <v>225</v>
      </c>
      <c r="R445" t="b">
        <v>0</v>
      </c>
      <c r="S445" t="s">
        <v>4363</v>
      </c>
    </row>
    <row r="446" spans="1:19" ht="11.25" customHeight="1">
      <c r="A446">
        <v>2655</v>
      </c>
      <c r="B446" t="s">
        <v>102</v>
      </c>
      <c r="C446">
        <v>31618899</v>
      </c>
      <c r="D446" t="s">
        <v>4827</v>
      </c>
      <c r="E446" t="s">
        <v>4827</v>
      </c>
      <c r="F446" t="s">
        <v>4828</v>
      </c>
      <c r="G446" t="s">
        <v>4829</v>
      </c>
      <c r="H446" t="s">
        <v>4830</v>
      </c>
      <c r="I446" t="s">
        <v>225</v>
      </c>
      <c r="K446" t="s">
        <v>4831</v>
      </c>
      <c r="L446" t="s">
        <v>4832</v>
      </c>
      <c r="M446" t="s">
        <v>4833</v>
      </c>
      <c r="N446" t="s">
        <v>225</v>
      </c>
      <c r="O446" t="s">
        <v>225</v>
      </c>
      <c r="P446" t="s">
        <v>225</v>
      </c>
      <c r="Q446" t="s">
        <v>4834</v>
      </c>
      <c r="R446" t="b">
        <v>0</v>
      </c>
      <c r="S446" t="s">
        <v>4363</v>
      </c>
    </row>
    <row r="447" spans="1:19" ht="11.25" customHeight="1">
      <c r="A447">
        <v>2655</v>
      </c>
      <c r="B447" t="s">
        <v>102</v>
      </c>
      <c r="C447">
        <v>26356982</v>
      </c>
      <c r="D447" t="s">
        <v>4835</v>
      </c>
      <c r="E447" t="s">
        <v>4836</v>
      </c>
      <c r="F447" t="s">
        <v>4837</v>
      </c>
      <c r="G447" t="s">
        <v>3196</v>
      </c>
      <c r="H447" t="s">
        <v>4838</v>
      </c>
      <c r="I447" t="s">
        <v>4839</v>
      </c>
      <c r="J447" t="s">
        <v>128</v>
      </c>
      <c r="K447" t="s">
        <v>4840</v>
      </c>
      <c r="L447" t="s">
        <v>4840</v>
      </c>
      <c r="M447" t="s">
        <v>4841</v>
      </c>
      <c r="N447" t="s">
        <v>4842</v>
      </c>
      <c r="O447" t="s">
        <v>4843</v>
      </c>
      <c r="P447" t="s">
        <v>3041</v>
      </c>
      <c r="Q447" t="s">
        <v>4844</v>
      </c>
      <c r="R447" t="b">
        <v>0</v>
      </c>
      <c r="S447" t="s">
        <v>4363</v>
      </c>
    </row>
    <row r="448" spans="1:19" ht="11.25" customHeight="1">
      <c r="A448">
        <v>2655</v>
      </c>
      <c r="B448" t="s">
        <v>102</v>
      </c>
      <c r="C448">
        <v>31908312</v>
      </c>
      <c r="D448" t="s">
        <v>3502</v>
      </c>
      <c r="E448" t="s">
        <v>3513</v>
      </c>
      <c r="F448" t="s">
        <v>3504</v>
      </c>
      <c r="G448" t="s">
        <v>3505</v>
      </c>
      <c r="H448" t="s">
        <v>3506</v>
      </c>
      <c r="I448" t="s">
        <v>3507</v>
      </c>
      <c r="K448" t="s">
        <v>3514</v>
      </c>
      <c r="L448" t="s">
        <v>3514</v>
      </c>
      <c r="M448" t="s">
        <v>3515</v>
      </c>
      <c r="N448" t="s">
        <v>3516</v>
      </c>
      <c r="O448" t="s">
        <v>3517</v>
      </c>
      <c r="P448" t="s">
        <v>225</v>
      </c>
      <c r="Q448" t="s">
        <v>3518</v>
      </c>
      <c r="R448" t="b">
        <v>0</v>
      </c>
      <c r="S448" t="s">
        <v>4363</v>
      </c>
    </row>
    <row r="449" spans="1:19" ht="11.25" customHeight="1">
      <c r="A449">
        <v>2655</v>
      </c>
      <c r="B449" t="s">
        <v>102</v>
      </c>
      <c r="C449">
        <v>26835292</v>
      </c>
      <c r="D449" t="s">
        <v>4845</v>
      </c>
      <c r="E449" t="s">
        <v>4846</v>
      </c>
      <c r="F449" t="s">
        <v>4847</v>
      </c>
      <c r="G449" t="s">
        <v>3033</v>
      </c>
      <c r="H449" t="s">
        <v>4848</v>
      </c>
      <c r="I449" t="s">
        <v>4849</v>
      </c>
      <c r="J449" t="s">
        <v>3059</v>
      </c>
      <c r="K449" t="s">
        <v>4850</v>
      </c>
      <c r="L449" t="s">
        <v>4850</v>
      </c>
      <c r="M449" t="s">
        <v>4851</v>
      </c>
      <c r="N449" t="s">
        <v>4852</v>
      </c>
      <c r="O449" t="s">
        <v>4853</v>
      </c>
      <c r="P449" t="s">
        <v>3041</v>
      </c>
      <c r="Q449" t="s">
        <v>4854</v>
      </c>
      <c r="R449" t="b">
        <v>0</v>
      </c>
      <c r="S449" t="s">
        <v>4363</v>
      </c>
    </row>
    <row r="450" spans="1:19" ht="11.25" customHeight="1">
      <c r="A450">
        <v>2655</v>
      </c>
      <c r="B450" t="s">
        <v>102</v>
      </c>
      <c r="C450">
        <v>26319037</v>
      </c>
      <c r="D450" t="s">
        <v>4855</v>
      </c>
      <c r="E450" t="s">
        <v>4856</v>
      </c>
      <c r="F450" t="s">
        <v>4857</v>
      </c>
      <c r="G450" t="s">
        <v>2999</v>
      </c>
      <c r="H450" t="s">
        <v>4858</v>
      </c>
      <c r="I450" t="s">
        <v>4859</v>
      </c>
      <c r="J450" t="s">
        <v>3059</v>
      </c>
      <c r="K450" t="s">
        <v>4860</v>
      </c>
      <c r="L450" t="s">
        <v>4860</v>
      </c>
      <c r="M450" t="s">
        <v>4861</v>
      </c>
      <c r="N450" t="s">
        <v>4862</v>
      </c>
      <c r="O450" t="s">
        <v>4863</v>
      </c>
      <c r="P450" t="s">
        <v>3064</v>
      </c>
      <c r="Q450" t="s">
        <v>4864</v>
      </c>
      <c r="R450" t="b">
        <v>0</v>
      </c>
      <c r="S450" t="s">
        <v>4363</v>
      </c>
    </row>
    <row r="451" spans="1:19" ht="11.25" customHeight="1">
      <c r="A451">
        <v>2655</v>
      </c>
      <c r="B451" t="s">
        <v>102</v>
      </c>
      <c r="C451">
        <v>27954259</v>
      </c>
      <c r="D451" t="s">
        <v>4865</v>
      </c>
      <c r="E451" t="s">
        <v>4866</v>
      </c>
      <c r="F451" t="s">
        <v>4867</v>
      </c>
      <c r="G451" t="s">
        <v>4868</v>
      </c>
      <c r="H451" t="s">
        <v>4869</v>
      </c>
      <c r="I451" t="s">
        <v>225</v>
      </c>
      <c r="J451" t="s">
        <v>3059</v>
      </c>
      <c r="K451" t="s">
        <v>4870</v>
      </c>
      <c r="L451" t="s">
        <v>4870</v>
      </c>
      <c r="M451" t="s">
        <v>225</v>
      </c>
      <c r="N451" t="s">
        <v>225</v>
      </c>
      <c r="O451" t="s">
        <v>4871</v>
      </c>
      <c r="P451" t="s">
        <v>3007</v>
      </c>
      <c r="Q451" t="s">
        <v>225</v>
      </c>
      <c r="R451" t="b">
        <v>0</v>
      </c>
      <c r="S451" t="s">
        <v>4363</v>
      </c>
    </row>
    <row r="452" spans="1:19" ht="11.25" customHeight="1">
      <c r="A452">
        <v>2655</v>
      </c>
      <c r="B452" t="s">
        <v>102</v>
      </c>
      <c r="C452">
        <v>26519663</v>
      </c>
      <c r="D452" t="s">
        <v>4317</v>
      </c>
      <c r="E452" t="s">
        <v>4318</v>
      </c>
      <c r="F452" t="s">
        <v>4319</v>
      </c>
      <c r="G452" t="s">
        <v>3187</v>
      </c>
      <c r="H452" t="s">
        <v>4320</v>
      </c>
      <c r="I452" t="s">
        <v>4321</v>
      </c>
      <c r="J452" t="s">
        <v>3059</v>
      </c>
      <c r="K452" t="s">
        <v>4322</v>
      </c>
      <c r="L452" t="s">
        <v>4322</v>
      </c>
      <c r="M452" t="s">
        <v>4323</v>
      </c>
      <c r="N452" t="s">
        <v>4324</v>
      </c>
      <c r="O452" t="s">
        <v>4325</v>
      </c>
      <c r="P452" t="s">
        <v>3041</v>
      </c>
      <c r="Q452" t="s">
        <v>4326</v>
      </c>
      <c r="R452" t="b">
        <v>0</v>
      </c>
      <c r="S452" t="s">
        <v>4363</v>
      </c>
    </row>
    <row r="453" spans="1:19" ht="11.25" customHeight="1">
      <c r="A453">
        <v>2655</v>
      </c>
      <c r="B453" t="s">
        <v>102</v>
      </c>
      <c r="C453">
        <v>30906887</v>
      </c>
      <c r="D453" t="s">
        <v>4872</v>
      </c>
      <c r="E453" t="s">
        <v>4872</v>
      </c>
      <c r="F453" t="s">
        <v>4873</v>
      </c>
      <c r="G453" t="s">
        <v>4344</v>
      </c>
      <c r="H453" t="s">
        <v>4874</v>
      </c>
      <c r="I453" t="s">
        <v>225</v>
      </c>
      <c r="J453" t="s">
        <v>128</v>
      </c>
      <c r="K453" t="s">
        <v>225</v>
      </c>
      <c r="L453" t="s">
        <v>4875</v>
      </c>
      <c r="M453" t="s">
        <v>225</v>
      </c>
      <c r="N453" t="s">
        <v>225</v>
      </c>
      <c r="O453" t="s">
        <v>4876</v>
      </c>
      <c r="P453" t="s">
        <v>4877</v>
      </c>
      <c r="Q453" t="s">
        <v>225</v>
      </c>
      <c r="R453" t="b">
        <v>0</v>
      </c>
      <c r="S453" t="s">
        <v>4363</v>
      </c>
    </row>
    <row r="454" spans="1:19" ht="11.25" customHeight="1">
      <c r="A454">
        <v>2655</v>
      </c>
      <c r="B454" t="s">
        <v>102</v>
      </c>
      <c r="C454">
        <v>27196237</v>
      </c>
      <c r="D454" t="s">
        <v>4878</v>
      </c>
      <c r="E454" t="s">
        <v>4879</v>
      </c>
      <c r="F454" t="s">
        <v>4880</v>
      </c>
      <c r="G454" t="s">
        <v>4881</v>
      </c>
      <c r="H454" t="s">
        <v>4882</v>
      </c>
      <c r="I454" t="s">
        <v>4883</v>
      </c>
      <c r="J454" t="s">
        <v>2987</v>
      </c>
      <c r="K454" t="s">
        <v>4884</v>
      </c>
      <c r="L454" t="s">
        <v>4884</v>
      </c>
      <c r="M454" t="s">
        <v>4885</v>
      </c>
      <c r="N454" t="s">
        <v>4886</v>
      </c>
      <c r="O454" t="s">
        <v>225</v>
      </c>
      <c r="P454" t="s">
        <v>4454</v>
      </c>
      <c r="Q454" t="s">
        <v>151</v>
      </c>
      <c r="R454" t="b">
        <v>0</v>
      </c>
      <c r="S454" t="s">
        <v>4363</v>
      </c>
    </row>
    <row r="455" spans="1:19" ht="11.25" customHeight="1">
      <c r="A455">
        <v>2655</v>
      </c>
      <c r="B455" t="s">
        <v>102</v>
      </c>
      <c r="C455">
        <v>26322882</v>
      </c>
      <c r="D455" t="s">
        <v>4887</v>
      </c>
      <c r="E455" t="s">
        <v>4888</v>
      </c>
      <c r="F455" t="s">
        <v>4889</v>
      </c>
      <c r="G455" t="s">
        <v>4890</v>
      </c>
      <c r="H455" t="s">
        <v>4891</v>
      </c>
      <c r="I455" t="s">
        <v>4892</v>
      </c>
      <c r="J455" t="s">
        <v>3524</v>
      </c>
      <c r="K455" t="s">
        <v>4893</v>
      </c>
      <c r="L455" t="s">
        <v>4894</v>
      </c>
      <c r="M455" t="s">
        <v>4895</v>
      </c>
      <c r="N455" t="s">
        <v>4896</v>
      </c>
      <c r="O455" t="s">
        <v>4897</v>
      </c>
      <c r="P455" t="s">
        <v>4898</v>
      </c>
      <c r="Q455" t="s">
        <v>4899</v>
      </c>
      <c r="R455" t="b">
        <v>0</v>
      </c>
      <c r="S455" t="s">
        <v>4363</v>
      </c>
    </row>
    <row r="456" spans="1:19" ht="11.25" customHeight="1">
      <c r="A456">
        <v>2655</v>
      </c>
      <c r="B456" t="s">
        <v>102</v>
      </c>
      <c r="C456">
        <v>27269797</v>
      </c>
      <c r="D456" t="s">
        <v>4900</v>
      </c>
      <c r="E456" t="s">
        <v>225</v>
      </c>
      <c r="F456" t="s">
        <v>4880</v>
      </c>
      <c r="G456" t="s">
        <v>4901</v>
      </c>
      <c r="H456" t="s">
        <v>4882</v>
      </c>
      <c r="I456" t="s">
        <v>4902</v>
      </c>
      <c r="J456" t="s">
        <v>3059</v>
      </c>
      <c r="K456" t="s">
        <v>4903</v>
      </c>
      <c r="L456" t="s">
        <v>4904</v>
      </c>
      <c r="M456" t="s">
        <v>4905</v>
      </c>
      <c r="N456" t="s">
        <v>4906</v>
      </c>
      <c r="O456" t="s">
        <v>4907</v>
      </c>
      <c r="P456" t="s">
        <v>225</v>
      </c>
      <c r="Q456" t="s">
        <v>4908</v>
      </c>
      <c r="R456" t="b">
        <v>0</v>
      </c>
      <c r="S456" t="s">
        <v>4363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9865C-AE9F-E2F8-3818-078562AC1598}">
  <sheetPr>
    <tabColor rgb="FFFFCC99"/>
  </sheetPr>
  <dimension ref="A1:DE11"/>
  <sheetViews>
    <sheetView showGridLines="0" workbookViewId="0"/>
  </sheetViews>
  <sheetFormatPr defaultRowHeight="11.25" customHeight="1"/>
  <cols>
    <col min="1" max="1" width="23.140625" style="23" customWidth="1"/>
  </cols>
  <sheetData>
    <row r="1" spans="1:109" ht="11.25" customHeight="1">
      <c r="A1" s="23" t="s">
        <v>4909</v>
      </c>
      <c r="B1" t="s">
        <v>4910</v>
      </c>
      <c r="C1" t="s">
        <v>4911</v>
      </c>
      <c r="D1" t="s">
        <v>4912</v>
      </c>
      <c r="E1" t="s">
        <v>4913</v>
      </c>
      <c r="F1" t="s">
        <v>4914</v>
      </c>
      <c r="G1" t="s">
        <v>4915</v>
      </c>
      <c r="H1" t="s">
        <v>4916</v>
      </c>
      <c r="I1" t="s">
        <v>4917</v>
      </c>
      <c r="J1" t="s">
        <v>4918</v>
      </c>
      <c r="K1" t="s">
        <v>4919</v>
      </c>
      <c r="L1" t="s">
        <v>4920</v>
      </c>
      <c r="M1" t="s">
        <v>4921</v>
      </c>
      <c r="N1" t="s">
        <v>4922</v>
      </c>
      <c r="O1" t="s">
        <v>4923</v>
      </c>
      <c r="P1" t="s">
        <v>4924</v>
      </c>
      <c r="Q1" t="s">
        <v>4925</v>
      </c>
      <c r="R1" t="s">
        <v>4926</v>
      </c>
      <c r="S1" t="s">
        <v>4927</v>
      </c>
      <c r="T1" t="s">
        <v>4928</v>
      </c>
      <c r="U1" t="s">
        <v>4929</v>
      </c>
      <c r="V1" t="s">
        <v>4930</v>
      </c>
      <c r="W1" t="s">
        <v>4931</v>
      </c>
      <c r="X1" t="s">
        <v>350</v>
      </c>
      <c r="Y1" t="s">
        <v>4932</v>
      </c>
      <c r="Z1" t="s">
        <v>4933</v>
      </c>
      <c r="AA1" t="s">
        <v>4934</v>
      </c>
      <c r="AB1" t="s">
        <v>4935</v>
      </c>
      <c r="AC1" t="s">
        <v>4936</v>
      </c>
      <c r="AD1" t="s">
        <v>4937</v>
      </c>
      <c r="AE1" t="s">
        <v>4938</v>
      </c>
      <c r="AF1" t="s">
        <v>4939</v>
      </c>
      <c r="AG1" t="s">
        <v>4940</v>
      </c>
      <c r="AH1" t="s">
        <v>4941</v>
      </c>
      <c r="AI1" t="s">
        <v>4942</v>
      </c>
      <c r="AJ1" t="s">
        <v>4943</v>
      </c>
      <c r="AK1" t="s">
        <v>4944</v>
      </c>
      <c r="AL1" t="s">
        <v>4945</v>
      </c>
      <c r="AM1" t="s">
        <v>4946</v>
      </c>
      <c r="AN1" t="s">
        <v>4947</v>
      </c>
      <c r="AO1" t="s">
        <v>4948</v>
      </c>
      <c r="AP1" t="s">
        <v>4949</v>
      </c>
      <c r="AQ1" t="s">
        <v>4950</v>
      </c>
      <c r="AR1" t="s">
        <v>4951</v>
      </c>
      <c r="AS1" t="s">
        <v>4952</v>
      </c>
      <c r="AT1" t="s">
        <v>4953</v>
      </c>
      <c r="AU1" t="s">
        <v>4954</v>
      </c>
      <c r="AV1" t="s">
        <v>4955</v>
      </c>
      <c r="AW1" t="s">
        <v>4956</v>
      </c>
      <c r="AX1" t="s">
        <v>4957</v>
      </c>
      <c r="AY1" t="s">
        <v>4958</v>
      </c>
      <c r="AZ1" t="s">
        <v>4959</v>
      </c>
      <c r="BA1" t="s">
        <v>4960</v>
      </c>
      <c r="BB1" t="s">
        <v>4961</v>
      </c>
      <c r="BC1" t="s">
        <v>4962</v>
      </c>
      <c r="BD1" t="s">
        <v>4963</v>
      </c>
      <c r="BE1" t="s">
        <v>4964</v>
      </c>
      <c r="BF1" t="s">
        <v>4965</v>
      </c>
      <c r="BG1" t="s">
        <v>4966</v>
      </c>
      <c r="BH1" t="s">
        <v>4967</v>
      </c>
      <c r="BI1" t="s">
        <v>4968</v>
      </c>
      <c r="BJ1" t="s">
        <v>4969</v>
      </c>
      <c r="BK1" t="s">
        <v>4970</v>
      </c>
      <c r="BL1" t="s">
        <v>4971</v>
      </c>
      <c r="BM1" t="s">
        <v>4972</v>
      </c>
      <c r="BN1" t="s">
        <v>4973</v>
      </c>
      <c r="BO1" t="s">
        <v>4974</v>
      </c>
      <c r="BP1" t="s">
        <v>4975</v>
      </c>
      <c r="BQ1" t="s">
        <v>4976</v>
      </c>
      <c r="BR1" t="s">
        <v>4977</v>
      </c>
      <c r="BS1" t="s">
        <v>4978</v>
      </c>
      <c r="BT1" t="s">
        <v>4979</v>
      </c>
      <c r="BU1" t="s">
        <v>4980</v>
      </c>
      <c r="BV1" t="s">
        <v>4981</v>
      </c>
      <c r="BW1" t="s">
        <v>4982</v>
      </c>
      <c r="BX1" t="s">
        <v>4983</v>
      </c>
      <c r="BY1" t="s">
        <v>4984</v>
      </c>
      <c r="BZ1" t="s">
        <v>4985</v>
      </c>
      <c r="CA1" t="s">
        <v>4986</v>
      </c>
      <c r="CB1" t="s">
        <v>4987</v>
      </c>
      <c r="CC1" t="s">
        <v>4988</v>
      </c>
      <c r="CD1" t="s">
        <v>4989</v>
      </c>
      <c r="CE1" t="s">
        <v>4990</v>
      </c>
      <c r="CF1" t="s">
        <v>4991</v>
      </c>
      <c r="CG1" t="s">
        <v>4992</v>
      </c>
      <c r="CH1" t="s">
        <v>4993</v>
      </c>
      <c r="CI1" t="s">
        <v>4994</v>
      </c>
      <c r="CJ1" t="s">
        <v>4995</v>
      </c>
      <c r="CK1" t="s">
        <v>4996</v>
      </c>
      <c r="CL1" t="s">
        <v>4997</v>
      </c>
      <c r="CM1" t="s">
        <v>4998</v>
      </c>
      <c r="CN1" t="s">
        <v>4999</v>
      </c>
      <c r="CO1" t="s">
        <v>5000</v>
      </c>
      <c r="CP1" t="s">
        <v>5001</v>
      </c>
      <c r="CQ1" t="s">
        <v>5002</v>
      </c>
      <c r="CR1" t="s">
        <v>5003</v>
      </c>
      <c r="CS1" t="s">
        <v>5004</v>
      </c>
      <c r="CT1" t="s">
        <v>5005</v>
      </c>
      <c r="CU1" t="s">
        <v>5006</v>
      </c>
      <c r="CV1" t="s">
        <v>5007</v>
      </c>
      <c r="CW1" t="s">
        <v>5008</v>
      </c>
      <c r="CX1" t="s">
        <v>5009</v>
      </c>
      <c r="CY1" t="s">
        <v>5010</v>
      </c>
      <c r="CZ1" t="s">
        <v>5011</v>
      </c>
      <c r="DA1" t="s">
        <v>5012</v>
      </c>
      <c r="DB1" t="s">
        <v>5013</v>
      </c>
      <c r="DC1" t="s">
        <v>5014</v>
      </c>
      <c r="DD1" t="s">
        <v>1616</v>
      </c>
      <c r="DE1" t="s">
        <v>5015</v>
      </c>
    </row>
    <row r="2" spans="1:109" ht="11.25" customHeight="1">
      <c r="A2" s="23" t="s">
        <v>225</v>
      </c>
      <c r="B2" t="s">
        <v>225</v>
      </c>
      <c r="C2" t="s">
        <v>225</v>
      </c>
      <c r="D2" t="s">
        <v>225</v>
      </c>
      <c r="E2" t="s">
        <v>225</v>
      </c>
      <c r="F2" t="s">
        <v>225</v>
      </c>
      <c r="G2" t="s">
        <v>225</v>
      </c>
      <c r="H2" t="s">
        <v>225</v>
      </c>
      <c r="I2" t="s">
        <v>5016</v>
      </c>
      <c r="J2" t="s">
        <v>225</v>
      </c>
      <c r="K2" t="s">
        <v>225</v>
      </c>
      <c r="L2" t="s">
        <v>225</v>
      </c>
      <c r="M2" t="s">
        <v>225</v>
      </c>
      <c r="N2" t="s">
        <v>225</v>
      </c>
      <c r="O2" t="s">
        <v>225</v>
      </c>
      <c r="P2" t="s">
        <v>225</v>
      </c>
      <c r="Q2" t="s">
        <v>225</v>
      </c>
      <c r="R2" t="s">
        <v>419</v>
      </c>
      <c r="S2" t="s">
        <v>225</v>
      </c>
      <c r="T2" t="s">
        <v>225</v>
      </c>
      <c r="U2" t="s">
        <v>102</v>
      </c>
      <c r="V2" t="s">
        <v>225</v>
      </c>
      <c r="W2" t="s">
        <v>225</v>
      </c>
      <c r="X2" t="s">
        <v>5017</v>
      </c>
      <c r="Y2" t="s">
        <v>225</v>
      </c>
      <c r="Z2" t="s">
        <v>160</v>
      </c>
      <c r="AA2" t="s">
        <v>151</v>
      </c>
      <c r="AB2" t="s">
        <v>160</v>
      </c>
      <c r="AC2" t="s">
        <v>347</v>
      </c>
      <c r="AD2" t="s">
        <v>347</v>
      </c>
      <c r="AE2" t="s">
        <v>348</v>
      </c>
      <c r="AF2" t="s">
        <v>5018</v>
      </c>
      <c r="AG2" t="s">
        <v>5019</v>
      </c>
      <c r="AH2" t="s">
        <v>5020</v>
      </c>
      <c r="AI2" t="s">
        <v>366</v>
      </c>
      <c r="AJ2" t="s">
        <v>5021</v>
      </c>
      <c r="AK2" t="s">
        <v>5022</v>
      </c>
      <c r="AL2" t="s">
        <v>5023</v>
      </c>
      <c r="AM2" t="s">
        <v>5024</v>
      </c>
      <c r="AN2" t="s">
        <v>5025</v>
      </c>
      <c r="AO2" t="s">
        <v>5026</v>
      </c>
      <c r="AP2" t="s">
        <v>225</v>
      </c>
      <c r="AQ2" t="s">
        <v>225</v>
      </c>
      <c r="AR2" t="s">
        <v>225</v>
      </c>
      <c r="AS2" t="s">
        <v>225</v>
      </c>
      <c r="AT2" t="s">
        <v>225</v>
      </c>
      <c r="AU2" t="s">
        <v>225</v>
      </c>
      <c r="AV2" t="s">
        <v>225</v>
      </c>
      <c r="AW2" t="s">
        <v>225</v>
      </c>
      <c r="AX2" t="s">
        <v>225</v>
      </c>
      <c r="AY2" t="s">
        <v>225</v>
      </c>
      <c r="AZ2" t="s">
        <v>225</v>
      </c>
      <c r="BA2" t="s">
        <v>225</v>
      </c>
      <c r="BB2" t="s">
        <v>225</v>
      </c>
      <c r="BC2" t="s">
        <v>225</v>
      </c>
      <c r="BD2" t="s">
        <v>225</v>
      </c>
      <c r="BE2" t="s">
        <v>5021</v>
      </c>
      <c r="BF2" t="s">
        <v>5022</v>
      </c>
      <c r="BG2" t="s">
        <v>225</v>
      </c>
      <c r="BH2" t="s">
        <v>225</v>
      </c>
      <c r="BI2" t="s">
        <v>225</v>
      </c>
      <c r="BJ2" t="s">
        <v>225</v>
      </c>
      <c r="BK2" t="s">
        <v>225</v>
      </c>
      <c r="BL2" t="s">
        <v>225</v>
      </c>
      <c r="BM2" t="s">
        <v>225</v>
      </c>
      <c r="BN2" t="s">
        <v>225</v>
      </c>
      <c r="BO2" t="s">
        <v>225</v>
      </c>
      <c r="BP2" t="s">
        <v>225</v>
      </c>
      <c r="BQ2" t="s">
        <v>225</v>
      </c>
      <c r="BR2" t="s">
        <v>225</v>
      </c>
      <c r="BS2" t="s">
        <v>225</v>
      </c>
      <c r="BT2" t="s">
        <v>5027</v>
      </c>
      <c r="BU2" t="s">
        <v>5028</v>
      </c>
      <c r="BV2" t="s">
        <v>5029</v>
      </c>
      <c r="BW2" t="s">
        <v>5030</v>
      </c>
      <c r="BX2" t="s">
        <v>5031</v>
      </c>
      <c r="BY2" t="s">
        <v>5031</v>
      </c>
      <c r="BZ2" t="s">
        <v>5031</v>
      </c>
      <c r="CA2" t="s">
        <v>5031</v>
      </c>
      <c r="CB2" t="s">
        <v>225</v>
      </c>
      <c r="CC2" t="s">
        <v>225</v>
      </c>
      <c r="CD2" t="s">
        <v>225</v>
      </c>
      <c r="CE2" t="s">
        <v>225</v>
      </c>
      <c r="CF2" t="s">
        <v>225</v>
      </c>
      <c r="CG2" t="s">
        <v>5031</v>
      </c>
      <c r="CH2" t="s">
        <v>225</v>
      </c>
      <c r="CI2" t="s">
        <v>225</v>
      </c>
      <c r="CJ2" t="s">
        <v>225</v>
      </c>
      <c r="CK2" t="s">
        <v>225</v>
      </c>
      <c r="CL2" t="s">
        <v>225</v>
      </c>
      <c r="CM2" t="s">
        <v>5028</v>
      </c>
      <c r="CN2" t="s">
        <v>5029</v>
      </c>
      <c r="CO2" t="s">
        <v>5030</v>
      </c>
      <c r="CP2" t="s">
        <v>225</v>
      </c>
      <c r="CQ2" t="s">
        <v>225</v>
      </c>
      <c r="CR2" t="s">
        <v>225</v>
      </c>
      <c r="CS2" t="s">
        <v>5025</v>
      </c>
      <c r="CT2" t="s">
        <v>5032</v>
      </c>
      <c r="CU2" t="s">
        <v>5033</v>
      </c>
      <c r="CV2" t="s">
        <v>421</v>
      </c>
      <c r="CW2" t="s">
        <v>5034</v>
      </c>
      <c r="CX2" t="s">
        <v>422</v>
      </c>
      <c r="CY2" t="s">
        <v>421</v>
      </c>
      <c r="CZ2" t="s">
        <v>423</v>
      </c>
      <c r="DA2" t="s">
        <v>424</v>
      </c>
      <c r="DB2" t="s">
        <v>5034</v>
      </c>
      <c r="DC2" t="s">
        <v>366</v>
      </c>
      <c r="DD2" t="s">
        <v>276</v>
      </c>
      <c r="DE2" t="s">
        <v>420</v>
      </c>
    </row>
    <row r="3" spans="1:109" ht="11.25" customHeight="1">
      <c r="A3" s="23" t="s">
        <v>225</v>
      </c>
      <c r="B3" t="s">
        <v>225</v>
      </c>
      <c r="C3" t="s">
        <v>225</v>
      </c>
      <c r="D3" t="s">
        <v>225</v>
      </c>
      <c r="E3" t="s">
        <v>225</v>
      </c>
      <c r="F3" t="s">
        <v>225</v>
      </c>
      <c r="G3" t="s">
        <v>225</v>
      </c>
      <c r="H3" t="s">
        <v>225</v>
      </c>
      <c r="I3" t="s">
        <v>5016</v>
      </c>
      <c r="J3" t="s">
        <v>225</v>
      </c>
      <c r="K3" t="s">
        <v>225</v>
      </c>
      <c r="L3" t="s">
        <v>225</v>
      </c>
      <c r="M3" t="s">
        <v>225</v>
      </c>
      <c r="N3" t="s">
        <v>225</v>
      </c>
      <c r="O3" t="s">
        <v>225</v>
      </c>
      <c r="P3" t="s">
        <v>225</v>
      </c>
      <c r="Q3" t="s">
        <v>225</v>
      </c>
      <c r="R3" t="s">
        <v>429</v>
      </c>
      <c r="S3" t="s">
        <v>225</v>
      </c>
      <c r="T3" t="s">
        <v>225</v>
      </c>
      <c r="U3" t="s">
        <v>102</v>
      </c>
      <c r="V3" t="s">
        <v>225</v>
      </c>
      <c r="W3" t="s">
        <v>225</v>
      </c>
      <c r="X3" t="s">
        <v>5017</v>
      </c>
      <c r="Y3" t="s">
        <v>225</v>
      </c>
      <c r="Z3" t="s">
        <v>160</v>
      </c>
      <c r="AA3" t="s">
        <v>151</v>
      </c>
      <c r="AB3" t="s">
        <v>160</v>
      </c>
      <c r="AC3" t="s">
        <v>347</v>
      </c>
      <c r="AD3" t="s">
        <v>347</v>
      </c>
      <c r="AE3" t="s">
        <v>348</v>
      </c>
      <c r="AF3" t="s">
        <v>5018</v>
      </c>
      <c r="AG3" t="s">
        <v>5019</v>
      </c>
      <c r="AH3" t="s">
        <v>5035</v>
      </c>
      <c r="AI3" t="s">
        <v>5036</v>
      </c>
      <c r="AJ3" t="s">
        <v>5037</v>
      </c>
      <c r="AK3" t="s">
        <v>5038</v>
      </c>
      <c r="AL3" t="s">
        <v>5039</v>
      </c>
      <c r="AM3" t="s">
        <v>5024</v>
      </c>
      <c r="AN3" t="s">
        <v>5040</v>
      </c>
      <c r="AO3" t="s">
        <v>5041</v>
      </c>
      <c r="AP3" t="s">
        <v>225</v>
      </c>
      <c r="AQ3" t="s">
        <v>225</v>
      </c>
      <c r="AR3" t="s">
        <v>225</v>
      </c>
      <c r="AS3" t="s">
        <v>225</v>
      </c>
      <c r="AT3" t="s">
        <v>225</v>
      </c>
      <c r="AU3" t="s">
        <v>225</v>
      </c>
      <c r="AV3" t="s">
        <v>225</v>
      </c>
      <c r="AW3" t="s">
        <v>225</v>
      </c>
      <c r="AX3" t="s">
        <v>225</v>
      </c>
      <c r="AY3" t="s">
        <v>225</v>
      </c>
      <c r="AZ3" t="s">
        <v>225</v>
      </c>
      <c r="BA3" t="s">
        <v>225</v>
      </c>
      <c r="BB3" t="s">
        <v>225</v>
      </c>
      <c r="BC3" t="s">
        <v>225</v>
      </c>
      <c r="BD3" t="s">
        <v>225</v>
      </c>
      <c r="BE3" t="s">
        <v>5037</v>
      </c>
      <c r="BF3" t="s">
        <v>5038</v>
      </c>
      <c r="BG3" t="s">
        <v>225</v>
      </c>
      <c r="BH3" t="s">
        <v>225</v>
      </c>
      <c r="BI3" t="s">
        <v>225</v>
      </c>
      <c r="BJ3" t="s">
        <v>225</v>
      </c>
      <c r="BK3" t="s">
        <v>225</v>
      </c>
      <c r="BL3" t="s">
        <v>225</v>
      </c>
      <c r="BM3" t="s">
        <v>225</v>
      </c>
      <c r="BN3" t="s">
        <v>225</v>
      </c>
      <c r="BO3" t="s">
        <v>225</v>
      </c>
      <c r="BP3" t="s">
        <v>225</v>
      </c>
      <c r="BQ3" t="s">
        <v>225</v>
      </c>
      <c r="BR3" t="s">
        <v>225</v>
      </c>
      <c r="BS3" t="s">
        <v>225</v>
      </c>
      <c r="BT3" t="s">
        <v>5027</v>
      </c>
      <c r="BU3" t="s">
        <v>5042</v>
      </c>
      <c r="BV3" t="s">
        <v>5042</v>
      </c>
      <c r="BW3" t="s">
        <v>5031</v>
      </c>
      <c r="BX3" t="s">
        <v>5031</v>
      </c>
      <c r="BY3" t="s">
        <v>5031</v>
      </c>
      <c r="BZ3" t="s">
        <v>5031</v>
      </c>
      <c r="CA3" t="s">
        <v>5031</v>
      </c>
      <c r="CB3" t="s">
        <v>225</v>
      </c>
      <c r="CC3" t="s">
        <v>225</v>
      </c>
      <c r="CD3" t="s">
        <v>225</v>
      </c>
      <c r="CE3" t="s">
        <v>225</v>
      </c>
      <c r="CF3" t="s">
        <v>225</v>
      </c>
      <c r="CG3" t="s">
        <v>5031</v>
      </c>
      <c r="CH3" t="s">
        <v>225</v>
      </c>
      <c r="CI3" t="s">
        <v>225</v>
      </c>
      <c r="CJ3" t="s">
        <v>225</v>
      </c>
      <c r="CK3" t="s">
        <v>225</v>
      </c>
      <c r="CL3" t="s">
        <v>225</v>
      </c>
      <c r="CM3" t="s">
        <v>5042</v>
      </c>
      <c r="CN3" t="s">
        <v>5042</v>
      </c>
      <c r="CO3" t="s">
        <v>225</v>
      </c>
      <c r="CP3" t="s">
        <v>225</v>
      </c>
      <c r="CQ3" t="s">
        <v>225</v>
      </c>
      <c r="CR3" t="s">
        <v>225</v>
      </c>
      <c r="CS3" t="s">
        <v>5040</v>
      </c>
      <c r="CT3" t="s">
        <v>5032</v>
      </c>
      <c r="CU3" t="s">
        <v>5033</v>
      </c>
      <c r="CV3" t="s">
        <v>421</v>
      </c>
      <c r="CW3" t="s">
        <v>5034</v>
      </c>
      <c r="CX3" t="s">
        <v>422</v>
      </c>
      <c r="CY3" t="s">
        <v>421</v>
      </c>
      <c r="CZ3" t="s">
        <v>423</v>
      </c>
      <c r="DA3" t="s">
        <v>424</v>
      </c>
      <c r="DB3" t="s">
        <v>5034</v>
      </c>
      <c r="DC3" t="s">
        <v>366</v>
      </c>
      <c r="DD3" t="s">
        <v>276</v>
      </c>
      <c r="DE3" t="s">
        <v>430</v>
      </c>
    </row>
    <row r="4" spans="1:109" ht="11.25" customHeight="1">
      <c r="A4" s="23" t="s">
        <v>225</v>
      </c>
      <c r="B4" t="s">
        <v>225</v>
      </c>
      <c r="C4" t="s">
        <v>225</v>
      </c>
      <c r="D4" t="s">
        <v>225</v>
      </c>
      <c r="E4" t="s">
        <v>225</v>
      </c>
      <c r="F4" t="s">
        <v>225</v>
      </c>
      <c r="G4" t="s">
        <v>225</v>
      </c>
      <c r="H4" t="s">
        <v>225</v>
      </c>
      <c r="I4" t="s">
        <v>5016</v>
      </c>
      <c r="J4" t="s">
        <v>225</v>
      </c>
      <c r="K4" t="s">
        <v>225</v>
      </c>
      <c r="L4" t="s">
        <v>225</v>
      </c>
      <c r="M4" t="s">
        <v>225</v>
      </c>
      <c r="N4" t="s">
        <v>225</v>
      </c>
      <c r="O4" t="s">
        <v>225</v>
      </c>
      <c r="P4" t="s">
        <v>225</v>
      </c>
      <c r="Q4" t="s">
        <v>225</v>
      </c>
      <c r="R4" t="s">
        <v>431</v>
      </c>
      <c r="S4" t="s">
        <v>225</v>
      </c>
      <c r="T4" t="s">
        <v>225</v>
      </c>
      <c r="U4" t="s">
        <v>102</v>
      </c>
      <c r="V4" t="s">
        <v>225</v>
      </c>
      <c r="W4" t="s">
        <v>225</v>
      </c>
      <c r="X4" t="s">
        <v>5017</v>
      </c>
      <c r="Y4" t="s">
        <v>225</v>
      </c>
      <c r="Z4" t="s">
        <v>160</v>
      </c>
      <c r="AA4" t="s">
        <v>151</v>
      </c>
      <c r="AB4" t="s">
        <v>160</v>
      </c>
      <c r="AC4" t="s">
        <v>347</v>
      </c>
      <c r="AD4" t="s">
        <v>347</v>
      </c>
      <c r="AE4" t="s">
        <v>348</v>
      </c>
      <c r="AF4" t="s">
        <v>5018</v>
      </c>
      <c r="AG4" t="s">
        <v>5019</v>
      </c>
      <c r="AH4" t="s">
        <v>5043</v>
      </c>
      <c r="AI4" t="s">
        <v>5044</v>
      </c>
      <c r="AJ4" t="s">
        <v>5045</v>
      </c>
      <c r="AK4" t="s">
        <v>5046</v>
      </c>
      <c r="AL4" t="s">
        <v>5023</v>
      </c>
      <c r="AM4" t="s">
        <v>5024</v>
      </c>
      <c r="AN4" t="s">
        <v>5047</v>
      </c>
      <c r="AO4" t="s">
        <v>5048</v>
      </c>
      <c r="AP4" t="s">
        <v>225</v>
      </c>
      <c r="AQ4" t="s">
        <v>225</v>
      </c>
      <c r="AR4" t="s">
        <v>225</v>
      </c>
      <c r="AS4" t="s">
        <v>225</v>
      </c>
      <c r="AT4" t="s">
        <v>225</v>
      </c>
      <c r="AU4" t="s">
        <v>225</v>
      </c>
      <c r="AV4" t="s">
        <v>225</v>
      </c>
      <c r="AW4" t="s">
        <v>225</v>
      </c>
      <c r="AX4" t="s">
        <v>225</v>
      </c>
      <c r="AY4" t="s">
        <v>225</v>
      </c>
      <c r="AZ4" t="s">
        <v>225</v>
      </c>
      <c r="BA4" t="s">
        <v>225</v>
      </c>
      <c r="BB4" t="s">
        <v>225</v>
      </c>
      <c r="BC4" t="s">
        <v>225</v>
      </c>
      <c r="BD4" t="s">
        <v>225</v>
      </c>
      <c r="BE4" t="s">
        <v>5045</v>
      </c>
      <c r="BF4" t="s">
        <v>5046</v>
      </c>
      <c r="BG4" t="s">
        <v>225</v>
      </c>
      <c r="BH4" t="s">
        <v>225</v>
      </c>
      <c r="BI4" t="s">
        <v>225</v>
      </c>
      <c r="BJ4" t="s">
        <v>225</v>
      </c>
      <c r="BK4" t="s">
        <v>225</v>
      </c>
      <c r="BL4" t="s">
        <v>225</v>
      </c>
      <c r="BM4" t="s">
        <v>225</v>
      </c>
      <c r="BN4" t="s">
        <v>225</v>
      </c>
      <c r="BO4" t="s">
        <v>225</v>
      </c>
      <c r="BP4" t="s">
        <v>225</v>
      </c>
      <c r="BQ4" t="s">
        <v>225</v>
      </c>
      <c r="BR4" t="s">
        <v>225</v>
      </c>
      <c r="BS4" t="s">
        <v>225</v>
      </c>
      <c r="BT4" t="s">
        <v>5027</v>
      </c>
      <c r="BU4" t="s">
        <v>5049</v>
      </c>
      <c r="BV4" t="s">
        <v>5049</v>
      </c>
      <c r="BW4" t="s">
        <v>5031</v>
      </c>
      <c r="BX4" t="s">
        <v>5031</v>
      </c>
      <c r="BY4" t="s">
        <v>5031</v>
      </c>
      <c r="BZ4" t="s">
        <v>5031</v>
      </c>
      <c r="CA4" t="s">
        <v>5031</v>
      </c>
      <c r="CB4" t="s">
        <v>225</v>
      </c>
      <c r="CC4" t="s">
        <v>225</v>
      </c>
      <c r="CD4" t="s">
        <v>225</v>
      </c>
      <c r="CE4" t="s">
        <v>225</v>
      </c>
      <c r="CF4" t="s">
        <v>225</v>
      </c>
      <c r="CG4" t="s">
        <v>5031</v>
      </c>
      <c r="CH4" t="s">
        <v>225</v>
      </c>
      <c r="CI4" t="s">
        <v>225</v>
      </c>
      <c r="CJ4" t="s">
        <v>225</v>
      </c>
      <c r="CK4" t="s">
        <v>225</v>
      </c>
      <c r="CL4" t="s">
        <v>225</v>
      </c>
      <c r="CM4" t="s">
        <v>5049</v>
      </c>
      <c r="CN4" t="s">
        <v>5049</v>
      </c>
      <c r="CO4" t="s">
        <v>225</v>
      </c>
      <c r="CP4" t="s">
        <v>225</v>
      </c>
      <c r="CQ4" t="s">
        <v>225</v>
      </c>
      <c r="CR4" t="s">
        <v>225</v>
      </c>
      <c r="CS4" t="s">
        <v>5047</v>
      </c>
      <c r="CT4" t="s">
        <v>5032</v>
      </c>
      <c r="CU4" t="s">
        <v>5033</v>
      </c>
      <c r="CV4" t="s">
        <v>421</v>
      </c>
      <c r="CW4" t="s">
        <v>5034</v>
      </c>
      <c r="CX4" t="s">
        <v>422</v>
      </c>
      <c r="CY4" t="s">
        <v>421</v>
      </c>
      <c r="CZ4" t="s">
        <v>423</v>
      </c>
      <c r="DA4" t="s">
        <v>424</v>
      </c>
      <c r="DB4" t="s">
        <v>5034</v>
      </c>
      <c r="DC4" t="s">
        <v>366</v>
      </c>
      <c r="DD4" t="s">
        <v>276</v>
      </c>
      <c r="DE4" t="s">
        <v>432</v>
      </c>
    </row>
    <row r="5" spans="1:109" ht="11.25" customHeight="1">
      <c r="A5" s="23" t="s">
        <v>225</v>
      </c>
      <c r="B5" t="s">
        <v>225</v>
      </c>
      <c r="C5" t="s">
        <v>225</v>
      </c>
      <c r="D5" t="s">
        <v>225</v>
      </c>
      <c r="E5" t="s">
        <v>225</v>
      </c>
      <c r="F5" t="s">
        <v>225</v>
      </c>
      <c r="G5" t="s">
        <v>225</v>
      </c>
      <c r="H5" t="s">
        <v>225</v>
      </c>
      <c r="I5" t="s">
        <v>5016</v>
      </c>
      <c r="J5" t="s">
        <v>225</v>
      </c>
      <c r="K5" t="s">
        <v>225</v>
      </c>
      <c r="L5" t="s">
        <v>225</v>
      </c>
      <c r="M5" t="s">
        <v>225</v>
      </c>
      <c r="N5" t="s">
        <v>225</v>
      </c>
      <c r="O5" t="s">
        <v>225</v>
      </c>
      <c r="P5" t="s">
        <v>225</v>
      </c>
      <c r="Q5" t="s">
        <v>225</v>
      </c>
      <c r="R5" t="s">
        <v>425</v>
      </c>
      <c r="S5" t="s">
        <v>225</v>
      </c>
      <c r="T5" t="s">
        <v>225</v>
      </c>
      <c r="U5" t="s">
        <v>102</v>
      </c>
      <c r="V5" t="s">
        <v>225</v>
      </c>
      <c r="W5" t="s">
        <v>225</v>
      </c>
      <c r="X5" t="s">
        <v>5017</v>
      </c>
      <c r="Y5" t="s">
        <v>225</v>
      </c>
      <c r="Z5" t="s">
        <v>160</v>
      </c>
      <c r="AA5" t="s">
        <v>151</v>
      </c>
      <c r="AB5" t="s">
        <v>160</v>
      </c>
      <c r="AC5" t="s">
        <v>347</v>
      </c>
      <c r="AD5" t="s">
        <v>347</v>
      </c>
      <c r="AE5" t="s">
        <v>348</v>
      </c>
      <c r="AF5" t="s">
        <v>5018</v>
      </c>
      <c r="AG5" t="s">
        <v>5019</v>
      </c>
      <c r="AH5" t="s">
        <v>5050</v>
      </c>
      <c r="AI5" t="s">
        <v>5051</v>
      </c>
      <c r="AJ5" t="s">
        <v>5052</v>
      </c>
      <c r="AK5" t="s">
        <v>5053</v>
      </c>
      <c r="AL5" t="s">
        <v>5023</v>
      </c>
      <c r="AM5" t="s">
        <v>5024</v>
      </c>
      <c r="AN5" t="s">
        <v>5040</v>
      </c>
      <c r="AO5" t="s">
        <v>5054</v>
      </c>
      <c r="AP5" t="s">
        <v>225</v>
      </c>
      <c r="AQ5" t="s">
        <v>225</v>
      </c>
      <c r="AR5" t="s">
        <v>225</v>
      </c>
      <c r="AS5" t="s">
        <v>225</v>
      </c>
      <c r="AT5" t="s">
        <v>225</v>
      </c>
      <c r="AU5" t="s">
        <v>225</v>
      </c>
      <c r="AV5" t="s">
        <v>225</v>
      </c>
      <c r="AW5" t="s">
        <v>225</v>
      </c>
      <c r="AX5" t="s">
        <v>225</v>
      </c>
      <c r="AY5" t="s">
        <v>225</v>
      </c>
      <c r="AZ5" t="s">
        <v>225</v>
      </c>
      <c r="BA5" t="s">
        <v>225</v>
      </c>
      <c r="BB5" t="s">
        <v>225</v>
      </c>
      <c r="BC5" t="s">
        <v>225</v>
      </c>
      <c r="BD5" t="s">
        <v>225</v>
      </c>
      <c r="BE5" t="s">
        <v>5052</v>
      </c>
      <c r="BF5" t="s">
        <v>5053</v>
      </c>
      <c r="BG5" t="s">
        <v>225</v>
      </c>
      <c r="BH5" t="s">
        <v>225</v>
      </c>
      <c r="BI5" t="s">
        <v>225</v>
      </c>
      <c r="BJ5" t="s">
        <v>225</v>
      </c>
      <c r="BK5" t="s">
        <v>225</v>
      </c>
      <c r="BL5" t="s">
        <v>225</v>
      </c>
      <c r="BM5" t="s">
        <v>225</v>
      </c>
      <c r="BN5" t="s">
        <v>225</v>
      </c>
      <c r="BO5" t="s">
        <v>225</v>
      </c>
      <c r="BP5" t="s">
        <v>225</v>
      </c>
      <c r="BQ5" t="s">
        <v>225</v>
      </c>
      <c r="BR5" t="s">
        <v>225</v>
      </c>
      <c r="BS5" t="s">
        <v>225</v>
      </c>
      <c r="BT5" t="s">
        <v>5027</v>
      </c>
      <c r="BU5" t="s">
        <v>5055</v>
      </c>
      <c r="BV5" t="s">
        <v>5055</v>
      </c>
      <c r="BW5" t="s">
        <v>5031</v>
      </c>
      <c r="BX5" t="s">
        <v>5031</v>
      </c>
      <c r="BY5" t="s">
        <v>5031</v>
      </c>
      <c r="BZ5" t="s">
        <v>5031</v>
      </c>
      <c r="CA5" t="s">
        <v>5031</v>
      </c>
      <c r="CB5" t="s">
        <v>225</v>
      </c>
      <c r="CC5" t="s">
        <v>225</v>
      </c>
      <c r="CD5" t="s">
        <v>225</v>
      </c>
      <c r="CE5" t="s">
        <v>225</v>
      </c>
      <c r="CF5" t="s">
        <v>225</v>
      </c>
      <c r="CG5" t="s">
        <v>5031</v>
      </c>
      <c r="CH5" t="s">
        <v>225</v>
      </c>
      <c r="CI5" t="s">
        <v>225</v>
      </c>
      <c r="CJ5" t="s">
        <v>225</v>
      </c>
      <c r="CK5" t="s">
        <v>225</v>
      </c>
      <c r="CL5" t="s">
        <v>225</v>
      </c>
      <c r="CM5" t="s">
        <v>5055</v>
      </c>
      <c r="CN5" t="s">
        <v>5055</v>
      </c>
      <c r="CO5" t="s">
        <v>225</v>
      </c>
      <c r="CP5" t="s">
        <v>225</v>
      </c>
      <c r="CQ5" t="s">
        <v>225</v>
      </c>
      <c r="CR5" t="s">
        <v>225</v>
      </c>
      <c r="CS5" t="s">
        <v>5040</v>
      </c>
      <c r="CT5" t="s">
        <v>5032</v>
      </c>
      <c r="CU5" t="s">
        <v>5033</v>
      </c>
      <c r="CV5" t="s">
        <v>421</v>
      </c>
      <c r="CW5" t="s">
        <v>5056</v>
      </c>
      <c r="CX5" t="s">
        <v>422</v>
      </c>
      <c r="CY5" t="s">
        <v>421</v>
      </c>
      <c r="CZ5" t="s">
        <v>427</v>
      </c>
      <c r="DA5" t="s">
        <v>428</v>
      </c>
      <c r="DB5" t="s">
        <v>5056</v>
      </c>
      <c r="DC5" t="s">
        <v>366</v>
      </c>
      <c r="DD5" t="s">
        <v>276</v>
      </c>
      <c r="DE5" t="s">
        <v>426</v>
      </c>
    </row>
    <row r="6" spans="1:109" ht="11.25" customHeight="1">
      <c r="A6" s="23" t="s">
        <v>225</v>
      </c>
      <c r="B6" t="s">
        <v>225</v>
      </c>
      <c r="C6" t="s">
        <v>225</v>
      </c>
      <c r="D6" t="s">
        <v>225</v>
      </c>
      <c r="E6" t="s">
        <v>225</v>
      </c>
      <c r="F6" t="s">
        <v>225</v>
      </c>
      <c r="G6" t="s">
        <v>225</v>
      </c>
      <c r="H6" t="s">
        <v>225</v>
      </c>
      <c r="I6" t="s">
        <v>5057</v>
      </c>
      <c r="J6" t="s">
        <v>225</v>
      </c>
      <c r="K6" t="s">
        <v>225</v>
      </c>
      <c r="L6" t="s">
        <v>225</v>
      </c>
      <c r="M6" t="s">
        <v>225</v>
      </c>
      <c r="N6" t="s">
        <v>225</v>
      </c>
      <c r="O6" t="s">
        <v>225</v>
      </c>
      <c r="P6" t="s">
        <v>225</v>
      </c>
      <c r="Q6" t="s">
        <v>225</v>
      </c>
      <c r="R6" t="s">
        <v>434</v>
      </c>
      <c r="S6" t="s">
        <v>225</v>
      </c>
      <c r="T6" t="s">
        <v>225</v>
      </c>
      <c r="U6" t="s">
        <v>102</v>
      </c>
      <c r="V6" t="s">
        <v>225</v>
      </c>
      <c r="W6" t="s">
        <v>225</v>
      </c>
      <c r="X6" t="s">
        <v>5058</v>
      </c>
      <c r="Y6" t="s">
        <v>225</v>
      </c>
      <c r="Z6" t="s">
        <v>151</v>
      </c>
      <c r="AA6" t="s">
        <v>160</v>
      </c>
      <c r="AB6" t="s">
        <v>151</v>
      </c>
      <c r="AC6" t="s">
        <v>347</v>
      </c>
      <c r="AD6" t="s">
        <v>347</v>
      </c>
      <c r="AE6" t="s">
        <v>348</v>
      </c>
      <c r="AF6" t="s">
        <v>5018</v>
      </c>
      <c r="AG6" t="s">
        <v>5019</v>
      </c>
      <c r="AH6" t="s">
        <v>5059</v>
      </c>
      <c r="AI6" t="s">
        <v>275</v>
      </c>
      <c r="AJ6" t="s">
        <v>225</v>
      </c>
      <c r="AK6" t="s">
        <v>225</v>
      </c>
      <c r="AL6" t="s">
        <v>225</v>
      </c>
      <c r="AN6" t="s">
        <v>225</v>
      </c>
      <c r="AO6" t="s">
        <v>225</v>
      </c>
      <c r="AP6" t="s">
        <v>5060</v>
      </c>
      <c r="AQ6" t="s">
        <v>5061</v>
      </c>
      <c r="AR6" t="s">
        <v>112</v>
      </c>
      <c r="AS6" t="s">
        <v>5062</v>
      </c>
      <c r="AT6" t="s">
        <v>123</v>
      </c>
      <c r="AU6" t="s">
        <v>225</v>
      </c>
      <c r="AV6" t="s">
        <v>434</v>
      </c>
      <c r="AW6" t="s">
        <v>347</v>
      </c>
      <c r="AX6" t="s">
        <v>347</v>
      </c>
      <c r="AY6" t="s">
        <v>5063</v>
      </c>
      <c r="AZ6" t="s">
        <v>5018</v>
      </c>
      <c r="BA6" t="s">
        <v>5064</v>
      </c>
      <c r="BB6" t="s">
        <v>5059</v>
      </c>
      <c r="BC6" t="s">
        <v>275</v>
      </c>
      <c r="BD6" t="s">
        <v>5037</v>
      </c>
      <c r="BE6" t="s">
        <v>225</v>
      </c>
      <c r="BF6" t="s">
        <v>225</v>
      </c>
      <c r="BG6" t="s">
        <v>225</v>
      </c>
      <c r="BH6" t="s">
        <v>225</v>
      </c>
      <c r="BI6" t="s">
        <v>225</v>
      </c>
      <c r="BJ6" t="s">
        <v>225</v>
      </c>
      <c r="BK6" t="s">
        <v>225</v>
      </c>
      <c r="BL6" t="s">
        <v>225</v>
      </c>
      <c r="BM6" t="s">
        <v>225</v>
      </c>
      <c r="BN6" t="s">
        <v>225</v>
      </c>
      <c r="BO6" t="s">
        <v>225</v>
      </c>
      <c r="BP6" t="s">
        <v>225</v>
      </c>
      <c r="BQ6" t="s">
        <v>225</v>
      </c>
      <c r="BR6" t="s">
        <v>225</v>
      </c>
      <c r="BS6" t="s">
        <v>225</v>
      </c>
      <c r="BT6" t="s">
        <v>225</v>
      </c>
      <c r="CS6" t="s">
        <v>225</v>
      </c>
      <c r="CT6" t="s">
        <v>5032</v>
      </c>
      <c r="CU6" t="s">
        <v>5033</v>
      </c>
      <c r="CV6" t="s">
        <v>421</v>
      </c>
      <c r="CW6" t="s">
        <v>5065</v>
      </c>
      <c r="CX6" t="s">
        <v>422</v>
      </c>
      <c r="CY6" t="s">
        <v>421</v>
      </c>
      <c r="CZ6" t="s">
        <v>423</v>
      </c>
      <c r="DA6" t="s">
        <v>424</v>
      </c>
      <c r="DB6" t="s">
        <v>5034</v>
      </c>
      <c r="DC6" t="s">
        <v>366</v>
      </c>
      <c r="DD6" t="s">
        <v>286</v>
      </c>
      <c r="DE6" t="s">
        <v>435</v>
      </c>
    </row>
    <row r="7" spans="1:109" ht="11.25" customHeight="1">
      <c r="A7" s="23" t="s">
        <v>225</v>
      </c>
      <c r="B7" t="s">
        <v>225</v>
      </c>
      <c r="C7" t="s">
        <v>225</v>
      </c>
      <c r="D7" t="s">
        <v>225</v>
      </c>
      <c r="E7" t="s">
        <v>225</v>
      </c>
      <c r="F7" t="s">
        <v>225</v>
      </c>
      <c r="G7" t="s">
        <v>225</v>
      </c>
      <c r="H7" t="s">
        <v>225</v>
      </c>
      <c r="I7" t="s">
        <v>5057</v>
      </c>
      <c r="J7" t="s">
        <v>225</v>
      </c>
      <c r="K7" t="s">
        <v>225</v>
      </c>
      <c r="L7" t="s">
        <v>225</v>
      </c>
      <c r="M7" t="s">
        <v>225</v>
      </c>
      <c r="N7" t="s">
        <v>225</v>
      </c>
      <c r="O7" t="s">
        <v>225</v>
      </c>
      <c r="P7" t="s">
        <v>225</v>
      </c>
      <c r="Q7" t="s">
        <v>225</v>
      </c>
      <c r="R7" t="s">
        <v>438</v>
      </c>
      <c r="S7" t="s">
        <v>225</v>
      </c>
      <c r="T7" t="s">
        <v>225</v>
      </c>
      <c r="U7" t="s">
        <v>102</v>
      </c>
      <c r="V7" t="s">
        <v>225</v>
      </c>
      <c r="W7" t="s">
        <v>225</v>
      </c>
      <c r="X7" t="s">
        <v>5066</v>
      </c>
      <c r="Y7" t="s">
        <v>225</v>
      </c>
      <c r="Z7" t="s">
        <v>160</v>
      </c>
      <c r="AA7" t="s">
        <v>151</v>
      </c>
      <c r="AB7" t="s">
        <v>160</v>
      </c>
      <c r="AC7" t="s">
        <v>347</v>
      </c>
      <c r="AD7" t="s">
        <v>347</v>
      </c>
      <c r="AE7" t="s">
        <v>348</v>
      </c>
      <c r="AF7" t="s">
        <v>5018</v>
      </c>
      <c r="AG7" t="s">
        <v>5019</v>
      </c>
      <c r="AH7" t="s">
        <v>5067</v>
      </c>
      <c r="AI7" t="s">
        <v>5068</v>
      </c>
      <c r="AJ7" t="s">
        <v>5069</v>
      </c>
      <c r="AK7" t="s">
        <v>5070</v>
      </c>
      <c r="AL7" t="s">
        <v>5071</v>
      </c>
      <c r="AN7" t="s">
        <v>5040</v>
      </c>
      <c r="AO7" t="s">
        <v>5072</v>
      </c>
      <c r="AP7" t="s">
        <v>225</v>
      </c>
      <c r="AQ7" t="s">
        <v>225</v>
      </c>
      <c r="AR7" t="s">
        <v>225</v>
      </c>
      <c r="AS7" t="s">
        <v>225</v>
      </c>
      <c r="AT7" t="s">
        <v>225</v>
      </c>
      <c r="AU7" t="s">
        <v>225</v>
      </c>
      <c r="AV7" t="s">
        <v>225</v>
      </c>
      <c r="AW7" t="s">
        <v>225</v>
      </c>
      <c r="AX7" t="s">
        <v>225</v>
      </c>
      <c r="AY7" t="s">
        <v>225</v>
      </c>
      <c r="AZ7" t="s">
        <v>225</v>
      </c>
      <c r="BA7" t="s">
        <v>225</v>
      </c>
      <c r="BB7" t="s">
        <v>225</v>
      </c>
      <c r="BC7" t="s">
        <v>225</v>
      </c>
      <c r="BD7" t="s">
        <v>225</v>
      </c>
      <c r="BE7" t="s">
        <v>5069</v>
      </c>
      <c r="BF7" t="s">
        <v>5070</v>
      </c>
      <c r="BG7" t="s">
        <v>225</v>
      </c>
      <c r="BH7" t="s">
        <v>225</v>
      </c>
      <c r="BI7" t="s">
        <v>225</v>
      </c>
      <c r="BJ7" t="s">
        <v>225</v>
      </c>
      <c r="BK7" t="s">
        <v>225</v>
      </c>
      <c r="BL7" t="s">
        <v>225</v>
      </c>
      <c r="BM7" t="s">
        <v>225</v>
      </c>
      <c r="BN7" t="s">
        <v>225</v>
      </c>
      <c r="BO7" t="s">
        <v>225</v>
      </c>
      <c r="BP7" t="s">
        <v>225</v>
      </c>
      <c r="BQ7" t="s">
        <v>225</v>
      </c>
      <c r="BR7" t="s">
        <v>225</v>
      </c>
      <c r="BS7" t="s">
        <v>225</v>
      </c>
      <c r="BT7" t="s">
        <v>5073</v>
      </c>
      <c r="CS7" t="s">
        <v>5040</v>
      </c>
      <c r="CT7" t="s">
        <v>5032</v>
      </c>
      <c r="CU7" t="s">
        <v>5033</v>
      </c>
      <c r="CV7" t="s">
        <v>421</v>
      </c>
      <c r="CW7" t="s">
        <v>5065</v>
      </c>
      <c r="CX7" t="s">
        <v>422</v>
      </c>
      <c r="CY7" t="s">
        <v>421</v>
      </c>
      <c r="CZ7" t="s">
        <v>423</v>
      </c>
      <c r="DA7" t="s">
        <v>424</v>
      </c>
      <c r="DB7" t="s">
        <v>5034</v>
      </c>
      <c r="DC7" t="s">
        <v>366</v>
      </c>
      <c r="DD7" t="s">
        <v>286</v>
      </c>
      <c r="DE7" t="s">
        <v>439</v>
      </c>
    </row>
    <row r="8" spans="1:109" ht="11.25" customHeight="1">
      <c r="A8" s="23" t="s">
        <v>225</v>
      </c>
      <c r="B8" t="s">
        <v>225</v>
      </c>
      <c r="C8" t="s">
        <v>225</v>
      </c>
      <c r="D8" t="s">
        <v>225</v>
      </c>
      <c r="E8" t="s">
        <v>225</v>
      </c>
      <c r="F8" t="s">
        <v>225</v>
      </c>
      <c r="G8" t="s">
        <v>225</v>
      </c>
      <c r="H8" t="s">
        <v>225</v>
      </c>
      <c r="I8" t="s">
        <v>5057</v>
      </c>
      <c r="J8" t="s">
        <v>225</v>
      </c>
      <c r="K8" t="s">
        <v>225</v>
      </c>
      <c r="L8" t="s">
        <v>225</v>
      </c>
      <c r="M8" t="s">
        <v>225</v>
      </c>
      <c r="N8" t="s">
        <v>225</v>
      </c>
      <c r="O8" t="s">
        <v>225</v>
      </c>
      <c r="P8" t="s">
        <v>225</v>
      </c>
      <c r="Q8" t="s">
        <v>225</v>
      </c>
      <c r="R8" t="s">
        <v>436</v>
      </c>
      <c r="S8" t="s">
        <v>225</v>
      </c>
      <c r="T8" t="s">
        <v>225</v>
      </c>
      <c r="U8" t="s">
        <v>102</v>
      </c>
      <c r="V8" t="s">
        <v>225</v>
      </c>
      <c r="W8" t="s">
        <v>225</v>
      </c>
      <c r="X8" t="s">
        <v>5066</v>
      </c>
      <c r="Y8" t="s">
        <v>225</v>
      </c>
      <c r="Z8" t="s">
        <v>160</v>
      </c>
      <c r="AA8" t="s">
        <v>151</v>
      </c>
      <c r="AB8" t="s">
        <v>160</v>
      </c>
      <c r="AC8" t="s">
        <v>347</v>
      </c>
      <c r="AD8" t="s">
        <v>347</v>
      </c>
      <c r="AE8" t="s">
        <v>348</v>
      </c>
      <c r="AF8" t="s">
        <v>5018</v>
      </c>
      <c r="AG8" t="s">
        <v>5019</v>
      </c>
      <c r="AH8" t="s">
        <v>5074</v>
      </c>
      <c r="AI8" t="s">
        <v>5075</v>
      </c>
      <c r="AJ8" t="s">
        <v>5076</v>
      </c>
      <c r="AK8" t="s">
        <v>5077</v>
      </c>
      <c r="AL8" t="s">
        <v>5071</v>
      </c>
      <c r="AN8" t="s">
        <v>5078</v>
      </c>
      <c r="AO8" t="s">
        <v>5079</v>
      </c>
      <c r="AP8" t="s">
        <v>225</v>
      </c>
      <c r="AQ8" t="s">
        <v>225</v>
      </c>
      <c r="AR8" t="s">
        <v>225</v>
      </c>
      <c r="AS8" t="s">
        <v>225</v>
      </c>
      <c r="AT8" t="s">
        <v>225</v>
      </c>
      <c r="AU8" t="s">
        <v>225</v>
      </c>
      <c r="AV8" t="s">
        <v>225</v>
      </c>
      <c r="AW8" t="s">
        <v>225</v>
      </c>
      <c r="AX8" t="s">
        <v>225</v>
      </c>
      <c r="AY8" t="s">
        <v>225</v>
      </c>
      <c r="AZ8" t="s">
        <v>225</v>
      </c>
      <c r="BA8" t="s">
        <v>225</v>
      </c>
      <c r="BB8" t="s">
        <v>225</v>
      </c>
      <c r="BC8" t="s">
        <v>225</v>
      </c>
      <c r="BD8" t="s">
        <v>225</v>
      </c>
      <c r="BE8" t="s">
        <v>5076</v>
      </c>
      <c r="BF8" t="s">
        <v>5077</v>
      </c>
      <c r="BG8" t="s">
        <v>225</v>
      </c>
      <c r="BH8" t="s">
        <v>225</v>
      </c>
      <c r="BI8" t="s">
        <v>225</v>
      </c>
      <c r="BJ8" t="s">
        <v>225</v>
      </c>
      <c r="BK8" t="s">
        <v>225</v>
      </c>
      <c r="BL8" t="s">
        <v>225</v>
      </c>
      <c r="BM8" t="s">
        <v>225</v>
      </c>
      <c r="BN8" t="s">
        <v>225</v>
      </c>
      <c r="BO8" t="s">
        <v>225</v>
      </c>
      <c r="BP8" t="s">
        <v>225</v>
      </c>
      <c r="BQ8" t="s">
        <v>225</v>
      </c>
      <c r="BR8" t="s">
        <v>225</v>
      </c>
      <c r="BS8" t="s">
        <v>225</v>
      </c>
      <c r="BT8" t="s">
        <v>5073</v>
      </c>
      <c r="CS8" t="s">
        <v>5078</v>
      </c>
      <c r="CT8" t="s">
        <v>5032</v>
      </c>
      <c r="CU8" t="s">
        <v>5033</v>
      </c>
      <c r="CV8" t="s">
        <v>421</v>
      </c>
      <c r="CW8" t="s">
        <v>5065</v>
      </c>
      <c r="CX8" t="s">
        <v>422</v>
      </c>
      <c r="CY8" t="s">
        <v>421</v>
      </c>
      <c r="CZ8" t="s">
        <v>423</v>
      </c>
      <c r="DA8" t="s">
        <v>424</v>
      </c>
      <c r="DB8" t="s">
        <v>5034</v>
      </c>
      <c r="DC8" t="s">
        <v>366</v>
      </c>
      <c r="DD8" t="s">
        <v>286</v>
      </c>
      <c r="DE8" t="s">
        <v>437</v>
      </c>
    </row>
    <row r="9" spans="1:109" ht="11.25" customHeight="1">
      <c r="A9" s="23" t="s">
        <v>225</v>
      </c>
      <c r="B9" t="s">
        <v>225</v>
      </c>
      <c r="C9" t="s">
        <v>225</v>
      </c>
      <c r="D9" t="s">
        <v>225</v>
      </c>
      <c r="E9" t="s">
        <v>225</v>
      </c>
      <c r="F9" t="s">
        <v>225</v>
      </c>
      <c r="G9" t="s">
        <v>225</v>
      </c>
      <c r="H9" t="s">
        <v>225</v>
      </c>
      <c r="I9" t="s">
        <v>5057</v>
      </c>
      <c r="J9" t="s">
        <v>225</v>
      </c>
      <c r="K9" t="s">
        <v>225</v>
      </c>
      <c r="L9" t="s">
        <v>225</v>
      </c>
      <c r="M9" t="s">
        <v>225</v>
      </c>
      <c r="N9" t="s">
        <v>225</v>
      </c>
      <c r="O9" t="s">
        <v>225</v>
      </c>
      <c r="P9" t="s">
        <v>225</v>
      </c>
      <c r="Q9" t="s">
        <v>225</v>
      </c>
      <c r="R9" t="s">
        <v>442</v>
      </c>
      <c r="S9" t="s">
        <v>225</v>
      </c>
      <c r="T9" t="s">
        <v>225</v>
      </c>
      <c r="U9" t="s">
        <v>102</v>
      </c>
      <c r="V9" t="s">
        <v>225</v>
      </c>
      <c r="W9" t="s">
        <v>225</v>
      </c>
      <c r="X9" t="s">
        <v>5066</v>
      </c>
      <c r="Y9" t="s">
        <v>225</v>
      </c>
      <c r="Z9" t="s">
        <v>160</v>
      </c>
      <c r="AA9" t="s">
        <v>151</v>
      </c>
      <c r="AB9" t="s">
        <v>160</v>
      </c>
      <c r="AC9" t="s">
        <v>347</v>
      </c>
      <c r="AD9" t="s">
        <v>347</v>
      </c>
      <c r="AE9" t="s">
        <v>348</v>
      </c>
      <c r="AF9" t="s">
        <v>5018</v>
      </c>
      <c r="AG9" t="s">
        <v>5019</v>
      </c>
      <c r="AH9" t="s">
        <v>5080</v>
      </c>
      <c r="AI9" t="s">
        <v>5081</v>
      </c>
      <c r="AJ9" t="s">
        <v>5069</v>
      </c>
      <c r="AK9" t="s">
        <v>5070</v>
      </c>
      <c r="AL9" t="s">
        <v>5071</v>
      </c>
      <c r="AN9" t="s">
        <v>5082</v>
      </c>
      <c r="AO9" t="s">
        <v>5083</v>
      </c>
      <c r="AP9" t="s">
        <v>225</v>
      </c>
      <c r="AQ9" t="s">
        <v>225</v>
      </c>
      <c r="AR9" t="s">
        <v>225</v>
      </c>
      <c r="AS9" t="s">
        <v>225</v>
      </c>
      <c r="AT9" t="s">
        <v>225</v>
      </c>
      <c r="AU9" t="s">
        <v>225</v>
      </c>
      <c r="AV9" t="s">
        <v>225</v>
      </c>
      <c r="AW9" t="s">
        <v>225</v>
      </c>
      <c r="AX9" t="s">
        <v>225</v>
      </c>
      <c r="AY9" t="s">
        <v>225</v>
      </c>
      <c r="AZ9" t="s">
        <v>225</v>
      </c>
      <c r="BA9" t="s">
        <v>225</v>
      </c>
      <c r="BB9" t="s">
        <v>225</v>
      </c>
      <c r="BC9" t="s">
        <v>225</v>
      </c>
      <c r="BD9" t="s">
        <v>225</v>
      </c>
      <c r="BE9" t="s">
        <v>5069</v>
      </c>
      <c r="BF9" t="s">
        <v>5070</v>
      </c>
      <c r="BG9" t="s">
        <v>225</v>
      </c>
      <c r="BH9" t="s">
        <v>225</v>
      </c>
      <c r="BI9" t="s">
        <v>225</v>
      </c>
      <c r="BJ9" t="s">
        <v>225</v>
      </c>
      <c r="BK9" t="s">
        <v>225</v>
      </c>
      <c r="BL9" t="s">
        <v>225</v>
      </c>
      <c r="BM9" t="s">
        <v>225</v>
      </c>
      <c r="BN9" t="s">
        <v>225</v>
      </c>
      <c r="BO9" t="s">
        <v>225</v>
      </c>
      <c r="BP9" t="s">
        <v>225</v>
      </c>
      <c r="BQ9" t="s">
        <v>225</v>
      </c>
      <c r="BR9" t="s">
        <v>225</v>
      </c>
      <c r="BS9" t="s">
        <v>225</v>
      </c>
      <c r="BT9" t="s">
        <v>5073</v>
      </c>
      <c r="CS9" t="s">
        <v>5082</v>
      </c>
      <c r="CT9" t="s">
        <v>5032</v>
      </c>
      <c r="CU9" t="s">
        <v>5033</v>
      </c>
      <c r="CV9" t="s">
        <v>421</v>
      </c>
      <c r="CW9" t="s">
        <v>5065</v>
      </c>
      <c r="CX9" t="s">
        <v>422</v>
      </c>
      <c r="CY9" t="s">
        <v>421</v>
      </c>
      <c r="CZ9" t="s">
        <v>423</v>
      </c>
      <c r="DA9" t="s">
        <v>424</v>
      </c>
      <c r="DB9" t="s">
        <v>5034</v>
      </c>
      <c r="DC9" t="s">
        <v>366</v>
      </c>
      <c r="DD9" t="s">
        <v>286</v>
      </c>
      <c r="DE9" t="s">
        <v>443</v>
      </c>
    </row>
    <row r="10" spans="1:109" ht="11.25" customHeight="1">
      <c r="A10" s="23" t="s">
        <v>225</v>
      </c>
      <c r="B10" t="s">
        <v>225</v>
      </c>
      <c r="C10" t="s">
        <v>225</v>
      </c>
      <c r="D10" t="s">
        <v>225</v>
      </c>
      <c r="E10" t="s">
        <v>225</v>
      </c>
      <c r="F10" t="s">
        <v>225</v>
      </c>
      <c r="G10" t="s">
        <v>225</v>
      </c>
      <c r="H10" t="s">
        <v>225</v>
      </c>
      <c r="I10" t="s">
        <v>5057</v>
      </c>
      <c r="J10" t="s">
        <v>225</v>
      </c>
      <c r="K10" t="s">
        <v>225</v>
      </c>
      <c r="L10" t="s">
        <v>225</v>
      </c>
      <c r="M10" t="s">
        <v>225</v>
      </c>
      <c r="N10" t="s">
        <v>225</v>
      </c>
      <c r="O10" t="s">
        <v>225</v>
      </c>
      <c r="P10" t="s">
        <v>225</v>
      </c>
      <c r="Q10" t="s">
        <v>225</v>
      </c>
      <c r="R10" t="s">
        <v>445</v>
      </c>
      <c r="S10" t="s">
        <v>225</v>
      </c>
      <c r="T10" t="s">
        <v>225</v>
      </c>
      <c r="U10" t="s">
        <v>102</v>
      </c>
      <c r="V10" t="s">
        <v>225</v>
      </c>
      <c r="W10" t="s">
        <v>225</v>
      </c>
      <c r="X10" t="s">
        <v>5066</v>
      </c>
      <c r="Y10" t="s">
        <v>225</v>
      </c>
      <c r="Z10" t="s">
        <v>160</v>
      </c>
      <c r="AA10" t="s">
        <v>151</v>
      </c>
      <c r="AB10" t="s">
        <v>160</v>
      </c>
      <c r="AC10" t="s">
        <v>347</v>
      </c>
      <c r="AD10" t="s">
        <v>347</v>
      </c>
      <c r="AE10" t="s">
        <v>348</v>
      </c>
      <c r="AF10" t="s">
        <v>5018</v>
      </c>
      <c r="AG10" t="s">
        <v>5019</v>
      </c>
      <c r="AH10" t="s">
        <v>5080</v>
      </c>
      <c r="AI10" t="s">
        <v>5084</v>
      </c>
      <c r="AJ10" t="s">
        <v>5085</v>
      </c>
      <c r="AK10" t="s">
        <v>5086</v>
      </c>
      <c r="AL10" t="s">
        <v>5071</v>
      </c>
      <c r="AN10" t="s">
        <v>5040</v>
      </c>
      <c r="AO10" t="s">
        <v>5087</v>
      </c>
      <c r="AP10" t="s">
        <v>225</v>
      </c>
      <c r="AQ10" t="s">
        <v>225</v>
      </c>
      <c r="AR10" t="s">
        <v>225</v>
      </c>
      <c r="AS10" t="s">
        <v>225</v>
      </c>
      <c r="AT10" t="s">
        <v>225</v>
      </c>
      <c r="AU10" t="s">
        <v>225</v>
      </c>
      <c r="AV10" t="s">
        <v>225</v>
      </c>
      <c r="AW10" t="s">
        <v>225</v>
      </c>
      <c r="AX10" t="s">
        <v>225</v>
      </c>
      <c r="AY10" t="s">
        <v>225</v>
      </c>
      <c r="AZ10" t="s">
        <v>225</v>
      </c>
      <c r="BA10" t="s">
        <v>225</v>
      </c>
      <c r="BB10" t="s">
        <v>225</v>
      </c>
      <c r="BC10" t="s">
        <v>225</v>
      </c>
      <c r="BD10" t="s">
        <v>225</v>
      </c>
      <c r="BE10" t="s">
        <v>5085</v>
      </c>
      <c r="BF10" t="s">
        <v>5086</v>
      </c>
      <c r="BG10" t="s">
        <v>225</v>
      </c>
      <c r="BH10" t="s">
        <v>225</v>
      </c>
      <c r="BI10" t="s">
        <v>225</v>
      </c>
      <c r="BJ10" t="s">
        <v>225</v>
      </c>
      <c r="BK10" t="s">
        <v>225</v>
      </c>
      <c r="BL10" t="s">
        <v>225</v>
      </c>
      <c r="BM10" t="s">
        <v>225</v>
      </c>
      <c r="BN10" t="s">
        <v>225</v>
      </c>
      <c r="BO10" t="s">
        <v>225</v>
      </c>
      <c r="BP10" t="s">
        <v>225</v>
      </c>
      <c r="BQ10" t="s">
        <v>225</v>
      </c>
      <c r="BR10" t="s">
        <v>225</v>
      </c>
      <c r="BS10" t="s">
        <v>225</v>
      </c>
      <c r="BT10" t="s">
        <v>5073</v>
      </c>
      <c r="CS10" t="s">
        <v>5040</v>
      </c>
      <c r="CT10" t="s">
        <v>5032</v>
      </c>
      <c r="CU10" t="s">
        <v>5033</v>
      </c>
      <c r="CV10" t="s">
        <v>421</v>
      </c>
      <c r="CW10" t="s">
        <v>5065</v>
      </c>
      <c r="CX10" t="s">
        <v>422</v>
      </c>
      <c r="CY10" t="s">
        <v>421</v>
      </c>
      <c r="CZ10" t="s">
        <v>423</v>
      </c>
      <c r="DA10" t="s">
        <v>424</v>
      </c>
      <c r="DB10" t="s">
        <v>5034</v>
      </c>
      <c r="DC10" t="s">
        <v>366</v>
      </c>
      <c r="DD10" t="s">
        <v>286</v>
      </c>
      <c r="DE10" t="s">
        <v>446</v>
      </c>
    </row>
    <row r="11" spans="1:109" ht="11.25" customHeight="1">
      <c r="A11" s="23" t="s">
        <v>225</v>
      </c>
      <c r="B11" t="s">
        <v>225</v>
      </c>
      <c r="C11" t="s">
        <v>225</v>
      </c>
      <c r="D11" t="s">
        <v>225</v>
      </c>
      <c r="E11" t="s">
        <v>225</v>
      </c>
      <c r="F11" t="s">
        <v>225</v>
      </c>
      <c r="G11" t="s">
        <v>225</v>
      </c>
      <c r="H11" t="s">
        <v>225</v>
      </c>
      <c r="I11" t="s">
        <v>5057</v>
      </c>
      <c r="J11" t="s">
        <v>225</v>
      </c>
      <c r="K11" t="s">
        <v>225</v>
      </c>
      <c r="L11" t="s">
        <v>225</v>
      </c>
      <c r="M11" t="s">
        <v>225</v>
      </c>
      <c r="N11" t="s">
        <v>225</v>
      </c>
      <c r="O11" t="s">
        <v>225</v>
      </c>
      <c r="P11" t="s">
        <v>225</v>
      </c>
      <c r="Q11" t="s">
        <v>225</v>
      </c>
      <c r="R11" t="s">
        <v>440</v>
      </c>
      <c r="S11" t="s">
        <v>225</v>
      </c>
      <c r="T11" t="s">
        <v>225</v>
      </c>
      <c r="U11" t="s">
        <v>102</v>
      </c>
      <c r="V11" t="s">
        <v>225</v>
      </c>
      <c r="W11" t="s">
        <v>225</v>
      </c>
      <c r="X11" t="s">
        <v>5066</v>
      </c>
      <c r="Y11" t="s">
        <v>225</v>
      </c>
      <c r="Z11" t="s">
        <v>160</v>
      </c>
      <c r="AA11" t="s">
        <v>151</v>
      </c>
      <c r="AB11" t="s">
        <v>160</v>
      </c>
      <c r="AC11" t="s">
        <v>347</v>
      </c>
      <c r="AD11" t="s">
        <v>347</v>
      </c>
      <c r="AE11" t="s">
        <v>348</v>
      </c>
      <c r="AF11" t="s">
        <v>5018</v>
      </c>
      <c r="AG11" t="s">
        <v>5019</v>
      </c>
      <c r="AH11" t="s">
        <v>5080</v>
      </c>
      <c r="AI11" t="s">
        <v>5088</v>
      </c>
      <c r="AJ11" t="s">
        <v>5089</v>
      </c>
      <c r="AK11" t="s">
        <v>5090</v>
      </c>
      <c r="AL11" t="s">
        <v>5071</v>
      </c>
      <c r="AN11" t="s">
        <v>5076</v>
      </c>
      <c r="AO11" t="s">
        <v>5091</v>
      </c>
      <c r="AP11" t="s">
        <v>225</v>
      </c>
      <c r="AQ11" t="s">
        <v>225</v>
      </c>
      <c r="AR11" t="s">
        <v>225</v>
      </c>
      <c r="AS11" t="s">
        <v>225</v>
      </c>
      <c r="AT11" t="s">
        <v>225</v>
      </c>
      <c r="AU11" t="s">
        <v>225</v>
      </c>
      <c r="AV11" t="s">
        <v>225</v>
      </c>
      <c r="AW11" t="s">
        <v>225</v>
      </c>
      <c r="AX11" t="s">
        <v>225</v>
      </c>
      <c r="AY11" t="s">
        <v>225</v>
      </c>
      <c r="AZ11" t="s">
        <v>225</v>
      </c>
      <c r="BA11" t="s">
        <v>225</v>
      </c>
      <c r="BB11" t="s">
        <v>225</v>
      </c>
      <c r="BC11" t="s">
        <v>225</v>
      </c>
      <c r="BD11" t="s">
        <v>225</v>
      </c>
      <c r="BE11" t="s">
        <v>5092</v>
      </c>
      <c r="BF11" t="s">
        <v>5089</v>
      </c>
      <c r="BG11" t="s">
        <v>225</v>
      </c>
      <c r="BH11" t="s">
        <v>225</v>
      </c>
      <c r="BI11" t="s">
        <v>225</v>
      </c>
      <c r="BJ11" t="s">
        <v>225</v>
      </c>
      <c r="BK11" t="s">
        <v>225</v>
      </c>
      <c r="BL11" t="s">
        <v>225</v>
      </c>
      <c r="BM11" t="s">
        <v>225</v>
      </c>
      <c r="BN11" t="s">
        <v>225</v>
      </c>
      <c r="BO11" t="s">
        <v>225</v>
      </c>
      <c r="BP11" t="s">
        <v>225</v>
      </c>
      <c r="BQ11" t="s">
        <v>225</v>
      </c>
      <c r="BR11" t="s">
        <v>225</v>
      </c>
      <c r="BS11" t="s">
        <v>225</v>
      </c>
      <c r="BT11" t="s">
        <v>5073</v>
      </c>
      <c r="CS11" t="s">
        <v>5076</v>
      </c>
      <c r="CT11" t="s">
        <v>5032</v>
      </c>
      <c r="CU11" t="s">
        <v>5033</v>
      </c>
      <c r="CV11" t="s">
        <v>421</v>
      </c>
      <c r="CW11" t="s">
        <v>5065</v>
      </c>
      <c r="CX11" t="s">
        <v>422</v>
      </c>
      <c r="CY11" t="s">
        <v>421</v>
      </c>
      <c r="CZ11" t="s">
        <v>423</v>
      </c>
      <c r="DA11" t="s">
        <v>424</v>
      </c>
      <c r="DB11" t="s">
        <v>5034</v>
      </c>
      <c r="DC11" t="s">
        <v>366</v>
      </c>
      <c r="DD11" t="s">
        <v>286</v>
      </c>
      <c r="DE11" t="s">
        <v>441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4D5F8-D528-4354-6C58-FDA776CF05A3}">
  <sheetPr>
    <tabColor rgb="FFFFCC99"/>
  </sheetPr>
  <dimension ref="A1"/>
  <sheetViews>
    <sheetView showGridLines="0" workbookViewId="0"/>
  </sheetViews>
  <sheetFormatPr defaultRowHeight="11.25" customHeight="1"/>
  <cols>
    <col min="1" max="1" width="89.7109375" style="23"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C47DA-E7A8-9028-0808-A962A83AD70E}">
  <sheetPr>
    <tabColor rgb="FFFFCC99"/>
  </sheetPr>
  <dimension ref="A1:W3"/>
  <sheetViews>
    <sheetView showGridLines="0" workbookViewId="0"/>
  </sheetViews>
  <sheetFormatPr defaultRowHeight="11.25" customHeight="1"/>
  <sheetData>
    <row r="1" spans="1:23" ht="11.25" customHeight="1">
      <c r="A1" t="s">
        <v>5093</v>
      </c>
      <c r="B1" t="s">
        <v>4932</v>
      </c>
      <c r="C1" t="s">
        <v>5094</v>
      </c>
      <c r="D1" t="s">
        <v>5095</v>
      </c>
      <c r="E1" t="s">
        <v>5096</v>
      </c>
      <c r="F1" t="s">
        <v>5097</v>
      </c>
      <c r="G1" t="s">
        <v>5098</v>
      </c>
      <c r="H1" t="s">
        <v>5099</v>
      </c>
      <c r="I1" t="s">
        <v>5100</v>
      </c>
      <c r="J1" t="s">
        <v>5101</v>
      </c>
      <c r="K1" t="s">
        <v>5102</v>
      </c>
      <c r="L1" t="s">
        <v>5103</v>
      </c>
      <c r="M1" t="s">
        <v>5104</v>
      </c>
      <c r="N1" t="s">
        <v>5105</v>
      </c>
      <c r="O1" t="s">
        <v>5106</v>
      </c>
      <c r="P1" t="s">
        <v>5107</v>
      </c>
      <c r="Q1" t="s">
        <v>5108</v>
      </c>
      <c r="R1" t="s">
        <v>5109</v>
      </c>
      <c r="S1" t="s">
        <v>5110</v>
      </c>
      <c r="T1" t="s">
        <v>5111</v>
      </c>
      <c r="U1" t="s">
        <v>5112</v>
      </c>
      <c r="V1" t="s">
        <v>5113</v>
      </c>
      <c r="W1" t="s">
        <v>5114</v>
      </c>
    </row>
    <row r="2" spans="1:23" ht="11.25" customHeight="1">
      <c r="A2" t="s">
        <v>277</v>
      </c>
      <c r="B2">
        <v>8276067396</v>
      </c>
      <c r="C2" t="s">
        <v>5115</v>
      </c>
      <c r="D2" t="s">
        <v>278</v>
      </c>
      <c r="E2" t="s">
        <v>279</v>
      </c>
      <c r="F2" t="s">
        <v>280</v>
      </c>
      <c r="G2" t="s">
        <v>281</v>
      </c>
      <c r="I2" t="s">
        <v>5116</v>
      </c>
      <c r="J2" t="s">
        <v>5117</v>
      </c>
      <c r="K2" t="s">
        <v>5118</v>
      </c>
      <c r="L2" t="s">
        <v>104</v>
      </c>
      <c r="M2" t="s">
        <v>5119</v>
      </c>
      <c r="N2" t="s">
        <v>5120</v>
      </c>
      <c r="O2">
        <v>39.610007884200002</v>
      </c>
      <c r="P2">
        <v>44.960451133699998</v>
      </c>
      <c r="U2" t="s">
        <v>5121</v>
      </c>
      <c r="V2" t="s">
        <v>5122</v>
      </c>
      <c r="W2" t="s">
        <v>5123</v>
      </c>
    </row>
    <row r="3" spans="1:23" ht="11.25" customHeight="1">
      <c r="A3" t="s">
        <v>287</v>
      </c>
      <c r="B3">
        <v>8276067396</v>
      </c>
      <c r="C3" t="s">
        <v>5115</v>
      </c>
      <c r="D3" t="s">
        <v>288</v>
      </c>
      <c r="E3" t="s">
        <v>279</v>
      </c>
      <c r="F3" t="s">
        <v>289</v>
      </c>
      <c r="G3" t="s">
        <v>290</v>
      </c>
      <c r="I3" t="s">
        <v>5116</v>
      </c>
      <c r="J3" t="s">
        <v>5117</v>
      </c>
      <c r="K3" t="s">
        <v>5118</v>
      </c>
      <c r="L3" t="s">
        <v>104</v>
      </c>
      <c r="M3" t="s">
        <v>5119</v>
      </c>
      <c r="N3" t="s">
        <v>5120</v>
      </c>
      <c r="O3">
        <v>37.1</v>
      </c>
      <c r="P3">
        <v>40.9199998044</v>
      </c>
      <c r="U3" t="s">
        <v>5121</v>
      </c>
      <c r="V3" t="s">
        <v>5124</v>
      </c>
      <c r="W3" t="s">
        <v>5125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9B33-F55D-E81C-CA15-B0C3BA0A3F98}">
  <sheetPr>
    <tabColor rgb="FFFFCC99"/>
  </sheetPr>
  <dimension ref="A1:C97"/>
  <sheetViews>
    <sheetView showGridLines="0" workbookViewId="0"/>
  </sheetViews>
  <sheetFormatPr defaultRowHeight="11.25" customHeight="1"/>
  <cols>
    <col min="1" max="1" width="88.85546875" style="23" customWidth="1"/>
    <col min="2" max="2" width="24.7109375" style="23" customWidth="1"/>
  </cols>
  <sheetData>
    <row r="1" spans="1:3" ht="11.25" customHeight="1">
      <c r="A1" s="23" t="s">
        <v>5126</v>
      </c>
      <c r="C1" s="23" t="s">
        <v>5127</v>
      </c>
    </row>
    <row r="2" spans="1:3" ht="11.25" customHeight="1">
      <c r="A2" s="23" t="s">
        <v>5128</v>
      </c>
    </row>
    <row r="3" spans="1:3" ht="11.25" customHeight="1">
      <c r="A3" s="23" t="s">
        <v>5129</v>
      </c>
      <c r="C3" t="s">
        <v>5130</v>
      </c>
    </row>
    <row r="4" spans="1:3" ht="11.25" customHeight="1">
      <c r="A4" s="23" t="s">
        <v>3059</v>
      </c>
      <c r="C4" t="s">
        <v>5131</v>
      </c>
    </row>
    <row r="5" spans="1:3" ht="11.25" customHeight="1">
      <c r="A5" s="23" t="s">
        <v>2987</v>
      </c>
      <c r="C5" t="s">
        <v>5132</v>
      </c>
    </row>
    <row r="6" spans="1:3" ht="11.25" customHeight="1">
      <c r="A6" s="23" t="s">
        <v>128</v>
      </c>
      <c r="C6" t="s">
        <v>5133</v>
      </c>
    </row>
    <row r="7" spans="1:3" ht="11.25" customHeight="1">
      <c r="A7" s="23" t="s">
        <v>5134</v>
      </c>
      <c r="C7" t="s">
        <v>5135</v>
      </c>
    </row>
    <row r="8" spans="1:3" ht="11.25" customHeight="1">
      <c r="A8" s="23" t="s">
        <v>5136</v>
      </c>
      <c r="C8" t="s">
        <v>5137</v>
      </c>
    </row>
    <row r="9" spans="1:3" ht="11.25" customHeight="1">
      <c r="A9" s="23" t="s">
        <v>5138</v>
      </c>
      <c r="C9" t="s">
        <v>5139</v>
      </c>
    </row>
    <row r="10" spans="1:3" ht="11.25" customHeight="1">
      <c r="A10" s="23" t="s">
        <v>5140</v>
      </c>
      <c r="C10" t="s">
        <v>5141</v>
      </c>
    </row>
    <row r="11" spans="1:3" ht="11.25" customHeight="1">
      <c r="A11" s="23" t="s">
        <v>5142</v>
      </c>
      <c r="C11" t="s">
        <v>5143</v>
      </c>
    </row>
    <row r="12" spans="1:3" ht="11.25" customHeight="1">
      <c r="A12" s="23" t="s">
        <v>5144</v>
      </c>
      <c r="C12" t="s">
        <v>5145</v>
      </c>
    </row>
    <row r="13" spans="1:3" ht="11.25" customHeight="1">
      <c r="A13" s="23" t="s">
        <v>5146</v>
      </c>
      <c r="C13" t="s">
        <v>5147</v>
      </c>
    </row>
    <row r="14" spans="1:3" ht="11.25" customHeight="1">
      <c r="A14" s="23" t="s">
        <v>5148</v>
      </c>
      <c r="C14" t="s">
        <v>5149</v>
      </c>
    </row>
    <row r="15" spans="1:3" ht="11.25" customHeight="1">
      <c r="A15" s="23" t="s">
        <v>5150</v>
      </c>
      <c r="C15" t="s">
        <v>5151</v>
      </c>
    </row>
    <row r="16" spans="1:3" ht="11.25" customHeight="1">
      <c r="A16" s="23" t="s">
        <v>5152</v>
      </c>
      <c r="C16" t="s">
        <v>5153</v>
      </c>
    </row>
    <row r="17" spans="1:3" ht="11.25" customHeight="1">
      <c r="A17" s="23" t="s">
        <v>5154</v>
      </c>
      <c r="C17" t="s">
        <v>5155</v>
      </c>
    </row>
    <row r="18" spans="1:3" ht="11.25" customHeight="1">
      <c r="A18" s="23" t="s">
        <v>5156</v>
      </c>
      <c r="C18" t="s">
        <v>5157</v>
      </c>
    </row>
    <row r="19" spans="1:3" ht="11.25" customHeight="1">
      <c r="A19" s="23" t="s">
        <v>5158</v>
      </c>
      <c r="C19" t="s">
        <v>5159</v>
      </c>
    </row>
    <row r="20" spans="1:3" ht="11.25" customHeight="1">
      <c r="A20" s="23" t="s">
        <v>5160</v>
      </c>
      <c r="C20" t="s">
        <v>5161</v>
      </c>
    </row>
    <row r="21" spans="1:3" ht="11.25" customHeight="1">
      <c r="A21" s="23" t="s">
        <v>5162</v>
      </c>
      <c r="C21" t="s">
        <v>5163</v>
      </c>
    </row>
    <row r="22" spans="1:3" ht="11.25" customHeight="1">
      <c r="A22" s="23" t="s">
        <v>5164</v>
      </c>
      <c r="C22" t="s">
        <v>5165</v>
      </c>
    </row>
    <row r="23" spans="1:3" ht="11.25" customHeight="1">
      <c r="A23" s="23" t="s">
        <v>5166</v>
      </c>
      <c r="C23" t="s">
        <v>5167</v>
      </c>
    </row>
    <row r="24" spans="1:3" ht="11.25" customHeight="1">
      <c r="A24" s="23" t="s">
        <v>5168</v>
      </c>
      <c r="C24" t="s">
        <v>5169</v>
      </c>
    </row>
    <row r="25" spans="1:3" ht="11.25" customHeight="1">
      <c r="A25" s="23" t="s">
        <v>5170</v>
      </c>
      <c r="C25" t="s">
        <v>5171</v>
      </c>
    </row>
    <row r="26" spans="1:3" ht="11.25" customHeight="1">
      <c r="A26" s="23" t="s">
        <v>5172</v>
      </c>
      <c r="C26" t="s">
        <v>5173</v>
      </c>
    </row>
    <row r="27" spans="1:3" ht="11.25" customHeight="1">
      <c r="A27" s="23" t="s">
        <v>5174</v>
      </c>
      <c r="C27" t="s">
        <v>5175</v>
      </c>
    </row>
    <row r="28" spans="1:3" ht="11.25" customHeight="1">
      <c r="A28" s="23" t="s">
        <v>5176</v>
      </c>
      <c r="C28" t="s">
        <v>5177</v>
      </c>
    </row>
    <row r="29" spans="1:3" ht="11.25" customHeight="1">
      <c r="A29" s="23" t="s">
        <v>5178</v>
      </c>
      <c r="C29" t="s">
        <v>5179</v>
      </c>
    </row>
    <row r="30" spans="1:3" ht="11.25" customHeight="1">
      <c r="A30" s="23" t="s">
        <v>5180</v>
      </c>
      <c r="C30" t="s">
        <v>5181</v>
      </c>
    </row>
    <row r="31" spans="1:3" ht="11.25" customHeight="1">
      <c r="A31" s="23" t="s">
        <v>5182</v>
      </c>
      <c r="C31" t="s">
        <v>5183</v>
      </c>
    </row>
    <row r="32" spans="1:3" ht="11.25" customHeight="1">
      <c r="A32" s="23" t="s">
        <v>5184</v>
      </c>
      <c r="C32" t="s">
        <v>5185</v>
      </c>
    </row>
    <row r="33" spans="1:3" ht="11.25" customHeight="1">
      <c r="A33" s="23" t="s">
        <v>5186</v>
      </c>
      <c r="C33" t="s">
        <v>5187</v>
      </c>
    </row>
    <row r="34" spans="1:3" ht="11.25" customHeight="1">
      <c r="A34" s="23" t="s">
        <v>5188</v>
      </c>
      <c r="C34" t="s">
        <v>5189</v>
      </c>
    </row>
    <row r="35" spans="1:3" ht="11.25" customHeight="1">
      <c r="A35" s="23" t="s">
        <v>5190</v>
      </c>
      <c r="C35" t="s">
        <v>5191</v>
      </c>
    </row>
    <row r="36" spans="1:3" ht="11.25" customHeight="1">
      <c r="A36" s="23" t="s">
        <v>5192</v>
      </c>
      <c r="C36" t="s">
        <v>5193</v>
      </c>
    </row>
    <row r="37" spans="1:3" ht="11.25" customHeight="1">
      <c r="A37" s="23" t="s">
        <v>5194</v>
      </c>
      <c r="C37" t="s">
        <v>5195</v>
      </c>
    </row>
    <row r="38" spans="1:3" ht="11.25" customHeight="1">
      <c r="A38" s="23" t="s">
        <v>5196</v>
      </c>
      <c r="C38" t="s">
        <v>5197</v>
      </c>
    </row>
    <row r="39" spans="1:3" ht="11.25" customHeight="1">
      <c r="A39" s="23" t="s">
        <v>5198</v>
      </c>
      <c r="C39" t="s">
        <v>5199</v>
      </c>
    </row>
    <row r="40" spans="1:3" ht="11.25" customHeight="1">
      <c r="A40" s="23" t="s">
        <v>5200</v>
      </c>
      <c r="C40" t="s">
        <v>5201</v>
      </c>
    </row>
    <row r="41" spans="1:3" ht="11.25" customHeight="1">
      <c r="A41" s="23" t="s">
        <v>5202</v>
      </c>
      <c r="C41" t="s">
        <v>5203</v>
      </c>
    </row>
    <row r="42" spans="1:3" ht="11.25" customHeight="1">
      <c r="A42" s="23" t="s">
        <v>5204</v>
      </c>
      <c r="C42" t="s">
        <v>5205</v>
      </c>
    </row>
    <row r="43" spans="1:3" ht="11.25" customHeight="1">
      <c r="A43" s="23" t="s">
        <v>5206</v>
      </c>
      <c r="C43" t="s">
        <v>5207</v>
      </c>
    </row>
    <row r="44" spans="1:3" ht="11.25" customHeight="1">
      <c r="A44" s="23" t="s">
        <v>5208</v>
      </c>
    </row>
    <row r="45" spans="1:3" ht="11.25" customHeight="1">
      <c r="A45" s="23" t="s">
        <v>5209</v>
      </c>
    </row>
    <row r="46" spans="1:3" ht="11.25" customHeight="1">
      <c r="A46" s="23" t="s">
        <v>5210</v>
      </c>
    </row>
    <row r="47" spans="1:3" ht="11.25" customHeight="1">
      <c r="A47" s="23" t="s">
        <v>5211</v>
      </c>
    </row>
    <row r="48" spans="1:3" ht="11.25" customHeight="1">
      <c r="A48" s="23" t="s">
        <v>5212</v>
      </c>
    </row>
    <row r="49" spans="1:1" ht="11.25" customHeight="1">
      <c r="A49" s="23" t="s">
        <v>5213</v>
      </c>
    </row>
    <row r="50" spans="1:1" ht="11.25" customHeight="1">
      <c r="A50" s="23" t="s">
        <v>5214</v>
      </c>
    </row>
    <row r="51" spans="1:1" ht="11.25" customHeight="1">
      <c r="A51" s="23" t="s">
        <v>5215</v>
      </c>
    </row>
    <row r="52" spans="1:1" ht="11.25" customHeight="1">
      <c r="A52" s="23" t="s">
        <v>5216</v>
      </c>
    </row>
    <row r="53" spans="1:1" ht="11.25" customHeight="1">
      <c r="A53" s="23" t="s">
        <v>5217</v>
      </c>
    </row>
    <row r="54" spans="1:1" ht="11.25" customHeight="1">
      <c r="A54" s="23" t="s">
        <v>5218</v>
      </c>
    </row>
    <row r="55" spans="1:1" ht="11.25" customHeight="1">
      <c r="A55" s="23" t="s">
        <v>5219</v>
      </c>
    </row>
    <row r="56" spans="1:1" ht="11.25" customHeight="1">
      <c r="A56" s="23" t="s">
        <v>5220</v>
      </c>
    </row>
    <row r="57" spans="1:1" ht="11.25" customHeight="1">
      <c r="A57" s="23" t="s">
        <v>3524</v>
      </c>
    </row>
    <row r="58" spans="1:1" ht="11.25" customHeight="1">
      <c r="A58" s="23" t="s">
        <v>5221</v>
      </c>
    </row>
    <row r="59" spans="1:1" ht="11.25" customHeight="1">
      <c r="A59" s="23" t="s">
        <v>5222</v>
      </c>
    </row>
    <row r="60" spans="1:1" ht="11.25" customHeight="1">
      <c r="A60" s="23" t="s">
        <v>5223</v>
      </c>
    </row>
    <row r="61" spans="1:1" ht="11.25" customHeight="1">
      <c r="A61" s="23" t="s">
        <v>5224</v>
      </c>
    </row>
    <row r="62" spans="1:1" ht="11.25" customHeight="1">
      <c r="A62" s="23" t="s">
        <v>5225</v>
      </c>
    </row>
    <row r="63" spans="1:1" ht="11.25" customHeight="1">
      <c r="A63" s="23" t="s">
        <v>5226</v>
      </c>
    </row>
    <row r="64" spans="1:1" ht="11.25" customHeight="1">
      <c r="A64" s="23" t="s">
        <v>5227</v>
      </c>
    </row>
    <row r="65" spans="1:1" ht="11.25" customHeight="1">
      <c r="A65" s="23" t="s">
        <v>5228</v>
      </c>
    </row>
    <row r="66" spans="1:1" ht="11.25" customHeight="1">
      <c r="A66" s="23" t="s">
        <v>3785</v>
      </c>
    </row>
    <row r="67" spans="1:1" ht="11.25" customHeight="1">
      <c r="A67" s="23" t="s">
        <v>5229</v>
      </c>
    </row>
    <row r="68" spans="1:1" ht="11.25" customHeight="1">
      <c r="A68" s="23" t="s">
        <v>5230</v>
      </c>
    </row>
    <row r="69" spans="1:1" ht="11.25" customHeight="1">
      <c r="A69" s="23" t="s">
        <v>5231</v>
      </c>
    </row>
    <row r="70" spans="1:1" ht="11.25" customHeight="1">
      <c r="A70" s="23" t="s">
        <v>5232</v>
      </c>
    </row>
    <row r="71" spans="1:1" ht="11.25" customHeight="1">
      <c r="A71" s="23" t="s">
        <v>3118</v>
      </c>
    </row>
    <row r="72" spans="1:1" ht="11.25" customHeight="1">
      <c r="A72" s="23" t="s">
        <v>5233</v>
      </c>
    </row>
    <row r="73" spans="1:1" ht="11.25" customHeight="1">
      <c r="A73" s="23" t="s">
        <v>5234</v>
      </c>
    </row>
    <row r="74" spans="1:1" ht="11.25" customHeight="1">
      <c r="A74" s="23" t="s">
        <v>3129</v>
      </c>
    </row>
    <row r="75" spans="1:1" ht="11.25" customHeight="1">
      <c r="A75" s="23" t="s">
        <v>5235</v>
      </c>
    </row>
    <row r="76" spans="1:1" ht="11.25" customHeight="1">
      <c r="A76" s="23" t="s">
        <v>5236</v>
      </c>
    </row>
    <row r="77" spans="1:1" ht="11.25" customHeight="1">
      <c r="A77" s="23" t="s">
        <v>5237</v>
      </c>
    </row>
    <row r="78" spans="1:1" ht="11.25" customHeight="1">
      <c r="A78" s="23" t="s">
        <v>5238</v>
      </c>
    </row>
    <row r="79" spans="1:1" ht="11.25" customHeight="1">
      <c r="A79" s="23" t="s">
        <v>5239</v>
      </c>
    </row>
    <row r="80" spans="1:1" ht="11.25" customHeight="1">
      <c r="A80" s="23" t="s">
        <v>5240</v>
      </c>
    </row>
    <row r="81" spans="1:1" ht="11.25" customHeight="1">
      <c r="A81" s="23" t="s">
        <v>5241</v>
      </c>
    </row>
    <row r="82" spans="1:1" ht="11.25" customHeight="1">
      <c r="A82" s="23" t="s">
        <v>5242</v>
      </c>
    </row>
    <row r="83" spans="1:1" ht="11.25" customHeight="1">
      <c r="A83" s="23" t="s">
        <v>5243</v>
      </c>
    </row>
    <row r="84" spans="1:1" ht="11.25" customHeight="1">
      <c r="A84" s="23" t="s">
        <v>5244</v>
      </c>
    </row>
    <row r="85" spans="1:1" ht="11.25" customHeight="1">
      <c r="A85" s="23" t="s">
        <v>4347</v>
      </c>
    </row>
    <row r="86" spans="1:1" ht="11.25" customHeight="1">
      <c r="A86" s="23" t="s">
        <v>3545</v>
      </c>
    </row>
    <row r="87" spans="1:1" ht="11.25" customHeight="1">
      <c r="A87" s="23" t="s">
        <v>5245</v>
      </c>
    </row>
    <row r="88" spans="1:1" ht="11.25" customHeight="1">
      <c r="A88" s="23" t="s">
        <v>3753</v>
      </c>
    </row>
    <row r="89" spans="1:1" ht="11.25" customHeight="1">
      <c r="A89" s="23" t="s">
        <v>5246</v>
      </c>
    </row>
    <row r="90" spans="1:1" ht="11.25" customHeight="1">
      <c r="A90" s="23" t="s">
        <v>5247</v>
      </c>
    </row>
    <row r="91" spans="1:1" ht="11.25" customHeight="1">
      <c r="A91" s="23" t="s">
        <v>5248</v>
      </c>
    </row>
    <row r="92" spans="1:1" ht="11.25" customHeight="1">
      <c r="A92" s="23" t="s">
        <v>5249</v>
      </c>
    </row>
    <row r="93" spans="1:1" ht="11.25" customHeight="1">
      <c r="A93" s="23" t="s">
        <v>3591</v>
      </c>
    </row>
    <row r="94" spans="1:1" ht="11.25" customHeight="1">
      <c r="A94" s="23" t="s">
        <v>5250</v>
      </c>
    </row>
    <row r="95" spans="1:1" ht="11.25" customHeight="1">
      <c r="A95" s="23" t="s">
        <v>5251</v>
      </c>
    </row>
    <row r="96" spans="1:1" ht="11.25" customHeight="1">
      <c r="A96" s="23" t="s">
        <v>5252</v>
      </c>
    </row>
    <row r="97" spans="1:1" ht="11.25" customHeight="1">
      <c r="A97" s="23" t="s">
        <v>5253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18153-8BAB-109A-FC28-72B0787E8B08}">
  <sheetPr>
    <tabColor rgb="FFFFCC99"/>
  </sheetPr>
  <dimension ref="A1:AG183"/>
  <sheetViews>
    <sheetView showGridLines="0" workbookViewId="0"/>
  </sheetViews>
  <sheetFormatPr defaultColWidth="9.140625" defaultRowHeight="12" customHeight="1"/>
  <cols>
    <col min="1" max="1" width="42.7109375" style="536" customWidth="1"/>
    <col min="2" max="2" width="6.7109375" style="536" customWidth="1"/>
    <col min="3" max="3" width="40.7109375" style="536" customWidth="1"/>
    <col min="4" max="4" width="15.5703125" style="536" customWidth="1"/>
    <col min="5" max="6" width="3.7109375" style="536" customWidth="1"/>
    <col min="7" max="7" width="32.7109375" style="536" customWidth="1"/>
    <col min="8" max="9" width="3.7109375" style="536" customWidth="1"/>
    <col min="10" max="10" width="4.7109375" style="536" customWidth="1"/>
    <col min="11" max="11" width="40.7109375" style="536" customWidth="1"/>
    <col min="12" max="12" width="4.7109375" style="536" customWidth="1"/>
    <col min="13" max="13" width="18.5703125" style="536" customWidth="1"/>
    <col min="14" max="15" width="4.7109375" style="536" customWidth="1"/>
    <col min="16" max="16" width="5.7109375" style="536" customWidth="1"/>
    <col min="17" max="18" width="12.5703125" style="536" customWidth="1"/>
    <col min="19" max="19" width="14.5703125" style="536" customWidth="1"/>
    <col min="20" max="20" width="18.85546875" style="536" customWidth="1"/>
    <col min="21" max="21" width="19.28515625" style="536" customWidth="1"/>
    <col min="22" max="22" width="39.140625" style="536" customWidth="1"/>
    <col min="23" max="23" width="41.7109375" style="536" customWidth="1"/>
    <col min="24" max="24" width="54.85546875" style="536" customWidth="1"/>
    <col min="25" max="26" width="22.85546875" style="536" customWidth="1"/>
    <col min="27" max="31" width="9.140625" style="536"/>
  </cols>
  <sheetData>
    <row r="1" spans="1:33" ht="12" customHeight="1">
      <c r="A1" s="45" t="s">
        <v>5254</v>
      </c>
      <c r="B1" s="44" t="s">
        <v>5255</v>
      </c>
      <c r="C1" s="45" t="s">
        <v>5254</v>
      </c>
      <c r="D1" s="336" t="s">
        <v>5256</v>
      </c>
      <c r="E1" s="96"/>
      <c r="F1" s="96"/>
      <c r="G1" s="97" t="s">
        <v>5257</v>
      </c>
      <c r="H1" s="96"/>
      <c r="I1" s="96"/>
      <c r="J1" s="96"/>
      <c r="K1" s="325" t="s">
        <v>5258</v>
      </c>
      <c r="L1" s="45"/>
      <c r="M1" s="97" t="s">
        <v>5259</v>
      </c>
      <c r="N1" s="96"/>
      <c r="O1" s="45"/>
      <c r="P1" s="96"/>
      <c r="Q1" s="97" t="s">
        <v>5260</v>
      </c>
      <c r="R1" s="97" t="s">
        <v>5261</v>
      </c>
      <c r="S1" s="97" t="s">
        <v>5262</v>
      </c>
      <c r="T1" s="97" t="s">
        <v>5263</v>
      </c>
      <c r="U1" s="97" t="s">
        <v>5264</v>
      </c>
      <c r="V1" s="104" t="s">
        <v>5265</v>
      </c>
      <c r="W1" s="104" t="s">
        <v>5266</v>
      </c>
      <c r="X1" s="104" t="s">
        <v>5267</v>
      </c>
      <c r="Y1" s="104" t="s">
        <v>5268</v>
      </c>
      <c r="Z1" s="104" t="s">
        <v>5269</v>
      </c>
      <c r="AA1" s="97" t="s">
        <v>5270</v>
      </c>
      <c r="AB1" s="97" t="s">
        <v>5271</v>
      </c>
      <c r="AC1" s="97" t="s">
        <v>5272</v>
      </c>
      <c r="AD1" s="97" t="s">
        <v>5273</v>
      </c>
      <c r="AE1" s="97" t="s">
        <v>5274</v>
      </c>
      <c r="AF1" s="1" t="s">
        <v>5275</v>
      </c>
      <c r="AG1" s="1" t="s">
        <v>5276</v>
      </c>
    </row>
    <row r="2" spans="1:33" ht="12" customHeight="1">
      <c r="A2" s="45" t="s">
        <v>5277</v>
      </c>
      <c r="B2" s="44" t="s">
        <v>5278</v>
      </c>
      <c r="C2" s="45" t="s">
        <v>5277</v>
      </c>
      <c r="D2" s="335" t="s">
        <v>5279</v>
      </c>
      <c r="E2" s="96"/>
      <c r="F2" s="96"/>
      <c r="G2" s="98" t="s">
        <v>160</v>
      </c>
      <c r="H2" s="96"/>
      <c r="I2" s="96"/>
      <c r="J2" s="96"/>
      <c r="K2" s="326" t="s">
        <v>5280</v>
      </c>
      <c r="L2" s="96"/>
      <c r="M2" s="99" t="s">
        <v>5281</v>
      </c>
      <c r="N2" s="96"/>
      <c r="O2" s="96"/>
      <c r="P2" s="96"/>
      <c r="Q2" s="98">
        <v>2012</v>
      </c>
      <c r="R2" s="98" t="s">
        <v>5282</v>
      </c>
      <c r="S2" s="98">
        <v>3</v>
      </c>
      <c r="T2" s="103" t="s">
        <v>276</v>
      </c>
      <c r="U2" s="103" t="s">
        <v>279</v>
      </c>
      <c r="V2" s="114" t="s">
        <v>281</v>
      </c>
      <c r="W2" s="114" t="s">
        <v>278</v>
      </c>
      <c r="X2" s="114" t="s">
        <v>421</v>
      </c>
      <c r="Y2" s="114" t="s">
        <v>5283</v>
      </c>
      <c r="Z2" s="114" t="s">
        <v>5283</v>
      </c>
      <c r="AA2" s="103" t="s">
        <v>5284</v>
      </c>
      <c r="AB2" s="103" t="s">
        <v>5285</v>
      </c>
      <c r="AC2" s="103" t="s">
        <v>5286</v>
      </c>
      <c r="AD2" s="103" t="s">
        <v>5287</v>
      </c>
      <c r="AE2" s="103" t="s">
        <v>275</v>
      </c>
      <c r="AF2" s="1" t="s">
        <v>5288</v>
      </c>
      <c r="AG2" s="1" t="s">
        <v>5289</v>
      </c>
    </row>
    <row r="3" spans="1:33" ht="12" customHeight="1">
      <c r="A3" s="45" t="s">
        <v>5290</v>
      </c>
      <c r="B3" s="44" t="s">
        <v>5291</v>
      </c>
      <c r="C3" s="45" t="s">
        <v>5290</v>
      </c>
      <c r="D3" s="96"/>
      <c r="E3" s="96"/>
      <c r="F3" s="96"/>
      <c r="G3" s="98" t="s">
        <v>151</v>
      </c>
      <c r="H3" s="96"/>
      <c r="I3" s="96"/>
      <c r="J3" s="96"/>
      <c r="L3" s="96"/>
      <c r="M3" s="96"/>
      <c r="N3" s="96"/>
      <c r="O3" s="96"/>
      <c r="P3" s="96"/>
      <c r="Q3" s="98">
        <v>2013</v>
      </c>
      <c r="R3" s="98" t="s">
        <v>5292</v>
      </c>
      <c r="S3" s="98">
        <v>4</v>
      </c>
      <c r="T3" s="103" t="s">
        <v>286</v>
      </c>
      <c r="U3" s="103" t="s">
        <v>5293</v>
      </c>
      <c r="V3" s="114" t="s">
        <v>5294</v>
      </c>
      <c r="W3" s="114" t="s">
        <v>5295</v>
      </c>
      <c r="X3" s="114" t="s">
        <v>5296</v>
      </c>
      <c r="Y3" s="114" t="s">
        <v>5297</v>
      </c>
      <c r="Z3" s="114" t="s">
        <v>5297</v>
      </c>
      <c r="AA3" s="103" t="s">
        <v>5298</v>
      </c>
      <c r="AB3" s="103" t="s">
        <v>5299</v>
      </c>
      <c r="AC3" s="103" t="s">
        <v>5300</v>
      </c>
      <c r="AD3" s="103" t="s">
        <v>5301</v>
      </c>
      <c r="AE3" s="103" t="s">
        <v>285</v>
      </c>
      <c r="AF3" s="1" t="s">
        <v>5302</v>
      </c>
      <c r="AG3" s="1" t="s">
        <v>5303</v>
      </c>
    </row>
    <row r="4" spans="1:33" ht="12" customHeight="1">
      <c r="A4" s="45" t="s">
        <v>5304</v>
      </c>
      <c r="B4" s="44" t="s">
        <v>5305</v>
      </c>
      <c r="C4" s="45" t="s">
        <v>5304</v>
      </c>
      <c r="D4" s="96"/>
      <c r="E4" s="96"/>
      <c r="F4" s="96"/>
      <c r="G4" s="96"/>
      <c r="H4" s="96"/>
      <c r="I4" s="96"/>
      <c r="J4" s="96"/>
      <c r="K4" s="325" t="s">
        <v>5306</v>
      </c>
      <c r="L4" s="96"/>
      <c r="M4" s="97" t="s">
        <v>5307</v>
      </c>
      <c r="N4" s="96"/>
      <c r="O4" s="96"/>
      <c r="P4" s="96"/>
      <c r="Q4" s="98">
        <v>2014</v>
      </c>
      <c r="R4" s="98" t="s">
        <v>5308</v>
      </c>
      <c r="S4" s="98">
        <v>5</v>
      </c>
      <c r="V4" s="114" t="s">
        <v>5309</v>
      </c>
      <c r="X4" s="114" t="s">
        <v>5310</v>
      </c>
      <c r="Y4" s="114" t="s">
        <v>5311</v>
      </c>
      <c r="Z4" s="114" t="s">
        <v>5311</v>
      </c>
      <c r="AB4" s="103" t="s">
        <v>5312</v>
      </c>
      <c r="AC4" s="103" t="s">
        <v>5313</v>
      </c>
      <c r="AD4" s="102"/>
      <c r="AE4" s="103" t="s">
        <v>325</v>
      </c>
      <c r="AF4" s="1" t="s">
        <v>5314</v>
      </c>
      <c r="AG4" s="1" t="s">
        <v>5315</v>
      </c>
    </row>
    <row r="5" spans="1:33" ht="12" customHeight="1">
      <c r="A5" s="45" t="s">
        <v>5316</v>
      </c>
      <c r="B5" s="44" t="s">
        <v>5317</v>
      </c>
      <c r="C5" s="45" t="s">
        <v>5316</v>
      </c>
      <c r="D5" s="96"/>
      <c r="E5" s="96"/>
      <c r="F5" s="96"/>
      <c r="G5" s="97" t="s">
        <v>5318</v>
      </c>
      <c r="H5" s="96"/>
      <c r="I5" s="96"/>
      <c r="J5" s="96"/>
      <c r="K5" s="98" t="s">
        <v>5319</v>
      </c>
      <c r="L5" s="96"/>
      <c r="M5" s="99">
        <v>1.2</v>
      </c>
      <c r="N5" s="96"/>
      <c r="O5" s="96"/>
      <c r="P5" s="96"/>
      <c r="Q5" s="98">
        <v>2015</v>
      </c>
      <c r="R5" s="98" t="s">
        <v>5320</v>
      </c>
      <c r="S5" s="98">
        <v>6</v>
      </c>
      <c r="V5" s="104" t="s">
        <v>5321</v>
      </c>
      <c r="W5" s="104" t="s">
        <v>5322</v>
      </c>
      <c r="X5" s="114" t="s">
        <v>5323</v>
      </c>
      <c r="Y5" s="114" t="s">
        <v>5324</v>
      </c>
      <c r="Z5" s="114" t="s">
        <v>5324</v>
      </c>
      <c r="AB5" s="103" t="s">
        <v>5325</v>
      </c>
      <c r="AC5" s="103" t="s">
        <v>5326</v>
      </c>
      <c r="AD5" s="102"/>
      <c r="AE5" s="103" t="s">
        <v>433</v>
      </c>
      <c r="AF5" s="1" t="s">
        <v>5327</v>
      </c>
      <c r="AG5" s="1" t="s">
        <v>5328</v>
      </c>
    </row>
    <row r="6" spans="1:33" ht="12" customHeight="1">
      <c r="A6" s="45" t="s">
        <v>5329</v>
      </c>
      <c r="B6" s="44" t="s">
        <v>5330</v>
      </c>
      <c r="C6" s="45" t="s">
        <v>5329</v>
      </c>
      <c r="D6" s="96"/>
      <c r="E6" s="96"/>
      <c r="F6" s="96"/>
      <c r="G6" s="97" t="s">
        <v>5331</v>
      </c>
      <c r="H6" s="96"/>
      <c r="I6" s="96"/>
      <c r="J6" s="96"/>
      <c r="K6" s="98" t="s">
        <v>5332</v>
      </c>
      <c r="L6" s="96"/>
      <c r="M6" s="96"/>
      <c r="N6" s="96"/>
      <c r="O6" s="96"/>
      <c r="P6" s="96"/>
      <c r="Q6" s="98">
        <v>2016</v>
      </c>
      <c r="R6" s="98" t="s">
        <v>5333</v>
      </c>
      <c r="S6" s="98">
        <v>7</v>
      </c>
      <c r="V6" s="114" t="s">
        <v>290</v>
      </c>
      <c r="W6" s="192" t="s">
        <v>288</v>
      </c>
      <c r="X6" s="114" t="s">
        <v>5334</v>
      </c>
      <c r="Y6" s="114" t="s">
        <v>891</v>
      </c>
      <c r="Z6" s="114" t="s">
        <v>891</v>
      </c>
      <c r="AB6" s="103" t="s">
        <v>5335</v>
      </c>
      <c r="AC6" s="102"/>
      <c r="AD6" s="102"/>
      <c r="AE6" s="103" t="s">
        <v>444</v>
      </c>
      <c r="AF6" s="1" t="s">
        <v>5336</v>
      </c>
      <c r="AG6" s="1" t="s">
        <v>5337</v>
      </c>
    </row>
    <row r="7" spans="1:33" ht="12" customHeight="1">
      <c r="A7" s="45" t="s">
        <v>5338</v>
      </c>
      <c r="B7" s="44" t="s">
        <v>5339</v>
      </c>
      <c r="C7" s="45" t="s">
        <v>5338</v>
      </c>
      <c r="D7" s="96"/>
      <c r="E7" s="96"/>
      <c r="F7" s="96"/>
      <c r="G7" s="100" t="s">
        <v>5340</v>
      </c>
      <c r="H7" s="96"/>
      <c r="I7" s="96"/>
      <c r="J7" s="96"/>
      <c r="K7" s="98" t="s">
        <v>5341</v>
      </c>
      <c r="L7" s="96"/>
      <c r="M7" s="97" t="s">
        <v>5342</v>
      </c>
      <c r="N7" s="96"/>
      <c r="O7" s="96"/>
      <c r="P7" s="96"/>
      <c r="Q7" s="98">
        <v>2017</v>
      </c>
      <c r="R7" s="98" t="s">
        <v>5343</v>
      </c>
      <c r="S7" s="98">
        <v>8</v>
      </c>
      <c r="V7" s="114" t="s">
        <v>5344</v>
      </c>
      <c r="X7" s="114" t="s">
        <v>5345</v>
      </c>
      <c r="Y7" s="114" t="s">
        <v>888</v>
      </c>
      <c r="Z7" s="114" t="s">
        <v>888</v>
      </c>
      <c r="AB7" s="103" t="s">
        <v>5346</v>
      </c>
      <c r="AC7" s="102"/>
      <c r="AD7" s="102"/>
      <c r="AE7" s="102"/>
      <c r="AF7" s="1" t="s">
        <v>5303</v>
      </c>
      <c r="AG7" s="1" t="s">
        <v>5347</v>
      </c>
    </row>
    <row r="8" spans="1:33" ht="12" customHeight="1">
      <c r="A8" s="45" t="s">
        <v>5348</v>
      </c>
      <c r="B8" s="44" t="s">
        <v>5349</v>
      </c>
      <c r="C8" s="45" t="s">
        <v>5348</v>
      </c>
      <c r="D8" s="96"/>
      <c r="E8" s="96"/>
      <c r="F8" s="96"/>
      <c r="G8" s="100" t="s">
        <v>5350</v>
      </c>
      <c r="H8" s="96"/>
      <c r="I8" s="96"/>
      <c r="J8" s="96"/>
      <c r="K8" s="98" t="s">
        <v>5351</v>
      </c>
      <c r="L8" s="96"/>
      <c r="M8" s="99" cm="1">
        <f t="array" aca="1" ref="M8" ca="1">IF(god="",YEAR(TODAY()),god)</f>
        <v>2026</v>
      </c>
      <c r="N8" s="96"/>
      <c r="O8" s="96"/>
      <c r="P8" s="96"/>
      <c r="Q8" s="98">
        <v>2018</v>
      </c>
      <c r="R8" s="98" t="s">
        <v>5352</v>
      </c>
      <c r="S8" s="98">
        <v>9</v>
      </c>
      <c r="V8" s="114" t="s">
        <v>5353</v>
      </c>
      <c r="X8" s="114" t="s">
        <v>5354</v>
      </c>
      <c r="Z8" s="114" t="s">
        <v>5355</v>
      </c>
      <c r="AB8" s="103" t="s">
        <v>5356</v>
      </c>
      <c r="AC8" s="102"/>
      <c r="AD8" s="102"/>
      <c r="AE8" s="102"/>
      <c r="AF8" s="1" t="s">
        <v>5315</v>
      </c>
      <c r="AG8" s="1" t="s">
        <v>5357</v>
      </c>
    </row>
    <row r="9" spans="1:33" ht="12" customHeight="1">
      <c r="A9" s="45" t="s">
        <v>5358</v>
      </c>
      <c r="B9" s="44" t="s">
        <v>5359</v>
      </c>
      <c r="C9" s="45" t="s">
        <v>5358</v>
      </c>
      <c r="D9" s="96"/>
      <c r="E9" s="96"/>
      <c r="F9" s="96"/>
      <c r="G9" s="100" t="s">
        <v>5360</v>
      </c>
      <c r="H9" s="96"/>
      <c r="I9" s="96"/>
      <c r="J9" s="96"/>
      <c r="K9" s="98" t="s">
        <v>5361</v>
      </c>
      <c r="L9" s="96"/>
      <c r="M9" s="96"/>
      <c r="N9" s="96"/>
      <c r="O9" s="96"/>
      <c r="P9" s="96"/>
      <c r="Q9" s="98">
        <v>2019</v>
      </c>
      <c r="R9" s="98" t="s">
        <v>5362</v>
      </c>
      <c r="S9" s="98">
        <v>10</v>
      </c>
      <c r="V9" s="114" t="s">
        <v>5363</v>
      </c>
      <c r="X9" s="114" t="s">
        <v>5364</v>
      </c>
      <c r="AB9" s="103" t="s">
        <v>5365</v>
      </c>
      <c r="AC9" s="102"/>
      <c r="AD9" s="102"/>
      <c r="AE9" s="102"/>
      <c r="AF9" s="1" t="s">
        <v>5328</v>
      </c>
      <c r="AG9" s="1" t="s">
        <v>5366</v>
      </c>
    </row>
    <row r="10" spans="1:33" ht="12" customHeight="1">
      <c r="A10" s="45" t="s">
        <v>5367</v>
      </c>
      <c r="B10" s="44" t="s">
        <v>5368</v>
      </c>
      <c r="C10" s="45" t="s">
        <v>5367</v>
      </c>
      <c r="D10" s="96"/>
      <c r="E10" s="96"/>
      <c r="F10" s="96"/>
      <c r="G10" s="101"/>
      <c r="H10" s="96"/>
      <c r="I10" s="96"/>
      <c r="J10" s="96"/>
      <c r="K10" s="98" t="s">
        <v>5369</v>
      </c>
      <c r="L10" s="96"/>
      <c r="M10" s="97" t="s">
        <v>5370</v>
      </c>
      <c r="N10" s="96"/>
      <c r="O10" s="96"/>
      <c r="P10" s="96"/>
      <c r="Q10" s="98">
        <v>2020</v>
      </c>
      <c r="R10" s="98" t="s">
        <v>5371</v>
      </c>
      <c r="S10" s="98">
        <v>11</v>
      </c>
      <c r="V10" s="114" t="s">
        <v>5372</v>
      </c>
      <c r="X10" s="114" t="s">
        <v>5373</v>
      </c>
      <c r="AB10" s="103" t="s">
        <v>5374</v>
      </c>
      <c r="AC10" s="102"/>
      <c r="AD10" s="102"/>
      <c r="AE10" s="102"/>
      <c r="AF10" s="1" t="s">
        <v>5337</v>
      </c>
      <c r="AG10" s="1" t="s">
        <v>5375</v>
      </c>
    </row>
    <row r="11" spans="1:33" ht="12" customHeight="1">
      <c r="A11" s="321" t="s">
        <v>5376</v>
      </c>
      <c r="B11" s="44" t="s">
        <v>5377</v>
      </c>
      <c r="C11" s="45" t="s">
        <v>5378</v>
      </c>
      <c r="D11" s="96"/>
      <c r="E11" s="96"/>
      <c r="F11" s="96"/>
      <c r="G11" s="97" t="s">
        <v>5379</v>
      </c>
      <c r="H11" s="96"/>
      <c r="I11" s="96"/>
      <c r="J11" s="96"/>
      <c r="K11" s="98" t="s">
        <v>5380</v>
      </c>
      <c r="L11" s="96"/>
      <c r="M11" s="99" t="str">
        <f ca="1">"01.01."&amp;PERIOD</f>
        <v>01.01.2026</v>
      </c>
      <c r="N11" s="96"/>
      <c r="O11" s="96"/>
      <c r="P11" s="96"/>
      <c r="Q11" s="98">
        <v>2021</v>
      </c>
      <c r="R11" s="98" t="s">
        <v>5381</v>
      </c>
      <c r="S11" s="98">
        <v>12</v>
      </c>
      <c r="V11" s="114" t="s">
        <v>5382</v>
      </c>
      <c r="X11" s="114" t="s">
        <v>5383</v>
      </c>
      <c r="AB11" s="103" t="s">
        <v>5384</v>
      </c>
      <c r="AC11" s="102"/>
      <c r="AD11" s="102"/>
      <c r="AE11" s="102"/>
      <c r="AF11" s="1" t="s">
        <v>5347</v>
      </c>
      <c r="AG11" s="1" t="s">
        <v>5385</v>
      </c>
    </row>
    <row r="12" spans="1:33" ht="12" customHeight="1">
      <c r="A12" s="321" t="s">
        <v>5386</v>
      </c>
      <c r="B12" s="44" t="s">
        <v>5387</v>
      </c>
      <c r="C12" s="45"/>
      <c r="D12" s="96"/>
      <c r="E12" s="96"/>
      <c r="F12" s="96"/>
      <c r="G12" s="97" t="s">
        <v>5388</v>
      </c>
      <c r="H12" s="96"/>
      <c r="I12" s="96"/>
      <c r="J12" s="96"/>
      <c r="K12" s="96"/>
      <c r="L12" s="96"/>
      <c r="M12" s="99" t="str">
        <f ca="1">"31.12."&amp;PERIOD</f>
        <v>31.12.2026</v>
      </c>
      <c r="N12" s="96"/>
      <c r="O12" s="96"/>
      <c r="P12" s="96"/>
      <c r="Q12" s="98">
        <v>2022</v>
      </c>
      <c r="R12" s="98" t="s">
        <v>5389</v>
      </c>
      <c r="S12" s="98">
        <v>13</v>
      </c>
      <c r="X12" s="114" t="s">
        <v>5390</v>
      </c>
      <c r="AB12" s="103" t="s">
        <v>5391</v>
      </c>
      <c r="AC12" s="102"/>
      <c r="AD12" s="102"/>
      <c r="AE12" s="102"/>
      <c r="AF12" s="1" t="s">
        <v>5357</v>
      </c>
      <c r="AG12" s="1" t="s">
        <v>5392</v>
      </c>
    </row>
    <row r="13" spans="1:33" ht="12" customHeight="1">
      <c r="A13" s="321" t="s">
        <v>5393</v>
      </c>
      <c r="B13" s="44" t="s">
        <v>5394</v>
      </c>
      <c r="C13" s="45" t="s">
        <v>5395</v>
      </c>
      <c r="D13" s="96"/>
      <c r="E13" s="96"/>
      <c r="F13" s="96"/>
      <c r="G13" s="100" t="s">
        <v>5396</v>
      </c>
      <c r="H13" s="96"/>
      <c r="I13" s="96"/>
      <c r="J13" s="96"/>
      <c r="K13" s="97" t="s">
        <v>5397</v>
      </c>
      <c r="L13" s="96"/>
      <c r="M13" s="96"/>
      <c r="N13" s="96"/>
      <c r="O13" s="96"/>
      <c r="P13" s="96"/>
      <c r="Q13" s="98">
        <v>2023</v>
      </c>
      <c r="R13" s="98" t="s">
        <v>5398</v>
      </c>
      <c r="S13" s="98">
        <v>14</v>
      </c>
      <c r="X13" s="114" t="s">
        <v>5399</v>
      </c>
      <c r="AB13" s="103" t="s">
        <v>5400</v>
      </c>
      <c r="AC13" s="102"/>
      <c r="AD13" s="102"/>
      <c r="AE13" s="102"/>
      <c r="AF13" s="1" t="s">
        <v>5366</v>
      </c>
      <c r="AG13" s="1" t="s">
        <v>5401</v>
      </c>
    </row>
    <row r="14" spans="1:33" ht="12" customHeight="1">
      <c r="A14" s="321" t="s">
        <v>5402</v>
      </c>
      <c r="B14" s="44" t="s">
        <v>5403</v>
      </c>
      <c r="C14" s="45" t="s">
        <v>5404</v>
      </c>
      <c r="D14" s="96"/>
      <c r="E14" s="96"/>
      <c r="F14" s="96"/>
      <c r="G14" s="100" t="s">
        <v>5405</v>
      </c>
      <c r="H14" s="96"/>
      <c r="I14" s="96"/>
      <c r="J14" s="96"/>
      <c r="K14" s="363" t="s">
        <v>104</v>
      </c>
      <c r="L14" s="96"/>
      <c r="M14" s="97" t="s">
        <v>5406</v>
      </c>
      <c r="N14" s="96"/>
      <c r="O14" s="96"/>
      <c r="P14" s="96"/>
      <c r="Q14" s="98">
        <v>2024</v>
      </c>
      <c r="R14" s="96"/>
      <c r="S14" s="98">
        <v>15</v>
      </c>
      <c r="X14" s="114" t="s">
        <v>5407</v>
      </c>
      <c r="AB14" s="103" t="s">
        <v>5408</v>
      </c>
      <c r="AC14" s="102"/>
      <c r="AD14" s="102"/>
      <c r="AE14" s="102"/>
      <c r="AF14" s="1" t="s">
        <v>5375</v>
      </c>
      <c r="AG14" s="1" t="s">
        <v>5409</v>
      </c>
    </row>
    <row r="15" spans="1:33" ht="12" customHeight="1">
      <c r="A15" s="322" t="s">
        <v>5410</v>
      </c>
      <c r="B15" s="323" t="s">
        <v>5411</v>
      </c>
      <c r="C15" s="322"/>
      <c r="D15" s="96"/>
      <c r="E15" s="96"/>
      <c r="F15" s="96"/>
      <c r="G15" s="100" t="s">
        <v>5412</v>
      </c>
      <c r="H15" s="96"/>
      <c r="I15" s="96"/>
      <c r="J15" s="96"/>
      <c r="K15" s="363" t="s">
        <v>5413</v>
      </c>
      <c r="L15" s="96"/>
      <c r="M15" s="99" t="str">
        <f ca="1">"01.01."&amp;PERIOD</f>
        <v>01.01.2026</v>
      </c>
      <c r="N15" s="96"/>
      <c r="O15" s="96"/>
      <c r="P15" s="96"/>
      <c r="Q15" s="98">
        <v>2025</v>
      </c>
      <c r="R15" s="96"/>
      <c r="S15" s="98">
        <v>16</v>
      </c>
      <c r="AB15" s="103" t="s">
        <v>5414</v>
      </c>
      <c r="AC15" s="102"/>
      <c r="AD15" s="102"/>
      <c r="AE15" s="102"/>
      <c r="AF15" s="1" t="s">
        <v>5385</v>
      </c>
      <c r="AG15" s="1" t="s">
        <v>5415</v>
      </c>
    </row>
    <row r="16" spans="1:33" ht="12" customHeight="1">
      <c r="A16" s="45" t="s">
        <v>5416</v>
      </c>
      <c r="B16" s="44" t="s">
        <v>5417</v>
      </c>
      <c r="C16" s="45" t="s">
        <v>5416</v>
      </c>
      <c r="D16" s="96"/>
      <c r="E16" s="96"/>
      <c r="F16" s="96"/>
      <c r="G16" s="100" t="s">
        <v>157</v>
      </c>
      <c r="H16" s="96"/>
      <c r="I16" s="96"/>
      <c r="J16" s="96"/>
      <c r="K16" s="363" t="s">
        <v>5418</v>
      </c>
      <c r="L16" s="96"/>
      <c r="M16" s="99" t="str">
        <f ca="1">"31.12."&amp;PERIOD</f>
        <v>31.12.2026</v>
      </c>
      <c r="N16" s="96"/>
      <c r="O16" s="96"/>
      <c r="P16" s="96"/>
      <c r="Q16" s="98">
        <v>2026</v>
      </c>
      <c r="R16" s="96"/>
      <c r="S16" s="98">
        <v>17</v>
      </c>
      <c r="X16" s="104" t="s">
        <v>5419</v>
      </c>
      <c r="AB16" s="103" t="s">
        <v>5420</v>
      </c>
      <c r="AC16" s="102"/>
      <c r="AD16" s="102"/>
      <c r="AE16" s="102"/>
      <c r="AF16" s="1" t="s">
        <v>5392</v>
      </c>
      <c r="AG16" s="1" t="s">
        <v>5421</v>
      </c>
    </row>
    <row r="17" spans="1:33" ht="23.25" customHeight="1">
      <c r="A17" s="45" t="s">
        <v>5422</v>
      </c>
      <c r="B17" s="44" t="s">
        <v>5423</v>
      </c>
      <c r="C17" s="45" t="s">
        <v>5422</v>
      </c>
      <c r="D17" s="96"/>
      <c r="E17" s="96"/>
      <c r="F17" s="96"/>
      <c r="G17" s="96"/>
      <c r="H17" s="96"/>
      <c r="I17" s="96"/>
      <c r="J17" s="96"/>
      <c r="K17" s="363" t="s">
        <v>5424</v>
      </c>
      <c r="L17" s="96"/>
      <c r="M17" s="85"/>
      <c r="N17" s="96"/>
      <c r="O17" s="96"/>
      <c r="P17" s="96"/>
      <c r="Q17" s="98">
        <v>2027</v>
      </c>
      <c r="R17" s="96"/>
      <c r="S17" s="98">
        <v>18</v>
      </c>
      <c r="X17" s="114" t="s">
        <v>422</v>
      </c>
      <c r="AB17" s="103" t="s">
        <v>5425</v>
      </c>
      <c r="AC17" s="102"/>
      <c r="AD17" s="102"/>
      <c r="AE17" s="102"/>
      <c r="AF17" s="1" t="s">
        <v>5401</v>
      </c>
      <c r="AG17" s="1" t="s">
        <v>5426</v>
      </c>
    </row>
    <row r="18" spans="1:33" ht="12" customHeight="1">
      <c r="A18" s="322" t="s">
        <v>5427</v>
      </c>
      <c r="B18" s="323" t="s">
        <v>5428</v>
      </c>
      <c r="C18" s="322"/>
      <c r="D18" s="96"/>
      <c r="E18" s="96"/>
      <c r="F18" s="430"/>
      <c r="G18" s="97" t="s">
        <v>5429</v>
      </c>
      <c r="H18" s="96"/>
      <c r="I18" s="96"/>
      <c r="J18" s="96"/>
      <c r="K18" s="96"/>
      <c r="L18" s="96"/>
      <c r="M18" s="97" t="s">
        <v>5430</v>
      </c>
      <c r="N18" s="96"/>
      <c r="O18" s="96"/>
      <c r="P18" s="96"/>
      <c r="Q18" s="98">
        <v>2028</v>
      </c>
      <c r="R18" s="96"/>
      <c r="S18" s="98">
        <v>19</v>
      </c>
      <c r="X18" s="114" t="s">
        <v>5431</v>
      </c>
      <c r="AB18" s="103" t="s">
        <v>5432</v>
      </c>
      <c r="AC18" s="102"/>
      <c r="AD18" s="102"/>
      <c r="AE18" s="102"/>
      <c r="AF18" s="1" t="s">
        <v>5409</v>
      </c>
      <c r="AG18" s="1" t="s">
        <v>5433</v>
      </c>
    </row>
    <row r="19" spans="1:33" ht="12" customHeight="1">
      <c r="A19" s="45" t="s">
        <v>5434</v>
      </c>
      <c r="B19" s="44" t="s">
        <v>5435</v>
      </c>
      <c r="C19" s="45" t="s">
        <v>5434</v>
      </c>
      <c r="D19" s="96"/>
      <c r="E19" s="96"/>
      <c r="F19" s="430"/>
      <c r="G19" s="429" t="s">
        <v>5436</v>
      </c>
      <c r="H19" s="96"/>
      <c r="I19" s="96"/>
      <c r="J19" s="96"/>
      <c r="K19" s="97" t="s">
        <v>5437</v>
      </c>
      <c r="L19" s="96"/>
      <c r="M19" s="99" t="str">
        <f ca="1">"01.01."&amp;PERIOD</f>
        <v>01.01.2026</v>
      </c>
      <c r="N19" s="96"/>
      <c r="O19" s="96"/>
      <c r="P19" s="96"/>
      <c r="Q19" s="98">
        <v>2029</v>
      </c>
      <c r="R19" s="96"/>
      <c r="S19" s="98">
        <v>20</v>
      </c>
      <c r="X19" s="114" t="s">
        <v>5438</v>
      </c>
      <c r="AB19" s="103" t="s">
        <v>5439</v>
      </c>
      <c r="AC19" s="102"/>
      <c r="AD19" s="102"/>
      <c r="AE19" s="102"/>
      <c r="AF19" s="1" t="s">
        <v>5415</v>
      </c>
      <c r="AG19" s="1" t="s">
        <v>5440</v>
      </c>
    </row>
    <row r="20" spans="1:33" ht="12" customHeight="1">
      <c r="A20" s="45" t="s">
        <v>5441</v>
      </c>
      <c r="B20" s="44" t="s">
        <v>5442</v>
      </c>
      <c r="C20" s="45" t="s">
        <v>5441</v>
      </c>
      <c r="D20" s="96"/>
      <c r="E20" s="96"/>
      <c r="F20" s="430"/>
      <c r="G20" s="429" t="s">
        <v>5443</v>
      </c>
      <c r="H20" s="96"/>
      <c r="I20" s="96"/>
      <c r="J20" s="96"/>
      <c r="K20" s="363" t="s">
        <v>5444</v>
      </c>
      <c r="L20" s="96"/>
      <c r="M20" s="99" t="str">
        <f ca="1">"31.12."&amp;PERIOD</f>
        <v>31.12.2026</v>
      </c>
      <c r="N20" s="96"/>
      <c r="O20" s="96"/>
      <c r="P20" s="96"/>
      <c r="Q20" s="98">
        <v>2030</v>
      </c>
      <c r="R20" s="96"/>
      <c r="S20" s="98">
        <v>21</v>
      </c>
      <c r="X20" s="114" t="s">
        <v>256</v>
      </c>
      <c r="AB20" s="103" t="s">
        <v>5445</v>
      </c>
      <c r="AC20" s="102"/>
      <c r="AD20" s="102"/>
      <c r="AE20" s="102"/>
      <c r="AF20" s="1" t="s">
        <v>5421</v>
      </c>
      <c r="AG20" s="1" t="s">
        <v>5446</v>
      </c>
    </row>
    <row r="21" spans="1:33" ht="12" customHeight="1">
      <c r="A21" s="45" t="s">
        <v>5447</v>
      </c>
      <c r="B21" s="44" t="s">
        <v>5448</v>
      </c>
      <c r="C21" s="45" t="s">
        <v>5449</v>
      </c>
      <c r="D21" s="96"/>
      <c r="E21" s="96"/>
      <c r="F21" s="96"/>
      <c r="G21" s="96"/>
      <c r="H21" s="96"/>
      <c r="I21" s="96"/>
      <c r="J21" s="96"/>
      <c r="K21" s="363" t="s">
        <v>5450</v>
      </c>
      <c r="L21" s="96"/>
      <c r="M21" s="96"/>
      <c r="N21" s="96"/>
      <c r="O21" s="96"/>
      <c r="P21" s="96"/>
      <c r="Q21" s="96"/>
      <c r="R21" s="96"/>
      <c r="S21" s="98">
        <v>22</v>
      </c>
      <c r="X21" s="114" t="s">
        <v>5451</v>
      </c>
      <c r="AB21" s="103" t="s">
        <v>5452</v>
      </c>
      <c r="AC21" s="102"/>
      <c r="AD21" s="102"/>
      <c r="AE21" s="102"/>
      <c r="AF21" s="1" t="s">
        <v>5426</v>
      </c>
      <c r="AG21" s="1" t="s">
        <v>5453</v>
      </c>
    </row>
    <row r="22" spans="1:33" ht="12" customHeight="1">
      <c r="A22" s="45" t="s">
        <v>5454</v>
      </c>
      <c r="B22" s="44" t="s">
        <v>5455</v>
      </c>
      <c r="C22" s="45" t="s">
        <v>5454</v>
      </c>
      <c r="D22" s="96"/>
      <c r="E22" s="96"/>
      <c r="F22" s="96"/>
      <c r="G22" s="96"/>
      <c r="H22" s="96"/>
      <c r="I22" s="96"/>
      <c r="J22" s="96"/>
      <c r="K22" s="363" t="s">
        <v>5456</v>
      </c>
      <c r="L22" s="96"/>
      <c r="M22" s="96"/>
      <c r="N22" s="96"/>
      <c r="O22" s="96"/>
      <c r="P22" s="96"/>
      <c r="Q22" s="96"/>
      <c r="R22" s="96"/>
      <c r="S22" s="98">
        <v>23</v>
      </c>
      <c r="X22" s="114" t="s">
        <v>5457</v>
      </c>
      <c r="AB22" s="103" t="s">
        <v>5458</v>
      </c>
      <c r="AC22" s="102"/>
      <c r="AD22" s="102"/>
      <c r="AE22" s="102"/>
      <c r="AF22" s="1" t="s">
        <v>5433</v>
      </c>
      <c r="AG22" s="1" t="s">
        <v>5459</v>
      </c>
    </row>
    <row r="23" spans="1:33" ht="12" customHeight="1">
      <c r="A23" s="45" t="s">
        <v>5460</v>
      </c>
      <c r="B23" s="44" t="s">
        <v>5461</v>
      </c>
      <c r="C23" s="45" t="s">
        <v>5460</v>
      </c>
      <c r="D23" s="96"/>
      <c r="E23" s="96"/>
      <c r="F23" s="96"/>
      <c r="G23" s="96"/>
      <c r="H23" s="96"/>
      <c r="I23" s="96"/>
      <c r="J23" s="96"/>
      <c r="K23" s="363" t="s">
        <v>5462</v>
      </c>
      <c r="L23" s="96"/>
      <c r="M23" s="96"/>
      <c r="N23" s="96"/>
      <c r="O23" s="96"/>
      <c r="P23" s="96"/>
      <c r="Q23" s="96"/>
      <c r="R23" s="96"/>
      <c r="S23" s="98">
        <v>24</v>
      </c>
      <c r="X23" s="114" t="s">
        <v>5463</v>
      </c>
      <c r="AF23" s="1" t="s">
        <v>5440</v>
      </c>
      <c r="AG23" s="1" t="s">
        <v>5464</v>
      </c>
    </row>
    <row r="24" spans="1:33" ht="12" customHeight="1">
      <c r="A24" s="45" t="s">
        <v>5465</v>
      </c>
      <c r="B24" s="44" t="s">
        <v>5466</v>
      </c>
      <c r="C24" s="45" t="s">
        <v>5465</v>
      </c>
      <c r="D24" s="96"/>
      <c r="E24" s="96"/>
      <c r="F24" s="96"/>
      <c r="G24" s="96"/>
      <c r="H24" s="96"/>
      <c r="I24" s="96"/>
      <c r="J24" s="96"/>
      <c r="K24" s="363" t="s">
        <v>5467</v>
      </c>
      <c r="L24" s="96"/>
      <c r="M24" s="96"/>
      <c r="N24" s="96"/>
      <c r="O24" s="96"/>
      <c r="P24" s="96"/>
      <c r="Q24" s="96"/>
      <c r="R24" s="96"/>
      <c r="S24" s="98">
        <v>25</v>
      </c>
      <c r="X24" s="114" t="s">
        <v>5468</v>
      </c>
      <c r="AF24" s="1" t="s">
        <v>5446</v>
      </c>
      <c r="AG24" s="1" t="s">
        <v>5469</v>
      </c>
    </row>
    <row r="25" spans="1:33" ht="12" customHeight="1">
      <c r="A25" s="45" t="s">
        <v>5470</v>
      </c>
      <c r="B25" s="44" t="s">
        <v>5471</v>
      </c>
      <c r="C25" s="45" t="s">
        <v>5472</v>
      </c>
      <c r="D25" s="96"/>
      <c r="E25" s="96"/>
      <c r="F25" s="96"/>
      <c r="G25" s="96"/>
      <c r="H25" s="96"/>
      <c r="I25" s="96"/>
      <c r="J25" s="96"/>
      <c r="K25" s="96"/>
      <c r="L25" s="96"/>
      <c r="M25" s="96"/>
      <c r="N25" s="96"/>
      <c r="O25" s="96"/>
      <c r="P25" s="96"/>
      <c r="Q25" s="96"/>
      <c r="R25" s="96"/>
      <c r="S25" s="98">
        <v>26</v>
      </c>
      <c r="X25" s="114" t="s">
        <v>5473</v>
      </c>
      <c r="AF25" s="1" t="s">
        <v>5453</v>
      </c>
      <c r="AG25" s="1" t="s">
        <v>5474</v>
      </c>
    </row>
    <row r="26" spans="1:33" ht="12" customHeight="1">
      <c r="A26" s="45" t="s">
        <v>102</v>
      </c>
      <c r="B26" s="44" t="s">
        <v>5475</v>
      </c>
      <c r="C26" s="45" t="s">
        <v>102</v>
      </c>
      <c r="D26" s="96"/>
      <c r="E26" s="96"/>
      <c r="F26" s="96"/>
      <c r="G26" s="96"/>
      <c r="H26" s="96"/>
      <c r="I26" s="96"/>
      <c r="J26" s="96"/>
      <c r="K26" s="97" t="s">
        <v>5476</v>
      </c>
      <c r="L26" s="96"/>
      <c r="M26" s="96"/>
      <c r="N26" s="96"/>
      <c r="O26" s="96"/>
      <c r="P26" s="96"/>
      <c r="Q26" s="96"/>
      <c r="R26" s="96"/>
      <c r="S26" s="98">
        <v>27</v>
      </c>
      <c r="X26" s="114" t="s">
        <v>5477</v>
      </c>
      <c r="AF26" s="1" t="s">
        <v>5459</v>
      </c>
      <c r="AG26" s="1" t="s">
        <v>5478</v>
      </c>
    </row>
    <row r="27" spans="1:33" ht="12" customHeight="1">
      <c r="A27" s="45" t="s">
        <v>5479</v>
      </c>
      <c r="B27" s="44" t="s">
        <v>5480</v>
      </c>
      <c r="C27" s="45" t="s">
        <v>5479</v>
      </c>
      <c r="D27" s="96"/>
      <c r="E27" s="96"/>
      <c r="F27" s="96"/>
      <c r="G27" s="96"/>
      <c r="H27" s="96"/>
      <c r="I27" s="96"/>
      <c r="J27" s="96"/>
      <c r="K27" s="363" t="s">
        <v>5481</v>
      </c>
      <c r="L27" s="96"/>
      <c r="M27" s="96"/>
      <c r="N27" s="96"/>
      <c r="O27" s="96"/>
      <c r="P27" s="96"/>
      <c r="Q27" s="96"/>
      <c r="R27" s="96"/>
      <c r="S27" s="98">
        <v>28</v>
      </c>
      <c r="X27" s="114" t="s">
        <v>5482</v>
      </c>
      <c r="AF27" s="1" t="s">
        <v>5464</v>
      </c>
      <c r="AG27" s="1" t="s">
        <v>5483</v>
      </c>
    </row>
    <row r="28" spans="1:33" ht="12" customHeight="1">
      <c r="A28" s="45" t="s">
        <v>5484</v>
      </c>
      <c r="B28" s="44" t="s">
        <v>5485</v>
      </c>
      <c r="C28" s="45" t="s">
        <v>5484</v>
      </c>
      <c r="D28" s="96"/>
      <c r="E28" s="96"/>
      <c r="F28" s="96"/>
      <c r="G28" s="96"/>
      <c r="H28" s="96"/>
      <c r="I28" s="96"/>
      <c r="J28" s="96"/>
      <c r="K28" s="363" t="s">
        <v>5486</v>
      </c>
      <c r="L28" s="96"/>
      <c r="M28" s="96"/>
      <c r="N28" s="96"/>
      <c r="O28" s="96"/>
      <c r="P28" s="96"/>
      <c r="Q28" s="96"/>
      <c r="R28" s="96"/>
      <c r="S28" s="98">
        <v>29</v>
      </c>
      <c r="X28" s="114" t="s">
        <v>5487</v>
      </c>
      <c r="AF28" s="1" t="s">
        <v>5469</v>
      </c>
      <c r="AG28" s="1" t="s">
        <v>5488</v>
      </c>
    </row>
    <row r="29" spans="1:33" ht="12" customHeight="1">
      <c r="A29" s="45" t="s">
        <v>5489</v>
      </c>
      <c r="B29" s="44" t="s">
        <v>5490</v>
      </c>
      <c r="C29" s="45" t="s">
        <v>5489</v>
      </c>
      <c r="D29" s="96"/>
      <c r="E29" s="96"/>
      <c r="F29" s="96"/>
      <c r="G29" s="96"/>
      <c r="H29" s="96"/>
      <c r="I29" s="96"/>
      <c r="J29" s="96"/>
      <c r="K29" s="363" t="s">
        <v>5491</v>
      </c>
      <c r="L29" s="96"/>
      <c r="M29" s="96"/>
      <c r="N29" s="96"/>
      <c r="O29" s="96"/>
      <c r="P29" s="96"/>
      <c r="Q29" s="96"/>
      <c r="R29" s="96"/>
      <c r="S29" s="98">
        <v>30</v>
      </c>
      <c r="X29" s="114" t="s">
        <v>5492</v>
      </c>
      <c r="AF29" s="1" t="s">
        <v>5474</v>
      </c>
      <c r="AG29" s="1" t="s">
        <v>5493</v>
      </c>
    </row>
    <row r="30" spans="1:33" ht="12" customHeight="1">
      <c r="A30" s="45" t="s">
        <v>5494</v>
      </c>
      <c r="B30" s="44" t="s">
        <v>5495</v>
      </c>
      <c r="C30" s="45" t="s">
        <v>5494</v>
      </c>
      <c r="D30" s="96"/>
      <c r="E30" s="96"/>
      <c r="F30" s="96"/>
      <c r="G30" s="96"/>
      <c r="H30" s="96"/>
      <c r="I30" s="96"/>
      <c r="J30" s="96"/>
      <c r="K30" s="96"/>
      <c r="L30" s="96"/>
      <c r="M30" s="96"/>
      <c r="N30" s="96"/>
      <c r="O30" s="96"/>
      <c r="P30" s="96"/>
      <c r="Q30" s="96"/>
      <c r="R30" s="96"/>
      <c r="S30" s="98">
        <v>31</v>
      </c>
      <c r="X30" s="114" t="s">
        <v>5496</v>
      </c>
      <c r="AF30" s="1" t="s">
        <v>5478</v>
      </c>
      <c r="AG30" s="1" t="s">
        <v>5497</v>
      </c>
    </row>
    <row r="31" spans="1:33" ht="12" customHeight="1">
      <c r="A31" s="45" t="s">
        <v>5498</v>
      </c>
      <c r="B31" s="44" t="s">
        <v>5499</v>
      </c>
      <c r="C31" s="45" t="s">
        <v>5498</v>
      </c>
      <c r="D31" s="96"/>
      <c r="E31" s="96"/>
      <c r="F31" s="96"/>
      <c r="G31" s="96"/>
      <c r="H31" s="96"/>
      <c r="I31" s="96"/>
      <c r="J31" s="96"/>
      <c r="K31" s="96"/>
      <c r="L31" s="96"/>
      <c r="M31" s="96"/>
      <c r="N31" s="96"/>
      <c r="O31" s="96"/>
      <c r="P31" s="96"/>
      <c r="Q31" s="96"/>
      <c r="R31" s="96"/>
      <c r="S31" s="98">
        <v>32</v>
      </c>
      <c r="X31" s="114" t="s">
        <v>5500</v>
      </c>
      <c r="AF31" s="1" t="s">
        <v>5501</v>
      </c>
      <c r="AG31" s="1" t="s">
        <v>5502</v>
      </c>
    </row>
    <row r="32" spans="1:33" ht="12" customHeight="1">
      <c r="A32" s="45" t="s">
        <v>5503</v>
      </c>
      <c r="B32" s="44" t="s">
        <v>5504</v>
      </c>
      <c r="C32" s="45" t="s">
        <v>5503</v>
      </c>
      <c r="D32" s="96"/>
      <c r="E32" s="96"/>
      <c r="F32" s="96"/>
      <c r="G32" s="96"/>
      <c r="H32" s="96"/>
      <c r="I32" s="96"/>
      <c r="J32" s="96"/>
      <c r="K32" s="96"/>
      <c r="L32" s="96"/>
      <c r="M32" s="96"/>
      <c r="N32" s="96"/>
      <c r="O32" s="96"/>
      <c r="P32" s="96"/>
      <c r="Q32" s="96"/>
      <c r="R32" s="96"/>
      <c r="S32" s="98">
        <v>33</v>
      </c>
      <c r="X32" s="114" t="s">
        <v>5505</v>
      </c>
      <c r="AF32" t="s">
        <v>5506</v>
      </c>
      <c r="AG32" t="s">
        <v>5507</v>
      </c>
    </row>
    <row r="33" spans="1:33" ht="12" customHeight="1">
      <c r="A33" s="45" t="s">
        <v>5508</v>
      </c>
      <c r="B33" s="44" t="s">
        <v>5509</v>
      </c>
      <c r="C33" s="45" t="s">
        <v>5508</v>
      </c>
      <c r="D33" s="96"/>
      <c r="E33" s="96"/>
      <c r="F33" s="96"/>
      <c r="G33" s="96"/>
      <c r="H33" s="96"/>
      <c r="I33" s="96"/>
      <c r="J33" s="96"/>
      <c r="K33" s="96"/>
      <c r="L33" s="96"/>
      <c r="M33" s="96"/>
      <c r="N33" s="96"/>
      <c r="O33" s="96"/>
      <c r="P33" s="96"/>
      <c r="Q33" s="96"/>
      <c r="R33" s="96"/>
      <c r="S33" s="98">
        <v>34</v>
      </c>
      <c r="X33" s="114" t="s">
        <v>5510</v>
      </c>
      <c r="AF33" t="s">
        <v>5511</v>
      </c>
      <c r="AG33" t="s">
        <v>5512</v>
      </c>
    </row>
    <row r="34" spans="1:33" ht="12" customHeight="1">
      <c r="A34" s="45" t="s">
        <v>5513</v>
      </c>
      <c r="B34" s="44" t="s">
        <v>5514</v>
      </c>
      <c r="C34" s="45" t="s">
        <v>5513</v>
      </c>
      <c r="D34" s="96"/>
      <c r="E34" s="96"/>
      <c r="F34" s="96"/>
      <c r="G34" s="96"/>
      <c r="H34" s="96"/>
      <c r="I34" s="96"/>
      <c r="J34" s="96"/>
      <c r="K34" s="96"/>
      <c r="L34" s="96"/>
      <c r="M34" s="96"/>
      <c r="N34" s="96"/>
      <c r="O34" s="96"/>
      <c r="P34" s="96"/>
      <c r="Q34" s="96"/>
      <c r="R34" s="96"/>
      <c r="S34" s="98">
        <v>35</v>
      </c>
      <c r="X34" s="114" t="s">
        <v>5515</v>
      </c>
      <c r="AF34" t="s">
        <v>5516</v>
      </c>
      <c r="AG34" t="s">
        <v>5517</v>
      </c>
    </row>
    <row r="35" spans="1:33" ht="12" customHeight="1">
      <c r="A35" s="322" t="s">
        <v>5518</v>
      </c>
      <c r="B35" s="323" t="s">
        <v>5519</v>
      </c>
      <c r="C35" s="322"/>
      <c r="D35" s="96"/>
      <c r="E35" s="96"/>
      <c r="F35" s="96"/>
      <c r="G35" s="96"/>
      <c r="H35" s="96"/>
      <c r="I35" s="96"/>
      <c r="J35" s="96"/>
      <c r="K35" s="96"/>
      <c r="L35" s="96"/>
      <c r="M35" s="96"/>
      <c r="N35" s="96"/>
      <c r="O35" s="96"/>
      <c r="P35" s="96"/>
      <c r="Q35" s="96"/>
      <c r="R35" s="96"/>
      <c r="S35" s="98">
        <v>36</v>
      </c>
      <c r="X35" s="114" t="s">
        <v>5520</v>
      </c>
      <c r="AF35" t="s">
        <v>5521</v>
      </c>
      <c r="AG35" t="s">
        <v>5522</v>
      </c>
    </row>
    <row r="36" spans="1:33" ht="12" customHeight="1">
      <c r="A36" s="45" t="s">
        <v>5523</v>
      </c>
      <c r="B36" s="44" t="s">
        <v>5524</v>
      </c>
      <c r="C36" s="45" t="s">
        <v>5523</v>
      </c>
      <c r="D36" s="96"/>
      <c r="E36" s="96"/>
      <c r="F36" s="96"/>
      <c r="G36" s="96"/>
      <c r="H36" s="96"/>
      <c r="I36" s="96"/>
      <c r="J36" s="96"/>
      <c r="K36" s="96"/>
      <c r="L36" s="96"/>
      <c r="M36" s="96"/>
      <c r="N36" s="96"/>
      <c r="O36" s="96"/>
      <c r="P36" s="96"/>
      <c r="Q36" s="96"/>
      <c r="R36" s="96"/>
      <c r="S36" s="98">
        <v>37</v>
      </c>
      <c r="X36" s="114" t="s">
        <v>5525</v>
      </c>
      <c r="AF36" t="s">
        <v>5526</v>
      </c>
      <c r="AG36" t="s">
        <v>5527</v>
      </c>
    </row>
    <row r="37" spans="1:33" ht="12" customHeight="1">
      <c r="A37" s="45" t="s">
        <v>5528</v>
      </c>
      <c r="B37" s="44" t="s">
        <v>5529</v>
      </c>
      <c r="C37" s="45" t="s">
        <v>5528</v>
      </c>
      <c r="D37" s="96"/>
      <c r="E37" s="96"/>
      <c r="F37" s="96"/>
      <c r="G37" s="96"/>
      <c r="H37" s="96"/>
      <c r="I37" s="96"/>
      <c r="J37" s="96"/>
      <c r="K37" s="96"/>
      <c r="L37" s="96"/>
      <c r="M37" s="96"/>
      <c r="N37" s="96"/>
      <c r="O37" s="96"/>
      <c r="P37" s="96"/>
      <c r="Q37" s="96"/>
      <c r="R37" s="96"/>
      <c r="S37" s="98">
        <v>38</v>
      </c>
      <c r="AF37" t="s">
        <v>5530</v>
      </c>
      <c r="AG37" t="s">
        <v>5531</v>
      </c>
    </row>
    <row r="38" spans="1:33" ht="12" customHeight="1">
      <c r="A38" s="45" t="s">
        <v>5532</v>
      </c>
      <c r="B38" s="44" t="s">
        <v>5533</v>
      </c>
      <c r="C38" s="45" t="s">
        <v>5532</v>
      </c>
      <c r="D38" s="96"/>
      <c r="E38" s="96"/>
      <c r="F38" s="96"/>
      <c r="G38" s="96"/>
      <c r="H38" s="96"/>
      <c r="I38" s="96"/>
      <c r="J38" s="96"/>
      <c r="K38" s="97" t="s">
        <v>5534</v>
      </c>
      <c r="L38" s="96"/>
      <c r="M38" s="96"/>
      <c r="N38" s="96"/>
      <c r="O38" s="96"/>
      <c r="P38" s="96"/>
      <c r="Q38" s="96"/>
      <c r="R38" s="96"/>
      <c r="S38" s="98">
        <v>39</v>
      </c>
      <c r="AF38" t="s">
        <v>5535</v>
      </c>
      <c r="AG38" t="s">
        <v>5536</v>
      </c>
    </row>
    <row r="39" spans="1:33" ht="12" customHeight="1">
      <c r="A39" s="45" t="s">
        <v>5537</v>
      </c>
      <c r="B39" s="44" t="s">
        <v>5538</v>
      </c>
      <c r="C39" s="45" t="s">
        <v>5537</v>
      </c>
      <c r="D39" s="96"/>
      <c r="E39" s="96"/>
      <c r="F39" s="96"/>
      <c r="G39" s="96"/>
      <c r="H39" s="96"/>
      <c r="I39" s="96"/>
      <c r="J39" s="96"/>
      <c r="K39" s="363" t="s">
        <v>104</v>
      </c>
      <c r="L39" s="96"/>
      <c r="M39" s="96"/>
      <c r="N39" s="96"/>
      <c r="O39" s="96"/>
      <c r="P39" s="96"/>
      <c r="Q39" s="96"/>
      <c r="R39" s="96"/>
      <c r="S39" s="98">
        <v>40</v>
      </c>
      <c r="AF39" t="s">
        <v>5539</v>
      </c>
      <c r="AG39" t="s">
        <v>5540</v>
      </c>
    </row>
    <row r="40" spans="1:33" ht="12" customHeight="1">
      <c r="A40" s="45" t="s">
        <v>5541</v>
      </c>
      <c r="B40" s="44" t="s">
        <v>5542</v>
      </c>
      <c r="C40" s="45" t="s">
        <v>5541</v>
      </c>
      <c r="D40" s="96"/>
      <c r="E40" s="96"/>
      <c r="F40" s="96"/>
      <c r="G40" s="96"/>
      <c r="H40" s="96"/>
      <c r="I40" s="96"/>
      <c r="J40" s="96"/>
      <c r="K40" s="363" t="s">
        <v>5413</v>
      </c>
      <c r="L40" s="96"/>
      <c r="M40" s="96"/>
      <c r="N40" s="96"/>
      <c r="O40" s="96"/>
      <c r="P40" s="96"/>
      <c r="Q40" s="96"/>
      <c r="R40" s="96"/>
      <c r="S40" s="98">
        <v>41</v>
      </c>
      <c r="AF40" t="s">
        <v>5543</v>
      </c>
      <c r="AG40" t="s">
        <v>5544</v>
      </c>
    </row>
    <row r="41" spans="1:33" ht="12" customHeight="1">
      <c r="A41" s="45" t="s">
        <v>5545</v>
      </c>
      <c r="B41" s="44" t="s">
        <v>5546</v>
      </c>
      <c r="C41" s="45" t="s">
        <v>5545</v>
      </c>
      <c r="D41" s="96"/>
      <c r="E41" s="96"/>
      <c r="F41" s="96"/>
      <c r="G41" s="96"/>
      <c r="H41" s="96"/>
      <c r="I41" s="96"/>
      <c r="J41" s="96"/>
      <c r="K41" s="363" t="s">
        <v>5418</v>
      </c>
      <c r="L41" s="96"/>
      <c r="M41" s="96"/>
      <c r="N41" s="96"/>
      <c r="O41" s="96"/>
      <c r="P41" s="96"/>
      <c r="Q41" s="96"/>
      <c r="R41" s="96"/>
      <c r="S41" s="98">
        <v>42</v>
      </c>
      <c r="AF41" t="s">
        <v>5547</v>
      </c>
      <c r="AG41" t="s">
        <v>5548</v>
      </c>
    </row>
    <row r="42" spans="1:33" ht="27.75" customHeight="1">
      <c r="A42" s="45" t="s">
        <v>5549</v>
      </c>
      <c r="B42" s="44" t="s">
        <v>5550</v>
      </c>
      <c r="C42" s="45" t="s">
        <v>5549</v>
      </c>
      <c r="D42" s="96"/>
      <c r="E42" s="96"/>
      <c r="F42" s="96"/>
      <c r="G42" s="96"/>
      <c r="H42" s="96"/>
      <c r="I42" s="96"/>
      <c r="J42" s="96"/>
      <c r="K42" s="363" t="s">
        <v>5424</v>
      </c>
      <c r="L42" s="96"/>
      <c r="M42" s="96"/>
      <c r="N42" s="96"/>
      <c r="O42" s="96"/>
      <c r="P42" s="96"/>
      <c r="Q42" s="96"/>
      <c r="R42" s="96"/>
      <c r="S42" s="98">
        <v>43</v>
      </c>
      <c r="AF42" t="s">
        <v>5551</v>
      </c>
      <c r="AG42" t="s">
        <v>5552</v>
      </c>
    </row>
    <row r="43" spans="1:33" ht="12" customHeight="1">
      <c r="A43" s="45" t="s">
        <v>5553</v>
      </c>
      <c r="B43" s="44" t="s">
        <v>5554</v>
      </c>
      <c r="C43" s="45" t="s">
        <v>5553</v>
      </c>
      <c r="D43" s="96"/>
      <c r="E43" s="96"/>
      <c r="F43" s="96"/>
      <c r="G43" s="96"/>
      <c r="H43" s="96"/>
      <c r="I43" s="96"/>
      <c r="J43" s="96"/>
      <c r="K43" s="96"/>
      <c r="L43" s="96"/>
      <c r="M43" s="96"/>
      <c r="N43" s="96"/>
      <c r="O43" s="96"/>
      <c r="P43" s="96"/>
      <c r="Q43" s="96"/>
      <c r="R43" s="96"/>
      <c r="S43" s="98">
        <v>44</v>
      </c>
      <c r="AF43" t="s">
        <v>5555</v>
      </c>
      <c r="AG43" t="s">
        <v>5556</v>
      </c>
    </row>
    <row r="44" spans="1:33" ht="12" customHeight="1">
      <c r="A44" s="45" t="s">
        <v>5557</v>
      </c>
      <c r="B44" s="44" t="s">
        <v>5558</v>
      </c>
      <c r="C44" s="45" t="s">
        <v>5557</v>
      </c>
      <c r="D44" s="96"/>
      <c r="E44" s="96"/>
      <c r="F44" s="96"/>
      <c r="G44" s="96"/>
      <c r="H44" s="96"/>
      <c r="I44" s="96"/>
      <c r="J44" s="96"/>
      <c r="K44" s="96"/>
      <c r="L44" s="96"/>
      <c r="M44" s="96"/>
      <c r="N44" s="96"/>
      <c r="O44" s="96"/>
      <c r="P44" s="96"/>
      <c r="Q44" s="96"/>
      <c r="R44" s="96"/>
      <c r="S44" s="98">
        <v>45</v>
      </c>
      <c r="AF44" t="s">
        <v>5559</v>
      </c>
      <c r="AG44" t="s">
        <v>5560</v>
      </c>
    </row>
    <row r="45" spans="1:33" ht="12" customHeight="1">
      <c r="A45" s="45" t="s">
        <v>5561</v>
      </c>
      <c r="B45" s="44" t="s">
        <v>5562</v>
      </c>
      <c r="C45" s="45" t="s">
        <v>5561</v>
      </c>
      <c r="D45" s="96"/>
      <c r="E45" s="96"/>
      <c r="F45" s="96"/>
      <c r="G45" s="96"/>
      <c r="H45" s="96"/>
      <c r="I45" s="96"/>
      <c r="J45" s="96"/>
      <c r="K45" s="97" t="s">
        <v>5563</v>
      </c>
      <c r="L45" s="96"/>
      <c r="M45" s="96"/>
      <c r="N45" s="96"/>
      <c r="O45" s="96"/>
      <c r="P45" s="96"/>
      <c r="Q45" s="96"/>
      <c r="R45" s="96"/>
      <c r="S45" s="98">
        <v>46</v>
      </c>
      <c r="AF45" t="s">
        <v>5564</v>
      </c>
      <c r="AG45" t="s">
        <v>5565</v>
      </c>
    </row>
    <row r="46" spans="1:33" ht="12" customHeight="1">
      <c r="A46" s="45" t="s">
        <v>5566</v>
      </c>
      <c r="B46" s="44" t="s">
        <v>5567</v>
      </c>
      <c r="C46" s="45" t="s">
        <v>5566</v>
      </c>
      <c r="D46" s="96"/>
      <c r="E46" s="96"/>
      <c r="F46" s="96"/>
      <c r="G46" s="96"/>
      <c r="H46" s="96"/>
      <c r="I46" s="96"/>
      <c r="J46" s="96"/>
      <c r="K46" s="100" t="s">
        <v>256</v>
      </c>
      <c r="L46" s="96"/>
      <c r="M46" s="96"/>
      <c r="N46" s="96"/>
      <c r="O46" s="96"/>
      <c r="P46" s="96"/>
      <c r="Q46" s="96"/>
      <c r="R46" s="96"/>
      <c r="S46" s="98">
        <v>47</v>
      </c>
      <c r="AF46" t="s">
        <v>5568</v>
      </c>
      <c r="AG46" t="s">
        <v>5569</v>
      </c>
    </row>
    <row r="47" spans="1:33" ht="12" customHeight="1">
      <c r="A47" s="45" t="s">
        <v>5570</v>
      </c>
      <c r="B47" s="44" t="s">
        <v>5571</v>
      </c>
      <c r="C47" s="45" t="s">
        <v>5570</v>
      </c>
      <c r="D47" s="96"/>
      <c r="E47" s="96"/>
      <c r="F47" s="96"/>
      <c r="G47" s="96"/>
      <c r="H47" s="96"/>
      <c r="I47" s="96"/>
      <c r="J47" s="96"/>
      <c r="K47" s="100" t="s">
        <v>5451</v>
      </c>
      <c r="L47" s="96"/>
      <c r="M47" s="96"/>
      <c r="N47" s="96"/>
      <c r="O47" s="96"/>
      <c r="P47" s="96"/>
      <c r="Q47" s="96"/>
      <c r="R47" s="96"/>
      <c r="S47" s="98">
        <v>48</v>
      </c>
      <c r="AF47" t="s">
        <v>5572</v>
      </c>
      <c r="AG47" t="s">
        <v>5573</v>
      </c>
    </row>
    <row r="48" spans="1:33" ht="12" customHeight="1">
      <c r="A48" s="45" t="s">
        <v>5574</v>
      </c>
      <c r="B48" s="44" t="s">
        <v>5575</v>
      </c>
      <c r="C48" s="45" t="s">
        <v>5574</v>
      </c>
      <c r="D48" s="96"/>
      <c r="E48" s="96"/>
      <c r="F48" s="96"/>
      <c r="G48" s="96"/>
      <c r="H48" s="96"/>
      <c r="I48" s="96"/>
      <c r="J48" s="96"/>
      <c r="K48" s="100" t="s">
        <v>5457</v>
      </c>
      <c r="L48" s="96"/>
      <c r="M48" s="96"/>
      <c r="N48" s="96"/>
      <c r="O48" s="96"/>
      <c r="P48" s="96"/>
      <c r="Q48" s="96"/>
      <c r="R48" s="96"/>
      <c r="S48" s="98">
        <v>49</v>
      </c>
      <c r="AF48" t="s">
        <v>5576</v>
      </c>
      <c r="AG48" t="s">
        <v>5577</v>
      </c>
    </row>
    <row r="49" spans="1:33" ht="12" customHeight="1">
      <c r="A49" s="45" t="s">
        <v>5578</v>
      </c>
      <c r="B49" s="44" t="s">
        <v>5579</v>
      </c>
      <c r="C49" s="45" t="s">
        <v>5578</v>
      </c>
      <c r="D49" s="96"/>
      <c r="E49" s="96"/>
      <c r="F49" s="96"/>
      <c r="G49" s="96"/>
      <c r="H49" s="96"/>
      <c r="I49" s="96"/>
      <c r="J49" s="96"/>
      <c r="K49" s="100" t="s">
        <v>5463</v>
      </c>
      <c r="L49" s="96"/>
      <c r="M49" s="96"/>
      <c r="N49" s="96"/>
      <c r="O49" s="96"/>
      <c r="P49" s="96"/>
      <c r="Q49" s="96"/>
      <c r="R49" s="96"/>
      <c r="S49" s="98">
        <v>50</v>
      </c>
      <c r="AF49" t="s">
        <v>5580</v>
      </c>
      <c r="AG49" t="s">
        <v>5581</v>
      </c>
    </row>
    <row r="50" spans="1:33" ht="12" customHeight="1">
      <c r="A50" s="45" t="s">
        <v>5582</v>
      </c>
      <c r="B50" s="44" t="s">
        <v>5583</v>
      </c>
      <c r="C50" s="45" t="s">
        <v>5582</v>
      </c>
      <c r="D50" s="96"/>
      <c r="E50" s="96"/>
      <c r="F50" s="96"/>
      <c r="G50" s="96"/>
      <c r="H50" s="96"/>
      <c r="I50" s="96"/>
      <c r="J50" s="96"/>
      <c r="K50" s="100" t="s">
        <v>206</v>
      </c>
      <c r="L50" s="96"/>
      <c r="M50" s="96"/>
      <c r="N50" s="96"/>
      <c r="O50" s="96"/>
      <c r="P50" s="96"/>
      <c r="Q50" s="96"/>
      <c r="R50" s="96"/>
      <c r="AF50" t="s">
        <v>5584</v>
      </c>
      <c r="AG50" t="s">
        <v>5585</v>
      </c>
    </row>
    <row r="51" spans="1:33" ht="12" customHeight="1">
      <c r="A51" s="45" t="s">
        <v>5586</v>
      </c>
      <c r="B51" s="44" t="s">
        <v>5587</v>
      </c>
      <c r="C51" s="45" t="s">
        <v>5586</v>
      </c>
      <c r="D51" s="96"/>
      <c r="E51" s="96"/>
      <c r="F51" s="96"/>
      <c r="G51" s="96"/>
      <c r="H51" s="96"/>
      <c r="I51" s="96"/>
      <c r="J51" s="96"/>
      <c r="K51" s="100" t="s">
        <v>5438</v>
      </c>
      <c r="L51" s="96"/>
      <c r="M51" s="96"/>
      <c r="N51" s="96"/>
      <c r="O51" s="96"/>
      <c r="P51" s="96"/>
      <c r="Q51" s="96"/>
      <c r="R51" s="96"/>
      <c r="AF51" t="s">
        <v>5588</v>
      </c>
      <c r="AG51" t="s">
        <v>5589</v>
      </c>
    </row>
    <row r="52" spans="1:33" ht="12" customHeight="1">
      <c r="A52" s="45" t="s">
        <v>5590</v>
      </c>
      <c r="B52" s="44" t="s">
        <v>5591</v>
      </c>
      <c r="C52" s="45" t="s">
        <v>5590</v>
      </c>
      <c r="D52" s="96"/>
      <c r="E52" s="96"/>
      <c r="F52" s="96"/>
      <c r="G52" s="96"/>
      <c r="H52" s="96"/>
      <c r="I52" s="96"/>
      <c r="J52" s="96"/>
      <c r="K52" s="100" t="s">
        <v>5592</v>
      </c>
      <c r="L52" s="96"/>
      <c r="M52" s="96"/>
      <c r="N52" s="96"/>
      <c r="O52" s="96"/>
      <c r="P52" s="96"/>
      <c r="Q52" s="96"/>
      <c r="R52" s="96"/>
      <c r="AF52" t="s">
        <v>5593</v>
      </c>
      <c r="AG52" t="s">
        <v>5594</v>
      </c>
    </row>
    <row r="53" spans="1:33" ht="12" customHeight="1">
      <c r="A53" s="45" t="s">
        <v>5595</v>
      </c>
      <c r="B53" s="44" t="s">
        <v>5596</v>
      </c>
      <c r="C53" s="45" t="s">
        <v>5595</v>
      </c>
      <c r="D53" s="96"/>
      <c r="E53" s="96"/>
      <c r="F53" s="96"/>
      <c r="G53" s="96"/>
      <c r="H53" s="96"/>
      <c r="I53" s="96"/>
      <c r="J53" s="96"/>
      <c r="K53" s="96"/>
      <c r="L53" s="96"/>
      <c r="M53" s="96"/>
      <c r="N53" s="96"/>
      <c r="O53" s="96"/>
      <c r="P53" s="96"/>
      <c r="Q53" s="96"/>
      <c r="R53" s="96"/>
      <c r="AF53" t="s">
        <v>5597</v>
      </c>
      <c r="AG53" t="s">
        <v>5598</v>
      </c>
    </row>
    <row r="54" spans="1:33" ht="12" customHeight="1">
      <c r="A54" s="45" t="s">
        <v>5599</v>
      </c>
      <c r="B54" s="44" t="s">
        <v>5600</v>
      </c>
      <c r="C54" s="45" t="s">
        <v>5599</v>
      </c>
      <c r="D54" s="96"/>
      <c r="E54" s="96"/>
      <c r="F54" s="96"/>
      <c r="G54" s="96"/>
      <c r="H54" s="96"/>
      <c r="I54" s="96"/>
      <c r="J54" s="96"/>
      <c r="K54" s="96"/>
      <c r="L54" s="96"/>
      <c r="M54" s="96"/>
      <c r="N54" s="96"/>
      <c r="O54" s="96"/>
      <c r="P54" s="96"/>
      <c r="Q54" s="96"/>
      <c r="R54" s="96"/>
      <c r="AF54" t="s">
        <v>5601</v>
      </c>
      <c r="AG54" t="s">
        <v>5602</v>
      </c>
    </row>
    <row r="55" spans="1:33" ht="10.5" customHeight="1">
      <c r="A55" s="45" t="s">
        <v>5603</v>
      </c>
      <c r="B55" s="44" t="s">
        <v>5604</v>
      </c>
      <c r="C55" s="45" t="s">
        <v>5603</v>
      </c>
      <c r="D55" s="96"/>
      <c r="E55" s="96"/>
      <c r="F55" s="96"/>
      <c r="G55" s="96"/>
      <c r="H55" s="96"/>
      <c r="I55" s="96"/>
      <c r="J55" s="96"/>
      <c r="K55" s="96"/>
      <c r="L55" s="96"/>
      <c r="M55" s="96"/>
      <c r="N55" s="96"/>
      <c r="O55" s="96"/>
      <c r="P55" s="96"/>
      <c r="Q55" s="96"/>
      <c r="R55" s="96"/>
      <c r="AF55" t="s">
        <v>5605</v>
      </c>
      <c r="AG55" t="s">
        <v>5606</v>
      </c>
    </row>
    <row r="56" spans="1:33" ht="12" customHeight="1">
      <c r="A56" s="45" t="s">
        <v>5607</v>
      </c>
      <c r="B56" s="44" t="s">
        <v>5608</v>
      </c>
      <c r="C56" s="45" t="s">
        <v>5607</v>
      </c>
      <c r="D56" s="96"/>
      <c r="E56" s="96"/>
      <c r="F56" s="96"/>
      <c r="G56" s="96"/>
      <c r="H56" s="96"/>
      <c r="I56" s="96"/>
      <c r="J56" s="96"/>
      <c r="K56" s="96"/>
      <c r="L56" s="96"/>
      <c r="M56" s="96"/>
      <c r="N56" s="96"/>
      <c r="O56" s="96"/>
      <c r="P56" s="96"/>
      <c r="Q56" s="96"/>
      <c r="R56" s="96"/>
      <c r="AG56" t="s">
        <v>5609</v>
      </c>
    </row>
    <row r="57" spans="1:33" ht="12" customHeight="1">
      <c r="A57" s="45" t="s">
        <v>5610</v>
      </c>
      <c r="B57" s="44" t="s">
        <v>5611</v>
      </c>
      <c r="C57" s="45" t="s">
        <v>5610</v>
      </c>
      <c r="D57" s="96"/>
      <c r="E57" s="96"/>
      <c r="F57" s="96"/>
      <c r="G57" s="96"/>
      <c r="H57" s="96"/>
      <c r="I57" s="96"/>
      <c r="J57" s="96"/>
      <c r="K57" s="96"/>
      <c r="L57" s="96"/>
      <c r="M57" s="96"/>
      <c r="N57" s="96"/>
      <c r="O57" s="96"/>
      <c r="P57" s="96"/>
      <c r="Q57" s="96"/>
      <c r="R57" s="96"/>
      <c r="AG57" t="s">
        <v>5612</v>
      </c>
    </row>
    <row r="58" spans="1:33" ht="12" customHeight="1">
      <c r="A58" s="45" t="s">
        <v>5613</v>
      </c>
      <c r="B58" s="44" t="s">
        <v>5614</v>
      </c>
      <c r="C58" s="45" t="s">
        <v>5613</v>
      </c>
      <c r="D58" s="96"/>
      <c r="E58" s="96"/>
      <c r="F58" s="96"/>
      <c r="G58" s="96"/>
      <c r="H58" s="96"/>
      <c r="I58" s="96"/>
      <c r="J58" s="96"/>
      <c r="K58" s="96"/>
      <c r="L58" s="96"/>
      <c r="M58" s="96"/>
      <c r="N58" s="96"/>
      <c r="O58" s="96"/>
      <c r="P58" s="96"/>
      <c r="Q58" s="96"/>
      <c r="R58" s="96"/>
      <c r="AG58" t="s">
        <v>5615</v>
      </c>
    </row>
    <row r="59" spans="1:33" ht="12" customHeight="1">
      <c r="A59" s="45" t="s">
        <v>5616</v>
      </c>
      <c r="B59" s="44" t="s">
        <v>5617</v>
      </c>
      <c r="C59" s="45" t="s">
        <v>5618</v>
      </c>
      <c r="D59" s="96"/>
      <c r="E59" s="96"/>
      <c r="F59" s="96"/>
      <c r="G59" s="96"/>
      <c r="H59" s="96"/>
      <c r="I59" s="96"/>
      <c r="J59" s="96"/>
      <c r="K59" s="96"/>
      <c r="L59" s="96"/>
      <c r="M59" s="96"/>
      <c r="N59" s="96"/>
      <c r="O59" s="96"/>
      <c r="P59" s="96"/>
      <c r="Q59" s="96"/>
      <c r="R59" s="96"/>
      <c r="AG59" t="s">
        <v>5619</v>
      </c>
    </row>
    <row r="60" spans="1:33" ht="12" customHeight="1">
      <c r="A60" s="45" t="s">
        <v>5620</v>
      </c>
      <c r="B60" s="44" t="s">
        <v>5621</v>
      </c>
      <c r="C60" s="45" t="s">
        <v>5620</v>
      </c>
      <c r="D60" s="96"/>
      <c r="E60" s="96"/>
      <c r="F60" s="96"/>
      <c r="G60" s="96"/>
      <c r="H60" s="96"/>
      <c r="I60" s="96"/>
      <c r="J60" s="96"/>
      <c r="K60" s="96"/>
      <c r="L60" s="96"/>
      <c r="M60" s="96"/>
      <c r="N60" s="96"/>
      <c r="O60" s="96"/>
      <c r="P60" s="96"/>
      <c r="Q60" s="96"/>
      <c r="R60" s="96"/>
      <c r="AG60" t="s">
        <v>5622</v>
      </c>
    </row>
    <row r="61" spans="1:33" ht="12" customHeight="1">
      <c r="A61" s="45" t="s">
        <v>5623</v>
      </c>
      <c r="B61" s="44" t="s">
        <v>5624</v>
      </c>
      <c r="C61" s="45" t="s">
        <v>5623</v>
      </c>
      <c r="D61" s="96"/>
      <c r="E61" s="96"/>
      <c r="F61" s="96"/>
      <c r="G61" s="96"/>
      <c r="H61" s="96"/>
      <c r="I61" s="96"/>
      <c r="J61" s="96"/>
      <c r="K61" s="96"/>
      <c r="L61" s="96"/>
      <c r="M61" s="96"/>
      <c r="N61" s="96"/>
      <c r="O61" s="96"/>
      <c r="P61" s="96"/>
      <c r="Q61" s="96"/>
      <c r="R61" s="96"/>
      <c r="AG61" t="s">
        <v>5625</v>
      </c>
    </row>
    <row r="62" spans="1:33" ht="12" customHeight="1">
      <c r="A62" s="45" t="s">
        <v>5626</v>
      </c>
      <c r="B62" s="44" t="s">
        <v>5627</v>
      </c>
      <c r="C62" s="45" t="s">
        <v>5626</v>
      </c>
      <c r="D62" s="96"/>
      <c r="E62" s="96"/>
      <c r="F62" s="96"/>
      <c r="G62" s="96"/>
      <c r="H62" s="96"/>
      <c r="I62" s="96"/>
      <c r="J62" s="96"/>
      <c r="K62" s="96"/>
      <c r="L62" s="96"/>
      <c r="M62" s="96"/>
      <c r="N62" s="96"/>
      <c r="O62" s="96"/>
      <c r="P62" s="96"/>
      <c r="Q62" s="96"/>
      <c r="R62" s="96"/>
      <c r="AG62" t="s">
        <v>5628</v>
      </c>
    </row>
    <row r="63" spans="1:33" ht="12" customHeight="1">
      <c r="A63" s="45" t="s">
        <v>5629</v>
      </c>
      <c r="B63" s="44" t="s">
        <v>5630</v>
      </c>
      <c r="C63" s="45" t="s">
        <v>5631</v>
      </c>
      <c r="D63" s="96"/>
      <c r="E63" s="96"/>
      <c r="F63" s="96"/>
      <c r="G63" s="96"/>
      <c r="H63" s="96"/>
      <c r="I63" s="96"/>
      <c r="J63" s="96"/>
      <c r="K63" s="96"/>
      <c r="L63" s="96"/>
      <c r="M63" s="96"/>
      <c r="N63" s="96"/>
      <c r="O63" s="96"/>
      <c r="P63" s="96"/>
      <c r="Q63" s="96"/>
      <c r="R63" s="96"/>
      <c r="AG63" t="s">
        <v>5632</v>
      </c>
    </row>
    <row r="64" spans="1:33" ht="12" customHeight="1">
      <c r="A64" s="45" t="s">
        <v>5633</v>
      </c>
      <c r="B64" s="44" t="s">
        <v>5634</v>
      </c>
      <c r="C64" s="45" t="s">
        <v>5633</v>
      </c>
      <c r="D64" s="96"/>
      <c r="E64" s="96"/>
      <c r="F64" s="96"/>
      <c r="G64" s="96"/>
      <c r="H64" s="96"/>
      <c r="I64" s="96"/>
      <c r="J64" s="96"/>
      <c r="K64" s="96"/>
      <c r="L64" s="96"/>
      <c r="M64" s="96"/>
      <c r="N64" s="96"/>
      <c r="O64" s="96"/>
      <c r="P64" s="96"/>
      <c r="Q64" s="96"/>
      <c r="R64" s="96"/>
      <c r="AG64" t="s">
        <v>5635</v>
      </c>
    </row>
    <row r="65" spans="1:33" ht="12" customHeight="1">
      <c r="A65" s="45" t="s">
        <v>5636</v>
      </c>
      <c r="B65" s="44" t="s">
        <v>5637</v>
      </c>
      <c r="C65" s="45" t="s">
        <v>5638</v>
      </c>
      <c r="D65" s="96"/>
      <c r="E65" s="96"/>
      <c r="F65" s="96"/>
      <c r="G65" s="96"/>
      <c r="H65" s="96"/>
      <c r="I65" s="96"/>
      <c r="J65" s="96"/>
      <c r="K65" s="96"/>
      <c r="L65" s="96"/>
      <c r="M65" s="96"/>
      <c r="N65" s="96"/>
      <c r="O65" s="96"/>
      <c r="P65" s="96"/>
      <c r="Q65" s="96"/>
      <c r="R65" s="96"/>
      <c r="AG65" t="s">
        <v>5639</v>
      </c>
    </row>
    <row r="66" spans="1:33" ht="12" customHeight="1">
      <c r="A66" s="45" t="s">
        <v>5640</v>
      </c>
      <c r="B66" s="44" t="s">
        <v>5641</v>
      </c>
      <c r="C66" s="45" t="s">
        <v>5640</v>
      </c>
      <c r="D66" s="96"/>
      <c r="E66" s="96"/>
      <c r="F66" s="96"/>
      <c r="G66" s="96"/>
      <c r="H66" s="96"/>
      <c r="I66" s="96"/>
      <c r="J66" s="96"/>
      <c r="K66" s="96"/>
      <c r="L66" s="96"/>
      <c r="M66" s="96"/>
      <c r="N66" s="96"/>
      <c r="O66" s="96"/>
      <c r="P66" s="96"/>
      <c r="Q66" s="96"/>
      <c r="R66" s="96"/>
      <c r="AG66" t="s">
        <v>5642</v>
      </c>
    </row>
    <row r="67" spans="1:33" ht="12" customHeight="1">
      <c r="A67" s="45" t="s">
        <v>5643</v>
      </c>
      <c r="B67" s="44" t="s">
        <v>5644</v>
      </c>
      <c r="C67" s="45" t="s">
        <v>5643</v>
      </c>
      <c r="D67" s="96"/>
      <c r="E67" s="96"/>
      <c r="F67" s="96"/>
      <c r="G67" s="96"/>
      <c r="H67" s="96"/>
      <c r="I67" s="96"/>
      <c r="J67" s="96"/>
      <c r="K67" s="96"/>
      <c r="L67" s="96"/>
      <c r="M67" s="96"/>
      <c r="N67" s="96"/>
      <c r="O67" s="96"/>
      <c r="P67" s="96"/>
      <c r="Q67" s="96"/>
      <c r="R67" s="96"/>
      <c r="AG67" t="s">
        <v>5645</v>
      </c>
    </row>
    <row r="68" spans="1:33" ht="12" customHeight="1">
      <c r="A68" s="45" t="s">
        <v>5646</v>
      </c>
      <c r="B68" s="44" t="s">
        <v>5647</v>
      </c>
      <c r="C68" s="45" t="s">
        <v>5646</v>
      </c>
      <c r="D68" s="96"/>
      <c r="E68" s="96"/>
      <c r="F68" s="96"/>
      <c r="G68" s="96"/>
      <c r="H68" s="96"/>
      <c r="I68" s="96"/>
      <c r="J68" s="96"/>
      <c r="K68" s="96"/>
      <c r="L68" s="96"/>
      <c r="M68" s="96"/>
      <c r="N68" s="96"/>
      <c r="O68" s="96"/>
      <c r="P68" s="96"/>
      <c r="Q68" s="96"/>
      <c r="R68" s="96"/>
      <c r="AG68" t="s">
        <v>5648</v>
      </c>
    </row>
    <row r="69" spans="1:33" ht="12" customHeight="1">
      <c r="A69" s="45" t="s">
        <v>5649</v>
      </c>
      <c r="B69" s="44" t="s">
        <v>5650</v>
      </c>
      <c r="C69" s="45" t="s">
        <v>5649</v>
      </c>
      <c r="D69" s="96"/>
      <c r="E69" s="96"/>
      <c r="F69" s="96"/>
      <c r="G69" s="96"/>
      <c r="H69" s="96"/>
      <c r="I69" s="96"/>
      <c r="J69" s="96"/>
      <c r="K69" s="96"/>
      <c r="L69" s="96"/>
      <c r="M69" s="96"/>
      <c r="N69" s="96"/>
      <c r="O69" s="96"/>
      <c r="P69" s="96"/>
      <c r="Q69" s="96"/>
      <c r="R69" s="96"/>
      <c r="AG69" t="s">
        <v>5651</v>
      </c>
    </row>
    <row r="70" spans="1:33" ht="12" customHeight="1">
      <c r="A70" s="45" t="s">
        <v>5652</v>
      </c>
      <c r="B70" s="44" t="s">
        <v>5653</v>
      </c>
      <c r="C70" s="45" t="s">
        <v>5652</v>
      </c>
      <c r="D70" s="96"/>
      <c r="E70" s="96"/>
      <c r="F70" s="96"/>
      <c r="G70" s="96"/>
      <c r="H70" s="96"/>
      <c r="I70" s="96"/>
      <c r="J70" s="96"/>
      <c r="K70" s="96"/>
      <c r="L70" s="96"/>
      <c r="M70" s="96"/>
      <c r="N70" s="96"/>
      <c r="O70" s="96"/>
      <c r="P70" s="96"/>
      <c r="Q70" s="96"/>
      <c r="R70" s="96"/>
      <c r="AG70" t="s">
        <v>5654</v>
      </c>
    </row>
    <row r="71" spans="1:33" ht="12" customHeight="1">
      <c r="A71" s="45" t="s">
        <v>5655</v>
      </c>
      <c r="B71" s="44" t="s">
        <v>5656</v>
      </c>
      <c r="C71" s="45" t="s">
        <v>5655</v>
      </c>
      <c r="D71" s="96"/>
      <c r="E71" s="96"/>
      <c r="F71" s="96"/>
      <c r="G71" s="96"/>
      <c r="H71" s="96"/>
      <c r="I71" s="96"/>
      <c r="J71" s="96"/>
      <c r="K71" s="96"/>
      <c r="L71" s="96"/>
      <c r="M71" s="96"/>
      <c r="N71" s="96"/>
      <c r="O71" s="96"/>
      <c r="P71" s="96"/>
      <c r="Q71" s="96"/>
      <c r="R71" s="96"/>
      <c r="AG71" t="s">
        <v>5657</v>
      </c>
    </row>
    <row r="72" spans="1:33" ht="12" customHeight="1">
      <c r="A72" s="45" t="s">
        <v>5658</v>
      </c>
      <c r="B72" s="44" t="s">
        <v>5659</v>
      </c>
      <c r="C72" s="45" t="s">
        <v>5658</v>
      </c>
      <c r="D72" s="96"/>
      <c r="E72" s="96"/>
      <c r="F72" s="96"/>
      <c r="G72" s="96"/>
      <c r="H72" s="96"/>
      <c r="I72" s="96"/>
      <c r="J72" s="96"/>
      <c r="K72" s="96"/>
      <c r="L72" s="96"/>
      <c r="M72" s="96"/>
      <c r="N72" s="96"/>
      <c r="O72" s="96"/>
      <c r="P72" s="96"/>
      <c r="Q72" s="96"/>
      <c r="R72" s="96"/>
      <c r="AG72" t="s">
        <v>5660</v>
      </c>
    </row>
    <row r="73" spans="1:33" ht="12" customHeight="1">
      <c r="A73" s="45" t="s">
        <v>5661</v>
      </c>
      <c r="B73" s="44" t="s">
        <v>5662</v>
      </c>
      <c r="C73" s="45" t="s">
        <v>5661</v>
      </c>
      <c r="D73" s="96"/>
      <c r="E73" s="96"/>
      <c r="F73" s="96"/>
      <c r="G73" s="96"/>
      <c r="H73" s="96"/>
      <c r="I73" s="96"/>
      <c r="J73" s="96"/>
      <c r="K73" s="96"/>
      <c r="L73" s="96"/>
      <c r="M73" s="96"/>
      <c r="N73" s="96"/>
      <c r="O73" s="96"/>
      <c r="P73" s="96"/>
      <c r="Q73" s="96"/>
      <c r="R73" s="96"/>
      <c r="AG73" t="s">
        <v>5663</v>
      </c>
    </row>
    <row r="74" spans="1:33" ht="12" customHeight="1">
      <c r="A74" s="45" t="s">
        <v>5664</v>
      </c>
      <c r="B74" s="44" t="s">
        <v>5665</v>
      </c>
      <c r="C74" s="45" t="s">
        <v>5664</v>
      </c>
      <c r="D74" s="96"/>
      <c r="E74" s="96"/>
      <c r="F74" s="96"/>
      <c r="G74" s="96"/>
      <c r="H74" s="96"/>
      <c r="I74" s="96"/>
      <c r="J74" s="96"/>
      <c r="K74" s="96"/>
      <c r="L74" s="96"/>
      <c r="M74" s="96"/>
      <c r="N74" s="96"/>
      <c r="O74" s="96"/>
      <c r="P74" s="96"/>
      <c r="Q74" s="96"/>
      <c r="R74" s="96"/>
      <c r="AG74" t="s">
        <v>5666</v>
      </c>
    </row>
    <row r="75" spans="1:33" ht="12" customHeight="1">
      <c r="A75" s="45" t="s">
        <v>5667</v>
      </c>
      <c r="B75" s="44" t="s">
        <v>5668</v>
      </c>
      <c r="C75" s="45" t="s">
        <v>5667</v>
      </c>
      <c r="D75" s="96"/>
      <c r="E75" s="96"/>
      <c r="F75" s="96"/>
      <c r="G75" s="96"/>
      <c r="H75" s="96"/>
      <c r="I75" s="96"/>
      <c r="J75" s="96"/>
      <c r="K75" s="96"/>
      <c r="L75" s="96"/>
      <c r="M75" s="96"/>
      <c r="N75" s="96"/>
      <c r="O75" s="96"/>
      <c r="P75" s="96"/>
      <c r="Q75" s="96"/>
      <c r="R75" s="96"/>
      <c r="AG75" t="s">
        <v>5669</v>
      </c>
    </row>
    <row r="76" spans="1:33" ht="12" customHeight="1">
      <c r="A76" s="45" t="s">
        <v>5670</v>
      </c>
      <c r="B76" s="44" t="s">
        <v>5671</v>
      </c>
      <c r="C76" s="45" t="s">
        <v>5670</v>
      </c>
      <c r="D76" s="96"/>
      <c r="E76" s="96"/>
      <c r="F76" s="96"/>
      <c r="G76" s="96"/>
      <c r="H76" s="96"/>
      <c r="I76" s="96"/>
      <c r="J76" s="96"/>
      <c r="K76" s="96"/>
      <c r="L76" s="96"/>
      <c r="M76" s="96"/>
      <c r="N76" s="96"/>
      <c r="O76" s="96"/>
      <c r="P76" s="96"/>
      <c r="Q76" s="96"/>
      <c r="R76" s="96"/>
      <c r="AG76" t="s">
        <v>5672</v>
      </c>
    </row>
    <row r="77" spans="1:33" ht="12" customHeight="1">
      <c r="A77" s="45" t="s">
        <v>5673</v>
      </c>
      <c r="B77" s="44" t="s">
        <v>5674</v>
      </c>
      <c r="C77" s="45" t="s">
        <v>5673</v>
      </c>
      <c r="D77" s="96"/>
      <c r="E77" s="96"/>
      <c r="F77" s="96"/>
      <c r="G77" s="96"/>
      <c r="H77" s="96"/>
      <c r="I77" s="96"/>
      <c r="J77" s="96"/>
      <c r="K77" s="96"/>
      <c r="L77" s="96"/>
      <c r="M77" s="96"/>
      <c r="N77" s="96"/>
      <c r="O77" s="96"/>
      <c r="P77" s="96"/>
      <c r="Q77" s="96"/>
      <c r="R77" s="96"/>
      <c r="AG77" t="s">
        <v>5675</v>
      </c>
    </row>
    <row r="78" spans="1:33" ht="12" customHeight="1">
      <c r="A78" s="45" t="s">
        <v>5676</v>
      </c>
      <c r="B78" s="44" t="s">
        <v>5677</v>
      </c>
      <c r="C78" s="45" t="s">
        <v>5676</v>
      </c>
      <c r="D78" s="96"/>
      <c r="E78" s="96"/>
      <c r="F78" s="96"/>
      <c r="G78" s="96"/>
      <c r="H78" s="96"/>
      <c r="I78" s="96"/>
      <c r="J78" s="96"/>
      <c r="K78" s="96"/>
      <c r="L78" s="96"/>
      <c r="M78" s="96"/>
      <c r="N78" s="96"/>
      <c r="O78" s="96"/>
      <c r="P78" s="96"/>
      <c r="Q78" s="96"/>
      <c r="R78" s="96"/>
      <c r="AG78" t="s">
        <v>5551</v>
      </c>
    </row>
    <row r="79" spans="1:33" ht="12" customHeight="1">
      <c r="A79" s="45" t="s">
        <v>5678</v>
      </c>
      <c r="B79" s="44" t="s">
        <v>5679</v>
      </c>
      <c r="C79" s="45" t="s">
        <v>5678</v>
      </c>
      <c r="D79" s="96"/>
      <c r="E79" s="96"/>
      <c r="F79" s="96"/>
      <c r="G79" s="96"/>
      <c r="H79" s="96"/>
      <c r="I79" s="96"/>
      <c r="J79" s="96"/>
      <c r="K79" s="96"/>
      <c r="L79" s="96"/>
      <c r="M79" s="96"/>
      <c r="N79" s="96"/>
      <c r="O79" s="96"/>
      <c r="P79" s="96"/>
      <c r="Q79" s="96"/>
      <c r="R79" s="96"/>
      <c r="AG79" t="s">
        <v>5555</v>
      </c>
    </row>
    <row r="80" spans="1:33" ht="12" customHeight="1">
      <c r="A80" s="45" t="s">
        <v>5680</v>
      </c>
      <c r="B80" s="44" t="s">
        <v>5681</v>
      </c>
      <c r="C80" s="45" t="s">
        <v>5682</v>
      </c>
      <c r="D80" s="96"/>
      <c r="E80" s="96"/>
      <c r="F80" s="96"/>
      <c r="G80" s="96"/>
      <c r="H80" s="96"/>
      <c r="I80" s="96"/>
      <c r="J80" s="96"/>
      <c r="K80" s="96"/>
      <c r="L80" s="96"/>
      <c r="M80" s="96"/>
      <c r="N80" s="96"/>
      <c r="O80" s="96"/>
      <c r="P80" s="96"/>
      <c r="Q80" s="96"/>
      <c r="R80" s="96"/>
      <c r="AG80" t="s">
        <v>5559</v>
      </c>
    </row>
    <row r="81" spans="1:33" ht="12" customHeight="1">
      <c r="A81" s="45" t="s">
        <v>5683</v>
      </c>
      <c r="B81" s="44" t="s">
        <v>5684</v>
      </c>
      <c r="C81" s="45" t="s">
        <v>5683</v>
      </c>
      <c r="D81" s="96"/>
      <c r="E81" s="96"/>
      <c r="F81" s="96"/>
      <c r="G81" s="96"/>
      <c r="H81" s="96"/>
      <c r="I81" s="96"/>
      <c r="J81" s="96"/>
      <c r="K81" s="96"/>
      <c r="L81" s="96"/>
      <c r="M81" s="96"/>
      <c r="N81" s="96"/>
      <c r="O81" s="96"/>
      <c r="P81" s="96"/>
      <c r="Q81" s="96"/>
      <c r="R81" s="96"/>
      <c r="AG81" t="s">
        <v>5685</v>
      </c>
    </row>
    <row r="82" spans="1:33" ht="12" customHeight="1">
      <c r="A82" s="45" t="s">
        <v>5686</v>
      </c>
      <c r="B82" s="44" t="s">
        <v>5687</v>
      </c>
      <c r="C82" s="45" t="s">
        <v>5686</v>
      </c>
      <c r="D82" s="96"/>
      <c r="E82" s="96"/>
      <c r="F82" s="96"/>
      <c r="G82" s="96"/>
      <c r="H82" s="96"/>
      <c r="I82" s="96"/>
      <c r="J82" s="96"/>
      <c r="K82" s="96"/>
      <c r="L82" s="96"/>
      <c r="M82" s="96"/>
      <c r="N82" s="96"/>
      <c r="O82" s="96"/>
      <c r="P82" s="96"/>
      <c r="Q82" s="96"/>
      <c r="R82" s="96"/>
      <c r="AG82" t="s">
        <v>5688</v>
      </c>
    </row>
    <row r="83" spans="1:33" ht="12" customHeight="1">
      <c r="A83" s="45" t="s">
        <v>5689</v>
      </c>
      <c r="B83" s="44" t="s">
        <v>5690</v>
      </c>
      <c r="C83" s="45" t="s">
        <v>5689</v>
      </c>
      <c r="D83" s="96"/>
      <c r="E83" s="96"/>
      <c r="F83" s="96"/>
      <c r="G83" s="96"/>
      <c r="H83" s="96"/>
      <c r="I83" s="96"/>
      <c r="J83" s="96"/>
      <c r="K83" s="96"/>
      <c r="L83" s="96"/>
      <c r="M83" s="96"/>
      <c r="N83" s="96"/>
      <c r="O83" s="96"/>
      <c r="P83" s="96"/>
      <c r="Q83" s="96"/>
      <c r="R83" s="96"/>
      <c r="AG83" t="s">
        <v>5691</v>
      </c>
    </row>
    <row r="84" spans="1:33" ht="12" customHeight="1">
      <c r="A84" s="322" t="s">
        <v>5692</v>
      </c>
      <c r="B84" s="323" t="s">
        <v>5693</v>
      </c>
      <c r="C84" s="322"/>
      <c r="D84" s="96"/>
      <c r="E84" s="96"/>
      <c r="F84" s="96"/>
      <c r="G84" s="96"/>
      <c r="H84" s="96"/>
      <c r="I84" s="96"/>
      <c r="J84" s="96"/>
      <c r="K84" s="96"/>
      <c r="L84" s="96"/>
      <c r="M84" s="96"/>
      <c r="N84" s="96"/>
      <c r="O84" s="96"/>
      <c r="P84" s="96"/>
      <c r="Q84" s="96"/>
      <c r="R84" s="96"/>
      <c r="AG84" t="s">
        <v>5694</v>
      </c>
    </row>
    <row r="85" spans="1:33" ht="12" customHeight="1">
      <c r="A85" s="45" t="s">
        <v>5695</v>
      </c>
      <c r="B85" s="44" t="s">
        <v>5696</v>
      </c>
      <c r="C85" s="45" t="s">
        <v>5695</v>
      </c>
      <c r="D85" s="96"/>
      <c r="E85" s="96"/>
      <c r="F85" s="96"/>
      <c r="G85" s="96"/>
      <c r="H85" s="96"/>
      <c r="I85" s="96"/>
      <c r="J85" s="96"/>
      <c r="K85" s="96"/>
      <c r="L85" s="96"/>
      <c r="M85" s="96"/>
      <c r="N85" s="96"/>
      <c r="O85" s="96"/>
      <c r="P85" s="96"/>
      <c r="Q85" s="96"/>
      <c r="R85" s="96"/>
      <c r="AG85" t="s">
        <v>5697</v>
      </c>
    </row>
    <row r="86" spans="1:33" ht="12" customHeight="1">
      <c r="A86" s="45" t="s">
        <v>5698</v>
      </c>
      <c r="B86" s="44" t="s">
        <v>5699</v>
      </c>
      <c r="C86" s="45" t="s">
        <v>5700</v>
      </c>
      <c r="D86" s="96"/>
      <c r="E86" s="96"/>
      <c r="F86" s="96"/>
      <c r="G86" s="96"/>
      <c r="H86" s="96"/>
      <c r="I86" s="96"/>
      <c r="J86" s="96"/>
      <c r="K86" s="96"/>
      <c r="L86" s="96"/>
      <c r="M86" s="96"/>
      <c r="N86" s="96"/>
      <c r="O86" s="96"/>
      <c r="P86" s="96"/>
      <c r="Q86" s="96"/>
      <c r="R86" s="96"/>
      <c r="AG86" t="s">
        <v>5701</v>
      </c>
    </row>
    <row r="87" spans="1:33" ht="12" customHeight="1">
      <c r="A87" s="45" t="s">
        <v>5702</v>
      </c>
      <c r="B87" s="44" t="s">
        <v>5703</v>
      </c>
      <c r="C87" s="45" t="s">
        <v>5704</v>
      </c>
      <c r="D87" s="96"/>
      <c r="E87" s="96"/>
      <c r="F87" s="96"/>
      <c r="G87" s="96"/>
      <c r="H87" s="96"/>
      <c r="I87" s="96"/>
      <c r="J87" s="96"/>
      <c r="K87" s="96"/>
      <c r="L87" s="96"/>
      <c r="M87" s="96"/>
      <c r="N87" s="96"/>
      <c r="O87" s="96"/>
      <c r="P87" s="96"/>
      <c r="Q87" s="96"/>
      <c r="R87" s="96"/>
      <c r="AG87" t="s">
        <v>5705</v>
      </c>
    </row>
    <row r="88" spans="1:33" ht="12" customHeight="1">
      <c r="A88" s="45" t="s">
        <v>5706</v>
      </c>
      <c r="B88" s="44" t="s">
        <v>5707</v>
      </c>
      <c r="C88" s="45" t="s">
        <v>5706</v>
      </c>
      <c r="D88" s="96"/>
      <c r="E88" s="96"/>
      <c r="F88" s="96"/>
      <c r="G88" s="96"/>
      <c r="H88" s="96"/>
      <c r="I88" s="96"/>
      <c r="J88" s="96"/>
      <c r="K88" s="96"/>
      <c r="L88" s="96"/>
      <c r="M88" s="96"/>
      <c r="N88" s="96"/>
      <c r="O88" s="96"/>
      <c r="P88" s="96"/>
      <c r="Q88" s="96"/>
      <c r="R88" s="96"/>
      <c r="AG88" t="s">
        <v>5708</v>
      </c>
    </row>
    <row r="89" spans="1:33" ht="12" customHeight="1">
      <c r="A89" s="45" t="s">
        <v>5709</v>
      </c>
      <c r="B89" s="44" t="s">
        <v>5710</v>
      </c>
      <c r="C89" s="45" t="s">
        <v>5709</v>
      </c>
      <c r="D89" s="96"/>
      <c r="E89" s="96"/>
      <c r="F89" s="96"/>
      <c r="G89" s="96"/>
      <c r="H89" s="96"/>
      <c r="I89" s="96"/>
      <c r="J89" s="96"/>
      <c r="K89" s="96"/>
      <c r="L89" s="96"/>
      <c r="M89" s="96"/>
      <c r="N89" s="96"/>
      <c r="O89" s="96"/>
      <c r="P89" s="96"/>
      <c r="Q89" s="96"/>
      <c r="R89" s="96"/>
      <c r="AG89" t="s">
        <v>5711</v>
      </c>
    </row>
    <row r="90" spans="1:33" ht="12" customHeight="1">
      <c r="A90" s="45" t="s">
        <v>5712</v>
      </c>
      <c r="B90" s="44" t="s">
        <v>5713</v>
      </c>
      <c r="C90" s="45" t="s">
        <v>5712</v>
      </c>
      <c r="D90" s="96"/>
      <c r="E90" s="96"/>
      <c r="F90" s="96"/>
      <c r="G90" s="96"/>
      <c r="H90" s="96"/>
      <c r="I90" s="96"/>
      <c r="J90" s="96"/>
      <c r="K90" s="96"/>
      <c r="L90" s="96"/>
      <c r="M90" s="96"/>
      <c r="N90" s="96"/>
      <c r="O90" s="96"/>
      <c r="P90" s="96"/>
      <c r="Q90" s="96"/>
      <c r="R90" s="96"/>
      <c r="AG90" t="s">
        <v>5714</v>
      </c>
    </row>
    <row r="91" spans="1:33" ht="12" customHeight="1">
      <c r="A91" s="85"/>
      <c r="B91" s="85"/>
      <c r="C91" s="323"/>
      <c r="D91" s="96"/>
      <c r="E91" s="96"/>
      <c r="F91" s="96"/>
      <c r="G91" s="96"/>
      <c r="H91" s="96"/>
      <c r="I91" s="96"/>
      <c r="J91" s="96"/>
      <c r="K91" s="96"/>
      <c r="L91" s="96"/>
      <c r="M91" s="96"/>
      <c r="N91" s="96"/>
      <c r="O91" s="96"/>
      <c r="P91" s="96"/>
      <c r="Q91" s="96"/>
      <c r="R91" s="96"/>
      <c r="AG91" t="s">
        <v>5715</v>
      </c>
    </row>
    <row r="92" spans="1:33" ht="12" customHeight="1">
      <c r="A92" s="96"/>
      <c r="B92" s="96"/>
      <c r="C92" s="96"/>
      <c r="D92" s="96"/>
      <c r="E92" s="96"/>
      <c r="F92" s="96"/>
      <c r="G92" s="96"/>
      <c r="H92" s="96"/>
      <c r="I92" s="96"/>
      <c r="J92" s="96"/>
      <c r="K92" s="96"/>
      <c r="L92" s="96"/>
      <c r="M92" s="96"/>
      <c r="N92" s="96"/>
      <c r="O92" s="96"/>
      <c r="P92" s="96"/>
      <c r="Q92" s="96"/>
      <c r="R92" s="96"/>
      <c r="AG92" t="s">
        <v>5716</v>
      </c>
    </row>
    <row r="93" spans="1:33" ht="12" customHeight="1">
      <c r="A93" s="96"/>
      <c r="B93" s="96"/>
      <c r="C93" s="96"/>
      <c r="D93" s="96"/>
      <c r="E93" s="96"/>
      <c r="F93" s="96"/>
      <c r="G93" s="96"/>
      <c r="H93" s="96"/>
      <c r="I93" s="96"/>
      <c r="J93" s="96"/>
      <c r="K93" s="96"/>
      <c r="L93" s="96"/>
      <c r="M93" s="96"/>
      <c r="N93" s="96"/>
      <c r="O93" s="96"/>
      <c r="P93" s="96"/>
      <c r="Q93" s="96"/>
      <c r="R93" s="96"/>
      <c r="AG93" t="s">
        <v>5717</v>
      </c>
    </row>
    <row r="94" spans="1:33" ht="12" customHeight="1">
      <c r="A94" s="85" t="s">
        <v>5254</v>
      </c>
      <c r="B94" s="324" t="s">
        <v>5718</v>
      </c>
      <c r="C94" s="85"/>
      <c r="D94" s="96"/>
      <c r="E94" s="96"/>
      <c r="F94" s="96"/>
      <c r="G94" s="96"/>
      <c r="H94" s="96"/>
      <c r="I94" s="96"/>
      <c r="J94" s="96"/>
      <c r="K94" s="96"/>
      <c r="L94" s="96"/>
      <c r="M94" s="96"/>
      <c r="N94" s="96"/>
      <c r="O94" s="96"/>
      <c r="P94" s="96"/>
      <c r="Q94" s="96"/>
      <c r="R94" s="96"/>
      <c r="AG94" t="s">
        <v>5719</v>
      </c>
    </row>
    <row r="95" spans="1:33" ht="12" customHeight="1">
      <c r="A95" s="85" t="s">
        <v>5277</v>
      </c>
      <c r="B95" s="324" t="s">
        <v>5720</v>
      </c>
      <c r="C95" s="85"/>
      <c r="D95" s="96"/>
      <c r="E95" s="96"/>
      <c r="F95" s="96"/>
      <c r="G95" s="96"/>
      <c r="H95" s="96"/>
      <c r="I95" s="96"/>
      <c r="J95" s="96"/>
      <c r="K95" s="96"/>
      <c r="L95" s="96"/>
      <c r="M95" s="96"/>
      <c r="N95" s="96"/>
      <c r="O95" s="96"/>
      <c r="P95" s="96"/>
      <c r="Q95" s="96"/>
      <c r="R95" s="96"/>
      <c r="AG95" t="s">
        <v>5721</v>
      </c>
    </row>
    <row r="96" spans="1:33" ht="12" customHeight="1">
      <c r="A96" s="85" t="s">
        <v>5290</v>
      </c>
      <c r="B96" s="324" t="s">
        <v>5722</v>
      </c>
      <c r="C96" s="85"/>
      <c r="D96" s="96"/>
      <c r="E96" s="96"/>
      <c r="F96" s="96"/>
      <c r="G96" s="96"/>
      <c r="H96" s="96"/>
      <c r="I96" s="96"/>
      <c r="J96" s="96"/>
      <c r="K96" s="96"/>
      <c r="L96" s="96"/>
      <c r="M96" s="96"/>
      <c r="N96" s="96"/>
      <c r="O96" s="96"/>
      <c r="P96" s="96"/>
      <c r="Q96" s="96"/>
      <c r="R96" s="96"/>
      <c r="AG96" t="s">
        <v>5723</v>
      </c>
    </row>
    <row r="97" spans="1:33" ht="12" customHeight="1">
      <c r="A97" s="85" t="s">
        <v>5304</v>
      </c>
      <c r="B97" s="324" t="s">
        <v>5724</v>
      </c>
      <c r="C97" s="85"/>
      <c r="D97" s="96"/>
      <c r="E97" s="96"/>
      <c r="F97" s="96"/>
      <c r="G97" s="96"/>
      <c r="H97" s="96"/>
      <c r="I97" s="96"/>
      <c r="J97" s="96"/>
      <c r="K97" s="96"/>
      <c r="L97" s="96"/>
      <c r="M97" s="96"/>
      <c r="N97" s="96"/>
      <c r="O97" s="96"/>
      <c r="P97" s="96"/>
      <c r="Q97" s="96"/>
      <c r="R97" s="96"/>
      <c r="AG97" t="s">
        <v>5725</v>
      </c>
    </row>
    <row r="98" spans="1:33" ht="12" customHeight="1">
      <c r="A98" s="85" t="s">
        <v>5316</v>
      </c>
      <c r="B98" s="324" t="s">
        <v>5726</v>
      </c>
      <c r="C98" s="85"/>
      <c r="D98" s="96"/>
      <c r="E98" s="96"/>
      <c r="F98" s="96"/>
      <c r="G98" s="96"/>
      <c r="H98" s="96"/>
      <c r="I98" s="96"/>
      <c r="J98" s="96"/>
      <c r="K98" s="96"/>
      <c r="L98" s="96"/>
      <c r="M98" s="96"/>
      <c r="N98" s="96"/>
      <c r="O98" s="96"/>
      <c r="P98" s="96"/>
      <c r="Q98" s="96"/>
      <c r="R98" s="96"/>
      <c r="AG98" t="s">
        <v>5727</v>
      </c>
    </row>
    <row r="99" spans="1:33" ht="12" customHeight="1">
      <c r="A99" s="85" t="s">
        <v>5329</v>
      </c>
      <c r="B99" s="324" t="s">
        <v>5728</v>
      </c>
      <c r="C99" s="85"/>
      <c r="D99" s="96"/>
      <c r="E99" s="96"/>
      <c r="F99" s="96"/>
      <c r="G99" s="96"/>
      <c r="H99" s="96"/>
      <c r="I99" s="96"/>
      <c r="J99" s="96"/>
      <c r="K99" s="96"/>
      <c r="L99" s="96"/>
      <c r="M99" s="96"/>
      <c r="N99" s="96"/>
      <c r="O99" s="96"/>
      <c r="P99" s="96"/>
      <c r="Q99" s="96"/>
      <c r="R99" s="96"/>
      <c r="AG99" t="s">
        <v>5729</v>
      </c>
    </row>
    <row r="100" spans="1:33" ht="12" customHeight="1">
      <c r="A100" s="85" t="s">
        <v>5338</v>
      </c>
      <c r="B100" s="324" t="s">
        <v>5730</v>
      </c>
      <c r="C100" s="85"/>
      <c r="D100" s="96"/>
      <c r="E100" s="96"/>
      <c r="F100" s="96"/>
      <c r="G100" s="96"/>
      <c r="H100" s="96"/>
      <c r="I100" s="96"/>
      <c r="J100" s="96"/>
      <c r="K100" s="96"/>
      <c r="L100" s="96"/>
      <c r="M100" s="96"/>
      <c r="N100" s="96"/>
      <c r="O100" s="102"/>
      <c r="P100" s="96"/>
      <c r="Q100" s="96"/>
      <c r="R100" s="96"/>
      <c r="AG100" t="s">
        <v>5731</v>
      </c>
    </row>
    <row r="101" spans="1:33" ht="12" customHeight="1">
      <c r="A101" s="85" t="s">
        <v>5348</v>
      </c>
      <c r="B101" s="324" t="s">
        <v>5732</v>
      </c>
      <c r="C101" s="85"/>
      <c r="D101" s="96"/>
      <c r="E101" s="96"/>
      <c r="F101" s="96"/>
      <c r="G101" s="96"/>
      <c r="H101" s="96"/>
      <c r="I101" s="96"/>
      <c r="J101" s="96"/>
      <c r="K101" s="96"/>
      <c r="L101" s="96"/>
      <c r="M101" s="96"/>
      <c r="N101" s="96"/>
      <c r="O101" s="102"/>
      <c r="P101" s="96"/>
      <c r="Q101" s="96"/>
      <c r="R101" s="96"/>
      <c r="AG101" t="s">
        <v>5733</v>
      </c>
    </row>
    <row r="102" spans="1:33" ht="12" customHeight="1">
      <c r="A102" s="85" t="s">
        <v>5358</v>
      </c>
      <c r="B102" s="324" t="s">
        <v>5734</v>
      </c>
      <c r="C102" s="85"/>
      <c r="D102" s="96"/>
      <c r="E102" s="96"/>
      <c r="F102" s="96"/>
      <c r="G102" s="96"/>
      <c r="H102" s="96"/>
      <c r="I102" s="96"/>
      <c r="J102" s="96"/>
      <c r="K102" s="96"/>
      <c r="L102" s="96"/>
      <c r="M102" s="96"/>
      <c r="N102" s="96"/>
      <c r="O102" s="102"/>
      <c r="P102" s="96"/>
      <c r="Q102" s="96"/>
      <c r="R102" s="96"/>
      <c r="AG102" t="s">
        <v>5735</v>
      </c>
    </row>
    <row r="103" spans="1:33" ht="12" customHeight="1">
      <c r="A103" s="85" t="s">
        <v>5367</v>
      </c>
      <c r="B103" s="324" t="s">
        <v>5736</v>
      </c>
      <c r="C103" s="85"/>
      <c r="D103" s="96"/>
      <c r="E103" s="96"/>
      <c r="F103" s="96"/>
      <c r="G103" s="96"/>
      <c r="H103" s="96"/>
      <c r="I103" s="96"/>
      <c r="J103" s="96"/>
      <c r="K103" s="96"/>
      <c r="L103" s="96"/>
      <c r="M103" s="96"/>
      <c r="N103" s="96"/>
      <c r="O103" s="102"/>
      <c r="P103" s="96"/>
      <c r="Q103" s="96"/>
      <c r="R103" s="96"/>
      <c r="AG103" t="s">
        <v>5737</v>
      </c>
    </row>
    <row r="104" spans="1:33" ht="12" customHeight="1">
      <c r="A104" s="85" t="s">
        <v>5376</v>
      </c>
      <c r="B104" s="324" t="s">
        <v>5738</v>
      </c>
      <c r="C104" s="85"/>
      <c r="D104" s="96"/>
      <c r="E104" s="96"/>
      <c r="F104" s="96"/>
      <c r="G104" s="96"/>
      <c r="H104" s="96"/>
      <c r="I104" s="96"/>
      <c r="J104" s="96"/>
      <c r="K104" s="96"/>
      <c r="L104" s="96"/>
      <c r="M104" s="96"/>
      <c r="N104" s="96"/>
      <c r="O104" s="102"/>
      <c r="P104" s="96"/>
      <c r="Q104" s="96"/>
      <c r="R104" s="96"/>
      <c r="AG104" t="s">
        <v>5739</v>
      </c>
    </row>
    <row r="105" spans="1:33" ht="12" customHeight="1">
      <c r="A105" s="85" t="s">
        <v>5740</v>
      </c>
      <c r="B105" s="324" t="s">
        <v>5741</v>
      </c>
      <c r="C105" s="85"/>
      <c r="D105" s="96"/>
      <c r="E105" s="96"/>
      <c r="F105" s="96"/>
      <c r="G105" s="96"/>
      <c r="H105" s="96"/>
      <c r="I105" s="96"/>
      <c r="J105" s="96"/>
      <c r="K105" s="96"/>
      <c r="L105" s="96"/>
      <c r="M105" s="96"/>
      <c r="N105" s="96"/>
      <c r="O105" s="102"/>
      <c r="P105" s="96"/>
      <c r="Q105" s="96"/>
      <c r="R105" s="96"/>
      <c r="AG105" t="s">
        <v>5742</v>
      </c>
    </row>
    <row r="106" spans="1:33" ht="12" customHeight="1">
      <c r="A106" s="85" t="s">
        <v>5743</v>
      </c>
      <c r="B106" s="324" t="s">
        <v>5744</v>
      </c>
      <c r="C106" s="85"/>
      <c r="D106" s="96"/>
      <c r="E106" s="96"/>
      <c r="F106" s="96"/>
      <c r="G106" s="96"/>
      <c r="H106" s="96"/>
      <c r="I106" s="96"/>
      <c r="J106" s="96"/>
      <c r="K106" s="96"/>
      <c r="L106" s="96"/>
      <c r="M106" s="96"/>
      <c r="N106" s="96"/>
      <c r="O106" s="102"/>
      <c r="P106" s="96"/>
      <c r="Q106" s="96"/>
      <c r="R106" s="96"/>
      <c r="AG106" t="s">
        <v>5745</v>
      </c>
    </row>
    <row r="107" spans="1:33" ht="12" customHeight="1">
      <c r="A107" s="85" t="s">
        <v>5746</v>
      </c>
      <c r="B107" s="324" t="s">
        <v>5747</v>
      </c>
      <c r="C107" s="85"/>
      <c r="D107" s="96"/>
      <c r="E107" s="96"/>
      <c r="F107" s="96"/>
      <c r="G107" s="96"/>
      <c r="H107" s="96"/>
      <c r="I107" s="96"/>
      <c r="J107" s="96"/>
      <c r="K107" s="96"/>
      <c r="L107" s="96"/>
      <c r="M107" s="96"/>
      <c r="N107" s="96"/>
      <c r="O107" s="102"/>
      <c r="P107" s="96"/>
      <c r="Q107" s="96"/>
      <c r="R107" s="96"/>
      <c r="AG107" t="s">
        <v>5748</v>
      </c>
    </row>
    <row r="108" spans="1:33" ht="12" customHeight="1">
      <c r="A108" s="85" t="s">
        <v>5410</v>
      </c>
      <c r="B108" s="324" t="s">
        <v>5749</v>
      </c>
      <c r="C108" s="85"/>
      <c r="D108" s="96"/>
      <c r="E108" s="96"/>
      <c r="F108" s="96"/>
      <c r="G108" s="96"/>
      <c r="H108" s="96"/>
      <c r="I108" s="96"/>
      <c r="J108" s="96"/>
      <c r="K108" s="96"/>
      <c r="L108" s="96"/>
      <c r="M108" s="102"/>
      <c r="N108" s="96"/>
      <c r="O108" s="102"/>
      <c r="P108" s="96"/>
      <c r="Q108" s="96"/>
      <c r="R108" s="96"/>
      <c r="AG108" t="s">
        <v>5750</v>
      </c>
    </row>
    <row r="109" spans="1:33" ht="12" customHeight="1">
      <c r="A109" s="85" t="s">
        <v>5416</v>
      </c>
      <c r="B109" s="324" t="s">
        <v>5751</v>
      </c>
      <c r="C109" s="85"/>
      <c r="D109" s="96"/>
      <c r="E109" s="96"/>
      <c r="F109" s="96"/>
      <c r="G109" s="96"/>
      <c r="H109" s="96"/>
      <c r="I109" s="96"/>
      <c r="J109" s="96"/>
      <c r="K109" s="96"/>
      <c r="L109" s="96"/>
      <c r="M109" s="102"/>
      <c r="N109" s="96"/>
      <c r="O109" s="102"/>
      <c r="P109" s="96"/>
      <c r="Q109" s="96"/>
      <c r="R109" s="96"/>
      <c r="AG109" t="s">
        <v>5752</v>
      </c>
    </row>
    <row r="110" spans="1:33" ht="12" customHeight="1">
      <c r="A110" s="85" t="s">
        <v>5422</v>
      </c>
      <c r="B110" s="324" t="s">
        <v>5753</v>
      </c>
      <c r="C110" s="85"/>
      <c r="D110" s="96"/>
      <c r="E110" s="96"/>
      <c r="F110" s="96"/>
      <c r="G110" s="96"/>
      <c r="H110" s="96"/>
      <c r="I110" s="96"/>
      <c r="J110" s="96"/>
      <c r="K110" s="96"/>
      <c r="L110" s="96"/>
      <c r="M110" s="102"/>
      <c r="N110" s="96"/>
      <c r="O110" s="102"/>
      <c r="P110" s="96"/>
      <c r="Q110" s="96"/>
      <c r="R110" s="96"/>
      <c r="AG110" t="s">
        <v>5754</v>
      </c>
    </row>
    <row r="111" spans="1:33" ht="12" customHeight="1">
      <c r="A111" s="85" t="s">
        <v>5427</v>
      </c>
      <c r="B111" s="324" t="s">
        <v>5755</v>
      </c>
      <c r="C111" s="85"/>
      <c r="D111" s="96"/>
      <c r="E111" s="96"/>
      <c r="F111" s="96"/>
      <c r="G111" s="96"/>
      <c r="H111" s="96"/>
      <c r="I111" s="96"/>
      <c r="J111" s="96"/>
      <c r="K111" s="96"/>
      <c r="L111" s="96"/>
      <c r="M111" s="102"/>
      <c r="N111" s="96"/>
      <c r="O111" s="102"/>
      <c r="P111" s="96"/>
      <c r="Q111" s="96"/>
      <c r="R111" s="96"/>
      <c r="AG111" t="s">
        <v>5756</v>
      </c>
    </row>
    <row r="112" spans="1:33" ht="12" customHeight="1">
      <c r="A112" s="85" t="s">
        <v>5434</v>
      </c>
      <c r="B112" s="324" t="s">
        <v>5757</v>
      </c>
      <c r="C112" s="85"/>
      <c r="D112" s="96"/>
      <c r="E112" s="96"/>
      <c r="F112" s="96"/>
      <c r="G112" s="96"/>
      <c r="H112" s="96"/>
      <c r="I112" s="96"/>
      <c r="J112" s="96"/>
      <c r="K112" s="96"/>
      <c r="L112" s="96"/>
      <c r="M112" s="102"/>
      <c r="N112" s="96"/>
      <c r="O112" s="102"/>
      <c r="P112" s="96"/>
      <c r="Q112" s="96"/>
      <c r="R112" s="96"/>
      <c r="AG112" t="s">
        <v>5758</v>
      </c>
    </row>
    <row r="113" spans="1:33" ht="12" customHeight="1">
      <c r="A113" s="85" t="s">
        <v>5441</v>
      </c>
      <c r="B113" s="324" t="s">
        <v>5759</v>
      </c>
      <c r="C113" s="85"/>
      <c r="D113" s="96"/>
      <c r="E113" s="96"/>
      <c r="F113" s="96"/>
      <c r="G113" s="96"/>
      <c r="H113" s="96"/>
      <c r="I113" s="96"/>
      <c r="J113" s="96"/>
      <c r="K113" s="96"/>
      <c r="L113" s="96"/>
      <c r="M113" s="102"/>
      <c r="N113" s="96"/>
      <c r="O113" s="102"/>
      <c r="P113" s="96"/>
      <c r="Q113" s="96"/>
      <c r="R113" s="96"/>
      <c r="AG113" t="s">
        <v>5760</v>
      </c>
    </row>
    <row r="114" spans="1:33" ht="12" customHeight="1">
      <c r="A114" s="85" t="s">
        <v>5447</v>
      </c>
      <c r="B114" s="324" t="s">
        <v>5761</v>
      </c>
      <c r="C114" s="85"/>
      <c r="D114" s="96"/>
      <c r="E114" s="96"/>
      <c r="F114" s="96"/>
      <c r="G114" s="96"/>
      <c r="H114" s="96"/>
      <c r="I114" s="96"/>
      <c r="J114" s="96"/>
      <c r="K114" s="96"/>
      <c r="L114" s="96"/>
      <c r="M114" s="102"/>
      <c r="N114" s="96"/>
      <c r="O114" s="102"/>
      <c r="P114" s="96"/>
      <c r="Q114" s="96"/>
      <c r="R114" s="96"/>
      <c r="AG114" t="s">
        <v>5762</v>
      </c>
    </row>
    <row r="115" spans="1:33" ht="12" customHeight="1">
      <c r="A115" s="85" t="s">
        <v>5454</v>
      </c>
      <c r="B115" s="324" t="s">
        <v>5763</v>
      </c>
      <c r="C115" s="85"/>
      <c r="D115" s="96"/>
      <c r="E115" s="96"/>
      <c r="F115" s="96"/>
      <c r="G115" s="96"/>
      <c r="H115" s="96"/>
      <c r="I115" s="96"/>
      <c r="J115" s="96"/>
      <c r="K115" s="96"/>
      <c r="L115" s="96"/>
      <c r="M115" s="102"/>
      <c r="N115" s="96"/>
      <c r="O115" s="102"/>
      <c r="P115" s="96"/>
      <c r="Q115" s="96"/>
      <c r="R115" s="96"/>
      <c r="AG115" t="s">
        <v>5764</v>
      </c>
    </row>
    <row r="116" spans="1:33" ht="12" customHeight="1">
      <c r="A116" s="85" t="s">
        <v>5460</v>
      </c>
      <c r="B116" s="324" t="s">
        <v>5765</v>
      </c>
      <c r="C116" s="85"/>
      <c r="D116" s="96"/>
      <c r="E116" s="96"/>
      <c r="F116" s="96"/>
      <c r="G116" s="96"/>
      <c r="H116" s="96"/>
      <c r="I116" s="96"/>
      <c r="J116" s="96"/>
      <c r="K116" s="96"/>
      <c r="L116" s="96"/>
      <c r="M116" s="102"/>
      <c r="N116" s="96"/>
      <c r="O116" s="102"/>
      <c r="P116" s="96"/>
      <c r="Q116" s="96"/>
      <c r="R116" s="96"/>
      <c r="AG116" t="s">
        <v>5766</v>
      </c>
    </row>
    <row r="117" spans="1:33" ht="12" customHeight="1">
      <c r="A117" s="85" t="s">
        <v>5465</v>
      </c>
      <c r="B117" s="324" t="s">
        <v>5767</v>
      </c>
      <c r="C117" s="85"/>
      <c r="D117" s="96"/>
      <c r="E117" s="96"/>
      <c r="F117" s="96"/>
      <c r="G117" s="96"/>
      <c r="H117" s="96"/>
      <c r="I117" s="96"/>
      <c r="J117" s="96"/>
      <c r="K117" s="96"/>
      <c r="L117" s="96"/>
      <c r="M117" s="102"/>
      <c r="N117" s="96"/>
      <c r="O117" s="102"/>
      <c r="P117" s="96"/>
      <c r="Q117" s="96"/>
      <c r="R117" s="96"/>
      <c r="AG117" t="s">
        <v>5768</v>
      </c>
    </row>
    <row r="118" spans="1:33" ht="12" customHeight="1">
      <c r="A118" s="85" t="s">
        <v>5470</v>
      </c>
      <c r="B118" s="324" t="s">
        <v>5769</v>
      </c>
      <c r="C118" s="85"/>
      <c r="D118" s="96"/>
      <c r="E118" s="96"/>
      <c r="F118" s="96"/>
      <c r="G118" s="96"/>
      <c r="H118" s="96"/>
      <c r="I118" s="96"/>
      <c r="J118" s="96"/>
      <c r="K118" s="96"/>
      <c r="L118" s="96"/>
      <c r="M118" s="102"/>
      <c r="N118" s="96"/>
      <c r="O118" s="102"/>
      <c r="P118" s="96"/>
      <c r="Q118" s="96"/>
      <c r="R118" s="96"/>
      <c r="AG118" t="s">
        <v>5770</v>
      </c>
    </row>
    <row r="119" spans="1:33" ht="12" customHeight="1">
      <c r="A119" s="85" t="s">
        <v>102</v>
      </c>
      <c r="B119" s="324" t="s">
        <v>110</v>
      </c>
      <c r="C119" s="85"/>
      <c r="D119" s="96"/>
      <c r="E119" s="96"/>
      <c r="F119" s="96"/>
      <c r="G119" s="96"/>
      <c r="H119" s="96"/>
      <c r="I119" s="96"/>
      <c r="J119" s="96"/>
      <c r="K119" s="96"/>
      <c r="L119" s="96"/>
      <c r="M119" s="102"/>
      <c r="N119" s="96"/>
      <c r="O119" s="102"/>
      <c r="P119" s="96"/>
      <c r="Q119" s="96"/>
      <c r="R119" s="96"/>
      <c r="AG119" t="s">
        <v>5771</v>
      </c>
    </row>
    <row r="120" spans="1:33" ht="12" customHeight="1">
      <c r="A120" s="85" t="s">
        <v>5479</v>
      </c>
      <c r="B120" s="324" t="s">
        <v>5772</v>
      </c>
      <c r="C120" s="85"/>
      <c r="D120" s="96"/>
      <c r="E120" s="96"/>
      <c r="F120" s="96"/>
      <c r="G120" s="96"/>
      <c r="H120" s="96"/>
      <c r="I120" s="96"/>
      <c r="J120" s="96"/>
      <c r="K120" s="96"/>
      <c r="L120" s="96"/>
      <c r="M120" s="102"/>
      <c r="N120" s="96"/>
      <c r="O120" s="102"/>
      <c r="P120" s="96"/>
      <c r="Q120" s="96"/>
      <c r="R120" s="96"/>
      <c r="AG120" t="s">
        <v>5773</v>
      </c>
    </row>
    <row r="121" spans="1:33" ht="12" customHeight="1">
      <c r="A121" s="85" t="s">
        <v>5484</v>
      </c>
      <c r="B121" s="324" t="s">
        <v>5774</v>
      </c>
      <c r="C121" s="85"/>
      <c r="D121" s="96"/>
      <c r="E121" s="96"/>
      <c r="F121" s="96"/>
      <c r="G121" s="96"/>
      <c r="H121" s="96"/>
      <c r="I121" s="96"/>
      <c r="J121" s="96"/>
      <c r="K121" s="96"/>
      <c r="L121" s="96"/>
      <c r="M121" s="102"/>
      <c r="N121" s="96"/>
      <c r="O121" s="102"/>
      <c r="P121" s="96"/>
      <c r="Q121" s="96"/>
      <c r="R121" s="96"/>
      <c r="AG121" t="s">
        <v>5775</v>
      </c>
    </row>
    <row r="122" spans="1:33" ht="12" customHeight="1">
      <c r="A122" s="85" t="s">
        <v>5489</v>
      </c>
      <c r="B122" s="324" t="s">
        <v>5776</v>
      </c>
      <c r="C122" s="85"/>
      <c r="D122" s="96"/>
      <c r="E122" s="96"/>
      <c r="F122" s="96"/>
      <c r="G122" s="96"/>
      <c r="H122" s="96"/>
      <c r="I122" s="96"/>
      <c r="J122" s="96"/>
      <c r="K122" s="96"/>
      <c r="L122" s="96"/>
      <c r="M122" s="102"/>
      <c r="N122" s="96"/>
      <c r="O122" s="102"/>
      <c r="P122" s="96"/>
      <c r="Q122" s="96"/>
      <c r="R122" s="96"/>
      <c r="AG122" t="s">
        <v>5777</v>
      </c>
    </row>
    <row r="123" spans="1:33" ht="12" customHeight="1">
      <c r="A123" s="85" t="s">
        <v>5494</v>
      </c>
      <c r="B123" s="324" t="s">
        <v>5778</v>
      </c>
      <c r="C123" s="85"/>
      <c r="D123" s="96"/>
      <c r="E123" s="96"/>
      <c r="F123" s="96"/>
      <c r="G123" s="96"/>
      <c r="H123" s="96"/>
      <c r="I123" s="96"/>
      <c r="J123" s="96"/>
      <c r="K123" s="96"/>
      <c r="L123" s="96"/>
      <c r="M123" s="102"/>
      <c r="N123" s="96"/>
      <c r="O123" s="102"/>
      <c r="P123" s="96"/>
      <c r="Q123" s="96"/>
      <c r="R123" s="96"/>
      <c r="AG123" t="s">
        <v>5779</v>
      </c>
    </row>
    <row r="124" spans="1:33" ht="12" customHeight="1">
      <c r="A124" s="85" t="s">
        <v>5498</v>
      </c>
      <c r="B124" s="324" t="s">
        <v>5780</v>
      </c>
      <c r="C124" s="85"/>
      <c r="D124" s="96"/>
      <c r="E124" s="96"/>
      <c r="F124" s="96"/>
      <c r="G124" s="96"/>
      <c r="H124" s="96"/>
      <c r="I124" s="96"/>
      <c r="J124" s="96"/>
      <c r="K124" s="96"/>
      <c r="L124" s="96"/>
      <c r="M124" s="102"/>
      <c r="N124" s="96"/>
      <c r="O124" s="102"/>
      <c r="P124" s="96"/>
      <c r="Q124" s="96"/>
      <c r="R124" s="96"/>
      <c r="AG124" t="s">
        <v>5781</v>
      </c>
    </row>
    <row r="125" spans="1:33" ht="12" customHeight="1">
      <c r="A125" s="85" t="s">
        <v>5503</v>
      </c>
      <c r="B125" s="324" t="s">
        <v>5782</v>
      </c>
      <c r="C125" s="85"/>
      <c r="D125" s="96"/>
      <c r="E125" s="96"/>
      <c r="F125" s="96"/>
      <c r="G125" s="96"/>
      <c r="H125" s="96"/>
      <c r="I125" s="96"/>
      <c r="J125" s="96"/>
      <c r="K125" s="96"/>
      <c r="L125" s="96"/>
      <c r="M125" s="102"/>
      <c r="N125" s="96"/>
      <c r="O125" s="102"/>
      <c r="P125" s="96"/>
      <c r="Q125" s="96"/>
      <c r="R125" s="96"/>
      <c r="AG125" t="s">
        <v>5783</v>
      </c>
    </row>
    <row r="126" spans="1:33" ht="12" customHeight="1">
      <c r="A126" s="85" t="s">
        <v>5508</v>
      </c>
      <c r="B126" s="324" t="s">
        <v>5784</v>
      </c>
      <c r="C126" s="85"/>
      <c r="D126" s="96"/>
      <c r="E126" s="96"/>
      <c r="F126" s="96"/>
      <c r="G126" s="96"/>
      <c r="H126" s="96"/>
      <c r="I126" s="96"/>
      <c r="J126" s="96"/>
      <c r="K126" s="96"/>
      <c r="L126" s="96"/>
      <c r="M126" s="102"/>
      <c r="N126" s="96"/>
      <c r="O126" s="102"/>
      <c r="P126" s="96"/>
      <c r="Q126" s="96"/>
      <c r="R126" s="96"/>
      <c r="AG126" t="s">
        <v>5785</v>
      </c>
    </row>
    <row r="127" spans="1:33" ht="12" customHeight="1">
      <c r="A127" s="85" t="s">
        <v>5513</v>
      </c>
      <c r="B127" s="324" t="s">
        <v>5786</v>
      </c>
      <c r="C127" s="85"/>
      <c r="D127" s="96"/>
      <c r="E127" s="96"/>
      <c r="F127" s="96"/>
      <c r="G127" s="96"/>
      <c r="H127" s="96"/>
      <c r="I127" s="96"/>
      <c r="J127" s="96"/>
      <c r="K127" s="96"/>
      <c r="L127" s="96"/>
      <c r="M127" s="102"/>
      <c r="N127" s="96"/>
      <c r="O127" s="102"/>
      <c r="P127" s="96"/>
      <c r="Q127" s="96"/>
      <c r="R127" s="96"/>
      <c r="AG127" t="s">
        <v>5787</v>
      </c>
    </row>
    <row r="128" spans="1:33" ht="12" customHeight="1">
      <c r="A128" s="85" t="s">
        <v>5518</v>
      </c>
      <c r="B128" s="324" t="s">
        <v>5788</v>
      </c>
      <c r="C128" s="85"/>
      <c r="D128" s="96"/>
      <c r="E128" s="96"/>
      <c r="F128" s="96"/>
      <c r="G128" s="96"/>
      <c r="H128" s="96"/>
      <c r="I128" s="96"/>
      <c r="J128" s="96"/>
      <c r="K128" s="96"/>
      <c r="L128" s="96"/>
      <c r="M128" s="102"/>
      <c r="N128" s="96"/>
      <c r="O128" s="102"/>
      <c r="P128" s="96"/>
      <c r="Q128" s="96"/>
      <c r="R128" s="96"/>
      <c r="AG128" t="s">
        <v>5789</v>
      </c>
    </row>
    <row r="129" spans="1:33" ht="12" customHeight="1">
      <c r="A129" s="85" t="s">
        <v>5523</v>
      </c>
      <c r="B129" s="324" t="s">
        <v>5790</v>
      </c>
      <c r="C129" s="85"/>
      <c r="D129" s="96"/>
      <c r="E129" s="96"/>
      <c r="F129" s="96"/>
      <c r="G129" s="96"/>
      <c r="H129" s="96"/>
      <c r="I129" s="96"/>
      <c r="J129" s="96"/>
      <c r="K129" s="96"/>
      <c r="L129" s="96"/>
      <c r="M129" s="102"/>
      <c r="N129" s="96"/>
      <c r="O129" s="102"/>
      <c r="P129" s="96"/>
      <c r="Q129" s="96"/>
      <c r="R129" s="96"/>
      <c r="AG129" t="s">
        <v>5791</v>
      </c>
    </row>
    <row r="130" spans="1:33" ht="12" customHeight="1">
      <c r="A130" s="85" t="s">
        <v>5528</v>
      </c>
      <c r="B130" s="324" t="s">
        <v>5792</v>
      </c>
      <c r="C130" s="85"/>
      <c r="D130" s="96"/>
      <c r="E130" s="96"/>
      <c r="F130" s="96"/>
      <c r="G130" s="96"/>
      <c r="H130" s="96"/>
      <c r="I130" s="96"/>
      <c r="J130" s="96"/>
      <c r="K130" s="96"/>
      <c r="L130" s="102"/>
      <c r="M130" s="102"/>
      <c r="N130" s="96"/>
      <c r="O130" s="96"/>
      <c r="P130" s="96"/>
      <c r="Q130" s="96"/>
      <c r="R130" s="96"/>
      <c r="AG130" t="s">
        <v>5793</v>
      </c>
    </row>
    <row r="131" spans="1:33" ht="12" customHeight="1">
      <c r="A131" s="85" t="s">
        <v>5532</v>
      </c>
      <c r="B131" s="324" t="s">
        <v>5794</v>
      </c>
      <c r="C131" s="85"/>
      <c r="D131" s="96"/>
      <c r="E131" s="96"/>
      <c r="F131" s="96"/>
      <c r="G131" s="96"/>
      <c r="H131" s="96"/>
      <c r="I131" s="96"/>
      <c r="J131" s="96"/>
      <c r="K131" s="96"/>
      <c r="L131" s="102"/>
      <c r="M131" s="102"/>
      <c r="N131" s="96"/>
      <c r="O131" s="96"/>
      <c r="P131" s="96"/>
      <c r="Q131" s="96"/>
      <c r="R131" s="96"/>
      <c r="AG131" t="s">
        <v>5795</v>
      </c>
    </row>
    <row r="132" spans="1:33" ht="12" customHeight="1">
      <c r="A132" s="85" t="s">
        <v>5537</v>
      </c>
      <c r="B132" s="324" t="s">
        <v>5796</v>
      </c>
      <c r="C132" s="85"/>
      <c r="D132" s="96"/>
      <c r="E132" s="96"/>
      <c r="F132" s="96"/>
      <c r="G132" s="96"/>
      <c r="H132" s="96"/>
      <c r="I132" s="96"/>
      <c r="J132" s="96"/>
      <c r="K132" s="96"/>
      <c r="L132" s="102"/>
      <c r="M132" s="102"/>
      <c r="N132" s="96"/>
      <c r="O132" s="96"/>
      <c r="P132" s="96"/>
      <c r="Q132" s="96"/>
      <c r="R132" s="96"/>
      <c r="AG132" t="s">
        <v>5797</v>
      </c>
    </row>
    <row r="133" spans="1:33" ht="12" customHeight="1">
      <c r="A133" s="85" t="s">
        <v>5541</v>
      </c>
      <c r="B133" s="324" t="s">
        <v>5798</v>
      </c>
      <c r="C133" s="85"/>
      <c r="D133" s="96"/>
      <c r="E133" s="96"/>
      <c r="F133" s="96"/>
      <c r="G133" s="96"/>
      <c r="H133" s="96"/>
      <c r="I133" s="96"/>
      <c r="J133" s="96"/>
      <c r="K133" s="96"/>
      <c r="L133" s="102"/>
      <c r="M133" s="102"/>
      <c r="N133" s="96"/>
      <c r="O133" s="96"/>
      <c r="P133" s="96"/>
      <c r="Q133" s="96"/>
      <c r="R133" s="96"/>
      <c r="AG133" t="s">
        <v>5799</v>
      </c>
    </row>
    <row r="134" spans="1:33" ht="12" customHeight="1">
      <c r="A134" s="85" t="s">
        <v>5545</v>
      </c>
      <c r="B134" s="324" t="s">
        <v>5800</v>
      </c>
      <c r="C134" s="85"/>
      <c r="D134" s="96"/>
      <c r="E134" s="96"/>
      <c r="F134" s="96"/>
      <c r="G134" s="96"/>
      <c r="H134" s="96"/>
      <c r="I134" s="96"/>
      <c r="J134" s="96"/>
      <c r="K134" s="96"/>
      <c r="L134" s="102"/>
      <c r="M134" s="102"/>
      <c r="N134" s="96"/>
      <c r="O134" s="96"/>
      <c r="P134" s="96"/>
      <c r="Q134" s="96"/>
      <c r="R134" s="96"/>
      <c r="AG134" t="s">
        <v>5801</v>
      </c>
    </row>
    <row r="135" spans="1:33" ht="12" customHeight="1">
      <c r="A135" s="85" t="s">
        <v>5549</v>
      </c>
      <c r="B135" s="324" t="s">
        <v>5802</v>
      </c>
      <c r="C135" s="85"/>
      <c r="D135" s="96"/>
      <c r="E135" s="96"/>
      <c r="F135" s="96"/>
      <c r="G135" s="96"/>
      <c r="H135" s="96"/>
      <c r="I135" s="96"/>
      <c r="J135" s="96"/>
      <c r="K135" s="102"/>
      <c r="L135" s="102"/>
      <c r="M135" s="102"/>
      <c r="N135" s="96"/>
      <c r="O135" s="96"/>
      <c r="P135" s="96"/>
      <c r="Q135" s="96"/>
      <c r="R135" s="96"/>
      <c r="AG135" t="s">
        <v>5803</v>
      </c>
    </row>
    <row r="136" spans="1:33" ht="12" customHeight="1">
      <c r="A136" s="85" t="s">
        <v>5553</v>
      </c>
      <c r="B136" s="324" t="s">
        <v>5804</v>
      </c>
      <c r="C136" s="85"/>
      <c r="D136" s="96"/>
      <c r="E136" s="96"/>
      <c r="F136" s="96"/>
      <c r="G136" s="96"/>
      <c r="H136" s="96"/>
      <c r="I136" s="96"/>
      <c r="J136" s="96"/>
      <c r="K136" s="102"/>
      <c r="L136" s="102"/>
      <c r="M136" s="102"/>
      <c r="N136" s="96"/>
      <c r="O136" s="96"/>
      <c r="P136" s="96"/>
      <c r="Q136" s="96"/>
      <c r="R136" s="96"/>
      <c r="AG136" t="s">
        <v>5805</v>
      </c>
    </row>
    <row r="137" spans="1:33" ht="12" customHeight="1">
      <c r="A137" s="85" t="s">
        <v>5557</v>
      </c>
      <c r="B137" s="324" t="s">
        <v>5806</v>
      </c>
      <c r="C137" s="85"/>
      <c r="D137" s="96"/>
      <c r="E137" s="96"/>
      <c r="F137" s="96"/>
      <c r="G137" s="96"/>
      <c r="H137" s="96"/>
      <c r="I137" s="96"/>
      <c r="J137" s="96"/>
      <c r="K137" s="102"/>
      <c r="L137" s="102"/>
      <c r="M137" s="102"/>
      <c r="N137" s="96"/>
      <c r="O137" s="96"/>
      <c r="P137" s="96"/>
      <c r="Q137" s="96"/>
      <c r="R137" s="96"/>
      <c r="AG137" t="s">
        <v>5807</v>
      </c>
    </row>
    <row r="138" spans="1:33" ht="12" customHeight="1">
      <c r="A138" s="85" t="s">
        <v>5561</v>
      </c>
      <c r="B138" s="324" t="s">
        <v>5808</v>
      </c>
      <c r="C138" s="85"/>
      <c r="D138" s="96"/>
      <c r="E138" s="96"/>
      <c r="F138" s="96"/>
      <c r="G138" s="96"/>
      <c r="H138" s="96"/>
      <c r="I138" s="96"/>
      <c r="J138" s="96"/>
      <c r="K138" s="102"/>
      <c r="L138" s="102"/>
      <c r="M138" s="102"/>
      <c r="N138" s="96"/>
      <c r="O138" s="96"/>
      <c r="P138" s="96"/>
      <c r="Q138" s="96"/>
      <c r="R138" s="96"/>
      <c r="AG138" t="s">
        <v>5809</v>
      </c>
    </row>
    <row r="139" spans="1:33" ht="12" customHeight="1">
      <c r="A139" s="85" t="s">
        <v>5566</v>
      </c>
      <c r="B139" s="324" t="s">
        <v>5810</v>
      </c>
      <c r="C139" s="85"/>
      <c r="D139" s="96"/>
      <c r="E139" s="96"/>
      <c r="F139" s="96"/>
      <c r="G139" s="96"/>
      <c r="H139" s="96"/>
      <c r="I139" s="96"/>
      <c r="J139" s="96"/>
      <c r="K139" s="102"/>
      <c r="L139" s="102"/>
      <c r="M139" s="102"/>
      <c r="N139" s="96"/>
      <c r="O139" s="96"/>
      <c r="P139" s="96"/>
      <c r="Q139" s="96"/>
      <c r="R139" s="96"/>
      <c r="AG139" t="s">
        <v>5811</v>
      </c>
    </row>
    <row r="140" spans="1:33" ht="12" customHeight="1">
      <c r="A140" s="85" t="s">
        <v>5570</v>
      </c>
      <c r="B140" s="324" t="s">
        <v>5812</v>
      </c>
      <c r="C140" s="85"/>
      <c r="D140" s="96"/>
      <c r="E140" s="96"/>
      <c r="F140" s="96"/>
      <c r="G140" s="96"/>
      <c r="H140" s="96"/>
      <c r="I140" s="96"/>
      <c r="J140" s="96"/>
      <c r="K140" s="102"/>
      <c r="L140" s="102"/>
      <c r="M140" s="102"/>
      <c r="N140" s="96"/>
      <c r="O140" s="96"/>
      <c r="P140" s="96"/>
      <c r="Q140" s="96"/>
      <c r="R140" s="96"/>
      <c r="AG140" t="s">
        <v>5813</v>
      </c>
    </row>
    <row r="141" spans="1:33" ht="12" customHeight="1">
      <c r="A141" s="85" t="s">
        <v>5574</v>
      </c>
      <c r="B141" s="324" t="s">
        <v>5814</v>
      </c>
      <c r="C141" s="85"/>
      <c r="D141" s="96"/>
      <c r="E141" s="96"/>
      <c r="F141" s="96"/>
      <c r="G141" s="96"/>
      <c r="H141" s="96"/>
      <c r="I141" s="96"/>
      <c r="J141" s="96"/>
      <c r="K141" s="102"/>
      <c r="L141" s="102"/>
      <c r="M141" s="102"/>
      <c r="N141" s="96"/>
      <c r="O141" s="96"/>
      <c r="P141" s="96"/>
      <c r="Q141" s="96"/>
      <c r="R141" s="96"/>
    </row>
    <row r="142" spans="1:33" ht="12" customHeight="1">
      <c r="A142" s="85" t="s">
        <v>5578</v>
      </c>
      <c r="B142" s="324" t="s">
        <v>5815</v>
      </c>
      <c r="C142" s="85"/>
      <c r="D142" s="96"/>
      <c r="E142" s="96"/>
      <c r="F142" s="96"/>
      <c r="G142" s="96"/>
      <c r="H142" s="96"/>
      <c r="I142" s="96"/>
      <c r="J142" s="96"/>
      <c r="K142" s="102"/>
      <c r="L142" s="102"/>
      <c r="M142" s="102"/>
      <c r="N142" s="96"/>
      <c r="O142" s="96"/>
      <c r="P142" s="96"/>
      <c r="Q142" s="96"/>
      <c r="R142" s="96"/>
    </row>
    <row r="143" spans="1:33" ht="12" customHeight="1">
      <c r="A143" s="85" t="s">
        <v>5582</v>
      </c>
      <c r="B143" s="324" t="s">
        <v>5816</v>
      </c>
      <c r="C143" s="85"/>
      <c r="D143" s="96"/>
      <c r="E143" s="96"/>
      <c r="F143" s="96"/>
      <c r="G143" s="96"/>
      <c r="H143" s="96"/>
      <c r="I143" s="96"/>
      <c r="J143" s="96"/>
      <c r="K143" s="102"/>
      <c r="L143" s="102"/>
      <c r="M143" s="102"/>
      <c r="N143" s="96"/>
      <c r="O143" s="96"/>
      <c r="P143" s="96"/>
      <c r="Q143" s="96"/>
      <c r="R143" s="96"/>
    </row>
    <row r="144" spans="1:33" ht="12" customHeight="1">
      <c r="A144" s="85" t="s">
        <v>5586</v>
      </c>
      <c r="B144" s="324" t="s">
        <v>5817</v>
      </c>
      <c r="C144" s="85"/>
      <c r="D144" s="96"/>
      <c r="E144" s="96"/>
      <c r="F144" s="96"/>
      <c r="G144" s="96"/>
      <c r="H144" s="96"/>
      <c r="I144" s="96"/>
      <c r="J144" s="96"/>
      <c r="K144" s="102"/>
      <c r="L144" s="102"/>
      <c r="M144" s="102"/>
      <c r="N144" s="96"/>
      <c r="O144" s="96"/>
      <c r="P144" s="96"/>
      <c r="Q144" s="96"/>
      <c r="R144" s="96"/>
    </row>
    <row r="145" spans="1:18" ht="12" customHeight="1">
      <c r="A145" s="85" t="s">
        <v>5590</v>
      </c>
      <c r="B145" s="324" t="s">
        <v>5818</v>
      </c>
      <c r="C145" s="85"/>
      <c r="D145" s="96"/>
      <c r="E145" s="96"/>
      <c r="F145" s="96"/>
      <c r="G145" s="96"/>
      <c r="H145" s="96"/>
      <c r="I145" s="96"/>
      <c r="J145" s="96"/>
      <c r="K145" s="102"/>
      <c r="L145" s="102"/>
      <c r="M145" s="102"/>
      <c r="N145" s="96"/>
      <c r="O145" s="96"/>
      <c r="P145" s="96"/>
      <c r="R145" s="96"/>
    </row>
    <row r="146" spans="1:18" ht="12" customHeight="1">
      <c r="A146" s="85" t="s">
        <v>5595</v>
      </c>
      <c r="B146" s="324" t="s">
        <v>5819</v>
      </c>
      <c r="C146" s="85"/>
      <c r="D146" s="96"/>
      <c r="E146" s="96"/>
      <c r="F146" s="96"/>
      <c r="G146" s="96"/>
      <c r="H146" s="96"/>
      <c r="I146" s="96"/>
      <c r="J146" s="96"/>
      <c r="K146" s="102"/>
      <c r="L146" s="102"/>
      <c r="M146" s="102"/>
      <c r="N146" s="96"/>
      <c r="O146" s="96"/>
      <c r="P146" s="96"/>
      <c r="R146" s="96"/>
    </row>
    <row r="147" spans="1:18" ht="12" customHeight="1">
      <c r="A147" s="85" t="s">
        <v>5599</v>
      </c>
      <c r="B147" s="324" t="s">
        <v>5820</v>
      </c>
      <c r="C147" s="85"/>
      <c r="D147" s="96"/>
      <c r="E147" s="96"/>
      <c r="F147" s="96"/>
      <c r="G147" s="96"/>
      <c r="H147" s="96"/>
      <c r="I147" s="96"/>
      <c r="J147" s="96"/>
      <c r="K147" s="102"/>
      <c r="L147" s="102"/>
      <c r="M147" s="102"/>
      <c r="N147" s="96"/>
      <c r="O147" s="96"/>
      <c r="P147" s="96"/>
      <c r="R147" s="96"/>
    </row>
    <row r="148" spans="1:18" ht="12" customHeight="1">
      <c r="A148" s="85" t="s">
        <v>5603</v>
      </c>
      <c r="B148" s="324" t="s">
        <v>5821</v>
      </c>
      <c r="C148" s="85"/>
      <c r="D148" s="96"/>
      <c r="E148" s="96"/>
      <c r="F148" s="96"/>
      <c r="G148" s="96"/>
      <c r="H148" s="96"/>
      <c r="I148" s="96"/>
      <c r="J148" s="96"/>
      <c r="K148" s="102"/>
      <c r="L148" s="102"/>
      <c r="M148" s="102"/>
      <c r="N148" s="96"/>
      <c r="O148" s="96"/>
      <c r="P148" s="96"/>
      <c r="R148" s="96"/>
    </row>
    <row r="149" spans="1:18" ht="12" customHeight="1">
      <c r="A149" s="85" t="s">
        <v>5607</v>
      </c>
      <c r="B149" s="324" t="s">
        <v>5822</v>
      </c>
      <c r="C149" s="85"/>
      <c r="D149" s="96"/>
      <c r="E149" s="96"/>
      <c r="F149" s="96"/>
      <c r="G149" s="96"/>
      <c r="H149" s="96"/>
      <c r="I149" s="96"/>
      <c r="J149" s="96"/>
      <c r="K149" s="102"/>
      <c r="L149" s="102"/>
      <c r="M149" s="102"/>
      <c r="N149" s="96"/>
      <c r="O149" s="96"/>
      <c r="P149" s="96"/>
      <c r="R149" s="96"/>
    </row>
    <row r="150" spans="1:18" ht="12" customHeight="1">
      <c r="A150" s="85" t="s">
        <v>5610</v>
      </c>
      <c r="B150" s="324" t="s">
        <v>5823</v>
      </c>
      <c r="C150" s="85"/>
      <c r="D150" s="96"/>
      <c r="E150" s="96"/>
      <c r="F150" s="96"/>
      <c r="G150" s="96"/>
      <c r="H150" s="96"/>
      <c r="I150" s="96"/>
      <c r="J150" s="96"/>
      <c r="K150" s="102"/>
      <c r="L150" s="102"/>
      <c r="M150" s="102"/>
      <c r="N150" s="96"/>
      <c r="O150" s="96"/>
      <c r="P150" s="96"/>
      <c r="R150" s="96"/>
    </row>
    <row r="151" spans="1:18" ht="12" customHeight="1">
      <c r="A151" s="85" t="s">
        <v>5613</v>
      </c>
      <c r="B151" s="324" t="s">
        <v>5824</v>
      </c>
      <c r="C151" s="85"/>
      <c r="D151" s="96"/>
      <c r="E151" s="96"/>
      <c r="F151" s="96"/>
      <c r="G151" s="96"/>
      <c r="H151" s="96"/>
      <c r="I151" s="96"/>
      <c r="J151" s="96"/>
      <c r="K151" s="102"/>
      <c r="L151" s="102"/>
      <c r="M151" s="102"/>
      <c r="N151" s="96"/>
      <c r="O151" s="96"/>
      <c r="P151" s="96"/>
      <c r="R151" s="96"/>
    </row>
    <row r="152" spans="1:18" ht="12" customHeight="1">
      <c r="A152" s="85" t="s">
        <v>5616</v>
      </c>
      <c r="B152" s="324" t="s">
        <v>5825</v>
      </c>
      <c r="C152" s="85"/>
      <c r="D152" s="96"/>
      <c r="E152" s="96"/>
      <c r="F152" s="96"/>
      <c r="G152" s="96"/>
      <c r="H152" s="96"/>
      <c r="I152" s="96"/>
      <c r="J152" s="96"/>
      <c r="K152" s="102"/>
      <c r="L152" s="102"/>
      <c r="M152" s="102"/>
      <c r="N152" s="96"/>
      <c r="O152" s="96"/>
      <c r="P152" s="96"/>
      <c r="R152" s="96"/>
    </row>
    <row r="153" spans="1:18" ht="12" customHeight="1">
      <c r="A153" s="85" t="s">
        <v>5620</v>
      </c>
      <c r="B153" s="324" t="s">
        <v>5826</v>
      </c>
      <c r="C153" s="85"/>
      <c r="D153" s="96"/>
      <c r="E153" s="96"/>
      <c r="F153" s="96"/>
      <c r="G153" s="96"/>
      <c r="H153" s="96"/>
      <c r="I153" s="96"/>
      <c r="J153" s="96"/>
      <c r="K153" s="102"/>
      <c r="L153" s="102"/>
      <c r="M153" s="102"/>
      <c r="N153" s="96"/>
      <c r="O153" s="96"/>
      <c r="P153" s="96"/>
      <c r="R153" s="96"/>
    </row>
    <row r="154" spans="1:18" ht="12" customHeight="1">
      <c r="A154" s="85" t="s">
        <v>5623</v>
      </c>
      <c r="B154" s="324" t="s">
        <v>5827</v>
      </c>
      <c r="C154" s="85"/>
      <c r="D154" s="96"/>
      <c r="E154" s="96"/>
      <c r="F154" s="96"/>
      <c r="G154" s="96"/>
      <c r="H154" s="96"/>
      <c r="I154" s="96"/>
      <c r="J154" s="96"/>
      <c r="K154" s="102"/>
      <c r="L154" s="102"/>
      <c r="M154" s="102"/>
      <c r="N154" s="96"/>
      <c r="O154" s="96"/>
      <c r="P154" s="96"/>
      <c r="R154" s="96"/>
    </row>
    <row r="155" spans="1:18" ht="12" customHeight="1">
      <c r="A155" s="85" t="s">
        <v>5626</v>
      </c>
      <c r="B155" s="324" t="s">
        <v>5828</v>
      </c>
      <c r="C155" s="85"/>
      <c r="D155" s="96"/>
      <c r="E155" s="96"/>
      <c r="F155" s="96"/>
      <c r="G155" s="96"/>
      <c r="H155" s="96"/>
      <c r="I155" s="96"/>
      <c r="J155" s="96"/>
      <c r="K155" s="102"/>
      <c r="L155" s="102"/>
      <c r="M155" s="102"/>
      <c r="N155" s="96"/>
      <c r="O155" s="96"/>
      <c r="P155" s="96"/>
      <c r="R155" s="96"/>
    </row>
    <row r="156" spans="1:18" ht="12" customHeight="1">
      <c r="A156" s="85" t="s">
        <v>5629</v>
      </c>
      <c r="B156" s="324" t="s">
        <v>5829</v>
      </c>
      <c r="C156" s="85"/>
      <c r="D156" s="96"/>
      <c r="E156" s="96"/>
      <c r="F156" s="96"/>
      <c r="G156" s="96"/>
      <c r="H156" s="96"/>
      <c r="I156" s="96"/>
      <c r="J156" s="96"/>
      <c r="K156" s="102"/>
      <c r="L156" s="102"/>
      <c r="M156" s="102"/>
      <c r="N156" s="96"/>
      <c r="O156" s="96"/>
      <c r="P156" s="96"/>
      <c r="R156" s="96"/>
    </row>
    <row r="157" spans="1:18" ht="12" customHeight="1">
      <c r="A157" s="85" t="s">
        <v>5633</v>
      </c>
      <c r="B157" s="324" t="s">
        <v>5830</v>
      </c>
      <c r="C157" s="85"/>
      <c r="D157" s="96"/>
      <c r="E157" s="96"/>
      <c r="F157" s="96"/>
      <c r="G157" s="96"/>
      <c r="H157" s="96"/>
      <c r="I157" s="96"/>
      <c r="J157" s="96"/>
      <c r="K157" s="102"/>
      <c r="L157" s="102"/>
      <c r="M157" s="102"/>
      <c r="N157" s="96"/>
      <c r="O157" s="96"/>
      <c r="P157" s="96"/>
      <c r="R157" s="96"/>
    </row>
    <row r="158" spans="1:18" ht="12" customHeight="1">
      <c r="A158" s="85" t="s">
        <v>5636</v>
      </c>
      <c r="B158" s="324" t="s">
        <v>5831</v>
      </c>
      <c r="C158" s="85"/>
      <c r="D158" s="96"/>
      <c r="E158" s="96"/>
      <c r="F158" s="96"/>
      <c r="G158" s="96"/>
      <c r="H158" s="96"/>
      <c r="I158" s="96"/>
      <c r="J158" s="96"/>
      <c r="K158" s="102"/>
      <c r="L158" s="102"/>
      <c r="M158" s="102"/>
      <c r="N158" s="96"/>
      <c r="O158" s="96"/>
      <c r="P158" s="96"/>
      <c r="R158" s="96"/>
    </row>
    <row r="159" spans="1:18" ht="12" customHeight="1">
      <c r="A159" s="85" t="s">
        <v>5640</v>
      </c>
      <c r="B159" s="324" t="s">
        <v>5832</v>
      </c>
      <c r="C159" s="85"/>
      <c r="D159" s="96"/>
      <c r="E159" s="96"/>
      <c r="F159" s="96"/>
      <c r="G159" s="96"/>
      <c r="H159" s="96"/>
      <c r="I159" s="96"/>
      <c r="J159" s="96"/>
      <c r="K159" s="102"/>
      <c r="L159" s="102"/>
      <c r="M159" s="102"/>
      <c r="N159" s="96"/>
      <c r="O159" s="96"/>
      <c r="P159" s="96"/>
      <c r="R159" s="96"/>
    </row>
    <row r="160" spans="1:18" ht="12" customHeight="1">
      <c r="A160" s="85" t="s">
        <v>5643</v>
      </c>
      <c r="B160" s="324" t="s">
        <v>5833</v>
      </c>
      <c r="C160" s="85"/>
      <c r="D160" s="96"/>
      <c r="E160" s="96"/>
      <c r="F160" s="96"/>
      <c r="G160" s="96"/>
      <c r="H160" s="96"/>
      <c r="I160" s="96"/>
      <c r="J160" s="96"/>
      <c r="K160" s="102"/>
      <c r="L160" s="102"/>
      <c r="M160" s="102"/>
      <c r="N160" s="96"/>
      <c r="O160" s="96"/>
      <c r="P160" s="96"/>
      <c r="R160" s="96"/>
    </row>
    <row r="161" spans="1:18" ht="12" customHeight="1">
      <c r="A161" s="85" t="s">
        <v>5646</v>
      </c>
      <c r="B161" s="324" t="s">
        <v>5834</v>
      </c>
      <c r="C161" s="85"/>
      <c r="D161" s="96"/>
      <c r="E161" s="96"/>
      <c r="F161" s="96"/>
      <c r="G161" s="96"/>
      <c r="H161" s="96"/>
      <c r="I161" s="96"/>
      <c r="J161" s="96"/>
      <c r="K161" s="102"/>
      <c r="L161" s="102"/>
      <c r="M161" s="102"/>
      <c r="N161" s="96"/>
      <c r="O161" s="96"/>
      <c r="P161" s="96"/>
      <c r="R161" s="96"/>
    </row>
    <row r="162" spans="1:18" ht="12" customHeight="1">
      <c r="A162" s="85" t="s">
        <v>5649</v>
      </c>
      <c r="B162" s="324" t="s">
        <v>5835</v>
      </c>
      <c r="C162" s="85"/>
      <c r="D162" s="96"/>
      <c r="E162" s="96"/>
      <c r="F162" s="96"/>
      <c r="G162" s="96"/>
      <c r="H162" s="96"/>
      <c r="I162" s="96"/>
      <c r="J162" s="96"/>
      <c r="K162" s="102"/>
      <c r="L162" s="102"/>
      <c r="M162" s="102"/>
      <c r="N162" s="96"/>
      <c r="O162" s="96"/>
      <c r="P162" s="96"/>
      <c r="R162" s="96"/>
    </row>
    <row r="163" spans="1:18" ht="12" customHeight="1">
      <c r="A163" s="85" t="s">
        <v>5652</v>
      </c>
      <c r="B163" s="324" t="s">
        <v>5836</v>
      </c>
      <c r="C163" s="85"/>
      <c r="D163" s="96"/>
      <c r="E163" s="96"/>
      <c r="F163" s="96"/>
      <c r="G163" s="96"/>
      <c r="H163" s="96"/>
      <c r="I163" s="96"/>
      <c r="J163" s="96"/>
      <c r="K163" s="102"/>
      <c r="L163" s="102"/>
      <c r="M163" s="102"/>
      <c r="N163" s="96"/>
      <c r="O163" s="96"/>
      <c r="P163" s="96"/>
      <c r="R163" s="96"/>
    </row>
    <row r="164" spans="1:18" ht="12" customHeight="1">
      <c r="A164" s="85" t="s">
        <v>5655</v>
      </c>
      <c r="B164" s="324" t="s">
        <v>5837</v>
      </c>
      <c r="C164" s="85"/>
      <c r="D164" s="96"/>
      <c r="E164" s="96"/>
      <c r="F164" s="96"/>
      <c r="G164" s="96"/>
      <c r="H164" s="96"/>
      <c r="I164" s="96"/>
      <c r="J164" s="96"/>
      <c r="L164" s="102"/>
      <c r="M164" s="102"/>
      <c r="N164" s="96"/>
      <c r="O164" s="96"/>
      <c r="P164" s="96"/>
      <c r="R164" s="96"/>
    </row>
    <row r="165" spans="1:18" ht="12" customHeight="1">
      <c r="A165" s="85" t="s">
        <v>5658</v>
      </c>
      <c r="B165" s="324" t="s">
        <v>5838</v>
      </c>
      <c r="C165" s="85"/>
      <c r="D165" s="96"/>
      <c r="E165" s="96"/>
      <c r="F165" s="96"/>
      <c r="G165" s="96"/>
      <c r="H165" s="96"/>
      <c r="I165" s="96"/>
      <c r="J165" s="96"/>
      <c r="L165" s="102"/>
      <c r="M165" s="102"/>
      <c r="N165" s="96"/>
      <c r="O165" s="96"/>
      <c r="P165" s="96"/>
      <c r="R165" s="96"/>
    </row>
    <row r="166" spans="1:18" ht="12" customHeight="1">
      <c r="A166" s="85" t="s">
        <v>5661</v>
      </c>
      <c r="B166" s="324" t="s">
        <v>5839</v>
      </c>
      <c r="C166" s="85"/>
      <c r="D166" s="96"/>
      <c r="E166" s="96"/>
      <c r="F166" s="96"/>
      <c r="G166" s="96"/>
      <c r="H166" s="96"/>
      <c r="I166" s="96"/>
      <c r="J166" s="96"/>
      <c r="L166" s="102"/>
      <c r="M166" s="102"/>
      <c r="N166" s="96"/>
      <c r="O166" s="96"/>
      <c r="P166" s="96"/>
      <c r="R166" s="96"/>
    </row>
    <row r="167" spans="1:18" ht="12" customHeight="1">
      <c r="A167" s="85" t="s">
        <v>5664</v>
      </c>
      <c r="B167" s="324" t="s">
        <v>5840</v>
      </c>
      <c r="C167" s="85"/>
      <c r="D167" s="96"/>
      <c r="E167" s="96"/>
      <c r="F167" s="96"/>
      <c r="G167" s="96"/>
      <c r="H167" s="96"/>
      <c r="I167" s="96"/>
      <c r="J167" s="96"/>
      <c r="L167" s="102"/>
      <c r="M167" s="102"/>
      <c r="N167" s="96"/>
      <c r="O167" s="96"/>
      <c r="P167" s="96"/>
      <c r="R167" s="96"/>
    </row>
    <row r="168" spans="1:18" ht="12" customHeight="1">
      <c r="A168" s="85" t="s">
        <v>5667</v>
      </c>
      <c r="B168" s="324" t="s">
        <v>5841</v>
      </c>
      <c r="C168" s="85"/>
      <c r="D168" s="96"/>
      <c r="E168" s="96"/>
      <c r="F168" s="96"/>
      <c r="G168" s="96"/>
      <c r="H168" s="96"/>
      <c r="I168" s="96"/>
      <c r="J168" s="96"/>
      <c r="L168" s="102"/>
      <c r="M168" s="102"/>
      <c r="N168" s="96"/>
      <c r="O168" s="96"/>
      <c r="P168" s="96"/>
      <c r="R168" s="96"/>
    </row>
    <row r="169" spans="1:18" ht="12" customHeight="1">
      <c r="A169" s="85" t="s">
        <v>5670</v>
      </c>
      <c r="B169" s="324" t="s">
        <v>5842</v>
      </c>
      <c r="C169" s="85"/>
      <c r="D169" s="96"/>
      <c r="E169" s="96"/>
      <c r="F169" s="96"/>
      <c r="H169" s="96"/>
      <c r="I169" s="96"/>
      <c r="J169" s="96"/>
      <c r="L169" s="102"/>
      <c r="M169" s="102"/>
      <c r="N169" s="96"/>
      <c r="O169" s="96"/>
      <c r="P169" s="96"/>
      <c r="R169" s="96"/>
    </row>
    <row r="170" spans="1:18" ht="12" customHeight="1">
      <c r="A170" s="85" t="s">
        <v>5673</v>
      </c>
      <c r="B170" s="324" t="s">
        <v>5843</v>
      </c>
      <c r="C170" s="85"/>
      <c r="D170" s="96"/>
      <c r="E170" s="96"/>
      <c r="F170" s="96"/>
      <c r="H170" s="96"/>
      <c r="I170" s="96"/>
      <c r="J170" s="96"/>
      <c r="L170" s="102"/>
      <c r="M170" s="102"/>
      <c r="N170" s="96"/>
      <c r="O170" s="96"/>
      <c r="P170" s="96"/>
      <c r="R170" s="96"/>
    </row>
    <row r="171" spans="1:18" ht="12" customHeight="1">
      <c r="A171" s="85" t="s">
        <v>5676</v>
      </c>
      <c r="B171" s="324" t="s">
        <v>5844</v>
      </c>
      <c r="C171" s="85"/>
      <c r="D171" s="96"/>
      <c r="E171" s="96"/>
      <c r="F171" s="96"/>
      <c r="H171" s="96"/>
      <c r="I171" s="96"/>
      <c r="J171" s="96"/>
      <c r="L171" s="102"/>
      <c r="M171" s="102"/>
      <c r="N171" s="96"/>
      <c r="O171" s="96"/>
      <c r="P171" s="96"/>
      <c r="R171" s="96"/>
    </row>
    <row r="172" spans="1:18" ht="12" customHeight="1">
      <c r="A172" s="85" t="s">
        <v>5678</v>
      </c>
      <c r="B172" s="324" t="s">
        <v>5845</v>
      </c>
      <c r="C172" s="85"/>
      <c r="D172" s="96"/>
      <c r="E172" s="96"/>
      <c r="F172" s="96"/>
      <c r="H172" s="96"/>
      <c r="I172" s="96"/>
      <c r="J172" s="96"/>
      <c r="L172" s="102"/>
      <c r="M172" s="102"/>
      <c r="N172" s="96"/>
      <c r="O172" s="96"/>
      <c r="P172" s="96"/>
      <c r="R172" s="96"/>
    </row>
    <row r="173" spans="1:18" ht="12" customHeight="1">
      <c r="A173" s="85" t="s">
        <v>5680</v>
      </c>
      <c r="B173" s="324" t="s">
        <v>5846</v>
      </c>
      <c r="C173" s="85"/>
      <c r="D173" s="96"/>
      <c r="E173" s="96"/>
      <c r="F173" s="96"/>
      <c r="H173" s="96"/>
      <c r="I173" s="96"/>
      <c r="J173" s="96"/>
      <c r="L173" s="102"/>
      <c r="M173" s="102"/>
      <c r="N173" s="96"/>
      <c r="O173" s="96"/>
      <c r="P173" s="96"/>
      <c r="R173" s="96"/>
    </row>
    <row r="174" spans="1:18" ht="12" customHeight="1">
      <c r="A174" s="85" t="s">
        <v>5683</v>
      </c>
      <c r="B174" s="324" t="s">
        <v>5847</v>
      </c>
      <c r="C174" s="85"/>
      <c r="D174" s="96"/>
      <c r="E174" s="96"/>
      <c r="F174" s="96"/>
      <c r="H174" s="96"/>
      <c r="I174" s="96"/>
      <c r="J174" s="96"/>
      <c r="L174" s="102"/>
      <c r="M174" s="102"/>
      <c r="N174" s="96"/>
      <c r="O174" s="96"/>
      <c r="P174" s="96"/>
      <c r="R174" s="96"/>
    </row>
    <row r="175" spans="1:18" ht="12" customHeight="1">
      <c r="A175" s="85" t="s">
        <v>5686</v>
      </c>
      <c r="B175" s="324" t="s">
        <v>5848</v>
      </c>
      <c r="C175" s="85"/>
      <c r="D175" s="96"/>
      <c r="E175" s="96"/>
      <c r="F175" s="96"/>
      <c r="H175" s="96"/>
      <c r="I175" s="96"/>
      <c r="J175" s="96"/>
      <c r="L175" s="102"/>
      <c r="M175" s="102"/>
      <c r="N175" s="96"/>
      <c r="O175" s="96"/>
      <c r="P175" s="96"/>
      <c r="R175" s="96"/>
    </row>
    <row r="176" spans="1:18" ht="12" customHeight="1">
      <c r="A176" s="85" t="s">
        <v>5689</v>
      </c>
      <c r="B176" s="324" t="s">
        <v>5849</v>
      </c>
      <c r="C176" s="85"/>
    </row>
    <row r="177" spans="1:3" ht="12" customHeight="1">
      <c r="A177" s="85" t="s">
        <v>5692</v>
      </c>
      <c r="B177" s="324" t="s">
        <v>5850</v>
      </c>
      <c r="C177" s="85"/>
    </row>
    <row r="178" spans="1:3" ht="12" customHeight="1">
      <c r="A178" s="85" t="s">
        <v>5695</v>
      </c>
      <c r="B178" s="324" t="s">
        <v>5851</v>
      </c>
      <c r="C178" s="85"/>
    </row>
    <row r="179" spans="1:3" ht="12" customHeight="1">
      <c r="A179" s="85" t="s">
        <v>5698</v>
      </c>
      <c r="B179" s="324" t="s">
        <v>5852</v>
      </c>
      <c r="C179" s="85"/>
    </row>
    <row r="180" spans="1:3" ht="12" customHeight="1">
      <c r="A180" s="85" t="s">
        <v>5702</v>
      </c>
      <c r="B180" s="324" t="s">
        <v>5853</v>
      </c>
      <c r="C180" s="85"/>
    </row>
    <row r="181" spans="1:3" ht="12" customHeight="1">
      <c r="A181" s="85" t="s">
        <v>5706</v>
      </c>
      <c r="B181" s="324" t="s">
        <v>5854</v>
      </c>
      <c r="C181" s="85"/>
    </row>
    <row r="182" spans="1:3" ht="12" customHeight="1">
      <c r="A182" s="85" t="s">
        <v>5709</v>
      </c>
      <c r="B182" s="324" t="s">
        <v>5855</v>
      </c>
      <c r="C182" s="85"/>
    </row>
    <row r="183" spans="1:3" ht="12" customHeight="1">
      <c r="A183" s="85" t="s">
        <v>5712</v>
      </c>
      <c r="B183" s="324" t="s">
        <v>5856</v>
      </c>
      <c r="C183" s="8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B535-F898-FC63-F958-819BB95644C8}">
  <sheetPr>
    <tabColor rgb="FFFFCC99"/>
  </sheetPr>
  <dimension ref="A1:A5"/>
  <sheetViews>
    <sheetView workbookViewId="0"/>
  </sheetViews>
  <sheetFormatPr defaultColWidth="8.85546875" defaultRowHeight="15" customHeight="1"/>
  <sheetData>
    <row r="1" spans="1:1" ht="15" customHeight="1">
      <c r="A1" t="s">
        <v>5857</v>
      </c>
    </row>
    <row r="2" spans="1:1" ht="15" customHeight="1">
      <c r="A2" t="s">
        <v>5858</v>
      </c>
    </row>
    <row r="3" spans="1:1" ht="15" customHeight="1">
      <c r="A3" t="s">
        <v>5859</v>
      </c>
    </row>
    <row r="4" spans="1:1" ht="15" customHeight="1">
      <c r="A4" t="s">
        <v>5860</v>
      </c>
    </row>
    <row r="5" spans="1:1" ht="15" customHeight="1">
      <c r="A5" t="s">
        <v>5861</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F4E8-CD6D-0C33-F06E-CCD9D75E6188}">
  <sheetPr>
    <tabColor rgb="FFFFCC99"/>
  </sheetPr>
  <dimension ref="A1:A2"/>
  <sheetViews>
    <sheetView workbookViewId="0"/>
  </sheetViews>
  <sheetFormatPr defaultColWidth="8.85546875" defaultRowHeight="15" customHeight="1"/>
  <sheetData>
    <row r="1" spans="1:1" ht="15" customHeight="1">
      <c r="A1" t="s">
        <v>5862</v>
      </c>
    </row>
    <row r="2" spans="1:1" ht="15" customHeight="1">
      <c r="A2" t="s">
        <v>357</v>
      </c>
    </row>
  </sheetData>
  <sheetProtection insertRows="0" deleteColumns="0" deleteRows="0" sort="0" autoFilter="0"/>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77558-745F-1D78-8D83-37B1844DD528}">
  <sheetPr>
    <tabColor rgb="FFFFCC99"/>
  </sheetPr>
  <dimension ref="A1:A86"/>
  <sheetViews>
    <sheetView workbookViewId="0"/>
  </sheetViews>
  <sheetFormatPr defaultColWidth="8.85546875" defaultRowHeight="15" customHeight="1"/>
  <sheetData>
    <row r="1" spans="1:1" ht="15" customHeight="1">
      <c r="A1" t="s">
        <v>5857</v>
      </c>
    </row>
    <row r="2" spans="1:1" ht="15" customHeight="1">
      <c r="A2" t="s">
        <v>806</v>
      </c>
    </row>
    <row r="3" spans="1:1" ht="15" customHeight="1">
      <c r="A3" t="s">
        <v>5863</v>
      </c>
    </row>
    <row r="4" spans="1:1" ht="15" customHeight="1">
      <c r="A4" t="s">
        <v>5864</v>
      </c>
    </row>
    <row r="5" spans="1:1" ht="15" customHeight="1">
      <c r="A5" t="s">
        <v>5865</v>
      </c>
    </row>
    <row r="6" spans="1:1" ht="15" customHeight="1">
      <c r="A6" t="s">
        <v>5866</v>
      </c>
    </row>
    <row r="7" spans="1:1" ht="15" customHeight="1">
      <c r="A7" t="s">
        <v>5867</v>
      </c>
    </row>
    <row r="8" spans="1:1" ht="15" customHeight="1">
      <c r="A8" t="s">
        <v>5868</v>
      </c>
    </row>
    <row r="9" spans="1:1" ht="15" customHeight="1">
      <c r="A9" t="s">
        <v>5869</v>
      </c>
    </row>
    <row r="10" spans="1:1" ht="15" customHeight="1">
      <c r="A10" t="s">
        <v>5870</v>
      </c>
    </row>
    <row r="11" spans="1:1" ht="15" customHeight="1">
      <c r="A11" t="s">
        <v>5871</v>
      </c>
    </row>
    <row r="12" spans="1:1" ht="15" customHeight="1">
      <c r="A12" t="s">
        <v>5872</v>
      </c>
    </row>
    <row r="13" spans="1:1" ht="15" customHeight="1">
      <c r="A13" t="s">
        <v>5873</v>
      </c>
    </row>
    <row r="14" spans="1:1" ht="15" customHeight="1">
      <c r="A14" t="s">
        <v>5874</v>
      </c>
    </row>
    <row r="15" spans="1:1" ht="15" customHeight="1">
      <c r="A15" t="s">
        <v>5875</v>
      </c>
    </row>
    <row r="16" spans="1:1" ht="15" customHeight="1">
      <c r="A16" t="s">
        <v>5876</v>
      </c>
    </row>
    <row r="17" spans="1:1" ht="15" customHeight="1">
      <c r="A17" t="s">
        <v>5877</v>
      </c>
    </row>
    <row r="18" spans="1:1" ht="15" customHeight="1">
      <c r="A18" t="s">
        <v>5878</v>
      </c>
    </row>
    <row r="19" spans="1:1" ht="15" customHeight="1">
      <c r="A19" t="s">
        <v>5879</v>
      </c>
    </row>
    <row r="20" spans="1:1" ht="15" customHeight="1">
      <c r="A20" t="s">
        <v>5880</v>
      </c>
    </row>
    <row r="21" spans="1:1" ht="15" customHeight="1">
      <c r="A21" t="s">
        <v>5881</v>
      </c>
    </row>
    <row r="22" spans="1:1" ht="15" customHeight="1">
      <c r="A22" t="s">
        <v>5882</v>
      </c>
    </row>
    <row r="23" spans="1:1" ht="15" customHeight="1">
      <c r="A23" t="s">
        <v>5883</v>
      </c>
    </row>
    <row r="24" spans="1:1" ht="15" customHeight="1">
      <c r="A24" t="s">
        <v>5884</v>
      </c>
    </row>
    <row r="25" spans="1:1" ht="15" customHeight="1">
      <c r="A25" t="s">
        <v>5885</v>
      </c>
    </row>
    <row r="26" spans="1:1" ht="15" customHeight="1">
      <c r="A26" t="s">
        <v>5886</v>
      </c>
    </row>
    <row r="27" spans="1:1" ht="15" customHeight="1">
      <c r="A27" t="s">
        <v>5887</v>
      </c>
    </row>
    <row r="28" spans="1:1" ht="15" customHeight="1">
      <c r="A28" t="s">
        <v>5888</v>
      </c>
    </row>
    <row r="29" spans="1:1" ht="15" customHeight="1">
      <c r="A29" t="s">
        <v>5889</v>
      </c>
    </row>
    <row r="30" spans="1:1" ht="15" customHeight="1">
      <c r="A30" t="s">
        <v>5890</v>
      </c>
    </row>
    <row r="31" spans="1:1" ht="15" customHeight="1">
      <c r="A31" t="s">
        <v>5891</v>
      </c>
    </row>
    <row r="32" spans="1:1" ht="15" customHeight="1">
      <c r="A32" t="s">
        <v>5892</v>
      </c>
    </row>
    <row r="33" spans="1:1" ht="15" customHeight="1">
      <c r="A33" t="s">
        <v>5893</v>
      </c>
    </row>
    <row r="34" spans="1:1" ht="15" customHeight="1">
      <c r="A34" t="s">
        <v>5894</v>
      </c>
    </row>
    <row r="35" spans="1:1" ht="15" customHeight="1">
      <c r="A35" t="s">
        <v>5895</v>
      </c>
    </row>
    <row r="36" spans="1:1" ht="15" customHeight="1">
      <c r="A36" t="s">
        <v>5896</v>
      </c>
    </row>
    <row r="37" spans="1:1" ht="15" customHeight="1">
      <c r="A37" t="s">
        <v>5897</v>
      </c>
    </row>
    <row r="38" spans="1:1" ht="15" customHeight="1">
      <c r="A38" t="s">
        <v>5898</v>
      </c>
    </row>
    <row r="39" spans="1:1" ht="15" customHeight="1">
      <c r="A39" t="s">
        <v>5899</v>
      </c>
    </row>
    <row r="40" spans="1:1" ht="15" customHeight="1">
      <c r="A40" t="s">
        <v>5900</v>
      </c>
    </row>
    <row r="41" spans="1:1" ht="15" customHeight="1">
      <c r="A41" t="s">
        <v>5901</v>
      </c>
    </row>
    <row r="42" spans="1:1" ht="15" customHeight="1">
      <c r="A42" t="s">
        <v>5902</v>
      </c>
    </row>
    <row r="43" spans="1:1" ht="15" customHeight="1">
      <c r="A43" t="s">
        <v>5903</v>
      </c>
    </row>
    <row r="44" spans="1:1" ht="15" customHeight="1">
      <c r="A44" t="s">
        <v>5904</v>
      </c>
    </row>
    <row r="45" spans="1:1" ht="15" customHeight="1">
      <c r="A45" t="s">
        <v>5905</v>
      </c>
    </row>
    <row r="46" spans="1:1" ht="15" customHeight="1">
      <c r="A46" t="s">
        <v>5906</v>
      </c>
    </row>
    <row r="47" spans="1:1" ht="15" customHeight="1">
      <c r="A47" t="s">
        <v>5907</v>
      </c>
    </row>
    <row r="48" spans="1:1" ht="15" customHeight="1">
      <c r="A48" t="s">
        <v>5908</v>
      </c>
    </row>
    <row r="49" spans="1:1" ht="15" customHeight="1">
      <c r="A49" t="s">
        <v>5909</v>
      </c>
    </row>
    <row r="50" spans="1:1" ht="15" customHeight="1">
      <c r="A50" t="s">
        <v>5910</v>
      </c>
    </row>
    <row r="51" spans="1:1" ht="15" customHeight="1">
      <c r="A51" t="s">
        <v>5911</v>
      </c>
    </row>
    <row r="52" spans="1:1" ht="15" customHeight="1">
      <c r="A52" t="s">
        <v>5912</v>
      </c>
    </row>
    <row r="53" spans="1:1" ht="15" customHeight="1">
      <c r="A53" t="s">
        <v>5913</v>
      </c>
    </row>
    <row r="54" spans="1:1" ht="15" customHeight="1">
      <c r="A54" t="s">
        <v>5914</v>
      </c>
    </row>
    <row r="55" spans="1:1" ht="15" customHeight="1">
      <c r="A55" t="s">
        <v>5915</v>
      </c>
    </row>
    <row r="56" spans="1:1" ht="15" customHeight="1">
      <c r="A56" t="s">
        <v>5916</v>
      </c>
    </row>
    <row r="57" spans="1:1" ht="15" customHeight="1">
      <c r="A57" t="s">
        <v>5917</v>
      </c>
    </row>
    <row r="58" spans="1:1" ht="15" customHeight="1">
      <c r="A58" t="s">
        <v>5918</v>
      </c>
    </row>
    <row r="59" spans="1:1" ht="15" customHeight="1">
      <c r="A59" t="s">
        <v>5919</v>
      </c>
    </row>
    <row r="60" spans="1:1" ht="15" customHeight="1">
      <c r="A60" t="s">
        <v>5920</v>
      </c>
    </row>
    <row r="61" spans="1:1" ht="15" customHeight="1">
      <c r="A61" t="s">
        <v>5921</v>
      </c>
    </row>
    <row r="62" spans="1:1" ht="15" customHeight="1">
      <c r="A62" t="s">
        <v>5922</v>
      </c>
    </row>
    <row r="63" spans="1:1" ht="15" customHeight="1">
      <c r="A63" t="s">
        <v>5923</v>
      </c>
    </row>
    <row r="64" spans="1:1" ht="15" customHeight="1">
      <c r="A64" t="s">
        <v>5924</v>
      </c>
    </row>
    <row r="65" spans="1:1" ht="15" customHeight="1">
      <c r="A65" t="s">
        <v>5925</v>
      </c>
    </row>
    <row r="66" spans="1:1" ht="15" customHeight="1">
      <c r="A66" t="s">
        <v>5926</v>
      </c>
    </row>
    <row r="67" spans="1:1" ht="15" customHeight="1">
      <c r="A67" t="s">
        <v>5927</v>
      </c>
    </row>
    <row r="68" spans="1:1" ht="15" customHeight="1">
      <c r="A68" t="s">
        <v>5928</v>
      </c>
    </row>
    <row r="69" spans="1:1" ht="15" customHeight="1">
      <c r="A69" t="s">
        <v>5929</v>
      </c>
    </row>
    <row r="70" spans="1:1" ht="15" customHeight="1">
      <c r="A70" t="s">
        <v>5930</v>
      </c>
    </row>
    <row r="71" spans="1:1" ht="15" customHeight="1">
      <c r="A71" t="s">
        <v>5931</v>
      </c>
    </row>
    <row r="72" spans="1:1" ht="15" customHeight="1">
      <c r="A72" t="s">
        <v>5932</v>
      </c>
    </row>
    <row r="73" spans="1:1" ht="15" customHeight="1">
      <c r="A73" t="s">
        <v>5933</v>
      </c>
    </row>
    <row r="74" spans="1:1" ht="15" customHeight="1">
      <c r="A74" t="s">
        <v>5934</v>
      </c>
    </row>
    <row r="75" spans="1:1" ht="15" customHeight="1">
      <c r="A75" t="s">
        <v>5935</v>
      </c>
    </row>
    <row r="76" spans="1:1" ht="15" customHeight="1">
      <c r="A76" t="s">
        <v>5936</v>
      </c>
    </row>
    <row r="77" spans="1:1" ht="15" customHeight="1">
      <c r="A77" t="s">
        <v>5937</v>
      </c>
    </row>
    <row r="78" spans="1:1" ht="15" customHeight="1">
      <c r="A78" t="s">
        <v>5938</v>
      </c>
    </row>
    <row r="79" spans="1:1" ht="15" customHeight="1">
      <c r="A79" t="s">
        <v>5939</v>
      </c>
    </row>
    <row r="80" spans="1:1" ht="15" customHeight="1">
      <c r="A80" t="s">
        <v>5940</v>
      </c>
    </row>
    <row r="81" spans="1:1" ht="15" customHeight="1">
      <c r="A81" t="s">
        <v>5941</v>
      </c>
    </row>
    <row r="82" spans="1:1" ht="15" customHeight="1">
      <c r="A82" t="s">
        <v>5942</v>
      </c>
    </row>
    <row r="83" spans="1:1" ht="15" customHeight="1">
      <c r="A83" t="s">
        <v>5943</v>
      </c>
    </row>
    <row r="84" spans="1:1" ht="15" customHeight="1">
      <c r="A84" t="s">
        <v>5944</v>
      </c>
    </row>
    <row r="85" spans="1:1" ht="15" customHeight="1">
      <c r="A85" t="s">
        <v>5945</v>
      </c>
    </row>
    <row r="86" spans="1:1" ht="15" customHeight="1">
      <c r="A86" t="s">
        <v>603</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46</vt:i4>
      </vt:variant>
      <vt:variant>
        <vt:lpstr>Именованные диапазоны</vt:lpstr>
      </vt:variant>
      <vt:variant>
        <vt:i4>577</vt:i4>
      </vt:variant>
    </vt:vector>
  </HeadingPairs>
  <TitlesOfParts>
    <vt:vector size="623"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Сглаживание 2024-2026</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REESTR_SEP_DIV</vt:lpstr>
      <vt:lpstr>REESTR_DOP</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Давидович Елена</cp:lastModifiedBy>
  <cp:lastPrinted>2010-03-18T14:38:46Z</cp:lastPrinted>
  <dcterms:created xsi:type="dcterms:W3CDTF">2004-05-21T07:18:45Z</dcterms:created>
  <dcterms:modified xsi:type="dcterms:W3CDTF">2026-09-30T06:02:15Z</dcterms:modified>
</cp:coreProperties>
</file>